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Birmingham/Work/Repositories/cmi_metadata_wizard/metadata_wizard/settings/packages/"/>
    </mc:Choice>
  </mc:AlternateContent>
  <bookViews>
    <workbookView xWindow="240" yWindow="460" windowWidth="18860" windowHeight="16340" activeTab="5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004" i="2" l="1" a="1"/>
  <c r="AD1004" i="2"/>
  <c r="AE1004" i="2"/>
  <c r="AF1004" i="2"/>
  <c r="AG1004" i="2"/>
  <c r="AH1004" i="2"/>
  <c r="AI1004" i="2"/>
  <c r="AJ1004" i="2"/>
  <c r="AK1004" i="2"/>
  <c r="AL1004" i="2"/>
  <c r="AM1004" i="2"/>
  <c r="AN1004" i="2"/>
  <c r="AO1004" i="2"/>
  <c r="AP1004" i="2"/>
  <c r="AQ1004" i="2"/>
  <c r="AR1004" i="2"/>
  <c r="AS1004" i="2"/>
  <c r="AC1004" i="2"/>
  <c r="R1001" i="1"/>
  <c r="AS1001" i="2"/>
  <c r="AR1001" i="2"/>
  <c r="P1001" i="1"/>
  <c r="AQ1001" i="2"/>
  <c r="O1001" i="1"/>
  <c r="AP1001" i="2"/>
  <c r="N1001" i="1"/>
  <c r="AO1001" i="2"/>
  <c r="M1001" i="1"/>
  <c r="AN1001" i="2"/>
  <c r="L1001" i="1"/>
  <c r="AM1001" i="2"/>
  <c r="K1001" i="1"/>
  <c r="AL1001" i="2"/>
  <c r="AK1001" i="2"/>
  <c r="AJ1001" i="2"/>
  <c r="H1001" i="1"/>
  <c r="AI1001" i="2"/>
  <c r="G1001" i="1"/>
  <c r="AH1001" i="2"/>
  <c r="F1001" i="1"/>
  <c r="AG1001" i="2"/>
  <c r="E1001" i="1"/>
  <c r="AF1001" i="2"/>
  <c r="D1001" i="1"/>
  <c r="AE1001" i="2"/>
  <c r="AD1001" i="2"/>
  <c r="AC1001" i="2"/>
  <c r="Z1001" i="2"/>
  <c r="Y1001" i="2"/>
  <c r="R1000" i="1"/>
  <c r="AS1000" i="2"/>
  <c r="AR1000" i="2"/>
  <c r="P1000" i="1"/>
  <c r="AQ1000" i="2"/>
  <c r="O1000" i="1"/>
  <c r="AP1000" i="2"/>
  <c r="N1000" i="1"/>
  <c r="AO1000" i="2"/>
  <c r="M1000" i="1"/>
  <c r="AN1000" i="2"/>
  <c r="L1000" i="1"/>
  <c r="AM1000" i="2"/>
  <c r="K1000" i="1"/>
  <c r="AL1000" i="2"/>
  <c r="AK1000" i="2"/>
  <c r="AJ1000" i="2"/>
  <c r="H1000" i="1"/>
  <c r="AI1000" i="2"/>
  <c r="G1000" i="1"/>
  <c r="AH1000" i="2"/>
  <c r="F1000" i="1"/>
  <c r="AG1000" i="2"/>
  <c r="E1000" i="1"/>
  <c r="AF1000" i="2"/>
  <c r="D1000" i="1"/>
  <c r="AE1000" i="2"/>
  <c r="AD1000" i="2"/>
  <c r="AC1000" i="2"/>
  <c r="Z1000" i="2"/>
  <c r="Y1000" i="2"/>
  <c r="R999" i="1"/>
  <c r="AS999" i="2"/>
  <c r="AR999" i="2"/>
  <c r="P999" i="1"/>
  <c r="AQ999" i="2"/>
  <c r="O999" i="1"/>
  <c r="AP999" i="2"/>
  <c r="N999" i="1"/>
  <c r="AO999" i="2"/>
  <c r="M999" i="1"/>
  <c r="AN999" i="2"/>
  <c r="L999" i="1"/>
  <c r="AM999" i="2"/>
  <c r="K999" i="1"/>
  <c r="AL999" i="2"/>
  <c r="AK999" i="2"/>
  <c r="AJ999" i="2"/>
  <c r="H999" i="1"/>
  <c r="AI999" i="2"/>
  <c r="G999" i="1"/>
  <c r="AH999" i="2"/>
  <c r="F999" i="1"/>
  <c r="AG999" i="2"/>
  <c r="E999" i="1"/>
  <c r="AF999" i="2"/>
  <c r="D999" i="1"/>
  <c r="AE999" i="2"/>
  <c r="AD999" i="2"/>
  <c r="AC999" i="2"/>
  <c r="Z999" i="2"/>
  <c r="Y999" i="2"/>
  <c r="R998" i="1"/>
  <c r="AS998" i="2"/>
  <c r="AR998" i="2"/>
  <c r="P998" i="1"/>
  <c r="AQ998" i="2"/>
  <c r="O998" i="1"/>
  <c r="AP998" i="2"/>
  <c r="N998" i="1"/>
  <c r="AO998" i="2"/>
  <c r="M998" i="1"/>
  <c r="AN998" i="2"/>
  <c r="L998" i="1"/>
  <c r="AM998" i="2"/>
  <c r="K998" i="1"/>
  <c r="AL998" i="2"/>
  <c r="AK998" i="2"/>
  <c r="AJ998" i="2"/>
  <c r="H998" i="1"/>
  <c r="AI998" i="2"/>
  <c r="G998" i="1"/>
  <c r="AH998" i="2"/>
  <c r="F998" i="1"/>
  <c r="AG998" i="2"/>
  <c r="E998" i="1"/>
  <c r="AF998" i="2"/>
  <c r="D998" i="1"/>
  <c r="AE998" i="2"/>
  <c r="AD998" i="2"/>
  <c r="AC998" i="2"/>
  <c r="Z998" i="2"/>
  <c r="Y998" i="2"/>
  <c r="R997" i="1"/>
  <c r="AS997" i="2"/>
  <c r="AR997" i="2"/>
  <c r="P997" i="1"/>
  <c r="AQ997" i="2"/>
  <c r="O997" i="1"/>
  <c r="AP997" i="2"/>
  <c r="N997" i="1"/>
  <c r="AO997" i="2"/>
  <c r="M997" i="1"/>
  <c r="AN997" i="2"/>
  <c r="L997" i="1"/>
  <c r="AM997" i="2"/>
  <c r="K997" i="1"/>
  <c r="AL997" i="2"/>
  <c r="AK997" i="2"/>
  <c r="AJ997" i="2"/>
  <c r="H997" i="1"/>
  <c r="AI997" i="2"/>
  <c r="G997" i="1"/>
  <c r="AH997" i="2"/>
  <c r="F997" i="1"/>
  <c r="AG997" i="2"/>
  <c r="E997" i="1"/>
  <c r="AF997" i="2"/>
  <c r="D997" i="1"/>
  <c r="AE997" i="2"/>
  <c r="AD997" i="2"/>
  <c r="AC997" i="2"/>
  <c r="Z997" i="2"/>
  <c r="Y997" i="2"/>
  <c r="R996" i="1"/>
  <c r="AS996" i="2"/>
  <c r="AR996" i="2"/>
  <c r="P996" i="1"/>
  <c r="AQ996" i="2"/>
  <c r="O996" i="1"/>
  <c r="AP996" i="2"/>
  <c r="N996" i="1"/>
  <c r="AO996" i="2"/>
  <c r="M996" i="1"/>
  <c r="AN996" i="2"/>
  <c r="L996" i="1"/>
  <c r="AM996" i="2"/>
  <c r="K996" i="1"/>
  <c r="AL996" i="2"/>
  <c r="AK996" i="2"/>
  <c r="AJ996" i="2"/>
  <c r="H996" i="1"/>
  <c r="AI996" i="2"/>
  <c r="G996" i="1"/>
  <c r="AH996" i="2"/>
  <c r="F996" i="1"/>
  <c r="AG996" i="2"/>
  <c r="E996" i="1"/>
  <c r="AF996" i="2"/>
  <c r="D996" i="1"/>
  <c r="AE996" i="2"/>
  <c r="AD996" i="2"/>
  <c r="AC996" i="2"/>
  <c r="Z996" i="2"/>
  <c r="Y996" i="2"/>
  <c r="R995" i="1"/>
  <c r="AS995" i="2"/>
  <c r="AR995" i="2"/>
  <c r="P995" i="1"/>
  <c r="AQ995" i="2"/>
  <c r="O995" i="1"/>
  <c r="AP995" i="2"/>
  <c r="N995" i="1"/>
  <c r="AO995" i="2"/>
  <c r="M995" i="1"/>
  <c r="AN995" i="2"/>
  <c r="L995" i="1"/>
  <c r="AM995" i="2"/>
  <c r="K995" i="1"/>
  <c r="AL995" i="2"/>
  <c r="AK995" i="2"/>
  <c r="AJ995" i="2"/>
  <c r="H995" i="1"/>
  <c r="AI995" i="2"/>
  <c r="G995" i="1"/>
  <c r="AH995" i="2"/>
  <c r="F995" i="1"/>
  <c r="AG995" i="2"/>
  <c r="E995" i="1"/>
  <c r="AF995" i="2"/>
  <c r="D995" i="1"/>
  <c r="AE995" i="2"/>
  <c r="AD995" i="2"/>
  <c r="AC995" i="2"/>
  <c r="Z995" i="2"/>
  <c r="Y995" i="2"/>
  <c r="R994" i="1"/>
  <c r="AS994" i="2"/>
  <c r="AR994" i="2"/>
  <c r="P994" i="1"/>
  <c r="AQ994" i="2"/>
  <c r="O994" i="1"/>
  <c r="AP994" i="2"/>
  <c r="N994" i="1"/>
  <c r="AO994" i="2"/>
  <c r="M994" i="1"/>
  <c r="AN994" i="2"/>
  <c r="L994" i="1"/>
  <c r="AM994" i="2"/>
  <c r="K994" i="1"/>
  <c r="AL994" i="2"/>
  <c r="AK994" i="2"/>
  <c r="AJ994" i="2"/>
  <c r="H994" i="1"/>
  <c r="AI994" i="2"/>
  <c r="G994" i="1"/>
  <c r="AH994" i="2"/>
  <c r="F994" i="1"/>
  <c r="AG994" i="2"/>
  <c r="E994" i="1"/>
  <c r="AF994" i="2"/>
  <c r="D994" i="1"/>
  <c r="AE994" i="2"/>
  <c r="AD994" i="2"/>
  <c r="AC994" i="2"/>
  <c r="Z994" i="2"/>
  <c r="Y994" i="2"/>
  <c r="R993" i="1"/>
  <c r="AS993" i="2"/>
  <c r="AR993" i="2"/>
  <c r="P993" i="1"/>
  <c r="AQ993" i="2"/>
  <c r="O993" i="1"/>
  <c r="AP993" i="2"/>
  <c r="N993" i="1"/>
  <c r="AO993" i="2"/>
  <c r="M993" i="1"/>
  <c r="AN993" i="2"/>
  <c r="L993" i="1"/>
  <c r="AM993" i="2"/>
  <c r="K993" i="1"/>
  <c r="AL993" i="2"/>
  <c r="AK993" i="2"/>
  <c r="AJ993" i="2"/>
  <c r="H993" i="1"/>
  <c r="AI993" i="2"/>
  <c r="G993" i="1"/>
  <c r="AH993" i="2"/>
  <c r="F993" i="1"/>
  <c r="AG993" i="2"/>
  <c r="E993" i="1"/>
  <c r="AF993" i="2"/>
  <c r="D993" i="1"/>
  <c r="AE993" i="2"/>
  <c r="AD993" i="2"/>
  <c r="AC993" i="2"/>
  <c r="Z993" i="2"/>
  <c r="Y993" i="2"/>
  <c r="R992" i="1"/>
  <c r="AS992" i="2"/>
  <c r="AR992" i="2"/>
  <c r="P992" i="1"/>
  <c r="AQ992" i="2"/>
  <c r="O992" i="1"/>
  <c r="AP992" i="2"/>
  <c r="N992" i="1"/>
  <c r="AO992" i="2"/>
  <c r="M992" i="1"/>
  <c r="AN992" i="2"/>
  <c r="L992" i="1"/>
  <c r="AM992" i="2"/>
  <c r="K992" i="1"/>
  <c r="AL992" i="2"/>
  <c r="AK992" i="2"/>
  <c r="AJ992" i="2"/>
  <c r="H992" i="1"/>
  <c r="AI992" i="2"/>
  <c r="G992" i="1"/>
  <c r="AH992" i="2"/>
  <c r="F992" i="1"/>
  <c r="AG992" i="2"/>
  <c r="E992" i="1"/>
  <c r="AF992" i="2"/>
  <c r="D992" i="1"/>
  <c r="AE992" i="2"/>
  <c r="AD992" i="2"/>
  <c r="AC992" i="2"/>
  <c r="Z992" i="2"/>
  <c r="Y992" i="2"/>
  <c r="R991" i="1"/>
  <c r="AS991" i="2"/>
  <c r="AR991" i="2"/>
  <c r="P991" i="1"/>
  <c r="AQ991" i="2"/>
  <c r="O991" i="1"/>
  <c r="AP991" i="2"/>
  <c r="N991" i="1"/>
  <c r="AO991" i="2"/>
  <c r="M991" i="1"/>
  <c r="AN991" i="2"/>
  <c r="L991" i="1"/>
  <c r="AM991" i="2"/>
  <c r="K991" i="1"/>
  <c r="AL991" i="2"/>
  <c r="AK991" i="2"/>
  <c r="AJ991" i="2"/>
  <c r="H991" i="1"/>
  <c r="AI991" i="2"/>
  <c r="G991" i="1"/>
  <c r="AH991" i="2"/>
  <c r="F991" i="1"/>
  <c r="AG991" i="2"/>
  <c r="E991" i="1"/>
  <c r="AF991" i="2"/>
  <c r="D991" i="1"/>
  <c r="AE991" i="2"/>
  <c r="AD991" i="2"/>
  <c r="AC991" i="2"/>
  <c r="Z991" i="2"/>
  <c r="Y991" i="2"/>
  <c r="R990" i="1"/>
  <c r="AS990" i="2"/>
  <c r="AR990" i="2"/>
  <c r="P990" i="1"/>
  <c r="AQ990" i="2"/>
  <c r="O990" i="1"/>
  <c r="AP990" i="2"/>
  <c r="N990" i="1"/>
  <c r="AO990" i="2"/>
  <c r="M990" i="1"/>
  <c r="AN990" i="2"/>
  <c r="L990" i="1"/>
  <c r="AM990" i="2"/>
  <c r="K990" i="1"/>
  <c r="AL990" i="2"/>
  <c r="AK990" i="2"/>
  <c r="AJ990" i="2"/>
  <c r="H990" i="1"/>
  <c r="AI990" i="2"/>
  <c r="G990" i="1"/>
  <c r="AH990" i="2"/>
  <c r="F990" i="1"/>
  <c r="AG990" i="2"/>
  <c r="E990" i="1"/>
  <c r="AF990" i="2"/>
  <c r="D990" i="1"/>
  <c r="AE990" i="2"/>
  <c r="AD990" i="2"/>
  <c r="AC990" i="2"/>
  <c r="Z990" i="2"/>
  <c r="Y990" i="2"/>
  <c r="R989" i="1"/>
  <c r="AS989" i="2"/>
  <c r="AR989" i="2"/>
  <c r="P989" i="1"/>
  <c r="AQ989" i="2"/>
  <c r="O989" i="1"/>
  <c r="AP989" i="2"/>
  <c r="N989" i="1"/>
  <c r="AO989" i="2"/>
  <c r="M989" i="1"/>
  <c r="AN989" i="2"/>
  <c r="L989" i="1"/>
  <c r="AM989" i="2"/>
  <c r="K989" i="1"/>
  <c r="AL989" i="2"/>
  <c r="AK989" i="2"/>
  <c r="AJ989" i="2"/>
  <c r="H989" i="1"/>
  <c r="AI989" i="2"/>
  <c r="G989" i="1"/>
  <c r="AH989" i="2"/>
  <c r="F989" i="1"/>
  <c r="AG989" i="2"/>
  <c r="E989" i="1"/>
  <c r="AF989" i="2"/>
  <c r="D989" i="1"/>
  <c r="AE989" i="2"/>
  <c r="AD989" i="2"/>
  <c r="AC989" i="2"/>
  <c r="Z989" i="2"/>
  <c r="Y989" i="2"/>
  <c r="R988" i="1"/>
  <c r="AS988" i="2"/>
  <c r="AR988" i="2"/>
  <c r="P988" i="1"/>
  <c r="AQ988" i="2"/>
  <c r="O988" i="1"/>
  <c r="AP988" i="2"/>
  <c r="N988" i="1"/>
  <c r="AO988" i="2"/>
  <c r="M988" i="1"/>
  <c r="AN988" i="2"/>
  <c r="L988" i="1"/>
  <c r="AM988" i="2"/>
  <c r="K988" i="1"/>
  <c r="AL988" i="2"/>
  <c r="AK988" i="2"/>
  <c r="AJ988" i="2"/>
  <c r="H988" i="1"/>
  <c r="AI988" i="2"/>
  <c r="G988" i="1"/>
  <c r="AH988" i="2"/>
  <c r="F988" i="1"/>
  <c r="AG988" i="2"/>
  <c r="E988" i="1"/>
  <c r="AF988" i="2"/>
  <c r="D988" i="1"/>
  <c r="AE988" i="2"/>
  <c r="AD988" i="2"/>
  <c r="AC988" i="2"/>
  <c r="Z988" i="2"/>
  <c r="Y988" i="2"/>
  <c r="R987" i="1"/>
  <c r="AS987" i="2"/>
  <c r="AR987" i="2"/>
  <c r="P987" i="1"/>
  <c r="AQ987" i="2"/>
  <c r="O987" i="1"/>
  <c r="AP987" i="2"/>
  <c r="N987" i="1"/>
  <c r="AO987" i="2"/>
  <c r="M987" i="1"/>
  <c r="AN987" i="2"/>
  <c r="L987" i="1"/>
  <c r="AM987" i="2"/>
  <c r="K987" i="1"/>
  <c r="AL987" i="2"/>
  <c r="AK987" i="2"/>
  <c r="AJ987" i="2"/>
  <c r="H987" i="1"/>
  <c r="AI987" i="2"/>
  <c r="G987" i="1"/>
  <c r="AH987" i="2"/>
  <c r="F987" i="1"/>
  <c r="AG987" i="2"/>
  <c r="E987" i="1"/>
  <c r="AF987" i="2"/>
  <c r="D987" i="1"/>
  <c r="AE987" i="2"/>
  <c r="AD987" i="2"/>
  <c r="AC987" i="2"/>
  <c r="Z987" i="2"/>
  <c r="Y987" i="2"/>
  <c r="R986" i="1"/>
  <c r="AS986" i="2"/>
  <c r="AR986" i="2"/>
  <c r="P986" i="1"/>
  <c r="AQ986" i="2"/>
  <c r="O986" i="1"/>
  <c r="AP986" i="2"/>
  <c r="N986" i="1"/>
  <c r="AO986" i="2"/>
  <c r="M986" i="1"/>
  <c r="AN986" i="2"/>
  <c r="L986" i="1"/>
  <c r="AM986" i="2"/>
  <c r="K986" i="1"/>
  <c r="AL986" i="2"/>
  <c r="AK986" i="2"/>
  <c r="AJ986" i="2"/>
  <c r="H986" i="1"/>
  <c r="AI986" i="2"/>
  <c r="G986" i="1"/>
  <c r="AH986" i="2"/>
  <c r="F986" i="1"/>
  <c r="AG986" i="2"/>
  <c r="E986" i="1"/>
  <c r="AF986" i="2"/>
  <c r="D986" i="1"/>
  <c r="AE986" i="2"/>
  <c r="AD986" i="2"/>
  <c r="AC986" i="2"/>
  <c r="Z986" i="2"/>
  <c r="Y986" i="2"/>
  <c r="R985" i="1"/>
  <c r="AS985" i="2"/>
  <c r="AR985" i="2"/>
  <c r="P985" i="1"/>
  <c r="AQ985" i="2"/>
  <c r="O985" i="1"/>
  <c r="AP985" i="2"/>
  <c r="N985" i="1"/>
  <c r="AO985" i="2"/>
  <c r="M985" i="1"/>
  <c r="AN985" i="2"/>
  <c r="L985" i="1"/>
  <c r="AM985" i="2"/>
  <c r="K985" i="1"/>
  <c r="AL985" i="2"/>
  <c r="AK985" i="2"/>
  <c r="AJ985" i="2"/>
  <c r="H985" i="1"/>
  <c r="AI985" i="2"/>
  <c r="G985" i="1"/>
  <c r="AH985" i="2"/>
  <c r="F985" i="1"/>
  <c r="AG985" i="2"/>
  <c r="E985" i="1"/>
  <c r="AF985" i="2"/>
  <c r="D985" i="1"/>
  <c r="AE985" i="2"/>
  <c r="AD985" i="2"/>
  <c r="AC985" i="2"/>
  <c r="Z985" i="2"/>
  <c r="Y985" i="2"/>
  <c r="R984" i="1"/>
  <c r="AS984" i="2"/>
  <c r="AR984" i="2"/>
  <c r="P984" i="1"/>
  <c r="AQ984" i="2"/>
  <c r="O984" i="1"/>
  <c r="AP984" i="2"/>
  <c r="N984" i="1"/>
  <c r="AO984" i="2"/>
  <c r="M984" i="1"/>
  <c r="AN984" i="2"/>
  <c r="L984" i="1"/>
  <c r="AM984" i="2"/>
  <c r="K984" i="1"/>
  <c r="AL984" i="2"/>
  <c r="AK984" i="2"/>
  <c r="AJ984" i="2"/>
  <c r="H984" i="1"/>
  <c r="AI984" i="2"/>
  <c r="G984" i="1"/>
  <c r="AH984" i="2"/>
  <c r="F984" i="1"/>
  <c r="AG984" i="2"/>
  <c r="E984" i="1"/>
  <c r="AF984" i="2"/>
  <c r="D984" i="1"/>
  <c r="AE984" i="2"/>
  <c r="AD984" i="2"/>
  <c r="AC984" i="2"/>
  <c r="Z984" i="2"/>
  <c r="Y984" i="2"/>
  <c r="R983" i="1"/>
  <c r="AS983" i="2"/>
  <c r="AR983" i="2"/>
  <c r="P983" i="1"/>
  <c r="AQ983" i="2"/>
  <c r="O983" i="1"/>
  <c r="AP983" i="2"/>
  <c r="N983" i="1"/>
  <c r="AO983" i="2"/>
  <c r="M983" i="1"/>
  <c r="AN983" i="2"/>
  <c r="L983" i="1"/>
  <c r="AM983" i="2"/>
  <c r="K983" i="1"/>
  <c r="AL983" i="2"/>
  <c r="AK983" i="2"/>
  <c r="AJ983" i="2"/>
  <c r="H983" i="1"/>
  <c r="AI983" i="2"/>
  <c r="G983" i="1"/>
  <c r="AH983" i="2"/>
  <c r="F983" i="1"/>
  <c r="AG983" i="2"/>
  <c r="E983" i="1"/>
  <c r="AF983" i="2"/>
  <c r="D983" i="1"/>
  <c r="AE983" i="2"/>
  <c r="AD983" i="2"/>
  <c r="AC983" i="2"/>
  <c r="Z983" i="2"/>
  <c r="Y983" i="2"/>
  <c r="R982" i="1"/>
  <c r="AS982" i="2"/>
  <c r="AR982" i="2"/>
  <c r="P982" i="1"/>
  <c r="AQ982" i="2"/>
  <c r="O982" i="1"/>
  <c r="AP982" i="2"/>
  <c r="N982" i="1"/>
  <c r="AO982" i="2"/>
  <c r="M982" i="1"/>
  <c r="AN982" i="2"/>
  <c r="L982" i="1"/>
  <c r="AM982" i="2"/>
  <c r="K982" i="1"/>
  <c r="AL982" i="2"/>
  <c r="AK982" i="2"/>
  <c r="AJ982" i="2"/>
  <c r="H982" i="1"/>
  <c r="AI982" i="2"/>
  <c r="G982" i="1"/>
  <c r="AH982" i="2"/>
  <c r="F982" i="1"/>
  <c r="AG982" i="2"/>
  <c r="E982" i="1"/>
  <c r="AF982" i="2"/>
  <c r="D982" i="1"/>
  <c r="AE982" i="2"/>
  <c r="AD982" i="2"/>
  <c r="AC982" i="2"/>
  <c r="Z982" i="2"/>
  <c r="Y982" i="2"/>
  <c r="R981" i="1"/>
  <c r="AS981" i="2"/>
  <c r="AR981" i="2"/>
  <c r="P981" i="1"/>
  <c r="AQ981" i="2"/>
  <c r="O981" i="1"/>
  <c r="AP981" i="2"/>
  <c r="N981" i="1"/>
  <c r="AO981" i="2"/>
  <c r="M981" i="1"/>
  <c r="AN981" i="2"/>
  <c r="L981" i="1"/>
  <c r="AM981" i="2"/>
  <c r="K981" i="1"/>
  <c r="AL981" i="2"/>
  <c r="AK981" i="2"/>
  <c r="AJ981" i="2"/>
  <c r="H981" i="1"/>
  <c r="AI981" i="2"/>
  <c r="G981" i="1"/>
  <c r="AH981" i="2"/>
  <c r="F981" i="1"/>
  <c r="AG981" i="2"/>
  <c r="E981" i="1"/>
  <c r="AF981" i="2"/>
  <c r="D981" i="1"/>
  <c r="AE981" i="2"/>
  <c r="AD981" i="2"/>
  <c r="AC981" i="2"/>
  <c r="Z981" i="2"/>
  <c r="Y981" i="2"/>
  <c r="R980" i="1"/>
  <c r="AS980" i="2"/>
  <c r="AR980" i="2"/>
  <c r="P980" i="1"/>
  <c r="AQ980" i="2"/>
  <c r="O980" i="1"/>
  <c r="AP980" i="2"/>
  <c r="N980" i="1"/>
  <c r="AO980" i="2"/>
  <c r="M980" i="1"/>
  <c r="AN980" i="2"/>
  <c r="L980" i="1"/>
  <c r="AM980" i="2"/>
  <c r="K980" i="1"/>
  <c r="AL980" i="2"/>
  <c r="AK980" i="2"/>
  <c r="AJ980" i="2"/>
  <c r="H980" i="1"/>
  <c r="AI980" i="2"/>
  <c r="G980" i="1"/>
  <c r="AH980" i="2"/>
  <c r="F980" i="1"/>
  <c r="AG980" i="2"/>
  <c r="E980" i="1"/>
  <c r="AF980" i="2"/>
  <c r="D980" i="1"/>
  <c r="AE980" i="2"/>
  <c r="AD980" i="2"/>
  <c r="AC980" i="2"/>
  <c r="Z980" i="2"/>
  <c r="Y980" i="2"/>
  <c r="R979" i="1"/>
  <c r="AS979" i="2"/>
  <c r="AR979" i="2"/>
  <c r="P979" i="1"/>
  <c r="AQ979" i="2"/>
  <c r="O979" i="1"/>
  <c r="AP979" i="2"/>
  <c r="N979" i="1"/>
  <c r="AO979" i="2"/>
  <c r="M979" i="1"/>
  <c r="AN979" i="2"/>
  <c r="L979" i="1"/>
  <c r="AM979" i="2"/>
  <c r="K979" i="1"/>
  <c r="AL979" i="2"/>
  <c r="AK979" i="2"/>
  <c r="AJ979" i="2"/>
  <c r="H979" i="1"/>
  <c r="AI979" i="2"/>
  <c r="G979" i="1"/>
  <c r="AH979" i="2"/>
  <c r="F979" i="1"/>
  <c r="AG979" i="2"/>
  <c r="E979" i="1"/>
  <c r="AF979" i="2"/>
  <c r="D979" i="1"/>
  <c r="AE979" i="2"/>
  <c r="AD979" i="2"/>
  <c r="AC979" i="2"/>
  <c r="Z979" i="2"/>
  <c r="Y979" i="2"/>
  <c r="R978" i="1"/>
  <c r="AS978" i="2"/>
  <c r="AR978" i="2"/>
  <c r="P978" i="1"/>
  <c r="AQ978" i="2"/>
  <c r="O978" i="1"/>
  <c r="AP978" i="2"/>
  <c r="N978" i="1"/>
  <c r="AO978" i="2"/>
  <c r="M978" i="1"/>
  <c r="AN978" i="2"/>
  <c r="L978" i="1"/>
  <c r="AM978" i="2"/>
  <c r="K978" i="1"/>
  <c r="AL978" i="2"/>
  <c r="AK978" i="2"/>
  <c r="AJ978" i="2"/>
  <c r="H978" i="1"/>
  <c r="AI978" i="2"/>
  <c r="G978" i="1"/>
  <c r="AH978" i="2"/>
  <c r="F978" i="1"/>
  <c r="AG978" i="2"/>
  <c r="E978" i="1"/>
  <c r="AF978" i="2"/>
  <c r="D978" i="1"/>
  <c r="AE978" i="2"/>
  <c r="AD978" i="2"/>
  <c r="AC978" i="2"/>
  <c r="Z978" i="2"/>
  <c r="Y978" i="2"/>
  <c r="R977" i="1"/>
  <c r="AS977" i="2"/>
  <c r="AR977" i="2"/>
  <c r="P977" i="1"/>
  <c r="AQ977" i="2"/>
  <c r="O977" i="1"/>
  <c r="AP977" i="2"/>
  <c r="N977" i="1"/>
  <c r="AO977" i="2"/>
  <c r="M977" i="1"/>
  <c r="AN977" i="2"/>
  <c r="L977" i="1"/>
  <c r="AM977" i="2"/>
  <c r="K977" i="1"/>
  <c r="AL977" i="2"/>
  <c r="AK977" i="2"/>
  <c r="AJ977" i="2"/>
  <c r="H977" i="1"/>
  <c r="AI977" i="2"/>
  <c r="G977" i="1"/>
  <c r="AH977" i="2"/>
  <c r="F977" i="1"/>
  <c r="AG977" i="2"/>
  <c r="E977" i="1"/>
  <c r="AF977" i="2"/>
  <c r="D977" i="1"/>
  <c r="AE977" i="2"/>
  <c r="AD977" i="2"/>
  <c r="AC977" i="2"/>
  <c r="Z977" i="2"/>
  <c r="Y977" i="2"/>
  <c r="R976" i="1"/>
  <c r="AS976" i="2"/>
  <c r="AR976" i="2"/>
  <c r="P976" i="1"/>
  <c r="AQ976" i="2"/>
  <c r="O976" i="1"/>
  <c r="AP976" i="2"/>
  <c r="N976" i="1"/>
  <c r="AO976" i="2"/>
  <c r="M976" i="1"/>
  <c r="AN976" i="2"/>
  <c r="L976" i="1"/>
  <c r="AM976" i="2"/>
  <c r="K976" i="1"/>
  <c r="AL976" i="2"/>
  <c r="AK976" i="2"/>
  <c r="AJ976" i="2"/>
  <c r="H976" i="1"/>
  <c r="AI976" i="2"/>
  <c r="G976" i="1"/>
  <c r="AH976" i="2"/>
  <c r="F976" i="1"/>
  <c r="AG976" i="2"/>
  <c r="E976" i="1"/>
  <c r="AF976" i="2"/>
  <c r="D976" i="1"/>
  <c r="AE976" i="2"/>
  <c r="AD976" i="2"/>
  <c r="AC976" i="2"/>
  <c r="Z976" i="2"/>
  <c r="Y976" i="2"/>
  <c r="R975" i="1"/>
  <c r="AS975" i="2"/>
  <c r="AR975" i="2"/>
  <c r="P975" i="1"/>
  <c r="AQ975" i="2"/>
  <c r="O975" i="1"/>
  <c r="AP975" i="2"/>
  <c r="N975" i="1"/>
  <c r="AO975" i="2"/>
  <c r="M975" i="1"/>
  <c r="AN975" i="2"/>
  <c r="L975" i="1"/>
  <c r="AM975" i="2"/>
  <c r="K975" i="1"/>
  <c r="AL975" i="2"/>
  <c r="AK975" i="2"/>
  <c r="AJ975" i="2"/>
  <c r="H975" i="1"/>
  <c r="AI975" i="2"/>
  <c r="G975" i="1"/>
  <c r="AH975" i="2"/>
  <c r="F975" i="1"/>
  <c r="AG975" i="2"/>
  <c r="E975" i="1"/>
  <c r="AF975" i="2"/>
  <c r="D975" i="1"/>
  <c r="AE975" i="2"/>
  <c r="AD975" i="2"/>
  <c r="AC975" i="2"/>
  <c r="Z975" i="2"/>
  <c r="Y975" i="2"/>
  <c r="R974" i="1"/>
  <c r="AS974" i="2"/>
  <c r="AR974" i="2"/>
  <c r="P974" i="1"/>
  <c r="AQ974" i="2"/>
  <c r="O974" i="1"/>
  <c r="AP974" i="2"/>
  <c r="N974" i="1"/>
  <c r="AO974" i="2"/>
  <c r="M974" i="1"/>
  <c r="AN974" i="2"/>
  <c r="L974" i="1"/>
  <c r="AM974" i="2"/>
  <c r="K974" i="1"/>
  <c r="AL974" i="2"/>
  <c r="AK974" i="2"/>
  <c r="AJ974" i="2"/>
  <c r="H974" i="1"/>
  <c r="AI974" i="2"/>
  <c r="G974" i="1"/>
  <c r="AH974" i="2"/>
  <c r="F974" i="1"/>
  <c r="AG974" i="2"/>
  <c r="E974" i="1"/>
  <c r="AF974" i="2"/>
  <c r="D974" i="1"/>
  <c r="AE974" i="2"/>
  <c r="AD974" i="2"/>
  <c r="AC974" i="2"/>
  <c r="Z974" i="2"/>
  <c r="Y974" i="2"/>
  <c r="R973" i="1"/>
  <c r="AS973" i="2"/>
  <c r="AR973" i="2"/>
  <c r="P973" i="1"/>
  <c r="AQ973" i="2"/>
  <c r="O973" i="1"/>
  <c r="AP973" i="2"/>
  <c r="N973" i="1"/>
  <c r="AO973" i="2"/>
  <c r="M973" i="1"/>
  <c r="AN973" i="2"/>
  <c r="L973" i="1"/>
  <c r="AM973" i="2"/>
  <c r="K973" i="1"/>
  <c r="AL973" i="2"/>
  <c r="AK973" i="2"/>
  <c r="AJ973" i="2"/>
  <c r="H973" i="1"/>
  <c r="AI973" i="2"/>
  <c r="G973" i="1"/>
  <c r="AH973" i="2"/>
  <c r="F973" i="1"/>
  <c r="AG973" i="2"/>
  <c r="E973" i="1"/>
  <c r="AF973" i="2"/>
  <c r="D973" i="1"/>
  <c r="AE973" i="2"/>
  <c r="AD973" i="2"/>
  <c r="AC973" i="2"/>
  <c r="Z973" i="2"/>
  <c r="Y973" i="2"/>
  <c r="R972" i="1"/>
  <c r="AS972" i="2"/>
  <c r="AR972" i="2"/>
  <c r="P972" i="1"/>
  <c r="AQ972" i="2"/>
  <c r="O972" i="1"/>
  <c r="AP972" i="2"/>
  <c r="N972" i="1"/>
  <c r="AO972" i="2"/>
  <c r="M972" i="1"/>
  <c r="AN972" i="2"/>
  <c r="L972" i="1"/>
  <c r="AM972" i="2"/>
  <c r="K972" i="1"/>
  <c r="AL972" i="2"/>
  <c r="AK972" i="2"/>
  <c r="AJ972" i="2"/>
  <c r="H972" i="1"/>
  <c r="AI972" i="2"/>
  <c r="G972" i="1"/>
  <c r="AH972" i="2"/>
  <c r="F972" i="1"/>
  <c r="AG972" i="2"/>
  <c r="E972" i="1"/>
  <c r="AF972" i="2"/>
  <c r="D972" i="1"/>
  <c r="AE972" i="2"/>
  <c r="AD972" i="2"/>
  <c r="AC972" i="2"/>
  <c r="Z972" i="2"/>
  <c r="Y972" i="2"/>
  <c r="R971" i="1"/>
  <c r="AS971" i="2"/>
  <c r="AR971" i="2"/>
  <c r="P971" i="1"/>
  <c r="AQ971" i="2"/>
  <c r="O971" i="1"/>
  <c r="AP971" i="2"/>
  <c r="N971" i="1"/>
  <c r="AO971" i="2"/>
  <c r="M971" i="1"/>
  <c r="AN971" i="2"/>
  <c r="L971" i="1"/>
  <c r="AM971" i="2"/>
  <c r="K971" i="1"/>
  <c r="AL971" i="2"/>
  <c r="AK971" i="2"/>
  <c r="AJ971" i="2"/>
  <c r="H971" i="1"/>
  <c r="AI971" i="2"/>
  <c r="G971" i="1"/>
  <c r="AH971" i="2"/>
  <c r="F971" i="1"/>
  <c r="AG971" i="2"/>
  <c r="E971" i="1"/>
  <c r="AF971" i="2"/>
  <c r="D971" i="1"/>
  <c r="AE971" i="2"/>
  <c r="AD971" i="2"/>
  <c r="AC971" i="2"/>
  <c r="Z971" i="2"/>
  <c r="Y971" i="2"/>
  <c r="R970" i="1"/>
  <c r="AS970" i="2"/>
  <c r="AR970" i="2"/>
  <c r="P970" i="1"/>
  <c r="AQ970" i="2"/>
  <c r="O970" i="1"/>
  <c r="AP970" i="2"/>
  <c r="N970" i="1"/>
  <c r="AO970" i="2"/>
  <c r="M970" i="1"/>
  <c r="AN970" i="2"/>
  <c r="L970" i="1"/>
  <c r="AM970" i="2"/>
  <c r="K970" i="1"/>
  <c r="AL970" i="2"/>
  <c r="AK970" i="2"/>
  <c r="AJ970" i="2"/>
  <c r="H970" i="1"/>
  <c r="AI970" i="2"/>
  <c r="G970" i="1"/>
  <c r="AH970" i="2"/>
  <c r="F970" i="1"/>
  <c r="AG970" i="2"/>
  <c r="E970" i="1"/>
  <c r="AF970" i="2"/>
  <c r="D970" i="1"/>
  <c r="AE970" i="2"/>
  <c r="AD970" i="2"/>
  <c r="AC970" i="2"/>
  <c r="Z970" i="2"/>
  <c r="Y970" i="2"/>
  <c r="R969" i="1"/>
  <c r="AS969" i="2"/>
  <c r="AR969" i="2"/>
  <c r="P969" i="1"/>
  <c r="AQ969" i="2"/>
  <c r="O969" i="1"/>
  <c r="AP969" i="2"/>
  <c r="N969" i="1"/>
  <c r="AO969" i="2"/>
  <c r="M969" i="1"/>
  <c r="AN969" i="2"/>
  <c r="L969" i="1"/>
  <c r="AM969" i="2"/>
  <c r="K969" i="1"/>
  <c r="AL969" i="2"/>
  <c r="AK969" i="2"/>
  <c r="AJ969" i="2"/>
  <c r="H969" i="1"/>
  <c r="AI969" i="2"/>
  <c r="G969" i="1"/>
  <c r="AH969" i="2"/>
  <c r="F969" i="1"/>
  <c r="AG969" i="2"/>
  <c r="E969" i="1"/>
  <c r="AF969" i="2"/>
  <c r="D969" i="1"/>
  <c r="AE969" i="2"/>
  <c r="AD969" i="2"/>
  <c r="AC969" i="2"/>
  <c r="Z969" i="2"/>
  <c r="Y969" i="2"/>
  <c r="R968" i="1"/>
  <c r="AS968" i="2"/>
  <c r="AR968" i="2"/>
  <c r="P968" i="1"/>
  <c r="AQ968" i="2"/>
  <c r="O968" i="1"/>
  <c r="AP968" i="2"/>
  <c r="N968" i="1"/>
  <c r="AO968" i="2"/>
  <c r="M968" i="1"/>
  <c r="AN968" i="2"/>
  <c r="L968" i="1"/>
  <c r="AM968" i="2"/>
  <c r="K968" i="1"/>
  <c r="AL968" i="2"/>
  <c r="AK968" i="2"/>
  <c r="AJ968" i="2"/>
  <c r="H968" i="1"/>
  <c r="AI968" i="2"/>
  <c r="G968" i="1"/>
  <c r="AH968" i="2"/>
  <c r="F968" i="1"/>
  <c r="AG968" i="2"/>
  <c r="E968" i="1"/>
  <c r="AF968" i="2"/>
  <c r="D968" i="1"/>
  <c r="AE968" i="2"/>
  <c r="AD968" i="2"/>
  <c r="AC968" i="2"/>
  <c r="Z968" i="2"/>
  <c r="Y968" i="2"/>
  <c r="R967" i="1"/>
  <c r="AS967" i="2"/>
  <c r="AR967" i="2"/>
  <c r="P967" i="1"/>
  <c r="AQ967" i="2"/>
  <c r="O967" i="1"/>
  <c r="AP967" i="2"/>
  <c r="N967" i="1"/>
  <c r="AO967" i="2"/>
  <c r="M967" i="1"/>
  <c r="AN967" i="2"/>
  <c r="L967" i="1"/>
  <c r="AM967" i="2"/>
  <c r="K967" i="1"/>
  <c r="AL967" i="2"/>
  <c r="AK967" i="2"/>
  <c r="AJ967" i="2"/>
  <c r="H967" i="1"/>
  <c r="AI967" i="2"/>
  <c r="G967" i="1"/>
  <c r="AH967" i="2"/>
  <c r="F967" i="1"/>
  <c r="AG967" i="2"/>
  <c r="E967" i="1"/>
  <c r="AF967" i="2"/>
  <c r="D967" i="1"/>
  <c r="AE967" i="2"/>
  <c r="AD967" i="2"/>
  <c r="AC967" i="2"/>
  <c r="Z967" i="2"/>
  <c r="Y967" i="2"/>
  <c r="R966" i="1"/>
  <c r="AS966" i="2"/>
  <c r="AR966" i="2"/>
  <c r="P966" i="1"/>
  <c r="AQ966" i="2"/>
  <c r="O966" i="1"/>
  <c r="AP966" i="2"/>
  <c r="N966" i="1"/>
  <c r="AO966" i="2"/>
  <c r="M966" i="1"/>
  <c r="AN966" i="2"/>
  <c r="L966" i="1"/>
  <c r="AM966" i="2"/>
  <c r="K966" i="1"/>
  <c r="AL966" i="2"/>
  <c r="AK966" i="2"/>
  <c r="AJ966" i="2"/>
  <c r="H966" i="1"/>
  <c r="AI966" i="2"/>
  <c r="G966" i="1"/>
  <c r="AH966" i="2"/>
  <c r="F966" i="1"/>
  <c r="AG966" i="2"/>
  <c r="E966" i="1"/>
  <c r="AF966" i="2"/>
  <c r="D966" i="1"/>
  <c r="AE966" i="2"/>
  <c r="AD966" i="2"/>
  <c r="AC966" i="2"/>
  <c r="Z966" i="2"/>
  <c r="Y966" i="2"/>
  <c r="R965" i="1"/>
  <c r="AS965" i="2"/>
  <c r="AR965" i="2"/>
  <c r="P965" i="1"/>
  <c r="AQ965" i="2"/>
  <c r="O965" i="1"/>
  <c r="AP965" i="2"/>
  <c r="N965" i="1"/>
  <c r="AO965" i="2"/>
  <c r="M965" i="1"/>
  <c r="AN965" i="2"/>
  <c r="L965" i="1"/>
  <c r="AM965" i="2"/>
  <c r="K965" i="1"/>
  <c r="AL965" i="2"/>
  <c r="AK965" i="2"/>
  <c r="AJ965" i="2"/>
  <c r="H965" i="1"/>
  <c r="AI965" i="2"/>
  <c r="G965" i="1"/>
  <c r="AH965" i="2"/>
  <c r="F965" i="1"/>
  <c r="AG965" i="2"/>
  <c r="E965" i="1"/>
  <c r="AF965" i="2"/>
  <c r="D965" i="1"/>
  <c r="AE965" i="2"/>
  <c r="AD965" i="2"/>
  <c r="AC965" i="2"/>
  <c r="Z965" i="2"/>
  <c r="Y965" i="2"/>
  <c r="R964" i="1"/>
  <c r="AS964" i="2"/>
  <c r="AR964" i="2"/>
  <c r="P964" i="1"/>
  <c r="AQ964" i="2"/>
  <c r="O964" i="1"/>
  <c r="AP964" i="2"/>
  <c r="N964" i="1"/>
  <c r="AO964" i="2"/>
  <c r="M964" i="1"/>
  <c r="AN964" i="2"/>
  <c r="L964" i="1"/>
  <c r="AM964" i="2"/>
  <c r="K964" i="1"/>
  <c r="AL964" i="2"/>
  <c r="AK964" i="2"/>
  <c r="AJ964" i="2"/>
  <c r="H964" i="1"/>
  <c r="AI964" i="2"/>
  <c r="G964" i="1"/>
  <c r="AH964" i="2"/>
  <c r="F964" i="1"/>
  <c r="AG964" i="2"/>
  <c r="E964" i="1"/>
  <c r="AF964" i="2"/>
  <c r="D964" i="1"/>
  <c r="AE964" i="2"/>
  <c r="AD964" i="2"/>
  <c r="AC964" i="2"/>
  <c r="Z964" i="2"/>
  <c r="Y964" i="2"/>
  <c r="R963" i="1"/>
  <c r="AS963" i="2"/>
  <c r="AR963" i="2"/>
  <c r="P963" i="1"/>
  <c r="AQ963" i="2"/>
  <c r="O963" i="1"/>
  <c r="AP963" i="2"/>
  <c r="N963" i="1"/>
  <c r="AO963" i="2"/>
  <c r="M963" i="1"/>
  <c r="AN963" i="2"/>
  <c r="L963" i="1"/>
  <c r="AM963" i="2"/>
  <c r="K963" i="1"/>
  <c r="AL963" i="2"/>
  <c r="AK963" i="2"/>
  <c r="AJ963" i="2"/>
  <c r="H963" i="1"/>
  <c r="AI963" i="2"/>
  <c r="G963" i="1"/>
  <c r="AH963" i="2"/>
  <c r="F963" i="1"/>
  <c r="AG963" i="2"/>
  <c r="E963" i="1"/>
  <c r="AF963" i="2"/>
  <c r="D963" i="1"/>
  <c r="AE963" i="2"/>
  <c r="AD963" i="2"/>
  <c r="AC963" i="2"/>
  <c r="Z963" i="2"/>
  <c r="Y963" i="2"/>
  <c r="R962" i="1"/>
  <c r="AS962" i="2"/>
  <c r="AR962" i="2"/>
  <c r="P962" i="1"/>
  <c r="AQ962" i="2"/>
  <c r="O962" i="1"/>
  <c r="AP962" i="2"/>
  <c r="N962" i="1"/>
  <c r="AO962" i="2"/>
  <c r="M962" i="1"/>
  <c r="AN962" i="2"/>
  <c r="L962" i="1"/>
  <c r="AM962" i="2"/>
  <c r="K962" i="1"/>
  <c r="AL962" i="2"/>
  <c r="AK962" i="2"/>
  <c r="AJ962" i="2"/>
  <c r="H962" i="1"/>
  <c r="AI962" i="2"/>
  <c r="G962" i="1"/>
  <c r="AH962" i="2"/>
  <c r="F962" i="1"/>
  <c r="AG962" i="2"/>
  <c r="E962" i="1"/>
  <c r="AF962" i="2"/>
  <c r="D962" i="1"/>
  <c r="AE962" i="2"/>
  <c r="AD962" i="2"/>
  <c r="AC962" i="2"/>
  <c r="Z962" i="2"/>
  <c r="Y962" i="2"/>
  <c r="R961" i="1"/>
  <c r="AS961" i="2"/>
  <c r="AR961" i="2"/>
  <c r="P961" i="1"/>
  <c r="AQ961" i="2"/>
  <c r="O961" i="1"/>
  <c r="AP961" i="2"/>
  <c r="N961" i="1"/>
  <c r="AO961" i="2"/>
  <c r="M961" i="1"/>
  <c r="AN961" i="2"/>
  <c r="L961" i="1"/>
  <c r="AM961" i="2"/>
  <c r="K961" i="1"/>
  <c r="AL961" i="2"/>
  <c r="AK961" i="2"/>
  <c r="AJ961" i="2"/>
  <c r="H961" i="1"/>
  <c r="AI961" i="2"/>
  <c r="G961" i="1"/>
  <c r="AH961" i="2"/>
  <c r="F961" i="1"/>
  <c r="AG961" i="2"/>
  <c r="E961" i="1"/>
  <c r="AF961" i="2"/>
  <c r="D961" i="1"/>
  <c r="AE961" i="2"/>
  <c r="AD961" i="2"/>
  <c r="AC961" i="2"/>
  <c r="Z961" i="2"/>
  <c r="Y961" i="2"/>
  <c r="R960" i="1"/>
  <c r="AS960" i="2"/>
  <c r="AR960" i="2"/>
  <c r="P960" i="1"/>
  <c r="AQ960" i="2"/>
  <c r="O960" i="1"/>
  <c r="AP960" i="2"/>
  <c r="N960" i="1"/>
  <c r="AO960" i="2"/>
  <c r="M960" i="1"/>
  <c r="AN960" i="2"/>
  <c r="L960" i="1"/>
  <c r="AM960" i="2"/>
  <c r="K960" i="1"/>
  <c r="AL960" i="2"/>
  <c r="AK960" i="2"/>
  <c r="AJ960" i="2"/>
  <c r="H960" i="1"/>
  <c r="AI960" i="2"/>
  <c r="G960" i="1"/>
  <c r="AH960" i="2"/>
  <c r="F960" i="1"/>
  <c r="AG960" i="2"/>
  <c r="E960" i="1"/>
  <c r="AF960" i="2"/>
  <c r="D960" i="1"/>
  <c r="AE960" i="2"/>
  <c r="AD960" i="2"/>
  <c r="AC960" i="2"/>
  <c r="Z960" i="2"/>
  <c r="Y960" i="2"/>
  <c r="R959" i="1"/>
  <c r="AS959" i="2"/>
  <c r="AR959" i="2"/>
  <c r="P959" i="1"/>
  <c r="AQ959" i="2"/>
  <c r="O959" i="1"/>
  <c r="AP959" i="2"/>
  <c r="N959" i="1"/>
  <c r="AO959" i="2"/>
  <c r="M959" i="1"/>
  <c r="AN959" i="2"/>
  <c r="L959" i="1"/>
  <c r="AM959" i="2"/>
  <c r="K959" i="1"/>
  <c r="AL959" i="2"/>
  <c r="AK959" i="2"/>
  <c r="AJ959" i="2"/>
  <c r="H959" i="1"/>
  <c r="AI959" i="2"/>
  <c r="G959" i="1"/>
  <c r="AH959" i="2"/>
  <c r="F959" i="1"/>
  <c r="AG959" i="2"/>
  <c r="E959" i="1"/>
  <c r="AF959" i="2"/>
  <c r="D959" i="1"/>
  <c r="AE959" i="2"/>
  <c r="AD959" i="2"/>
  <c r="AC959" i="2"/>
  <c r="Z959" i="2"/>
  <c r="Y959" i="2"/>
  <c r="R958" i="1"/>
  <c r="AS958" i="2"/>
  <c r="AR958" i="2"/>
  <c r="P958" i="1"/>
  <c r="AQ958" i="2"/>
  <c r="O958" i="1"/>
  <c r="AP958" i="2"/>
  <c r="N958" i="1"/>
  <c r="AO958" i="2"/>
  <c r="M958" i="1"/>
  <c r="AN958" i="2"/>
  <c r="L958" i="1"/>
  <c r="AM958" i="2"/>
  <c r="K958" i="1"/>
  <c r="AL958" i="2"/>
  <c r="AK958" i="2"/>
  <c r="AJ958" i="2"/>
  <c r="H958" i="1"/>
  <c r="AI958" i="2"/>
  <c r="G958" i="1"/>
  <c r="AH958" i="2"/>
  <c r="F958" i="1"/>
  <c r="AG958" i="2"/>
  <c r="E958" i="1"/>
  <c r="AF958" i="2"/>
  <c r="D958" i="1"/>
  <c r="AE958" i="2"/>
  <c r="AD958" i="2"/>
  <c r="AC958" i="2"/>
  <c r="Z958" i="2"/>
  <c r="Y958" i="2"/>
  <c r="R957" i="1"/>
  <c r="AS957" i="2"/>
  <c r="AR957" i="2"/>
  <c r="P957" i="1"/>
  <c r="AQ957" i="2"/>
  <c r="O957" i="1"/>
  <c r="AP957" i="2"/>
  <c r="N957" i="1"/>
  <c r="AO957" i="2"/>
  <c r="M957" i="1"/>
  <c r="AN957" i="2"/>
  <c r="L957" i="1"/>
  <c r="AM957" i="2"/>
  <c r="K957" i="1"/>
  <c r="AL957" i="2"/>
  <c r="AK957" i="2"/>
  <c r="AJ957" i="2"/>
  <c r="H957" i="1"/>
  <c r="AI957" i="2"/>
  <c r="G957" i="1"/>
  <c r="AH957" i="2"/>
  <c r="F957" i="1"/>
  <c r="AG957" i="2"/>
  <c r="E957" i="1"/>
  <c r="AF957" i="2"/>
  <c r="D957" i="1"/>
  <c r="AE957" i="2"/>
  <c r="AD957" i="2"/>
  <c r="AC957" i="2"/>
  <c r="Z957" i="2"/>
  <c r="Y957" i="2"/>
  <c r="R956" i="1"/>
  <c r="AS956" i="2"/>
  <c r="AR956" i="2"/>
  <c r="P956" i="1"/>
  <c r="AQ956" i="2"/>
  <c r="O956" i="1"/>
  <c r="AP956" i="2"/>
  <c r="N956" i="1"/>
  <c r="AO956" i="2"/>
  <c r="M956" i="1"/>
  <c r="AN956" i="2"/>
  <c r="L956" i="1"/>
  <c r="AM956" i="2"/>
  <c r="K956" i="1"/>
  <c r="AL956" i="2"/>
  <c r="AK956" i="2"/>
  <c r="AJ956" i="2"/>
  <c r="H956" i="1"/>
  <c r="AI956" i="2"/>
  <c r="G956" i="1"/>
  <c r="AH956" i="2"/>
  <c r="F956" i="1"/>
  <c r="AG956" i="2"/>
  <c r="E956" i="1"/>
  <c r="AF956" i="2"/>
  <c r="D956" i="1"/>
  <c r="AE956" i="2"/>
  <c r="AD956" i="2"/>
  <c r="AC956" i="2"/>
  <c r="Z956" i="2"/>
  <c r="Y956" i="2"/>
  <c r="R955" i="1"/>
  <c r="AS955" i="2"/>
  <c r="AR955" i="2"/>
  <c r="P955" i="1"/>
  <c r="AQ955" i="2"/>
  <c r="O955" i="1"/>
  <c r="AP955" i="2"/>
  <c r="N955" i="1"/>
  <c r="AO955" i="2"/>
  <c r="M955" i="1"/>
  <c r="AN955" i="2"/>
  <c r="L955" i="1"/>
  <c r="AM955" i="2"/>
  <c r="K955" i="1"/>
  <c r="AL955" i="2"/>
  <c r="AK955" i="2"/>
  <c r="AJ955" i="2"/>
  <c r="H955" i="1"/>
  <c r="AI955" i="2"/>
  <c r="G955" i="1"/>
  <c r="AH955" i="2"/>
  <c r="F955" i="1"/>
  <c r="AG955" i="2"/>
  <c r="E955" i="1"/>
  <c r="AF955" i="2"/>
  <c r="D955" i="1"/>
  <c r="AE955" i="2"/>
  <c r="AD955" i="2"/>
  <c r="AC955" i="2"/>
  <c r="Z955" i="2"/>
  <c r="Y955" i="2"/>
  <c r="R954" i="1"/>
  <c r="AS954" i="2"/>
  <c r="AR954" i="2"/>
  <c r="P954" i="1"/>
  <c r="AQ954" i="2"/>
  <c r="O954" i="1"/>
  <c r="AP954" i="2"/>
  <c r="N954" i="1"/>
  <c r="AO954" i="2"/>
  <c r="M954" i="1"/>
  <c r="AN954" i="2"/>
  <c r="L954" i="1"/>
  <c r="AM954" i="2"/>
  <c r="K954" i="1"/>
  <c r="AL954" i="2"/>
  <c r="AK954" i="2"/>
  <c r="AJ954" i="2"/>
  <c r="H954" i="1"/>
  <c r="AI954" i="2"/>
  <c r="G954" i="1"/>
  <c r="AH954" i="2"/>
  <c r="F954" i="1"/>
  <c r="AG954" i="2"/>
  <c r="E954" i="1"/>
  <c r="AF954" i="2"/>
  <c r="D954" i="1"/>
  <c r="AE954" i="2"/>
  <c r="AD954" i="2"/>
  <c r="AC954" i="2"/>
  <c r="Z954" i="2"/>
  <c r="Y954" i="2"/>
  <c r="R953" i="1"/>
  <c r="AS953" i="2"/>
  <c r="AR953" i="2"/>
  <c r="P953" i="1"/>
  <c r="AQ953" i="2"/>
  <c r="O953" i="1"/>
  <c r="AP953" i="2"/>
  <c r="N953" i="1"/>
  <c r="AO953" i="2"/>
  <c r="M953" i="1"/>
  <c r="AN953" i="2"/>
  <c r="L953" i="1"/>
  <c r="AM953" i="2"/>
  <c r="K953" i="1"/>
  <c r="AL953" i="2"/>
  <c r="AK953" i="2"/>
  <c r="AJ953" i="2"/>
  <c r="H953" i="1"/>
  <c r="AI953" i="2"/>
  <c r="G953" i="1"/>
  <c r="AH953" i="2"/>
  <c r="F953" i="1"/>
  <c r="AG953" i="2"/>
  <c r="E953" i="1"/>
  <c r="AF953" i="2"/>
  <c r="D953" i="1"/>
  <c r="AE953" i="2"/>
  <c r="AD953" i="2"/>
  <c r="AC953" i="2"/>
  <c r="Z953" i="2"/>
  <c r="Y953" i="2"/>
  <c r="R952" i="1"/>
  <c r="AS952" i="2"/>
  <c r="AR952" i="2"/>
  <c r="P952" i="1"/>
  <c r="AQ952" i="2"/>
  <c r="O952" i="1"/>
  <c r="AP952" i="2"/>
  <c r="N952" i="1"/>
  <c r="AO952" i="2"/>
  <c r="M952" i="1"/>
  <c r="AN952" i="2"/>
  <c r="L952" i="1"/>
  <c r="AM952" i="2"/>
  <c r="K952" i="1"/>
  <c r="AL952" i="2"/>
  <c r="AK952" i="2"/>
  <c r="AJ952" i="2"/>
  <c r="H952" i="1"/>
  <c r="AI952" i="2"/>
  <c r="G952" i="1"/>
  <c r="AH952" i="2"/>
  <c r="F952" i="1"/>
  <c r="AG952" i="2"/>
  <c r="E952" i="1"/>
  <c r="AF952" i="2"/>
  <c r="D952" i="1"/>
  <c r="AE952" i="2"/>
  <c r="AD952" i="2"/>
  <c r="AC952" i="2"/>
  <c r="Z952" i="2"/>
  <c r="Y952" i="2"/>
  <c r="R951" i="1"/>
  <c r="AS951" i="2"/>
  <c r="AR951" i="2"/>
  <c r="P951" i="1"/>
  <c r="AQ951" i="2"/>
  <c r="O951" i="1"/>
  <c r="AP951" i="2"/>
  <c r="N951" i="1"/>
  <c r="AO951" i="2"/>
  <c r="M951" i="1"/>
  <c r="AN951" i="2"/>
  <c r="L951" i="1"/>
  <c r="AM951" i="2"/>
  <c r="K951" i="1"/>
  <c r="AL951" i="2"/>
  <c r="AK951" i="2"/>
  <c r="AJ951" i="2"/>
  <c r="H951" i="1"/>
  <c r="AI951" i="2"/>
  <c r="G951" i="1"/>
  <c r="AH951" i="2"/>
  <c r="F951" i="1"/>
  <c r="AG951" i="2"/>
  <c r="E951" i="1"/>
  <c r="AF951" i="2"/>
  <c r="D951" i="1"/>
  <c r="AE951" i="2"/>
  <c r="AD951" i="2"/>
  <c r="AC951" i="2"/>
  <c r="Z951" i="2"/>
  <c r="Y951" i="2"/>
  <c r="R950" i="1"/>
  <c r="AS950" i="2"/>
  <c r="AR950" i="2"/>
  <c r="P950" i="1"/>
  <c r="AQ950" i="2"/>
  <c r="O950" i="1"/>
  <c r="AP950" i="2"/>
  <c r="N950" i="1"/>
  <c r="AO950" i="2"/>
  <c r="M950" i="1"/>
  <c r="AN950" i="2"/>
  <c r="L950" i="1"/>
  <c r="AM950" i="2"/>
  <c r="K950" i="1"/>
  <c r="AL950" i="2"/>
  <c r="AK950" i="2"/>
  <c r="AJ950" i="2"/>
  <c r="H950" i="1"/>
  <c r="AI950" i="2"/>
  <c r="G950" i="1"/>
  <c r="AH950" i="2"/>
  <c r="F950" i="1"/>
  <c r="AG950" i="2"/>
  <c r="E950" i="1"/>
  <c r="AF950" i="2"/>
  <c r="D950" i="1"/>
  <c r="AE950" i="2"/>
  <c r="AD950" i="2"/>
  <c r="AC950" i="2"/>
  <c r="Z950" i="2"/>
  <c r="Y950" i="2"/>
  <c r="R949" i="1"/>
  <c r="AS949" i="2"/>
  <c r="AR949" i="2"/>
  <c r="P949" i="1"/>
  <c r="AQ949" i="2"/>
  <c r="O949" i="1"/>
  <c r="AP949" i="2"/>
  <c r="N949" i="1"/>
  <c r="AO949" i="2"/>
  <c r="M949" i="1"/>
  <c r="AN949" i="2"/>
  <c r="L949" i="1"/>
  <c r="AM949" i="2"/>
  <c r="K949" i="1"/>
  <c r="AL949" i="2"/>
  <c r="AK949" i="2"/>
  <c r="AJ949" i="2"/>
  <c r="H949" i="1"/>
  <c r="AI949" i="2"/>
  <c r="G949" i="1"/>
  <c r="AH949" i="2"/>
  <c r="F949" i="1"/>
  <c r="AG949" i="2"/>
  <c r="E949" i="1"/>
  <c r="AF949" i="2"/>
  <c r="D949" i="1"/>
  <c r="AE949" i="2"/>
  <c r="AD949" i="2"/>
  <c r="AC949" i="2"/>
  <c r="Z949" i="2"/>
  <c r="Y949" i="2"/>
  <c r="R948" i="1"/>
  <c r="AS948" i="2"/>
  <c r="AR948" i="2"/>
  <c r="P948" i="1"/>
  <c r="AQ948" i="2"/>
  <c r="O948" i="1"/>
  <c r="AP948" i="2"/>
  <c r="N948" i="1"/>
  <c r="AO948" i="2"/>
  <c r="M948" i="1"/>
  <c r="AN948" i="2"/>
  <c r="L948" i="1"/>
  <c r="AM948" i="2"/>
  <c r="K948" i="1"/>
  <c r="AL948" i="2"/>
  <c r="AK948" i="2"/>
  <c r="AJ948" i="2"/>
  <c r="H948" i="1"/>
  <c r="AI948" i="2"/>
  <c r="G948" i="1"/>
  <c r="AH948" i="2"/>
  <c r="F948" i="1"/>
  <c r="AG948" i="2"/>
  <c r="E948" i="1"/>
  <c r="AF948" i="2"/>
  <c r="D948" i="1"/>
  <c r="AE948" i="2"/>
  <c r="AD948" i="2"/>
  <c r="AC948" i="2"/>
  <c r="Z948" i="2"/>
  <c r="Y948" i="2"/>
  <c r="R947" i="1"/>
  <c r="AS947" i="2"/>
  <c r="AR947" i="2"/>
  <c r="P947" i="1"/>
  <c r="AQ947" i="2"/>
  <c r="O947" i="1"/>
  <c r="AP947" i="2"/>
  <c r="N947" i="1"/>
  <c r="AO947" i="2"/>
  <c r="M947" i="1"/>
  <c r="AN947" i="2"/>
  <c r="L947" i="1"/>
  <c r="AM947" i="2"/>
  <c r="K947" i="1"/>
  <c r="AL947" i="2"/>
  <c r="AK947" i="2"/>
  <c r="AJ947" i="2"/>
  <c r="H947" i="1"/>
  <c r="AI947" i="2"/>
  <c r="G947" i="1"/>
  <c r="AH947" i="2"/>
  <c r="F947" i="1"/>
  <c r="AG947" i="2"/>
  <c r="E947" i="1"/>
  <c r="AF947" i="2"/>
  <c r="D947" i="1"/>
  <c r="AE947" i="2"/>
  <c r="AD947" i="2"/>
  <c r="AC947" i="2"/>
  <c r="Z947" i="2"/>
  <c r="Y947" i="2"/>
  <c r="R946" i="1"/>
  <c r="AS946" i="2"/>
  <c r="AR946" i="2"/>
  <c r="P946" i="1"/>
  <c r="AQ946" i="2"/>
  <c r="O946" i="1"/>
  <c r="AP946" i="2"/>
  <c r="N946" i="1"/>
  <c r="AO946" i="2"/>
  <c r="M946" i="1"/>
  <c r="AN946" i="2"/>
  <c r="L946" i="1"/>
  <c r="AM946" i="2"/>
  <c r="K946" i="1"/>
  <c r="AL946" i="2"/>
  <c r="AK946" i="2"/>
  <c r="AJ946" i="2"/>
  <c r="H946" i="1"/>
  <c r="AI946" i="2"/>
  <c r="G946" i="1"/>
  <c r="AH946" i="2"/>
  <c r="F946" i="1"/>
  <c r="AG946" i="2"/>
  <c r="E946" i="1"/>
  <c r="AF946" i="2"/>
  <c r="D946" i="1"/>
  <c r="AE946" i="2"/>
  <c r="AD946" i="2"/>
  <c r="AC946" i="2"/>
  <c r="Z946" i="2"/>
  <c r="Y946" i="2"/>
  <c r="R945" i="1"/>
  <c r="AS945" i="2"/>
  <c r="AR945" i="2"/>
  <c r="P945" i="1"/>
  <c r="AQ945" i="2"/>
  <c r="O945" i="1"/>
  <c r="AP945" i="2"/>
  <c r="N945" i="1"/>
  <c r="AO945" i="2"/>
  <c r="M945" i="1"/>
  <c r="AN945" i="2"/>
  <c r="L945" i="1"/>
  <c r="AM945" i="2"/>
  <c r="K945" i="1"/>
  <c r="AL945" i="2"/>
  <c r="AK945" i="2"/>
  <c r="AJ945" i="2"/>
  <c r="H945" i="1"/>
  <c r="AI945" i="2"/>
  <c r="G945" i="1"/>
  <c r="AH945" i="2"/>
  <c r="F945" i="1"/>
  <c r="AG945" i="2"/>
  <c r="E945" i="1"/>
  <c r="AF945" i="2"/>
  <c r="D945" i="1"/>
  <c r="AE945" i="2"/>
  <c r="AD945" i="2"/>
  <c r="AC945" i="2"/>
  <c r="Z945" i="2"/>
  <c r="Y945" i="2"/>
  <c r="R944" i="1"/>
  <c r="AS944" i="2"/>
  <c r="AR944" i="2"/>
  <c r="P944" i="1"/>
  <c r="AQ944" i="2"/>
  <c r="O944" i="1"/>
  <c r="AP944" i="2"/>
  <c r="N944" i="1"/>
  <c r="AO944" i="2"/>
  <c r="M944" i="1"/>
  <c r="AN944" i="2"/>
  <c r="L944" i="1"/>
  <c r="AM944" i="2"/>
  <c r="K944" i="1"/>
  <c r="AL944" i="2"/>
  <c r="AK944" i="2"/>
  <c r="AJ944" i="2"/>
  <c r="H944" i="1"/>
  <c r="AI944" i="2"/>
  <c r="G944" i="1"/>
  <c r="AH944" i="2"/>
  <c r="F944" i="1"/>
  <c r="AG944" i="2"/>
  <c r="E944" i="1"/>
  <c r="AF944" i="2"/>
  <c r="D944" i="1"/>
  <c r="AE944" i="2"/>
  <c r="AD944" i="2"/>
  <c r="AC944" i="2"/>
  <c r="Z944" i="2"/>
  <c r="Y944" i="2"/>
  <c r="R943" i="1"/>
  <c r="AS943" i="2"/>
  <c r="AR943" i="2"/>
  <c r="P943" i="1"/>
  <c r="AQ943" i="2"/>
  <c r="O943" i="1"/>
  <c r="AP943" i="2"/>
  <c r="N943" i="1"/>
  <c r="AO943" i="2"/>
  <c r="M943" i="1"/>
  <c r="AN943" i="2"/>
  <c r="L943" i="1"/>
  <c r="AM943" i="2"/>
  <c r="K943" i="1"/>
  <c r="AL943" i="2"/>
  <c r="AK943" i="2"/>
  <c r="AJ943" i="2"/>
  <c r="H943" i="1"/>
  <c r="AI943" i="2"/>
  <c r="G943" i="1"/>
  <c r="AH943" i="2"/>
  <c r="F943" i="1"/>
  <c r="AG943" i="2"/>
  <c r="E943" i="1"/>
  <c r="AF943" i="2"/>
  <c r="D943" i="1"/>
  <c r="AE943" i="2"/>
  <c r="AD943" i="2"/>
  <c r="AC943" i="2"/>
  <c r="Z943" i="2"/>
  <c r="Y943" i="2"/>
  <c r="R942" i="1"/>
  <c r="AS942" i="2"/>
  <c r="AR942" i="2"/>
  <c r="P942" i="1"/>
  <c r="AQ942" i="2"/>
  <c r="O942" i="1"/>
  <c r="AP942" i="2"/>
  <c r="N942" i="1"/>
  <c r="AO942" i="2"/>
  <c r="M942" i="1"/>
  <c r="AN942" i="2"/>
  <c r="L942" i="1"/>
  <c r="AM942" i="2"/>
  <c r="K942" i="1"/>
  <c r="AL942" i="2"/>
  <c r="AK942" i="2"/>
  <c r="AJ942" i="2"/>
  <c r="H942" i="1"/>
  <c r="AI942" i="2"/>
  <c r="G942" i="1"/>
  <c r="AH942" i="2"/>
  <c r="F942" i="1"/>
  <c r="AG942" i="2"/>
  <c r="E942" i="1"/>
  <c r="AF942" i="2"/>
  <c r="D942" i="1"/>
  <c r="AE942" i="2"/>
  <c r="AD942" i="2"/>
  <c r="AC942" i="2"/>
  <c r="Z942" i="2"/>
  <c r="Y942" i="2"/>
  <c r="R941" i="1"/>
  <c r="AS941" i="2"/>
  <c r="AR941" i="2"/>
  <c r="P941" i="1"/>
  <c r="AQ941" i="2"/>
  <c r="O941" i="1"/>
  <c r="AP941" i="2"/>
  <c r="N941" i="1"/>
  <c r="AO941" i="2"/>
  <c r="M941" i="1"/>
  <c r="AN941" i="2"/>
  <c r="L941" i="1"/>
  <c r="AM941" i="2"/>
  <c r="K941" i="1"/>
  <c r="AL941" i="2"/>
  <c r="AK941" i="2"/>
  <c r="AJ941" i="2"/>
  <c r="H941" i="1"/>
  <c r="AI941" i="2"/>
  <c r="G941" i="1"/>
  <c r="AH941" i="2"/>
  <c r="F941" i="1"/>
  <c r="AG941" i="2"/>
  <c r="E941" i="1"/>
  <c r="AF941" i="2"/>
  <c r="D941" i="1"/>
  <c r="AE941" i="2"/>
  <c r="AD941" i="2"/>
  <c r="AC941" i="2"/>
  <c r="Z941" i="2"/>
  <c r="Y941" i="2"/>
  <c r="R940" i="1"/>
  <c r="AS940" i="2"/>
  <c r="AR940" i="2"/>
  <c r="P940" i="1"/>
  <c r="AQ940" i="2"/>
  <c r="O940" i="1"/>
  <c r="AP940" i="2"/>
  <c r="N940" i="1"/>
  <c r="AO940" i="2"/>
  <c r="M940" i="1"/>
  <c r="AN940" i="2"/>
  <c r="L940" i="1"/>
  <c r="AM940" i="2"/>
  <c r="K940" i="1"/>
  <c r="AL940" i="2"/>
  <c r="AK940" i="2"/>
  <c r="AJ940" i="2"/>
  <c r="H940" i="1"/>
  <c r="AI940" i="2"/>
  <c r="G940" i="1"/>
  <c r="AH940" i="2"/>
  <c r="F940" i="1"/>
  <c r="AG940" i="2"/>
  <c r="E940" i="1"/>
  <c r="AF940" i="2"/>
  <c r="D940" i="1"/>
  <c r="AE940" i="2"/>
  <c r="AD940" i="2"/>
  <c r="AC940" i="2"/>
  <c r="Z940" i="2"/>
  <c r="Y940" i="2"/>
  <c r="R939" i="1"/>
  <c r="AS939" i="2"/>
  <c r="AR939" i="2"/>
  <c r="P939" i="1"/>
  <c r="AQ939" i="2"/>
  <c r="O939" i="1"/>
  <c r="AP939" i="2"/>
  <c r="N939" i="1"/>
  <c r="AO939" i="2"/>
  <c r="M939" i="1"/>
  <c r="AN939" i="2"/>
  <c r="L939" i="1"/>
  <c r="AM939" i="2"/>
  <c r="K939" i="1"/>
  <c r="AL939" i="2"/>
  <c r="AK939" i="2"/>
  <c r="AJ939" i="2"/>
  <c r="H939" i="1"/>
  <c r="AI939" i="2"/>
  <c r="G939" i="1"/>
  <c r="AH939" i="2"/>
  <c r="F939" i="1"/>
  <c r="AG939" i="2"/>
  <c r="E939" i="1"/>
  <c r="AF939" i="2"/>
  <c r="D939" i="1"/>
  <c r="AE939" i="2"/>
  <c r="AD939" i="2"/>
  <c r="AC939" i="2"/>
  <c r="Z939" i="2"/>
  <c r="Y939" i="2"/>
  <c r="R938" i="1"/>
  <c r="AS938" i="2"/>
  <c r="AR938" i="2"/>
  <c r="P938" i="1"/>
  <c r="AQ938" i="2"/>
  <c r="O938" i="1"/>
  <c r="AP938" i="2"/>
  <c r="N938" i="1"/>
  <c r="AO938" i="2"/>
  <c r="M938" i="1"/>
  <c r="AN938" i="2"/>
  <c r="L938" i="1"/>
  <c r="AM938" i="2"/>
  <c r="K938" i="1"/>
  <c r="AL938" i="2"/>
  <c r="AK938" i="2"/>
  <c r="AJ938" i="2"/>
  <c r="H938" i="1"/>
  <c r="AI938" i="2"/>
  <c r="G938" i="1"/>
  <c r="AH938" i="2"/>
  <c r="F938" i="1"/>
  <c r="AG938" i="2"/>
  <c r="E938" i="1"/>
  <c r="AF938" i="2"/>
  <c r="D938" i="1"/>
  <c r="AE938" i="2"/>
  <c r="AD938" i="2"/>
  <c r="AC938" i="2"/>
  <c r="Z938" i="2"/>
  <c r="Y938" i="2"/>
  <c r="R937" i="1"/>
  <c r="AS937" i="2"/>
  <c r="AR937" i="2"/>
  <c r="P937" i="1"/>
  <c r="AQ937" i="2"/>
  <c r="O937" i="1"/>
  <c r="AP937" i="2"/>
  <c r="N937" i="1"/>
  <c r="AO937" i="2"/>
  <c r="M937" i="1"/>
  <c r="AN937" i="2"/>
  <c r="L937" i="1"/>
  <c r="AM937" i="2"/>
  <c r="K937" i="1"/>
  <c r="AL937" i="2"/>
  <c r="AK937" i="2"/>
  <c r="AJ937" i="2"/>
  <c r="H937" i="1"/>
  <c r="AI937" i="2"/>
  <c r="G937" i="1"/>
  <c r="AH937" i="2"/>
  <c r="F937" i="1"/>
  <c r="AG937" i="2"/>
  <c r="E937" i="1"/>
  <c r="AF937" i="2"/>
  <c r="D937" i="1"/>
  <c r="AE937" i="2"/>
  <c r="AD937" i="2"/>
  <c r="AC937" i="2"/>
  <c r="Z937" i="2"/>
  <c r="Y937" i="2"/>
  <c r="R936" i="1"/>
  <c r="AS936" i="2"/>
  <c r="AR936" i="2"/>
  <c r="P936" i="1"/>
  <c r="AQ936" i="2"/>
  <c r="O936" i="1"/>
  <c r="AP936" i="2"/>
  <c r="N936" i="1"/>
  <c r="AO936" i="2"/>
  <c r="M936" i="1"/>
  <c r="AN936" i="2"/>
  <c r="L936" i="1"/>
  <c r="AM936" i="2"/>
  <c r="K936" i="1"/>
  <c r="AL936" i="2"/>
  <c r="AK936" i="2"/>
  <c r="AJ936" i="2"/>
  <c r="H936" i="1"/>
  <c r="AI936" i="2"/>
  <c r="G936" i="1"/>
  <c r="AH936" i="2"/>
  <c r="F936" i="1"/>
  <c r="AG936" i="2"/>
  <c r="E936" i="1"/>
  <c r="AF936" i="2"/>
  <c r="D936" i="1"/>
  <c r="AE936" i="2"/>
  <c r="AD936" i="2"/>
  <c r="AC936" i="2"/>
  <c r="Z936" i="2"/>
  <c r="Y936" i="2"/>
  <c r="R935" i="1"/>
  <c r="AS935" i="2"/>
  <c r="AR935" i="2"/>
  <c r="P935" i="1"/>
  <c r="AQ935" i="2"/>
  <c r="O935" i="1"/>
  <c r="AP935" i="2"/>
  <c r="N935" i="1"/>
  <c r="AO935" i="2"/>
  <c r="M935" i="1"/>
  <c r="AN935" i="2"/>
  <c r="L935" i="1"/>
  <c r="AM935" i="2"/>
  <c r="K935" i="1"/>
  <c r="AL935" i="2"/>
  <c r="AK935" i="2"/>
  <c r="AJ935" i="2"/>
  <c r="H935" i="1"/>
  <c r="AI935" i="2"/>
  <c r="G935" i="1"/>
  <c r="AH935" i="2"/>
  <c r="F935" i="1"/>
  <c r="AG935" i="2"/>
  <c r="E935" i="1"/>
  <c r="AF935" i="2"/>
  <c r="D935" i="1"/>
  <c r="AE935" i="2"/>
  <c r="AD935" i="2"/>
  <c r="AC935" i="2"/>
  <c r="Z935" i="2"/>
  <c r="Y935" i="2"/>
  <c r="R934" i="1"/>
  <c r="AS934" i="2"/>
  <c r="AR934" i="2"/>
  <c r="P934" i="1"/>
  <c r="AQ934" i="2"/>
  <c r="O934" i="1"/>
  <c r="AP934" i="2"/>
  <c r="N934" i="1"/>
  <c r="AO934" i="2"/>
  <c r="M934" i="1"/>
  <c r="AN934" i="2"/>
  <c r="L934" i="1"/>
  <c r="AM934" i="2"/>
  <c r="K934" i="1"/>
  <c r="AL934" i="2"/>
  <c r="AK934" i="2"/>
  <c r="AJ934" i="2"/>
  <c r="H934" i="1"/>
  <c r="AI934" i="2"/>
  <c r="G934" i="1"/>
  <c r="AH934" i="2"/>
  <c r="F934" i="1"/>
  <c r="AG934" i="2"/>
  <c r="E934" i="1"/>
  <c r="AF934" i="2"/>
  <c r="D934" i="1"/>
  <c r="AE934" i="2"/>
  <c r="AD934" i="2"/>
  <c r="AC934" i="2"/>
  <c r="Z934" i="2"/>
  <c r="Y934" i="2"/>
  <c r="R933" i="1"/>
  <c r="AS933" i="2"/>
  <c r="AR933" i="2"/>
  <c r="P933" i="1"/>
  <c r="AQ933" i="2"/>
  <c r="O933" i="1"/>
  <c r="AP933" i="2"/>
  <c r="N933" i="1"/>
  <c r="AO933" i="2"/>
  <c r="M933" i="1"/>
  <c r="AN933" i="2"/>
  <c r="L933" i="1"/>
  <c r="AM933" i="2"/>
  <c r="K933" i="1"/>
  <c r="AL933" i="2"/>
  <c r="AK933" i="2"/>
  <c r="AJ933" i="2"/>
  <c r="H933" i="1"/>
  <c r="AI933" i="2"/>
  <c r="G933" i="1"/>
  <c r="AH933" i="2"/>
  <c r="F933" i="1"/>
  <c r="AG933" i="2"/>
  <c r="E933" i="1"/>
  <c r="AF933" i="2"/>
  <c r="D933" i="1"/>
  <c r="AE933" i="2"/>
  <c r="AD933" i="2"/>
  <c r="AC933" i="2"/>
  <c r="Z933" i="2"/>
  <c r="Y933" i="2"/>
  <c r="R932" i="1"/>
  <c r="AS932" i="2"/>
  <c r="AR932" i="2"/>
  <c r="P932" i="1"/>
  <c r="AQ932" i="2"/>
  <c r="O932" i="1"/>
  <c r="AP932" i="2"/>
  <c r="N932" i="1"/>
  <c r="AO932" i="2"/>
  <c r="M932" i="1"/>
  <c r="AN932" i="2"/>
  <c r="L932" i="1"/>
  <c r="AM932" i="2"/>
  <c r="K932" i="1"/>
  <c r="AL932" i="2"/>
  <c r="AK932" i="2"/>
  <c r="AJ932" i="2"/>
  <c r="H932" i="1"/>
  <c r="AI932" i="2"/>
  <c r="G932" i="1"/>
  <c r="AH932" i="2"/>
  <c r="F932" i="1"/>
  <c r="AG932" i="2"/>
  <c r="E932" i="1"/>
  <c r="AF932" i="2"/>
  <c r="D932" i="1"/>
  <c r="AE932" i="2"/>
  <c r="AD932" i="2"/>
  <c r="AC932" i="2"/>
  <c r="Z932" i="2"/>
  <c r="Y932" i="2"/>
  <c r="R931" i="1"/>
  <c r="AS931" i="2"/>
  <c r="AR931" i="2"/>
  <c r="P931" i="1"/>
  <c r="AQ931" i="2"/>
  <c r="O931" i="1"/>
  <c r="AP931" i="2"/>
  <c r="N931" i="1"/>
  <c r="AO931" i="2"/>
  <c r="M931" i="1"/>
  <c r="AN931" i="2"/>
  <c r="L931" i="1"/>
  <c r="AM931" i="2"/>
  <c r="K931" i="1"/>
  <c r="AL931" i="2"/>
  <c r="AK931" i="2"/>
  <c r="AJ931" i="2"/>
  <c r="H931" i="1"/>
  <c r="AI931" i="2"/>
  <c r="G931" i="1"/>
  <c r="AH931" i="2"/>
  <c r="F931" i="1"/>
  <c r="AG931" i="2"/>
  <c r="E931" i="1"/>
  <c r="AF931" i="2"/>
  <c r="D931" i="1"/>
  <c r="AE931" i="2"/>
  <c r="AD931" i="2"/>
  <c r="AC931" i="2"/>
  <c r="Z931" i="2"/>
  <c r="Y931" i="2"/>
  <c r="R930" i="1"/>
  <c r="AS930" i="2"/>
  <c r="AR930" i="2"/>
  <c r="P930" i="1"/>
  <c r="AQ930" i="2"/>
  <c r="O930" i="1"/>
  <c r="AP930" i="2"/>
  <c r="N930" i="1"/>
  <c r="AO930" i="2"/>
  <c r="M930" i="1"/>
  <c r="AN930" i="2"/>
  <c r="L930" i="1"/>
  <c r="AM930" i="2"/>
  <c r="K930" i="1"/>
  <c r="AL930" i="2"/>
  <c r="AK930" i="2"/>
  <c r="AJ930" i="2"/>
  <c r="H930" i="1"/>
  <c r="AI930" i="2"/>
  <c r="G930" i="1"/>
  <c r="AH930" i="2"/>
  <c r="F930" i="1"/>
  <c r="AG930" i="2"/>
  <c r="E930" i="1"/>
  <c r="AF930" i="2"/>
  <c r="D930" i="1"/>
  <c r="AE930" i="2"/>
  <c r="AD930" i="2"/>
  <c r="AC930" i="2"/>
  <c r="Z930" i="2"/>
  <c r="Y930" i="2"/>
  <c r="R929" i="1"/>
  <c r="AS929" i="2"/>
  <c r="AR929" i="2"/>
  <c r="P929" i="1"/>
  <c r="AQ929" i="2"/>
  <c r="O929" i="1"/>
  <c r="AP929" i="2"/>
  <c r="N929" i="1"/>
  <c r="AO929" i="2"/>
  <c r="M929" i="1"/>
  <c r="AN929" i="2"/>
  <c r="L929" i="1"/>
  <c r="AM929" i="2"/>
  <c r="K929" i="1"/>
  <c r="AL929" i="2"/>
  <c r="AK929" i="2"/>
  <c r="AJ929" i="2"/>
  <c r="H929" i="1"/>
  <c r="AI929" i="2"/>
  <c r="G929" i="1"/>
  <c r="AH929" i="2"/>
  <c r="F929" i="1"/>
  <c r="AG929" i="2"/>
  <c r="E929" i="1"/>
  <c r="AF929" i="2"/>
  <c r="D929" i="1"/>
  <c r="AE929" i="2"/>
  <c r="AD929" i="2"/>
  <c r="AC929" i="2"/>
  <c r="Z929" i="2"/>
  <c r="Y929" i="2"/>
  <c r="R928" i="1"/>
  <c r="AS928" i="2"/>
  <c r="AR928" i="2"/>
  <c r="P928" i="1"/>
  <c r="AQ928" i="2"/>
  <c r="O928" i="1"/>
  <c r="AP928" i="2"/>
  <c r="N928" i="1"/>
  <c r="AO928" i="2"/>
  <c r="M928" i="1"/>
  <c r="AN928" i="2"/>
  <c r="L928" i="1"/>
  <c r="AM928" i="2"/>
  <c r="K928" i="1"/>
  <c r="AL928" i="2"/>
  <c r="AK928" i="2"/>
  <c r="AJ928" i="2"/>
  <c r="H928" i="1"/>
  <c r="AI928" i="2"/>
  <c r="G928" i="1"/>
  <c r="AH928" i="2"/>
  <c r="F928" i="1"/>
  <c r="AG928" i="2"/>
  <c r="E928" i="1"/>
  <c r="AF928" i="2"/>
  <c r="D928" i="1"/>
  <c r="AE928" i="2"/>
  <c r="AD928" i="2"/>
  <c r="AC928" i="2"/>
  <c r="Z928" i="2"/>
  <c r="Y928" i="2"/>
  <c r="R927" i="1"/>
  <c r="AS927" i="2"/>
  <c r="AR927" i="2"/>
  <c r="P927" i="1"/>
  <c r="AQ927" i="2"/>
  <c r="O927" i="1"/>
  <c r="AP927" i="2"/>
  <c r="N927" i="1"/>
  <c r="AO927" i="2"/>
  <c r="M927" i="1"/>
  <c r="AN927" i="2"/>
  <c r="L927" i="1"/>
  <c r="AM927" i="2"/>
  <c r="K927" i="1"/>
  <c r="AL927" i="2"/>
  <c r="AK927" i="2"/>
  <c r="AJ927" i="2"/>
  <c r="H927" i="1"/>
  <c r="AI927" i="2"/>
  <c r="G927" i="1"/>
  <c r="AH927" i="2"/>
  <c r="F927" i="1"/>
  <c r="AG927" i="2"/>
  <c r="E927" i="1"/>
  <c r="AF927" i="2"/>
  <c r="D927" i="1"/>
  <c r="AE927" i="2"/>
  <c r="AD927" i="2"/>
  <c r="AC927" i="2"/>
  <c r="Z927" i="2"/>
  <c r="Y927" i="2"/>
  <c r="R926" i="1"/>
  <c r="AS926" i="2"/>
  <c r="AR926" i="2"/>
  <c r="P926" i="1"/>
  <c r="AQ926" i="2"/>
  <c r="O926" i="1"/>
  <c r="AP926" i="2"/>
  <c r="N926" i="1"/>
  <c r="AO926" i="2"/>
  <c r="M926" i="1"/>
  <c r="AN926" i="2"/>
  <c r="L926" i="1"/>
  <c r="AM926" i="2"/>
  <c r="K926" i="1"/>
  <c r="AL926" i="2"/>
  <c r="AK926" i="2"/>
  <c r="AJ926" i="2"/>
  <c r="H926" i="1"/>
  <c r="AI926" i="2"/>
  <c r="G926" i="1"/>
  <c r="AH926" i="2"/>
  <c r="F926" i="1"/>
  <c r="AG926" i="2"/>
  <c r="E926" i="1"/>
  <c r="AF926" i="2"/>
  <c r="D926" i="1"/>
  <c r="AE926" i="2"/>
  <c r="AD926" i="2"/>
  <c r="AC926" i="2"/>
  <c r="Z926" i="2"/>
  <c r="Y926" i="2"/>
  <c r="R925" i="1"/>
  <c r="AS925" i="2"/>
  <c r="AR925" i="2"/>
  <c r="P925" i="1"/>
  <c r="AQ925" i="2"/>
  <c r="O925" i="1"/>
  <c r="AP925" i="2"/>
  <c r="N925" i="1"/>
  <c r="AO925" i="2"/>
  <c r="M925" i="1"/>
  <c r="AN925" i="2"/>
  <c r="L925" i="1"/>
  <c r="AM925" i="2"/>
  <c r="K925" i="1"/>
  <c r="AL925" i="2"/>
  <c r="AK925" i="2"/>
  <c r="AJ925" i="2"/>
  <c r="H925" i="1"/>
  <c r="AI925" i="2"/>
  <c r="G925" i="1"/>
  <c r="AH925" i="2"/>
  <c r="F925" i="1"/>
  <c r="AG925" i="2"/>
  <c r="E925" i="1"/>
  <c r="AF925" i="2"/>
  <c r="D925" i="1"/>
  <c r="AE925" i="2"/>
  <c r="AD925" i="2"/>
  <c r="AC925" i="2"/>
  <c r="Z925" i="2"/>
  <c r="Y925" i="2"/>
  <c r="R924" i="1"/>
  <c r="AS924" i="2"/>
  <c r="AR924" i="2"/>
  <c r="P924" i="1"/>
  <c r="AQ924" i="2"/>
  <c r="O924" i="1"/>
  <c r="AP924" i="2"/>
  <c r="N924" i="1"/>
  <c r="AO924" i="2"/>
  <c r="M924" i="1"/>
  <c r="AN924" i="2"/>
  <c r="L924" i="1"/>
  <c r="AM924" i="2"/>
  <c r="K924" i="1"/>
  <c r="AL924" i="2"/>
  <c r="AK924" i="2"/>
  <c r="AJ924" i="2"/>
  <c r="H924" i="1"/>
  <c r="AI924" i="2"/>
  <c r="G924" i="1"/>
  <c r="AH924" i="2"/>
  <c r="F924" i="1"/>
  <c r="AG924" i="2"/>
  <c r="E924" i="1"/>
  <c r="AF924" i="2"/>
  <c r="D924" i="1"/>
  <c r="AE924" i="2"/>
  <c r="AD924" i="2"/>
  <c r="AC924" i="2"/>
  <c r="Z924" i="2"/>
  <c r="Y924" i="2"/>
  <c r="R923" i="1"/>
  <c r="AS923" i="2"/>
  <c r="AR923" i="2"/>
  <c r="P923" i="1"/>
  <c r="AQ923" i="2"/>
  <c r="O923" i="1"/>
  <c r="AP923" i="2"/>
  <c r="N923" i="1"/>
  <c r="AO923" i="2"/>
  <c r="M923" i="1"/>
  <c r="AN923" i="2"/>
  <c r="L923" i="1"/>
  <c r="AM923" i="2"/>
  <c r="K923" i="1"/>
  <c r="AL923" i="2"/>
  <c r="AK923" i="2"/>
  <c r="AJ923" i="2"/>
  <c r="H923" i="1"/>
  <c r="AI923" i="2"/>
  <c r="G923" i="1"/>
  <c r="AH923" i="2"/>
  <c r="F923" i="1"/>
  <c r="AG923" i="2"/>
  <c r="E923" i="1"/>
  <c r="AF923" i="2"/>
  <c r="D923" i="1"/>
  <c r="AE923" i="2"/>
  <c r="AD923" i="2"/>
  <c r="AC923" i="2"/>
  <c r="Z923" i="2"/>
  <c r="Y923" i="2"/>
  <c r="R922" i="1"/>
  <c r="AS922" i="2"/>
  <c r="AR922" i="2"/>
  <c r="P922" i="1"/>
  <c r="AQ922" i="2"/>
  <c r="O922" i="1"/>
  <c r="AP922" i="2"/>
  <c r="N922" i="1"/>
  <c r="AO922" i="2"/>
  <c r="M922" i="1"/>
  <c r="AN922" i="2"/>
  <c r="L922" i="1"/>
  <c r="AM922" i="2"/>
  <c r="K922" i="1"/>
  <c r="AL922" i="2"/>
  <c r="AK922" i="2"/>
  <c r="AJ922" i="2"/>
  <c r="H922" i="1"/>
  <c r="AI922" i="2"/>
  <c r="G922" i="1"/>
  <c r="AH922" i="2"/>
  <c r="F922" i="1"/>
  <c r="AG922" i="2"/>
  <c r="E922" i="1"/>
  <c r="AF922" i="2"/>
  <c r="D922" i="1"/>
  <c r="AE922" i="2"/>
  <c r="AD922" i="2"/>
  <c r="AC922" i="2"/>
  <c r="Z922" i="2"/>
  <c r="Y922" i="2"/>
  <c r="R921" i="1"/>
  <c r="AS921" i="2"/>
  <c r="AR921" i="2"/>
  <c r="P921" i="1"/>
  <c r="AQ921" i="2"/>
  <c r="O921" i="1"/>
  <c r="AP921" i="2"/>
  <c r="N921" i="1"/>
  <c r="AO921" i="2"/>
  <c r="M921" i="1"/>
  <c r="AN921" i="2"/>
  <c r="L921" i="1"/>
  <c r="AM921" i="2"/>
  <c r="K921" i="1"/>
  <c r="AL921" i="2"/>
  <c r="AK921" i="2"/>
  <c r="AJ921" i="2"/>
  <c r="H921" i="1"/>
  <c r="AI921" i="2"/>
  <c r="G921" i="1"/>
  <c r="AH921" i="2"/>
  <c r="F921" i="1"/>
  <c r="AG921" i="2"/>
  <c r="E921" i="1"/>
  <c r="AF921" i="2"/>
  <c r="D921" i="1"/>
  <c r="AE921" i="2"/>
  <c r="AD921" i="2"/>
  <c r="AC921" i="2"/>
  <c r="Z921" i="2"/>
  <c r="Y921" i="2"/>
  <c r="R920" i="1"/>
  <c r="AS920" i="2"/>
  <c r="AR920" i="2"/>
  <c r="P920" i="1"/>
  <c r="AQ920" i="2"/>
  <c r="O920" i="1"/>
  <c r="AP920" i="2"/>
  <c r="N920" i="1"/>
  <c r="AO920" i="2"/>
  <c r="M920" i="1"/>
  <c r="AN920" i="2"/>
  <c r="L920" i="1"/>
  <c r="AM920" i="2"/>
  <c r="K920" i="1"/>
  <c r="AL920" i="2"/>
  <c r="AK920" i="2"/>
  <c r="AJ920" i="2"/>
  <c r="H920" i="1"/>
  <c r="AI920" i="2"/>
  <c r="G920" i="1"/>
  <c r="AH920" i="2"/>
  <c r="F920" i="1"/>
  <c r="AG920" i="2"/>
  <c r="E920" i="1"/>
  <c r="AF920" i="2"/>
  <c r="D920" i="1"/>
  <c r="AE920" i="2"/>
  <c r="AD920" i="2"/>
  <c r="AC920" i="2"/>
  <c r="Z920" i="2"/>
  <c r="Y920" i="2"/>
  <c r="R919" i="1"/>
  <c r="AS919" i="2"/>
  <c r="AR919" i="2"/>
  <c r="P919" i="1"/>
  <c r="AQ919" i="2"/>
  <c r="O919" i="1"/>
  <c r="AP919" i="2"/>
  <c r="N919" i="1"/>
  <c r="AO919" i="2"/>
  <c r="M919" i="1"/>
  <c r="AN919" i="2"/>
  <c r="L919" i="1"/>
  <c r="AM919" i="2"/>
  <c r="K919" i="1"/>
  <c r="AL919" i="2"/>
  <c r="AK919" i="2"/>
  <c r="AJ919" i="2"/>
  <c r="H919" i="1"/>
  <c r="AI919" i="2"/>
  <c r="G919" i="1"/>
  <c r="AH919" i="2"/>
  <c r="F919" i="1"/>
  <c r="AG919" i="2"/>
  <c r="E919" i="1"/>
  <c r="AF919" i="2"/>
  <c r="D919" i="1"/>
  <c r="AE919" i="2"/>
  <c r="AD919" i="2"/>
  <c r="AC919" i="2"/>
  <c r="Z919" i="2"/>
  <c r="Y919" i="2"/>
  <c r="R918" i="1"/>
  <c r="AS918" i="2"/>
  <c r="AR918" i="2"/>
  <c r="P918" i="1"/>
  <c r="AQ918" i="2"/>
  <c r="O918" i="1"/>
  <c r="AP918" i="2"/>
  <c r="N918" i="1"/>
  <c r="AO918" i="2"/>
  <c r="M918" i="1"/>
  <c r="AN918" i="2"/>
  <c r="L918" i="1"/>
  <c r="AM918" i="2"/>
  <c r="K918" i="1"/>
  <c r="AL918" i="2"/>
  <c r="AK918" i="2"/>
  <c r="AJ918" i="2"/>
  <c r="H918" i="1"/>
  <c r="AI918" i="2"/>
  <c r="G918" i="1"/>
  <c r="AH918" i="2"/>
  <c r="F918" i="1"/>
  <c r="AG918" i="2"/>
  <c r="E918" i="1"/>
  <c r="AF918" i="2"/>
  <c r="D918" i="1"/>
  <c r="AE918" i="2"/>
  <c r="AD918" i="2"/>
  <c r="AC918" i="2"/>
  <c r="Z918" i="2"/>
  <c r="Y918" i="2"/>
  <c r="R917" i="1"/>
  <c r="AS917" i="2"/>
  <c r="AR917" i="2"/>
  <c r="P917" i="1"/>
  <c r="AQ917" i="2"/>
  <c r="O917" i="1"/>
  <c r="AP917" i="2"/>
  <c r="N917" i="1"/>
  <c r="AO917" i="2"/>
  <c r="M917" i="1"/>
  <c r="AN917" i="2"/>
  <c r="L917" i="1"/>
  <c r="AM917" i="2"/>
  <c r="K917" i="1"/>
  <c r="AL917" i="2"/>
  <c r="AK917" i="2"/>
  <c r="AJ917" i="2"/>
  <c r="H917" i="1"/>
  <c r="AI917" i="2"/>
  <c r="G917" i="1"/>
  <c r="AH917" i="2"/>
  <c r="F917" i="1"/>
  <c r="AG917" i="2"/>
  <c r="E917" i="1"/>
  <c r="AF917" i="2"/>
  <c r="D917" i="1"/>
  <c r="AE917" i="2"/>
  <c r="AD917" i="2"/>
  <c r="AC917" i="2"/>
  <c r="Z917" i="2"/>
  <c r="Y917" i="2"/>
  <c r="R916" i="1"/>
  <c r="AS916" i="2"/>
  <c r="AR916" i="2"/>
  <c r="P916" i="1"/>
  <c r="AQ916" i="2"/>
  <c r="O916" i="1"/>
  <c r="AP916" i="2"/>
  <c r="N916" i="1"/>
  <c r="AO916" i="2"/>
  <c r="M916" i="1"/>
  <c r="AN916" i="2"/>
  <c r="L916" i="1"/>
  <c r="AM916" i="2"/>
  <c r="K916" i="1"/>
  <c r="AL916" i="2"/>
  <c r="AK916" i="2"/>
  <c r="AJ916" i="2"/>
  <c r="H916" i="1"/>
  <c r="AI916" i="2"/>
  <c r="G916" i="1"/>
  <c r="AH916" i="2"/>
  <c r="F916" i="1"/>
  <c r="AG916" i="2"/>
  <c r="E916" i="1"/>
  <c r="AF916" i="2"/>
  <c r="D916" i="1"/>
  <c r="AE916" i="2"/>
  <c r="AD916" i="2"/>
  <c r="AC916" i="2"/>
  <c r="Z916" i="2"/>
  <c r="Y916" i="2"/>
  <c r="R915" i="1"/>
  <c r="AS915" i="2"/>
  <c r="AR915" i="2"/>
  <c r="P915" i="1"/>
  <c r="AQ915" i="2"/>
  <c r="O915" i="1"/>
  <c r="AP915" i="2"/>
  <c r="N915" i="1"/>
  <c r="AO915" i="2"/>
  <c r="M915" i="1"/>
  <c r="AN915" i="2"/>
  <c r="L915" i="1"/>
  <c r="AM915" i="2"/>
  <c r="K915" i="1"/>
  <c r="AL915" i="2"/>
  <c r="AK915" i="2"/>
  <c r="AJ915" i="2"/>
  <c r="H915" i="1"/>
  <c r="AI915" i="2"/>
  <c r="G915" i="1"/>
  <c r="AH915" i="2"/>
  <c r="F915" i="1"/>
  <c r="AG915" i="2"/>
  <c r="E915" i="1"/>
  <c r="AF915" i="2"/>
  <c r="D915" i="1"/>
  <c r="AE915" i="2"/>
  <c r="AD915" i="2"/>
  <c r="AC915" i="2"/>
  <c r="Z915" i="2"/>
  <c r="Y915" i="2"/>
  <c r="R914" i="1"/>
  <c r="AS914" i="2"/>
  <c r="AR914" i="2"/>
  <c r="P914" i="1"/>
  <c r="AQ914" i="2"/>
  <c r="O914" i="1"/>
  <c r="AP914" i="2"/>
  <c r="N914" i="1"/>
  <c r="AO914" i="2"/>
  <c r="M914" i="1"/>
  <c r="AN914" i="2"/>
  <c r="L914" i="1"/>
  <c r="AM914" i="2"/>
  <c r="K914" i="1"/>
  <c r="AL914" i="2"/>
  <c r="AK914" i="2"/>
  <c r="AJ914" i="2"/>
  <c r="H914" i="1"/>
  <c r="AI914" i="2"/>
  <c r="G914" i="1"/>
  <c r="AH914" i="2"/>
  <c r="F914" i="1"/>
  <c r="AG914" i="2"/>
  <c r="E914" i="1"/>
  <c r="AF914" i="2"/>
  <c r="D914" i="1"/>
  <c r="AE914" i="2"/>
  <c r="AD914" i="2"/>
  <c r="AC914" i="2"/>
  <c r="Z914" i="2"/>
  <c r="Y914" i="2"/>
  <c r="R913" i="1"/>
  <c r="AS913" i="2"/>
  <c r="AR913" i="2"/>
  <c r="P913" i="1"/>
  <c r="AQ913" i="2"/>
  <c r="O913" i="1"/>
  <c r="AP913" i="2"/>
  <c r="N913" i="1"/>
  <c r="AO913" i="2"/>
  <c r="M913" i="1"/>
  <c r="AN913" i="2"/>
  <c r="L913" i="1"/>
  <c r="AM913" i="2"/>
  <c r="K913" i="1"/>
  <c r="AL913" i="2"/>
  <c r="AK913" i="2"/>
  <c r="AJ913" i="2"/>
  <c r="H913" i="1"/>
  <c r="AI913" i="2"/>
  <c r="G913" i="1"/>
  <c r="AH913" i="2"/>
  <c r="F913" i="1"/>
  <c r="AG913" i="2"/>
  <c r="E913" i="1"/>
  <c r="AF913" i="2"/>
  <c r="D913" i="1"/>
  <c r="AE913" i="2"/>
  <c r="AD913" i="2"/>
  <c r="AC913" i="2"/>
  <c r="Z913" i="2"/>
  <c r="Y913" i="2"/>
  <c r="R912" i="1"/>
  <c r="AS912" i="2"/>
  <c r="AR912" i="2"/>
  <c r="P912" i="1"/>
  <c r="AQ912" i="2"/>
  <c r="O912" i="1"/>
  <c r="AP912" i="2"/>
  <c r="N912" i="1"/>
  <c r="AO912" i="2"/>
  <c r="M912" i="1"/>
  <c r="AN912" i="2"/>
  <c r="L912" i="1"/>
  <c r="AM912" i="2"/>
  <c r="K912" i="1"/>
  <c r="AL912" i="2"/>
  <c r="AK912" i="2"/>
  <c r="AJ912" i="2"/>
  <c r="H912" i="1"/>
  <c r="AI912" i="2"/>
  <c r="G912" i="1"/>
  <c r="AH912" i="2"/>
  <c r="F912" i="1"/>
  <c r="AG912" i="2"/>
  <c r="E912" i="1"/>
  <c r="AF912" i="2"/>
  <c r="D912" i="1"/>
  <c r="AE912" i="2"/>
  <c r="AD912" i="2"/>
  <c r="AC912" i="2"/>
  <c r="Z912" i="2"/>
  <c r="Y912" i="2"/>
  <c r="R911" i="1"/>
  <c r="AS911" i="2"/>
  <c r="AR911" i="2"/>
  <c r="P911" i="1"/>
  <c r="AQ911" i="2"/>
  <c r="O911" i="1"/>
  <c r="AP911" i="2"/>
  <c r="N911" i="1"/>
  <c r="AO911" i="2"/>
  <c r="M911" i="1"/>
  <c r="AN911" i="2"/>
  <c r="L911" i="1"/>
  <c r="AM911" i="2"/>
  <c r="K911" i="1"/>
  <c r="AL911" i="2"/>
  <c r="AK911" i="2"/>
  <c r="AJ911" i="2"/>
  <c r="H911" i="1"/>
  <c r="AI911" i="2"/>
  <c r="G911" i="1"/>
  <c r="AH911" i="2"/>
  <c r="F911" i="1"/>
  <c r="AG911" i="2"/>
  <c r="E911" i="1"/>
  <c r="AF911" i="2"/>
  <c r="D911" i="1"/>
  <c r="AE911" i="2"/>
  <c r="AD911" i="2"/>
  <c r="AC911" i="2"/>
  <c r="Z911" i="2"/>
  <c r="Y911" i="2"/>
  <c r="R910" i="1"/>
  <c r="AS910" i="2"/>
  <c r="AR910" i="2"/>
  <c r="P910" i="1"/>
  <c r="AQ910" i="2"/>
  <c r="O910" i="1"/>
  <c r="AP910" i="2"/>
  <c r="N910" i="1"/>
  <c r="AO910" i="2"/>
  <c r="M910" i="1"/>
  <c r="AN910" i="2"/>
  <c r="L910" i="1"/>
  <c r="AM910" i="2"/>
  <c r="K910" i="1"/>
  <c r="AL910" i="2"/>
  <c r="AK910" i="2"/>
  <c r="AJ910" i="2"/>
  <c r="H910" i="1"/>
  <c r="AI910" i="2"/>
  <c r="G910" i="1"/>
  <c r="AH910" i="2"/>
  <c r="F910" i="1"/>
  <c r="AG910" i="2"/>
  <c r="E910" i="1"/>
  <c r="AF910" i="2"/>
  <c r="D910" i="1"/>
  <c r="AE910" i="2"/>
  <c r="AD910" i="2"/>
  <c r="AC910" i="2"/>
  <c r="Z910" i="2"/>
  <c r="Y910" i="2"/>
  <c r="R909" i="1"/>
  <c r="AS909" i="2"/>
  <c r="AR909" i="2"/>
  <c r="P909" i="1"/>
  <c r="AQ909" i="2"/>
  <c r="O909" i="1"/>
  <c r="AP909" i="2"/>
  <c r="N909" i="1"/>
  <c r="AO909" i="2"/>
  <c r="M909" i="1"/>
  <c r="AN909" i="2"/>
  <c r="L909" i="1"/>
  <c r="AM909" i="2"/>
  <c r="K909" i="1"/>
  <c r="AL909" i="2"/>
  <c r="AK909" i="2"/>
  <c r="AJ909" i="2"/>
  <c r="H909" i="1"/>
  <c r="AI909" i="2"/>
  <c r="G909" i="1"/>
  <c r="AH909" i="2"/>
  <c r="F909" i="1"/>
  <c r="AG909" i="2"/>
  <c r="E909" i="1"/>
  <c r="AF909" i="2"/>
  <c r="D909" i="1"/>
  <c r="AE909" i="2"/>
  <c r="AD909" i="2"/>
  <c r="AC909" i="2"/>
  <c r="Z909" i="2"/>
  <c r="Y909" i="2"/>
  <c r="R908" i="1"/>
  <c r="AS908" i="2"/>
  <c r="AR908" i="2"/>
  <c r="P908" i="1"/>
  <c r="AQ908" i="2"/>
  <c r="O908" i="1"/>
  <c r="AP908" i="2"/>
  <c r="N908" i="1"/>
  <c r="AO908" i="2"/>
  <c r="M908" i="1"/>
  <c r="AN908" i="2"/>
  <c r="L908" i="1"/>
  <c r="AM908" i="2"/>
  <c r="K908" i="1"/>
  <c r="AL908" i="2"/>
  <c r="AK908" i="2"/>
  <c r="AJ908" i="2"/>
  <c r="H908" i="1"/>
  <c r="AI908" i="2"/>
  <c r="G908" i="1"/>
  <c r="AH908" i="2"/>
  <c r="F908" i="1"/>
  <c r="AG908" i="2"/>
  <c r="E908" i="1"/>
  <c r="AF908" i="2"/>
  <c r="D908" i="1"/>
  <c r="AE908" i="2"/>
  <c r="AD908" i="2"/>
  <c r="AC908" i="2"/>
  <c r="Z908" i="2"/>
  <c r="Y908" i="2"/>
  <c r="R907" i="1"/>
  <c r="AS907" i="2"/>
  <c r="AR907" i="2"/>
  <c r="P907" i="1"/>
  <c r="AQ907" i="2"/>
  <c r="O907" i="1"/>
  <c r="AP907" i="2"/>
  <c r="N907" i="1"/>
  <c r="AO907" i="2"/>
  <c r="M907" i="1"/>
  <c r="AN907" i="2"/>
  <c r="L907" i="1"/>
  <c r="AM907" i="2"/>
  <c r="K907" i="1"/>
  <c r="AL907" i="2"/>
  <c r="AK907" i="2"/>
  <c r="AJ907" i="2"/>
  <c r="H907" i="1"/>
  <c r="AI907" i="2"/>
  <c r="G907" i="1"/>
  <c r="AH907" i="2"/>
  <c r="F907" i="1"/>
  <c r="AG907" i="2"/>
  <c r="E907" i="1"/>
  <c r="AF907" i="2"/>
  <c r="D907" i="1"/>
  <c r="AE907" i="2"/>
  <c r="AD907" i="2"/>
  <c r="AC907" i="2"/>
  <c r="Z907" i="2"/>
  <c r="Y907" i="2"/>
  <c r="R906" i="1"/>
  <c r="AS906" i="2"/>
  <c r="AR906" i="2"/>
  <c r="P906" i="1"/>
  <c r="AQ906" i="2"/>
  <c r="O906" i="1"/>
  <c r="AP906" i="2"/>
  <c r="N906" i="1"/>
  <c r="AO906" i="2"/>
  <c r="M906" i="1"/>
  <c r="AN906" i="2"/>
  <c r="L906" i="1"/>
  <c r="AM906" i="2"/>
  <c r="K906" i="1"/>
  <c r="AL906" i="2"/>
  <c r="AK906" i="2"/>
  <c r="AJ906" i="2"/>
  <c r="H906" i="1"/>
  <c r="AI906" i="2"/>
  <c r="G906" i="1"/>
  <c r="AH906" i="2"/>
  <c r="F906" i="1"/>
  <c r="AG906" i="2"/>
  <c r="E906" i="1"/>
  <c r="AF906" i="2"/>
  <c r="D906" i="1"/>
  <c r="AE906" i="2"/>
  <c r="AD906" i="2"/>
  <c r="AC906" i="2"/>
  <c r="Z906" i="2"/>
  <c r="Y906" i="2"/>
  <c r="R905" i="1"/>
  <c r="AS905" i="2"/>
  <c r="AR905" i="2"/>
  <c r="P905" i="1"/>
  <c r="AQ905" i="2"/>
  <c r="O905" i="1"/>
  <c r="AP905" i="2"/>
  <c r="N905" i="1"/>
  <c r="AO905" i="2"/>
  <c r="M905" i="1"/>
  <c r="AN905" i="2"/>
  <c r="L905" i="1"/>
  <c r="AM905" i="2"/>
  <c r="K905" i="1"/>
  <c r="AL905" i="2"/>
  <c r="AK905" i="2"/>
  <c r="AJ905" i="2"/>
  <c r="H905" i="1"/>
  <c r="AI905" i="2"/>
  <c r="G905" i="1"/>
  <c r="AH905" i="2"/>
  <c r="F905" i="1"/>
  <c r="AG905" i="2"/>
  <c r="E905" i="1"/>
  <c r="AF905" i="2"/>
  <c r="D905" i="1"/>
  <c r="AE905" i="2"/>
  <c r="AD905" i="2"/>
  <c r="AC905" i="2"/>
  <c r="Z905" i="2"/>
  <c r="Y905" i="2"/>
  <c r="R904" i="1"/>
  <c r="AS904" i="2"/>
  <c r="AR904" i="2"/>
  <c r="P904" i="1"/>
  <c r="AQ904" i="2"/>
  <c r="O904" i="1"/>
  <c r="AP904" i="2"/>
  <c r="N904" i="1"/>
  <c r="AO904" i="2"/>
  <c r="M904" i="1"/>
  <c r="AN904" i="2"/>
  <c r="L904" i="1"/>
  <c r="AM904" i="2"/>
  <c r="K904" i="1"/>
  <c r="AL904" i="2"/>
  <c r="AK904" i="2"/>
  <c r="AJ904" i="2"/>
  <c r="H904" i="1"/>
  <c r="AI904" i="2"/>
  <c r="G904" i="1"/>
  <c r="AH904" i="2"/>
  <c r="F904" i="1"/>
  <c r="AG904" i="2"/>
  <c r="E904" i="1"/>
  <c r="AF904" i="2"/>
  <c r="D904" i="1"/>
  <c r="AE904" i="2"/>
  <c r="AD904" i="2"/>
  <c r="AC904" i="2"/>
  <c r="Z904" i="2"/>
  <c r="Y904" i="2"/>
  <c r="R903" i="1"/>
  <c r="AS903" i="2"/>
  <c r="AR903" i="2"/>
  <c r="P903" i="1"/>
  <c r="AQ903" i="2"/>
  <c r="O903" i="1"/>
  <c r="AP903" i="2"/>
  <c r="N903" i="1"/>
  <c r="AO903" i="2"/>
  <c r="M903" i="1"/>
  <c r="AN903" i="2"/>
  <c r="L903" i="1"/>
  <c r="AM903" i="2"/>
  <c r="K903" i="1"/>
  <c r="AL903" i="2"/>
  <c r="AK903" i="2"/>
  <c r="AJ903" i="2"/>
  <c r="H903" i="1"/>
  <c r="AI903" i="2"/>
  <c r="G903" i="1"/>
  <c r="AH903" i="2"/>
  <c r="F903" i="1"/>
  <c r="AG903" i="2"/>
  <c r="E903" i="1"/>
  <c r="AF903" i="2"/>
  <c r="D903" i="1"/>
  <c r="AE903" i="2"/>
  <c r="AD903" i="2"/>
  <c r="AC903" i="2"/>
  <c r="Z903" i="2"/>
  <c r="Y903" i="2"/>
  <c r="R902" i="1"/>
  <c r="AS902" i="2"/>
  <c r="AR902" i="2"/>
  <c r="P902" i="1"/>
  <c r="AQ902" i="2"/>
  <c r="O902" i="1"/>
  <c r="AP902" i="2"/>
  <c r="N902" i="1"/>
  <c r="AO902" i="2"/>
  <c r="M902" i="1"/>
  <c r="AN902" i="2"/>
  <c r="L902" i="1"/>
  <c r="AM902" i="2"/>
  <c r="K902" i="1"/>
  <c r="AL902" i="2"/>
  <c r="AK902" i="2"/>
  <c r="AJ902" i="2"/>
  <c r="H902" i="1"/>
  <c r="AI902" i="2"/>
  <c r="G902" i="1"/>
  <c r="AH902" i="2"/>
  <c r="F902" i="1"/>
  <c r="AG902" i="2"/>
  <c r="E902" i="1"/>
  <c r="AF902" i="2"/>
  <c r="D902" i="1"/>
  <c r="AE902" i="2"/>
  <c r="AD902" i="2"/>
  <c r="AC902" i="2"/>
  <c r="Z902" i="2"/>
  <c r="Y902" i="2"/>
  <c r="R901" i="1"/>
  <c r="AS901" i="2"/>
  <c r="AR901" i="2"/>
  <c r="P901" i="1"/>
  <c r="AQ901" i="2"/>
  <c r="O901" i="1"/>
  <c r="AP901" i="2"/>
  <c r="N901" i="1"/>
  <c r="AO901" i="2"/>
  <c r="M901" i="1"/>
  <c r="AN901" i="2"/>
  <c r="L901" i="1"/>
  <c r="AM901" i="2"/>
  <c r="K901" i="1"/>
  <c r="AL901" i="2"/>
  <c r="AK901" i="2"/>
  <c r="AJ901" i="2"/>
  <c r="H901" i="1"/>
  <c r="AI901" i="2"/>
  <c r="G901" i="1"/>
  <c r="AH901" i="2"/>
  <c r="F901" i="1"/>
  <c r="AG901" i="2"/>
  <c r="E901" i="1"/>
  <c r="AF901" i="2"/>
  <c r="D901" i="1"/>
  <c r="AE901" i="2"/>
  <c r="AD901" i="2"/>
  <c r="AC901" i="2"/>
  <c r="Z901" i="2"/>
  <c r="Y901" i="2"/>
  <c r="R900" i="1"/>
  <c r="AS900" i="2"/>
  <c r="AR900" i="2"/>
  <c r="P900" i="1"/>
  <c r="AQ900" i="2"/>
  <c r="O900" i="1"/>
  <c r="AP900" i="2"/>
  <c r="N900" i="1"/>
  <c r="AO900" i="2"/>
  <c r="M900" i="1"/>
  <c r="AN900" i="2"/>
  <c r="L900" i="1"/>
  <c r="AM900" i="2"/>
  <c r="K900" i="1"/>
  <c r="AL900" i="2"/>
  <c r="AK900" i="2"/>
  <c r="AJ900" i="2"/>
  <c r="H900" i="1"/>
  <c r="AI900" i="2"/>
  <c r="G900" i="1"/>
  <c r="AH900" i="2"/>
  <c r="F900" i="1"/>
  <c r="AG900" i="2"/>
  <c r="E900" i="1"/>
  <c r="AF900" i="2"/>
  <c r="D900" i="1"/>
  <c r="AE900" i="2"/>
  <c r="AD900" i="2"/>
  <c r="AC900" i="2"/>
  <c r="Z900" i="2"/>
  <c r="Y900" i="2"/>
  <c r="R899" i="1"/>
  <c r="AS899" i="2"/>
  <c r="AR899" i="2"/>
  <c r="P899" i="1"/>
  <c r="AQ899" i="2"/>
  <c r="O899" i="1"/>
  <c r="AP899" i="2"/>
  <c r="N899" i="1"/>
  <c r="AO899" i="2"/>
  <c r="M899" i="1"/>
  <c r="AN899" i="2"/>
  <c r="L899" i="1"/>
  <c r="AM899" i="2"/>
  <c r="K899" i="1"/>
  <c r="AL899" i="2"/>
  <c r="AK899" i="2"/>
  <c r="AJ899" i="2"/>
  <c r="H899" i="1"/>
  <c r="AI899" i="2"/>
  <c r="G899" i="1"/>
  <c r="AH899" i="2"/>
  <c r="F899" i="1"/>
  <c r="AG899" i="2"/>
  <c r="E899" i="1"/>
  <c r="AF899" i="2"/>
  <c r="D899" i="1"/>
  <c r="AE899" i="2"/>
  <c r="AD899" i="2"/>
  <c r="AC899" i="2"/>
  <c r="Z899" i="2"/>
  <c r="Y899" i="2"/>
  <c r="R898" i="1"/>
  <c r="AS898" i="2"/>
  <c r="AR898" i="2"/>
  <c r="P898" i="1"/>
  <c r="AQ898" i="2"/>
  <c r="O898" i="1"/>
  <c r="AP898" i="2"/>
  <c r="N898" i="1"/>
  <c r="AO898" i="2"/>
  <c r="M898" i="1"/>
  <c r="AN898" i="2"/>
  <c r="L898" i="1"/>
  <c r="AM898" i="2"/>
  <c r="K898" i="1"/>
  <c r="AL898" i="2"/>
  <c r="AK898" i="2"/>
  <c r="AJ898" i="2"/>
  <c r="H898" i="1"/>
  <c r="AI898" i="2"/>
  <c r="G898" i="1"/>
  <c r="AH898" i="2"/>
  <c r="F898" i="1"/>
  <c r="AG898" i="2"/>
  <c r="E898" i="1"/>
  <c r="AF898" i="2"/>
  <c r="D898" i="1"/>
  <c r="AE898" i="2"/>
  <c r="AD898" i="2"/>
  <c r="AC898" i="2"/>
  <c r="Z898" i="2"/>
  <c r="Y898" i="2"/>
  <c r="R897" i="1"/>
  <c r="AS897" i="2"/>
  <c r="AR897" i="2"/>
  <c r="P897" i="1"/>
  <c r="AQ897" i="2"/>
  <c r="O897" i="1"/>
  <c r="AP897" i="2"/>
  <c r="N897" i="1"/>
  <c r="AO897" i="2"/>
  <c r="M897" i="1"/>
  <c r="AN897" i="2"/>
  <c r="L897" i="1"/>
  <c r="AM897" i="2"/>
  <c r="K897" i="1"/>
  <c r="AL897" i="2"/>
  <c r="AK897" i="2"/>
  <c r="AJ897" i="2"/>
  <c r="H897" i="1"/>
  <c r="AI897" i="2"/>
  <c r="G897" i="1"/>
  <c r="AH897" i="2"/>
  <c r="F897" i="1"/>
  <c r="AG897" i="2"/>
  <c r="E897" i="1"/>
  <c r="AF897" i="2"/>
  <c r="D897" i="1"/>
  <c r="AE897" i="2"/>
  <c r="AD897" i="2"/>
  <c r="AC897" i="2"/>
  <c r="Z897" i="2"/>
  <c r="Y897" i="2"/>
  <c r="R896" i="1"/>
  <c r="AS896" i="2"/>
  <c r="AR896" i="2"/>
  <c r="P896" i="1"/>
  <c r="AQ896" i="2"/>
  <c r="O896" i="1"/>
  <c r="AP896" i="2"/>
  <c r="N896" i="1"/>
  <c r="AO896" i="2"/>
  <c r="M896" i="1"/>
  <c r="AN896" i="2"/>
  <c r="L896" i="1"/>
  <c r="AM896" i="2"/>
  <c r="K896" i="1"/>
  <c r="AL896" i="2"/>
  <c r="AK896" i="2"/>
  <c r="AJ896" i="2"/>
  <c r="H896" i="1"/>
  <c r="AI896" i="2"/>
  <c r="G896" i="1"/>
  <c r="AH896" i="2"/>
  <c r="F896" i="1"/>
  <c r="AG896" i="2"/>
  <c r="E896" i="1"/>
  <c r="AF896" i="2"/>
  <c r="D896" i="1"/>
  <c r="AE896" i="2"/>
  <c r="AD896" i="2"/>
  <c r="AC896" i="2"/>
  <c r="Z896" i="2"/>
  <c r="Y896" i="2"/>
  <c r="R895" i="1"/>
  <c r="AS895" i="2"/>
  <c r="AR895" i="2"/>
  <c r="P895" i="1"/>
  <c r="AQ895" i="2"/>
  <c r="O895" i="1"/>
  <c r="AP895" i="2"/>
  <c r="N895" i="1"/>
  <c r="AO895" i="2"/>
  <c r="M895" i="1"/>
  <c r="AN895" i="2"/>
  <c r="L895" i="1"/>
  <c r="AM895" i="2"/>
  <c r="K895" i="1"/>
  <c r="AL895" i="2"/>
  <c r="AK895" i="2"/>
  <c r="AJ895" i="2"/>
  <c r="H895" i="1"/>
  <c r="AI895" i="2"/>
  <c r="G895" i="1"/>
  <c r="AH895" i="2"/>
  <c r="F895" i="1"/>
  <c r="AG895" i="2"/>
  <c r="E895" i="1"/>
  <c r="AF895" i="2"/>
  <c r="D895" i="1"/>
  <c r="AE895" i="2"/>
  <c r="AD895" i="2"/>
  <c r="AC895" i="2"/>
  <c r="Z895" i="2"/>
  <c r="Y895" i="2"/>
  <c r="R894" i="1"/>
  <c r="AS894" i="2"/>
  <c r="AR894" i="2"/>
  <c r="P894" i="1"/>
  <c r="AQ894" i="2"/>
  <c r="O894" i="1"/>
  <c r="AP894" i="2"/>
  <c r="N894" i="1"/>
  <c r="AO894" i="2"/>
  <c r="M894" i="1"/>
  <c r="AN894" i="2"/>
  <c r="L894" i="1"/>
  <c r="AM894" i="2"/>
  <c r="K894" i="1"/>
  <c r="AL894" i="2"/>
  <c r="AK894" i="2"/>
  <c r="AJ894" i="2"/>
  <c r="H894" i="1"/>
  <c r="AI894" i="2"/>
  <c r="G894" i="1"/>
  <c r="AH894" i="2"/>
  <c r="F894" i="1"/>
  <c r="AG894" i="2"/>
  <c r="E894" i="1"/>
  <c r="AF894" i="2"/>
  <c r="D894" i="1"/>
  <c r="AE894" i="2"/>
  <c r="AD894" i="2"/>
  <c r="AC894" i="2"/>
  <c r="Z894" i="2"/>
  <c r="Y894" i="2"/>
  <c r="R893" i="1"/>
  <c r="AS893" i="2"/>
  <c r="AR893" i="2"/>
  <c r="P893" i="1"/>
  <c r="AQ893" i="2"/>
  <c r="O893" i="1"/>
  <c r="AP893" i="2"/>
  <c r="N893" i="1"/>
  <c r="AO893" i="2"/>
  <c r="M893" i="1"/>
  <c r="AN893" i="2"/>
  <c r="L893" i="1"/>
  <c r="AM893" i="2"/>
  <c r="K893" i="1"/>
  <c r="AL893" i="2"/>
  <c r="AK893" i="2"/>
  <c r="AJ893" i="2"/>
  <c r="H893" i="1"/>
  <c r="AI893" i="2"/>
  <c r="G893" i="1"/>
  <c r="AH893" i="2"/>
  <c r="F893" i="1"/>
  <c r="AG893" i="2"/>
  <c r="E893" i="1"/>
  <c r="AF893" i="2"/>
  <c r="D893" i="1"/>
  <c r="AE893" i="2"/>
  <c r="AD893" i="2"/>
  <c r="AC893" i="2"/>
  <c r="Z893" i="2"/>
  <c r="Y893" i="2"/>
  <c r="R892" i="1"/>
  <c r="AS892" i="2"/>
  <c r="AR892" i="2"/>
  <c r="P892" i="1"/>
  <c r="AQ892" i="2"/>
  <c r="O892" i="1"/>
  <c r="AP892" i="2"/>
  <c r="N892" i="1"/>
  <c r="AO892" i="2"/>
  <c r="M892" i="1"/>
  <c r="AN892" i="2"/>
  <c r="L892" i="1"/>
  <c r="AM892" i="2"/>
  <c r="K892" i="1"/>
  <c r="AL892" i="2"/>
  <c r="AK892" i="2"/>
  <c r="AJ892" i="2"/>
  <c r="H892" i="1"/>
  <c r="AI892" i="2"/>
  <c r="G892" i="1"/>
  <c r="AH892" i="2"/>
  <c r="F892" i="1"/>
  <c r="AG892" i="2"/>
  <c r="E892" i="1"/>
  <c r="AF892" i="2"/>
  <c r="D892" i="1"/>
  <c r="AE892" i="2"/>
  <c r="AD892" i="2"/>
  <c r="AC892" i="2"/>
  <c r="Z892" i="2"/>
  <c r="Y892" i="2"/>
  <c r="R891" i="1"/>
  <c r="AS891" i="2"/>
  <c r="AR891" i="2"/>
  <c r="P891" i="1"/>
  <c r="AQ891" i="2"/>
  <c r="O891" i="1"/>
  <c r="AP891" i="2"/>
  <c r="N891" i="1"/>
  <c r="AO891" i="2"/>
  <c r="M891" i="1"/>
  <c r="AN891" i="2"/>
  <c r="L891" i="1"/>
  <c r="AM891" i="2"/>
  <c r="K891" i="1"/>
  <c r="AL891" i="2"/>
  <c r="AK891" i="2"/>
  <c r="AJ891" i="2"/>
  <c r="H891" i="1"/>
  <c r="AI891" i="2"/>
  <c r="G891" i="1"/>
  <c r="AH891" i="2"/>
  <c r="F891" i="1"/>
  <c r="AG891" i="2"/>
  <c r="E891" i="1"/>
  <c r="AF891" i="2"/>
  <c r="D891" i="1"/>
  <c r="AE891" i="2"/>
  <c r="AD891" i="2"/>
  <c r="AC891" i="2"/>
  <c r="Z891" i="2"/>
  <c r="Y891" i="2"/>
  <c r="R890" i="1"/>
  <c r="AS890" i="2"/>
  <c r="AR890" i="2"/>
  <c r="P890" i="1"/>
  <c r="AQ890" i="2"/>
  <c r="O890" i="1"/>
  <c r="AP890" i="2"/>
  <c r="N890" i="1"/>
  <c r="AO890" i="2"/>
  <c r="M890" i="1"/>
  <c r="AN890" i="2"/>
  <c r="L890" i="1"/>
  <c r="AM890" i="2"/>
  <c r="K890" i="1"/>
  <c r="AL890" i="2"/>
  <c r="AK890" i="2"/>
  <c r="AJ890" i="2"/>
  <c r="H890" i="1"/>
  <c r="AI890" i="2"/>
  <c r="G890" i="1"/>
  <c r="AH890" i="2"/>
  <c r="F890" i="1"/>
  <c r="AG890" i="2"/>
  <c r="E890" i="1"/>
  <c r="AF890" i="2"/>
  <c r="D890" i="1"/>
  <c r="AE890" i="2"/>
  <c r="AD890" i="2"/>
  <c r="AC890" i="2"/>
  <c r="Z890" i="2"/>
  <c r="Y890" i="2"/>
  <c r="R889" i="1"/>
  <c r="AS889" i="2"/>
  <c r="AR889" i="2"/>
  <c r="P889" i="1"/>
  <c r="AQ889" i="2"/>
  <c r="O889" i="1"/>
  <c r="AP889" i="2"/>
  <c r="N889" i="1"/>
  <c r="AO889" i="2"/>
  <c r="M889" i="1"/>
  <c r="AN889" i="2"/>
  <c r="L889" i="1"/>
  <c r="AM889" i="2"/>
  <c r="K889" i="1"/>
  <c r="AL889" i="2"/>
  <c r="AK889" i="2"/>
  <c r="AJ889" i="2"/>
  <c r="H889" i="1"/>
  <c r="AI889" i="2"/>
  <c r="G889" i="1"/>
  <c r="AH889" i="2"/>
  <c r="F889" i="1"/>
  <c r="AG889" i="2"/>
  <c r="E889" i="1"/>
  <c r="AF889" i="2"/>
  <c r="D889" i="1"/>
  <c r="AE889" i="2"/>
  <c r="AD889" i="2"/>
  <c r="AC889" i="2"/>
  <c r="Z889" i="2"/>
  <c r="Y889" i="2"/>
  <c r="R888" i="1"/>
  <c r="AS888" i="2"/>
  <c r="AR888" i="2"/>
  <c r="P888" i="1"/>
  <c r="AQ888" i="2"/>
  <c r="O888" i="1"/>
  <c r="AP888" i="2"/>
  <c r="N888" i="1"/>
  <c r="AO888" i="2"/>
  <c r="M888" i="1"/>
  <c r="AN888" i="2"/>
  <c r="L888" i="1"/>
  <c r="AM888" i="2"/>
  <c r="K888" i="1"/>
  <c r="AL888" i="2"/>
  <c r="AK888" i="2"/>
  <c r="AJ888" i="2"/>
  <c r="H888" i="1"/>
  <c r="AI888" i="2"/>
  <c r="G888" i="1"/>
  <c r="AH888" i="2"/>
  <c r="F888" i="1"/>
  <c r="AG888" i="2"/>
  <c r="E888" i="1"/>
  <c r="AF888" i="2"/>
  <c r="D888" i="1"/>
  <c r="AE888" i="2"/>
  <c r="AD888" i="2"/>
  <c r="AC888" i="2"/>
  <c r="Z888" i="2"/>
  <c r="Y888" i="2"/>
  <c r="R887" i="1"/>
  <c r="AS887" i="2"/>
  <c r="AR887" i="2"/>
  <c r="P887" i="1"/>
  <c r="AQ887" i="2"/>
  <c r="O887" i="1"/>
  <c r="AP887" i="2"/>
  <c r="N887" i="1"/>
  <c r="AO887" i="2"/>
  <c r="M887" i="1"/>
  <c r="AN887" i="2"/>
  <c r="L887" i="1"/>
  <c r="AM887" i="2"/>
  <c r="K887" i="1"/>
  <c r="AL887" i="2"/>
  <c r="AK887" i="2"/>
  <c r="AJ887" i="2"/>
  <c r="H887" i="1"/>
  <c r="AI887" i="2"/>
  <c r="G887" i="1"/>
  <c r="AH887" i="2"/>
  <c r="F887" i="1"/>
  <c r="AG887" i="2"/>
  <c r="E887" i="1"/>
  <c r="AF887" i="2"/>
  <c r="D887" i="1"/>
  <c r="AE887" i="2"/>
  <c r="AD887" i="2"/>
  <c r="AC887" i="2"/>
  <c r="Z887" i="2"/>
  <c r="Y887" i="2"/>
  <c r="R886" i="1"/>
  <c r="AS886" i="2"/>
  <c r="AR886" i="2"/>
  <c r="P886" i="1"/>
  <c r="AQ886" i="2"/>
  <c r="O886" i="1"/>
  <c r="AP886" i="2"/>
  <c r="N886" i="1"/>
  <c r="AO886" i="2"/>
  <c r="M886" i="1"/>
  <c r="AN886" i="2"/>
  <c r="L886" i="1"/>
  <c r="AM886" i="2"/>
  <c r="K886" i="1"/>
  <c r="AL886" i="2"/>
  <c r="AK886" i="2"/>
  <c r="AJ886" i="2"/>
  <c r="H886" i="1"/>
  <c r="AI886" i="2"/>
  <c r="G886" i="1"/>
  <c r="AH886" i="2"/>
  <c r="F886" i="1"/>
  <c r="AG886" i="2"/>
  <c r="E886" i="1"/>
  <c r="AF886" i="2"/>
  <c r="D886" i="1"/>
  <c r="AE886" i="2"/>
  <c r="AD886" i="2"/>
  <c r="AC886" i="2"/>
  <c r="Z886" i="2"/>
  <c r="Y886" i="2"/>
  <c r="R885" i="1"/>
  <c r="AS885" i="2"/>
  <c r="AR885" i="2"/>
  <c r="P885" i="1"/>
  <c r="AQ885" i="2"/>
  <c r="O885" i="1"/>
  <c r="AP885" i="2"/>
  <c r="N885" i="1"/>
  <c r="AO885" i="2"/>
  <c r="M885" i="1"/>
  <c r="AN885" i="2"/>
  <c r="L885" i="1"/>
  <c r="AM885" i="2"/>
  <c r="K885" i="1"/>
  <c r="AL885" i="2"/>
  <c r="AK885" i="2"/>
  <c r="AJ885" i="2"/>
  <c r="H885" i="1"/>
  <c r="AI885" i="2"/>
  <c r="G885" i="1"/>
  <c r="AH885" i="2"/>
  <c r="F885" i="1"/>
  <c r="AG885" i="2"/>
  <c r="E885" i="1"/>
  <c r="AF885" i="2"/>
  <c r="D885" i="1"/>
  <c r="AE885" i="2"/>
  <c r="AD885" i="2"/>
  <c r="AC885" i="2"/>
  <c r="Z885" i="2"/>
  <c r="Y885" i="2"/>
  <c r="R884" i="1"/>
  <c r="AS884" i="2"/>
  <c r="AR884" i="2"/>
  <c r="P884" i="1"/>
  <c r="AQ884" i="2"/>
  <c r="O884" i="1"/>
  <c r="AP884" i="2"/>
  <c r="N884" i="1"/>
  <c r="AO884" i="2"/>
  <c r="M884" i="1"/>
  <c r="AN884" i="2"/>
  <c r="L884" i="1"/>
  <c r="AM884" i="2"/>
  <c r="K884" i="1"/>
  <c r="AL884" i="2"/>
  <c r="AK884" i="2"/>
  <c r="AJ884" i="2"/>
  <c r="H884" i="1"/>
  <c r="AI884" i="2"/>
  <c r="G884" i="1"/>
  <c r="AH884" i="2"/>
  <c r="F884" i="1"/>
  <c r="AG884" i="2"/>
  <c r="E884" i="1"/>
  <c r="AF884" i="2"/>
  <c r="D884" i="1"/>
  <c r="AE884" i="2"/>
  <c r="AD884" i="2"/>
  <c r="AC884" i="2"/>
  <c r="Z884" i="2"/>
  <c r="Y884" i="2"/>
  <c r="R883" i="1"/>
  <c r="AS883" i="2"/>
  <c r="AR883" i="2"/>
  <c r="P883" i="1"/>
  <c r="AQ883" i="2"/>
  <c r="O883" i="1"/>
  <c r="AP883" i="2"/>
  <c r="N883" i="1"/>
  <c r="AO883" i="2"/>
  <c r="M883" i="1"/>
  <c r="AN883" i="2"/>
  <c r="L883" i="1"/>
  <c r="AM883" i="2"/>
  <c r="K883" i="1"/>
  <c r="AL883" i="2"/>
  <c r="AK883" i="2"/>
  <c r="AJ883" i="2"/>
  <c r="H883" i="1"/>
  <c r="AI883" i="2"/>
  <c r="G883" i="1"/>
  <c r="AH883" i="2"/>
  <c r="F883" i="1"/>
  <c r="AG883" i="2"/>
  <c r="E883" i="1"/>
  <c r="AF883" i="2"/>
  <c r="D883" i="1"/>
  <c r="AE883" i="2"/>
  <c r="AD883" i="2"/>
  <c r="AC883" i="2"/>
  <c r="Z883" i="2"/>
  <c r="Y883" i="2"/>
  <c r="R882" i="1"/>
  <c r="AS882" i="2"/>
  <c r="AR882" i="2"/>
  <c r="P882" i="1"/>
  <c r="AQ882" i="2"/>
  <c r="O882" i="1"/>
  <c r="AP882" i="2"/>
  <c r="N882" i="1"/>
  <c r="AO882" i="2"/>
  <c r="M882" i="1"/>
  <c r="AN882" i="2"/>
  <c r="L882" i="1"/>
  <c r="AM882" i="2"/>
  <c r="K882" i="1"/>
  <c r="AL882" i="2"/>
  <c r="AK882" i="2"/>
  <c r="AJ882" i="2"/>
  <c r="H882" i="1"/>
  <c r="AI882" i="2"/>
  <c r="G882" i="1"/>
  <c r="AH882" i="2"/>
  <c r="F882" i="1"/>
  <c r="AG882" i="2"/>
  <c r="E882" i="1"/>
  <c r="AF882" i="2"/>
  <c r="D882" i="1"/>
  <c r="AE882" i="2"/>
  <c r="AD882" i="2"/>
  <c r="AC882" i="2"/>
  <c r="Z882" i="2"/>
  <c r="Y882" i="2"/>
  <c r="R881" i="1"/>
  <c r="AS881" i="2"/>
  <c r="AR881" i="2"/>
  <c r="P881" i="1"/>
  <c r="AQ881" i="2"/>
  <c r="O881" i="1"/>
  <c r="AP881" i="2"/>
  <c r="N881" i="1"/>
  <c r="AO881" i="2"/>
  <c r="M881" i="1"/>
  <c r="AN881" i="2"/>
  <c r="L881" i="1"/>
  <c r="AM881" i="2"/>
  <c r="K881" i="1"/>
  <c r="AL881" i="2"/>
  <c r="AK881" i="2"/>
  <c r="AJ881" i="2"/>
  <c r="H881" i="1"/>
  <c r="AI881" i="2"/>
  <c r="G881" i="1"/>
  <c r="AH881" i="2"/>
  <c r="F881" i="1"/>
  <c r="AG881" i="2"/>
  <c r="E881" i="1"/>
  <c r="AF881" i="2"/>
  <c r="D881" i="1"/>
  <c r="AE881" i="2"/>
  <c r="AD881" i="2"/>
  <c r="AC881" i="2"/>
  <c r="Z881" i="2"/>
  <c r="Y881" i="2"/>
  <c r="R880" i="1"/>
  <c r="AS880" i="2"/>
  <c r="AR880" i="2"/>
  <c r="P880" i="1"/>
  <c r="AQ880" i="2"/>
  <c r="O880" i="1"/>
  <c r="AP880" i="2"/>
  <c r="N880" i="1"/>
  <c r="AO880" i="2"/>
  <c r="M880" i="1"/>
  <c r="AN880" i="2"/>
  <c r="L880" i="1"/>
  <c r="AM880" i="2"/>
  <c r="K880" i="1"/>
  <c r="AL880" i="2"/>
  <c r="AK880" i="2"/>
  <c r="AJ880" i="2"/>
  <c r="H880" i="1"/>
  <c r="AI880" i="2"/>
  <c r="G880" i="1"/>
  <c r="AH880" i="2"/>
  <c r="F880" i="1"/>
  <c r="AG880" i="2"/>
  <c r="E880" i="1"/>
  <c r="AF880" i="2"/>
  <c r="D880" i="1"/>
  <c r="AE880" i="2"/>
  <c r="AD880" i="2"/>
  <c r="AC880" i="2"/>
  <c r="Z880" i="2"/>
  <c r="Y880" i="2"/>
  <c r="R879" i="1"/>
  <c r="AS879" i="2"/>
  <c r="AR879" i="2"/>
  <c r="P879" i="1"/>
  <c r="AQ879" i="2"/>
  <c r="O879" i="1"/>
  <c r="AP879" i="2"/>
  <c r="N879" i="1"/>
  <c r="AO879" i="2"/>
  <c r="M879" i="1"/>
  <c r="AN879" i="2"/>
  <c r="L879" i="1"/>
  <c r="AM879" i="2"/>
  <c r="K879" i="1"/>
  <c r="AL879" i="2"/>
  <c r="AK879" i="2"/>
  <c r="AJ879" i="2"/>
  <c r="H879" i="1"/>
  <c r="AI879" i="2"/>
  <c r="G879" i="1"/>
  <c r="AH879" i="2"/>
  <c r="F879" i="1"/>
  <c r="AG879" i="2"/>
  <c r="E879" i="1"/>
  <c r="AF879" i="2"/>
  <c r="D879" i="1"/>
  <c r="AE879" i="2"/>
  <c r="AD879" i="2"/>
  <c r="AC879" i="2"/>
  <c r="Z879" i="2"/>
  <c r="Y879" i="2"/>
  <c r="R878" i="1"/>
  <c r="AS878" i="2"/>
  <c r="AR878" i="2"/>
  <c r="P878" i="1"/>
  <c r="AQ878" i="2"/>
  <c r="O878" i="1"/>
  <c r="AP878" i="2"/>
  <c r="N878" i="1"/>
  <c r="AO878" i="2"/>
  <c r="M878" i="1"/>
  <c r="AN878" i="2"/>
  <c r="L878" i="1"/>
  <c r="AM878" i="2"/>
  <c r="K878" i="1"/>
  <c r="AL878" i="2"/>
  <c r="AK878" i="2"/>
  <c r="AJ878" i="2"/>
  <c r="H878" i="1"/>
  <c r="AI878" i="2"/>
  <c r="G878" i="1"/>
  <c r="AH878" i="2"/>
  <c r="F878" i="1"/>
  <c r="AG878" i="2"/>
  <c r="E878" i="1"/>
  <c r="AF878" i="2"/>
  <c r="D878" i="1"/>
  <c r="AE878" i="2"/>
  <c r="AD878" i="2"/>
  <c r="AC878" i="2"/>
  <c r="Z878" i="2"/>
  <c r="Y878" i="2"/>
  <c r="R877" i="1"/>
  <c r="AS877" i="2"/>
  <c r="AR877" i="2"/>
  <c r="P877" i="1"/>
  <c r="AQ877" i="2"/>
  <c r="O877" i="1"/>
  <c r="AP877" i="2"/>
  <c r="N877" i="1"/>
  <c r="AO877" i="2"/>
  <c r="M877" i="1"/>
  <c r="AN877" i="2"/>
  <c r="L877" i="1"/>
  <c r="AM877" i="2"/>
  <c r="K877" i="1"/>
  <c r="AL877" i="2"/>
  <c r="AK877" i="2"/>
  <c r="AJ877" i="2"/>
  <c r="H877" i="1"/>
  <c r="AI877" i="2"/>
  <c r="G877" i="1"/>
  <c r="AH877" i="2"/>
  <c r="F877" i="1"/>
  <c r="AG877" i="2"/>
  <c r="E877" i="1"/>
  <c r="AF877" i="2"/>
  <c r="D877" i="1"/>
  <c r="AE877" i="2"/>
  <c r="AD877" i="2"/>
  <c r="AC877" i="2"/>
  <c r="Z877" i="2"/>
  <c r="Y877" i="2"/>
  <c r="R876" i="1"/>
  <c r="AS876" i="2"/>
  <c r="AR876" i="2"/>
  <c r="P876" i="1"/>
  <c r="AQ876" i="2"/>
  <c r="O876" i="1"/>
  <c r="AP876" i="2"/>
  <c r="N876" i="1"/>
  <c r="AO876" i="2"/>
  <c r="M876" i="1"/>
  <c r="AN876" i="2"/>
  <c r="L876" i="1"/>
  <c r="AM876" i="2"/>
  <c r="K876" i="1"/>
  <c r="AL876" i="2"/>
  <c r="AK876" i="2"/>
  <c r="AJ876" i="2"/>
  <c r="H876" i="1"/>
  <c r="AI876" i="2"/>
  <c r="G876" i="1"/>
  <c r="AH876" i="2"/>
  <c r="F876" i="1"/>
  <c r="AG876" i="2"/>
  <c r="E876" i="1"/>
  <c r="AF876" i="2"/>
  <c r="D876" i="1"/>
  <c r="AE876" i="2"/>
  <c r="AD876" i="2"/>
  <c r="AC876" i="2"/>
  <c r="Z876" i="2"/>
  <c r="Y876" i="2"/>
  <c r="R875" i="1"/>
  <c r="AS875" i="2"/>
  <c r="AR875" i="2"/>
  <c r="P875" i="1"/>
  <c r="AQ875" i="2"/>
  <c r="O875" i="1"/>
  <c r="AP875" i="2"/>
  <c r="N875" i="1"/>
  <c r="AO875" i="2"/>
  <c r="M875" i="1"/>
  <c r="AN875" i="2"/>
  <c r="L875" i="1"/>
  <c r="AM875" i="2"/>
  <c r="K875" i="1"/>
  <c r="AL875" i="2"/>
  <c r="AK875" i="2"/>
  <c r="AJ875" i="2"/>
  <c r="H875" i="1"/>
  <c r="AI875" i="2"/>
  <c r="G875" i="1"/>
  <c r="AH875" i="2"/>
  <c r="F875" i="1"/>
  <c r="AG875" i="2"/>
  <c r="E875" i="1"/>
  <c r="AF875" i="2"/>
  <c r="D875" i="1"/>
  <c r="AE875" i="2"/>
  <c r="AD875" i="2"/>
  <c r="AC875" i="2"/>
  <c r="Z875" i="2"/>
  <c r="Y875" i="2"/>
  <c r="R874" i="1"/>
  <c r="AS874" i="2"/>
  <c r="AR874" i="2"/>
  <c r="P874" i="1"/>
  <c r="AQ874" i="2"/>
  <c r="O874" i="1"/>
  <c r="AP874" i="2"/>
  <c r="N874" i="1"/>
  <c r="AO874" i="2"/>
  <c r="M874" i="1"/>
  <c r="AN874" i="2"/>
  <c r="L874" i="1"/>
  <c r="AM874" i="2"/>
  <c r="K874" i="1"/>
  <c r="AL874" i="2"/>
  <c r="AK874" i="2"/>
  <c r="AJ874" i="2"/>
  <c r="H874" i="1"/>
  <c r="AI874" i="2"/>
  <c r="G874" i="1"/>
  <c r="AH874" i="2"/>
  <c r="F874" i="1"/>
  <c r="AG874" i="2"/>
  <c r="E874" i="1"/>
  <c r="AF874" i="2"/>
  <c r="D874" i="1"/>
  <c r="AE874" i="2"/>
  <c r="AD874" i="2"/>
  <c r="AC874" i="2"/>
  <c r="Z874" i="2"/>
  <c r="Y874" i="2"/>
  <c r="R873" i="1"/>
  <c r="AS873" i="2"/>
  <c r="AR873" i="2"/>
  <c r="P873" i="1"/>
  <c r="AQ873" i="2"/>
  <c r="O873" i="1"/>
  <c r="AP873" i="2"/>
  <c r="N873" i="1"/>
  <c r="AO873" i="2"/>
  <c r="M873" i="1"/>
  <c r="AN873" i="2"/>
  <c r="L873" i="1"/>
  <c r="AM873" i="2"/>
  <c r="K873" i="1"/>
  <c r="AL873" i="2"/>
  <c r="AK873" i="2"/>
  <c r="AJ873" i="2"/>
  <c r="H873" i="1"/>
  <c r="AI873" i="2"/>
  <c r="G873" i="1"/>
  <c r="AH873" i="2"/>
  <c r="F873" i="1"/>
  <c r="AG873" i="2"/>
  <c r="E873" i="1"/>
  <c r="AF873" i="2"/>
  <c r="D873" i="1"/>
  <c r="AE873" i="2"/>
  <c r="AD873" i="2"/>
  <c r="AC873" i="2"/>
  <c r="Z873" i="2"/>
  <c r="Y873" i="2"/>
  <c r="R872" i="1"/>
  <c r="AS872" i="2"/>
  <c r="AR872" i="2"/>
  <c r="P872" i="1"/>
  <c r="AQ872" i="2"/>
  <c r="O872" i="1"/>
  <c r="AP872" i="2"/>
  <c r="N872" i="1"/>
  <c r="AO872" i="2"/>
  <c r="M872" i="1"/>
  <c r="AN872" i="2"/>
  <c r="L872" i="1"/>
  <c r="AM872" i="2"/>
  <c r="K872" i="1"/>
  <c r="AL872" i="2"/>
  <c r="AK872" i="2"/>
  <c r="AJ872" i="2"/>
  <c r="H872" i="1"/>
  <c r="AI872" i="2"/>
  <c r="G872" i="1"/>
  <c r="AH872" i="2"/>
  <c r="F872" i="1"/>
  <c r="AG872" i="2"/>
  <c r="E872" i="1"/>
  <c r="AF872" i="2"/>
  <c r="D872" i="1"/>
  <c r="AE872" i="2"/>
  <c r="AD872" i="2"/>
  <c r="AC872" i="2"/>
  <c r="Z872" i="2"/>
  <c r="Y872" i="2"/>
  <c r="R871" i="1"/>
  <c r="AS871" i="2"/>
  <c r="AR871" i="2"/>
  <c r="P871" i="1"/>
  <c r="AQ871" i="2"/>
  <c r="O871" i="1"/>
  <c r="AP871" i="2"/>
  <c r="N871" i="1"/>
  <c r="AO871" i="2"/>
  <c r="M871" i="1"/>
  <c r="AN871" i="2"/>
  <c r="L871" i="1"/>
  <c r="AM871" i="2"/>
  <c r="K871" i="1"/>
  <c r="AL871" i="2"/>
  <c r="AK871" i="2"/>
  <c r="AJ871" i="2"/>
  <c r="H871" i="1"/>
  <c r="AI871" i="2"/>
  <c r="G871" i="1"/>
  <c r="AH871" i="2"/>
  <c r="F871" i="1"/>
  <c r="AG871" i="2"/>
  <c r="E871" i="1"/>
  <c r="AF871" i="2"/>
  <c r="D871" i="1"/>
  <c r="AE871" i="2"/>
  <c r="AD871" i="2"/>
  <c r="AC871" i="2"/>
  <c r="Z871" i="2"/>
  <c r="Y871" i="2"/>
  <c r="R870" i="1"/>
  <c r="AS870" i="2"/>
  <c r="AR870" i="2"/>
  <c r="P870" i="1"/>
  <c r="AQ870" i="2"/>
  <c r="O870" i="1"/>
  <c r="AP870" i="2"/>
  <c r="N870" i="1"/>
  <c r="AO870" i="2"/>
  <c r="M870" i="1"/>
  <c r="AN870" i="2"/>
  <c r="L870" i="1"/>
  <c r="AM870" i="2"/>
  <c r="K870" i="1"/>
  <c r="AL870" i="2"/>
  <c r="AK870" i="2"/>
  <c r="AJ870" i="2"/>
  <c r="H870" i="1"/>
  <c r="AI870" i="2"/>
  <c r="G870" i="1"/>
  <c r="AH870" i="2"/>
  <c r="F870" i="1"/>
  <c r="AG870" i="2"/>
  <c r="E870" i="1"/>
  <c r="AF870" i="2"/>
  <c r="D870" i="1"/>
  <c r="AE870" i="2"/>
  <c r="AD870" i="2"/>
  <c r="AC870" i="2"/>
  <c r="Z870" i="2"/>
  <c r="Y870" i="2"/>
  <c r="R869" i="1"/>
  <c r="AS869" i="2"/>
  <c r="AR869" i="2"/>
  <c r="P869" i="1"/>
  <c r="AQ869" i="2"/>
  <c r="O869" i="1"/>
  <c r="AP869" i="2"/>
  <c r="N869" i="1"/>
  <c r="AO869" i="2"/>
  <c r="M869" i="1"/>
  <c r="AN869" i="2"/>
  <c r="L869" i="1"/>
  <c r="AM869" i="2"/>
  <c r="K869" i="1"/>
  <c r="AL869" i="2"/>
  <c r="AK869" i="2"/>
  <c r="AJ869" i="2"/>
  <c r="H869" i="1"/>
  <c r="AI869" i="2"/>
  <c r="G869" i="1"/>
  <c r="AH869" i="2"/>
  <c r="F869" i="1"/>
  <c r="AG869" i="2"/>
  <c r="E869" i="1"/>
  <c r="AF869" i="2"/>
  <c r="D869" i="1"/>
  <c r="AE869" i="2"/>
  <c r="AD869" i="2"/>
  <c r="AC869" i="2"/>
  <c r="Z869" i="2"/>
  <c r="Y869" i="2"/>
  <c r="R868" i="1"/>
  <c r="AS868" i="2"/>
  <c r="AR868" i="2"/>
  <c r="P868" i="1"/>
  <c r="AQ868" i="2"/>
  <c r="O868" i="1"/>
  <c r="AP868" i="2"/>
  <c r="N868" i="1"/>
  <c r="AO868" i="2"/>
  <c r="M868" i="1"/>
  <c r="AN868" i="2"/>
  <c r="L868" i="1"/>
  <c r="AM868" i="2"/>
  <c r="K868" i="1"/>
  <c r="AL868" i="2"/>
  <c r="AK868" i="2"/>
  <c r="AJ868" i="2"/>
  <c r="H868" i="1"/>
  <c r="AI868" i="2"/>
  <c r="G868" i="1"/>
  <c r="AH868" i="2"/>
  <c r="F868" i="1"/>
  <c r="AG868" i="2"/>
  <c r="E868" i="1"/>
  <c r="AF868" i="2"/>
  <c r="D868" i="1"/>
  <c r="AE868" i="2"/>
  <c r="AD868" i="2"/>
  <c r="AC868" i="2"/>
  <c r="Z868" i="2"/>
  <c r="Y868" i="2"/>
  <c r="R867" i="1"/>
  <c r="AS867" i="2"/>
  <c r="AR867" i="2"/>
  <c r="P867" i="1"/>
  <c r="AQ867" i="2"/>
  <c r="O867" i="1"/>
  <c r="AP867" i="2"/>
  <c r="N867" i="1"/>
  <c r="AO867" i="2"/>
  <c r="M867" i="1"/>
  <c r="AN867" i="2"/>
  <c r="L867" i="1"/>
  <c r="AM867" i="2"/>
  <c r="K867" i="1"/>
  <c r="AL867" i="2"/>
  <c r="AK867" i="2"/>
  <c r="AJ867" i="2"/>
  <c r="H867" i="1"/>
  <c r="AI867" i="2"/>
  <c r="G867" i="1"/>
  <c r="AH867" i="2"/>
  <c r="F867" i="1"/>
  <c r="AG867" i="2"/>
  <c r="E867" i="1"/>
  <c r="AF867" i="2"/>
  <c r="D867" i="1"/>
  <c r="AE867" i="2"/>
  <c r="AD867" i="2"/>
  <c r="AC867" i="2"/>
  <c r="Z867" i="2"/>
  <c r="Y867" i="2"/>
  <c r="R866" i="1"/>
  <c r="AS866" i="2"/>
  <c r="AR866" i="2"/>
  <c r="P866" i="1"/>
  <c r="AQ866" i="2"/>
  <c r="O866" i="1"/>
  <c r="AP866" i="2"/>
  <c r="N866" i="1"/>
  <c r="AO866" i="2"/>
  <c r="M866" i="1"/>
  <c r="AN866" i="2"/>
  <c r="L866" i="1"/>
  <c r="AM866" i="2"/>
  <c r="K866" i="1"/>
  <c r="AL866" i="2"/>
  <c r="AK866" i="2"/>
  <c r="AJ866" i="2"/>
  <c r="H866" i="1"/>
  <c r="AI866" i="2"/>
  <c r="G866" i="1"/>
  <c r="AH866" i="2"/>
  <c r="F866" i="1"/>
  <c r="AG866" i="2"/>
  <c r="E866" i="1"/>
  <c r="AF866" i="2"/>
  <c r="D866" i="1"/>
  <c r="AE866" i="2"/>
  <c r="AD866" i="2"/>
  <c r="AC866" i="2"/>
  <c r="Z866" i="2"/>
  <c r="Y866" i="2"/>
  <c r="R865" i="1"/>
  <c r="AS865" i="2"/>
  <c r="AR865" i="2"/>
  <c r="P865" i="1"/>
  <c r="AQ865" i="2"/>
  <c r="O865" i="1"/>
  <c r="AP865" i="2"/>
  <c r="N865" i="1"/>
  <c r="AO865" i="2"/>
  <c r="M865" i="1"/>
  <c r="AN865" i="2"/>
  <c r="L865" i="1"/>
  <c r="AM865" i="2"/>
  <c r="K865" i="1"/>
  <c r="AL865" i="2"/>
  <c r="AK865" i="2"/>
  <c r="AJ865" i="2"/>
  <c r="H865" i="1"/>
  <c r="AI865" i="2"/>
  <c r="G865" i="1"/>
  <c r="AH865" i="2"/>
  <c r="F865" i="1"/>
  <c r="AG865" i="2"/>
  <c r="E865" i="1"/>
  <c r="AF865" i="2"/>
  <c r="D865" i="1"/>
  <c r="AE865" i="2"/>
  <c r="AD865" i="2"/>
  <c r="AC865" i="2"/>
  <c r="Z865" i="2"/>
  <c r="Y865" i="2"/>
  <c r="R864" i="1"/>
  <c r="AS864" i="2"/>
  <c r="AR864" i="2"/>
  <c r="P864" i="1"/>
  <c r="AQ864" i="2"/>
  <c r="O864" i="1"/>
  <c r="AP864" i="2"/>
  <c r="N864" i="1"/>
  <c r="AO864" i="2"/>
  <c r="M864" i="1"/>
  <c r="AN864" i="2"/>
  <c r="L864" i="1"/>
  <c r="AM864" i="2"/>
  <c r="K864" i="1"/>
  <c r="AL864" i="2"/>
  <c r="AK864" i="2"/>
  <c r="AJ864" i="2"/>
  <c r="H864" i="1"/>
  <c r="AI864" i="2"/>
  <c r="G864" i="1"/>
  <c r="AH864" i="2"/>
  <c r="F864" i="1"/>
  <c r="AG864" i="2"/>
  <c r="E864" i="1"/>
  <c r="AF864" i="2"/>
  <c r="D864" i="1"/>
  <c r="AE864" i="2"/>
  <c r="AD864" i="2"/>
  <c r="AC864" i="2"/>
  <c r="Z864" i="2"/>
  <c r="Y864" i="2"/>
  <c r="R863" i="1"/>
  <c r="AS863" i="2"/>
  <c r="AR863" i="2"/>
  <c r="P863" i="1"/>
  <c r="AQ863" i="2"/>
  <c r="O863" i="1"/>
  <c r="AP863" i="2"/>
  <c r="N863" i="1"/>
  <c r="AO863" i="2"/>
  <c r="M863" i="1"/>
  <c r="AN863" i="2"/>
  <c r="L863" i="1"/>
  <c r="AM863" i="2"/>
  <c r="K863" i="1"/>
  <c r="AL863" i="2"/>
  <c r="AK863" i="2"/>
  <c r="AJ863" i="2"/>
  <c r="H863" i="1"/>
  <c r="AI863" i="2"/>
  <c r="G863" i="1"/>
  <c r="AH863" i="2"/>
  <c r="F863" i="1"/>
  <c r="AG863" i="2"/>
  <c r="E863" i="1"/>
  <c r="AF863" i="2"/>
  <c r="D863" i="1"/>
  <c r="AE863" i="2"/>
  <c r="AD863" i="2"/>
  <c r="AC863" i="2"/>
  <c r="Z863" i="2"/>
  <c r="Y863" i="2"/>
  <c r="R862" i="1"/>
  <c r="AS862" i="2"/>
  <c r="AR862" i="2"/>
  <c r="P862" i="1"/>
  <c r="AQ862" i="2"/>
  <c r="O862" i="1"/>
  <c r="AP862" i="2"/>
  <c r="N862" i="1"/>
  <c r="AO862" i="2"/>
  <c r="M862" i="1"/>
  <c r="AN862" i="2"/>
  <c r="L862" i="1"/>
  <c r="AM862" i="2"/>
  <c r="K862" i="1"/>
  <c r="AL862" i="2"/>
  <c r="AK862" i="2"/>
  <c r="AJ862" i="2"/>
  <c r="H862" i="1"/>
  <c r="AI862" i="2"/>
  <c r="G862" i="1"/>
  <c r="AH862" i="2"/>
  <c r="F862" i="1"/>
  <c r="AG862" i="2"/>
  <c r="E862" i="1"/>
  <c r="AF862" i="2"/>
  <c r="D862" i="1"/>
  <c r="AE862" i="2"/>
  <c r="AD862" i="2"/>
  <c r="AC862" i="2"/>
  <c r="Z862" i="2"/>
  <c r="Y862" i="2"/>
  <c r="R861" i="1"/>
  <c r="AS861" i="2"/>
  <c r="AR861" i="2"/>
  <c r="P861" i="1"/>
  <c r="AQ861" i="2"/>
  <c r="O861" i="1"/>
  <c r="AP861" i="2"/>
  <c r="N861" i="1"/>
  <c r="AO861" i="2"/>
  <c r="M861" i="1"/>
  <c r="AN861" i="2"/>
  <c r="L861" i="1"/>
  <c r="AM861" i="2"/>
  <c r="K861" i="1"/>
  <c r="AL861" i="2"/>
  <c r="AK861" i="2"/>
  <c r="AJ861" i="2"/>
  <c r="H861" i="1"/>
  <c r="AI861" i="2"/>
  <c r="G861" i="1"/>
  <c r="AH861" i="2"/>
  <c r="F861" i="1"/>
  <c r="AG861" i="2"/>
  <c r="E861" i="1"/>
  <c r="AF861" i="2"/>
  <c r="D861" i="1"/>
  <c r="AE861" i="2"/>
  <c r="AD861" i="2"/>
  <c r="AC861" i="2"/>
  <c r="Z861" i="2"/>
  <c r="Y861" i="2"/>
  <c r="R860" i="1"/>
  <c r="AS860" i="2"/>
  <c r="AR860" i="2"/>
  <c r="P860" i="1"/>
  <c r="AQ860" i="2"/>
  <c r="O860" i="1"/>
  <c r="AP860" i="2"/>
  <c r="N860" i="1"/>
  <c r="AO860" i="2"/>
  <c r="M860" i="1"/>
  <c r="AN860" i="2"/>
  <c r="L860" i="1"/>
  <c r="AM860" i="2"/>
  <c r="K860" i="1"/>
  <c r="AL860" i="2"/>
  <c r="AK860" i="2"/>
  <c r="AJ860" i="2"/>
  <c r="H860" i="1"/>
  <c r="AI860" i="2"/>
  <c r="G860" i="1"/>
  <c r="AH860" i="2"/>
  <c r="F860" i="1"/>
  <c r="AG860" i="2"/>
  <c r="E860" i="1"/>
  <c r="AF860" i="2"/>
  <c r="D860" i="1"/>
  <c r="AE860" i="2"/>
  <c r="AD860" i="2"/>
  <c r="AC860" i="2"/>
  <c r="Z860" i="2"/>
  <c r="Y860" i="2"/>
  <c r="R859" i="1"/>
  <c r="AS859" i="2"/>
  <c r="AR859" i="2"/>
  <c r="P859" i="1"/>
  <c r="AQ859" i="2"/>
  <c r="O859" i="1"/>
  <c r="AP859" i="2"/>
  <c r="N859" i="1"/>
  <c r="AO859" i="2"/>
  <c r="M859" i="1"/>
  <c r="AN859" i="2"/>
  <c r="L859" i="1"/>
  <c r="AM859" i="2"/>
  <c r="K859" i="1"/>
  <c r="AL859" i="2"/>
  <c r="AK859" i="2"/>
  <c r="AJ859" i="2"/>
  <c r="H859" i="1"/>
  <c r="AI859" i="2"/>
  <c r="G859" i="1"/>
  <c r="AH859" i="2"/>
  <c r="F859" i="1"/>
  <c r="AG859" i="2"/>
  <c r="E859" i="1"/>
  <c r="AF859" i="2"/>
  <c r="D859" i="1"/>
  <c r="AE859" i="2"/>
  <c r="AD859" i="2"/>
  <c r="AC859" i="2"/>
  <c r="Z859" i="2"/>
  <c r="Y859" i="2"/>
  <c r="R858" i="1"/>
  <c r="AS858" i="2"/>
  <c r="AR858" i="2"/>
  <c r="P858" i="1"/>
  <c r="AQ858" i="2"/>
  <c r="O858" i="1"/>
  <c r="AP858" i="2"/>
  <c r="N858" i="1"/>
  <c r="AO858" i="2"/>
  <c r="M858" i="1"/>
  <c r="AN858" i="2"/>
  <c r="L858" i="1"/>
  <c r="AM858" i="2"/>
  <c r="K858" i="1"/>
  <c r="AL858" i="2"/>
  <c r="AK858" i="2"/>
  <c r="AJ858" i="2"/>
  <c r="H858" i="1"/>
  <c r="AI858" i="2"/>
  <c r="G858" i="1"/>
  <c r="AH858" i="2"/>
  <c r="F858" i="1"/>
  <c r="AG858" i="2"/>
  <c r="E858" i="1"/>
  <c r="AF858" i="2"/>
  <c r="D858" i="1"/>
  <c r="AE858" i="2"/>
  <c r="AD858" i="2"/>
  <c r="AC858" i="2"/>
  <c r="Z858" i="2"/>
  <c r="Y858" i="2"/>
  <c r="R857" i="1"/>
  <c r="AS857" i="2"/>
  <c r="AR857" i="2"/>
  <c r="P857" i="1"/>
  <c r="AQ857" i="2"/>
  <c r="O857" i="1"/>
  <c r="AP857" i="2"/>
  <c r="N857" i="1"/>
  <c r="AO857" i="2"/>
  <c r="M857" i="1"/>
  <c r="AN857" i="2"/>
  <c r="L857" i="1"/>
  <c r="AM857" i="2"/>
  <c r="K857" i="1"/>
  <c r="AL857" i="2"/>
  <c r="AK857" i="2"/>
  <c r="AJ857" i="2"/>
  <c r="H857" i="1"/>
  <c r="AI857" i="2"/>
  <c r="G857" i="1"/>
  <c r="AH857" i="2"/>
  <c r="F857" i="1"/>
  <c r="AG857" i="2"/>
  <c r="E857" i="1"/>
  <c r="AF857" i="2"/>
  <c r="D857" i="1"/>
  <c r="AE857" i="2"/>
  <c r="AD857" i="2"/>
  <c r="AC857" i="2"/>
  <c r="Z857" i="2"/>
  <c r="Y857" i="2"/>
  <c r="R856" i="1"/>
  <c r="AS856" i="2"/>
  <c r="AR856" i="2"/>
  <c r="P856" i="1"/>
  <c r="AQ856" i="2"/>
  <c r="O856" i="1"/>
  <c r="AP856" i="2"/>
  <c r="N856" i="1"/>
  <c r="AO856" i="2"/>
  <c r="M856" i="1"/>
  <c r="AN856" i="2"/>
  <c r="L856" i="1"/>
  <c r="AM856" i="2"/>
  <c r="K856" i="1"/>
  <c r="AL856" i="2"/>
  <c r="AK856" i="2"/>
  <c r="AJ856" i="2"/>
  <c r="H856" i="1"/>
  <c r="AI856" i="2"/>
  <c r="G856" i="1"/>
  <c r="AH856" i="2"/>
  <c r="F856" i="1"/>
  <c r="AG856" i="2"/>
  <c r="E856" i="1"/>
  <c r="AF856" i="2"/>
  <c r="D856" i="1"/>
  <c r="AE856" i="2"/>
  <c r="AD856" i="2"/>
  <c r="AC856" i="2"/>
  <c r="Z856" i="2"/>
  <c r="Y856" i="2"/>
  <c r="R855" i="1"/>
  <c r="AS855" i="2"/>
  <c r="AR855" i="2"/>
  <c r="P855" i="1"/>
  <c r="AQ855" i="2"/>
  <c r="O855" i="1"/>
  <c r="AP855" i="2"/>
  <c r="N855" i="1"/>
  <c r="AO855" i="2"/>
  <c r="M855" i="1"/>
  <c r="AN855" i="2"/>
  <c r="L855" i="1"/>
  <c r="AM855" i="2"/>
  <c r="K855" i="1"/>
  <c r="AL855" i="2"/>
  <c r="AK855" i="2"/>
  <c r="AJ855" i="2"/>
  <c r="H855" i="1"/>
  <c r="AI855" i="2"/>
  <c r="G855" i="1"/>
  <c r="AH855" i="2"/>
  <c r="F855" i="1"/>
  <c r="AG855" i="2"/>
  <c r="E855" i="1"/>
  <c r="AF855" i="2"/>
  <c r="D855" i="1"/>
  <c r="AE855" i="2"/>
  <c r="AD855" i="2"/>
  <c r="AC855" i="2"/>
  <c r="Z855" i="2"/>
  <c r="Y855" i="2"/>
  <c r="R854" i="1"/>
  <c r="AS854" i="2"/>
  <c r="AR854" i="2"/>
  <c r="P854" i="1"/>
  <c r="AQ854" i="2"/>
  <c r="O854" i="1"/>
  <c r="AP854" i="2"/>
  <c r="N854" i="1"/>
  <c r="AO854" i="2"/>
  <c r="M854" i="1"/>
  <c r="AN854" i="2"/>
  <c r="L854" i="1"/>
  <c r="AM854" i="2"/>
  <c r="K854" i="1"/>
  <c r="AL854" i="2"/>
  <c r="AK854" i="2"/>
  <c r="AJ854" i="2"/>
  <c r="H854" i="1"/>
  <c r="AI854" i="2"/>
  <c r="G854" i="1"/>
  <c r="AH854" i="2"/>
  <c r="F854" i="1"/>
  <c r="AG854" i="2"/>
  <c r="E854" i="1"/>
  <c r="AF854" i="2"/>
  <c r="D854" i="1"/>
  <c r="AE854" i="2"/>
  <c r="AD854" i="2"/>
  <c r="AC854" i="2"/>
  <c r="Z854" i="2"/>
  <c r="Y854" i="2"/>
  <c r="R853" i="1"/>
  <c r="AS853" i="2"/>
  <c r="AR853" i="2"/>
  <c r="P853" i="1"/>
  <c r="AQ853" i="2"/>
  <c r="O853" i="1"/>
  <c r="AP853" i="2"/>
  <c r="N853" i="1"/>
  <c r="AO853" i="2"/>
  <c r="M853" i="1"/>
  <c r="AN853" i="2"/>
  <c r="L853" i="1"/>
  <c r="AM853" i="2"/>
  <c r="K853" i="1"/>
  <c r="AL853" i="2"/>
  <c r="AK853" i="2"/>
  <c r="AJ853" i="2"/>
  <c r="H853" i="1"/>
  <c r="AI853" i="2"/>
  <c r="G853" i="1"/>
  <c r="AH853" i="2"/>
  <c r="F853" i="1"/>
  <c r="AG853" i="2"/>
  <c r="E853" i="1"/>
  <c r="AF853" i="2"/>
  <c r="D853" i="1"/>
  <c r="AE853" i="2"/>
  <c r="AD853" i="2"/>
  <c r="AC853" i="2"/>
  <c r="Z853" i="2"/>
  <c r="Y853" i="2"/>
  <c r="R852" i="1"/>
  <c r="AS852" i="2"/>
  <c r="AR852" i="2"/>
  <c r="P852" i="1"/>
  <c r="AQ852" i="2"/>
  <c r="O852" i="1"/>
  <c r="AP852" i="2"/>
  <c r="N852" i="1"/>
  <c r="AO852" i="2"/>
  <c r="M852" i="1"/>
  <c r="AN852" i="2"/>
  <c r="L852" i="1"/>
  <c r="AM852" i="2"/>
  <c r="K852" i="1"/>
  <c r="AL852" i="2"/>
  <c r="AK852" i="2"/>
  <c r="AJ852" i="2"/>
  <c r="H852" i="1"/>
  <c r="AI852" i="2"/>
  <c r="G852" i="1"/>
  <c r="AH852" i="2"/>
  <c r="F852" i="1"/>
  <c r="AG852" i="2"/>
  <c r="E852" i="1"/>
  <c r="AF852" i="2"/>
  <c r="D852" i="1"/>
  <c r="AE852" i="2"/>
  <c r="AD852" i="2"/>
  <c r="AC852" i="2"/>
  <c r="Z852" i="2"/>
  <c r="Y852" i="2"/>
  <c r="R851" i="1"/>
  <c r="AS851" i="2"/>
  <c r="AR851" i="2"/>
  <c r="P851" i="1"/>
  <c r="AQ851" i="2"/>
  <c r="O851" i="1"/>
  <c r="AP851" i="2"/>
  <c r="N851" i="1"/>
  <c r="AO851" i="2"/>
  <c r="M851" i="1"/>
  <c r="AN851" i="2"/>
  <c r="L851" i="1"/>
  <c r="AM851" i="2"/>
  <c r="K851" i="1"/>
  <c r="AL851" i="2"/>
  <c r="AK851" i="2"/>
  <c r="AJ851" i="2"/>
  <c r="H851" i="1"/>
  <c r="AI851" i="2"/>
  <c r="G851" i="1"/>
  <c r="AH851" i="2"/>
  <c r="F851" i="1"/>
  <c r="AG851" i="2"/>
  <c r="E851" i="1"/>
  <c r="AF851" i="2"/>
  <c r="D851" i="1"/>
  <c r="AE851" i="2"/>
  <c r="AD851" i="2"/>
  <c r="AC851" i="2"/>
  <c r="Z851" i="2"/>
  <c r="Y851" i="2"/>
  <c r="R850" i="1"/>
  <c r="AS850" i="2"/>
  <c r="AR850" i="2"/>
  <c r="P850" i="1"/>
  <c r="AQ850" i="2"/>
  <c r="O850" i="1"/>
  <c r="AP850" i="2"/>
  <c r="N850" i="1"/>
  <c r="AO850" i="2"/>
  <c r="M850" i="1"/>
  <c r="AN850" i="2"/>
  <c r="L850" i="1"/>
  <c r="AM850" i="2"/>
  <c r="K850" i="1"/>
  <c r="AL850" i="2"/>
  <c r="AK850" i="2"/>
  <c r="AJ850" i="2"/>
  <c r="H850" i="1"/>
  <c r="AI850" i="2"/>
  <c r="G850" i="1"/>
  <c r="AH850" i="2"/>
  <c r="F850" i="1"/>
  <c r="AG850" i="2"/>
  <c r="E850" i="1"/>
  <c r="AF850" i="2"/>
  <c r="D850" i="1"/>
  <c r="AE850" i="2"/>
  <c r="AD850" i="2"/>
  <c r="AC850" i="2"/>
  <c r="Z850" i="2"/>
  <c r="Y850" i="2"/>
  <c r="R849" i="1"/>
  <c r="AS849" i="2"/>
  <c r="AR849" i="2"/>
  <c r="P849" i="1"/>
  <c r="AQ849" i="2"/>
  <c r="O849" i="1"/>
  <c r="AP849" i="2"/>
  <c r="N849" i="1"/>
  <c r="AO849" i="2"/>
  <c r="M849" i="1"/>
  <c r="AN849" i="2"/>
  <c r="L849" i="1"/>
  <c r="AM849" i="2"/>
  <c r="K849" i="1"/>
  <c r="AL849" i="2"/>
  <c r="AK849" i="2"/>
  <c r="AJ849" i="2"/>
  <c r="H849" i="1"/>
  <c r="AI849" i="2"/>
  <c r="G849" i="1"/>
  <c r="AH849" i="2"/>
  <c r="F849" i="1"/>
  <c r="AG849" i="2"/>
  <c r="E849" i="1"/>
  <c r="AF849" i="2"/>
  <c r="D849" i="1"/>
  <c r="AE849" i="2"/>
  <c r="AD849" i="2"/>
  <c r="AC849" i="2"/>
  <c r="Z849" i="2"/>
  <c r="Y849" i="2"/>
  <c r="R848" i="1"/>
  <c r="AS848" i="2"/>
  <c r="AR848" i="2"/>
  <c r="P848" i="1"/>
  <c r="AQ848" i="2"/>
  <c r="O848" i="1"/>
  <c r="AP848" i="2"/>
  <c r="N848" i="1"/>
  <c r="AO848" i="2"/>
  <c r="M848" i="1"/>
  <c r="AN848" i="2"/>
  <c r="L848" i="1"/>
  <c r="AM848" i="2"/>
  <c r="K848" i="1"/>
  <c r="AL848" i="2"/>
  <c r="AK848" i="2"/>
  <c r="AJ848" i="2"/>
  <c r="H848" i="1"/>
  <c r="AI848" i="2"/>
  <c r="G848" i="1"/>
  <c r="AH848" i="2"/>
  <c r="F848" i="1"/>
  <c r="AG848" i="2"/>
  <c r="E848" i="1"/>
  <c r="AF848" i="2"/>
  <c r="D848" i="1"/>
  <c r="AE848" i="2"/>
  <c r="AD848" i="2"/>
  <c r="AC848" i="2"/>
  <c r="Z848" i="2"/>
  <c r="Y848" i="2"/>
  <c r="R847" i="1"/>
  <c r="AS847" i="2"/>
  <c r="AR847" i="2"/>
  <c r="P847" i="1"/>
  <c r="AQ847" i="2"/>
  <c r="O847" i="1"/>
  <c r="AP847" i="2"/>
  <c r="N847" i="1"/>
  <c r="AO847" i="2"/>
  <c r="M847" i="1"/>
  <c r="AN847" i="2"/>
  <c r="L847" i="1"/>
  <c r="AM847" i="2"/>
  <c r="K847" i="1"/>
  <c r="AL847" i="2"/>
  <c r="AK847" i="2"/>
  <c r="AJ847" i="2"/>
  <c r="H847" i="1"/>
  <c r="AI847" i="2"/>
  <c r="G847" i="1"/>
  <c r="AH847" i="2"/>
  <c r="F847" i="1"/>
  <c r="AG847" i="2"/>
  <c r="E847" i="1"/>
  <c r="AF847" i="2"/>
  <c r="D847" i="1"/>
  <c r="AE847" i="2"/>
  <c r="AD847" i="2"/>
  <c r="AC847" i="2"/>
  <c r="Z847" i="2"/>
  <c r="Y847" i="2"/>
  <c r="R846" i="1"/>
  <c r="AS846" i="2"/>
  <c r="AR846" i="2"/>
  <c r="P846" i="1"/>
  <c r="AQ846" i="2"/>
  <c r="O846" i="1"/>
  <c r="AP846" i="2"/>
  <c r="N846" i="1"/>
  <c r="AO846" i="2"/>
  <c r="M846" i="1"/>
  <c r="AN846" i="2"/>
  <c r="L846" i="1"/>
  <c r="AM846" i="2"/>
  <c r="K846" i="1"/>
  <c r="AL846" i="2"/>
  <c r="AK846" i="2"/>
  <c r="AJ846" i="2"/>
  <c r="H846" i="1"/>
  <c r="AI846" i="2"/>
  <c r="G846" i="1"/>
  <c r="AH846" i="2"/>
  <c r="F846" i="1"/>
  <c r="AG846" i="2"/>
  <c r="E846" i="1"/>
  <c r="AF846" i="2"/>
  <c r="D846" i="1"/>
  <c r="AE846" i="2"/>
  <c r="AD846" i="2"/>
  <c r="AC846" i="2"/>
  <c r="Z846" i="2"/>
  <c r="Y846" i="2"/>
  <c r="R845" i="1"/>
  <c r="AS845" i="2"/>
  <c r="AR845" i="2"/>
  <c r="P845" i="1"/>
  <c r="AQ845" i="2"/>
  <c r="O845" i="1"/>
  <c r="AP845" i="2"/>
  <c r="N845" i="1"/>
  <c r="AO845" i="2"/>
  <c r="M845" i="1"/>
  <c r="AN845" i="2"/>
  <c r="L845" i="1"/>
  <c r="AM845" i="2"/>
  <c r="K845" i="1"/>
  <c r="AL845" i="2"/>
  <c r="AK845" i="2"/>
  <c r="AJ845" i="2"/>
  <c r="H845" i="1"/>
  <c r="AI845" i="2"/>
  <c r="G845" i="1"/>
  <c r="AH845" i="2"/>
  <c r="F845" i="1"/>
  <c r="AG845" i="2"/>
  <c r="E845" i="1"/>
  <c r="AF845" i="2"/>
  <c r="D845" i="1"/>
  <c r="AE845" i="2"/>
  <c r="AD845" i="2"/>
  <c r="AC845" i="2"/>
  <c r="Z845" i="2"/>
  <c r="Y845" i="2"/>
  <c r="R844" i="1"/>
  <c r="AS844" i="2"/>
  <c r="AR844" i="2"/>
  <c r="P844" i="1"/>
  <c r="AQ844" i="2"/>
  <c r="O844" i="1"/>
  <c r="AP844" i="2"/>
  <c r="N844" i="1"/>
  <c r="AO844" i="2"/>
  <c r="M844" i="1"/>
  <c r="AN844" i="2"/>
  <c r="L844" i="1"/>
  <c r="AM844" i="2"/>
  <c r="K844" i="1"/>
  <c r="AL844" i="2"/>
  <c r="AK844" i="2"/>
  <c r="AJ844" i="2"/>
  <c r="H844" i="1"/>
  <c r="AI844" i="2"/>
  <c r="G844" i="1"/>
  <c r="AH844" i="2"/>
  <c r="F844" i="1"/>
  <c r="AG844" i="2"/>
  <c r="E844" i="1"/>
  <c r="AF844" i="2"/>
  <c r="D844" i="1"/>
  <c r="AE844" i="2"/>
  <c r="AD844" i="2"/>
  <c r="AC844" i="2"/>
  <c r="Z844" i="2"/>
  <c r="Y844" i="2"/>
  <c r="R843" i="1"/>
  <c r="AS843" i="2"/>
  <c r="AR843" i="2"/>
  <c r="P843" i="1"/>
  <c r="AQ843" i="2"/>
  <c r="O843" i="1"/>
  <c r="AP843" i="2"/>
  <c r="N843" i="1"/>
  <c r="AO843" i="2"/>
  <c r="M843" i="1"/>
  <c r="AN843" i="2"/>
  <c r="L843" i="1"/>
  <c r="AM843" i="2"/>
  <c r="K843" i="1"/>
  <c r="AL843" i="2"/>
  <c r="AK843" i="2"/>
  <c r="AJ843" i="2"/>
  <c r="H843" i="1"/>
  <c r="AI843" i="2"/>
  <c r="G843" i="1"/>
  <c r="AH843" i="2"/>
  <c r="F843" i="1"/>
  <c r="AG843" i="2"/>
  <c r="E843" i="1"/>
  <c r="AF843" i="2"/>
  <c r="D843" i="1"/>
  <c r="AE843" i="2"/>
  <c r="AD843" i="2"/>
  <c r="AC843" i="2"/>
  <c r="Z843" i="2"/>
  <c r="Y843" i="2"/>
  <c r="R842" i="1"/>
  <c r="AS842" i="2"/>
  <c r="AR842" i="2"/>
  <c r="P842" i="1"/>
  <c r="AQ842" i="2"/>
  <c r="O842" i="1"/>
  <c r="AP842" i="2"/>
  <c r="N842" i="1"/>
  <c r="AO842" i="2"/>
  <c r="M842" i="1"/>
  <c r="AN842" i="2"/>
  <c r="L842" i="1"/>
  <c r="AM842" i="2"/>
  <c r="K842" i="1"/>
  <c r="AL842" i="2"/>
  <c r="AK842" i="2"/>
  <c r="AJ842" i="2"/>
  <c r="H842" i="1"/>
  <c r="AI842" i="2"/>
  <c r="G842" i="1"/>
  <c r="AH842" i="2"/>
  <c r="F842" i="1"/>
  <c r="AG842" i="2"/>
  <c r="E842" i="1"/>
  <c r="AF842" i="2"/>
  <c r="D842" i="1"/>
  <c r="AE842" i="2"/>
  <c r="AD842" i="2"/>
  <c r="AC842" i="2"/>
  <c r="Z842" i="2"/>
  <c r="Y842" i="2"/>
  <c r="R841" i="1"/>
  <c r="AS841" i="2"/>
  <c r="AR841" i="2"/>
  <c r="P841" i="1"/>
  <c r="AQ841" i="2"/>
  <c r="O841" i="1"/>
  <c r="AP841" i="2"/>
  <c r="N841" i="1"/>
  <c r="AO841" i="2"/>
  <c r="M841" i="1"/>
  <c r="AN841" i="2"/>
  <c r="L841" i="1"/>
  <c r="AM841" i="2"/>
  <c r="K841" i="1"/>
  <c r="AL841" i="2"/>
  <c r="AK841" i="2"/>
  <c r="AJ841" i="2"/>
  <c r="H841" i="1"/>
  <c r="AI841" i="2"/>
  <c r="G841" i="1"/>
  <c r="AH841" i="2"/>
  <c r="F841" i="1"/>
  <c r="AG841" i="2"/>
  <c r="E841" i="1"/>
  <c r="AF841" i="2"/>
  <c r="D841" i="1"/>
  <c r="AE841" i="2"/>
  <c r="AD841" i="2"/>
  <c r="AC841" i="2"/>
  <c r="Z841" i="2"/>
  <c r="Y841" i="2"/>
  <c r="R840" i="1"/>
  <c r="AS840" i="2"/>
  <c r="AR840" i="2"/>
  <c r="P840" i="1"/>
  <c r="AQ840" i="2"/>
  <c r="O840" i="1"/>
  <c r="AP840" i="2"/>
  <c r="N840" i="1"/>
  <c r="AO840" i="2"/>
  <c r="M840" i="1"/>
  <c r="AN840" i="2"/>
  <c r="L840" i="1"/>
  <c r="AM840" i="2"/>
  <c r="K840" i="1"/>
  <c r="AL840" i="2"/>
  <c r="AK840" i="2"/>
  <c r="AJ840" i="2"/>
  <c r="H840" i="1"/>
  <c r="AI840" i="2"/>
  <c r="G840" i="1"/>
  <c r="AH840" i="2"/>
  <c r="F840" i="1"/>
  <c r="AG840" i="2"/>
  <c r="E840" i="1"/>
  <c r="AF840" i="2"/>
  <c r="D840" i="1"/>
  <c r="AE840" i="2"/>
  <c r="AD840" i="2"/>
  <c r="AC840" i="2"/>
  <c r="Z840" i="2"/>
  <c r="Y840" i="2"/>
  <c r="R839" i="1"/>
  <c r="AS839" i="2"/>
  <c r="AR839" i="2"/>
  <c r="P839" i="1"/>
  <c r="AQ839" i="2"/>
  <c r="O839" i="1"/>
  <c r="AP839" i="2"/>
  <c r="N839" i="1"/>
  <c r="AO839" i="2"/>
  <c r="M839" i="1"/>
  <c r="AN839" i="2"/>
  <c r="L839" i="1"/>
  <c r="AM839" i="2"/>
  <c r="K839" i="1"/>
  <c r="AL839" i="2"/>
  <c r="AK839" i="2"/>
  <c r="AJ839" i="2"/>
  <c r="H839" i="1"/>
  <c r="AI839" i="2"/>
  <c r="G839" i="1"/>
  <c r="AH839" i="2"/>
  <c r="F839" i="1"/>
  <c r="AG839" i="2"/>
  <c r="E839" i="1"/>
  <c r="AF839" i="2"/>
  <c r="D839" i="1"/>
  <c r="AE839" i="2"/>
  <c r="AD839" i="2"/>
  <c r="AC839" i="2"/>
  <c r="Z839" i="2"/>
  <c r="Y839" i="2"/>
  <c r="R838" i="1"/>
  <c r="AS838" i="2"/>
  <c r="AR838" i="2"/>
  <c r="P838" i="1"/>
  <c r="AQ838" i="2"/>
  <c r="O838" i="1"/>
  <c r="AP838" i="2"/>
  <c r="N838" i="1"/>
  <c r="AO838" i="2"/>
  <c r="M838" i="1"/>
  <c r="AN838" i="2"/>
  <c r="L838" i="1"/>
  <c r="AM838" i="2"/>
  <c r="K838" i="1"/>
  <c r="AL838" i="2"/>
  <c r="AK838" i="2"/>
  <c r="AJ838" i="2"/>
  <c r="H838" i="1"/>
  <c r="AI838" i="2"/>
  <c r="G838" i="1"/>
  <c r="AH838" i="2"/>
  <c r="F838" i="1"/>
  <c r="AG838" i="2"/>
  <c r="E838" i="1"/>
  <c r="AF838" i="2"/>
  <c r="D838" i="1"/>
  <c r="AE838" i="2"/>
  <c r="AD838" i="2"/>
  <c r="AC838" i="2"/>
  <c r="Z838" i="2"/>
  <c r="Y838" i="2"/>
  <c r="R837" i="1"/>
  <c r="AS837" i="2"/>
  <c r="AR837" i="2"/>
  <c r="P837" i="1"/>
  <c r="AQ837" i="2"/>
  <c r="O837" i="1"/>
  <c r="AP837" i="2"/>
  <c r="N837" i="1"/>
  <c r="AO837" i="2"/>
  <c r="M837" i="1"/>
  <c r="AN837" i="2"/>
  <c r="L837" i="1"/>
  <c r="AM837" i="2"/>
  <c r="K837" i="1"/>
  <c r="AL837" i="2"/>
  <c r="AK837" i="2"/>
  <c r="AJ837" i="2"/>
  <c r="H837" i="1"/>
  <c r="AI837" i="2"/>
  <c r="G837" i="1"/>
  <c r="AH837" i="2"/>
  <c r="F837" i="1"/>
  <c r="AG837" i="2"/>
  <c r="E837" i="1"/>
  <c r="AF837" i="2"/>
  <c r="D837" i="1"/>
  <c r="AE837" i="2"/>
  <c r="AD837" i="2"/>
  <c r="AC837" i="2"/>
  <c r="Z837" i="2"/>
  <c r="Y837" i="2"/>
  <c r="R836" i="1"/>
  <c r="AS836" i="2"/>
  <c r="AR836" i="2"/>
  <c r="P836" i="1"/>
  <c r="AQ836" i="2"/>
  <c r="O836" i="1"/>
  <c r="AP836" i="2"/>
  <c r="N836" i="1"/>
  <c r="AO836" i="2"/>
  <c r="M836" i="1"/>
  <c r="AN836" i="2"/>
  <c r="L836" i="1"/>
  <c r="AM836" i="2"/>
  <c r="K836" i="1"/>
  <c r="AL836" i="2"/>
  <c r="AK836" i="2"/>
  <c r="AJ836" i="2"/>
  <c r="H836" i="1"/>
  <c r="AI836" i="2"/>
  <c r="G836" i="1"/>
  <c r="AH836" i="2"/>
  <c r="F836" i="1"/>
  <c r="AG836" i="2"/>
  <c r="E836" i="1"/>
  <c r="AF836" i="2"/>
  <c r="D836" i="1"/>
  <c r="AE836" i="2"/>
  <c r="AD836" i="2"/>
  <c r="AC836" i="2"/>
  <c r="Z836" i="2"/>
  <c r="Y836" i="2"/>
  <c r="R835" i="1"/>
  <c r="AS835" i="2"/>
  <c r="AR835" i="2"/>
  <c r="P835" i="1"/>
  <c r="AQ835" i="2"/>
  <c r="O835" i="1"/>
  <c r="AP835" i="2"/>
  <c r="N835" i="1"/>
  <c r="AO835" i="2"/>
  <c r="M835" i="1"/>
  <c r="AN835" i="2"/>
  <c r="L835" i="1"/>
  <c r="AM835" i="2"/>
  <c r="K835" i="1"/>
  <c r="AL835" i="2"/>
  <c r="AK835" i="2"/>
  <c r="AJ835" i="2"/>
  <c r="H835" i="1"/>
  <c r="AI835" i="2"/>
  <c r="G835" i="1"/>
  <c r="AH835" i="2"/>
  <c r="F835" i="1"/>
  <c r="AG835" i="2"/>
  <c r="E835" i="1"/>
  <c r="AF835" i="2"/>
  <c r="D835" i="1"/>
  <c r="AE835" i="2"/>
  <c r="AD835" i="2"/>
  <c r="AC835" i="2"/>
  <c r="Z835" i="2"/>
  <c r="Y835" i="2"/>
  <c r="R834" i="1"/>
  <c r="AS834" i="2"/>
  <c r="AR834" i="2"/>
  <c r="P834" i="1"/>
  <c r="AQ834" i="2"/>
  <c r="O834" i="1"/>
  <c r="AP834" i="2"/>
  <c r="N834" i="1"/>
  <c r="AO834" i="2"/>
  <c r="M834" i="1"/>
  <c r="AN834" i="2"/>
  <c r="L834" i="1"/>
  <c r="AM834" i="2"/>
  <c r="K834" i="1"/>
  <c r="AL834" i="2"/>
  <c r="AK834" i="2"/>
  <c r="AJ834" i="2"/>
  <c r="H834" i="1"/>
  <c r="AI834" i="2"/>
  <c r="G834" i="1"/>
  <c r="AH834" i="2"/>
  <c r="F834" i="1"/>
  <c r="AG834" i="2"/>
  <c r="E834" i="1"/>
  <c r="AF834" i="2"/>
  <c r="D834" i="1"/>
  <c r="AE834" i="2"/>
  <c r="AD834" i="2"/>
  <c r="AC834" i="2"/>
  <c r="Z834" i="2"/>
  <c r="Y834" i="2"/>
  <c r="R833" i="1"/>
  <c r="AS833" i="2"/>
  <c r="AR833" i="2"/>
  <c r="P833" i="1"/>
  <c r="AQ833" i="2"/>
  <c r="O833" i="1"/>
  <c r="AP833" i="2"/>
  <c r="N833" i="1"/>
  <c r="AO833" i="2"/>
  <c r="M833" i="1"/>
  <c r="AN833" i="2"/>
  <c r="L833" i="1"/>
  <c r="AM833" i="2"/>
  <c r="K833" i="1"/>
  <c r="AL833" i="2"/>
  <c r="AK833" i="2"/>
  <c r="AJ833" i="2"/>
  <c r="H833" i="1"/>
  <c r="AI833" i="2"/>
  <c r="G833" i="1"/>
  <c r="AH833" i="2"/>
  <c r="F833" i="1"/>
  <c r="AG833" i="2"/>
  <c r="E833" i="1"/>
  <c r="AF833" i="2"/>
  <c r="D833" i="1"/>
  <c r="AE833" i="2"/>
  <c r="AD833" i="2"/>
  <c r="AC833" i="2"/>
  <c r="Z833" i="2"/>
  <c r="Y833" i="2"/>
  <c r="R832" i="1"/>
  <c r="AS832" i="2"/>
  <c r="AR832" i="2"/>
  <c r="P832" i="1"/>
  <c r="AQ832" i="2"/>
  <c r="O832" i="1"/>
  <c r="AP832" i="2"/>
  <c r="N832" i="1"/>
  <c r="AO832" i="2"/>
  <c r="M832" i="1"/>
  <c r="AN832" i="2"/>
  <c r="L832" i="1"/>
  <c r="AM832" i="2"/>
  <c r="K832" i="1"/>
  <c r="AL832" i="2"/>
  <c r="AK832" i="2"/>
  <c r="AJ832" i="2"/>
  <c r="H832" i="1"/>
  <c r="AI832" i="2"/>
  <c r="G832" i="1"/>
  <c r="AH832" i="2"/>
  <c r="F832" i="1"/>
  <c r="AG832" i="2"/>
  <c r="E832" i="1"/>
  <c r="AF832" i="2"/>
  <c r="D832" i="1"/>
  <c r="AE832" i="2"/>
  <c r="AD832" i="2"/>
  <c r="AC832" i="2"/>
  <c r="Z832" i="2"/>
  <c r="Y832" i="2"/>
  <c r="R831" i="1"/>
  <c r="AS831" i="2"/>
  <c r="AR831" i="2"/>
  <c r="P831" i="1"/>
  <c r="AQ831" i="2"/>
  <c r="O831" i="1"/>
  <c r="AP831" i="2"/>
  <c r="N831" i="1"/>
  <c r="AO831" i="2"/>
  <c r="M831" i="1"/>
  <c r="AN831" i="2"/>
  <c r="L831" i="1"/>
  <c r="AM831" i="2"/>
  <c r="K831" i="1"/>
  <c r="AL831" i="2"/>
  <c r="AK831" i="2"/>
  <c r="AJ831" i="2"/>
  <c r="H831" i="1"/>
  <c r="AI831" i="2"/>
  <c r="G831" i="1"/>
  <c r="AH831" i="2"/>
  <c r="F831" i="1"/>
  <c r="AG831" i="2"/>
  <c r="E831" i="1"/>
  <c r="AF831" i="2"/>
  <c r="D831" i="1"/>
  <c r="AE831" i="2"/>
  <c r="AD831" i="2"/>
  <c r="AC831" i="2"/>
  <c r="Z831" i="2"/>
  <c r="Y831" i="2"/>
  <c r="R830" i="1"/>
  <c r="AS830" i="2"/>
  <c r="AR830" i="2"/>
  <c r="P830" i="1"/>
  <c r="AQ830" i="2"/>
  <c r="O830" i="1"/>
  <c r="AP830" i="2"/>
  <c r="N830" i="1"/>
  <c r="AO830" i="2"/>
  <c r="M830" i="1"/>
  <c r="AN830" i="2"/>
  <c r="L830" i="1"/>
  <c r="AM830" i="2"/>
  <c r="K830" i="1"/>
  <c r="AL830" i="2"/>
  <c r="AK830" i="2"/>
  <c r="AJ830" i="2"/>
  <c r="H830" i="1"/>
  <c r="AI830" i="2"/>
  <c r="G830" i="1"/>
  <c r="AH830" i="2"/>
  <c r="F830" i="1"/>
  <c r="AG830" i="2"/>
  <c r="E830" i="1"/>
  <c r="AF830" i="2"/>
  <c r="D830" i="1"/>
  <c r="AE830" i="2"/>
  <c r="AD830" i="2"/>
  <c r="AC830" i="2"/>
  <c r="Z830" i="2"/>
  <c r="Y830" i="2"/>
  <c r="R829" i="1"/>
  <c r="AS829" i="2"/>
  <c r="AR829" i="2"/>
  <c r="P829" i="1"/>
  <c r="AQ829" i="2"/>
  <c r="O829" i="1"/>
  <c r="AP829" i="2"/>
  <c r="N829" i="1"/>
  <c r="AO829" i="2"/>
  <c r="M829" i="1"/>
  <c r="AN829" i="2"/>
  <c r="L829" i="1"/>
  <c r="AM829" i="2"/>
  <c r="K829" i="1"/>
  <c r="AL829" i="2"/>
  <c r="AK829" i="2"/>
  <c r="AJ829" i="2"/>
  <c r="H829" i="1"/>
  <c r="AI829" i="2"/>
  <c r="G829" i="1"/>
  <c r="AH829" i="2"/>
  <c r="F829" i="1"/>
  <c r="AG829" i="2"/>
  <c r="E829" i="1"/>
  <c r="AF829" i="2"/>
  <c r="D829" i="1"/>
  <c r="AE829" i="2"/>
  <c r="AD829" i="2"/>
  <c r="AC829" i="2"/>
  <c r="Z829" i="2"/>
  <c r="Y829" i="2"/>
  <c r="R828" i="1"/>
  <c r="AS828" i="2"/>
  <c r="AR828" i="2"/>
  <c r="P828" i="1"/>
  <c r="AQ828" i="2"/>
  <c r="O828" i="1"/>
  <c r="AP828" i="2"/>
  <c r="N828" i="1"/>
  <c r="AO828" i="2"/>
  <c r="M828" i="1"/>
  <c r="AN828" i="2"/>
  <c r="L828" i="1"/>
  <c r="AM828" i="2"/>
  <c r="K828" i="1"/>
  <c r="AL828" i="2"/>
  <c r="AK828" i="2"/>
  <c r="AJ828" i="2"/>
  <c r="H828" i="1"/>
  <c r="AI828" i="2"/>
  <c r="G828" i="1"/>
  <c r="AH828" i="2"/>
  <c r="F828" i="1"/>
  <c r="AG828" i="2"/>
  <c r="E828" i="1"/>
  <c r="AF828" i="2"/>
  <c r="D828" i="1"/>
  <c r="AE828" i="2"/>
  <c r="AD828" i="2"/>
  <c r="AC828" i="2"/>
  <c r="Z828" i="2"/>
  <c r="Y828" i="2"/>
  <c r="R827" i="1"/>
  <c r="AS827" i="2"/>
  <c r="AR827" i="2"/>
  <c r="P827" i="1"/>
  <c r="AQ827" i="2"/>
  <c r="O827" i="1"/>
  <c r="AP827" i="2"/>
  <c r="N827" i="1"/>
  <c r="AO827" i="2"/>
  <c r="M827" i="1"/>
  <c r="AN827" i="2"/>
  <c r="L827" i="1"/>
  <c r="AM827" i="2"/>
  <c r="K827" i="1"/>
  <c r="AL827" i="2"/>
  <c r="AK827" i="2"/>
  <c r="AJ827" i="2"/>
  <c r="H827" i="1"/>
  <c r="AI827" i="2"/>
  <c r="G827" i="1"/>
  <c r="AH827" i="2"/>
  <c r="F827" i="1"/>
  <c r="AG827" i="2"/>
  <c r="E827" i="1"/>
  <c r="AF827" i="2"/>
  <c r="D827" i="1"/>
  <c r="AE827" i="2"/>
  <c r="AD827" i="2"/>
  <c r="AC827" i="2"/>
  <c r="Z827" i="2"/>
  <c r="Y827" i="2"/>
  <c r="R826" i="1"/>
  <c r="AS826" i="2"/>
  <c r="AR826" i="2"/>
  <c r="P826" i="1"/>
  <c r="AQ826" i="2"/>
  <c r="O826" i="1"/>
  <c r="AP826" i="2"/>
  <c r="N826" i="1"/>
  <c r="AO826" i="2"/>
  <c r="M826" i="1"/>
  <c r="AN826" i="2"/>
  <c r="L826" i="1"/>
  <c r="AM826" i="2"/>
  <c r="K826" i="1"/>
  <c r="AL826" i="2"/>
  <c r="AK826" i="2"/>
  <c r="AJ826" i="2"/>
  <c r="H826" i="1"/>
  <c r="AI826" i="2"/>
  <c r="G826" i="1"/>
  <c r="AH826" i="2"/>
  <c r="F826" i="1"/>
  <c r="AG826" i="2"/>
  <c r="E826" i="1"/>
  <c r="AF826" i="2"/>
  <c r="D826" i="1"/>
  <c r="AE826" i="2"/>
  <c r="AD826" i="2"/>
  <c r="AC826" i="2"/>
  <c r="Z826" i="2"/>
  <c r="Y826" i="2"/>
  <c r="R825" i="1"/>
  <c r="AS825" i="2"/>
  <c r="AR825" i="2"/>
  <c r="P825" i="1"/>
  <c r="AQ825" i="2"/>
  <c r="O825" i="1"/>
  <c r="AP825" i="2"/>
  <c r="N825" i="1"/>
  <c r="AO825" i="2"/>
  <c r="M825" i="1"/>
  <c r="AN825" i="2"/>
  <c r="L825" i="1"/>
  <c r="AM825" i="2"/>
  <c r="K825" i="1"/>
  <c r="AL825" i="2"/>
  <c r="AK825" i="2"/>
  <c r="AJ825" i="2"/>
  <c r="H825" i="1"/>
  <c r="AI825" i="2"/>
  <c r="G825" i="1"/>
  <c r="AH825" i="2"/>
  <c r="F825" i="1"/>
  <c r="AG825" i="2"/>
  <c r="E825" i="1"/>
  <c r="AF825" i="2"/>
  <c r="D825" i="1"/>
  <c r="AE825" i="2"/>
  <c r="AD825" i="2"/>
  <c r="AC825" i="2"/>
  <c r="Z825" i="2"/>
  <c r="Y825" i="2"/>
  <c r="R824" i="1"/>
  <c r="AS824" i="2"/>
  <c r="AR824" i="2"/>
  <c r="P824" i="1"/>
  <c r="AQ824" i="2"/>
  <c r="O824" i="1"/>
  <c r="AP824" i="2"/>
  <c r="N824" i="1"/>
  <c r="AO824" i="2"/>
  <c r="M824" i="1"/>
  <c r="AN824" i="2"/>
  <c r="L824" i="1"/>
  <c r="AM824" i="2"/>
  <c r="K824" i="1"/>
  <c r="AL824" i="2"/>
  <c r="AK824" i="2"/>
  <c r="AJ824" i="2"/>
  <c r="H824" i="1"/>
  <c r="AI824" i="2"/>
  <c r="G824" i="1"/>
  <c r="AH824" i="2"/>
  <c r="F824" i="1"/>
  <c r="AG824" i="2"/>
  <c r="E824" i="1"/>
  <c r="AF824" i="2"/>
  <c r="D824" i="1"/>
  <c r="AE824" i="2"/>
  <c r="AD824" i="2"/>
  <c r="AC824" i="2"/>
  <c r="Z824" i="2"/>
  <c r="Y824" i="2"/>
  <c r="R823" i="1"/>
  <c r="AS823" i="2"/>
  <c r="AR823" i="2"/>
  <c r="P823" i="1"/>
  <c r="AQ823" i="2"/>
  <c r="O823" i="1"/>
  <c r="AP823" i="2"/>
  <c r="N823" i="1"/>
  <c r="AO823" i="2"/>
  <c r="M823" i="1"/>
  <c r="AN823" i="2"/>
  <c r="L823" i="1"/>
  <c r="AM823" i="2"/>
  <c r="K823" i="1"/>
  <c r="AL823" i="2"/>
  <c r="AK823" i="2"/>
  <c r="AJ823" i="2"/>
  <c r="H823" i="1"/>
  <c r="AI823" i="2"/>
  <c r="G823" i="1"/>
  <c r="AH823" i="2"/>
  <c r="F823" i="1"/>
  <c r="AG823" i="2"/>
  <c r="E823" i="1"/>
  <c r="AF823" i="2"/>
  <c r="D823" i="1"/>
  <c r="AE823" i="2"/>
  <c r="AD823" i="2"/>
  <c r="AC823" i="2"/>
  <c r="Z823" i="2"/>
  <c r="Y823" i="2"/>
  <c r="R822" i="1"/>
  <c r="AS822" i="2"/>
  <c r="AR822" i="2"/>
  <c r="P822" i="1"/>
  <c r="AQ822" i="2"/>
  <c r="O822" i="1"/>
  <c r="AP822" i="2"/>
  <c r="N822" i="1"/>
  <c r="AO822" i="2"/>
  <c r="M822" i="1"/>
  <c r="AN822" i="2"/>
  <c r="L822" i="1"/>
  <c r="AM822" i="2"/>
  <c r="K822" i="1"/>
  <c r="AL822" i="2"/>
  <c r="AK822" i="2"/>
  <c r="AJ822" i="2"/>
  <c r="H822" i="1"/>
  <c r="AI822" i="2"/>
  <c r="G822" i="1"/>
  <c r="AH822" i="2"/>
  <c r="F822" i="1"/>
  <c r="AG822" i="2"/>
  <c r="E822" i="1"/>
  <c r="AF822" i="2"/>
  <c r="D822" i="1"/>
  <c r="AE822" i="2"/>
  <c r="AD822" i="2"/>
  <c r="AC822" i="2"/>
  <c r="Z822" i="2"/>
  <c r="Y822" i="2"/>
  <c r="R821" i="1"/>
  <c r="AS821" i="2"/>
  <c r="AR821" i="2"/>
  <c r="P821" i="1"/>
  <c r="AQ821" i="2"/>
  <c r="O821" i="1"/>
  <c r="AP821" i="2"/>
  <c r="N821" i="1"/>
  <c r="AO821" i="2"/>
  <c r="M821" i="1"/>
  <c r="AN821" i="2"/>
  <c r="L821" i="1"/>
  <c r="AM821" i="2"/>
  <c r="K821" i="1"/>
  <c r="AL821" i="2"/>
  <c r="AK821" i="2"/>
  <c r="AJ821" i="2"/>
  <c r="H821" i="1"/>
  <c r="AI821" i="2"/>
  <c r="G821" i="1"/>
  <c r="AH821" i="2"/>
  <c r="F821" i="1"/>
  <c r="AG821" i="2"/>
  <c r="E821" i="1"/>
  <c r="AF821" i="2"/>
  <c r="D821" i="1"/>
  <c r="AE821" i="2"/>
  <c r="AD821" i="2"/>
  <c r="AC821" i="2"/>
  <c r="Z821" i="2"/>
  <c r="Y821" i="2"/>
  <c r="R820" i="1"/>
  <c r="AS820" i="2"/>
  <c r="AR820" i="2"/>
  <c r="P820" i="1"/>
  <c r="AQ820" i="2"/>
  <c r="O820" i="1"/>
  <c r="AP820" i="2"/>
  <c r="N820" i="1"/>
  <c r="AO820" i="2"/>
  <c r="M820" i="1"/>
  <c r="AN820" i="2"/>
  <c r="L820" i="1"/>
  <c r="AM820" i="2"/>
  <c r="K820" i="1"/>
  <c r="AL820" i="2"/>
  <c r="AK820" i="2"/>
  <c r="AJ820" i="2"/>
  <c r="H820" i="1"/>
  <c r="AI820" i="2"/>
  <c r="G820" i="1"/>
  <c r="AH820" i="2"/>
  <c r="F820" i="1"/>
  <c r="AG820" i="2"/>
  <c r="E820" i="1"/>
  <c r="AF820" i="2"/>
  <c r="D820" i="1"/>
  <c r="AE820" i="2"/>
  <c r="AD820" i="2"/>
  <c r="AC820" i="2"/>
  <c r="Z820" i="2"/>
  <c r="Y820" i="2"/>
  <c r="R819" i="1"/>
  <c r="AS819" i="2"/>
  <c r="AR819" i="2"/>
  <c r="P819" i="1"/>
  <c r="AQ819" i="2"/>
  <c r="O819" i="1"/>
  <c r="AP819" i="2"/>
  <c r="N819" i="1"/>
  <c r="AO819" i="2"/>
  <c r="M819" i="1"/>
  <c r="AN819" i="2"/>
  <c r="L819" i="1"/>
  <c r="AM819" i="2"/>
  <c r="K819" i="1"/>
  <c r="AL819" i="2"/>
  <c r="AK819" i="2"/>
  <c r="AJ819" i="2"/>
  <c r="H819" i="1"/>
  <c r="AI819" i="2"/>
  <c r="G819" i="1"/>
  <c r="AH819" i="2"/>
  <c r="F819" i="1"/>
  <c r="AG819" i="2"/>
  <c r="E819" i="1"/>
  <c r="AF819" i="2"/>
  <c r="D819" i="1"/>
  <c r="AE819" i="2"/>
  <c r="AD819" i="2"/>
  <c r="AC819" i="2"/>
  <c r="Z819" i="2"/>
  <c r="Y819" i="2"/>
  <c r="R818" i="1"/>
  <c r="AS818" i="2"/>
  <c r="AR818" i="2"/>
  <c r="P818" i="1"/>
  <c r="AQ818" i="2"/>
  <c r="O818" i="1"/>
  <c r="AP818" i="2"/>
  <c r="N818" i="1"/>
  <c r="AO818" i="2"/>
  <c r="M818" i="1"/>
  <c r="AN818" i="2"/>
  <c r="L818" i="1"/>
  <c r="AM818" i="2"/>
  <c r="K818" i="1"/>
  <c r="AL818" i="2"/>
  <c r="AK818" i="2"/>
  <c r="AJ818" i="2"/>
  <c r="H818" i="1"/>
  <c r="AI818" i="2"/>
  <c r="G818" i="1"/>
  <c r="AH818" i="2"/>
  <c r="F818" i="1"/>
  <c r="AG818" i="2"/>
  <c r="E818" i="1"/>
  <c r="AF818" i="2"/>
  <c r="D818" i="1"/>
  <c r="AE818" i="2"/>
  <c r="AD818" i="2"/>
  <c r="AC818" i="2"/>
  <c r="Z818" i="2"/>
  <c r="Y818" i="2"/>
  <c r="R817" i="1"/>
  <c r="AS817" i="2"/>
  <c r="AR817" i="2"/>
  <c r="P817" i="1"/>
  <c r="AQ817" i="2"/>
  <c r="O817" i="1"/>
  <c r="AP817" i="2"/>
  <c r="N817" i="1"/>
  <c r="AO817" i="2"/>
  <c r="M817" i="1"/>
  <c r="AN817" i="2"/>
  <c r="L817" i="1"/>
  <c r="AM817" i="2"/>
  <c r="K817" i="1"/>
  <c r="AL817" i="2"/>
  <c r="AK817" i="2"/>
  <c r="AJ817" i="2"/>
  <c r="H817" i="1"/>
  <c r="AI817" i="2"/>
  <c r="G817" i="1"/>
  <c r="AH817" i="2"/>
  <c r="F817" i="1"/>
  <c r="AG817" i="2"/>
  <c r="E817" i="1"/>
  <c r="AF817" i="2"/>
  <c r="D817" i="1"/>
  <c r="AE817" i="2"/>
  <c r="AD817" i="2"/>
  <c r="AC817" i="2"/>
  <c r="Z817" i="2"/>
  <c r="Y817" i="2"/>
  <c r="R816" i="1"/>
  <c r="AS816" i="2"/>
  <c r="AR816" i="2"/>
  <c r="P816" i="1"/>
  <c r="AQ816" i="2"/>
  <c r="O816" i="1"/>
  <c r="AP816" i="2"/>
  <c r="N816" i="1"/>
  <c r="AO816" i="2"/>
  <c r="M816" i="1"/>
  <c r="AN816" i="2"/>
  <c r="L816" i="1"/>
  <c r="AM816" i="2"/>
  <c r="K816" i="1"/>
  <c r="AL816" i="2"/>
  <c r="AK816" i="2"/>
  <c r="AJ816" i="2"/>
  <c r="H816" i="1"/>
  <c r="AI816" i="2"/>
  <c r="G816" i="1"/>
  <c r="AH816" i="2"/>
  <c r="F816" i="1"/>
  <c r="AG816" i="2"/>
  <c r="E816" i="1"/>
  <c r="AF816" i="2"/>
  <c r="D816" i="1"/>
  <c r="AE816" i="2"/>
  <c r="AD816" i="2"/>
  <c r="AC816" i="2"/>
  <c r="Z816" i="2"/>
  <c r="Y816" i="2"/>
  <c r="R815" i="1"/>
  <c r="AS815" i="2"/>
  <c r="AR815" i="2"/>
  <c r="P815" i="1"/>
  <c r="AQ815" i="2"/>
  <c r="O815" i="1"/>
  <c r="AP815" i="2"/>
  <c r="N815" i="1"/>
  <c r="AO815" i="2"/>
  <c r="M815" i="1"/>
  <c r="AN815" i="2"/>
  <c r="L815" i="1"/>
  <c r="AM815" i="2"/>
  <c r="K815" i="1"/>
  <c r="AL815" i="2"/>
  <c r="AK815" i="2"/>
  <c r="AJ815" i="2"/>
  <c r="H815" i="1"/>
  <c r="AI815" i="2"/>
  <c r="G815" i="1"/>
  <c r="AH815" i="2"/>
  <c r="F815" i="1"/>
  <c r="AG815" i="2"/>
  <c r="E815" i="1"/>
  <c r="AF815" i="2"/>
  <c r="D815" i="1"/>
  <c r="AE815" i="2"/>
  <c r="AD815" i="2"/>
  <c r="AC815" i="2"/>
  <c r="Z815" i="2"/>
  <c r="Y815" i="2"/>
  <c r="R814" i="1"/>
  <c r="AS814" i="2"/>
  <c r="AR814" i="2"/>
  <c r="P814" i="1"/>
  <c r="AQ814" i="2"/>
  <c r="O814" i="1"/>
  <c r="AP814" i="2"/>
  <c r="N814" i="1"/>
  <c r="AO814" i="2"/>
  <c r="M814" i="1"/>
  <c r="AN814" i="2"/>
  <c r="L814" i="1"/>
  <c r="AM814" i="2"/>
  <c r="K814" i="1"/>
  <c r="AL814" i="2"/>
  <c r="AK814" i="2"/>
  <c r="AJ814" i="2"/>
  <c r="H814" i="1"/>
  <c r="AI814" i="2"/>
  <c r="G814" i="1"/>
  <c r="AH814" i="2"/>
  <c r="F814" i="1"/>
  <c r="AG814" i="2"/>
  <c r="E814" i="1"/>
  <c r="AF814" i="2"/>
  <c r="D814" i="1"/>
  <c r="AE814" i="2"/>
  <c r="AD814" i="2"/>
  <c r="AC814" i="2"/>
  <c r="Z814" i="2"/>
  <c r="Y814" i="2"/>
  <c r="R813" i="1"/>
  <c r="AS813" i="2"/>
  <c r="AR813" i="2"/>
  <c r="P813" i="1"/>
  <c r="AQ813" i="2"/>
  <c r="O813" i="1"/>
  <c r="AP813" i="2"/>
  <c r="N813" i="1"/>
  <c r="AO813" i="2"/>
  <c r="M813" i="1"/>
  <c r="AN813" i="2"/>
  <c r="L813" i="1"/>
  <c r="AM813" i="2"/>
  <c r="K813" i="1"/>
  <c r="AL813" i="2"/>
  <c r="AK813" i="2"/>
  <c r="AJ813" i="2"/>
  <c r="H813" i="1"/>
  <c r="AI813" i="2"/>
  <c r="G813" i="1"/>
  <c r="AH813" i="2"/>
  <c r="F813" i="1"/>
  <c r="AG813" i="2"/>
  <c r="E813" i="1"/>
  <c r="AF813" i="2"/>
  <c r="D813" i="1"/>
  <c r="AE813" i="2"/>
  <c r="AD813" i="2"/>
  <c r="AC813" i="2"/>
  <c r="Z813" i="2"/>
  <c r="Y813" i="2"/>
  <c r="R812" i="1"/>
  <c r="AS812" i="2"/>
  <c r="AR812" i="2"/>
  <c r="P812" i="1"/>
  <c r="AQ812" i="2"/>
  <c r="O812" i="1"/>
  <c r="AP812" i="2"/>
  <c r="N812" i="1"/>
  <c r="AO812" i="2"/>
  <c r="M812" i="1"/>
  <c r="AN812" i="2"/>
  <c r="L812" i="1"/>
  <c r="AM812" i="2"/>
  <c r="K812" i="1"/>
  <c r="AL812" i="2"/>
  <c r="AK812" i="2"/>
  <c r="AJ812" i="2"/>
  <c r="H812" i="1"/>
  <c r="AI812" i="2"/>
  <c r="G812" i="1"/>
  <c r="AH812" i="2"/>
  <c r="F812" i="1"/>
  <c r="AG812" i="2"/>
  <c r="E812" i="1"/>
  <c r="AF812" i="2"/>
  <c r="D812" i="1"/>
  <c r="AE812" i="2"/>
  <c r="AD812" i="2"/>
  <c r="AC812" i="2"/>
  <c r="Z812" i="2"/>
  <c r="Y812" i="2"/>
  <c r="R811" i="1"/>
  <c r="AS811" i="2"/>
  <c r="AR811" i="2"/>
  <c r="P811" i="1"/>
  <c r="AQ811" i="2"/>
  <c r="O811" i="1"/>
  <c r="AP811" i="2"/>
  <c r="N811" i="1"/>
  <c r="AO811" i="2"/>
  <c r="M811" i="1"/>
  <c r="AN811" i="2"/>
  <c r="L811" i="1"/>
  <c r="AM811" i="2"/>
  <c r="K811" i="1"/>
  <c r="AL811" i="2"/>
  <c r="AK811" i="2"/>
  <c r="AJ811" i="2"/>
  <c r="H811" i="1"/>
  <c r="AI811" i="2"/>
  <c r="G811" i="1"/>
  <c r="AH811" i="2"/>
  <c r="F811" i="1"/>
  <c r="AG811" i="2"/>
  <c r="E811" i="1"/>
  <c r="AF811" i="2"/>
  <c r="D811" i="1"/>
  <c r="AE811" i="2"/>
  <c r="AD811" i="2"/>
  <c r="AC811" i="2"/>
  <c r="Z811" i="2"/>
  <c r="Y811" i="2"/>
  <c r="R810" i="1"/>
  <c r="AS810" i="2"/>
  <c r="AR810" i="2"/>
  <c r="P810" i="1"/>
  <c r="AQ810" i="2"/>
  <c r="O810" i="1"/>
  <c r="AP810" i="2"/>
  <c r="N810" i="1"/>
  <c r="AO810" i="2"/>
  <c r="M810" i="1"/>
  <c r="AN810" i="2"/>
  <c r="L810" i="1"/>
  <c r="AM810" i="2"/>
  <c r="K810" i="1"/>
  <c r="AL810" i="2"/>
  <c r="AK810" i="2"/>
  <c r="AJ810" i="2"/>
  <c r="H810" i="1"/>
  <c r="AI810" i="2"/>
  <c r="G810" i="1"/>
  <c r="AH810" i="2"/>
  <c r="F810" i="1"/>
  <c r="AG810" i="2"/>
  <c r="E810" i="1"/>
  <c r="AF810" i="2"/>
  <c r="D810" i="1"/>
  <c r="AE810" i="2"/>
  <c r="AD810" i="2"/>
  <c r="AC810" i="2"/>
  <c r="Z810" i="2"/>
  <c r="Y810" i="2"/>
  <c r="R809" i="1"/>
  <c r="AS809" i="2"/>
  <c r="AR809" i="2"/>
  <c r="P809" i="1"/>
  <c r="AQ809" i="2"/>
  <c r="O809" i="1"/>
  <c r="AP809" i="2"/>
  <c r="N809" i="1"/>
  <c r="AO809" i="2"/>
  <c r="M809" i="1"/>
  <c r="AN809" i="2"/>
  <c r="L809" i="1"/>
  <c r="AM809" i="2"/>
  <c r="K809" i="1"/>
  <c r="AL809" i="2"/>
  <c r="AK809" i="2"/>
  <c r="AJ809" i="2"/>
  <c r="H809" i="1"/>
  <c r="AI809" i="2"/>
  <c r="G809" i="1"/>
  <c r="AH809" i="2"/>
  <c r="F809" i="1"/>
  <c r="AG809" i="2"/>
  <c r="E809" i="1"/>
  <c r="AF809" i="2"/>
  <c r="D809" i="1"/>
  <c r="AE809" i="2"/>
  <c r="AD809" i="2"/>
  <c r="AC809" i="2"/>
  <c r="Z809" i="2"/>
  <c r="Y809" i="2"/>
  <c r="R808" i="1"/>
  <c r="AS808" i="2"/>
  <c r="AR808" i="2"/>
  <c r="P808" i="1"/>
  <c r="AQ808" i="2"/>
  <c r="O808" i="1"/>
  <c r="AP808" i="2"/>
  <c r="N808" i="1"/>
  <c r="AO808" i="2"/>
  <c r="M808" i="1"/>
  <c r="AN808" i="2"/>
  <c r="L808" i="1"/>
  <c r="AM808" i="2"/>
  <c r="K808" i="1"/>
  <c r="AL808" i="2"/>
  <c r="AK808" i="2"/>
  <c r="AJ808" i="2"/>
  <c r="H808" i="1"/>
  <c r="AI808" i="2"/>
  <c r="G808" i="1"/>
  <c r="AH808" i="2"/>
  <c r="F808" i="1"/>
  <c r="AG808" i="2"/>
  <c r="E808" i="1"/>
  <c r="AF808" i="2"/>
  <c r="D808" i="1"/>
  <c r="AE808" i="2"/>
  <c r="AD808" i="2"/>
  <c r="AC808" i="2"/>
  <c r="Z808" i="2"/>
  <c r="Y808" i="2"/>
  <c r="R807" i="1"/>
  <c r="AS807" i="2"/>
  <c r="AR807" i="2"/>
  <c r="P807" i="1"/>
  <c r="AQ807" i="2"/>
  <c r="O807" i="1"/>
  <c r="AP807" i="2"/>
  <c r="N807" i="1"/>
  <c r="AO807" i="2"/>
  <c r="M807" i="1"/>
  <c r="AN807" i="2"/>
  <c r="L807" i="1"/>
  <c r="AM807" i="2"/>
  <c r="K807" i="1"/>
  <c r="AL807" i="2"/>
  <c r="AK807" i="2"/>
  <c r="AJ807" i="2"/>
  <c r="H807" i="1"/>
  <c r="AI807" i="2"/>
  <c r="G807" i="1"/>
  <c r="AH807" i="2"/>
  <c r="F807" i="1"/>
  <c r="AG807" i="2"/>
  <c r="E807" i="1"/>
  <c r="AF807" i="2"/>
  <c r="D807" i="1"/>
  <c r="AE807" i="2"/>
  <c r="AD807" i="2"/>
  <c r="AC807" i="2"/>
  <c r="Z807" i="2"/>
  <c r="Y807" i="2"/>
  <c r="R806" i="1"/>
  <c r="AS806" i="2"/>
  <c r="AR806" i="2"/>
  <c r="P806" i="1"/>
  <c r="AQ806" i="2"/>
  <c r="O806" i="1"/>
  <c r="AP806" i="2"/>
  <c r="N806" i="1"/>
  <c r="AO806" i="2"/>
  <c r="M806" i="1"/>
  <c r="AN806" i="2"/>
  <c r="L806" i="1"/>
  <c r="AM806" i="2"/>
  <c r="K806" i="1"/>
  <c r="AL806" i="2"/>
  <c r="AK806" i="2"/>
  <c r="AJ806" i="2"/>
  <c r="H806" i="1"/>
  <c r="AI806" i="2"/>
  <c r="G806" i="1"/>
  <c r="AH806" i="2"/>
  <c r="F806" i="1"/>
  <c r="AG806" i="2"/>
  <c r="E806" i="1"/>
  <c r="AF806" i="2"/>
  <c r="D806" i="1"/>
  <c r="AE806" i="2"/>
  <c r="AD806" i="2"/>
  <c r="AC806" i="2"/>
  <c r="Z806" i="2"/>
  <c r="Y806" i="2"/>
  <c r="R805" i="1"/>
  <c r="AS805" i="2"/>
  <c r="AR805" i="2"/>
  <c r="P805" i="1"/>
  <c r="AQ805" i="2"/>
  <c r="O805" i="1"/>
  <c r="AP805" i="2"/>
  <c r="N805" i="1"/>
  <c r="AO805" i="2"/>
  <c r="M805" i="1"/>
  <c r="AN805" i="2"/>
  <c r="L805" i="1"/>
  <c r="AM805" i="2"/>
  <c r="K805" i="1"/>
  <c r="AL805" i="2"/>
  <c r="AK805" i="2"/>
  <c r="AJ805" i="2"/>
  <c r="H805" i="1"/>
  <c r="AI805" i="2"/>
  <c r="G805" i="1"/>
  <c r="AH805" i="2"/>
  <c r="F805" i="1"/>
  <c r="AG805" i="2"/>
  <c r="E805" i="1"/>
  <c r="AF805" i="2"/>
  <c r="D805" i="1"/>
  <c r="AE805" i="2"/>
  <c r="AD805" i="2"/>
  <c r="AC805" i="2"/>
  <c r="Z805" i="2"/>
  <c r="Y805" i="2"/>
  <c r="R804" i="1"/>
  <c r="AS804" i="2"/>
  <c r="AR804" i="2"/>
  <c r="P804" i="1"/>
  <c r="AQ804" i="2"/>
  <c r="O804" i="1"/>
  <c r="AP804" i="2"/>
  <c r="N804" i="1"/>
  <c r="AO804" i="2"/>
  <c r="M804" i="1"/>
  <c r="AN804" i="2"/>
  <c r="L804" i="1"/>
  <c r="AM804" i="2"/>
  <c r="K804" i="1"/>
  <c r="AL804" i="2"/>
  <c r="AK804" i="2"/>
  <c r="AJ804" i="2"/>
  <c r="H804" i="1"/>
  <c r="AI804" i="2"/>
  <c r="G804" i="1"/>
  <c r="AH804" i="2"/>
  <c r="F804" i="1"/>
  <c r="AG804" i="2"/>
  <c r="E804" i="1"/>
  <c r="AF804" i="2"/>
  <c r="D804" i="1"/>
  <c r="AE804" i="2"/>
  <c r="AD804" i="2"/>
  <c r="AC804" i="2"/>
  <c r="Z804" i="2"/>
  <c r="Y804" i="2"/>
  <c r="R803" i="1"/>
  <c r="AS803" i="2"/>
  <c r="AR803" i="2"/>
  <c r="P803" i="1"/>
  <c r="AQ803" i="2"/>
  <c r="O803" i="1"/>
  <c r="AP803" i="2"/>
  <c r="N803" i="1"/>
  <c r="AO803" i="2"/>
  <c r="M803" i="1"/>
  <c r="AN803" i="2"/>
  <c r="L803" i="1"/>
  <c r="AM803" i="2"/>
  <c r="K803" i="1"/>
  <c r="AL803" i="2"/>
  <c r="AK803" i="2"/>
  <c r="AJ803" i="2"/>
  <c r="H803" i="1"/>
  <c r="AI803" i="2"/>
  <c r="G803" i="1"/>
  <c r="AH803" i="2"/>
  <c r="F803" i="1"/>
  <c r="AG803" i="2"/>
  <c r="E803" i="1"/>
  <c r="AF803" i="2"/>
  <c r="D803" i="1"/>
  <c r="AE803" i="2"/>
  <c r="AD803" i="2"/>
  <c r="AC803" i="2"/>
  <c r="Z803" i="2"/>
  <c r="Y803" i="2"/>
  <c r="R802" i="1"/>
  <c r="AS802" i="2"/>
  <c r="AR802" i="2"/>
  <c r="P802" i="1"/>
  <c r="AQ802" i="2"/>
  <c r="O802" i="1"/>
  <c r="AP802" i="2"/>
  <c r="N802" i="1"/>
  <c r="AO802" i="2"/>
  <c r="M802" i="1"/>
  <c r="AN802" i="2"/>
  <c r="L802" i="1"/>
  <c r="AM802" i="2"/>
  <c r="K802" i="1"/>
  <c r="AL802" i="2"/>
  <c r="AK802" i="2"/>
  <c r="AJ802" i="2"/>
  <c r="H802" i="1"/>
  <c r="AI802" i="2"/>
  <c r="G802" i="1"/>
  <c r="AH802" i="2"/>
  <c r="F802" i="1"/>
  <c r="AG802" i="2"/>
  <c r="E802" i="1"/>
  <c r="AF802" i="2"/>
  <c r="D802" i="1"/>
  <c r="AE802" i="2"/>
  <c r="AD802" i="2"/>
  <c r="AC802" i="2"/>
  <c r="Z802" i="2"/>
  <c r="Y802" i="2"/>
  <c r="R801" i="1"/>
  <c r="AS801" i="2"/>
  <c r="AR801" i="2"/>
  <c r="P801" i="1"/>
  <c r="AQ801" i="2"/>
  <c r="O801" i="1"/>
  <c r="AP801" i="2"/>
  <c r="N801" i="1"/>
  <c r="AO801" i="2"/>
  <c r="M801" i="1"/>
  <c r="AN801" i="2"/>
  <c r="L801" i="1"/>
  <c r="AM801" i="2"/>
  <c r="K801" i="1"/>
  <c r="AL801" i="2"/>
  <c r="AK801" i="2"/>
  <c r="AJ801" i="2"/>
  <c r="H801" i="1"/>
  <c r="AI801" i="2"/>
  <c r="G801" i="1"/>
  <c r="AH801" i="2"/>
  <c r="F801" i="1"/>
  <c r="AG801" i="2"/>
  <c r="E801" i="1"/>
  <c r="AF801" i="2"/>
  <c r="D801" i="1"/>
  <c r="AE801" i="2"/>
  <c r="AD801" i="2"/>
  <c r="AC801" i="2"/>
  <c r="Z801" i="2"/>
  <c r="Y801" i="2"/>
  <c r="R800" i="1"/>
  <c r="AS800" i="2"/>
  <c r="AR800" i="2"/>
  <c r="P800" i="1"/>
  <c r="AQ800" i="2"/>
  <c r="O800" i="1"/>
  <c r="AP800" i="2"/>
  <c r="N800" i="1"/>
  <c r="AO800" i="2"/>
  <c r="M800" i="1"/>
  <c r="AN800" i="2"/>
  <c r="L800" i="1"/>
  <c r="AM800" i="2"/>
  <c r="K800" i="1"/>
  <c r="AL800" i="2"/>
  <c r="AK800" i="2"/>
  <c r="AJ800" i="2"/>
  <c r="H800" i="1"/>
  <c r="AI800" i="2"/>
  <c r="G800" i="1"/>
  <c r="AH800" i="2"/>
  <c r="F800" i="1"/>
  <c r="AG800" i="2"/>
  <c r="E800" i="1"/>
  <c r="AF800" i="2"/>
  <c r="D800" i="1"/>
  <c r="AE800" i="2"/>
  <c r="AD800" i="2"/>
  <c r="AC800" i="2"/>
  <c r="Z800" i="2"/>
  <c r="Y800" i="2"/>
  <c r="R799" i="1"/>
  <c r="AS799" i="2"/>
  <c r="AR799" i="2"/>
  <c r="P799" i="1"/>
  <c r="AQ799" i="2"/>
  <c r="O799" i="1"/>
  <c r="AP799" i="2"/>
  <c r="N799" i="1"/>
  <c r="AO799" i="2"/>
  <c r="M799" i="1"/>
  <c r="AN799" i="2"/>
  <c r="L799" i="1"/>
  <c r="AM799" i="2"/>
  <c r="K799" i="1"/>
  <c r="AL799" i="2"/>
  <c r="AK799" i="2"/>
  <c r="AJ799" i="2"/>
  <c r="H799" i="1"/>
  <c r="AI799" i="2"/>
  <c r="G799" i="1"/>
  <c r="AH799" i="2"/>
  <c r="F799" i="1"/>
  <c r="AG799" i="2"/>
  <c r="E799" i="1"/>
  <c r="AF799" i="2"/>
  <c r="D799" i="1"/>
  <c r="AE799" i="2"/>
  <c r="AD799" i="2"/>
  <c r="AC799" i="2"/>
  <c r="Z799" i="2"/>
  <c r="Y799" i="2"/>
  <c r="R798" i="1"/>
  <c r="AS798" i="2"/>
  <c r="AR798" i="2"/>
  <c r="P798" i="1"/>
  <c r="AQ798" i="2"/>
  <c r="O798" i="1"/>
  <c r="AP798" i="2"/>
  <c r="N798" i="1"/>
  <c r="AO798" i="2"/>
  <c r="M798" i="1"/>
  <c r="AN798" i="2"/>
  <c r="L798" i="1"/>
  <c r="AM798" i="2"/>
  <c r="K798" i="1"/>
  <c r="AL798" i="2"/>
  <c r="AK798" i="2"/>
  <c r="AJ798" i="2"/>
  <c r="H798" i="1"/>
  <c r="AI798" i="2"/>
  <c r="G798" i="1"/>
  <c r="AH798" i="2"/>
  <c r="F798" i="1"/>
  <c r="AG798" i="2"/>
  <c r="E798" i="1"/>
  <c r="AF798" i="2"/>
  <c r="D798" i="1"/>
  <c r="AE798" i="2"/>
  <c r="AD798" i="2"/>
  <c r="AC798" i="2"/>
  <c r="Z798" i="2"/>
  <c r="Y798" i="2"/>
  <c r="R797" i="1"/>
  <c r="AS797" i="2"/>
  <c r="AR797" i="2"/>
  <c r="P797" i="1"/>
  <c r="AQ797" i="2"/>
  <c r="O797" i="1"/>
  <c r="AP797" i="2"/>
  <c r="N797" i="1"/>
  <c r="AO797" i="2"/>
  <c r="M797" i="1"/>
  <c r="AN797" i="2"/>
  <c r="L797" i="1"/>
  <c r="AM797" i="2"/>
  <c r="K797" i="1"/>
  <c r="AL797" i="2"/>
  <c r="AK797" i="2"/>
  <c r="AJ797" i="2"/>
  <c r="H797" i="1"/>
  <c r="AI797" i="2"/>
  <c r="G797" i="1"/>
  <c r="AH797" i="2"/>
  <c r="F797" i="1"/>
  <c r="AG797" i="2"/>
  <c r="E797" i="1"/>
  <c r="AF797" i="2"/>
  <c r="D797" i="1"/>
  <c r="AE797" i="2"/>
  <c r="AD797" i="2"/>
  <c r="AC797" i="2"/>
  <c r="Z797" i="2"/>
  <c r="Y797" i="2"/>
  <c r="R796" i="1"/>
  <c r="AS796" i="2"/>
  <c r="AR796" i="2"/>
  <c r="P796" i="1"/>
  <c r="AQ796" i="2"/>
  <c r="O796" i="1"/>
  <c r="AP796" i="2"/>
  <c r="N796" i="1"/>
  <c r="AO796" i="2"/>
  <c r="M796" i="1"/>
  <c r="AN796" i="2"/>
  <c r="L796" i="1"/>
  <c r="AM796" i="2"/>
  <c r="K796" i="1"/>
  <c r="AL796" i="2"/>
  <c r="AK796" i="2"/>
  <c r="AJ796" i="2"/>
  <c r="H796" i="1"/>
  <c r="AI796" i="2"/>
  <c r="G796" i="1"/>
  <c r="AH796" i="2"/>
  <c r="F796" i="1"/>
  <c r="AG796" i="2"/>
  <c r="E796" i="1"/>
  <c r="AF796" i="2"/>
  <c r="D796" i="1"/>
  <c r="AE796" i="2"/>
  <c r="AD796" i="2"/>
  <c r="AC796" i="2"/>
  <c r="Z796" i="2"/>
  <c r="Y796" i="2"/>
  <c r="R795" i="1"/>
  <c r="AS795" i="2"/>
  <c r="AR795" i="2"/>
  <c r="P795" i="1"/>
  <c r="AQ795" i="2"/>
  <c r="O795" i="1"/>
  <c r="AP795" i="2"/>
  <c r="N795" i="1"/>
  <c r="AO795" i="2"/>
  <c r="M795" i="1"/>
  <c r="AN795" i="2"/>
  <c r="L795" i="1"/>
  <c r="AM795" i="2"/>
  <c r="K795" i="1"/>
  <c r="AL795" i="2"/>
  <c r="AK795" i="2"/>
  <c r="AJ795" i="2"/>
  <c r="H795" i="1"/>
  <c r="AI795" i="2"/>
  <c r="G795" i="1"/>
  <c r="AH795" i="2"/>
  <c r="F795" i="1"/>
  <c r="AG795" i="2"/>
  <c r="E795" i="1"/>
  <c r="AF795" i="2"/>
  <c r="D795" i="1"/>
  <c r="AE795" i="2"/>
  <c r="AD795" i="2"/>
  <c r="AC795" i="2"/>
  <c r="Z795" i="2"/>
  <c r="Y795" i="2"/>
  <c r="R794" i="1"/>
  <c r="AS794" i="2"/>
  <c r="AR794" i="2"/>
  <c r="P794" i="1"/>
  <c r="AQ794" i="2"/>
  <c r="O794" i="1"/>
  <c r="AP794" i="2"/>
  <c r="N794" i="1"/>
  <c r="AO794" i="2"/>
  <c r="M794" i="1"/>
  <c r="AN794" i="2"/>
  <c r="L794" i="1"/>
  <c r="AM794" i="2"/>
  <c r="K794" i="1"/>
  <c r="AL794" i="2"/>
  <c r="AK794" i="2"/>
  <c r="AJ794" i="2"/>
  <c r="H794" i="1"/>
  <c r="AI794" i="2"/>
  <c r="G794" i="1"/>
  <c r="AH794" i="2"/>
  <c r="F794" i="1"/>
  <c r="AG794" i="2"/>
  <c r="E794" i="1"/>
  <c r="AF794" i="2"/>
  <c r="D794" i="1"/>
  <c r="AE794" i="2"/>
  <c r="AD794" i="2"/>
  <c r="AC794" i="2"/>
  <c r="Z794" i="2"/>
  <c r="Y794" i="2"/>
  <c r="R793" i="1"/>
  <c r="AS793" i="2"/>
  <c r="AR793" i="2"/>
  <c r="P793" i="1"/>
  <c r="AQ793" i="2"/>
  <c r="O793" i="1"/>
  <c r="AP793" i="2"/>
  <c r="N793" i="1"/>
  <c r="AO793" i="2"/>
  <c r="M793" i="1"/>
  <c r="AN793" i="2"/>
  <c r="L793" i="1"/>
  <c r="AM793" i="2"/>
  <c r="K793" i="1"/>
  <c r="AL793" i="2"/>
  <c r="AK793" i="2"/>
  <c r="AJ793" i="2"/>
  <c r="H793" i="1"/>
  <c r="AI793" i="2"/>
  <c r="G793" i="1"/>
  <c r="AH793" i="2"/>
  <c r="F793" i="1"/>
  <c r="AG793" i="2"/>
  <c r="E793" i="1"/>
  <c r="AF793" i="2"/>
  <c r="D793" i="1"/>
  <c r="AE793" i="2"/>
  <c r="AD793" i="2"/>
  <c r="AC793" i="2"/>
  <c r="Z793" i="2"/>
  <c r="Y793" i="2"/>
  <c r="R792" i="1"/>
  <c r="AS792" i="2"/>
  <c r="AR792" i="2"/>
  <c r="P792" i="1"/>
  <c r="AQ792" i="2"/>
  <c r="O792" i="1"/>
  <c r="AP792" i="2"/>
  <c r="N792" i="1"/>
  <c r="AO792" i="2"/>
  <c r="M792" i="1"/>
  <c r="AN792" i="2"/>
  <c r="L792" i="1"/>
  <c r="AM792" i="2"/>
  <c r="K792" i="1"/>
  <c r="AL792" i="2"/>
  <c r="AK792" i="2"/>
  <c r="AJ792" i="2"/>
  <c r="H792" i="1"/>
  <c r="AI792" i="2"/>
  <c r="G792" i="1"/>
  <c r="AH792" i="2"/>
  <c r="F792" i="1"/>
  <c r="AG792" i="2"/>
  <c r="E792" i="1"/>
  <c r="AF792" i="2"/>
  <c r="D792" i="1"/>
  <c r="AE792" i="2"/>
  <c r="AD792" i="2"/>
  <c r="AC792" i="2"/>
  <c r="Z792" i="2"/>
  <c r="Y792" i="2"/>
  <c r="R791" i="1"/>
  <c r="AS791" i="2"/>
  <c r="AR791" i="2"/>
  <c r="P791" i="1"/>
  <c r="AQ791" i="2"/>
  <c r="O791" i="1"/>
  <c r="AP791" i="2"/>
  <c r="N791" i="1"/>
  <c r="AO791" i="2"/>
  <c r="M791" i="1"/>
  <c r="AN791" i="2"/>
  <c r="L791" i="1"/>
  <c r="AM791" i="2"/>
  <c r="K791" i="1"/>
  <c r="AL791" i="2"/>
  <c r="AK791" i="2"/>
  <c r="AJ791" i="2"/>
  <c r="H791" i="1"/>
  <c r="AI791" i="2"/>
  <c r="G791" i="1"/>
  <c r="AH791" i="2"/>
  <c r="F791" i="1"/>
  <c r="AG791" i="2"/>
  <c r="E791" i="1"/>
  <c r="AF791" i="2"/>
  <c r="D791" i="1"/>
  <c r="AE791" i="2"/>
  <c r="AD791" i="2"/>
  <c r="AC791" i="2"/>
  <c r="Z791" i="2"/>
  <c r="Y791" i="2"/>
  <c r="R790" i="1"/>
  <c r="AS790" i="2"/>
  <c r="AR790" i="2"/>
  <c r="P790" i="1"/>
  <c r="AQ790" i="2"/>
  <c r="O790" i="1"/>
  <c r="AP790" i="2"/>
  <c r="N790" i="1"/>
  <c r="AO790" i="2"/>
  <c r="M790" i="1"/>
  <c r="AN790" i="2"/>
  <c r="L790" i="1"/>
  <c r="AM790" i="2"/>
  <c r="K790" i="1"/>
  <c r="AL790" i="2"/>
  <c r="AK790" i="2"/>
  <c r="AJ790" i="2"/>
  <c r="H790" i="1"/>
  <c r="AI790" i="2"/>
  <c r="G790" i="1"/>
  <c r="AH790" i="2"/>
  <c r="F790" i="1"/>
  <c r="AG790" i="2"/>
  <c r="E790" i="1"/>
  <c r="AF790" i="2"/>
  <c r="D790" i="1"/>
  <c r="AE790" i="2"/>
  <c r="AD790" i="2"/>
  <c r="AC790" i="2"/>
  <c r="Z790" i="2"/>
  <c r="Y790" i="2"/>
  <c r="R789" i="1"/>
  <c r="AS789" i="2"/>
  <c r="AR789" i="2"/>
  <c r="P789" i="1"/>
  <c r="AQ789" i="2"/>
  <c r="O789" i="1"/>
  <c r="AP789" i="2"/>
  <c r="N789" i="1"/>
  <c r="AO789" i="2"/>
  <c r="M789" i="1"/>
  <c r="AN789" i="2"/>
  <c r="L789" i="1"/>
  <c r="AM789" i="2"/>
  <c r="K789" i="1"/>
  <c r="AL789" i="2"/>
  <c r="AK789" i="2"/>
  <c r="AJ789" i="2"/>
  <c r="H789" i="1"/>
  <c r="AI789" i="2"/>
  <c r="G789" i="1"/>
  <c r="AH789" i="2"/>
  <c r="F789" i="1"/>
  <c r="AG789" i="2"/>
  <c r="E789" i="1"/>
  <c r="AF789" i="2"/>
  <c r="D789" i="1"/>
  <c r="AE789" i="2"/>
  <c r="AD789" i="2"/>
  <c r="AC789" i="2"/>
  <c r="Z789" i="2"/>
  <c r="Y789" i="2"/>
  <c r="R788" i="1"/>
  <c r="AS788" i="2"/>
  <c r="AR788" i="2"/>
  <c r="P788" i="1"/>
  <c r="AQ788" i="2"/>
  <c r="O788" i="1"/>
  <c r="AP788" i="2"/>
  <c r="N788" i="1"/>
  <c r="AO788" i="2"/>
  <c r="M788" i="1"/>
  <c r="AN788" i="2"/>
  <c r="L788" i="1"/>
  <c r="AM788" i="2"/>
  <c r="K788" i="1"/>
  <c r="AL788" i="2"/>
  <c r="AK788" i="2"/>
  <c r="AJ788" i="2"/>
  <c r="H788" i="1"/>
  <c r="AI788" i="2"/>
  <c r="G788" i="1"/>
  <c r="AH788" i="2"/>
  <c r="F788" i="1"/>
  <c r="AG788" i="2"/>
  <c r="E788" i="1"/>
  <c r="AF788" i="2"/>
  <c r="D788" i="1"/>
  <c r="AE788" i="2"/>
  <c r="AD788" i="2"/>
  <c r="AC788" i="2"/>
  <c r="Z788" i="2"/>
  <c r="Y788" i="2"/>
  <c r="R787" i="1"/>
  <c r="AS787" i="2"/>
  <c r="AR787" i="2"/>
  <c r="P787" i="1"/>
  <c r="AQ787" i="2"/>
  <c r="O787" i="1"/>
  <c r="AP787" i="2"/>
  <c r="N787" i="1"/>
  <c r="AO787" i="2"/>
  <c r="M787" i="1"/>
  <c r="AN787" i="2"/>
  <c r="L787" i="1"/>
  <c r="AM787" i="2"/>
  <c r="K787" i="1"/>
  <c r="AL787" i="2"/>
  <c r="AK787" i="2"/>
  <c r="AJ787" i="2"/>
  <c r="H787" i="1"/>
  <c r="AI787" i="2"/>
  <c r="G787" i="1"/>
  <c r="AH787" i="2"/>
  <c r="F787" i="1"/>
  <c r="AG787" i="2"/>
  <c r="E787" i="1"/>
  <c r="AF787" i="2"/>
  <c r="D787" i="1"/>
  <c r="AE787" i="2"/>
  <c r="AD787" i="2"/>
  <c r="AC787" i="2"/>
  <c r="Z787" i="2"/>
  <c r="Y787" i="2"/>
  <c r="R786" i="1"/>
  <c r="AS786" i="2"/>
  <c r="AR786" i="2"/>
  <c r="P786" i="1"/>
  <c r="AQ786" i="2"/>
  <c r="O786" i="1"/>
  <c r="AP786" i="2"/>
  <c r="N786" i="1"/>
  <c r="AO786" i="2"/>
  <c r="M786" i="1"/>
  <c r="AN786" i="2"/>
  <c r="L786" i="1"/>
  <c r="AM786" i="2"/>
  <c r="K786" i="1"/>
  <c r="AL786" i="2"/>
  <c r="AK786" i="2"/>
  <c r="AJ786" i="2"/>
  <c r="H786" i="1"/>
  <c r="AI786" i="2"/>
  <c r="G786" i="1"/>
  <c r="AH786" i="2"/>
  <c r="F786" i="1"/>
  <c r="AG786" i="2"/>
  <c r="E786" i="1"/>
  <c r="AF786" i="2"/>
  <c r="D786" i="1"/>
  <c r="AE786" i="2"/>
  <c r="AD786" i="2"/>
  <c r="AC786" i="2"/>
  <c r="Z786" i="2"/>
  <c r="Y786" i="2"/>
  <c r="R785" i="1"/>
  <c r="AS785" i="2"/>
  <c r="AR785" i="2"/>
  <c r="P785" i="1"/>
  <c r="AQ785" i="2"/>
  <c r="O785" i="1"/>
  <c r="AP785" i="2"/>
  <c r="N785" i="1"/>
  <c r="AO785" i="2"/>
  <c r="M785" i="1"/>
  <c r="AN785" i="2"/>
  <c r="L785" i="1"/>
  <c r="AM785" i="2"/>
  <c r="K785" i="1"/>
  <c r="AL785" i="2"/>
  <c r="AK785" i="2"/>
  <c r="AJ785" i="2"/>
  <c r="H785" i="1"/>
  <c r="AI785" i="2"/>
  <c r="G785" i="1"/>
  <c r="AH785" i="2"/>
  <c r="F785" i="1"/>
  <c r="AG785" i="2"/>
  <c r="E785" i="1"/>
  <c r="AF785" i="2"/>
  <c r="D785" i="1"/>
  <c r="AE785" i="2"/>
  <c r="AD785" i="2"/>
  <c r="AC785" i="2"/>
  <c r="Z785" i="2"/>
  <c r="Y785" i="2"/>
  <c r="R784" i="1"/>
  <c r="AS784" i="2"/>
  <c r="AR784" i="2"/>
  <c r="P784" i="1"/>
  <c r="AQ784" i="2"/>
  <c r="O784" i="1"/>
  <c r="AP784" i="2"/>
  <c r="N784" i="1"/>
  <c r="AO784" i="2"/>
  <c r="M784" i="1"/>
  <c r="AN784" i="2"/>
  <c r="L784" i="1"/>
  <c r="AM784" i="2"/>
  <c r="K784" i="1"/>
  <c r="AL784" i="2"/>
  <c r="AK784" i="2"/>
  <c r="AJ784" i="2"/>
  <c r="H784" i="1"/>
  <c r="AI784" i="2"/>
  <c r="G784" i="1"/>
  <c r="AH784" i="2"/>
  <c r="F784" i="1"/>
  <c r="AG784" i="2"/>
  <c r="E784" i="1"/>
  <c r="AF784" i="2"/>
  <c r="D784" i="1"/>
  <c r="AE784" i="2"/>
  <c r="AD784" i="2"/>
  <c r="AC784" i="2"/>
  <c r="Z784" i="2"/>
  <c r="Y784" i="2"/>
  <c r="R783" i="1"/>
  <c r="AS783" i="2"/>
  <c r="AR783" i="2"/>
  <c r="P783" i="1"/>
  <c r="AQ783" i="2"/>
  <c r="O783" i="1"/>
  <c r="AP783" i="2"/>
  <c r="N783" i="1"/>
  <c r="AO783" i="2"/>
  <c r="M783" i="1"/>
  <c r="AN783" i="2"/>
  <c r="L783" i="1"/>
  <c r="AM783" i="2"/>
  <c r="K783" i="1"/>
  <c r="AL783" i="2"/>
  <c r="AK783" i="2"/>
  <c r="AJ783" i="2"/>
  <c r="H783" i="1"/>
  <c r="AI783" i="2"/>
  <c r="G783" i="1"/>
  <c r="AH783" i="2"/>
  <c r="F783" i="1"/>
  <c r="AG783" i="2"/>
  <c r="E783" i="1"/>
  <c r="AF783" i="2"/>
  <c r="D783" i="1"/>
  <c r="AE783" i="2"/>
  <c r="AD783" i="2"/>
  <c r="AC783" i="2"/>
  <c r="Z783" i="2"/>
  <c r="Y783" i="2"/>
  <c r="R782" i="1"/>
  <c r="AS782" i="2"/>
  <c r="AR782" i="2"/>
  <c r="P782" i="1"/>
  <c r="AQ782" i="2"/>
  <c r="O782" i="1"/>
  <c r="AP782" i="2"/>
  <c r="N782" i="1"/>
  <c r="AO782" i="2"/>
  <c r="M782" i="1"/>
  <c r="AN782" i="2"/>
  <c r="L782" i="1"/>
  <c r="AM782" i="2"/>
  <c r="K782" i="1"/>
  <c r="AL782" i="2"/>
  <c r="AK782" i="2"/>
  <c r="AJ782" i="2"/>
  <c r="H782" i="1"/>
  <c r="AI782" i="2"/>
  <c r="G782" i="1"/>
  <c r="AH782" i="2"/>
  <c r="F782" i="1"/>
  <c r="AG782" i="2"/>
  <c r="E782" i="1"/>
  <c r="AF782" i="2"/>
  <c r="D782" i="1"/>
  <c r="AE782" i="2"/>
  <c r="AD782" i="2"/>
  <c r="AC782" i="2"/>
  <c r="Z782" i="2"/>
  <c r="Y782" i="2"/>
  <c r="R781" i="1"/>
  <c r="AS781" i="2"/>
  <c r="AR781" i="2"/>
  <c r="P781" i="1"/>
  <c r="AQ781" i="2"/>
  <c r="O781" i="1"/>
  <c r="AP781" i="2"/>
  <c r="N781" i="1"/>
  <c r="AO781" i="2"/>
  <c r="M781" i="1"/>
  <c r="AN781" i="2"/>
  <c r="L781" i="1"/>
  <c r="AM781" i="2"/>
  <c r="K781" i="1"/>
  <c r="AL781" i="2"/>
  <c r="AK781" i="2"/>
  <c r="AJ781" i="2"/>
  <c r="H781" i="1"/>
  <c r="AI781" i="2"/>
  <c r="G781" i="1"/>
  <c r="AH781" i="2"/>
  <c r="F781" i="1"/>
  <c r="AG781" i="2"/>
  <c r="E781" i="1"/>
  <c r="AF781" i="2"/>
  <c r="D781" i="1"/>
  <c r="AE781" i="2"/>
  <c r="AD781" i="2"/>
  <c r="AC781" i="2"/>
  <c r="Z781" i="2"/>
  <c r="Y781" i="2"/>
  <c r="R780" i="1"/>
  <c r="AS780" i="2"/>
  <c r="AR780" i="2"/>
  <c r="P780" i="1"/>
  <c r="AQ780" i="2"/>
  <c r="O780" i="1"/>
  <c r="AP780" i="2"/>
  <c r="N780" i="1"/>
  <c r="AO780" i="2"/>
  <c r="M780" i="1"/>
  <c r="AN780" i="2"/>
  <c r="L780" i="1"/>
  <c r="AM780" i="2"/>
  <c r="K780" i="1"/>
  <c r="AL780" i="2"/>
  <c r="AK780" i="2"/>
  <c r="AJ780" i="2"/>
  <c r="H780" i="1"/>
  <c r="AI780" i="2"/>
  <c r="G780" i="1"/>
  <c r="AH780" i="2"/>
  <c r="F780" i="1"/>
  <c r="AG780" i="2"/>
  <c r="E780" i="1"/>
  <c r="AF780" i="2"/>
  <c r="D780" i="1"/>
  <c r="AE780" i="2"/>
  <c r="AD780" i="2"/>
  <c r="AC780" i="2"/>
  <c r="Z780" i="2"/>
  <c r="Y780" i="2"/>
  <c r="R779" i="1"/>
  <c r="AS779" i="2"/>
  <c r="AR779" i="2"/>
  <c r="P779" i="1"/>
  <c r="AQ779" i="2"/>
  <c r="O779" i="1"/>
  <c r="AP779" i="2"/>
  <c r="N779" i="1"/>
  <c r="AO779" i="2"/>
  <c r="M779" i="1"/>
  <c r="AN779" i="2"/>
  <c r="L779" i="1"/>
  <c r="AM779" i="2"/>
  <c r="K779" i="1"/>
  <c r="AL779" i="2"/>
  <c r="AK779" i="2"/>
  <c r="AJ779" i="2"/>
  <c r="H779" i="1"/>
  <c r="AI779" i="2"/>
  <c r="G779" i="1"/>
  <c r="AH779" i="2"/>
  <c r="F779" i="1"/>
  <c r="AG779" i="2"/>
  <c r="E779" i="1"/>
  <c r="AF779" i="2"/>
  <c r="D779" i="1"/>
  <c r="AE779" i="2"/>
  <c r="AD779" i="2"/>
  <c r="AC779" i="2"/>
  <c r="Z779" i="2"/>
  <c r="Y779" i="2"/>
  <c r="R778" i="1"/>
  <c r="AS778" i="2"/>
  <c r="AR778" i="2"/>
  <c r="P778" i="1"/>
  <c r="AQ778" i="2"/>
  <c r="O778" i="1"/>
  <c r="AP778" i="2"/>
  <c r="N778" i="1"/>
  <c r="AO778" i="2"/>
  <c r="M778" i="1"/>
  <c r="AN778" i="2"/>
  <c r="L778" i="1"/>
  <c r="AM778" i="2"/>
  <c r="K778" i="1"/>
  <c r="AL778" i="2"/>
  <c r="AK778" i="2"/>
  <c r="AJ778" i="2"/>
  <c r="H778" i="1"/>
  <c r="AI778" i="2"/>
  <c r="G778" i="1"/>
  <c r="AH778" i="2"/>
  <c r="F778" i="1"/>
  <c r="AG778" i="2"/>
  <c r="E778" i="1"/>
  <c r="AF778" i="2"/>
  <c r="D778" i="1"/>
  <c r="AE778" i="2"/>
  <c r="AD778" i="2"/>
  <c r="AC778" i="2"/>
  <c r="Z778" i="2"/>
  <c r="Y778" i="2"/>
  <c r="R777" i="1"/>
  <c r="AS777" i="2"/>
  <c r="AR777" i="2"/>
  <c r="P777" i="1"/>
  <c r="AQ777" i="2"/>
  <c r="O777" i="1"/>
  <c r="AP777" i="2"/>
  <c r="N777" i="1"/>
  <c r="AO777" i="2"/>
  <c r="M777" i="1"/>
  <c r="AN777" i="2"/>
  <c r="L777" i="1"/>
  <c r="AM777" i="2"/>
  <c r="K777" i="1"/>
  <c r="AL777" i="2"/>
  <c r="AK777" i="2"/>
  <c r="AJ777" i="2"/>
  <c r="H777" i="1"/>
  <c r="AI777" i="2"/>
  <c r="G777" i="1"/>
  <c r="AH777" i="2"/>
  <c r="F777" i="1"/>
  <c r="AG777" i="2"/>
  <c r="E777" i="1"/>
  <c r="AF777" i="2"/>
  <c r="D777" i="1"/>
  <c r="AE777" i="2"/>
  <c r="AD777" i="2"/>
  <c r="AC777" i="2"/>
  <c r="Z777" i="2"/>
  <c r="Y777" i="2"/>
  <c r="R776" i="1"/>
  <c r="AS776" i="2"/>
  <c r="AR776" i="2"/>
  <c r="P776" i="1"/>
  <c r="AQ776" i="2"/>
  <c r="O776" i="1"/>
  <c r="AP776" i="2"/>
  <c r="N776" i="1"/>
  <c r="AO776" i="2"/>
  <c r="M776" i="1"/>
  <c r="AN776" i="2"/>
  <c r="L776" i="1"/>
  <c r="AM776" i="2"/>
  <c r="K776" i="1"/>
  <c r="AL776" i="2"/>
  <c r="AK776" i="2"/>
  <c r="AJ776" i="2"/>
  <c r="H776" i="1"/>
  <c r="AI776" i="2"/>
  <c r="G776" i="1"/>
  <c r="AH776" i="2"/>
  <c r="F776" i="1"/>
  <c r="AG776" i="2"/>
  <c r="E776" i="1"/>
  <c r="AF776" i="2"/>
  <c r="D776" i="1"/>
  <c r="AE776" i="2"/>
  <c r="AD776" i="2"/>
  <c r="AC776" i="2"/>
  <c r="Z776" i="2"/>
  <c r="Y776" i="2"/>
  <c r="R775" i="1"/>
  <c r="AS775" i="2"/>
  <c r="AR775" i="2"/>
  <c r="P775" i="1"/>
  <c r="AQ775" i="2"/>
  <c r="O775" i="1"/>
  <c r="AP775" i="2"/>
  <c r="N775" i="1"/>
  <c r="AO775" i="2"/>
  <c r="M775" i="1"/>
  <c r="AN775" i="2"/>
  <c r="L775" i="1"/>
  <c r="AM775" i="2"/>
  <c r="K775" i="1"/>
  <c r="AL775" i="2"/>
  <c r="AK775" i="2"/>
  <c r="AJ775" i="2"/>
  <c r="H775" i="1"/>
  <c r="AI775" i="2"/>
  <c r="G775" i="1"/>
  <c r="AH775" i="2"/>
  <c r="F775" i="1"/>
  <c r="AG775" i="2"/>
  <c r="E775" i="1"/>
  <c r="AF775" i="2"/>
  <c r="D775" i="1"/>
  <c r="AE775" i="2"/>
  <c r="AD775" i="2"/>
  <c r="AC775" i="2"/>
  <c r="Z775" i="2"/>
  <c r="Y775" i="2"/>
  <c r="R774" i="1"/>
  <c r="AS774" i="2"/>
  <c r="AR774" i="2"/>
  <c r="P774" i="1"/>
  <c r="AQ774" i="2"/>
  <c r="O774" i="1"/>
  <c r="AP774" i="2"/>
  <c r="N774" i="1"/>
  <c r="AO774" i="2"/>
  <c r="M774" i="1"/>
  <c r="AN774" i="2"/>
  <c r="L774" i="1"/>
  <c r="AM774" i="2"/>
  <c r="K774" i="1"/>
  <c r="AL774" i="2"/>
  <c r="AK774" i="2"/>
  <c r="AJ774" i="2"/>
  <c r="H774" i="1"/>
  <c r="AI774" i="2"/>
  <c r="G774" i="1"/>
  <c r="AH774" i="2"/>
  <c r="F774" i="1"/>
  <c r="AG774" i="2"/>
  <c r="E774" i="1"/>
  <c r="AF774" i="2"/>
  <c r="D774" i="1"/>
  <c r="AE774" i="2"/>
  <c r="AD774" i="2"/>
  <c r="AC774" i="2"/>
  <c r="Z774" i="2"/>
  <c r="Y774" i="2"/>
  <c r="R773" i="1"/>
  <c r="AS773" i="2"/>
  <c r="AR773" i="2"/>
  <c r="P773" i="1"/>
  <c r="AQ773" i="2"/>
  <c r="O773" i="1"/>
  <c r="AP773" i="2"/>
  <c r="N773" i="1"/>
  <c r="AO773" i="2"/>
  <c r="M773" i="1"/>
  <c r="AN773" i="2"/>
  <c r="L773" i="1"/>
  <c r="AM773" i="2"/>
  <c r="K773" i="1"/>
  <c r="AL773" i="2"/>
  <c r="AK773" i="2"/>
  <c r="AJ773" i="2"/>
  <c r="H773" i="1"/>
  <c r="AI773" i="2"/>
  <c r="G773" i="1"/>
  <c r="AH773" i="2"/>
  <c r="F773" i="1"/>
  <c r="AG773" i="2"/>
  <c r="E773" i="1"/>
  <c r="AF773" i="2"/>
  <c r="D773" i="1"/>
  <c r="AE773" i="2"/>
  <c r="AD773" i="2"/>
  <c r="AC773" i="2"/>
  <c r="Z773" i="2"/>
  <c r="Y773" i="2"/>
  <c r="R772" i="1"/>
  <c r="AS772" i="2"/>
  <c r="AR772" i="2"/>
  <c r="P772" i="1"/>
  <c r="AQ772" i="2"/>
  <c r="O772" i="1"/>
  <c r="AP772" i="2"/>
  <c r="N772" i="1"/>
  <c r="AO772" i="2"/>
  <c r="M772" i="1"/>
  <c r="AN772" i="2"/>
  <c r="L772" i="1"/>
  <c r="AM772" i="2"/>
  <c r="K772" i="1"/>
  <c r="AL772" i="2"/>
  <c r="AK772" i="2"/>
  <c r="AJ772" i="2"/>
  <c r="H772" i="1"/>
  <c r="AI772" i="2"/>
  <c r="G772" i="1"/>
  <c r="AH772" i="2"/>
  <c r="F772" i="1"/>
  <c r="AG772" i="2"/>
  <c r="E772" i="1"/>
  <c r="AF772" i="2"/>
  <c r="D772" i="1"/>
  <c r="AE772" i="2"/>
  <c r="AD772" i="2"/>
  <c r="AC772" i="2"/>
  <c r="Z772" i="2"/>
  <c r="Y772" i="2"/>
  <c r="R771" i="1"/>
  <c r="AS771" i="2"/>
  <c r="AR771" i="2"/>
  <c r="P771" i="1"/>
  <c r="AQ771" i="2"/>
  <c r="O771" i="1"/>
  <c r="AP771" i="2"/>
  <c r="N771" i="1"/>
  <c r="AO771" i="2"/>
  <c r="M771" i="1"/>
  <c r="AN771" i="2"/>
  <c r="L771" i="1"/>
  <c r="AM771" i="2"/>
  <c r="K771" i="1"/>
  <c r="AL771" i="2"/>
  <c r="AK771" i="2"/>
  <c r="AJ771" i="2"/>
  <c r="H771" i="1"/>
  <c r="AI771" i="2"/>
  <c r="G771" i="1"/>
  <c r="AH771" i="2"/>
  <c r="F771" i="1"/>
  <c r="AG771" i="2"/>
  <c r="E771" i="1"/>
  <c r="AF771" i="2"/>
  <c r="D771" i="1"/>
  <c r="AE771" i="2"/>
  <c r="AD771" i="2"/>
  <c r="AC771" i="2"/>
  <c r="Z771" i="2"/>
  <c r="Y771" i="2"/>
  <c r="R770" i="1"/>
  <c r="AS770" i="2"/>
  <c r="AR770" i="2"/>
  <c r="P770" i="1"/>
  <c r="AQ770" i="2"/>
  <c r="O770" i="1"/>
  <c r="AP770" i="2"/>
  <c r="N770" i="1"/>
  <c r="AO770" i="2"/>
  <c r="M770" i="1"/>
  <c r="AN770" i="2"/>
  <c r="L770" i="1"/>
  <c r="AM770" i="2"/>
  <c r="K770" i="1"/>
  <c r="AL770" i="2"/>
  <c r="AK770" i="2"/>
  <c r="AJ770" i="2"/>
  <c r="H770" i="1"/>
  <c r="AI770" i="2"/>
  <c r="G770" i="1"/>
  <c r="AH770" i="2"/>
  <c r="F770" i="1"/>
  <c r="AG770" i="2"/>
  <c r="E770" i="1"/>
  <c r="AF770" i="2"/>
  <c r="D770" i="1"/>
  <c r="AE770" i="2"/>
  <c r="AD770" i="2"/>
  <c r="AC770" i="2"/>
  <c r="Z770" i="2"/>
  <c r="Y770" i="2"/>
  <c r="R769" i="1"/>
  <c r="AS769" i="2"/>
  <c r="AR769" i="2"/>
  <c r="P769" i="1"/>
  <c r="AQ769" i="2"/>
  <c r="O769" i="1"/>
  <c r="AP769" i="2"/>
  <c r="N769" i="1"/>
  <c r="AO769" i="2"/>
  <c r="M769" i="1"/>
  <c r="AN769" i="2"/>
  <c r="L769" i="1"/>
  <c r="AM769" i="2"/>
  <c r="K769" i="1"/>
  <c r="AL769" i="2"/>
  <c r="AK769" i="2"/>
  <c r="AJ769" i="2"/>
  <c r="H769" i="1"/>
  <c r="AI769" i="2"/>
  <c r="G769" i="1"/>
  <c r="AH769" i="2"/>
  <c r="F769" i="1"/>
  <c r="AG769" i="2"/>
  <c r="E769" i="1"/>
  <c r="AF769" i="2"/>
  <c r="D769" i="1"/>
  <c r="AE769" i="2"/>
  <c r="AD769" i="2"/>
  <c r="AC769" i="2"/>
  <c r="Z769" i="2"/>
  <c r="Y769" i="2"/>
  <c r="R768" i="1"/>
  <c r="AS768" i="2"/>
  <c r="AR768" i="2"/>
  <c r="P768" i="1"/>
  <c r="AQ768" i="2"/>
  <c r="O768" i="1"/>
  <c r="AP768" i="2"/>
  <c r="N768" i="1"/>
  <c r="AO768" i="2"/>
  <c r="M768" i="1"/>
  <c r="AN768" i="2"/>
  <c r="L768" i="1"/>
  <c r="AM768" i="2"/>
  <c r="K768" i="1"/>
  <c r="AL768" i="2"/>
  <c r="AK768" i="2"/>
  <c r="AJ768" i="2"/>
  <c r="H768" i="1"/>
  <c r="AI768" i="2"/>
  <c r="G768" i="1"/>
  <c r="AH768" i="2"/>
  <c r="F768" i="1"/>
  <c r="AG768" i="2"/>
  <c r="E768" i="1"/>
  <c r="AF768" i="2"/>
  <c r="D768" i="1"/>
  <c r="AE768" i="2"/>
  <c r="AD768" i="2"/>
  <c r="AC768" i="2"/>
  <c r="Z768" i="2"/>
  <c r="Y768" i="2"/>
  <c r="R767" i="1"/>
  <c r="AS767" i="2"/>
  <c r="AR767" i="2"/>
  <c r="P767" i="1"/>
  <c r="AQ767" i="2"/>
  <c r="O767" i="1"/>
  <c r="AP767" i="2"/>
  <c r="N767" i="1"/>
  <c r="AO767" i="2"/>
  <c r="M767" i="1"/>
  <c r="AN767" i="2"/>
  <c r="L767" i="1"/>
  <c r="AM767" i="2"/>
  <c r="K767" i="1"/>
  <c r="AL767" i="2"/>
  <c r="AK767" i="2"/>
  <c r="AJ767" i="2"/>
  <c r="H767" i="1"/>
  <c r="AI767" i="2"/>
  <c r="G767" i="1"/>
  <c r="AH767" i="2"/>
  <c r="F767" i="1"/>
  <c r="AG767" i="2"/>
  <c r="E767" i="1"/>
  <c r="AF767" i="2"/>
  <c r="D767" i="1"/>
  <c r="AE767" i="2"/>
  <c r="AD767" i="2"/>
  <c r="AC767" i="2"/>
  <c r="Z767" i="2"/>
  <c r="Y767" i="2"/>
  <c r="R766" i="1"/>
  <c r="AS766" i="2"/>
  <c r="AR766" i="2"/>
  <c r="P766" i="1"/>
  <c r="AQ766" i="2"/>
  <c r="O766" i="1"/>
  <c r="AP766" i="2"/>
  <c r="N766" i="1"/>
  <c r="AO766" i="2"/>
  <c r="M766" i="1"/>
  <c r="AN766" i="2"/>
  <c r="L766" i="1"/>
  <c r="AM766" i="2"/>
  <c r="K766" i="1"/>
  <c r="AL766" i="2"/>
  <c r="AK766" i="2"/>
  <c r="AJ766" i="2"/>
  <c r="H766" i="1"/>
  <c r="AI766" i="2"/>
  <c r="G766" i="1"/>
  <c r="AH766" i="2"/>
  <c r="F766" i="1"/>
  <c r="AG766" i="2"/>
  <c r="E766" i="1"/>
  <c r="AF766" i="2"/>
  <c r="D766" i="1"/>
  <c r="AE766" i="2"/>
  <c r="AD766" i="2"/>
  <c r="AC766" i="2"/>
  <c r="Z766" i="2"/>
  <c r="Y766" i="2"/>
  <c r="R765" i="1"/>
  <c r="AS765" i="2"/>
  <c r="AR765" i="2"/>
  <c r="P765" i="1"/>
  <c r="AQ765" i="2"/>
  <c r="O765" i="1"/>
  <c r="AP765" i="2"/>
  <c r="N765" i="1"/>
  <c r="AO765" i="2"/>
  <c r="M765" i="1"/>
  <c r="AN765" i="2"/>
  <c r="L765" i="1"/>
  <c r="AM765" i="2"/>
  <c r="K765" i="1"/>
  <c r="AL765" i="2"/>
  <c r="AK765" i="2"/>
  <c r="AJ765" i="2"/>
  <c r="H765" i="1"/>
  <c r="AI765" i="2"/>
  <c r="G765" i="1"/>
  <c r="AH765" i="2"/>
  <c r="F765" i="1"/>
  <c r="AG765" i="2"/>
  <c r="E765" i="1"/>
  <c r="AF765" i="2"/>
  <c r="D765" i="1"/>
  <c r="AE765" i="2"/>
  <c r="AD765" i="2"/>
  <c r="AC765" i="2"/>
  <c r="Z765" i="2"/>
  <c r="Y765" i="2"/>
  <c r="R764" i="1"/>
  <c r="AS764" i="2"/>
  <c r="AR764" i="2"/>
  <c r="P764" i="1"/>
  <c r="AQ764" i="2"/>
  <c r="O764" i="1"/>
  <c r="AP764" i="2"/>
  <c r="N764" i="1"/>
  <c r="AO764" i="2"/>
  <c r="M764" i="1"/>
  <c r="AN764" i="2"/>
  <c r="L764" i="1"/>
  <c r="AM764" i="2"/>
  <c r="K764" i="1"/>
  <c r="AL764" i="2"/>
  <c r="AK764" i="2"/>
  <c r="AJ764" i="2"/>
  <c r="H764" i="1"/>
  <c r="AI764" i="2"/>
  <c r="G764" i="1"/>
  <c r="AH764" i="2"/>
  <c r="F764" i="1"/>
  <c r="AG764" i="2"/>
  <c r="E764" i="1"/>
  <c r="AF764" i="2"/>
  <c r="D764" i="1"/>
  <c r="AE764" i="2"/>
  <c r="AD764" i="2"/>
  <c r="AC764" i="2"/>
  <c r="Z764" i="2"/>
  <c r="Y764" i="2"/>
  <c r="R763" i="1"/>
  <c r="AS763" i="2"/>
  <c r="AR763" i="2"/>
  <c r="P763" i="1"/>
  <c r="AQ763" i="2"/>
  <c r="O763" i="1"/>
  <c r="AP763" i="2"/>
  <c r="N763" i="1"/>
  <c r="AO763" i="2"/>
  <c r="M763" i="1"/>
  <c r="AN763" i="2"/>
  <c r="L763" i="1"/>
  <c r="AM763" i="2"/>
  <c r="K763" i="1"/>
  <c r="AL763" i="2"/>
  <c r="AK763" i="2"/>
  <c r="AJ763" i="2"/>
  <c r="H763" i="1"/>
  <c r="AI763" i="2"/>
  <c r="G763" i="1"/>
  <c r="AH763" i="2"/>
  <c r="F763" i="1"/>
  <c r="AG763" i="2"/>
  <c r="E763" i="1"/>
  <c r="AF763" i="2"/>
  <c r="D763" i="1"/>
  <c r="AE763" i="2"/>
  <c r="AD763" i="2"/>
  <c r="AC763" i="2"/>
  <c r="Z763" i="2"/>
  <c r="Y763" i="2"/>
  <c r="R762" i="1"/>
  <c r="AS762" i="2"/>
  <c r="AR762" i="2"/>
  <c r="P762" i="1"/>
  <c r="AQ762" i="2"/>
  <c r="O762" i="1"/>
  <c r="AP762" i="2"/>
  <c r="N762" i="1"/>
  <c r="AO762" i="2"/>
  <c r="M762" i="1"/>
  <c r="AN762" i="2"/>
  <c r="L762" i="1"/>
  <c r="AM762" i="2"/>
  <c r="K762" i="1"/>
  <c r="AL762" i="2"/>
  <c r="AK762" i="2"/>
  <c r="AJ762" i="2"/>
  <c r="H762" i="1"/>
  <c r="AI762" i="2"/>
  <c r="G762" i="1"/>
  <c r="AH762" i="2"/>
  <c r="F762" i="1"/>
  <c r="AG762" i="2"/>
  <c r="E762" i="1"/>
  <c r="AF762" i="2"/>
  <c r="D762" i="1"/>
  <c r="AE762" i="2"/>
  <c r="AD762" i="2"/>
  <c r="AC762" i="2"/>
  <c r="Z762" i="2"/>
  <c r="Y762" i="2"/>
  <c r="R761" i="1"/>
  <c r="AS761" i="2"/>
  <c r="AR761" i="2"/>
  <c r="P761" i="1"/>
  <c r="AQ761" i="2"/>
  <c r="O761" i="1"/>
  <c r="AP761" i="2"/>
  <c r="N761" i="1"/>
  <c r="AO761" i="2"/>
  <c r="M761" i="1"/>
  <c r="AN761" i="2"/>
  <c r="L761" i="1"/>
  <c r="AM761" i="2"/>
  <c r="K761" i="1"/>
  <c r="AL761" i="2"/>
  <c r="AK761" i="2"/>
  <c r="AJ761" i="2"/>
  <c r="H761" i="1"/>
  <c r="AI761" i="2"/>
  <c r="G761" i="1"/>
  <c r="AH761" i="2"/>
  <c r="F761" i="1"/>
  <c r="AG761" i="2"/>
  <c r="E761" i="1"/>
  <c r="AF761" i="2"/>
  <c r="D761" i="1"/>
  <c r="AE761" i="2"/>
  <c r="AD761" i="2"/>
  <c r="AC761" i="2"/>
  <c r="Z761" i="2"/>
  <c r="Y761" i="2"/>
  <c r="R760" i="1"/>
  <c r="AS760" i="2"/>
  <c r="AR760" i="2"/>
  <c r="P760" i="1"/>
  <c r="AQ760" i="2"/>
  <c r="O760" i="1"/>
  <c r="AP760" i="2"/>
  <c r="N760" i="1"/>
  <c r="AO760" i="2"/>
  <c r="M760" i="1"/>
  <c r="AN760" i="2"/>
  <c r="L760" i="1"/>
  <c r="AM760" i="2"/>
  <c r="K760" i="1"/>
  <c r="AL760" i="2"/>
  <c r="AK760" i="2"/>
  <c r="AJ760" i="2"/>
  <c r="H760" i="1"/>
  <c r="AI760" i="2"/>
  <c r="G760" i="1"/>
  <c r="AH760" i="2"/>
  <c r="F760" i="1"/>
  <c r="AG760" i="2"/>
  <c r="E760" i="1"/>
  <c r="AF760" i="2"/>
  <c r="D760" i="1"/>
  <c r="AE760" i="2"/>
  <c r="AD760" i="2"/>
  <c r="AC760" i="2"/>
  <c r="Z760" i="2"/>
  <c r="Y760" i="2"/>
  <c r="R759" i="1"/>
  <c r="AS759" i="2"/>
  <c r="AR759" i="2"/>
  <c r="P759" i="1"/>
  <c r="AQ759" i="2"/>
  <c r="O759" i="1"/>
  <c r="AP759" i="2"/>
  <c r="N759" i="1"/>
  <c r="AO759" i="2"/>
  <c r="M759" i="1"/>
  <c r="AN759" i="2"/>
  <c r="L759" i="1"/>
  <c r="AM759" i="2"/>
  <c r="K759" i="1"/>
  <c r="AL759" i="2"/>
  <c r="AK759" i="2"/>
  <c r="AJ759" i="2"/>
  <c r="H759" i="1"/>
  <c r="AI759" i="2"/>
  <c r="G759" i="1"/>
  <c r="AH759" i="2"/>
  <c r="F759" i="1"/>
  <c r="AG759" i="2"/>
  <c r="E759" i="1"/>
  <c r="AF759" i="2"/>
  <c r="D759" i="1"/>
  <c r="AE759" i="2"/>
  <c r="AD759" i="2"/>
  <c r="AC759" i="2"/>
  <c r="Z759" i="2"/>
  <c r="Y759" i="2"/>
  <c r="R758" i="1"/>
  <c r="AS758" i="2"/>
  <c r="AR758" i="2"/>
  <c r="P758" i="1"/>
  <c r="AQ758" i="2"/>
  <c r="O758" i="1"/>
  <c r="AP758" i="2"/>
  <c r="N758" i="1"/>
  <c r="AO758" i="2"/>
  <c r="M758" i="1"/>
  <c r="AN758" i="2"/>
  <c r="L758" i="1"/>
  <c r="AM758" i="2"/>
  <c r="K758" i="1"/>
  <c r="AL758" i="2"/>
  <c r="AK758" i="2"/>
  <c r="AJ758" i="2"/>
  <c r="H758" i="1"/>
  <c r="AI758" i="2"/>
  <c r="G758" i="1"/>
  <c r="AH758" i="2"/>
  <c r="F758" i="1"/>
  <c r="AG758" i="2"/>
  <c r="E758" i="1"/>
  <c r="AF758" i="2"/>
  <c r="D758" i="1"/>
  <c r="AE758" i="2"/>
  <c r="AD758" i="2"/>
  <c r="AC758" i="2"/>
  <c r="Z758" i="2"/>
  <c r="Y758" i="2"/>
  <c r="R757" i="1"/>
  <c r="AS757" i="2"/>
  <c r="AR757" i="2"/>
  <c r="P757" i="1"/>
  <c r="AQ757" i="2"/>
  <c r="O757" i="1"/>
  <c r="AP757" i="2"/>
  <c r="N757" i="1"/>
  <c r="AO757" i="2"/>
  <c r="M757" i="1"/>
  <c r="AN757" i="2"/>
  <c r="L757" i="1"/>
  <c r="AM757" i="2"/>
  <c r="K757" i="1"/>
  <c r="AL757" i="2"/>
  <c r="AK757" i="2"/>
  <c r="AJ757" i="2"/>
  <c r="H757" i="1"/>
  <c r="AI757" i="2"/>
  <c r="G757" i="1"/>
  <c r="AH757" i="2"/>
  <c r="F757" i="1"/>
  <c r="AG757" i="2"/>
  <c r="E757" i="1"/>
  <c r="AF757" i="2"/>
  <c r="D757" i="1"/>
  <c r="AE757" i="2"/>
  <c r="AD757" i="2"/>
  <c r="AC757" i="2"/>
  <c r="Z757" i="2"/>
  <c r="Y757" i="2"/>
  <c r="R756" i="1"/>
  <c r="AS756" i="2"/>
  <c r="AR756" i="2"/>
  <c r="P756" i="1"/>
  <c r="AQ756" i="2"/>
  <c r="O756" i="1"/>
  <c r="AP756" i="2"/>
  <c r="N756" i="1"/>
  <c r="AO756" i="2"/>
  <c r="M756" i="1"/>
  <c r="AN756" i="2"/>
  <c r="L756" i="1"/>
  <c r="AM756" i="2"/>
  <c r="K756" i="1"/>
  <c r="AL756" i="2"/>
  <c r="AK756" i="2"/>
  <c r="AJ756" i="2"/>
  <c r="H756" i="1"/>
  <c r="AI756" i="2"/>
  <c r="G756" i="1"/>
  <c r="AH756" i="2"/>
  <c r="F756" i="1"/>
  <c r="AG756" i="2"/>
  <c r="E756" i="1"/>
  <c r="AF756" i="2"/>
  <c r="D756" i="1"/>
  <c r="AE756" i="2"/>
  <c r="AD756" i="2"/>
  <c r="AC756" i="2"/>
  <c r="Z756" i="2"/>
  <c r="Y756" i="2"/>
  <c r="R755" i="1"/>
  <c r="AS755" i="2"/>
  <c r="AR755" i="2"/>
  <c r="P755" i="1"/>
  <c r="AQ755" i="2"/>
  <c r="O755" i="1"/>
  <c r="AP755" i="2"/>
  <c r="N755" i="1"/>
  <c r="AO755" i="2"/>
  <c r="M755" i="1"/>
  <c r="AN755" i="2"/>
  <c r="L755" i="1"/>
  <c r="AM755" i="2"/>
  <c r="K755" i="1"/>
  <c r="AL755" i="2"/>
  <c r="AK755" i="2"/>
  <c r="AJ755" i="2"/>
  <c r="H755" i="1"/>
  <c r="AI755" i="2"/>
  <c r="G755" i="1"/>
  <c r="AH755" i="2"/>
  <c r="F755" i="1"/>
  <c r="AG755" i="2"/>
  <c r="E755" i="1"/>
  <c r="AF755" i="2"/>
  <c r="D755" i="1"/>
  <c r="AE755" i="2"/>
  <c r="AD755" i="2"/>
  <c r="AC755" i="2"/>
  <c r="Z755" i="2"/>
  <c r="Y755" i="2"/>
  <c r="R754" i="1"/>
  <c r="AS754" i="2"/>
  <c r="AR754" i="2"/>
  <c r="P754" i="1"/>
  <c r="AQ754" i="2"/>
  <c r="O754" i="1"/>
  <c r="AP754" i="2"/>
  <c r="N754" i="1"/>
  <c r="AO754" i="2"/>
  <c r="M754" i="1"/>
  <c r="AN754" i="2"/>
  <c r="L754" i="1"/>
  <c r="AM754" i="2"/>
  <c r="K754" i="1"/>
  <c r="AL754" i="2"/>
  <c r="AK754" i="2"/>
  <c r="AJ754" i="2"/>
  <c r="H754" i="1"/>
  <c r="AI754" i="2"/>
  <c r="G754" i="1"/>
  <c r="AH754" i="2"/>
  <c r="F754" i="1"/>
  <c r="AG754" i="2"/>
  <c r="E754" i="1"/>
  <c r="AF754" i="2"/>
  <c r="D754" i="1"/>
  <c r="AE754" i="2"/>
  <c r="AD754" i="2"/>
  <c r="AC754" i="2"/>
  <c r="Z754" i="2"/>
  <c r="Y754" i="2"/>
  <c r="R753" i="1"/>
  <c r="AS753" i="2"/>
  <c r="AR753" i="2"/>
  <c r="P753" i="1"/>
  <c r="AQ753" i="2"/>
  <c r="O753" i="1"/>
  <c r="AP753" i="2"/>
  <c r="N753" i="1"/>
  <c r="AO753" i="2"/>
  <c r="M753" i="1"/>
  <c r="AN753" i="2"/>
  <c r="L753" i="1"/>
  <c r="AM753" i="2"/>
  <c r="K753" i="1"/>
  <c r="AL753" i="2"/>
  <c r="AK753" i="2"/>
  <c r="AJ753" i="2"/>
  <c r="H753" i="1"/>
  <c r="AI753" i="2"/>
  <c r="G753" i="1"/>
  <c r="AH753" i="2"/>
  <c r="F753" i="1"/>
  <c r="AG753" i="2"/>
  <c r="E753" i="1"/>
  <c r="AF753" i="2"/>
  <c r="D753" i="1"/>
  <c r="AE753" i="2"/>
  <c r="AD753" i="2"/>
  <c r="AC753" i="2"/>
  <c r="Z753" i="2"/>
  <c r="Y753" i="2"/>
  <c r="R752" i="1"/>
  <c r="AS752" i="2"/>
  <c r="AR752" i="2"/>
  <c r="P752" i="1"/>
  <c r="AQ752" i="2"/>
  <c r="O752" i="1"/>
  <c r="AP752" i="2"/>
  <c r="N752" i="1"/>
  <c r="AO752" i="2"/>
  <c r="M752" i="1"/>
  <c r="AN752" i="2"/>
  <c r="L752" i="1"/>
  <c r="AM752" i="2"/>
  <c r="K752" i="1"/>
  <c r="AL752" i="2"/>
  <c r="AK752" i="2"/>
  <c r="AJ752" i="2"/>
  <c r="H752" i="1"/>
  <c r="AI752" i="2"/>
  <c r="G752" i="1"/>
  <c r="AH752" i="2"/>
  <c r="F752" i="1"/>
  <c r="AG752" i="2"/>
  <c r="E752" i="1"/>
  <c r="AF752" i="2"/>
  <c r="D752" i="1"/>
  <c r="AE752" i="2"/>
  <c r="AD752" i="2"/>
  <c r="AC752" i="2"/>
  <c r="Z752" i="2"/>
  <c r="Y752" i="2"/>
  <c r="R751" i="1"/>
  <c r="AS751" i="2"/>
  <c r="AR751" i="2"/>
  <c r="P751" i="1"/>
  <c r="AQ751" i="2"/>
  <c r="O751" i="1"/>
  <c r="AP751" i="2"/>
  <c r="N751" i="1"/>
  <c r="AO751" i="2"/>
  <c r="M751" i="1"/>
  <c r="AN751" i="2"/>
  <c r="L751" i="1"/>
  <c r="AM751" i="2"/>
  <c r="K751" i="1"/>
  <c r="AL751" i="2"/>
  <c r="AK751" i="2"/>
  <c r="AJ751" i="2"/>
  <c r="H751" i="1"/>
  <c r="AI751" i="2"/>
  <c r="G751" i="1"/>
  <c r="AH751" i="2"/>
  <c r="F751" i="1"/>
  <c r="AG751" i="2"/>
  <c r="E751" i="1"/>
  <c r="AF751" i="2"/>
  <c r="D751" i="1"/>
  <c r="AE751" i="2"/>
  <c r="AD751" i="2"/>
  <c r="AC751" i="2"/>
  <c r="Z751" i="2"/>
  <c r="Y751" i="2"/>
  <c r="R750" i="1"/>
  <c r="AS750" i="2"/>
  <c r="AR750" i="2"/>
  <c r="P750" i="1"/>
  <c r="AQ750" i="2"/>
  <c r="O750" i="1"/>
  <c r="AP750" i="2"/>
  <c r="N750" i="1"/>
  <c r="AO750" i="2"/>
  <c r="M750" i="1"/>
  <c r="AN750" i="2"/>
  <c r="L750" i="1"/>
  <c r="AM750" i="2"/>
  <c r="K750" i="1"/>
  <c r="AL750" i="2"/>
  <c r="AK750" i="2"/>
  <c r="AJ750" i="2"/>
  <c r="H750" i="1"/>
  <c r="AI750" i="2"/>
  <c r="G750" i="1"/>
  <c r="AH750" i="2"/>
  <c r="F750" i="1"/>
  <c r="AG750" i="2"/>
  <c r="E750" i="1"/>
  <c r="AF750" i="2"/>
  <c r="D750" i="1"/>
  <c r="AE750" i="2"/>
  <c r="AD750" i="2"/>
  <c r="AC750" i="2"/>
  <c r="Z750" i="2"/>
  <c r="Y750" i="2"/>
  <c r="R749" i="1"/>
  <c r="AS749" i="2"/>
  <c r="AR749" i="2"/>
  <c r="P749" i="1"/>
  <c r="AQ749" i="2"/>
  <c r="O749" i="1"/>
  <c r="AP749" i="2"/>
  <c r="N749" i="1"/>
  <c r="AO749" i="2"/>
  <c r="M749" i="1"/>
  <c r="AN749" i="2"/>
  <c r="L749" i="1"/>
  <c r="AM749" i="2"/>
  <c r="K749" i="1"/>
  <c r="AL749" i="2"/>
  <c r="AK749" i="2"/>
  <c r="AJ749" i="2"/>
  <c r="H749" i="1"/>
  <c r="AI749" i="2"/>
  <c r="G749" i="1"/>
  <c r="AH749" i="2"/>
  <c r="F749" i="1"/>
  <c r="AG749" i="2"/>
  <c r="E749" i="1"/>
  <c r="AF749" i="2"/>
  <c r="D749" i="1"/>
  <c r="AE749" i="2"/>
  <c r="AD749" i="2"/>
  <c r="AC749" i="2"/>
  <c r="Z749" i="2"/>
  <c r="Y749" i="2"/>
  <c r="R748" i="1"/>
  <c r="AS748" i="2"/>
  <c r="AR748" i="2"/>
  <c r="P748" i="1"/>
  <c r="AQ748" i="2"/>
  <c r="O748" i="1"/>
  <c r="AP748" i="2"/>
  <c r="N748" i="1"/>
  <c r="AO748" i="2"/>
  <c r="M748" i="1"/>
  <c r="AN748" i="2"/>
  <c r="L748" i="1"/>
  <c r="AM748" i="2"/>
  <c r="K748" i="1"/>
  <c r="AL748" i="2"/>
  <c r="AK748" i="2"/>
  <c r="AJ748" i="2"/>
  <c r="H748" i="1"/>
  <c r="AI748" i="2"/>
  <c r="G748" i="1"/>
  <c r="AH748" i="2"/>
  <c r="F748" i="1"/>
  <c r="AG748" i="2"/>
  <c r="E748" i="1"/>
  <c r="AF748" i="2"/>
  <c r="D748" i="1"/>
  <c r="AE748" i="2"/>
  <c r="AD748" i="2"/>
  <c r="AC748" i="2"/>
  <c r="Z748" i="2"/>
  <c r="Y748" i="2"/>
  <c r="R747" i="1"/>
  <c r="AS747" i="2"/>
  <c r="AR747" i="2"/>
  <c r="P747" i="1"/>
  <c r="AQ747" i="2"/>
  <c r="O747" i="1"/>
  <c r="AP747" i="2"/>
  <c r="N747" i="1"/>
  <c r="AO747" i="2"/>
  <c r="M747" i="1"/>
  <c r="AN747" i="2"/>
  <c r="L747" i="1"/>
  <c r="AM747" i="2"/>
  <c r="K747" i="1"/>
  <c r="AL747" i="2"/>
  <c r="AK747" i="2"/>
  <c r="AJ747" i="2"/>
  <c r="H747" i="1"/>
  <c r="AI747" i="2"/>
  <c r="G747" i="1"/>
  <c r="AH747" i="2"/>
  <c r="F747" i="1"/>
  <c r="AG747" i="2"/>
  <c r="E747" i="1"/>
  <c r="AF747" i="2"/>
  <c r="D747" i="1"/>
  <c r="AE747" i="2"/>
  <c r="AD747" i="2"/>
  <c r="AC747" i="2"/>
  <c r="Z747" i="2"/>
  <c r="Y747" i="2"/>
  <c r="R746" i="1"/>
  <c r="AS746" i="2"/>
  <c r="AR746" i="2"/>
  <c r="P746" i="1"/>
  <c r="AQ746" i="2"/>
  <c r="O746" i="1"/>
  <c r="AP746" i="2"/>
  <c r="N746" i="1"/>
  <c r="AO746" i="2"/>
  <c r="M746" i="1"/>
  <c r="AN746" i="2"/>
  <c r="L746" i="1"/>
  <c r="AM746" i="2"/>
  <c r="K746" i="1"/>
  <c r="AL746" i="2"/>
  <c r="AK746" i="2"/>
  <c r="AJ746" i="2"/>
  <c r="H746" i="1"/>
  <c r="AI746" i="2"/>
  <c r="G746" i="1"/>
  <c r="AH746" i="2"/>
  <c r="F746" i="1"/>
  <c r="AG746" i="2"/>
  <c r="E746" i="1"/>
  <c r="AF746" i="2"/>
  <c r="D746" i="1"/>
  <c r="AE746" i="2"/>
  <c r="AD746" i="2"/>
  <c r="AC746" i="2"/>
  <c r="Z746" i="2"/>
  <c r="Y746" i="2"/>
  <c r="R745" i="1"/>
  <c r="AS745" i="2"/>
  <c r="AR745" i="2"/>
  <c r="P745" i="1"/>
  <c r="AQ745" i="2"/>
  <c r="O745" i="1"/>
  <c r="AP745" i="2"/>
  <c r="N745" i="1"/>
  <c r="AO745" i="2"/>
  <c r="M745" i="1"/>
  <c r="AN745" i="2"/>
  <c r="L745" i="1"/>
  <c r="AM745" i="2"/>
  <c r="K745" i="1"/>
  <c r="AL745" i="2"/>
  <c r="AK745" i="2"/>
  <c r="AJ745" i="2"/>
  <c r="H745" i="1"/>
  <c r="AI745" i="2"/>
  <c r="G745" i="1"/>
  <c r="AH745" i="2"/>
  <c r="F745" i="1"/>
  <c r="AG745" i="2"/>
  <c r="E745" i="1"/>
  <c r="AF745" i="2"/>
  <c r="D745" i="1"/>
  <c r="AE745" i="2"/>
  <c r="AD745" i="2"/>
  <c r="AC745" i="2"/>
  <c r="Z745" i="2"/>
  <c r="Y745" i="2"/>
  <c r="R744" i="1"/>
  <c r="AS744" i="2"/>
  <c r="AR744" i="2"/>
  <c r="P744" i="1"/>
  <c r="AQ744" i="2"/>
  <c r="O744" i="1"/>
  <c r="AP744" i="2"/>
  <c r="N744" i="1"/>
  <c r="AO744" i="2"/>
  <c r="M744" i="1"/>
  <c r="AN744" i="2"/>
  <c r="L744" i="1"/>
  <c r="AM744" i="2"/>
  <c r="K744" i="1"/>
  <c r="AL744" i="2"/>
  <c r="AK744" i="2"/>
  <c r="AJ744" i="2"/>
  <c r="H744" i="1"/>
  <c r="AI744" i="2"/>
  <c r="G744" i="1"/>
  <c r="AH744" i="2"/>
  <c r="F744" i="1"/>
  <c r="AG744" i="2"/>
  <c r="E744" i="1"/>
  <c r="AF744" i="2"/>
  <c r="D744" i="1"/>
  <c r="AE744" i="2"/>
  <c r="AD744" i="2"/>
  <c r="AC744" i="2"/>
  <c r="Z744" i="2"/>
  <c r="Y744" i="2"/>
  <c r="R743" i="1"/>
  <c r="AS743" i="2"/>
  <c r="AR743" i="2"/>
  <c r="P743" i="1"/>
  <c r="AQ743" i="2"/>
  <c r="O743" i="1"/>
  <c r="AP743" i="2"/>
  <c r="N743" i="1"/>
  <c r="AO743" i="2"/>
  <c r="M743" i="1"/>
  <c r="AN743" i="2"/>
  <c r="L743" i="1"/>
  <c r="AM743" i="2"/>
  <c r="K743" i="1"/>
  <c r="AL743" i="2"/>
  <c r="AK743" i="2"/>
  <c r="AJ743" i="2"/>
  <c r="H743" i="1"/>
  <c r="AI743" i="2"/>
  <c r="G743" i="1"/>
  <c r="AH743" i="2"/>
  <c r="F743" i="1"/>
  <c r="AG743" i="2"/>
  <c r="E743" i="1"/>
  <c r="AF743" i="2"/>
  <c r="D743" i="1"/>
  <c r="AE743" i="2"/>
  <c r="AD743" i="2"/>
  <c r="AC743" i="2"/>
  <c r="Z743" i="2"/>
  <c r="Y743" i="2"/>
  <c r="R742" i="1"/>
  <c r="AS742" i="2"/>
  <c r="AR742" i="2"/>
  <c r="P742" i="1"/>
  <c r="AQ742" i="2"/>
  <c r="O742" i="1"/>
  <c r="AP742" i="2"/>
  <c r="N742" i="1"/>
  <c r="AO742" i="2"/>
  <c r="M742" i="1"/>
  <c r="AN742" i="2"/>
  <c r="L742" i="1"/>
  <c r="AM742" i="2"/>
  <c r="K742" i="1"/>
  <c r="AL742" i="2"/>
  <c r="AK742" i="2"/>
  <c r="AJ742" i="2"/>
  <c r="H742" i="1"/>
  <c r="AI742" i="2"/>
  <c r="G742" i="1"/>
  <c r="AH742" i="2"/>
  <c r="F742" i="1"/>
  <c r="AG742" i="2"/>
  <c r="E742" i="1"/>
  <c r="AF742" i="2"/>
  <c r="D742" i="1"/>
  <c r="AE742" i="2"/>
  <c r="AD742" i="2"/>
  <c r="AC742" i="2"/>
  <c r="Z742" i="2"/>
  <c r="Y742" i="2"/>
  <c r="R741" i="1"/>
  <c r="AS741" i="2"/>
  <c r="AR741" i="2"/>
  <c r="P741" i="1"/>
  <c r="AQ741" i="2"/>
  <c r="O741" i="1"/>
  <c r="AP741" i="2"/>
  <c r="N741" i="1"/>
  <c r="AO741" i="2"/>
  <c r="M741" i="1"/>
  <c r="AN741" i="2"/>
  <c r="L741" i="1"/>
  <c r="AM741" i="2"/>
  <c r="K741" i="1"/>
  <c r="AL741" i="2"/>
  <c r="AK741" i="2"/>
  <c r="AJ741" i="2"/>
  <c r="H741" i="1"/>
  <c r="AI741" i="2"/>
  <c r="G741" i="1"/>
  <c r="AH741" i="2"/>
  <c r="F741" i="1"/>
  <c r="AG741" i="2"/>
  <c r="E741" i="1"/>
  <c r="AF741" i="2"/>
  <c r="D741" i="1"/>
  <c r="AE741" i="2"/>
  <c r="AD741" i="2"/>
  <c r="AC741" i="2"/>
  <c r="Z741" i="2"/>
  <c r="Y741" i="2"/>
  <c r="R740" i="1"/>
  <c r="AS740" i="2"/>
  <c r="AR740" i="2"/>
  <c r="P740" i="1"/>
  <c r="AQ740" i="2"/>
  <c r="O740" i="1"/>
  <c r="AP740" i="2"/>
  <c r="N740" i="1"/>
  <c r="AO740" i="2"/>
  <c r="M740" i="1"/>
  <c r="AN740" i="2"/>
  <c r="L740" i="1"/>
  <c r="AM740" i="2"/>
  <c r="K740" i="1"/>
  <c r="AL740" i="2"/>
  <c r="AK740" i="2"/>
  <c r="AJ740" i="2"/>
  <c r="H740" i="1"/>
  <c r="AI740" i="2"/>
  <c r="G740" i="1"/>
  <c r="AH740" i="2"/>
  <c r="F740" i="1"/>
  <c r="AG740" i="2"/>
  <c r="E740" i="1"/>
  <c r="AF740" i="2"/>
  <c r="D740" i="1"/>
  <c r="AE740" i="2"/>
  <c r="AD740" i="2"/>
  <c r="AC740" i="2"/>
  <c r="Z740" i="2"/>
  <c r="Y740" i="2"/>
  <c r="R739" i="1"/>
  <c r="AS739" i="2"/>
  <c r="AR739" i="2"/>
  <c r="P739" i="1"/>
  <c r="AQ739" i="2"/>
  <c r="O739" i="1"/>
  <c r="AP739" i="2"/>
  <c r="N739" i="1"/>
  <c r="AO739" i="2"/>
  <c r="M739" i="1"/>
  <c r="AN739" i="2"/>
  <c r="L739" i="1"/>
  <c r="AM739" i="2"/>
  <c r="K739" i="1"/>
  <c r="AL739" i="2"/>
  <c r="AK739" i="2"/>
  <c r="AJ739" i="2"/>
  <c r="H739" i="1"/>
  <c r="AI739" i="2"/>
  <c r="G739" i="1"/>
  <c r="AH739" i="2"/>
  <c r="F739" i="1"/>
  <c r="AG739" i="2"/>
  <c r="E739" i="1"/>
  <c r="AF739" i="2"/>
  <c r="D739" i="1"/>
  <c r="AE739" i="2"/>
  <c r="AD739" i="2"/>
  <c r="AC739" i="2"/>
  <c r="Z739" i="2"/>
  <c r="Y739" i="2"/>
  <c r="R738" i="1"/>
  <c r="AS738" i="2"/>
  <c r="AR738" i="2"/>
  <c r="P738" i="1"/>
  <c r="AQ738" i="2"/>
  <c r="O738" i="1"/>
  <c r="AP738" i="2"/>
  <c r="N738" i="1"/>
  <c r="AO738" i="2"/>
  <c r="M738" i="1"/>
  <c r="AN738" i="2"/>
  <c r="L738" i="1"/>
  <c r="AM738" i="2"/>
  <c r="K738" i="1"/>
  <c r="AL738" i="2"/>
  <c r="AK738" i="2"/>
  <c r="AJ738" i="2"/>
  <c r="H738" i="1"/>
  <c r="AI738" i="2"/>
  <c r="G738" i="1"/>
  <c r="AH738" i="2"/>
  <c r="F738" i="1"/>
  <c r="AG738" i="2"/>
  <c r="E738" i="1"/>
  <c r="AF738" i="2"/>
  <c r="D738" i="1"/>
  <c r="AE738" i="2"/>
  <c r="AD738" i="2"/>
  <c r="AC738" i="2"/>
  <c r="Z738" i="2"/>
  <c r="Y738" i="2"/>
  <c r="R737" i="1"/>
  <c r="AS737" i="2"/>
  <c r="AR737" i="2"/>
  <c r="P737" i="1"/>
  <c r="AQ737" i="2"/>
  <c r="O737" i="1"/>
  <c r="AP737" i="2"/>
  <c r="N737" i="1"/>
  <c r="AO737" i="2"/>
  <c r="M737" i="1"/>
  <c r="AN737" i="2"/>
  <c r="L737" i="1"/>
  <c r="AM737" i="2"/>
  <c r="K737" i="1"/>
  <c r="AL737" i="2"/>
  <c r="AK737" i="2"/>
  <c r="AJ737" i="2"/>
  <c r="H737" i="1"/>
  <c r="AI737" i="2"/>
  <c r="G737" i="1"/>
  <c r="AH737" i="2"/>
  <c r="F737" i="1"/>
  <c r="AG737" i="2"/>
  <c r="E737" i="1"/>
  <c r="AF737" i="2"/>
  <c r="D737" i="1"/>
  <c r="AE737" i="2"/>
  <c r="AD737" i="2"/>
  <c r="AC737" i="2"/>
  <c r="Z737" i="2"/>
  <c r="Y737" i="2"/>
  <c r="R736" i="1"/>
  <c r="AS736" i="2"/>
  <c r="AR736" i="2"/>
  <c r="P736" i="1"/>
  <c r="AQ736" i="2"/>
  <c r="O736" i="1"/>
  <c r="AP736" i="2"/>
  <c r="N736" i="1"/>
  <c r="AO736" i="2"/>
  <c r="M736" i="1"/>
  <c r="AN736" i="2"/>
  <c r="L736" i="1"/>
  <c r="AM736" i="2"/>
  <c r="K736" i="1"/>
  <c r="AL736" i="2"/>
  <c r="AK736" i="2"/>
  <c r="AJ736" i="2"/>
  <c r="H736" i="1"/>
  <c r="AI736" i="2"/>
  <c r="G736" i="1"/>
  <c r="AH736" i="2"/>
  <c r="F736" i="1"/>
  <c r="AG736" i="2"/>
  <c r="E736" i="1"/>
  <c r="AF736" i="2"/>
  <c r="D736" i="1"/>
  <c r="AE736" i="2"/>
  <c r="AD736" i="2"/>
  <c r="AC736" i="2"/>
  <c r="Z736" i="2"/>
  <c r="Y736" i="2"/>
  <c r="R735" i="1"/>
  <c r="AS735" i="2"/>
  <c r="AR735" i="2"/>
  <c r="P735" i="1"/>
  <c r="AQ735" i="2"/>
  <c r="O735" i="1"/>
  <c r="AP735" i="2"/>
  <c r="N735" i="1"/>
  <c r="AO735" i="2"/>
  <c r="M735" i="1"/>
  <c r="AN735" i="2"/>
  <c r="L735" i="1"/>
  <c r="AM735" i="2"/>
  <c r="K735" i="1"/>
  <c r="AL735" i="2"/>
  <c r="AK735" i="2"/>
  <c r="AJ735" i="2"/>
  <c r="H735" i="1"/>
  <c r="AI735" i="2"/>
  <c r="G735" i="1"/>
  <c r="AH735" i="2"/>
  <c r="F735" i="1"/>
  <c r="AG735" i="2"/>
  <c r="E735" i="1"/>
  <c r="AF735" i="2"/>
  <c r="D735" i="1"/>
  <c r="AE735" i="2"/>
  <c r="AD735" i="2"/>
  <c r="AC735" i="2"/>
  <c r="Z735" i="2"/>
  <c r="Y735" i="2"/>
  <c r="R734" i="1"/>
  <c r="AS734" i="2"/>
  <c r="AR734" i="2"/>
  <c r="P734" i="1"/>
  <c r="AQ734" i="2"/>
  <c r="O734" i="1"/>
  <c r="AP734" i="2"/>
  <c r="N734" i="1"/>
  <c r="AO734" i="2"/>
  <c r="M734" i="1"/>
  <c r="AN734" i="2"/>
  <c r="L734" i="1"/>
  <c r="AM734" i="2"/>
  <c r="K734" i="1"/>
  <c r="AL734" i="2"/>
  <c r="AK734" i="2"/>
  <c r="AJ734" i="2"/>
  <c r="H734" i="1"/>
  <c r="AI734" i="2"/>
  <c r="G734" i="1"/>
  <c r="AH734" i="2"/>
  <c r="F734" i="1"/>
  <c r="AG734" i="2"/>
  <c r="E734" i="1"/>
  <c r="AF734" i="2"/>
  <c r="D734" i="1"/>
  <c r="AE734" i="2"/>
  <c r="AD734" i="2"/>
  <c r="AC734" i="2"/>
  <c r="Z734" i="2"/>
  <c r="Y734" i="2"/>
  <c r="R733" i="1"/>
  <c r="AS733" i="2"/>
  <c r="AR733" i="2"/>
  <c r="P733" i="1"/>
  <c r="AQ733" i="2"/>
  <c r="O733" i="1"/>
  <c r="AP733" i="2"/>
  <c r="N733" i="1"/>
  <c r="AO733" i="2"/>
  <c r="M733" i="1"/>
  <c r="AN733" i="2"/>
  <c r="L733" i="1"/>
  <c r="AM733" i="2"/>
  <c r="K733" i="1"/>
  <c r="AL733" i="2"/>
  <c r="AK733" i="2"/>
  <c r="AJ733" i="2"/>
  <c r="H733" i="1"/>
  <c r="AI733" i="2"/>
  <c r="G733" i="1"/>
  <c r="AH733" i="2"/>
  <c r="F733" i="1"/>
  <c r="AG733" i="2"/>
  <c r="E733" i="1"/>
  <c r="AF733" i="2"/>
  <c r="D733" i="1"/>
  <c r="AE733" i="2"/>
  <c r="AD733" i="2"/>
  <c r="AC733" i="2"/>
  <c r="Z733" i="2"/>
  <c r="Y733" i="2"/>
  <c r="R732" i="1"/>
  <c r="AS732" i="2"/>
  <c r="AR732" i="2"/>
  <c r="P732" i="1"/>
  <c r="AQ732" i="2"/>
  <c r="O732" i="1"/>
  <c r="AP732" i="2"/>
  <c r="N732" i="1"/>
  <c r="AO732" i="2"/>
  <c r="M732" i="1"/>
  <c r="AN732" i="2"/>
  <c r="L732" i="1"/>
  <c r="AM732" i="2"/>
  <c r="K732" i="1"/>
  <c r="AL732" i="2"/>
  <c r="AK732" i="2"/>
  <c r="AJ732" i="2"/>
  <c r="H732" i="1"/>
  <c r="AI732" i="2"/>
  <c r="G732" i="1"/>
  <c r="AH732" i="2"/>
  <c r="F732" i="1"/>
  <c r="AG732" i="2"/>
  <c r="E732" i="1"/>
  <c r="AF732" i="2"/>
  <c r="D732" i="1"/>
  <c r="AE732" i="2"/>
  <c r="AD732" i="2"/>
  <c r="AC732" i="2"/>
  <c r="Z732" i="2"/>
  <c r="Y732" i="2"/>
  <c r="R731" i="1"/>
  <c r="AS731" i="2"/>
  <c r="AR731" i="2"/>
  <c r="P731" i="1"/>
  <c r="AQ731" i="2"/>
  <c r="O731" i="1"/>
  <c r="AP731" i="2"/>
  <c r="N731" i="1"/>
  <c r="AO731" i="2"/>
  <c r="M731" i="1"/>
  <c r="AN731" i="2"/>
  <c r="L731" i="1"/>
  <c r="AM731" i="2"/>
  <c r="K731" i="1"/>
  <c r="AL731" i="2"/>
  <c r="AK731" i="2"/>
  <c r="AJ731" i="2"/>
  <c r="H731" i="1"/>
  <c r="AI731" i="2"/>
  <c r="G731" i="1"/>
  <c r="AH731" i="2"/>
  <c r="F731" i="1"/>
  <c r="AG731" i="2"/>
  <c r="E731" i="1"/>
  <c r="AF731" i="2"/>
  <c r="D731" i="1"/>
  <c r="AE731" i="2"/>
  <c r="AD731" i="2"/>
  <c r="AC731" i="2"/>
  <c r="Z731" i="2"/>
  <c r="Y731" i="2"/>
  <c r="R730" i="1"/>
  <c r="AS730" i="2"/>
  <c r="AR730" i="2"/>
  <c r="P730" i="1"/>
  <c r="AQ730" i="2"/>
  <c r="O730" i="1"/>
  <c r="AP730" i="2"/>
  <c r="N730" i="1"/>
  <c r="AO730" i="2"/>
  <c r="M730" i="1"/>
  <c r="AN730" i="2"/>
  <c r="L730" i="1"/>
  <c r="AM730" i="2"/>
  <c r="K730" i="1"/>
  <c r="AL730" i="2"/>
  <c r="AK730" i="2"/>
  <c r="AJ730" i="2"/>
  <c r="H730" i="1"/>
  <c r="AI730" i="2"/>
  <c r="G730" i="1"/>
  <c r="AH730" i="2"/>
  <c r="F730" i="1"/>
  <c r="AG730" i="2"/>
  <c r="E730" i="1"/>
  <c r="AF730" i="2"/>
  <c r="D730" i="1"/>
  <c r="AE730" i="2"/>
  <c r="AD730" i="2"/>
  <c r="AC730" i="2"/>
  <c r="Z730" i="2"/>
  <c r="Y730" i="2"/>
  <c r="R729" i="1"/>
  <c r="AS729" i="2"/>
  <c r="AR729" i="2"/>
  <c r="P729" i="1"/>
  <c r="AQ729" i="2"/>
  <c r="O729" i="1"/>
  <c r="AP729" i="2"/>
  <c r="N729" i="1"/>
  <c r="AO729" i="2"/>
  <c r="M729" i="1"/>
  <c r="AN729" i="2"/>
  <c r="L729" i="1"/>
  <c r="AM729" i="2"/>
  <c r="K729" i="1"/>
  <c r="AL729" i="2"/>
  <c r="AK729" i="2"/>
  <c r="AJ729" i="2"/>
  <c r="H729" i="1"/>
  <c r="AI729" i="2"/>
  <c r="G729" i="1"/>
  <c r="AH729" i="2"/>
  <c r="F729" i="1"/>
  <c r="AG729" i="2"/>
  <c r="E729" i="1"/>
  <c r="AF729" i="2"/>
  <c r="D729" i="1"/>
  <c r="AE729" i="2"/>
  <c r="AD729" i="2"/>
  <c r="AC729" i="2"/>
  <c r="Z729" i="2"/>
  <c r="Y729" i="2"/>
  <c r="R728" i="1"/>
  <c r="AS728" i="2"/>
  <c r="AR728" i="2"/>
  <c r="P728" i="1"/>
  <c r="AQ728" i="2"/>
  <c r="O728" i="1"/>
  <c r="AP728" i="2"/>
  <c r="N728" i="1"/>
  <c r="AO728" i="2"/>
  <c r="M728" i="1"/>
  <c r="AN728" i="2"/>
  <c r="L728" i="1"/>
  <c r="AM728" i="2"/>
  <c r="K728" i="1"/>
  <c r="AL728" i="2"/>
  <c r="AK728" i="2"/>
  <c r="AJ728" i="2"/>
  <c r="H728" i="1"/>
  <c r="AI728" i="2"/>
  <c r="G728" i="1"/>
  <c r="AH728" i="2"/>
  <c r="F728" i="1"/>
  <c r="AG728" i="2"/>
  <c r="E728" i="1"/>
  <c r="AF728" i="2"/>
  <c r="D728" i="1"/>
  <c r="AE728" i="2"/>
  <c r="AD728" i="2"/>
  <c r="AC728" i="2"/>
  <c r="Z728" i="2"/>
  <c r="Y728" i="2"/>
  <c r="R727" i="1"/>
  <c r="AS727" i="2"/>
  <c r="AR727" i="2"/>
  <c r="P727" i="1"/>
  <c r="AQ727" i="2"/>
  <c r="O727" i="1"/>
  <c r="AP727" i="2"/>
  <c r="N727" i="1"/>
  <c r="AO727" i="2"/>
  <c r="M727" i="1"/>
  <c r="AN727" i="2"/>
  <c r="L727" i="1"/>
  <c r="AM727" i="2"/>
  <c r="K727" i="1"/>
  <c r="AL727" i="2"/>
  <c r="AK727" i="2"/>
  <c r="AJ727" i="2"/>
  <c r="H727" i="1"/>
  <c r="AI727" i="2"/>
  <c r="G727" i="1"/>
  <c r="AH727" i="2"/>
  <c r="F727" i="1"/>
  <c r="AG727" i="2"/>
  <c r="E727" i="1"/>
  <c r="AF727" i="2"/>
  <c r="D727" i="1"/>
  <c r="AE727" i="2"/>
  <c r="AD727" i="2"/>
  <c r="AC727" i="2"/>
  <c r="Z727" i="2"/>
  <c r="Y727" i="2"/>
  <c r="R726" i="1"/>
  <c r="AS726" i="2"/>
  <c r="AR726" i="2"/>
  <c r="P726" i="1"/>
  <c r="AQ726" i="2"/>
  <c r="O726" i="1"/>
  <c r="AP726" i="2"/>
  <c r="N726" i="1"/>
  <c r="AO726" i="2"/>
  <c r="M726" i="1"/>
  <c r="AN726" i="2"/>
  <c r="L726" i="1"/>
  <c r="AM726" i="2"/>
  <c r="K726" i="1"/>
  <c r="AL726" i="2"/>
  <c r="AK726" i="2"/>
  <c r="AJ726" i="2"/>
  <c r="H726" i="1"/>
  <c r="AI726" i="2"/>
  <c r="G726" i="1"/>
  <c r="AH726" i="2"/>
  <c r="F726" i="1"/>
  <c r="AG726" i="2"/>
  <c r="E726" i="1"/>
  <c r="AF726" i="2"/>
  <c r="D726" i="1"/>
  <c r="AE726" i="2"/>
  <c r="AD726" i="2"/>
  <c r="AC726" i="2"/>
  <c r="Z726" i="2"/>
  <c r="Y726" i="2"/>
  <c r="R725" i="1"/>
  <c r="AS725" i="2"/>
  <c r="AR725" i="2"/>
  <c r="P725" i="1"/>
  <c r="AQ725" i="2"/>
  <c r="O725" i="1"/>
  <c r="AP725" i="2"/>
  <c r="N725" i="1"/>
  <c r="AO725" i="2"/>
  <c r="M725" i="1"/>
  <c r="AN725" i="2"/>
  <c r="L725" i="1"/>
  <c r="AM725" i="2"/>
  <c r="K725" i="1"/>
  <c r="AL725" i="2"/>
  <c r="AK725" i="2"/>
  <c r="AJ725" i="2"/>
  <c r="H725" i="1"/>
  <c r="AI725" i="2"/>
  <c r="G725" i="1"/>
  <c r="AH725" i="2"/>
  <c r="F725" i="1"/>
  <c r="AG725" i="2"/>
  <c r="E725" i="1"/>
  <c r="AF725" i="2"/>
  <c r="D725" i="1"/>
  <c r="AE725" i="2"/>
  <c r="AD725" i="2"/>
  <c r="AC725" i="2"/>
  <c r="Z725" i="2"/>
  <c r="Y725" i="2"/>
  <c r="R724" i="1"/>
  <c r="AS724" i="2"/>
  <c r="AR724" i="2"/>
  <c r="P724" i="1"/>
  <c r="AQ724" i="2"/>
  <c r="O724" i="1"/>
  <c r="AP724" i="2"/>
  <c r="N724" i="1"/>
  <c r="AO724" i="2"/>
  <c r="M724" i="1"/>
  <c r="AN724" i="2"/>
  <c r="L724" i="1"/>
  <c r="AM724" i="2"/>
  <c r="K724" i="1"/>
  <c r="AL724" i="2"/>
  <c r="AK724" i="2"/>
  <c r="AJ724" i="2"/>
  <c r="H724" i="1"/>
  <c r="AI724" i="2"/>
  <c r="G724" i="1"/>
  <c r="AH724" i="2"/>
  <c r="F724" i="1"/>
  <c r="AG724" i="2"/>
  <c r="E724" i="1"/>
  <c r="AF724" i="2"/>
  <c r="D724" i="1"/>
  <c r="AE724" i="2"/>
  <c r="AD724" i="2"/>
  <c r="AC724" i="2"/>
  <c r="Z724" i="2"/>
  <c r="Y724" i="2"/>
  <c r="R723" i="1"/>
  <c r="AS723" i="2"/>
  <c r="AR723" i="2"/>
  <c r="P723" i="1"/>
  <c r="AQ723" i="2"/>
  <c r="O723" i="1"/>
  <c r="AP723" i="2"/>
  <c r="N723" i="1"/>
  <c r="AO723" i="2"/>
  <c r="M723" i="1"/>
  <c r="AN723" i="2"/>
  <c r="L723" i="1"/>
  <c r="AM723" i="2"/>
  <c r="K723" i="1"/>
  <c r="AL723" i="2"/>
  <c r="AK723" i="2"/>
  <c r="AJ723" i="2"/>
  <c r="H723" i="1"/>
  <c r="AI723" i="2"/>
  <c r="G723" i="1"/>
  <c r="AH723" i="2"/>
  <c r="F723" i="1"/>
  <c r="AG723" i="2"/>
  <c r="E723" i="1"/>
  <c r="AF723" i="2"/>
  <c r="D723" i="1"/>
  <c r="AE723" i="2"/>
  <c r="AD723" i="2"/>
  <c r="AC723" i="2"/>
  <c r="Z723" i="2"/>
  <c r="Y723" i="2"/>
  <c r="R722" i="1"/>
  <c r="AS722" i="2"/>
  <c r="AR722" i="2"/>
  <c r="P722" i="1"/>
  <c r="AQ722" i="2"/>
  <c r="O722" i="1"/>
  <c r="AP722" i="2"/>
  <c r="N722" i="1"/>
  <c r="AO722" i="2"/>
  <c r="M722" i="1"/>
  <c r="AN722" i="2"/>
  <c r="L722" i="1"/>
  <c r="AM722" i="2"/>
  <c r="K722" i="1"/>
  <c r="AL722" i="2"/>
  <c r="AK722" i="2"/>
  <c r="AJ722" i="2"/>
  <c r="H722" i="1"/>
  <c r="AI722" i="2"/>
  <c r="G722" i="1"/>
  <c r="AH722" i="2"/>
  <c r="F722" i="1"/>
  <c r="AG722" i="2"/>
  <c r="E722" i="1"/>
  <c r="AF722" i="2"/>
  <c r="D722" i="1"/>
  <c r="AE722" i="2"/>
  <c r="AD722" i="2"/>
  <c r="AC722" i="2"/>
  <c r="Z722" i="2"/>
  <c r="Y722" i="2"/>
  <c r="R721" i="1"/>
  <c r="AS721" i="2"/>
  <c r="AR721" i="2"/>
  <c r="P721" i="1"/>
  <c r="AQ721" i="2"/>
  <c r="O721" i="1"/>
  <c r="AP721" i="2"/>
  <c r="N721" i="1"/>
  <c r="AO721" i="2"/>
  <c r="M721" i="1"/>
  <c r="AN721" i="2"/>
  <c r="L721" i="1"/>
  <c r="AM721" i="2"/>
  <c r="K721" i="1"/>
  <c r="AL721" i="2"/>
  <c r="AK721" i="2"/>
  <c r="AJ721" i="2"/>
  <c r="H721" i="1"/>
  <c r="AI721" i="2"/>
  <c r="G721" i="1"/>
  <c r="AH721" i="2"/>
  <c r="F721" i="1"/>
  <c r="AG721" i="2"/>
  <c r="E721" i="1"/>
  <c r="AF721" i="2"/>
  <c r="D721" i="1"/>
  <c r="AE721" i="2"/>
  <c r="AD721" i="2"/>
  <c r="AC721" i="2"/>
  <c r="Z721" i="2"/>
  <c r="Y721" i="2"/>
  <c r="R720" i="1"/>
  <c r="AS720" i="2"/>
  <c r="AR720" i="2"/>
  <c r="P720" i="1"/>
  <c r="AQ720" i="2"/>
  <c r="O720" i="1"/>
  <c r="AP720" i="2"/>
  <c r="N720" i="1"/>
  <c r="AO720" i="2"/>
  <c r="M720" i="1"/>
  <c r="AN720" i="2"/>
  <c r="L720" i="1"/>
  <c r="AM720" i="2"/>
  <c r="K720" i="1"/>
  <c r="AL720" i="2"/>
  <c r="AK720" i="2"/>
  <c r="AJ720" i="2"/>
  <c r="H720" i="1"/>
  <c r="AI720" i="2"/>
  <c r="G720" i="1"/>
  <c r="AH720" i="2"/>
  <c r="F720" i="1"/>
  <c r="AG720" i="2"/>
  <c r="E720" i="1"/>
  <c r="AF720" i="2"/>
  <c r="D720" i="1"/>
  <c r="AE720" i="2"/>
  <c r="AD720" i="2"/>
  <c r="AC720" i="2"/>
  <c r="Z720" i="2"/>
  <c r="Y720" i="2"/>
  <c r="R719" i="1"/>
  <c r="AS719" i="2"/>
  <c r="AR719" i="2"/>
  <c r="P719" i="1"/>
  <c r="AQ719" i="2"/>
  <c r="O719" i="1"/>
  <c r="AP719" i="2"/>
  <c r="N719" i="1"/>
  <c r="AO719" i="2"/>
  <c r="M719" i="1"/>
  <c r="AN719" i="2"/>
  <c r="L719" i="1"/>
  <c r="AM719" i="2"/>
  <c r="K719" i="1"/>
  <c r="AL719" i="2"/>
  <c r="AK719" i="2"/>
  <c r="AJ719" i="2"/>
  <c r="H719" i="1"/>
  <c r="AI719" i="2"/>
  <c r="G719" i="1"/>
  <c r="AH719" i="2"/>
  <c r="F719" i="1"/>
  <c r="AG719" i="2"/>
  <c r="E719" i="1"/>
  <c r="AF719" i="2"/>
  <c r="D719" i="1"/>
  <c r="AE719" i="2"/>
  <c r="AD719" i="2"/>
  <c r="AC719" i="2"/>
  <c r="Z719" i="2"/>
  <c r="Y719" i="2"/>
  <c r="R718" i="1"/>
  <c r="AS718" i="2"/>
  <c r="AR718" i="2"/>
  <c r="P718" i="1"/>
  <c r="AQ718" i="2"/>
  <c r="O718" i="1"/>
  <c r="AP718" i="2"/>
  <c r="N718" i="1"/>
  <c r="AO718" i="2"/>
  <c r="M718" i="1"/>
  <c r="AN718" i="2"/>
  <c r="L718" i="1"/>
  <c r="AM718" i="2"/>
  <c r="K718" i="1"/>
  <c r="AL718" i="2"/>
  <c r="AK718" i="2"/>
  <c r="AJ718" i="2"/>
  <c r="H718" i="1"/>
  <c r="AI718" i="2"/>
  <c r="G718" i="1"/>
  <c r="AH718" i="2"/>
  <c r="F718" i="1"/>
  <c r="AG718" i="2"/>
  <c r="E718" i="1"/>
  <c r="AF718" i="2"/>
  <c r="D718" i="1"/>
  <c r="AE718" i="2"/>
  <c r="AD718" i="2"/>
  <c r="AC718" i="2"/>
  <c r="Z718" i="2"/>
  <c r="Y718" i="2"/>
  <c r="R717" i="1"/>
  <c r="AS717" i="2"/>
  <c r="AR717" i="2"/>
  <c r="P717" i="1"/>
  <c r="AQ717" i="2"/>
  <c r="O717" i="1"/>
  <c r="AP717" i="2"/>
  <c r="N717" i="1"/>
  <c r="AO717" i="2"/>
  <c r="M717" i="1"/>
  <c r="AN717" i="2"/>
  <c r="L717" i="1"/>
  <c r="AM717" i="2"/>
  <c r="K717" i="1"/>
  <c r="AL717" i="2"/>
  <c r="AK717" i="2"/>
  <c r="AJ717" i="2"/>
  <c r="H717" i="1"/>
  <c r="AI717" i="2"/>
  <c r="G717" i="1"/>
  <c r="AH717" i="2"/>
  <c r="F717" i="1"/>
  <c r="AG717" i="2"/>
  <c r="E717" i="1"/>
  <c r="AF717" i="2"/>
  <c r="D717" i="1"/>
  <c r="AE717" i="2"/>
  <c r="AD717" i="2"/>
  <c r="AC717" i="2"/>
  <c r="Z717" i="2"/>
  <c r="Y717" i="2"/>
  <c r="R716" i="1"/>
  <c r="AS716" i="2"/>
  <c r="AR716" i="2"/>
  <c r="P716" i="1"/>
  <c r="AQ716" i="2"/>
  <c r="O716" i="1"/>
  <c r="AP716" i="2"/>
  <c r="N716" i="1"/>
  <c r="AO716" i="2"/>
  <c r="M716" i="1"/>
  <c r="AN716" i="2"/>
  <c r="L716" i="1"/>
  <c r="AM716" i="2"/>
  <c r="K716" i="1"/>
  <c r="AL716" i="2"/>
  <c r="AK716" i="2"/>
  <c r="AJ716" i="2"/>
  <c r="H716" i="1"/>
  <c r="AI716" i="2"/>
  <c r="G716" i="1"/>
  <c r="AH716" i="2"/>
  <c r="F716" i="1"/>
  <c r="AG716" i="2"/>
  <c r="E716" i="1"/>
  <c r="AF716" i="2"/>
  <c r="D716" i="1"/>
  <c r="AE716" i="2"/>
  <c r="AD716" i="2"/>
  <c r="AC716" i="2"/>
  <c r="Z716" i="2"/>
  <c r="Y716" i="2"/>
  <c r="R715" i="1"/>
  <c r="AS715" i="2"/>
  <c r="AR715" i="2"/>
  <c r="P715" i="1"/>
  <c r="AQ715" i="2"/>
  <c r="O715" i="1"/>
  <c r="AP715" i="2"/>
  <c r="N715" i="1"/>
  <c r="AO715" i="2"/>
  <c r="M715" i="1"/>
  <c r="AN715" i="2"/>
  <c r="L715" i="1"/>
  <c r="AM715" i="2"/>
  <c r="K715" i="1"/>
  <c r="AL715" i="2"/>
  <c r="AK715" i="2"/>
  <c r="AJ715" i="2"/>
  <c r="H715" i="1"/>
  <c r="AI715" i="2"/>
  <c r="G715" i="1"/>
  <c r="AH715" i="2"/>
  <c r="F715" i="1"/>
  <c r="AG715" i="2"/>
  <c r="E715" i="1"/>
  <c r="AF715" i="2"/>
  <c r="D715" i="1"/>
  <c r="AE715" i="2"/>
  <c r="AD715" i="2"/>
  <c r="AC715" i="2"/>
  <c r="Z715" i="2"/>
  <c r="Y715" i="2"/>
  <c r="R714" i="1"/>
  <c r="AS714" i="2"/>
  <c r="AR714" i="2"/>
  <c r="P714" i="1"/>
  <c r="AQ714" i="2"/>
  <c r="O714" i="1"/>
  <c r="AP714" i="2"/>
  <c r="N714" i="1"/>
  <c r="AO714" i="2"/>
  <c r="M714" i="1"/>
  <c r="AN714" i="2"/>
  <c r="L714" i="1"/>
  <c r="AM714" i="2"/>
  <c r="K714" i="1"/>
  <c r="AL714" i="2"/>
  <c r="AK714" i="2"/>
  <c r="AJ714" i="2"/>
  <c r="H714" i="1"/>
  <c r="AI714" i="2"/>
  <c r="G714" i="1"/>
  <c r="AH714" i="2"/>
  <c r="F714" i="1"/>
  <c r="AG714" i="2"/>
  <c r="E714" i="1"/>
  <c r="AF714" i="2"/>
  <c r="D714" i="1"/>
  <c r="AE714" i="2"/>
  <c r="AD714" i="2"/>
  <c r="AC714" i="2"/>
  <c r="Z714" i="2"/>
  <c r="Y714" i="2"/>
  <c r="R713" i="1"/>
  <c r="AS713" i="2"/>
  <c r="AR713" i="2"/>
  <c r="P713" i="1"/>
  <c r="AQ713" i="2"/>
  <c r="O713" i="1"/>
  <c r="AP713" i="2"/>
  <c r="N713" i="1"/>
  <c r="AO713" i="2"/>
  <c r="M713" i="1"/>
  <c r="AN713" i="2"/>
  <c r="L713" i="1"/>
  <c r="AM713" i="2"/>
  <c r="K713" i="1"/>
  <c r="AL713" i="2"/>
  <c r="AK713" i="2"/>
  <c r="AJ713" i="2"/>
  <c r="H713" i="1"/>
  <c r="AI713" i="2"/>
  <c r="G713" i="1"/>
  <c r="AH713" i="2"/>
  <c r="F713" i="1"/>
  <c r="AG713" i="2"/>
  <c r="E713" i="1"/>
  <c r="AF713" i="2"/>
  <c r="D713" i="1"/>
  <c r="AE713" i="2"/>
  <c r="AD713" i="2"/>
  <c r="AC713" i="2"/>
  <c r="Z713" i="2"/>
  <c r="Y713" i="2"/>
  <c r="R712" i="1"/>
  <c r="AS712" i="2"/>
  <c r="AR712" i="2"/>
  <c r="P712" i="1"/>
  <c r="AQ712" i="2"/>
  <c r="O712" i="1"/>
  <c r="AP712" i="2"/>
  <c r="N712" i="1"/>
  <c r="AO712" i="2"/>
  <c r="M712" i="1"/>
  <c r="AN712" i="2"/>
  <c r="L712" i="1"/>
  <c r="AM712" i="2"/>
  <c r="K712" i="1"/>
  <c r="AL712" i="2"/>
  <c r="AK712" i="2"/>
  <c r="AJ712" i="2"/>
  <c r="H712" i="1"/>
  <c r="AI712" i="2"/>
  <c r="G712" i="1"/>
  <c r="AH712" i="2"/>
  <c r="F712" i="1"/>
  <c r="AG712" i="2"/>
  <c r="E712" i="1"/>
  <c r="AF712" i="2"/>
  <c r="D712" i="1"/>
  <c r="AE712" i="2"/>
  <c r="AD712" i="2"/>
  <c r="AC712" i="2"/>
  <c r="Z712" i="2"/>
  <c r="Y712" i="2"/>
  <c r="R711" i="1"/>
  <c r="AS711" i="2"/>
  <c r="AR711" i="2"/>
  <c r="P711" i="1"/>
  <c r="AQ711" i="2"/>
  <c r="O711" i="1"/>
  <c r="AP711" i="2"/>
  <c r="N711" i="1"/>
  <c r="AO711" i="2"/>
  <c r="M711" i="1"/>
  <c r="AN711" i="2"/>
  <c r="L711" i="1"/>
  <c r="AM711" i="2"/>
  <c r="K711" i="1"/>
  <c r="AL711" i="2"/>
  <c r="AK711" i="2"/>
  <c r="AJ711" i="2"/>
  <c r="H711" i="1"/>
  <c r="AI711" i="2"/>
  <c r="G711" i="1"/>
  <c r="AH711" i="2"/>
  <c r="F711" i="1"/>
  <c r="AG711" i="2"/>
  <c r="E711" i="1"/>
  <c r="AF711" i="2"/>
  <c r="D711" i="1"/>
  <c r="AE711" i="2"/>
  <c r="AD711" i="2"/>
  <c r="AC711" i="2"/>
  <c r="Z711" i="2"/>
  <c r="Y711" i="2"/>
  <c r="R710" i="1"/>
  <c r="AS710" i="2"/>
  <c r="AR710" i="2"/>
  <c r="P710" i="1"/>
  <c r="AQ710" i="2"/>
  <c r="O710" i="1"/>
  <c r="AP710" i="2"/>
  <c r="N710" i="1"/>
  <c r="AO710" i="2"/>
  <c r="M710" i="1"/>
  <c r="AN710" i="2"/>
  <c r="L710" i="1"/>
  <c r="AM710" i="2"/>
  <c r="K710" i="1"/>
  <c r="AL710" i="2"/>
  <c r="AK710" i="2"/>
  <c r="AJ710" i="2"/>
  <c r="H710" i="1"/>
  <c r="AI710" i="2"/>
  <c r="G710" i="1"/>
  <c r="AH710" i="2"/>
  <c r="F710" i="1"/>
  <c r="AG710" i="2"/>
  <c r="E710" i="1"/>
  <c r="AF710" i="2"/>
  <c r="D710" i="1"/>
  <c r="AE710" i="2"/>
  <c r="AD710" i="2"/>
  <c r="AC710" i="2"/>
  <c r="Z710" i="2"/>
  <c r="Y710" i="2"/>
  <c r="R709" i="1"/>
  <c r="AS709" i="2"/>
  <c r="AR709" i="2"/>
  <c r="P709" i="1"/>
  <c r="AQ709" i="2"/>
  <c r="O709" i="1"/>
  <c r="AP709" i="2"/>
  <c r="N709" i="1"/>
  <c r="AO709" i="2"/>
  <c r="M709" i="1"/>
  <c r="AN709" i="2"/>
  <c r="L709" i="1"/>
  <c r="AM709" i="2"/>
  <c r="K709" i="1"/>
  <c r="AL709" i="2"/>
  <c r="AK709" i="2"/>
  <c r="AJ709" i="2"/>
  <c r="H709" i="1"/>
  <c r="AI709" i="2"/>
  <c r="G709" i="1"/>
  <c r="AH709" i="2"/>
  <c r="F709" i="1"/>
  <c r="AG709" i="2"/>
  <c r="E709" i="1"/>
  <c r="AF709" i="2"/>
  <c r="D709" i="1"/>
  <c r="AE709" i="2"/>
  <c r="AD709" i="2"/>
  <c r="AC709" i="2"/>
  <c r="Z709" i="2"/>
  <c r="Y709" i="2"/>
  <c r="R708" i="1"/>
  <c r="AS708" i="2"/>
  <c r="AR708" i="2"/>
  <c r="P708" i="1"/>
  <c r="AQ708" i="2"/>
  <c r="O708" i="1"/>
  <c r="AP708" i="2"/>
  <c r="N708" i="1"/>
  <c r="AO708" i="2"/>
  <c r="M708" i="1"/>
  <c r="AN708" i="2"/>
  <c r="L708" i="1"/>
  <c r="AM708" i="2"/>
  <c r="K708" i="1"/>
  <c r="AL708" i="2"/>
  <c r="AK708" i="2"/>
  <c r="AJ708" i="2"/>
  <c r="H708" i="1"/>
  <c r="AI708" i="2"/>
  <c r="G708" i="1"/>
  <c r="AH708" i="2"/>
  <c r="F708" i="1"/>
  <c r="AG708" i="2"/>
  <c r="E708" i="1"/>
  <c r="AF708" i="2"/>
  <c r="D708" i="1"/>
  <c r="AE708" i="2"/>
  <c r="AD708" i="2"/>
  <c r="AC708" i="2"/>
  <c r="Z708" i="2"/>
  <c r="Y708" i="2"/>
  <c r="R707" i="1"/>
  <c r="AS707" i="2"/>
  <c r="AR707" i="2"/>
  <c r="P707" i="1"/>
  <c r="AQ707" i="2"/>
  <c r="O707" i="1"/>
  <c r="AP707" i="2"/>
  <c r="N707" i="1"/>
  <c r="AO707" i="2"/>
  <c r="M707" i="1"/>
  <c r="AN707" i="2"/>
  <c r="L707" i="1"/>
  <c r="AM707" i="2"/>
  <c r="K707" i="1"/>
  <c r="AL707" i="2"/>
  <c r="AK707" i="2"/>
  <c r="AJ707" i="2"/>
  <c r="H707" i="1"/>
  <c r="AI707" i="2"/>
  <c r="G707" i="1"/>
  <c r="AH707" i="2"/>
  <c r="F707" i="1"/>
  <c r="AG707" i="2"/>
  <c r="E707" i="1"/>
  <c r="AF707" i="2"/>
  <c r="D707" i="1"/>
  <c r="AE707" i="2"/>
  <c r="AD707" i="2"/>
  <c r="AC707" i="2"/>
  <c r="Z707" i="2"/>
  <c r="Y707" i="2"/>
  <c r="R706" i="1"/>
  <c r="AS706" i="2"/>
  <c r="AR706" i="2"/>
  <c r="P706" i="1"/>
  <c r="AQ706" i="2"/>
  <c r="O706" i="1"/>
  <c r="AP706" i="2"/>
  <c r="N706" i="1"/>
  <c r="AO706" i="2"/>
  <c r="M706" i="1"/>
  <c r="AN706" i="2"/>
  <c r="L706" i="1"/>
  <c r="AM706" i="2"/>
  <c r="K706" i="1"/>
  <c r="AL706" i="2"/>
  <c r="AK706" i="2"/>
  <c r="AJ706" i="2"/>
  <c r="H706" i="1"/>
  <c r="AI706" i="2"/>
  <c r="G706" i="1"/>
  <c r="AH706" i="2"/>
  <c r="F706" i="1"/>
  <c r="AG706" i="2"/>
  <c r="E706" i="1"/>
  <c r="AF706" i="2"/>
  <c r="D706" i="1"/>
  <c r="AE706" i="2"/>
  <c r="AD706" i="2"/>
  <c r="AC706" i="2"/>
  <c r="Z706" i="2"/>
  <c r="Y706" i="2"/>
  <c r="R705" i="1"/>
  <c r="AS705" i="2"/>
  <c r="AR705" i="2"/>
  <c r="P705" i="1"/>
  <c r="AQ705" i="2"/>
  <c r="O705" i="1"/>
  <c r="AP705" i="2"/>
  <c r="N705" i="1"/>
  <c r="AO705" i="2"/>
  <c r="M705" i="1"/>
  <c r="AN705" i="2"/>
  <c r="L705" i="1"/>
  <c r="AM705" i="2"/>
  <c r="K705" i="1"/>
  <c r="AL705" i="2"/>
  <c r="AK705" i="2"/>
  <c r="AJ705" i="2"/>
  <c r="H705" i="1"/>
  <c r="AI705" i="2"/>
  <c r="G705" i="1"/>
  <c r="AH705" i="2"/>
  <c r="F705" i="1"/>
  <c r="AG705" i="2"/>
  <c r="E705" i="1"/>
  <c r="AF705" i="2"/>
  <c r="D705" i="1"/>
  <c r="AE705" i="2"/>
  <c r="AD705" i="2"/>
  <c r="AC705" i="2"/>
  <c r="Z705" i="2"/>
  <c r="Y705" i="2"/>
  <c r="R704" i="1"/>
  <c r="AS704" i="2"/>
  <c r="AR704" i="2"/>
  <c r="P704" i="1"/>
  <c r="AQ704" i="2"/>
  <c r="O704" i="1"/>
  <c r="AP704" i="2"/>
  <c r="N704" i="1"/>
  <c r="AO704" i="2"/>
  <c r="M704" i="1"/>
  <c r="AN704" i="2"/>
  <c r="L704" i="1"/>
  <c r="AM704" i="2"/>
  <c r="K704" i="1"/>
  <c r="AL704" i="2"/>
  <c r="AK704" i="2"/>
  <c r="AJ704" i="2"/>
  <c r="H704" i="1"/>
  <c r="AI704" i="2"/>
  <c r="G704" i="1"/>
  <c r="AH704" i="2"/>
  <c r="F704" i="1"/>
  <c r="AG704" i="2"/>
  <c r="E704" i="1"/>
  <c r="AF704" i="2"/>
  <c r="D704" i="1"/>
  <c r="AE704" i="2"/>
  <c r="AD704" i="2"/>
  <c r="AC704" i="2"/>
  <c r="Z704" i="2"/>
  <c r="Y704" i="2"/>
  <c r="R703" i="1"/>
  <c r="AS703" i="2"/>
  <c r="AR703" i="2"/>
  <c r="P703" i="1"/>
  <c r="AQ703" i="2"/>
  <c r="O703" i="1"/>
  <c r="AP703" i="2"/>
  <c r="N703" i="1"/>
  <c r="AO703" i="2"/>
  <c r="M703" i="1"/>
  <c r="AN703" i="2"/>
  <c r="L703" i="1"/>
  <c r="AM703" i="2"/>
  <c r="K703" i="1"/>
  <c r="AL703" i="2"/>
  <c r="AK703" i="2"/>
  <c r="AJ703" i="2"/>
  <c r="H703" i="1"/>
  <c r="AI703" i="2"/>
  <c r="G703" i="1"/>
  <c r="AH703" i="2"/>
  <c r="F703" i="1"/>
  <c r="AG703" i="2"/>
  <c r="E703" i="1"/>
  <c r="AF703" i="2"/>
  <c r="D703" i="1"/>
  <c r="AE703" i="2"/>
  <c r="AD703" i="2"/>
  <c r="AC703" i="2"/>
  <c r="Z703" i="2"/>
  <c r="Y703" i="2"/>
  <c r="R702" i="1"/>
  <c r="AS702" i="2"/>
  <c r="AR702" i="2"/>
  <c r="P702" i="1"/>
  <c r="AQ702" i="2"/>
  <c r="O702" i="1"/>
  <c r="AP702" i="2"/>
  <c r="N702" i="1"/>
  <c r="AO702" i="2"/>
  <c r="M702" i="1"/>
  <c r="AN702" i="2"/>
  <c r="L702" i="1"/>
  <c r="AM702" i="2"/>
  <c r="K702" i="1"/>
  <c r="AL702" i="2"/>
  <c r="AK702" i="2"/>
  <c r="AJ702" i="2"/>
  <c r="H702" i="1"/>
  <c r="AI702" i="2"/>
  <c r="G702" i="1"/>
  <c r="AH702" i="2"/>
  <c r="F702" i="1"/>
  <c r="AG702" i="2"/>
  <c r="E702" i="1"/>
  <c r="AF702" i="2"/>
  <c r="D702" i="1"/>
  <c r="AE702" i="2"/>
  <c r="AD702" i="2"/>
  <c r="AC702" i="2"/>
  <c r="Z702" i="2"/>
  <c r="Y702" i="2"/>
  <c r="R701" i="1"/>
  <c r="AS701" i="2"/>
  <c r="AR701" i="2"/>
  <c r="P701" i="1"/>
  <c r="AQ701" i="2"/>
  <c r="O701" i="1"/>
  <c r="AP701" i="2"/>
  <c r="N701" i="1"/>
  <c r="AO701" i="2"/>
  <c r="M701" i="1"/>
  <c r="AN701" i="2"/>
  <c r="L701" i="1"/>
  <c r="AM701" i="2"/>
  <c r="K701" i="1"/>
  <c r="AL701" i="2"/>
  <c r="AK701" i="2"/>
  <c r="AJ701" i="2"/>
  <c r="H701" i="1"/>
  <c r="AI701" i="2"/>
  <c r="G701" i="1"/>
  <c r="AH701" i="2"/>
  <c r="F701" i="1"/>
  <c r="AG701" i="2"/>
  <c r="E701" i="1"/>
  <c r="AF701" i="2"/>
  <c r="D701" i="1"/>
  <c r="AE701" i="2"/>
  <c r="AD701" i="2"/>
  <c r="AC701" i="2"/>
  <c r="Z701" i="2"/>
  <c r="Y701" i="2"/>
  <c r="R700" i="1"/>
  <c r="AS700" i="2"/>
  <c r="AR700" i="2"/>
  <c r="P700" i="1"/>
  <c r="AQ700" i="2"/>
  <c r="O700" i="1"/>
  <c r="AP700" i="2"/>
  <c r="N700" i="1"/>
  <c r="AO700" i="2"/>
  <c r="M700" i="1"/>
  <c r="AN700" i="2"/>
  <c r="L700" i="1"/>
  <c r="AM700" i="2"/>
  <c r="K700" i="1"/>
  <c r="AL700" i="2"/>
  <c r="AK700" i="2"/>
  <c r="AJ700" i="2"/>
  <c r="H700" i="1"/>
  <c r="AI700" i="2"/>
  <c r="G700" i="1"/>
  <c r="AH700" i="2"/>
  <c r="F700" i="1"/>
  <c r="AG700" i="2"/>
  <c r="E700" i="1"/>
  <c r="AF700" i="2"/>
  <c r="D700" i="1"/>
  <c r="AE700" i="2"/>
  <c r="AD700" i="2"/>
  <c r="AC700" i="2"/>
  <c r="Z700" i="2"/>
  <c r="Y700" i="2"/>
  <c r="R699" i="1"/>
  <c r="AS699" i="2"/>
  <c r="AR699" i="2"/>
  <c r="P699" i="1"/>
  <c r="AQ699" i="2"/>
  <c r="O699" i="1"/>
  <c r="AP699" i="2"/>
  <c r="N699" i="1"/>
  <c r="AO699" i="2"/>
  <c r="M699" i="1"/>
  <c r="AN699" i="2"/>
  <c r="L699" i="1"/>
  <c r="AM699" i="2"/>
  <c r="K699" i="1"/>
  <c r="AL699" i="2"/>
  <c r="AK699" i="2"/>
  <c r="AJ699" i="2"/>
  <c r="H699" i="1"/>
  <c r="AI699" i="2"/>
  <c r="G699" i="1"/>
  <c r="AH699" i="2"/>
  <c r="F699" i="1"/>
  <c r="AG699" i="2"/>
  <c r="E699" i="1"/>
  <c r="AF699" i="2"/>
  <c r="D699" i="1"/>
  <c r="AE699" i="2"/>
  <c r="AD699" i="2"/>
  <c r="AC699" i="2"/>
  <c r="Z699" i="2"/>
  <c r="Y699" i="2"/>
  <c r="R698" i="1"/>
  <c r="AS698" i="2"/>
  <c r="AR698" i="2"/>
  <c r="P698" i="1"/>
  <c r="AQ698" i="2"/>
  <c r="O698" i="1"/>
  <c r="AP698" i="2"/>
  <c r="N698" i="1"/>
  <c r="AO698" i="2"/>
  <c r="M698" i="1"/>
  <c r="AN698" i="2"/>
  <c r="L698" i="1"/>
  <c r="AM698" i="2"/>
  <c r="K698" i="1"/>
  <c r="AL698" i="2"/>
  <c r="AK698" i="2"/>
  <c r="AJ698" i="2"/>
  <c r="H698" i="1"/>
  <c r="AI698" i="2"/>
  <c r="G698" i="1"/>
  <c r="AH698" i="2"/>
  <c r="F698" i="1"/>
  <c r="AG698" i="2"/>
  <c r="E698" i="1"/>
  <c r="AF698" i="2"/>
  <c r="D698" i="1"/>
  <c r="AE698" i="2"/>
  <c r="AD698" i="2"/>
  <c r="AC698" i="2"/>
  <c r="Z698" i="2"/>
  <c r="Y698" i="2"/>
  <c r="R697" i="1"/>
  <c r="AS697" i="2"/>
  <c r="AR697" i="2"/>
  <c r="P697" i="1"/>
  <c r="AQ697" i="2"/>
  <c r="O697" i="1"/>
  <c r="AP697" i="2"/>
  <c r="N697" i="1"/>
  <c r="AO697" i="2"/>
  <c r="M697" i="1"/>
  <c r="AN697" i="2"/>
  <c r="L697" i="1"/>
  <c r="AM697" i="2"/>
  <c r="K697" i="1"/>
  <c r="AL697" i="2"/>
  <c r="AK697" i="2"/>
  <c r="AJ697" i="2"/>
  <c r="H697" i="1"/>
  <c r="AI697" i="2"/>
  <c r="G697" i="1"/>
  <c r="AH697" i="2"/>
  <c r="F697" i="1"/>
  <c r="AG697" i="2"/>
  <c r="E697" i="1"/>
  <c r="AF697" i="2"/>
  <c r="D697" i="1"/>
  <c r="AE697" i="2"/>
  <c r="AD697" i="2"/>
  <c r="AC697" i="2"/>
  <c r="Z697" i="2"/>
  <c r="Y697" i="2"/>
  <c r="R696" i="1"/>
  <c r="AS696" i="2"/>
  <c r="AR696" i="2"/>
  <c r="P696" i="1"/>
  <c r="AQ696" i="2"/>
  <c r="O696" i="1"/>
  <c r="AP696" i="2"/>
  <c r="N696" i="1"/>
  <c r="AO696" i="2"/>
  <c r="M696" i="1"/>
  <c r="AN696" i="2"/>
  <c r="L696" i="1"/>
  <c r="AM696" i="2"/>
  <c r="K696" i="1"/>
  <c r="AL696" i="2"/>
  <c r="AK696" i="2"/>
  <c r="AJ696" i="2"/>
  <c r="H696" i="1"/>
  <c r="AI696" i="2"/>
  <c r="G696" i="1"/>
  <c r="AH696" i="2"/>
  <c r="F696" i="1"/>
  <c r="AG696" i="2"/>
  <c r="E696" i="1"/>
  <c r="AF696" i="2"/>
  <c r="D696" i="1"/>
  <c r="AE696" i="2"/>
  <c r="AD696" i="2"/>
  <c r="AC696" i="2"/>
  <c r="Z696" i="2"/>
  <c r="Y696" i="2"/>
  <c r="R695" i="1"/>
  <c r="AS695" i="2"/>
  <c r="AR695" i="2"/>
  <c r="P695" i="1"/>
  <c r="AQ695" i="2"/>
  <c r="O695" i="1"/>
  <c r="AP695" i="2"/>
  <c r="N695" i="1"/>
  <c r="AO695" i="2"/>
  <c r="M695" i="1"/>
  <c r="AN695" i="2"/>
  <c r="L695" i="1"/>
  <c r="AM695" i="2"/>
  <c r="K695" i="1"/>
  <c r="AL695" i="2"/>
  <c r="AK695" i="2"/>
  <c r="AJ695" i="2"/>
  <c r="H695" i="1"/>
  <c r="AI695" i="2"/>
  <c r="G695" i="1"/>
  <c r="AH695" i="2"/>
  <c r="F695" i="1"/>
  <c r="AG695" i="2"/>
  <c r="E695" i="1"/>
  <c r="AF695" i="2"/>
  <c r="D695" i="1"/>
  <c r="AE695" i="2"/>
  <c r="AD695" i="2"/>
  <c r="AC695" i="2"/>
  <c r="Z695" i="2"/>
  <c r="Y695" i="2"/>
  <c r="R694" i="1"/>
  <c r="AS694" i="2"/>
  <c r="AR694" i="2"/>
  <c r="P694" i="1"/>
  <c r="AQ694" i="2"/>
  <c r="O694" i="1"/>
  <c r="AP694" i="2"/>
  <c r="N694" i="1"/>
  <c r="AO694" i="2"/>
  <c r="M694" i="1"/>
  <c r="AN694" i="2"/>
  <c r="L694" i="1"/>
  <c r="AM694" i="2"/>
  <c r="K694" i="1"/>
  <c r="AL694" i="2"/>
  <c r="AK694" i="2"/>
  <c r="AJ694" i="2"/>
  <c r="H694" i="1"/>
  <c r="AI694" i="2"/>
  <c r="G694" i="1"/>
  <c r="AH694" i="2"/>
  <c r="F694" i="1"/>
  <c r="AG694" i="2"/>
  <c r="E694" i="1"/>
  <c r="AF694" i="2"/>
  <c r="D694" i="1"/>
  <c r="AE694" i="2"/>
  <c r="AD694" i="2"/>
  <c r="AC694" i="2"/>
  <c r="Z694" i="2"/>
  <c r="Y694" i="2"/>
  <c r="R693" i="1"/>
  <c r="AS693" i="2"/>
  <c r="AR693" i="2"/>
  <c r="P693" i="1"/>
  <c r="AQ693" i="2"/>
  <c r="O693" i="1"/>
  <c r="AP693" i="2"/>
  <c r="N693" i="1"/>
  <c r="AO693" i="2"/>
  <c r="M693" i="1"/>
  <c r="AN693" i="2"/>
  <c r="L693" i="1"/>
  <c r="AM693" i="2"/>
  <c r="K693" i="1"/>
  <c r="AL693" i="2"/>
  <c r="AK693" i="2"/>
  <c r="AJ693" i="2"/>
  <c r="H693" i="1"/>
  <c r="AI693" i="2"/>
  <c r="G693" i="1"/>
  <c r="AH693" i="2"/>
  <c r="F693" i="1"/>
  <c r="AG693" i="2"/>
  <c r="E693" i="1"/>
  <c r="AF693" i="2"/>
  <c r="D693" i="1"/>
  <c r="AE693" i="2"/>
  <c r="AD693" i="2"/>
  <c r="AC693" i="2"/>
  <c r="Z693" i="2"/>
  <c r="Y693" i="2"/>
  <c r="R692" i="1"/>
  <c r="AS692" i="2"/>
  <c r="AR692" i="2"/>
  <c r="P692" i="1"/>
  <c r="AQ692" i="2"/>
  <c r="O692" i="1"/>
  <c r="AP692" i="2"/>
  <c r="N692" i="1"/>
  <c r="AO692" i="2"/>
  <c r="M692" i="1"/>
  <c r="AN692" i="2"/>
  <c r="L692" i="1"/>
  <c r="AM692" i="2"/>
  <c r="K692" i="1"/>
  <c r="AL692" i="2"/>
  <c r="AK692" i="2"/>
  <c r="AJ692" i="2"/>
  <c r="H692" i="1"/>
  <c r="AI692" i="2"/>
  <c r="G692" i="1"/>
  <c r="AH692" i="2"/>
  <c r="F692" i="1"/>
  <c r="AG692" i="2"/>
  <c r="E692" i="1"/>
  <c r="AF692" i="2"/>
  <c r="D692" i="1"/>
  <c r="AE692" i="2"/>
  <c r="AD692" i="2"/>
  <c r="AC692" i="2"/>
  <c r="Z692" i="2"/>
  <c r="Y692" i="2"/>
  <c r="R691" i="1"/>
  <c r="AS691" i="2"/>
  <c r="AR691" i="2"/>
  <c r="P691" i="1"/>
  <c r="AQ691" i="2"/>
  <c r="O691" i="1"/>
  <c r="AP691" i="2"/>
  <c r="N691" i="1"/>
  <c r="AO691" i="2"/>
  <c r="M691" i="1"/>
  <c r="AN691" i="2"/>
  <c r="L691" i="1"/>
  <c r="AM691" i="2"/>
  <c r="K691" i="1"/>
  <c r="AL691" i="2"/>
  <c r="AK691" i="2"/>
  <c r="AJ691" i="2"/>
  <c r="H691" i="1"/>
  <c r="AI691" i="2"/>
  <c r="G691" i="1"/>
  <c r="AH691" i="2"/>
  <c r="F691" i="1"/>
  <c r="AG691" i="2"/>
  <c r="E691" i="1"/>
  <c r="AF691" i="2"/>
  <c r="D691" i="1"/>
  <c r="AE691" i="2"/>
  <c r="AD691" i="2"/>
  <c r="AC691" i="2"/>
  <c r="Z691" i="2"/>
  <c r="Y691" i="2"/>
  <c r="R690" i="1"/>
  <c r="AS690" i="2"/>
  <c r="AR690" i="2"/>
  <c r="P690" i="1"/>
  <c r="AQ690" i="2"/>
  <c r="O690" i="1"/>
  <c r="AP690" i="2"/>
  <c r="N690" i="1"/>
  <c r="AO690" i="2"/>
  <c r="M690" i="1"/>
  <c r="AN690" i="2"/>
  <c r="L690" i="1"/>
  <c r="AM690" i="2"/>
  <c r="K690" i="1"/>
  <c r="AL690" i="2"/>
  <c r="AK690" i="2"/>
  <c r="AJ690" i="2"/>
  <c r="H690" i="1"/>
  <c r="AI690" i="2"/>
  <c r="G690" i="1"/>
  <c r="AH690" i="2"/>
  <c r="F690" i="1"/>
  <c r="AG690" i="2"/>
  <c r="E690" i="1"/>
  <c r="AF690" i="2"/>
  <c r="D690" i="1"/>
  <c r="AE690" i="2"/>
  <c r="AD690" i="2"/>
  <c r="AC690" i="2"/>
  <c r="Z690" i="2"/>
  <c r="Y690" i="2"/>
  <c r="R689" i="1"/>
  <c r="AS689" i="2"/>
  <c r="AR689" i="2"/>
  <c r="P689" i="1"/>
  <c r="AQ689" i="2"/>
  <c r="O689" i="1"/>
  <c r="AP689" i="2"/>
  <c r="N689" i="1"/>
  <c r="AO689" i="2"/>
  <c r="M689" i="1"/>
  <c r="AN689" i="2"/>
  <c r="L689" i="1"/>
  <c r="AM689" i="2"/>
  <c r="K689" i="1"/>
  <c r="AL689" i="2"/>
  <c r="AK689" i="2"/>
  <c r="AJ689" i="2"/>
  <c r="H689" i="1"/>
  <c r="AI689" i="2"/>
  <c r="G689" i="1"/>
  <c r="AH689" i="2"/>
  <c r="F689" i="1"/>
  <c r="AG689" i="2"/>
  <c r="E689" i="1"/>
  <c r="AF689" i="2"/>
  <c r="D689" i="1"/>
  <c r="AE689" i="2"/>
  <c r="AD689" i="2"/>
  <c r="AC689" i="2"/>
  <c r="Z689" i="2"/>
  <c r="Y689" i="2"/>
  <c r="R688" i="1"/>
  <c r="AS688" i="2"/>
  <c r="AR688" i="2"/>
  <c r="P688" i="1"/>
  <c r="AQ688" i="2"/>
  <c r="O688" i="1"/>
  <c r="AP688" i="2"/>
  <c r="N688" i="1"/>
  <c r="AO688" i="2"/>
  <c r="M688" i="1"/>
  <c r="AN688" i="2"/>
  <c r="L688" i="1"/>
  <c r="AM688" i="2"/>
  <c r="K688" i="1"/>
  <c r="AL688" i="2"/>
  <c r="AK688" i="2"/>
  <c r="AJ688" i="2"/>
  <c r="H688" i="1"/>
  <c r="AI688" i="2"/>
  <c r="G688" i="1"/>
  <c r="AH688" i="2"/>
  <c r="F688" i="1"/>
  <c r="AG688" i="2"/>
  <c r="E688" i="1"/>
  <c r="AF688" i="2"/>
  <c r="D688" i="1"/>
  <c r="AE688" i="2"/>
  <c r="AD688" i="2"/>
  <c r="AC688" i="2"/>
  <c r="Z688" i="2"/>
  <c r="Y688" i="2"/>
  <c r="R687" i="1"/>
  <c r="AS687" i="2"/>
  <c r="AR687" i="2"/>
  <c r="P687" i="1"/>
  <c r="AQ687" i="2"/>
  <c r="O687" i="1"/>
  <c r="AP687" i="2"/>
  <c r="N687" i="1"/>
  <c r="AO687" i="2"/>
  <c r="M687" i="1"/>
  <c r="AN687" i="2"/>
  <c r="L687" i="1"/>
  <c r="AM687" i="2"/>
  <c r="K687" i="1"/>
  <c r="AL687" i="2"/>
  <c r="AK687" i="2"/>
  <c r="AJ687" i="2"/>
  <c r="H687" i="1"/>
  <c r="AI687" i="2"/>
  <c r="G687" i="1"/>
  <c r="AH687" i="2"/>
  <c r="F687" i="1"/>
  <c r="AG687" i="2"/>
  <c r="E687" i="1"/>
  <c r="AF687" i="2"/>
  <c r="D687" i="1"/>
  <c r="AE687" i="2"/>
  <c r="AD687" i="2"/>
  <c r="AC687" i="2"/>
  <c r="Z687" i="2"/>
  <c r="Y687" i="2"/>
  <c r="R686" i="1"/>
  <c r="AS686" i="2"/>
  <c r="AR686" i="2"/>
  <c r="P686" i="1"/>
  <c r="AQ686" i="2"/>
  <c r="O686" i="1"/>
  <c r="AP686" i="2"/>
  <c r="N686" i="1"/>
  <c r="AO686" i="2"/>
  <c r="M686" i="1"/>
  <c r="AN686" i="2"/>
  <c r="L686" i="1"/>
  <c r="AM686" i="2"/>
  <c r="K686" i="1"/>
  <c r="AL686" i="2"/>
  <c r="AK686" i="2"/>
  <c r="AJ686" i="2"/>
  <c r="H686" i="1"/>
  <c r="AI686" i="2"/>
  <c r="G686" i="1"/>
  <c r="AH686" i="2"/>
  <c r="F686" i="1"/>
  <c r="AG686" i="2"/>
  <c r="E686" i="1"/>
  <c r="AF686" i="2"/>
  <c r="D686" i="1"/>
  <c r="AE686" i="2"/>
  <c r="AD686" i="2"/>
  <c r="AC686" i="2"/>
  <c r="Z686" i="2"/>
  <c r="Y686" i="2"/>
  <c r="R685" i="1"/>
  <c r="AS685" i="2"/>
  <c r="AR685" i="2"/>
  <c r="P685" i="1"/>
  <c r="AQ685" i="2"/>
  <c r="O685" i="1"/>
  <c r="AP685" i="2"/>
  <c r="N685" i="1"/>
  <c r="AO685" i="2"/>
  <c r="M685" i="1"/>
  <c r="AN685" i="2"/>
  <c r="L685" i="1"/>
  <c r="AM685" i="2"/>
  <c r="K685" i="1"/>
  <c r="AL685" i="2"/>
  <c r="AK685" i="2"/>
  <c r="AJ685" i="2"/>
  <c r="H685" i="1"/>
  <c r="AI685" i="2"/>
  <c r="G685" i="1"/>
  <c r="AH685" i="2"/>
  <c r="F685" i="1"/>
  <c r="AG685" i="2"/>
  <c r="E685" i="1"/>
  <c r="AF685" i="2"/>
  <c r="D685" i="1"/>
  <c r="AE685" i="2"/>
  <c r="AD685" i="2"/>
  <c r="AC685" i="2"/>
  <c r="Z685" i="2"/>
  <c r="Y685" i="2"/>
  <c r="R684" i="1"/>
  <c r="AS684" i="2"/>
  <c r="AR684" i="2"/>
  <c r="P684" i="1"/>
  <c r="AQ684" i="2"/>
  <c r="O684" i="1"/>
  <c r="AP684" i="2"/>
  <c r="N684" i="1"/>
  <c r="AO684" i="2"/>
  <c r="M684" i="1"/>
  <c r="AN684" i="2"/>
  <c r="L684" i="1"/>
  <c r="AM684" i="2"/>
  <c r="K684" i="1"/>
  <c r="AL684" i="2"/>
  <c r="AK684" i="2"/>
  <c r="AJ684" i="2"/>
  <c r="H684" i="1"/>
  <c r="AI684" i="2"/>
  <c r="G684" i="1"/>
  <c r="AH684" i="2"/>
  <c r="F684" i="1"/>
  <c r="AG684" i="2"/>
  <c r="E684" i="1"/>
  <c r="AF684" i="2"/>
  <c r="D684" i="1"/>
  <c r="AE684" i="2"/>
  <c r="AD684" i="2"/>
  <c r="AC684" i="2"/>
  <c r="Z684" i="2"/>
  <c r="Y684" i="2"/>
  <c r="R683" i="1"/>
  <c r="AS683" i="2"/>
  <c r="AR683" i="2"/>
  <c r="P683" i="1"/>
  <c r="AQ683" i="2"/>
  <c r="O683" i="1"/>
  <c r="AP683" i="2"/>
  <c r="N683" i="1"/>
  <c r="AO683" i="2"/>
  <c r="M683" i="1"/>
  <c r="AN683" i="2"/>
  <c r="L683" i="1"/>
  <c r="AM683" i="2"/>
  <c r="K683" i="1"/>
  <c r="AL683" i="2"/>
  <c r="AK683" i="2"/>
  <c r="AJ683" i="2"/>
  <c r="H683" i="1"/>
  <c r="AI683" i="2"/>
  <c r="G683" i="1"/>
  <c r="AH683" i="2"/>
  <c r="F683" i="1"/>
  <c r="AG683" i="2"/>
  <c r="E683" i="1"/>
  <c r="AF683" i="2"/>
  <c r="D683" i="1"/>
  <c r="AE683" i="2"/>
  <c r="AD683" i="2"/>
  <c r="AC683" i="2"/>
  <c r="Z683" i="2"/>
  <c r="Y683" i="2"/>
  <c r="R682" i="1"/>
  <c r="AS682" i="2"/>
  <c r="AR682" i="2"/>
  <c r="P682" i="1"/>
  <c r="AQ682" i="2"/>
  <c r="O682" i="1"/>
  <c r="AP682" i="2"/>
  <c r="N682" i="1"/>
  <c r="AO682" i="2"/>
  <c r="M682" i="1"/>
  <c r="AN682" i="2"/>
  <c r="L682" i="1"/>
  <c r="AM682" i="2"/>
  <c r="K682" i="1"/>
  <c r="AL682" i="2"/>
  <c r="AK682" i="2"/>
  <c r="AJ682" i="2"/>
  <c r="H682" i="1"/>
  <c r="AI682" i="2"/>
  <c r="G682" i="1"/>
  <c r="AH682" i="2"/>
  <c r="F682" i="1"/>
  <c r="AG682" i="2"/>
  <c r="E682" i="1"/>
  <c r="AF682" i="2"/>
  <c r="D682" i="1"/>
  <c r="AE682" i="2"/>
  <c r="AD682" i="2"/>
  <c r="AC682" i="2"/>
  <c r="Z682" i="2"/>
  <c r="Y682" i="2"/>
  <c r="R681" i="1"/>
  <c r="AS681" i="2"/>
  <c r="AR681" i="2"/>
  <c r="P681" i="1"/>
  <c r="AQ681" i="2"/>
  <c r="O681" i="1"/>
  <c r="AP681" i="2"/>
  <c r="N681" i="1"/>
  <c r="AO681" i="2"/>
  <c r="M681" i="1"/>
  <c r="AN681" i="2"/>
  <c r="L681" i="1"/>
  <c r="AM681" i="2"/>
  <c r="K681" i="1"/>
  <c r="AL681" i="2"/>
  <c r="AK681" i="2"/>
  <c r="AJ681" i="2"/>
  <c r="H681" i="1"/>
  <c r="AI681" i="2"/>
  <c r="G681" i="1"/>
  <c r="AH681" i="2"/>
  <c r="F681" i="1"/>
  <c r="AG681" i="2"/>
  <c r="E681" i="1"/>
  <c r="AF681" i="2"/>
  <c r="D681" i="1"/>
  <c r="AE681" i="2"/>
  <c r="AD681" i="2"/>
  <c r="AC681" i="2"/>
  <c r="Z681" i="2"/>
  <c r="Y681" i="2"/>
  <c r="R680" i="1"/>
  <c r="AS680" i="2"/>
  <c r="AR680" i="2"/>
  <c r="P680" i="1"/>
  <c r="AQ680" i="2"/>
  <c r="O680" i="1"/>
  <c r="AP680" i="2"/>
  <c r="N680" i="1"/>
  <c r="AO680" i="2"/>
  <c r="M680" i="1"/>
  <c r="AN680" i="2"/>
  <c r="L680" i="1"/>
  <c r="AM680" i="2"/>
  <c r="K680" i="1"/>
  <c r="AL680" i="2"/>
  <c r="AK680" i="2"/>
  <c r="AJ680" i="2"/>
  <c r="H680" i="1"/>
  <c r="AI680" i="2"/>
  <c r="G680" i="1"/>
  <c r="AH680" i="2"/>
  <c r="F680" i="1"/>
  <c r="AG680" i="2"/>
  <c r="E680" i="1"/>
  <c r="AF680" i="2"/>
  <c r="D680" i="1"/>
  <c r="AE680" i="2"/>
  <c r="AD680" i="2"/>
  <c r="AC680" i="2"/>
  <c r="Z680" i="2"/>
  <c r="Y680" i="2"/>
  <c r="R679" i="1"/>
  <c r="AS679" i="2"/>
  <c r="AR679" i="2"/>
  <c r="P679" i="1"/>
  <c r="AQ679" i="2"/>
  <c r="O679" i="1"/>
  <c r="AP679" i="2"/>
  <c r="N679" i="1"/>
  <c r="AO679" i="2"/>
  <c r="M679" i="1"/>
  <c r="AN679" i="2"/>
  <c r="L679" i="1"/>
  <c r="AM679" i="2"/>
  <c r="K679" i="1"/>
  <c r="AL679" i="2"/>
  <c r="AK679" i="2"/>
  <c r="AJ679" i="2"/>
  <c r="H679" i="1"/>
  <c r="AI679" i="2"/>
  <c r="G679" i="1"/>
  <c r="AH679" i="2"/>
  <c r="F679" i="1"/>
  <c r="AG679" i="2"/>
  <c r="E679" i="1"/>
  <c r="AF679" i="2"/>
  <c r="D679" i="1"/>
  <c r="AE679" i="2"/>
  <c r="AD679" i="2"/>
  <c r="AC679" i="2"/>
  <c r="Z679" i="2"/>
  <c r="Y679" i="2"/>
  <c r="R678" i="1"/>
  <c r="AS678" i="2"/>
  <c r="AR678" i="2"/>
  <c r="P678" i="1"/>
  <c r="AQ678" i="2"/>
  <c r="O678" i="1"/>
  <c r="AP678" i="2"/>
  <c r="N678" i="1"/>
  <c r="AO678" i="2"/>
  <c r="M678" i="1"/>
  <c r="AN678" i="2"/>
  <c r="L678" i="1"/>
  <c r="AM678" i="2"/>
  <c r="K678" i="1"/>
  <c r="AL678" i="2"/>
  <c r="AK678" i="2"/>
  <c r="AJ678" i="2"/>
  <c r="H678" i="1"/>
  <c r="AI678" i="2"/>
  <c r="G678" i="1"/>
  <c r="AH678" i="2"/>
  <c r="F678" i="1"/>
  <c r="AG678" i="2"/>
  <c r="E678" i="1"/>
  <c r="AF678" i="2"/>
  <c r="D678" i="1"/>
  <c r="AE678" i="2"/>
  <c r="AD678" i="2"/>
  <c r="AC678" i="2"/>
  <c r="Z678" i="2"/>
  <c r="Y678" i="2"/>
  <c r="R677" i="1"/>
  <c r="AS677" i="2"/>
  <c r="AR677" i="2"/>
  <c r="P677" i="1"/>
  <c r="AQ677" i="2"/>
  <c r="O677" i="1"/>
  <c r="AP677" i="2"/>
  <c r="N677" i="1"/>
  <c r="AO677" i="2"/>
  <c r="M677" i="1"/>
  <c r="AN677" i="2"/>
  <c r="L677" i="1"/>
  <c r="AM677" i="2"/>
  <c r="K677" i="1"/>
  <c r="AL677" i="2"/>
  <c r="AK677" i="2"/>
  <c r="AJ677" i="2"/>
  <c r="H677" i="1"/>
  <c r="AI677" i="2"/>
  <c r="G677" i="1"/>
  <c r="AH677" i="2"/>
  <c r="F677" i="1"/>
  <c r="AG677" i="2"/>
  <c r="E677" i="1"/>
  <c r="AF677" i="2"/>
  <c r="D677" i="1"/>
  <c r="AE677" i="2"/>
  <c r="AD677" i="2"/>
  <c r="AC677" i="2"/>
  <c r="Z677" i="2"/>
  <c r="Y677" i="2"/>
  <c r="R676" i="1"/>
  <c r="AS676" i="2"/>
  <c r="AR676" i="2"/>
  <c r="P676" i="1"/>
  <c r="AQ676" i="2"/>
  <c r="O676" i="1"/>
  <c r="AP676" i="2"/>
  <c r="N676" i="1"/>
  <c r="AO676" i="2"/>
  <c r="M676" i="1"/>
  <c r="AN676" i="2"/>
  <c r="L676" i="1"/>
  <c r="AM676" i="2"/>
  <c r="K676" i="1"/>
  <c r="AL676" i="2"/>
  <c r="AK676" i="2"/>
  <c r="AJ676" i="2"/>
  <c r="H676" i="1"/>
  <c r="AI676" i="2"/>
  <c r="G676" i="1"/>
  <c r="AH676" i="2"/>
  <c r="F676" i="1"/>
  <c r="AG676" i="2"/>
  <c r="E676" i="1"/>
  <c r="AF676" i="2"/>
  <c r="D676" i="1"/>
  <c r="AE676" i="2"/>
  <c r="AD676" i="2"/>
  <c r="AC676" i="2"/>
  <c r="Z676" i="2"/>
  <c r="Y676" i="2"/>
  <c r="R675" i="1"/>
  <c r="AS675" i="2"/>
  <c r="AR675" i="2"/>
  <c r="P675" i="1"/>
  <c r="AQ675" i="2"/>
  <c r="O675" i="1"/>
  <c r="AP675" i="2"/>
  <c r="N675" i="1"/>
  <c r="AO675" i="2"/>
  <c r="M675" i="1"/>
  <c r="AN675" i="2"/>
  <c r="L675" i="1"/>
  <c r="AM675" i="2"/>
  <c r="K675" i="1"/>
  <c r="AL675" i="2"/>
  <c r="AK675" i="2"/>
  <c r="AJ675" i="2"/>
  <c r="H675" i="1"/>
  <c r="AI675" i="2"/>
  <c r="G675" i="1"/>
  <c r="AH675" i="2"/>
  <c r="F675" i="1"/>
  <c r="AG675" i="2"/>
  <c r="E675" i="1"/>
  <c r="AF675" i="2"/>
  <c r="D675" i="1"/>
  <c r="AE675" i="2"/>
  <c r="AD675" i="2"/>
  <c r="AC675" i="2"/>
  <c r="Z675" i="2"/>
  <c r="Y675" i="2"/>
  <c r="R674" i="1"/>
  <c r="AS674" i="2"/>
  <c r="AR674" i="2"/>
  <c r="P674" i="1"/>
  <c r="AQ674" i="2"/>
  <c r="O674" i="1"/>
  <c r="AP674" i="2"/>
  <c r="N674" i="1"/>
  <c r="AO674" i="2"/>
  <c r="M674" i="1"/>
  <c r="AN674" i="2"/>
  <c r="L674" i="1"/>
  <c r="AM674" i="2"/>
  <c r="K674" i="1"/>
  <c r="AL674" i="2"/>
  <c r="AK674" i="2"/>
  <c r="AJ674" i="2"/>
  <c r="H674" i="1"/>
  <c r="AI674" i="2"/>
  <c r="G674" i="1"/>
  <c r="AH674" i="2"/>
  <c r="F674" i="1"/>
  <c r="AG674" i="2"/>
  <c r="E674" i="1"/>
  <c r="AF674" i="2"/>
  <c r="D674" i="1"/>
  <c r="AE674" i="2"/>
  <c r="AD674" i="2"/>
  <c r="AC674" i="2"/>
  <c r="Z674" i="2"/>
  <c r="Y674" i="2"/>
  <c r="R673" i="1"/>
  <c r="AS673" i="2"/>
  <c r="AR673" i="2"/>
  <c r="P673" i="1"/>
  <c r="AQ673" i="2"/>
  <c r="O673" i="1"/>
  <c r="AP673" i="2"/>
  <c r="N673" i="1"/>
  <c r="AO673" i="2"/>
  <c r="M673" i="1"/>
  <c r="AN673" i="2"/>
  <c r="L673" i="1"/>
  <c r="AM673" i="2"/>
  <c r="K673" i="1"/>
  <c r="AL673" i="2"/>
  <c r="AK673" i="2"/>
  <c r="AJ673" i="2"/>
  <c r="H673" i="1"/>
  <c r="AI673" i="2"/>
  <c r="G673" i="1"/>
  <c r="AH673" i="2"/>
  <c r="F673" i="1"/>
  <c r="AG673" i="2"/>
  <c r="E673" i="1"/>
  <c r="AF673" i="2"/>
  <c r="D673" i="1"/>
  <c r="AE673" i="2"/>
  <c r="AD673" i="2"/>
  <c r="AC673" i="2"/>
  <c r="Z673" i="2"/>
  <c r="Y673" i="2"/>
  <c r="R672" i="1"/>
  <c r="AS672" i="2"/>
  <c r="AR672" i="2"/>
  <c r="P672" i="1"/>
  <c r="AQ672" i="2"/>
  <c r="O672" i="1"/>
  <c r="AP672" i="2"/>
  <c r="N672" i="1"/>
  <c r="AO672" i="2"/>
  <c r="M672" i="1"/>
  <c r="AN672" i="2"/>
  <c r="L672" i="1"/>
  <c r="AM672" i="2"/>
  <c r="K672" i="1"/>
  <c r="AL672" i="2"/>
  <c r="AK672" i="2"/>
  <c r="AJ672" i="2"/>
  <c r="H672" i="1"/>
  <c r="AI672" i="2"/>
  <c r="G672" i="1"/>
  <c r="AH672" i="2"/>
  <c r="F672" i="1"/>
  <c r="AG672" i="2"/>
  <c r="E672" i="1"/>
  <c r="AF672" i="2"/>
  <c r="D672" i="1"/>
  <c r="AE672" i="2"/>
  <c r="AD672" i="2"/>
  <c r="AC672" i="2"/>
  <c r="Z672" i="2"/>
  <c r="Y672" i="2"/>
  <c r="R671" i="1"/>
  <c r="AS671" i="2"/>
  <c r="AR671" i="2"/>
  <c r="P671" i="1"/>
  <c r="AQ671" i="2"/>
  <c r="O671" i="1"/>
  <c r="AP671" i="2"/>
  <c r="N671" i="1"/>
  <c r="AO671" i="2"/>
  <c r="M671" i="1"/>
  <c r="AN671" i="2"/>
  <c r="L671" i="1"/>
  <c r="AM671" i="2"/>
  <c r="K671" i="1"/>
  <c r="AL671" i="2"/>
  <c r="AK671" i="2"/>
  <c r="AJ671" i="2"/>
  <c r="H671" i="1"/>
  <c r="AI671" i="2"/>
  <c r="G671" i="1"/>
  <c r="AH671" i="2"/>
  <c r="F671" i="1"/>
  <c r="AG671" i="2"/>
  <c r="E671" i="1"/>
  <c r="AF671" i="2"/>
  <c r="D671" i="1"/>
  <c r="AE671" i="2"/>
  <c r="AD671" i="2"/>
  <c r="AC671" i="2"/>
  <c r="Z671" i="2"/>
  <c r="Y671" i="2"/>
  <c r="R670" i="1"/>
  <c r="AS670" i="2"/>
  <c r="AR670" i="2"/>
  <c r="P670" i="1"/>
  <c r="AQ670" i="2"/>
  <c r="O670" i="1"/>
  <c r="AP670" i="2"/>
  <c r="N670" i="1"/>
  <c r="AO670" i="2"/>
  <c r="M670" i="1"/>
  <c r="AN670" i="2"/>
  <c r="L670" i="1"/>
  <c r="AM670" i="2"/>
  <c r="K670" i="1"/>
  <c r="AL670" i="2"/>
  <c r="AK670" i="2"/>
  <c r="AJ670" i="2"/>
  <c r="H670" i="1"/>
  <c r="AI670" i="2"/>
  <c r="G670" i="1"/>
  <c r="AH670" i="2"/>
  <c r="F670" i="1"/>
  <c r="AG670" i="2"/>
  <c r="E670" i="1"/>
  <c r="AF670" i="2"/>
  <c r="D670" i="1"/>
  <c r="AE670" i="2"/>
  <c r="AD670" i="2"/>
  <c r="AC670" i="2"/>
  <c r="Z670" i="2"/>
  <c r="Y670" i="2"/>
  <c r="R669" i="1"/>
  <c r="AS669" i="2"/>
  <c r="AR669" i="2"/>
  <c r="P669" i="1"/>
  <c r="AQ669" i="2"/>
  <c r="O669" i="1"/>
  <c r="AP669" i="2"/>
  <c r="N669" i="1"/>
  <c r="AO669" i="2"/>
  <c r="M669" i="1"/>
  <c r="AN669" i="2"/>
  <c r="L669" i="1"/>
  <c r="AM669" i="2"/>
  <c r="K669" i="1"/>
  <c r="AL669" i="2"/>
  <c r="AK669" i="2"/>
  <c r="AJ669" i="2"/>
  <c r="H669" i="1"/>
  <c r="AI669" i="2"/>
  <c r="G669" i="1"/>
  <c r="AH669" i="2"/>
  <c r="F669" i="1"/>
  <c r="AG669" i="2"/>
  <c r="E669" i="1"/>
  <c r="AF669" i="2"/>
  <c r="D669" i="1"/>
  <c r="AE669" i="2"/>
  <c r="AD669" i="2"/>
  <c r="AC669" i="2"/>
  <c r="Z669" i="2"/>
  <c r="Y669" i="2"/>
  <c r="R668" i="1"/>
  <c r="AS668" i="2"/>
  <c r="AR668" i="2"/>
  <c r="P668" i="1"/>
  <c r="AQ668" i="2"/>
  <c r="O668" i="1"/>
  <c r="AP668" i="2"/>
  <c r="N668" i="1"/>
  <c r="AO668" i="2"/>
  <c r="M668" i="1"/>
  <c r="AN668" i="2"/>
  <c r="L668" i="1"/>
  <c r="AM668" i="2"/>
  <c r="K668" i="1"/>
  <c r="AL668" i="2"/>
  <c r="AK668" i="2"/>
  <c r="AJ668" i="2"/>
  <c r="H668" i="1"/>
  <c r="AI668" i="2"/>
  <c r="G668" i="1"/>
  <c r="AH668" i="2"/>
  <c r="F668" i="1"/>
  <c r="AG668" i="2"/>
  <c r="E668" i="1"/>
  <c r="AF668" i="2"/>
  <c r="D668" i="1"/>
  <c r="AE668" i="2"/>
  <c r="AD668" i="2"/>
  <c r="AC668" i="2"/>
  <c r="Z668" i="2"/>
  <c r="Y668" i="2"/>
  <c r="R667" i="1"/>
  <c r="AS667" i="2"/>
  <c r="AR667" i="2"/>
  <c r="P667" i="1"/>
  <c r="AQ667" i="2"/>
  <c r="O667" i="1"/>
  <c r="AP667" i="2"/>
  <c r="N667" i="1"/>
  <c r="AO667" i="2"/>
  <c r="M667" i="1"/>
  <c r="AN667" i="2"/>
  <c r="L667" i="1"/>
  <c r="AM667" i="2"/>
  <c r="K667" i="1"/>
  <c r="AL667" i="2"/>
  <c r="AK667" i="2"/>
  <c r="AJ667" i="2"/>
  <c r="H667" i="1"/>
  <c r="AI667" i="2"/>
  <c r="G667" i="1"/>
  <c r="AH667" i="2"/>
  <c r="F667" i="1"/>
  <c r="AG667" i="2"/>
  <c r="E667" i="1"/>
  <c r="AF667" i="2"/>
  <c r="D667" i="1"/>
  <c r="AE667" i="2"/>
  <c r="AD667" i="2"/>
  <c r="AC667" i="2"/>
  <c r="Z667" i="2"/>
  <c r="Y667" i="2"/>
  <c r="R666" i="1"/>
  <c r="AS666" i="2"/>
  <c r="AR666" i="2"/>
  <c r="P666" i="1"/>
  <c r="AQ666" i="2"/>
  <c r="O666" i="1"/>
  <c r="AP666" i="2"/>
  <c r="N666" i="1"/>
  <c r="AO666" i="2"/>
  <c r="M666" i="1"/>
  <c r="AN666" i="2"/>
  <c r="L666" i="1"/>
  <c r="AM666" i="2"/>
  <c r="K666" i="1"/>
  <c r="AL666" i="2"/>
  <c r="AK666" i="2"/>
  <c r="AJ666" i="2"/>
  <c r="H666" i="1"/>
  <c r="AI666" i="2"/>
  <c r="G666" i="1"/>
  <c r="AH666" i="2"/>
  <c r="F666" i="1"/>
  <c r="AG666" i="2"/>
  <c r="E666" i="1"/>
  <c r="AF666" i="2"/>
  <c r="D666" i="1"/>
  <c r="AE666" i="2"/>
  <c r="AD666" i="2"/>
  <c r="AC666" i="2"/>
  <c r="Z666" i="2"/>
  <c r="Y666" i="2"/>
  <c r="R665" i="1"/>
  <c r="AS665" i="2"/>
  <c r="AR665" i="2"/>
  <c r="P665" i="1"/>
  <c r="AQ665" i="2"/>
  <c r="O665" i="1"/>
  <c r="AP665" i="2"/>
  <c r="N665" i="1"/>
  <c r="AO665" i="2"/>
  <c r="M665" i="1"/>
  <c r="AN665" i="2"/>
  <c r="L665" i="1"/>
  <c r="AM665" i="2"/>
  <c r="K665" i="1"/>
  <c r="AL665" i="2"/>
  <c r="AK665" i="2"/>
  <c r="AJ665" i="2"/>
  <c r="H665" i="1"/>
  <c r="AI665" i="2"/>
  <c r="G665" i="1"/>
  <c r="AH665" i="2"/>
  <c r="F665" i="1"/>
  <c r="AG665" i="2"/>
  <c r="E665" i="1"/>
  <c r="AF665" i="2"/>
  <c r="D665" i="1"/>
  <c r="AE665" i="2"/>
  <c r="AD665" i="2"/>
  <c r="AC665" i="2"/>
  <c r="Z665" i="2"/>
  <c r="Y665" i="2"/>
  <c r="R664" i="1"/>
  <c r="AS664" i="2"/>
  <c r="AR664" i="2"/>
  <c r="P664" i="1"/>
  <c r="AQ664" i="2"/>
  <c r="O664" i="1"/>
  <c r="AP664" i="2"/>
  <c r="N664" i="1"/>
  <c r="AO664" i="2"/>
  <c r="M664" i="1"/>
  <c r="AN664" i="2"/>
  <c r="L664" i="1"/>
  <c r="AM664" i="2"/>
  <c r="K664" i="1"/>
  <c r="AL664" i="2"/>
  <c r="AK664" i="2"/>
  <c r="AJ664" i="2"/>
  <c r="H664" i="1"/>
  <c r="AI664" i="2"/>
  <c r="G664" i="1"/>
  <c r="AH664" i="2"/>
  <c r="F664" i="1"/>
  <c r="AG664" i="2"/>
  <c r="E664" i="1"/>
  <c r="AF664" i="2"/>
  <c r="D664" i="1"/>
  <c r="AE664" i="2"/>
  <c r="AD664" i="2"/>
  <c r="AC664" i="2"/>
  <c r="Z664" i="2"/>
  <c r="Y664" i="2"/>
  <c r="R663" i="1"/>
  <c r="AS663" i="2"/>
  <c r="AR663" i="2"/>
  <c r="P663" i="1"/>
  <c r="AQ663" i="2"/>
  <c r="O663" i="1"/>
  <c r="AP663" i="2"/>
  <c r="N663" i="1"/>
  <c r="AO663" i="2"/>
  <c r="M663" i="1"/>
  <c r="AN663" i="2"/>
  <c r="L663" i="1"/>
  <c r="AM663" i="2"/>
  <c r="K663" i="1"/>
  <c r="AL663" i="2"/>
  <c r="AK663" i="2"/>
  <c r="AJ663" i="2"/>
  <c r="H663" i="1"/>
  <c r="AI663" i="2"/>
  <c r="G663" i="1"/>
  <c r="AH663" i="2"/>
  <c r="F663" i="1"/>
  <c r="AG663" i="2"/>
  <c r="E663" i="1"/>
  <c r="AF663" i="2"/>
  <c r="D663" i="1"/>
  <c r="AE663" i="2"/>
  <c r="AD663" i="2"/>
  <c r="AC663" i="2"/>
  <c r="Z663" i="2"/>
  <c r="Y663" i="2"/>
  <c r="R662" i="1"/>
  <c r="AS662" i="2"/>
  <c r="AR662" i="2"/>
  <c r="P662" i="1"/>
  <c r="AQ662" i="2"/>
  <c r="O662" i="1"/>
  <c r="AP662" i="2"/>
  <c r="N662" i="1"/>
  <c r="AO662" i="2"/>
  <c r="M662" i="1"/>
  <c r="AN662" i="2"/>
  <c r="L662" i="1"/>
  <c r="AM662" i="2"/>
  <c r="K662" i="1"/>
  <c r="AL662" i="2"/>
  <c r="AK662" i="2"/>
  <c r="AJ662" i="2"/>
  <c r="H662" i="1"/>
  <c r="AI662" i="2"/>
  <c r="G662" i="1"/>
  <c r="AH662" i="2"/>
  <c r="F662" i="1"/>
  <c r="AG662" i="2"/>
  <c r="E662" i="1"/>
  <c r="AF662" i="2"/>
  <c r="D662" i="1"/>
  <c r="AE662" i="2"/>
  <c r="AD662" i="2"/>
  <c r="AC662" i="2"/>
  <c r="Z662" i="2"/>
  <c r="Y662" i="2"/>
  <c r="R661" i="1"/>
  <c r="AS661" i="2"/>
  <c r="AR661" i="2"/>
  <c r="P661" i="1"/>
  <c r="AQ661" i="2"/>
  <c r="O661" i="1"/>
  <c r="AP661" i="2"/>
  <c r="N661" i="1"/>
  <c r="AO661" i="2"/>
  <c r="M661" i="1"/>
  <c r="AN661" i="2"/>
  <c r="L661" i="1"/>
  <c r="AM661" i="2"/>
  <c r="K661" i="1"/>
  <c r="AL661" i="2"/>
  <c r="AK661" i="2"/>
  <c r="AJ661" i="2"/>
  <c r="H661" i="1"/>
  <c r="AI661" i="2"/>
  <c r="G661" i="1"/>
  <c r="AH661" i="2"/>
  <c r="F661" i="1"/>
  <c r="AG661" i="2"/>
  <c r="E661" i="1"/>
  <c r="AF661" i="2"/>
  <c r="D661" i="1"/>
  <c r="AE661" i="2"/>
  <c r="AD661" i="2"/>
  <c r="AC661" i="2"/>
  <c r="Z661" i="2"/>
  <c r="Y661" i="2"/>
  <c r="R660" i="1"/>
  <c r="AS660" i="2"/>
  <c r="AR660" i="2"/>
  <c r="P660" i="1"/>
  <c r="AQ660" i="2"/>
  <c r="O660" i="1"/>
  <c r="AP660" i="2"/>
  <c r="N660" i="1"/>
  <c r="AO660" i="2"/>
  <c r="M660" i="1"/>
  <c r="AN660" i="2"/>
  <c r="L660" i="1"/>
  <c r="AM660" i="2"/>
  <c r="K660" i="1"/>
  <c r="AL660" i="2"/>
  <c r="AK660" i="2"/>
  <c r="AJ660" i="2"/>
  <c r="H660" i="1"/>
  <c r="AI660" i="2"/>
  <c r="G660" i="1"/>
  <c r="AH660" i="2"/>
  <c r="F660" i="1"/>
  <c r="AG660" i="2"/>
  <c r="E660" i="1"/>
  <c r="AF660" i="2"/>
  <c r="D660" i="1"/>
  <c r="AE660" i="2"/>
  <c r="AD660" i="2"/>
  <c r="AC660" i="2"/>
  <c r="Z660" i="2"/>
  <c r="Y660" i="2"/>
  <c r="R659" i="1"/>
  <c r="AS659" i="2"/>
  <c r="AR659" i="2"/>
  <c r="P659" i="1"/>
  <c r="AQ659" i="2"/>
  <c r="O659" i="1"/>
  <c r="AP659" i="2"/>
  <c r="N659" i="1"/>
  <c r="AO659" i="2"/>
  <c r="M659" i="1"/>
  <c r="AN659" i="2"/>
  <c r="L659" i="1"/>
  <c r="AM659" i="2"/>
  <c r="K659" i="1"/>
  <c r="AL659" i="2"/>
  <c r="AK659" i="2"/>
  <c r="AJ659" i="2"/>
  <c r="H659" i="1"/>
  <c r="AI659" i="2"/>
  <c r="G659" i="1"/>
  <c r="AH659" i="2"/>
  <c r="F659" i="1"/>
  <c r="AG659" i="2"/>
  <c r="E659" i="1"/>
  <c r="AF659" i="2"/>
  <c r="D659" i="1"/>
  <c r="AE659" i="2"/>
  <c r="AD659" i="2"/>
  <c r="AC659" i="2"/>
  <c r="Z659" i="2"/>
  <c r="Y659" i="2"/>
  <c r="R658" i="1"/>
  <c r="AS658" i="2"/>
  <c r="AR658" i="2"/>
  <c r="P658" i="1"/>
  <c r="AQ658" i="2"/>
  <c r="O658" i="1"/>
  <c r="AP658" i="2"/>
  <c r="N658" i="1"/>
  <c r="AO658" i="2"/>
  <c r="M658" i="1"/>
  <c r="AN658" i="2"/>
  <c r="L658" i="1"/>
  <c r="AM658" i="2"/>
  <c r="K658" i="1"/>
  <c r="AL658" i="2"/>
  <c r="AK658" i="2"/>
  <c r="AJ658" i="2"/>
  <c r="H658" i="1"/>
  <c r="AI658" i="2"/>
  <c r="G658" i="1"/>
  <c r="AH658" i="2"/>
  <c r="F658" i="1"/>
  <c r="AG658" i="2"/>
  <c r="E658" i="1"/>
  <c r="AF658" i="2"/>
  <c r="D658" i="1"/>
  <c r="AE658" i="2"/>
  <c r="AD658" i="2"/>
  <c r="AC658" i="2"/>
  <c r="Z658" i="2"/>
  <c r="Y658" i="2"/>
  <c r="R657" i="1"/>
  <c r="AS657" i="2"/>
  <c r="AR657" i="2"/>
  <c r="P657" i="1"/>
  <c r="AQ657" i="2"/>
  <c r="O657" i="1"/>
  <c r="AP657" i="2"/>
  <c r="N657" i="1"/>
  <c r="AO657" i="2"/>
  <c r="M657" i="1"/>
  <c r="AN657" i="2"/>
  <c r="L657" i="1"/>
  <c r="AM657" i="2"/>
  <c r="K657" i="1"/>
  <c r="AL657" i="2"/>
  <c r="AK657" i="2"/>
  <c r="AJ657" i="2"/>
  <c r="H657" i="1"/>
  <c r="AI657" i="2"/>
  <c r="G657" i="1"/>
  <c r="AH657" i="2"/>
  <c r="F657" i="1"/>
  <c r="AG657" i="2"/>
  <c r="E657" i="1"/>
  <c r="AF657" i="2"/>
  <c r="D657" i="1"/>
  <c r="AE657" i="2"/>
  <c r="AD657" i="2"/>
  <c r="AC657" i="2"/>
  <c r="Z657" i="2"/>
  <c r="Y657" i="2"/>
  <c r="R656" i="1"/>
  <c r="AS656" i="2"/>
  <c r="AR656" i="2"/>
  <c r="P656" i="1"/>
  <c r="AQ656" i="2"/>
  <c r="O656" i="1"/>
  <c r="AP656" i="2"/>
  <c r="N656" i="1"/>
  <c r="AO656" i="2"/>
  <c r="M656" i="1"/>
  <c r="AN656" i="2"/>
  <c r="L656" i="1"/>
  <c r="AM656" i="2"/>
  <c r="K656" i="1"/>
  <c r="AL656" i="2"/>
  <c r="AK656" i="2"/>
  <c r="AJ656" i="2"/>
  <c r="H656" i="1"/>
  <c r="AI656" i="2"/>
  <c r="G656" i="1"/>
  <c r="AH656" i="2"/>
  <c r="F656" i="1"/>
  <c r="AG656" i="2"/>
  <c r="E656" i="1"/>
  <c r="AF656" i="2"/>
  <c r="D656" i="1"/>
  <c r="AE656" i="2"/>
  <c r="AD656" i="2"/>
  <c r="AC656" i="2"/>
  <c r="Z656" i="2"/>
  <c r="Y656" i="2"/>
  <c r="R655" i="1"/>
  <c r="AS655" i="2"/>
  <c r="AR655" i="2"/>
  <c r="P655" i="1"/>
  <c r="AQ655" i="2"/>
  <c r="O655" i="1"/>
  <c r="AP655" i="2"/>
  <c r="N655" i="1"/>
  <c r="AO655" i="2"/>
  <c r="M655" i="1"/>
  <c r="AN655" i="2"/>
  <c r="L655" i="1"/>
  <c r="AM655" i="2"/>
  <c r="K655" i="1"/>
  <c r="AL655" i="2"/>
  <c r="AK655" i="2"/>
  <c r="AJ655" i="2"/>
  <c r="H655" i="1"/>
  <c r="AI655" i="2"/>
  <c r="G655" i="1"/>
  <c r="AH655" i="2"/>
  <c r="F655" i="1"/>
  <c r="AG655" i="2"/>
  <c r="E655" i="1"/>
  <c r="AF655" i="2"/>
  <c r="D655" i="1"/>
  <c r="AE655" i="2"/>
  <c r="AD655" i="2"/>
  <c r="AC655" i="2"/>
  <c r="Z655" i="2"/>
  <c r="Y655" i="2"/>
  <c r="R654" i="1"/>
  <c r="AS654" i="2"/>
  <c r="AR654" i="2"/>
  <c r="P654" i="1"/>
  <c r="AQ654" i="2"/>
  <c r="O654" i="1"/>
  <c r="AP654" i="2"/>
  <c r="N654" i="1"/>
  <c r="AO654" i="2"/>
  <c r="M654" i="1"/>
  <c r="AN654" i="2"/>
  <c r="L654" i="1"/>
  <c r="AM654" i="2"/>
  <c r="K654" i="1"/>
  <c r="AL654" i="2"/>
  <c r="AK654" i="2"/>
  <c r="AJ654" i="2"/>
  <c r="H654" i="1"/>
  <c r="AI654" i="2"/>
  <c r="G654" i="1"/>
  <c r="AH654" i="2"/>
  <c r="F654" i="1"/>
  <c r="AG654" i="2"/>
  <c r="E654" i="1"/>
  <c r="AF654" i="2"/>
  <c r="D654" i="1"/>
  <c r="AE654" i="2"/>
  <c r="AD654" i="2"/>
  <c r="AC654" i="2"/>
  <c r="Z654" i="2"/>
  <c r="Y654" i="2"/>
  <c r="R653" i="1"/>
  <c r="AS653" i="2"/>
  <c r="AR653" i="2"/>
  <c r="P653" i="1"/>
  <c r="AQ653" i="2"/>
  <c r="O653" i="1"/>
  <c r="AP653" i="2"/>
  <c r="N653" i="1"/>
  <c r="AO653" i="2"/>
  <c r="M653" i="1"/>
  <c r="AN653" i="2"/>
  <c r="L653" i="1"/>
  <c r="AM653" i="2"/>
  <c r="K653" i="1"/>
  <c r="AL653" i="2"/>
  <c r="AK653" i="2"/>
  <c r="AJ653" i="2"/>
  <c r="H653" i="1"/>
  <c r="AI653" i="2"/>
  <c r="G653" i="1"/>
  <c r="AH653" i="2"/>
  <c r="F653" i="1"/>
  <c r="AG653" i="2"/>
  <c r="E653" i="1"/>
  <c r="AF653" i="2"/>
  <c r="D653" i="1"/>
  <c r="AE653" i="2"/>
  <c r="AD653" i="2"/>
  <c r="AC653" i="2"/>
  <c r="Z653" i="2"/>
  <c r="Y653" i="2"/>
  <c r="R652" i="1"/>
  <c r="AS652" i="2"/>
  <c r="AR652" i="2"/>
  <c r="P652" i="1"/>
  <c r="AQ652" i="2"/>
  <c r="O652" i="1"/>
  <c r="AP652" i="2"/>
  <c r="N652" i="1"/>
  <c r="AO652" i="2"/>
  <c r="M652" i="1"/>
  <c r="AN652" i="2"/>
  <c r="L652" i="1"/>
  <c r="AM652" i="2"/>
  <c r="K652" i="1"/>
  <c r="AL652" i="2"/>
  <c r="AK652" i="2"/>
  <c r="AJ652" i="2"/>
  <c r="H652" i="1"/>
  <c r="AI652" i="2"/>
  <c r="G652" i="1"/>
  <c r="AH652" i="2"/>
  <c r="F652" i="1"/>
  <c r="AG652" i="2"/>
  <c r="E652" i="1"/>
  <c r="AF652" i="2"/>
  <c r="D652" i="1"/>
  <c r="AE652" i="2"/>
  <c r="AD652" i="2"/>
  <c r="AC652" i="2"/>
  <c r="Z652" i="2"/>
  <c r="Y652" i="2"/>
  <c r="R651" i="1"/>
  <c r="AS651" i="2"/>
  <c r="AR651" i="2"/>
  <c r="P651" i="1"/>
  <c r="AQ651" i="2"/>
  <c r="O651" i="1"/>
  <c r="AP651" i="2"/>
  <c r="N651" i="1"/>
  <c r="AO651" i="2"/>
  <c r="M651" i="1"/>
  <c r="AN651" i="2"/>
  <c r="L651" i="1"/>
  <c r="AM651" i="2"/>
  <c r="K651" i="1"/>
  <c r="AL651" i="2"/>
  <c r="AK651" i="2"/>
  <c r="AJ651" i="2"/>
  <c r="H651" i="1"/>
  <c r="AI651" i="2"/>
  <c r="G651" i="1"/>
  <c r="AH651" i="2"/>
  <c r="F651" i="1"/>
  <c r="AG651" i="2"/>
  <c r="E651" i="1"/>
  <c r="AF651" i="2"/>
  <c r="D651" i="1"/>
  <c r="AE651" i="2"/>
  <c r="AD651" i="2"/>
  <c r="AC651" i="2"/>
  <c r="Z651" i="2"/>
  <c r="Y651" i="2"/>
  <c r="R650" i="1"/>
  <c r="AS650" i="2"/>
  <c r="AR650" i="2"/>
  <c r="P650" i="1"/>
  <c r="AQ650" i="2"/>
  <c r="O650" i="1"/>
  <c r="AP650" i="2"/>
  <c r="N650" i="1"/>
  <c r="AO650" i="2"/>
  <c r="M650" i="1"/>
  <c r="AN650" i="2"/>
  <c r="L650" i="1"/>
  <c r="AM650" i="2"/>
  <c r="K650" i="1"/>
  <c r="AL650" i="2"/>
  <c r="AK650" i="2"/>
  <c r="AJ650" i="2"/>
  <c r="H650" i="1"/>
  <c r="AI650" i="2"/>
  <c r="G650" i="1"/>
  <c r="AH650" i="2"/>
  <c r="F650" i="1"/>
  <c r="AG650" i="2"/>
  <c r="E650" i="1"/>
  <c r="AF650" i="2"/>
  <c r="D650" i="1"/>
  <c r="AE650" i="2"/>
  <c r="AD650" i="2"/>
  <c r="AC650" i="2"/>
  <c r="Z650" i="2"/>
  <c r="Y650" i="2"/>
  <c r="R649" i="1"/>
  <c r="AS649" i="2"/>
  <c r="AR649" i="2"/>
  <c r="P649" i="1"/>
  <c r="AQ649" i="2"/>
  <c r="O649" i="1"/>
  <c r="AP649" i="2"/>
  <c r="N649" i="1"/>
  <c r="AO649" i="2"/>
  <c r="M649" i="1"/>
  <c r="AN649" i="2"/>
  <c r="L649" i="1"/>
  <c r="AM649" i="2"/>
  <c r="K649" i="1"/>
  <c r="AL649" i="2"/>
  <c r="AK649" i="2"/>
  <c r="AJ649" i="2"/>
  <c r="H649" i="1"/>
  <c r="AI649" i="2"/>
  <c r="G649" i="1"/>
  <c r="AH649" i="2"/>
  <c r="F649" i="1"/>
  <c r="AG649" i="2"/>
  <c r="E649" i="1"/>
  <c r="AF649" i="2"/>
  <c r="D649" i="1"/>
  <c r="AE649" i="2"/>
  <c r="AD649" i="2"/>
  <c r="AC649" i="2"/>
  <c r="Z649" i="2"/>
  <c r="Y649" i="2"/>
  <c r="R648" i="1"/>
  <c r="AS648" i="2"/>
  <c r="AR648" i="2"/>
  <c r="P648" i="1"/>
  <c r="AQ648" i="2"/>
  <c r="O648" i="1"/>
  <c r="AP648" i="2"/>
  <c r="N648" i="1"/>
  <c r="AO648" i="2"/>
  <c r="M648" i="1"/>
  <c r="AN648" i="2"/>
  <c r="L648" i="1"/>
  <c r="AM648" i="2"/>
  <c r="K648" i="1"/>
  <c r="AL648" i="2"/>
  <c r="AK648" i="2"/>
  <c r="AJ648" i="2"/>
  <c r="H648" i="1"/>
  <c r="AI648" i="2"/>
  <c r="G648" i="1"/>
  <c r="AH648" i="2"/>
  <c r="F648" i="1"/>
  <c r="AG648" i="2"/>
  <c r="E648" i="1"/>
  <c r="AF648" i="2"/>
  <c r="D648" i="1"/>
  <c r="AE648" i="2"/>
  <c r="AD648" i="2"/>
  <c r="AC648" i="2"/>
  <c r="Z648" i="2"/>
  <c r="Y648" i="2"/>
  <c r="R647" i="1"/>
  <c r="AS647" i="2"/>
  <c r="AR647" i="2"/>
  <c r="P647" i="1"/>
  <c r="AQ647" i="2"/>
  <c r="O647" i="1"/>
  <c r="AP647" i="2"/>
  <c r="N647" i="1"/>
  <c r="AO647" i="2"/>
  <c r="M647" i="1"/>
  <c r="AN647" i="2"/>
  <c r="L647" i="1"/>
  <c r="AM647" i="2"/>
  <c r="K647" i="1"/>
  <c r="AL647" i="2"/>
  <c r="AK647" i="2"/>
  <c r="AJ647" i="2"/>
  <c r="H647" i="1"/>
  <c r="AI647" i="2"/>
  <c r="G647" i="1"/>
  <c r="AH647" i="2"/>
  <c r="F647" i="1"/>
  <c r="AG647" i="2"/>
  <c r="E647" i="1"/>
  <c r="AF647" i="2"/>
  <c r="D647" i="1"/>
  <c r="AE647" i="2"/>
  <c r="AD647" i="2"/>
  <c r="AC647" i="2"/>
  <c r="Z647" i="2"/>
  <c r="Y647" i="2"/>
  <c r="R646" i="1"/>
  <c r="AS646" i="2"/>
  <c r="AR646" i="2"/>
  <c r="P646" i="1"/>
  <c r="AQ646" i="2"/>
  <c r="O646" i="1"/>
  <c r="AP646" i="2"/>
  <c r="N646" i="1"/>
  <c r="AO646" i="2"/>
  <c r="M646" i="1"/>
  <c r="AN646" i="2"/>
  <c r="L646" i="1"/>
  <c r="AM646" i="2"/>
  <c r="K646" i="1"/>
  <c r="AL646" i="2"/>
  <c r="AK646" i="2"/>
  <c r="AJ646" i="2"/>
  <c r="H646" i="1"/>
  <c r="AI646" i="2"/>
  <c r="G646" i="1"/>
  <c r="AH646" i="2"/>
  <c r="F646" i="1"/>
  <c r="AG646" i="2"/>
  <c r="E646" i="1"/>
  <c r="AF646" i="2"/>
  <c r="D646" i="1"/>
  <c r="AE646" i="2"/>
  <c r="AD646" i="2"/>
  <c r="AC646" i="2"/>
  <c r="Z646" i="2"/>
  <c r="Y646" i="2"/>
  <c r="R645" i="1"/>
  <c r="AS645" i="2"/>
  <c r="AR645" i="2"/>
  <c r="P645" i="1"/>
  <c r="AQ645" i="2"/>
  <c r="O645" i="1"/>
  <c r="AP645" i="2"/>
  <c r="N645" i="1"/>
  <c r="AO645" i="2"/>
  <c r="M645" i="1"/>
  <c r="AN645" i="2"/>
  <c r="L645" i="1"/>
  <c r="AM645" i="2"/>
  <c r="K645" i="1"/>
  <c r="AL645" i="2"/>
  <c r="AK645" i="2"/>
  <c r="AJ645" i="2"/>
  <c r="H645" i="1"/>
  <c r="AI645" i="2"/>
  <c r="G645" i="1"/>
  <c r="AH645" i="2"/>
  <c r="F645" i="1"/>
  <c r="AG645" i="2"/>
  <c r="E645" i="1"/>
  <c r="AF645" i="2"/>
  <c r="D645" i="1"/>
  <c r="AE645" i="2"/>
  <c r="AD645" i="2"/>
  <c r="AC645" i="2"/>
  <c r="Z645" i="2"/>
  <c r="Y645" i="2"/>
  <c r="R644" i="1"/>
  <c r="AS644" i="2"/>
  <c r="AR644" i="2"/>
  <c r="P644" i="1"/>
  <c r="AQ644" i="2"/>
  <c r="O644" i="1"/>
  <c r="AP644" i="2"/>
  <c r="N644" i="1"/>
  <c r="AO644" i="2"/>
  <c r="M644" i="1"/>
  <c r="AN644" i="2"/>
  <c r="L644" i="1"/>
  <c r="AM644" i="2"/>
  <c r="K644" i="1"/>
  <c r="AL644" i="2"/>
  <c r="AK644" i="2"/>
  <c r="AJ644" i="2"/>
  <c r="H644" i="1"/>
  <c r="AI644" i="2"/>
  <c r="G644" i="1"/>
  <c r="AH644" i="2"/>
  <c r="F644" i="1"/>
  <c r="AG644" i="2"/>
  <c r="E644" i="1"/>
  <c r="AF644" i="2"/>
  <c r="D644" i="1"/>
  <c r="AE644" i="2"/>
  <c r="AD644" i="2"/>
  <c r="AC644" i="2"/>
  <c r="Z644" i="2"/>
  <c r="Y644" i="2"/>
  <c r="R643" i="1"/>
  <c r="AS643" i="2"/>
  <c r="AR643" i="2"/>
  <c r="P643" i="1"/>
  <c r="AQ643" i="2"/>
  <c r="O643" i="1"/>
  <c r="AP643" i="2"/>
  <c r="N643" i="1"/>
  <c r="AO643" i="2"/>
  <c r="M643" i="1"/>
  <c r="AN643" i="2"/>
  <c r="L643" i="1"/>
  <c r="AM643" i="2"/>
  <c r="K643" i="1"/>
  <c r="AL643" i="2"/>
  <c r="AK643" i="2"/>
  <c r="AJ643" i="2"/>
  <c r="H643" i="1"/>
  <c r="AI643" i="2"/>
  <c r="G643" i="1"/>
  <c r="AH643" i="2"/>
  <c r="F643" i="1"/>
  <c r="AG643" i="2"/>
  <c r="E643" i="1"/>
  <c r="AF643" i="2"/>
  <c r="D643" i="1"/>
  <c r="AE643" i="2"/>
  <c r="AD643" i="2"/>
  <c r="AC643" i="2"/>
  <c r="Z643" i="2"/>
  <c r="Y643" i="2"/>
  <c r="R642" i="1"/>
  <c r="AS642" i="2"/>
  <c r="AR642" i="2"/>
  <c r="P642" i="1"/>
  <c r="AQ642" i="2"/>
  <c r="O642" i="1"/>
  <c r="AP642" i="2"/>
  <c r="N642" i="1"/>
  <c r="AO642" i="2"/>
  <c r="M642" i="1"/>
  <c r="AN642" i="2"/>
  <c r="L642" i="1"/>
  <c r="AM642" i="2"/>
  <c r="K642" i="1"/>
  <c r="AL642" i="2"/>
  <c r="AK642" i="2"/>
  <c r="AJ642" i="2"/>
  <c r="H642" i="1"/>
  <c r="AI642" i="2"/>
  <c r="G642" i="1"/>
  <c r="AH642" i="2"/>
  <c r="F642" i="1"/>
  <c r="AG642" i="2"/>
  <c r="E642" i="1"/>
  <c r="AF642" i="2"/>
  <c r="D642" i="1"/>
  <c r="AE642" i="2"/>
  <c r="AD642" i="2"/>
  <c r="AC642" i="2"/>
  <c r="Z642" i="2"/>
  <c r="Y642" i="2"/>
  <c r="R641" i="1"/>
  <c r="AS641" i="2"/>
  <c r="AR641" i="2"/>
  <c r="P641" i="1"/>
  <c r="AQ641" i="2"/>
  <c r="O641" i="1"/>
  <c r="AP641" i="2"/>
  <c r="N641" i="1"/>
  <c r="AO641" i="2"/>
  <c r="M641" i="1"/>
  <c r="AN641" i="2"/>
  <c r="L641" i="1"/>
  <c r="AM641" i="2"/>
  <c r="K641" i="1"/>
  <c r="AL641" i="2"/>
  <c r="AK641" i="2"/>
  <c r="AJ641" i="2"/>
  <c r="H641" i="1"/>
  <c r="AI641" i="2"/>
  <c r="G641" i="1"/>
  <c r="AH641" i="2"/>
  <c r="F641" i="1"/>
  <c r="AG641" i="2"/>
  <c r="E641" i="1"/>
  <c r="AF641" i="2"/>
  <c r="D641" i="1"/>
  <c r="AE641" i="2"/>
  <c r="AD641" i="2"/>
  <c r="AC641" i="2"/>
  <c r="Z641" i="2"/>
  <c r="Y641" i="2"/>
  <c r="R640" i="1"/>
  <c r="AS640" i="2"/>
  <c r="AR640" i="2"/>
  <c r="P640" i="1"/>
  <c r="AQ640" i="2"/>
  <c r="O640" i="1"/>
  <c r="AP640" i="2"/>
  <c r="N640" i="1"/>
  <c r="AO640" i="2"/>
  <c r="M640" i="1"/>
  <c r="AN640" i="2"/>
  <c r="L640" i="1"/>
  <c r="AM640" i="2"/>
  <c r="K640" i="1"/>
  <c r="AL640" i="2"/>
  <c r="AK640" i="2"/>
  <c r="AJ640" i="2"/>
  <c r="H640" i="1"/>
  <c r="AI640" i="2"/>
  <c r="G640" i="1"/>
  <c r="AH640" i="2"/>
  <c r="F640" i="1"/>
  <c r="AG640" i="2"/>
  <c r="E640" i="1"/>
  <c r="AF640" i="2"/>
  <c r="D640" i="1"/>
  <c r="AE640" i="2"/>
  <c r="AD640" i="2"/>
  <c r="AC640" i="2"/>
  <c r="Z640" i="2"/>
  <c r="Y640" i="2"/>
  <c r="R639" i="1"/>
  <c r="AS639" i="2"/>
  <c r="AR639" i="2"/>
  <c r="P639" i="1"/>
  <c r="AQ639" i="2"/>
  <c r="O639" i="1"/>
  <c r="AP639" i="2"/>
  <c r="N639" i="1"/>
  <c r="AO639" i="2"/>
  <c r="M639" i="1"/>
  <c r="AN639" i="2"/>
  <c r="L639" i="1"/>
  <c r="AM639" i="2"/>
  <c r="K639" i="1"/>
  <c r="AL639" i="2"/>
  <c r="AK639" i="2"/>
  <c r="AJ639" i="2"/>
  <c r="H639" i="1"/>
  <c r="AI639" i="2"/>
  <c r="G639" i="1"/>
  <c r="AH639" i="2"/>
  <c r="F639" i="1"/>
  <c r="AG639" i="2"/>
  <c r="E639" i="1"/>
  <c r="AF639" i="2"/>
  <c r="D639" i="1"/>
  <c r="AE639" i="2"/>
  <c r="AD639" i="2"/>
  <c r="AC639" i="2"/>
  <c r="Z639" i="2"/>
  <c r="Y639" i="2"/>
  <c r="R638" i="1"/>
  <c r="AS638" i="2"/>
  <c r="AR638" i="2"/>
  <c r="P638" i="1"/>
  <c r="AQ638" i="2"/>
  <c r="O638" i="1"/>
  <c r="AP638" i="2"/>
  <c r="N638" i="1"/>
  <c r="AO638" i="2"/>
  <c r="M638" i="1"/>
  <c r="AN638" i="2"/>
  <c r="L638" i="1"/>
  <c r="AM638" i="2"/>
  <c r="K638" i="1"/>
  <c r="AL638" i="2"/>
  <c r="AK638" i="2"/>
  <c r="AJ638" i="2"/>
  <c r="H638" i="1"/>
  <c r="AI638" i="2"/>
  <c r="G638" i="1"/>
  <c r="AH638" i="2"/>
  <c r="F638" i="1"/>
  <c r="AG638" i="2"/>
  <c r="E638" i="1"/>
  <c r="AF638" i="2"/>
  <c r="D638" i="1"/>
  <c r="AE638" i="2"/>
  <c r="AD638" i="2"/>
  <c r="AC638" i="2"/>
  <c r="Z638" i="2"/>
  <c r="Y638" i="2"/>
  <c r="R637" i="1"/>
  <c r="AS637" i="2"/>
  <c r="AR637" i="2"/>
  <c r="P637" i="1"/>
  <c r="AQ637" i="2"/>
  <c r="O637" i="1"/>
  <c r="AP637" i="2"/>
  <c r="N637" i="1"/>
  <c r="AO637" i="2"/>
  <c r="M637" i="1"/>
  <c r="AN637" i="2"/>
  <c r="L637" i="1"/>
  <c r="AM637" i="2"/>
  <c r="K637" i="1"/>
  <c r="AL637" i="2"/>
  <c r="AK637" i="2"/>
  <c r="AJ637" i="2"/>
  <c r="H637" i="1"/>
  <c r="AI637" i="2"/>
  <c r="G637" i="1"/>
  <c r="AH637" i="2"/>
  <c r="F637" i="1"/>
  <c r="AG637" i="2"/>
  <c r="E637" i="1"/>
  <c r="AF637" i="2"/>
  <c r="D637" i="1"/>
  <c r="AE637" i="2"/>
  <c r="AD637" i="2"/>
  <c r="AC637" i="2"/>
  <c r="Z637" i="2"/>
  <c r="Y637" i="2"/>
  <c r="R636" i="1"/>
  <c r="AS636" i="2"/>
  <c r="AR636" i="2"/>
  <c r="P636" i="1"/>
  <c r="AQ636" i="2"/>
  <c r="O636" i="1"/>
  <c r="AP636" i="2"/>
  <c r="N636" i="1"/>
  <c r="AO636" i="2"/>
  <c r="M636" i="1"/>
  <c r="AN636" i="2"/>
  <c r="L636" i="1"/>
  <c r="AM636" i="2"/>
  <c r="K636" i="1"/>
  <c r="AL636" i="2"/>
  <c r="AK636" i="2"/>
  <c r="AJ636" i="2"/>
  <c r="H636" i="1"/>
  <c r="AI636" i="2"/>
  <c r="G636" i="1"/>
  <c r="AH636" i="2"/>
  <c r="F636" i="1"/>
  <c r="AG636" i="2"/>
  <c r="E636" i="1"/>
  <c r="AF636" i="2"/>
  <c r="D636" i="1"/>
  <c r="AE636" i="2"/>
  <c r="AD636" i="2"/>
  <c r="AC636" i="2"/>
  <c r="Z636" i="2"/>
  <c r="Y636" i="2"/>
  <c r="R635" i="1"/>
  <c r="AS635" i="2"/>
  <c r="AR635" i="2"/>
  <c r="P635" i="1"/>
  <c r="AQ635" i="2"/>
  <c r="O635" i="1"/>
  <c r="AP635" i="2"/>
  <c r="N635" i="1"/>
  <c r="AO635" i="2"/>
  <c r="M635" i="1"/>
  <c r="AN635" i="2"/>
  <c r="L635" i="1"/>
  <c r="AM635" i="2"/>
  <c r="K635" i="1"/>
  <c r="AL635" i="2"/>
  <c r="AK635" i="2"/>
  <c r="AJ635" i="2"/>
  <c r="H635" i="1"/>
  <c r="AI635" i="2"/>
  <c r="G635" i="1"/>
  <c r="AH635" i="2"/>
  <c r="F635" i="1"/>
  <c r="AG635" i="2"/>
  <c r="E635" i="1"/>
  <c r="AF635" i="2"/>
  <c r="D635" i="1"/>
  <c r="AE635" i="2"/>
  <c r="AD635" i="2"/>
  <c r="AC635" i="2"/>
  <c r="Z635" i="2"/>
  <c r="Y635" i="2"/>
  <c r="R634" i="1"/>
  <c r="AS634" i="2"/>
  <c r="AR634" i="2"/>
  <c r="P634" i="1"/>
  <c r="AQ634" i="2"/>
  <c r="O634" i="1"/>
  <c r="AP634" i="2"/>
  <c r="N634" i="1"/>
  <c r="AO634" i="2"/>
  <c r="M634" i="1"/>
  <c r="AN634" i="2"/>
  <c r="L634" i="1"/>
  <c r="AM634" i="2"/>
  <c r="K634" i="1"/>
  <c r="AL634" i="2"/>
  <c r="AK634" i="2"/>
  <c r="AJ634" i="2"/>
  <c r="H634" i="1"/>
  <c r="AI634" i="2"/>
  <c r="G634" i="1"/>
  <c r="AH634" i="2"/>
  <c r="F634" i="1"/>
  <c r="AG634" i="2"/>
  <c r="E634" i="1"/>
  <c r="AF634" i="2"/>
  <c r="D634" i="1"/>
  <c r="AE634" i="2"/>
  <c r="AD634" i="2"/>
  <c r="AC634" i="2"/>
  <c r="Z634" i="2"/>
  <c r="Y634" i="2"/>
  <c r="R633" i="1"/>
  <c r="AS633" i="2"/>
  <c r="AR633" i="2"/>
  <c r="P633" i="1"/>
  <c r="AQ633" i="2"/>
  <c r="O633" i="1"/>
  <c r="AP633" i="2"/>
  <c r="N633" i="1"/>
  <c r="AO633" i="2"/>
  <c r="M633" i="1"/>
  <c r="AN633" i="2"/>
  <c r="L633" i="1"/>
  <c r="AM633" i="2"/>
  <c r="K633" i="1"/>
  <c r="AL633" i="2"/>
  <c r="AK633" i="2"/>
  <c r="AJ633" i="2"/>
  <c r="H633" i="1"/>
  <c r="AI633" i="2"/>
  <c r="G633" i="1"/>
  <c r="AH633" i="2"/>
  <c r="F633" i="1"/>
  <c r="AG633" i="2"/>
  <c r="E633" i="1"/>
  <c r="AF633" i="2"/>
  <c r="D633" i="1"/>
  <c r="AE633" i="2"/>
  <c r="AD633" i="2"/>
  <c r="AC633" i="2"/>
  <c r="Z633" i="2"/>
  <c r="Y633" i="2"/>
  <c r="R632" i="1"/>
  <c r="AS632" i="2"/>
  <c r="AR632" i="2"/>
  <c r="P632" i="1"/>
  <c r="AQ632" i="2"/>
  <c r="O632" i="1"/>
  <c r="AP632" i="2"/>
  <c r="N632" i="1"/>
  <c r="AO632" i="2"/>
  <c r="M632" i="1"/>
  <c r="AN632" i="2"/>
  <c r="L632" i="1"/>
  <c r="AM632" i="2"/>
  <c r="K632" i="1"/>
  <c r="AL632" i="2"/>
  <c r="AK632" i="2"/>
  <c r="AJ632" i="2"/>
  <c r="H632" i="1"/>
  <c r="AI632" i="2"/>
  <c r="G632" i="1"/>
  <c r="AH632" i="2"/>
  <c r="F632" i="1"/>
  <c r="AG632" i="2"/>
  <c r="E632" i="1"/>
  <c r="AF632" i="2"/>
  <c r="D632" i="1"/>
  <c r="AE632" i="2"/>
  <c r="AD632" i="2"/>
  <c r="AC632" i="2"/>
  <c r="Z632" i="2"/>
  <c r="Y632" i="2"/>
  <c r="R631" i="1"/>
  <c r="AS631" i="2"/>
  <c r="AR631" i="2"/>
  <c r="P631" i="1"/>
  <c r="AQ631" i="2"/>
  <c r="O631" i="1"/>
  <c r="AP631" i="2"/>
  <c r="N631" i="1"/>
  <c r="AO631" i="2"/>
  <c r="M631" i="1"/>
  <c r="AN631" i="2"/>
  <c r="L631" i="1"/>
  <c r="AM631" i="2"/>
  <c r="K631" i="1"/>
  <c r="AL631" i="2"/>
  <c r="AK631" i="2"/>
  <c r="AJ631" i="2"/>
  <c r="H631" i="1"/>
  <c r="AI631" i="2"/>
  <c r="G631" i="1"/>
  <c r="AH631" i="2"/>
  <c r="F631" i="1"/>
  <c r="AG631" i="2"/>
  <c r="E631" i="1"/>
  <c r="AF631" i="2"/>
  <c r="D631" i="1"/>
  <c r="AE631" i="2"/>
  <c r="AD631" i="2"/>
  <c r="AC631" i="2"/>
  <c r="Z631" i="2"/>
  <c r="Y631" i="2"/>
  <c r="R630" i="1"/>
  <c r="AS630" i="2"/>
  <c r="AR630" i="2"/>
  <c r="P630" i="1"/>
  <c r="AQ630" i="2"/>
  <c r="O630" i="1"/>
  <c r="AP630" i="2"/>
  <c r="N630" i="1"/>
  <c r="AO630" i="2"/>
  <c r="M630" i="1"/>
  <c r="AN630" i="2"/>
  <c r="L630" i="1"/>
  <c r="AM630" i="2"/>
  <c r="K630" i="1"/>
  <c r="AL630" i="2"/>
  <c r="AK630" i="2"/>
  <c r="AJ630" i="2"/>
  <c r="H630" i="1"/>
  <c r="AI630" i="2"/>
  <c r="G630" i="1"/>
  <c r="AH630" i="2"/>
  <c r="F630" i="1"/>
  <c r="AG630" i="2"/>
  <c r="E630" i="1"/>
  <c r="AF630" i="2"/>
  <c r="D630" i="1"/>
  <c r="AE630" i="2"/>
  <c r="AD630" i="2"/>
  <c r="AC630" i="2"/>
  <c r="Z630" i="2"/>
  <c r="Y630" i="2"/>
  <c r="R629" i="1"/>
  <c r="AS629" i="2"/>
  <c r="AR629" i="2"/>
  <c r="P629" i="1"/>
  <c r="AQ629" i="2"/>
  <c r="O629" i="1"/>
  <c r="AP629" i="2"/>
  <c r="N629" i="1"/>
  <c r="AO629" i="2"/>
  <c r="M629" i="1"/>
  <c r="AN629" i="2"/>
  <c r="L629" i="1"/>
  <c r="AM629" i="2"/>
  <c r="K629" i="1"/>
  <c r="AL629" i="2"/>
  <c r="AK629" i="2"/>
  <c r="AJ629" i="2"/>
  <c r="H629" i="1"/>
  <c r="AI629" i="2"/>
  <c r="G629" i="1"/>
  <c r="AH629" i="2"/>
  <c r="F629" i="1"/>
  <c r="AG629" i="2"/>
  <c r="E629" i="1"/>
  <c r="AF629" i="2"/>
  <c r="D629" i="1"/>
  <c r="AE629" i="2"/>
  <c r="AD629" i="2"/>
  <c r="AC629" i="2"/>
  <c r="Z629" i="2"/>
  <c r="Y629" i="2"/>
  <c r="R628" i="1"/>
  <c r="AS628" i="2"/>
  <c r="AR628" i="2"/>
  <c r="P628" i="1"/>
  <c r="AQ628" i="2"/>
  <c r="O628" i="1"/>
  <c r="AP628" i="2"/>
  <c r="N628" i="1"/>
  <c r="AO628" i="2"/>
  <c r="M628" i="1"/>
  <c r="AN628" i="2"/>
  <c r="L628" i="1"/>
  <c r="AM628" i="2"/>
  <c r="K628" i="1"/>
  <c r="AL628" i="2"/>
  <c r="AK628" i="2"/>
  <c r="AJ628" i="2"/>
  <c r="H628" i="1"/>
  <c r="AI628" i="2"/>
  <c r="G628" i="1"/>
  <c r="AH628" i="2"/>
  <c r="F628" i="1"/>
  <c r="AG628" i="2"/>
  <c r="E628" i="1"/>
  <c r="AF628" i="2"/>
  <c r="D628" i="1"/>
  <c r="AE628" i="2"/>
  <c r="AD628" i="2"/>
  <c r="AC628" i="2"/>
  <c r="Z628" i="2"/>
  <c r="Y628" i="2"/>
  <c r="R627" i="1"/>
  <c r="AS627" i="2"/>
  <c r="AR627" i="2"/>
  <c r="P627" i="1"/>
  <c r="AQ627" i="2"/>
  <c r="O627" i="1"/>
  <c r="AP627" i="2"/>
  <c r="N627" i="1"/>
  <c r="AO627" i="2"/>
  <c r="M627" i="1"/>
  <c r="AN627" i="2"/>
  <c r="L627" i="1"/>
  <c r="AM627" i="2"/>
  <c r="K627" i="1"/>
  <c r="AL627" i="2"/>
  <c r="AK627" i="2"/>
  <c r="AJ627" i="2"/>
  <c r="H627" i="1"/>
  <c r="AI627" i="2"/>
  <c r="G627" i="1"/>
  <c r="AH627" i="2"/>
  <c r="F627" i="1"/>
  <c r="AG627" i="2"/>
  <c r="E627" i="1"/>
  <c r="AF627" i="2"/>
  <c r="D627" i="1"/>
  <c r="AE627" i="2"/>
  <c r="AD627" i="2"/>
  <c r="AC627" i="2"/>
  <c r="Z627" i="2"/>
  <c r="Y627" i="2"/>
  <c r="R626" i="1"/>
  <c r="AS626" i="2"/>
  <c r="AR626" i="2"/>
  <c r="P626" i="1"/>
  <c r="AQ626" i="2"/>
  <c r="O626" i="1"/>
  <c r="AP626" i="2"/>
  <c r="N626" i="1"/>
  <c r="AO626" i="2"/>
  <c r="M626" i="1"/>
  <c r="AN626" i="2"/>
  <c r="L626" i="1"/>
  <c r="AM626" i="2"/>
  <c r="K626" i="1"/>
  <c r="AL626" i="2"/>
  <c r="AK626" i="2"/>
  <c r="AJ626" i="2"/>
  <c r="H626" i="1"/>
  <c r="AI626" i="2"/>
  <c r="G626" i="1"/>
  <c r="AH626" i="2"/>
  <c r="F626" i="1"/>
  <c r="AG626" i="2"/>
  <c r="E626" i="1"/>
  <c r="AF626" i="2"/>
  <c r="D626" i="1"/>
  <c r="AE626" i="2"/>
  <c r="AD626" i="2"/>
  <c r="AC626" i="2"/>
  <c r="Z626" i="2"/>
  <c r="Y626" i="2"/>
  <c r="R625" i="1"/>
  <c r="AS625" i="2"/>
  <c r="AR625" i="2"/>
  <c r="P625" i="1"/>
  <c r="AQ625" i="2"/>
  <c r="O625" i="1"/>
  <c r="AP625" i="2"/>
  <c r="N625" i="1"/>
  <c r="AO625" i="2"/>
  <c r="M625" i="1"/>
  <c r="AN625" i="2"/>
  <c r="L625" i="1"/>
  <c r="AM625" i="2"/>
  <c r="K625" i="1"/>
  <c r="AL625" i="2"/>
  <c r="AK625" i="2"/>
  <c r="AJ625" i="2"/>
  <c r="H625" i="1"/>
  <c r="AI625" i="2"/>
  <c r="G625" i="1"/>
  <c r="AH625" i="2"/>
  <c r="F625" i="1"/>
  <c r="AG625" i="2"/>
  <c r="E625" i="1"/>
  <c r="AF625" i="2"/>
  <c r="D625" i="1"/>
  <c r="AE625" i="2"/>
  <c r="AD625" i="2"/>
  <c r="AC625" i="2"/>
  <c r="Z625" i="2"/>
  <c r="Y625" i="2"/>
  <c r="R624" i="1"/>
  <c r="AS624" i="2"/>
  <c r="AR624" i="2"/>
  <c r="P624" i="1"/>
  <c r="AQ624" i="2"/>
  <c r="O624" i="1"/>
  <c r="AP624" i="2"/>
  <c r="N624" i="1"/>
  <c r="AO624" i="2"/>
  <c r="M624" i="1"/>
  <c r="AN624" i="2"/>
  <c r="L624" i="1"/>
  <c r="AM624" i="2"/>
  <c r="K624" i="1"/>
  <c r="AL624" i="2"/>
  <c r="AK624" i="2"/>
  <c r="AJ624" i="2"/>
  <c r="H624" i="1"/>
  <c r="AI624" i="2"/>
  <c r="G624" i="1"/>
  <c r="AH624" i="2"/>
  <c r="F624" i="1"/>
  <c r="AG624" i="2"/>
  <c r="E624" i="1"/>
  <c r="AF624" i="2"/>
  <c r="D624" i="1"/>
  <c r="AE624" i="2"/>
  <c r="AD624" i="2"/>
  <c r="AC624" i="2"/>
  <c r="Z624" i="2"/>
  <c r="Y624" i="2"/>
  <c r="R623" i="1"/>
  <c r="AS623" i="2"/>
  <c r="AR623" i="2"/>
  <c r="P623" i="1"/>
  <c r="AQ623" i="2"/>
  <c r="O623" i="1"/>
  <c r="AP623" i="2"/>
  <c r="N623" i="1"/>
  <c r="AO623" i="2"/>
  <c r="M623" i="1"/>
  <c r="AN623" i="2"/>
  <c r="L623" i="1"/>
  <c r="AM623" i="2"/>
  <c r="K623" i="1"/>
  <c r="AL623" i="2"/>
  <c r="AK623" i="2"/>
  <c r="AJ623" i="2"/>
  <c r="H623" i="1"/>
  <c r="AI623" i="2"/>
  <c r="G623" i="1"/>
  <c r="AH623" i="2"/>
  <c r="F623" i="1"/>
  <c r="AG623" i="2"/>
  <c r="E623" i="1"/>
  <c r="AF623" i="2"/>
  <c r="D623" i="1"/>
  <c r="AE623" i="2"/>
  <c r="AD623" i="2"/>
  <c r="AC623" i="2"/>
  <c r="Z623" i="2"/>
  <c r="Y623" i="2"/>
  <c r="R622" i="1"/>
  <c r="AS622" i="2"/>
  <c r="AR622" i="2"/>
  <c r="P622" i="1"/>
  <c r="AQ622" i="2"/>
  <c r="O622" i="1"/>
  <c r="AP622" i="2"/>
  <c r="N622" i="1"/>
  <c r="AO622" i="2"/>
  <c r="M622" i="1"/>
  <c r="AN622" i="2"/>
  <c r="L622" i="1"/>
  <c r="AM622" i="2"/>
  <c r="K622" i="1"/>
  <c r="AL622" i="2"/>
  <c r="AK622" i="2"/>
  <c r="AJ622" i="2"/>
  <c r="H622" i="1"/>
  <c r="AI622" i="2"/>
  <c r="G622" i="1"/>
  <c r="AH622" i="2"/>
  <c r="F622" i="1"/>
  <c r="AG622" i="2"/>
  <c r="E622" i="1"/>
  <c r="AF622" i="2"/>
  <c r="D622" i="1"/>
  <c r="AE622" i="2"/>
  <c r="AD622" i="2"/>
  <c r="AC622" i="2"/>
  <c r="Z622" i="2"/>
  <c r="Y622" i="2"/>
  <c r="R621" i="1"/>
  <c r="AS621" i="2"/>
  <c r="AR621" i="2"/>
  <c r="P621" i="1"/>
  <c r="AQ621" i="2"/>
  <c r="O621" i="1"/>
  <c r="AP621" i="2"/>
  <c r="N621" i="1"/>
  <c r="AO621" i="2"/>
  <c r="M621" i="1"/>
  <c r="AN621" i="2"/>
  <c r="L621" i="1"/>
  <c r="AM621" i="2"/>
  <c r="K621" i="1"/>
  <c r="AL621" i="2"/>
  <c r="AK621" i="2"/>
  <c r="AJ621" i="2"/>
  <c r="H621" i="1"/>
  <c r="AI621" i="2"/>
  <c r="G621" i="1"/>
  <c r="AH621" i="2"/>
  <c r="F621" i="1"/>
  <c r="AG621" i="2"/>
  <c r="E621" i="1"/>
  <c r="AF621" i="2"/>
  <c r="D621" i="1"/>
  <c r="AE621" i="2"/>
  <c r="AD621" i="2"/>
  <c r="AC621" i="2"/>
  <c r="Z621" i="2"/>
  <c r="Y621" i="2"/>
  <c r="R620" i="1"/>
  <c r="AS620" i="2"/>
  <c r="AR620" i="2"/>
  <c r="P620" i="1"/>
  <c r="AQ620" i="2"/>
  <c r="O620" i="1"/>
  <c r="AP620" i="2"/>
  <c r="N620" i="1"/>
  <c r="AO620" i="2"/>
  <c r="M620" i="1"/>
  <c r="AN620" i="2"/>
  <c r="L620" i="1"/>
  <c r="AM620" i="2"/>
  <c r="K620" i="1"/>
  <c r="AL620" i="2"/>
  <c r="AK620" i="2"/>
  <c r="AJ620" i="2"/>
  <c r="H620" i="1"/>
  <c r="AI620" i="2"/>
  <c r="G620" i="1"/>
  <c r="AH620" i="2"/>
  <c r="F620" i="1"/>
  <c r="AG620" i="2"/>
  <c r="E620" i="1"/>
  <c r="AF620" i="2"/>
  <c r="D620" i="1"/>
  <c r="AE620" i="2"/>
  <c r="AD620" i="2"/>
  <c r="AC620" i="2"/>
  <c r="Z620" i="2"/>
  <c r="Y620" i="2"/>
  <c r="R619" i="1"/>
  <c r="AS619" i="2"/>
  <c r="AR619" i="2"/>
  <c r="P619" i="1"/>
  <c r="AQ619" i="2"/>
  <c r="O619" i="1"/>
  <c r="AP619" i="2"/>
  <c r="N619" i="1"/>
  <c r="AO619" i="2"/>
  <c r="M619" i="1"/>
  <c r="AN619" i="2"/>
  <c r="L619" i="1"/>
  <c r="AM619" i="2"/>
  <c r="K619" i="1"/>
  <c r="AL619" i="2"/>
  <c r="AK619" i="2"/>
  <c r="AJ619" i="2"/>
  <c r="H619" i="1"/>
  <c r="AI619" i="2"/>
  <c r="G619" i="1"/>
  <c r="AH619" i="2"/>
  <c r="F619" i="1"/>
  <c r="AG619" i="2"/>
  <c r="E619" i="1"/>
  <c r="AF619" i="2"/>
  <c r="D619" i="1"/>
  <c r="AE619" i="2"/>
  <c r="AD619" i="2"/>
  <c r="AC619" i="2"/>
  <c r="Z619" i="2"/>
  <c r="Y619" i="2"/>
  <c r="R618" i="1"/>
  <c r="AS618" i="2"/>
  <c r="AR618" i="2"/>
  <c r="P618" i="1"/>
  <c r="AQ618" i="2"/>
  <c r="O618" i="1"/>
  <c r="AP618" i="2"/>
  <c r="N618" i="1"/>
  <c r="AO618" i="2"/>
  <c r="M618" i="1"/>
  <c r="AN618" i="2"/>
  <c r="L618" i="1"/>
  <c r="AM618" i="2"/>
  <c r="K618" i="1"/>
  <c r="AL618" i="2"/>
  <c r="AK618" i="2"/>
  <c r="AJ618" i="2"/>
  <c r="H618" i="1"/>
  <c r="AI618" i="2"/>
  <c r="G618" i="1"/>
  <c r="AH618" i="2"/>
  <c r="F618" i="1"/>
  <c r="AG618" i="2"/>
  <c r="E618" i="1"/>
  <c r="AF618" i="2"/>
  <c r="D618" i="1"/>
  <c r="AE618" i="2"/>
  <c r="AD618" i="2"/>
  <c r="AC618" i="2"/>
  <c r="Z618" i="2"/>
  <c r="Y618" i="2"/>
  <c r="R617" i="1"/>
  <c r="AS617" i="2"/>
  <c r="AR617" i="2"/>
  <c r="P617" i="1"/>
  <c r="AQ617" i="2"/>
  <c r="O617" i="1"/>
  <c r="AP617" i="2"/>
  <c r="N617" i="1"/>
  <c r="AO617" i="2"/>
  <c r="M617" i="1"/>
  <c r="AN617" i="2"/>
  <c r="L617" i="1"/>
  <c r="AM617" i="2"/>
  <c r="K617" i="1"/>
  <c r="AL617" i="2"/>
  <c r="AK617" i="2"/>
  <c r="AJ617" i="2"/>
  <c r="H617" i="1"/>
  <c r="AI617" i="2"/>
  <c r="G617" i="1"/>
  <c r="AH617" i="2"/>
  <c r="F617" i="1"/>
  <c r="AG617" i="2"/>
  <c r="E617" i="1"/>
  <c r="AF617" i="2"/>
  <c r="D617" i="1"/>
  <c r="AE617" i="2"/>
  <c r="AD617" i="2"/>
  <c r="AC617" i="2"/>
  <c r="Z617" i="2"/>
  <c r="Y617" i="2"/>
  <c r="R616" i="1"/>
  <c r="AS616" i="2"/>
  <c r="AR616" i="2"/>
  <c r="P616" i="1"/>
  <c r="AQ616" i="2"/>
  <c r="O616" i="1"/>
  <c r="AP616" i="2"/>
  <c r="N616" i="1"/>
  <c r="AO616" i="2"/>
  <c r="M616" i="1"/>
  <c r="AN616" i="2"/>
  <c r="L616" i="1"/>
  <c r="AM616" i="2"/>
  <c r="K616" i="1"/>
  <c r="AL616" i="2"/>
  <c r="AK616" i="2"/>
  <c r="AJ616" i="2"/>
  <c r="H616" i="1"/>
  <c r="AI616" i="2"/>
  <c r="G616" i="1"/>
  <c r="AH616" i="2"/>
  <c r="F616" i="1"/>
  <c r="AG616" i="2"/>
  <c r="E616" i="1"/>
  <c r="AF616" i="2"/>
  <c r="D616" i="1"/>
  <c r="AE616" i="2"/>
  <c r="AD616" i="2"/>
  <c r="AC616" i="2"/>
  <c r="Z616" i="2"/>
  <c r="Y616" i="2"/>
  <c r="R615" i="1"/>
  <c r="AS615" i="2"/>
  <c r="AR615" i="2"/>
  <c r="P615" i="1"/>
  <c r="AQ615" i="2"/>
  <c r="O615" i="1"/>
  <c r="AP615" i="2"/>
  <c r="N615" i="1"/>
  <c r="AO615" i="2"/>
  <c r="M615" i="1"/>
  <c r="AN615" i="2"/>
  <c r="L615" i="1"/>
  <c r="AM615" i="2"/>
  <c r="K615" i="1"/>
  <c r="AL615" i="2"/>
  <c r="AK615" i="2"/>
  <c r="AJ615" i="2"/>
  <c r="H615" i="1"/>
  <c r="AI615" i="2"/>
  <c r="G615" i="1"/>
  <c r="AH615" i="2"/>
  <c r="F615" i="1"/>
  <c r="AG615" i="2"/>
  <c r="E615" i="1"/>
  <c r="AF615" i="2"/>
  <c r="D615" i="1"/>
  <c r="AE615" i="2"/>
  <c r="AD615" i="2"/>
  <c r="AC615" i="2"/>
  <c r="Z615" i="2"/>
  <c r="Y615" i="2"/>
  <c r="R614" i="1"/>
  <c r="AS614" i="2"/>
  <c r="AR614" i="2"/>
  <c r="P614" i="1"/>
  <c r="AQ614" i="2"/>
  <c r="O614" i="1"/>
  <c r="AP614" i="2"/>
  <c r="N614" i="1"/>
  <c r="AO614" i="2"/>
  <c r="M614" i="1"/>
  <c r="AN614" i="2"/>
  <c r="L614" i="1"/>
  <c r="AM614" i="2"/>
  <c r="K614" i="1"/>
  <c r="AL614" i="2"/>
  <c r="AK614" i="2"/>
  <c r="AJ614" i="2"/>
  <c r="H614" i="1"/>
  <c r="AI614" i="2"/>
  <c r="G614" i="1"/>
  <c r="AH614" i="2"/>
  <c r="F614" i="1"/>
  <c r="AG614" i="2"/>
  <c r="E614" i="1"/>
  <c r="AF614" i="2"/>
  <c r="D614" i="1"/>
  <c r="AE614" i="2"/>
  <c r="AD614" i="2"/>
  <c r="AC614" i="2"/>
  <c r="Z614" i="2"/>
  <c r="Y614" i="2"/>
  <c r="R613" i="1"/>
  <c r="AS613" i="2"/>
  <c r="AR613" i="2"/>
  <c r="P613" i="1"/>
  <c r="AQ613" i="2"/>
  <c r="O613" i="1"/>
  <c r="AP613" i="2"/>
  <c r="N613" i="1"/>
  <c r="AO613" i="2"/>
  <c r="M613" i="1"/>
  <c r="AN613" i="2"/>
  <c r="L613" i="1"/>
  <c r="AM613" i="2"/>
  <c r="K613" i="1"/>
  <c r="AL613" i="2"/>
  <c r="AK613" i="2"/>
  <c r="AJ613" i="2"/>
  <c r="H613" i="1"/>
  <c r="AI613" i="2"/>
  <c r="G613" i="1"/>
  <c r="AH613" i="2"/>
  <c r="F613" i="1"/>
  <c r="AG613" i="2"/>
  <c r="E613" i="1"/>
  <c r="AF613" i="2"/>
  <c r="D613" i="1"/>
  <c r="AE613" i="2"/>
  <c r="AD613" i="2"/>
  <c r="AC613" i="2"/>
  <c r="Z613" i="2"/>
  <c r="Y613" i="2"/>
  <c r="R612" i="1"/>
  <c r="AS612" i="2"/>
  <c r="AR612" i="2"/>
  <c r="P612" i="1"/>
  <c r="AQ612" i="2"/>
  <c r="O612" i="1"/>
  <c r="AP612" i="2"/>
  <c r="N612" i="1"/>
  <c r="AO612" i="2"/>
  <c r="M612" i="1"/>
  <c r="AN612" i="2"/>
  <c r="L612" i="1"/>
  <c r="AM612" i="2"/>
  <c r="K612" i="1"/>
  <c r="AL612" i="2"/>
  <c r="AK612" i="2"/>
  <c r="AJ612" i="2"/>
  <c r="H612" i="1"/>
  <c r="AI612" i="2"/>
  <c r="G612" i="1"/>
  <c r="AH612" i="2"/>
  <c r="F612" i="1"/>
  <c r="AG612" i="2"/>
  <c r="E612" i="1"/>
  <c r="AF612" i="2"/>
  <c r="D612" i="1"/>
  <c r="AE612" i="2"/>
  <c r="AD612" i="2"/>
  <c r="AC612" i="2"/>
  <c r="Z612" i="2"/>
  <c r="Y612" i="2"/>
  <c r="R611" i="1"/>
  <c r="AS611" i="2"/>
  <c r="AR611" i="2"/>
  <c r="P611" i="1"/>
  <c r="AQ611" i="2"/>
  <c r="O611" i="1"/>
  <c r="AP611" i="2"/>
  <c r="N611" i="1"/>
  <c r="AO611" i="2"/>
  <c r="M611" i="1"/>
  <c r="AN611" i="2"/>
  <c r="L611" i="1"/>
  <c r="AM611" i="2"/>
  <c r="K611" i="1"/>
  <c r="AL611" i="2"/>
  <c r="AK611" i="2"/>
  <c r="AJ611" i="2"/>
  <c r="H611" i="1"/>
  <c r="AI611" i="2"/>
  <c r="G611" i="1"/>
  <c r="AH611" i="2"/>
  <c r="F611" i="1"/>
  <c r="AG611" i="2"/>
  <c r="E611" i="1"/>
  <c r="AF611" i="2"/>
  <c r="D611" i="1"/>
  <c r="AE611" i="2"/>
  <c r="AD611" i="2"/>
  <c r="AC611" i="2"/>
  <c r="Z611" i="2"/>
  <c r="Y611" i="2"/>
  <c r="R610" i="1"/>
  <c r="AS610" i="2"/>
  <c r="AR610" i="2"/>
  <c r="P610" i="1"/>
  <c r="AQ610" i="2"/>
  <c r="O610" i="1"/>
  <c r="AP610" i="2"/>
  <c r="N610" i="1"/>
  <c r="AO610" i="2"/>
  <c r="M610" i="1"/>
  <c r="AN610" i="2"/>
  <c r="L610" i="1"/>
  <c r="AM610" i="2"/>
  <c r="K610" i="1"/>
  <c r="AL610" i="2"/>
  <c r="AK610" i="2"/>
  <c r="AJ610" i="2"/>
  <c r="H610" i="1"/>
  <c r="AI610" i="2"/>
  <c r="G610" i="1"/>
  <c r="AH610" i="2"/>
  <c r="F610" i="1"/>
  <c r="AG610" i="2"/>
  <c r="E610" i="1"/>
  <c r="AF610" i="2"/>
  <c r="D610" i="1"/>
  <c r="AE610" i="2"/>
  <c r="AD610" i="2"/>
  <c r="AC610" i="2"/>
  <c r="Z610" i="2"/>
  <c r="Y610" i="2"/>
  <c r="R609" i="1"/>
  <c r="AS609" i="2"/>
  <c r="AR609" i="2"/>
  <c r="P609" i="1"/>
  <c r="AQ609" i="2"/>
  <c r="O609" i="1"/>
  <c r="AP609" i="2"/>
  <c r="N609" i="1"/>
  <c r="AO609" i="2"/>
  <c r="M609" i="1"/>
  <c r="AN609" i="2"/>
  <c r="L609" i="1"/>
  <c r="AM609" i="2"/>
  <c r="K609" i="1"/>
  <c r="AL609" i="2"/>
  <c r="AK609" i="2"/>
  <c r="AJ609" i="2"/>
  <c r="H609" i="1"/>
  <c r="AI609" i="2"/>
  <c r="G609" i="1"/>
  <c r="AH609" i="2"/>
  <c r="F609" i="1"/>
  <c r="AG609" i="2"/>
  <c r="E609" i="1"/>
  <c r="AF609" i="2"/>
  <c r="D609" i="1"/>
  <c r="AE609" i="2"/>
  <c r="AD609" i="2"/>
  <c r="AC609" i="2"/>
  <c r="Z609" i="2"/>
  <c r="Y609" i="2"/>
  <c r="R608" i="1"/>
  <c r="AS608" i="2"/>
  <c r="AR608" i="2"/>
  <c r="P608" i="1"/>
  <c r="AQ608" i="2"/>
  <c r="O608" i="1"/>
  <c r="AP608" i="2"/>
  <c r="N608" i="1"/>
  <c r="AO608" i="2"/>
  <c r="M608" i="1"/>
  <c r="AN608" i="2"/>
  <c r="L608" i="1"/>
  <c r="AM608" i="2"/>
  <c r="K608" i="1"/>
  <c r="AL608" i="2"/>
  <c r="AK608" i="2"/>
  <c r="AJ608" i="2"/>
  <c r="H608" i="1"/>
  <c r="AI608" i="2"/>
  <c r="G608" i="1"/>
  <c r="AH608" i="2"/>
  <c r="F608" i="1"/>
  <c r="AG608" i="2"/>
  <c r="E608" i="1"/>
  <c r="AF608" i="2"/>
  <c r="D608" i="1"/>
  <c r="AE608" i="2"/>
  <c r="AD608" i="2"/>
  <c r="AC608" i="2"/>
  <c r="Z608" i="2"/>
  <c r="Y608" i="2"/>
  <c r="R607" i="1"/>
  <c r="AS607" i="2"/>
  <c r="AR607" i="2"/>
  <c r="P607" i="1"/>
  <c r="AQ607" i="2"/>
  <c r="O607" i="1"/>
  <c r="AP607" i="2"/>
  <c r="N607" i="1"/>
  <c r="AO607" i="2"/>
  <c r="M607" i="1"/>
  <c r="AN607" i="2"/>
  <c r="L607" i="1"/>
  <c r="AM607" i="2"/>
  <c r="K607" i="1"/>
  <c r="AL607" i="2"/>
  <c r="AK607" i="2"/>
  <c r="AJ607" i="2"/>
  <c r="H607" i="1"/>
  <c r="AI607" i="2"/>
  <c r="G607" i="1"/>
  <c r="AH607" i="2"/>
  <c r="F607" i="1"/>
  <c r="AG607" i="2"/>
  <c r="E607" i="1"/>
  <c r="AF607" i="2"/>
  <c r="D607" i="1"/>
  <c r="AE607" i="2"/>
  <c r="AD607" i="2"/>
  <c r="AC607" i="2"/>
  <c r="Z607" i="2"/>
  <c r="Y607" i="2"/>
  <c r="R606" i="1"/>
  <c r="AS606" i="2"/>
  <c r="AR606" i="2"/>
  <c r="P606" i="1"/>
  <c r="AQ606" i="2"/>
  <c r="O606" i="1"/>
  <c r="AP606" i="2"/>
  <c r="N606" i="1"/>
  <c r="AO606" i="2"/>
  <c r="M606" i="1"/>
  <c r="AN606" i="2"/>
  <c r="L606" i="1"/>
  <c r="AM606" i="2"/>
  <c r="K606" i="1"/>
  <c r="AL606" i="2"/>
  <c r="AK606" i="2"/>
  <c r="AJ606" i="2"/>
  <c r="H606" i="1"/>
  <c r="AI606" i="2"/>
  <c r="G606" i="1"/>
  <c r="AH606" i="2"/>
  <c r="F606" i="1"/>
  <c r="AG606" i="2"/>
  <c r="E606" i="1"/>
  <c r="AF606" i="2"/>
  <c r="D606" i="1"/>
  <c r="AE606" i="2"/>
  <c r="AD606" i="2"/>
  <c r="AC606" i="2"/>
  <c r="Z606" i="2"/>
  <c r="Y606" i="2"/>
  <c r="R605" i="1"/>
  <c r="AS605" i="2"/>
  <c r="AR605" i="2"/>
  <c r="P605" i="1"/>
  <c r="AQ605" i="2"/>
  <c r="O605" i="1"/>
  <c r="AP605" i="2"/>
  <c r="N605" i="1"/>
  <c r="AO605" i="2"/>
  <c r="M605" i="1"/>
  <c r="AN605" i="2"/>
  <c r="L605" i="1"/>
  <c r="AM605" i="2"/>
  <c r="K605" i="1"/>
  <c r="AL605" i="2"/>
  <c r="AK605" i="2"/>
  <c r="AJ605" i="2"/>
  <c r="H605" i="1"/>
  <c r="AI605" i="2"/>
  <c r="G605" i="1"/>
  <c r="AH605" i="2"/>
  <c r="F605" i="1"/>
  <c r="AG605" i="2"/>
  <c r="E605" i="1"/>
  <c r="AF605" i="2"/>
  <c r="D605" i="1"/>
  <c r="AE605" i="2"/>
  <c r="AD605" i="2"/>
  <c r="AC605" i="2"/>
  <c r="Z605" i="2"/>
  <c r="Y605" i="2"/>
  <c r="R604" i="1"/>
  <c r="AS604" i="2"/>
  <c r="AR604" i="2"/>
  <c r="P604" i="1"/>
  <c r="AQ604" i="2"/>
  <c r="O604" i="1"/>
  <c r="AP604" i="2"/>
  <c r="N604" i="1"/>
  <c r="AO604" i="2"/>
  <c r="M604" i="1"/>
  <c r="AN604" i="2"/>
  <c r="L604" i="1"/>
  <c r="AM604" i="2"/>
  <c r="K604" i="1"/>
  <c r="AL604" i="2"/>
  <c r="AK604" i="2"/>
  <c r="AJ604" i="2"/>
  <c r="H604" i="1"/>
  <c r="AI604" i="2"/>
  <c r="G604" i="1"/>
  <c r="AH604" i="2"/>
  <c r="F604" i="1"/>
  <c r="AG604" i="2"/>
  <c r="E604" i="1"/>
  <c r="AF604" i="2"/>
  <c r="D604" i="1"/>
  <c r="AE604" i="2"/>
  <c r="AD604" i="2"/>
  <c r="AC604" i="2"/>
  <c r="Z604" i="2"/>
  <c r="Y604" i="2"/>
  <c r="R603" i="1"/>
  <c r="AS603" i="2"/>
  <c r="AR603" i="2"/>
  <c r="P603" i="1"/>
  <c r="AQ603" i="2"/>
  <c r="O603" i="1"/>
  <c r="AP603" i="2"/>
  <c r="N603" i="1"/>
  <c r="AO603" i="2"/>
  <c r="M603" i="1"/>
  <c r="AN603" i="2"/>
  <c r="L603" i="1"/>
  <c r="AM603" i="2"/>
  <c r="K603" i="1"/>
  <c r="AL603" i="2"/>
  <c r="AK603" i="2"/>
  <c r="AJ603" i="2"/>
  <c r="H603" i="1"/>
  <c r="AI603" i="2"/>
  <c r="G603" i="1"/>
  <c r="AH603" i="2"/>
  <c r="F603" i="1"/>
  <c r="AG603" i="2"/>
  <c r="E603" i="1"/>
  <c r="AF603" i="2"/>
  <c r="D603" i="1"/>
  <c r="AE603" i="2"/>
  <c r="AD603" i="2"/>
  <c r="AC603" i="2"/>
  <c r="Z603" i="2"/>
  <c r="Y603" i="2"/>
  <c r="R602" i="1"/>
  <c r="AS602" i="2"/>
  <c r="AR602" i="2"/>
  <c r="P602" i="1"/>
  <c r="AQ602" i="2"/>
  <c r="O602" i="1"/>
  <c r="AP602" i="2"/>
  <c r="N602" i="1"/>
  <c r="AO602" i="2"/>
  <c r="M602" i="1"/>
  <c r="AN602" i="2"/>
  <c r="L602" i="1"/>
  <c r="AM602" i="2"/>
  <c r="K602" i="1"/>
  <c r="AL602" i="2"/>
  <c r="AK602" i="2"/>
  <c r="AJ602" i="2"/>
  <c r="H602" i="1"/>
  <c r="AI602" i="2"/>
  <c r="G602" i="1"/>
  <c r="AH602" i="2"/>
  <c r="F602" i="1"/>
  <c r="AG602" i="2"/>
  <c r="E602" i="1"/>
  <c r="AF602" i="2"/>
  <c r="D602" i="1"/>
  <c r="AE602" i="2"/>
  <c r="AD602" i="2"/>
  <c r="AC602" i="2"/>
  <c r="Z602" i="2"/>
  <c r="Y602" i="2"/>
  <c r="R601" i="1"/>
  <c r="AS601" i="2"/>
  <c r="AR601" i="2"/>
  <c r="P601" i="1"/>
  <c r="AQ601" i="2"/>
  <c r="O601" i="1"/>
  <c r="AP601" i="2"/>
  <c r="N601" i="1"/>
  <c r="AO601" i="2"/>
  <c r="M601" i="1"/>
  <c r="AN601" i="2"/>
  <c r="L601" i="1"/>
  <c r="AM601" i="2"/>
  <c r="K601" i="1"/>
  <c r="AL601" i="2"/>
  <c r="AK601" i="2"/>
  <c r="AJ601" i="2"/>
  <c r="H601" i="1"/>
  <c r="AI601" i="2"/>
  <c r="G601" i="1"/>
  <c r="AH601" i="2"/>
  <c r="F601" i="1"/>
  <c r="AG601" i="2"/>
  <c r="E601" i="1"/>
  <c r="AF601" i="2"/>
  <c r="D601" i="1"/>
  <c r="AE601" i="2"/>
  <c r="AD601" i="2"/>
  <c r="AC601" i="2"/>
  <c r="Z601" i="2"/>
  <c r="Y601" i="2"/>
  <c r="R600" i="1"/>
  <c r="AS600" i="2"/>
  <c r="AR600" i="2"/>
  <c r="P600" i="1"/>
  <c r="AQ600" i="2"/>
  <c r="O600" i="1"/>
  <c r="AP600" i="2"/>
  <c r="N600" i="1"/>
  <c r="AO600" i="2"/>
  <c r="M600" i="1"/>
  <c r="AN600" i="2"/>
  <c r="L600" i="1"/>
  <c r="AM600" i="2"/>
  <c r="K600" i="1"/>
  <c r="AL600" i="2"/>
  <c r="AK600" i="2"/>
  <c r="AJ600" i="2"/>
  <c r="H600" i="1"/>
  <c r="AI600" i="2"/>
  <c r="G600" i="1"/>
  <c r="AH600" i="2"/>
  <c r="F600" i="1"/>
  <c r="AG600" i="2"/>
  <c r="E600" i="1"/>
  <c r="AF600" i="2"/>
  <c r="D600" i="1"/>
  <c r="AE600" i="2"/>
  <c r="AD600" i="2"/>
  <c r="AC600" i="2"/>
  <c r="Z600" i="2"/>
  <c r="Y600" i="2"/>
  <c r="R599" i="1"/>
  <c r="AS599" i="2"/>
  <c r="AR599" i="2"/>
  <c r="P599" i="1"/>
  <c r="AQ599" i="2"/>
  <c r="O599" i="1"/>
  <c r="AP599" i="2"/>
  <c r="N599" i="1"/>
  <c r="AO599" i="2"/>
  <c r="M599" i="1"/>
  <c r="AN599" i="2"/>
  <c r="L599" i="1"/>
  <c r="AM599" i="2"/>
  <c r="K599" i="1"/>
  <c r="AL599" i="2"/>
  <c r="AK599" i="2"/>
  <c r="AJ599" i="2"/>
  <c r="H599" i="1"/>
  <c r="AI599" i="2"/>
  <c r="G599" i="1"/>
  <c r="AH599" i="2"/>
  <c r="F599" i="1"/>
  <c r="AG599" i="2"/>
  <c r="E599" i="1"/>
  <c r="AF599" i="2"/>
  <c r="D599" i="1"/>
  <c r="AE599" i="2"/>
  <c r="AD599" i="2"/>
  <c r="AC599" i="2"/>
  <c r="Z599" i="2"/>
  <c r="Y599" i="2"/>
  <c r="R598" i="1"/>
  <c r="AS598" i="2"/>
  <c r="AR598" i="2"/>
  <c r="P598" i="1"/>
  <c r="AQ598" i="2"/>
  <c r="O598" i="1"/>
  <c r="AP598" i="2"/>
  <c r="N598" i="1"/>
  <c r="AO598" i="2"/>
  <c r="M598" i="1"/>
  <c r="AN598" i="2"/>
  <c r="L598" i="1"/>
  <c r="AM598" i="2"/>
  <c r="K598" i="1"/>
  <c r="AL598" i="2"/>
  <c r="AK598" i="2"/>
  <c r="AJ598" i="2"/>
  <c r="H598" i="1"/>
  <c r="AI598" i="2"/>
  <c r="G598" i="1"/>
  <c r="AH598" i="2"/>
  <c r="F598" i="1"/>
  <c r="AG598" i="2"/>
  <c r="E598" i="1"/>
  <c r="AF598" i="2"/>
  <c r="D598" i="1"/>
  <c r="AE598" i="2"/>
  <c r="AD598" i="2"/>
  <c r="AC598" i="2"/>
  <c r="Z598" i="2"/>
  <c r="Y598" i="2"/>
  <c r="R597" i="1"/>
  <c r="AS597" i="2"/>
  <c r="AR597" i="2"/>
  <c r="P597" i="1"/>
  <c r="AQ597" i="2"/>
  <c r="O597" i="1"/>
  <c r="AP597" i="2"/>
  <c r="N597" i="1"/>
  <c r="AO597" i="2"/>
  <c r="M597" i="1"/>
  <c r="AN597" i="2"/>
  <c r="L597" i="1"/>
  <c r="AM597" i="2"/>
  <c r="K597" i="1"/>
  <c r="AL597" i="2"/>
  <c r="AK597" i="2"/>
  <c r="AJ597" i="2"/>
  <c r="H597" i="1"/>
  <c r="AI597" i="2"/>
  <c r="G597" i="1"/>
  <c r="AH597" i="2"/>
  <c r="F597" i="1"/>
  <c r="AG597" i="2"/>
  <c r="E597" i="1"/>
  <c r="AF597" i="2"/>
  <c r="D597" i="1"/>
  <c r="AE597" i="2"/>
  <c r="AD597" i="2"/>
  <c r="AC597" i="2"/>
  <c r="Z597" i="2"/>
  <c r="Y597" i="2"/>
  <c r="R596" i="1"/>
  <c r="AS596" i="2"/>
  <c r="AR596" i="2"/>
  <c r="P596" i="1"/>
  <c r="AQ596" i="2"/>
  <c r="O596" i="1"/>
  <c r="AP596" i="2"/>
  <c r="N596" i="1"/>
  <c r="AO596" i="2"/>
  <c r="M596" i="1"/>
  <c r="AN596" i="2"/>
  <c r="L596" i="1"/>
  <c r="AM596" i="2"/>
  <c r="K596" i="1"/>
  <c r="AL596" i="2"/>
  <c r="AK596" i="2"/>
  <c r="AJ596" i="2"/>
  <c r="H596" i="1"/>
  <c r="AI596" i="2"/>
  <c r="G596" i="1"/>
  <c r="AH596" i="2"/>
  <c r="F596" i="1"/>
  <c r="AG596" i="2"/>
  <c r="E596" i="1"/>
  <c r="AF596" i="2"/>
  <c r="D596" i="1"/>
  <c r="AE596" i="2"/>
  <c r="AD596" i="2"/>
  <c r="AC596" i="2"/>
  <c r="Z596" i="2"/>
  <c r="Y596" i="2"/>
  <c r="R595" i="1"/>
  <c r="AS595" i="2"/>
  <c r="AR595" i="2"/>
  <c r="P595" i="1"/>
  <c r="AQ595" i="2"/>
  <c r="O595" i="1"/>
  <c r="AP595" i="2"/>
  <c r="N595" i="1"/>
  <c r="AO595" i="2"/>
  <c r="M595" i="1"/>
  <c r="AN595" i="2"/>
  <c r="L595" i="1"/>
  <c r="AM595" i="2"/>
  <c r="K595" i="1"/>
  <c r="AL595" i="2"/>
  <c r="AK595" i="2"/>
  <c r="AJ595" i="2"/>
  <c r="H595" i="1"/>
  <c r="AI595" i="2"/>
  <c r="G595" i="1"/>
  <c r="AH595" i="2"/>
  <c r="F595" i="1"/>
  <c r="AG595" i="2"/>
  <c r="E595" i="1"/>
  <c r="AF595" i="2"/>
  <c r="D595" i="1"/>
  <c r="AE595" i="2"/>
  <c r="AD595" i="2"/>
  <c r="AC595" i="2"/>
  <c r="Z595" i="2"/>
  <c r="Y595" i="2"/>
  <c r="R594" i="1"/>
  <c r="AS594" i="2"/>
  <c r="AR594" i="2"/>
  <c r="P594" i="1"/>
  <c r="AQ594" i="2"/>
  <c r="O594" i="1"/>
  <c r="AP594" i="2"/>
  <c r="N594" i="1"/>
  <c r="AO594" i="2"/>
  <c r="M594" i="1"/>
  <c r="AN594" i="2"/>
  <c r="L594" i="1"/>
  <c r="AM594" i="2"/>
  <c r="K594" i="1"/>
  <c r="AL594" i="2"/>
  <c r="AK594" i="2"/>
  <c r="AJ594" i="2"/>
  <c r="H594" i="1"/>
  <c r="AI594" i="2"/>
  <c r="G594" i="1"/>
  <c r="AH594" i="2"/>
  <c r="F594" i="1"/>
  <c r="AG594" i="2"/>
  <c r="E594" i="1"/>
  <c r="AF594" i="2"/>
  <c r="D594" i="1"/>
  <c r="AE594" i="2"/>
  <c r="AD594" i="2"/>
  <c r="AC594" i="2"/>
  <c r="Z594" i="2"/>
  <c r="Y594" i="2"/>
  <c r="R593" i="1"/>
  <c r="AS593" i="2"/>
  <c r="AR593" i="2"/>
  <c r="P593" i="1"/>
  <c r="AQ593" i="2"/>
  <c r="O593" i="1"/>
  <c r="AP593" i="2"/>
  <c r="N593" i="1"/>
  <c r="AO593" i="2"/>
  <c r="M593" i="1"/>
  <c r="AN593" i="2"/>
  <c r="L593" i="1"/>
  <c r="AM593" i="2"/>
  <c r="K593" i="1"/>
  <c r="AL593" i="2"/>
  <c r="AK593" i="2"/>
  <c r="AJ593" i="2"/>
  <c r="H593" i="1"/>
  <c r="AI593" i="2"/>
  <c r="G593" i="1"/>
  <c r="AH593" i="2"/>
  <c r="F593" i="1"/>
  <c r="AG593" i="2"/>
  <c r="E593" i="1"/>
  <c r="AF593" i="2"/>
  <c r="D593" i="1"/>
  <c r="AE593" i="2"/>
  <c r="AD593" i="2"/>
  <c r="AC593" i="2"/>
  <c r="Z593" i="2"/>
  <c r="Y593" i="2"/>
  <c r="R592" i="1"/>
  <c r="AS592" i="2"/>
  <c r="AR592" i="2"/>
  <c r="P592" i="1"/>
  <c r="AQ592" i="2"/>
  <c r="O592" i="1"/>
  <c r="AP592" i="2"/>
  <c r="N592" i="1"/>
  <c r="AO592" i="2"/>
  <c r="M592" i="1"/>
  <c r="AN592" i="2"/>
  <c r="L592" i="1"/>
  <c r="AM592" i="2"/>
  <c r="K592" i="1"/>
  <c r="AL592" i="2"/>
  <c r="AK592" i="2"/>
  <c r="AJ592" i="2"/>
  <c r="H592" i="1"/>
  <c r="AI592" i="2"/>
  <c r="G592" i="1"/>
  <c r="AH592" i="2"/>
  <c r="F592" i="1"/>
  <c r="AG592" i="2"/>
  <c r="E592" i="1"/>
  <c r="AF592" i="2"/>
  <c r="D592" i="1"/>
  <c r="AE592" i="2"/>
  <c r="AD592" i="2"/>
  <c r="AC592" i="2"/>
  <c r="Z592" i="2"/>
  <c r="Y592" i="2"/>
  <c r="R591" i="1"/>
  <c r="AS591" i="2"/>
  <c r="AR591" i="2"/>
  <c r="P591" i="1"/>
  <c r="AQ591" i="2"/>
  <c r="O591" i="1"/>
  <c r="AP591" i="2"/>
  <c r="N591" i="1"/>
  <c r="AO591" i="2"/>
  <c r="M591" i="1"/>
  <c r="AN591" i="2"/>
  <c r="L591" i="1"/>
  <c r="AM591" i="2"/>
  <c r="K591" i="1"/>
  <c r="AL591" i="2"/>
  <c r="AK591" i="2"/>
  <c r="AJ591" i="2"/>
  <c r="H591" i="1"/>
  <c r="AI591" i="2"/>
  <c r="G591" i="1"/>
  <c r="AH591" i="2"/>
  <c r="F591" i="1"/>
  <c r="AG591" i="2"/>
  <c r="E591" i="1"/>
  <c r="AF591" i="2"/>
  <c r="D591" i="1"/>
  <c r="AE591" i="2"/>
  <c r="AD591" i="2"/>
  <c r="AC591" i="2"/>
  <c r="Z591" i="2"/>
  <c r="Y591" i="2"/>
  <c r="R590" i="1"/>
  <c r="AS590" i="2"/>
  <c r="AR590" i="2"/>
  <c r="P590" i="1"/>
  <c r="AQ590" i="2"/>
  <c r="O590" i="1"/>
  <c r="AP590" i="2"/>
  <c r="N590" i="1"/>
  <c r="AO590" i="2"/>
  <c r="M590" i="1"/>
  <c r="AN590" i="2"/>
  <c r="L590" i="1"/>
  <c r="AM590" i="2"/>
  <c r="K590" i="1"/>
  <c r="AL590" i="2"/>
  <c r="AK590" i="2"/>
  <c r="AJ590" i="2"/>
  <c r="H590" i="1"/>
  <c r="AI590" i="2"/>
  <c r="G590" i="1"/>
  <c r="AH590" i="2"/>
  <c r="F590" i="1"/>
  <c r="AG590" i="2"/>
  <c r="E590" i="1"/>
  <c r="AF590" i="2"/>
  <c r="D590" i="1"/>
  <c r="AE590" i="2"/>
  <c r="AD590" i="2"/>
  <c r="AC590" i="2"/>
  <c r="Z590" i="2"/>
  <c r="Y590" i="2"/>
  <c r="R589" i="1"/>
  <c r="AS589" i="2"/>
  <c r="AR589" i="2"/>
  <c r="P589" i="1"/>
  <c r="AQ589" i="2"/>
  <c r="O589" i="1"/>
  <c r="AP589" i="2"/>
  <c r="N589" i="1"/>
  <c r="AO589" i="2"/>
  <c r="M589" i="1"/>
  <c r="AN589" i="2"/>
  <c r="L589" i="1"/>
  <c r="AM589" i="2"/>
  <c r="K589" i="1"/>
  <c r="AL589" i="2"/>
  <c r="AK589" i="2"/>
  <c r="AJ589" i="2"/>
  <c r="H589" i="1"/>
  <c r="AI589" i="2"/>
  <c r="G589" i="1"/>
  <c r="AH589" i="2"/>
  <c r="F589" i="1"/>
  <c r="AG589" i="2"/>
  <c r="E589" i="1"/>
  <c r="AF589" i="2"/>
  <c r="D589" i="1"/>
  <c r="AE589" i="2"/>
  <c r="AD589" i="2"/>
  <c r="AC589" i="2"/>
  <c r="Z589" i="2"/>
  <c r="Y589" i="2"/>
  <c r="R588" i="1"/>
  <c r="AS588" i="2"/>
  <c r="AR588" i="2"/>
  <c r="P588" i="1"/>
  <c r="AQ588" i="2"/>
  <c r="O588" i="1"/>
  <c r="AP588" i="2"/>
  <c r="N588" i="1"/>
  <c r="AO588" i="2"/>
  <c r="M588" i="1"/>
  <c r="AN588" i="2"/>
  <c r="L588" i="1"/>
  <c r="AM588" i="2"/>
  <c r="K588" i="1"/>
  <c r="AL588" i="2"/>
  <c r="AK588" i="2"/>
  <c r="AJ588" i="2"/>
  <c r="H588" i="1"/>
  <c r="AI588" i="2"/>
  <c r="G588" i="1"/>
  <c r="AH588" i="2"/>
  <c r="F588" i="1"/>
  <c r="AG588" i="2"/>
  <c r="E588" i="1"/>
  <c r="AF588" i="2"/>
  <c r="D588" i="1"/>
  <c r="AE588" i="2"/>
  <c r="AD588" i="2"/>
  <c r="AC588" i="2"/>
  <c r="Z588" i="2"/>
  <c r="Y588" i="2"/>
  <c r="R587" i="1"/>
  <c r="AS587" i="2"/>
  <c r="AR587" i="2"/>
  <c r="P587" i="1"/>
  <c r="AQ587" i="2"/>
  <c r="O587" i="1"/>
  <c r="AP587" i="2"/>
  <c r="N587" i="1"/>
  <c r="AO587" i="2"/>
  <c r="M587" i="1"/>
  <c r="AN587" i="2"/>
  <c r="L587" i="1"/>
  <c r="AM587" i="2"/>
  <c r="K587" i="1"/>
  <c r="AL587" i="2"/>
  <c r="AK587" i="2"/>
  <c r="AJ587" i="2"/>
  <c r="H587" i="1"/>
  <c r="AI587" i="2"/>
  <c r="G587" i="1"/>
  <c r="AH587" i="2"/>
  <c r="F587" i="1"/>
  <c r="AG587" i="2"/>
  <c r="E587" i="1"/>
  <c r="AF587" i="2"/>
  <c r="D587" i="1"/>
  <c r="AE587" i="2"/>
  <c r="AD587" i="2"/>
  <c r="AC587" i="2"/>
  <c r="Z587" i="2"/>
  <c r="Y587" i="2"/>
  <c r="R586" i="1"/>
  <c r="AS586" i="2"/>
  <c r="AR586" i="2"/>
  <c r="P586" i="1"/>
  <c r="AQ586" i="2"/>
  <c r="O586" i="1"/>
  <c r="AP586" i="2"/>
  <c r="N586" i="1"/>
  <c r="AO586" i="2"/>
  <c r="M586" i="1"/>
  <c r="AN586" i="2"/>
  <c r="L586" i="1"/>
  <c r="AM586" i="2"/>
  <c r="K586" i="1"/>
  <c r="AL586" i="2"/>
  <c r="AK586" i="2"/>
  <c r="AJ586" i="2"/>
  <c r="H586" i="1"/>
  <c r="AI586" i="2"/>
  <c r="G586" i="1"/>
  <c r="AH586" i="2"/>
  <c r="F586" i="1"/>
  <c r="AG586" i="2"/>
  <c r="E586" i="1"/>
  <c r="AF586" i="2"/>
  <c r="D586" i="1"/>
  <c r="AE586" i="2"/>
  <c r="AD586" i="2"/>
  <c r="AC586" i="2"/>
  <c r="Z586" i="2"/>
  <c r="Y586" i="2"/>
  <c r="R585" i="1"/>
  <c r="AS585" i="2"/>
  <c r="AR585" i="2"/>
  <c r="P585" i="1"/>
  <c r="AQ585" i="2"/>
  <c r="O585" i="1"/>
  <c r="AP585" i="2"/>
  <c r="N585" i="1"/>
  <c r="AO585" i="2"/>
  <c r="M585" i="1"/>
  <c r="AN585" i="2"/>
  <c r="L585" i="1"/>
  <c r="AM585" i="2"/>
  <c r="K585" i="1"/>
  <c r="AL585" i="2"/>
  <c r="AK585" i="2"/>
  <c r="AJ585" i="2"/>
  <c r="H585" i="1"/>
  <c r="AI585" i="2"/>
  <c r="G585" i="1"/>
  <c r="AH585" i="2"/>
  <c r="F585" i="1"/>
  <c r="AG585" i="2"/>
  <c r="E585" i="1"/>
  <c r="AF585" i="2"/>
  <c r="D585" i="1"/>
  <c r="AE585" i="2"/>
  <c r="AD585" i="2"/>
  <c r="AC585" i="2"/>
  <c r="Z585" i="2"/>
  <c r="Y585" i="2"/>
  <c r="R584" i="1"/>
  <c r="AS584" i="2"/>
  <c r="AR584" i="2"/>
  <c r="P584" i="1"/>
  <c r="AQ584" i="2"/>
  <c r="O584" i="1"/>
  <c r="AP584" i="2"/>
  <c r="N584" i="1"/>
  <c r="AO584" i="2"/>
  <c r="M584" i="1"/>
  <c r="AN584" i="2"/>
  <c r="L584" i="1"/>
  <c r="AM584" i="2"/>
  <c r="K584" i="1"/>
  <c r="AL584" i="2"/>
  <c r="AK584" i="2"/>
  <c r="AJ584" i="2"/>
  <c r="H584" i="1"/>
  <c r="AI584" i="2"/>
  <c r="G584" i="1"/>
  <c r="AH584" i="2"/>
  <c r="F584" i="1"/>
  <c r="AG584" i="2"/>
  <c r="E584" i="1"/>
  <c r="AF584" i="2"/>
  <c r="D584" i="1"/>
  <c r="AE584" i="2"/>
  <c r="AD584" i="2"/>
  <c r="AC584" i="2"/>
  <c r="Z584" i="2"/>
  <c r="Y584" i="2"/>
  <c r="R583" i="1"/>
  <c r="AS583" i="2"/>
  <c r="AR583" i="2"/>
  <c r="P583" i="1"/>
  <c r="AQ583" i="2"/>
  <c r="O583" i="1"/>
  <c r="AP583" i="2"/>
  <c r="N583" i="1"/>
  <c r="AO583" i="2"/>
  <c r="M583" i="1"/>
  <c r="AN583" i="2"/>
  <c r="L583" i="1"/>
  <c r="AM583" i="2"/>
  <c r="K583" i="1"/>
  <c r="AL583" i="2"/>
  <c r="AK583" i="2"/>
  <c r="AJ583" i="2"/>
  <c r="H583" i="1"/>
  <c r="AI583" i="2"/>
  <c r="G583" i="1"/>
  <c r="AH583" i="2"/>
  <c r="F583" i="1"/>
  <c r="AG583" i="2"/>
  <c r="E583" i="1"/>
  <c r="AF583" i="2"/>
  <c r="D583" i="1"/>
  <c r="AE583" i="2"/>
  <c r="AD583" i="2"/>
  <c r="AC583" i="2"/>
  <c r="Z583" i="2"/>
  <c r="Y583" i="2"/>
  <c r="R582" i="1"/>
  <c r="AS582" i="2"/>
  <c r="AR582" i="2"/>
  <c r="P582" i="1"/>
  <c r="AQ582" i="2"/>
  <c r="O582" i="1"/>
  <c r="AP582" i="2"/>
  <c r="N582" i="1"/>
  <c r="AO582" i="2"/>
  <c r="M582" i="1"/>
  <c r="AN582" i="2"/>
  <c r="L582" i="1"/>
  <c r="AM582" i="2"/>
  <c r="K582" i="1"/>
  <c r="AL582" i="2"/>
  <c r="AK582" i="2"/>
  <c r="AJ582" i="2"/>
  <c r="H582" i="1"/>
  <c r="AI582" i="2"/>
  <c r="G582" i="1"/>
  <c r="AH582" i="2"/>
  <c r="F582" i="1"/>
  <c r="AG582" i="2"/>
  <c r="E582" i="1"/>
  <c r="AF582" i="2"/>
  <c r="D582" i="1"/>
  <c r="AE582" i="2"/>
  <c r="AD582" i="2"/>
  <c r="AC582" i="2"/>
  <c r="Z582" i="2"/>
  <c r="Y582" i="2"/>
  <c r="R581" i="1"/>
  <c r="AS581" i="2"/>
  <c r="AR581" i="2"/>
  <c r="P581" i="1"/>
  <c r="AQ581" i="2"/>
  <c r="O581" i="1"/>
  <c r="AP581" i="2"/>
  <c r="N581" i="1"/>
  <c r="AO581" i="2"/>
  <c r="M581" i="1"/>
  <c r="AN581" i="2"/>
  <c r="L581" i="1"/>
  <c r="AM581" i="2"/>
  <c r="K581" i="1"/>
  <c r="AL581" i="2"/>
  <c r="AK581" i="2"/>
  <c r="AJ581" i="2"/>
  <c r="H581" i="1"/>
  <c r="AI581" i="2"/>
  <c r="G581" i="1"/>
  <c r="AH581" i="2"/>
  <c r="F581" i="1"/>
  <c r="AG581" i="2"/>
  <c r="E581" i="1"/>
  <c r="AF581" i="2"/>
  <c r="D581" i="1"/>
  <c r="AE581" i="2"/>
  <c r="AD581" i="2"/>
  <c r="AC581" i="2"/>
  <c r="Z581" i="2"/>
  <c r="Y581" i="2"/>
  <c r="R580" i="1"/>
  <c r="AS580" i="2"/>
  <c r="AR580" i="2"/>
  <c r="P580" i="1"/>
  <c r="AQ580" i="2"/>
  <c r="O580" i="1"/>
  <c r="AP580" i="2"/>
  <c r="N580" i="1"/>
  <c r="AO580" i="2"/>
  <c r="M580" i="1"/>
  <c r="AN580" i="2"/>
  <c r="L580" i="1"/>
  <c r="AM580" i="2"/>
  <c r="K580" i="1"/>
  <c r="AL580" i="2"/>
  <c r="AK580" i="2"/>
  <c r="AJ580" i="2"/>
  <c r="H580" i="1"/>
  <c r="AI580" i="2"/>
  <c r="G580" i="1"/>
  <c r="AH580" i="2"/>
  <c r="F580" i="1"/>
  <c r="AG580" i="2"/>
  <c r="E580" i="1"/>
  <c r="AF580" i="2"/>
  <c r="D580" i="1"/>
  <c r="AE580" i="2"/>
  <c r="AD580" i="2"/>
  <c r="AC580" i="2"/>
  <c r="Z580" i="2"/>
  <c r="Y580" i="2"/>
  <c r="R579" i="1"/>
  <c r="AS579" i="2"/>
  <c r="AR579" i="2"/>
  <c r="P579" i="1"/>
  <c r="AQ579" i="2"/>
  <c r="O579" i="1"/>
  <c r="AP579" i="2"/>
  <c r="N579" i="1"/>
  <c r="AO579" i="2"/>
  <c r="M579" i="1"/>
  <c r="AN579" i="2"/>
  <c r="L579" i="1"/>
  <c r="AM579" i="2"/>
  <c r="K579" i="1"/>
  <c r="AL579" i="2"/>
  <c r="AK579" i="2"/>
  <c r="AJ579" i="2"/>
  <c r="H579" i="1"/>
  <c r="AI579" i="2"/>
  <c r="G579" i="1"/>
  <c r="AH579" i="2"/>
  <c r="F579" i="1"/>
  <c r="AG579" i="2"/>
  <c r="E579" i="1"/>
  <c r="AF579" i="2"/>
  <c r="D579" i="1"/>
  <c r="AE579" i="2"/>
  <c r="AD579" i="2"/>
  <c r="AC579" i="2"/>
  <c r="Z579" i="2"/>
  <c r="Y579" i="2"/>
  <c r="R578" i="1"/>
  <c r="AS578" i="2"/>
  <c r="AR578" i="2"/>
  <c r="P578" i="1"/>
  <c r="AQ578" i="2"/>
  <c r="O578" i="1"/>
  <c r="AP578" i="2"/>
  <c r="N578" i="1"/>
  <c r="AO578" i="2"/>
  <c r="M578" i="1"/>
  <c r="AN578" i="2"/>
  <c r="L578" i="1"/>
  <c r="AM578" i="2"/>
  <c r="K578" i="1"/>
  <c r="AL578" i="2"/>
  <c r="AK578" i="2"/>
  <c r="AJ578" i="2"/>
  <c r="H578" i="1"/>
  <c r="AI578" i="2"/>
  <c r="G578" i="1"/>
  <c r="AH578" i="2"/>
  <c r="F578" i="1"/>
  <c r="AG578" i="2"/>
  <c r="E578" i="1"/>
  <c r="AF578" i="2"/>
  <c r="D578" i="1"/>
  <c r="AE578" i="2"/>
  <c r="AD578" i="2"/>
  <c r="AC578" i="2"/>
  <c r="Z578" i="2"/>
  <c r="Y578" i="2"/>
  <c r="R577" i="1"/>
  <c r="AS577" i="2"/>
  <c r="AR577" i="2"/>
  <c r="P577" i="1"/>
  <c r="AQ577" i="2"/>
  <c r="O577" i="1"/>
  <c r="AP577" i="2"/>
  <c r="N577" i="1"/>
  <c r="AO577" i="2"/>
  <c r="M577" i="1"/>
  <c r="AN577" i="2"/>
  <c r="L577" i="1"/>
  <c r="AM577" i="2"/>
  <c r="K577" i="1"/>
  <c r="AL577" i="2"/>
  <c r="AK577" i="2"/>
  <c r="AJ577" i="2"/>
  <c r="H577" i="1"/>
  <c r="AI577" i="2"/>
  <c r="G577" i="1"/>
  <c r="AH577" i="2"/>
  <c r="F577" i="1"/>
  <c r="AG577" i="2"/>
  <c r="E577" i="1"/>
  <c r="AF577" i="2"/>
  <c r="D577" i="1"/>
  <c r="AE577" i="2"/>
  <c r="AD577" i="2"/>
  <c r="AC577" i="2"/>
  <c r="Z577" i="2"/>
  <c r="Y577" i="2"/>
  <c r="R576" i="1"/>
  <c r="AS576" i="2"/>
  <c r="AR576" i="2"/>
  <c r="P576" i="1"/>
  <c r="AQ576" i="2"/>
  <c r="O576" i="1"/>
  <c r="AP576" i="2"/>
  <c r="N576" i="1"/>
  <c r="AO576" i="2"/>
  <c r="M576" i="1"/>
  <c r="AN576" i="2"/>
  <c r="L576" i="1"/>
  <c r="AM576" i="2"/>
  <c r="K576" i="1"/>
  <c r="AL576" i="2"/>
  <c r="AK576" i="2"/>
  <c r="AJ576" i="2"/>
  <c r="H576" i="1"/>
  <c r="AI576" i="2"/>
  <c r="G576" i="1"/>
  <c r="AH576" i="2"/>
  <c r="F576" i="1"/>
  <c r="AG576" i="2"/>
  <c r="E576" i="1"/>
  <c r="AF576" i="2"/>
  <c r="D576" i="1"/>
  <c r="AE576" i="2"/>
  <c r="AD576" i="2"/>
  <c r="AC576" i="2"/>
  <c r="Z576" i="2"/>
  <c r="Y576" i="2"/>
  <c r="R575" i="1"/>
  <c r="AS575" i="2"/>
  <c r="AR575" i="2"/>
  <c r="P575" i="1"/>
  <c r="AQ575" i="2"/>
  <c r="O575" i="1"/>
  <c r="AP575" i="2"/>
  <c r="N575" i="1"/>
  <c r="AO575" i="2"/>
  <c r="M575" i="1"/>
  <c r="AN575" i="2"/>
  <c r="L575" i="1"/>
  <c r="AM575" i="2"/>
  <c r="K575" i="1"/>
  <c r="AL575" i="2"/>
  <c r="AK575" i="2"/>
  <c r="AJ575" i="2"/>
  <c r="H575" i="1"/>
  <c r="AI575" i="2"/>
  <c r="G575" i="1"/>
  <c r="AH575" i="2"/>
  <c r="F575" i="1"/>
  <c r="AG575" i="2"/>
  <c r="E575" i="1"/>
  <c r="AF575" i="2"/>
  <c r="D575" i="1"/>
  <c r="AE575" i="2"/>
  <c r="AD575" i="2"/>
  <c r="AC575" i="2"/>
  <c r="Z575" i="2"/>
  <c r="Y575" i="2"/>
  <c r="R574" i="1"/>
  <c r="AS574" i="2"/>
  <c r="AR574" i="2"/>
  <c r="P574" i="1"/>
  <c r="AQ574" i="2"/>
  <c r="O574" i="1"/>
  <c r="AP574" i="2"/>
  <c r="N574" i="1"/>
  <c r="AO574" i="2"/>
  <c r="M574" i="1"/>
  <c r="AN574" i="2"/>
  <c r="L574" i="1"/>
  <c r="AM574" i="2"/>
  <c r="K574" i="1"/>
  <c r="AL574" i="2"/>
  <c r="AK574" i="2"/>
  <c r="AJ574" i="2"/>
  <c r="H574" i="1"/>
  <c r="AI574" i="2"/>
  <c r="G574" i="1"/>
  <c r="AH574" i="2"/>
  <c r="F574" i="1"/>
  <c r="AG574" i="2"/>
  <c r="E574" i="1"/>
  <c r="AF574" i="2"/>
  <c r="D574" i="1"/>
  <c r="AE574" i="2"/>
  <c r="AD574" i="2"/>
  <c r="AC574" i="2"/>
  <c r="Z574" i="2"/>
  <c r="Y574" i="2"/>
  <c r="R573" i="1"/>
  <c r="AS573" i="2"/>
  <c r="AR573" i="2"/>
  <c r="P573" i="1"/>
  <c r="AQ573" i="2"/>
  <c r="O573" i="1"/>
  <c r="AP573" i="2"/>
  <c r="N573" i="1"/>
  <c r="AO573" i="2"/>
  <c r="M573" i="1"/>
  <c r="AN573" i="2"/>
  <c r="L573" i="1"/>
  <c r="AM573" i="2"/>
  <c r="K573" i="1"/>
  <c r="AL573" i="2"/>
  <c r="AK573" i="2"/>
  <c r="AJ573" i="2"/>
  <c r="H573" i="1"/>
  <c r="AI573" i="2"/>
  <c r="G573" i="1"/>
  <c r="AH573" i="2"/>
  <c r="F573" i="1"/>
  <c r="AG573" i="2"/>
  <c r="E573" i="1"/>
  <c r="AF573" i="2"/>
  <c r="D573" i="1"/>
  <c r="AE573" i="2"/>
  <c r="AD573" i="2"/>
  <c r="AC573" i="2"/>
  <c r="Z573" i="2"/>
  <c r="Y573" i="2"/>
  <c r="R572" i="1"/>
  <c r="AS572" i="2"/>
  <c r="AR572" i="2"/>
  <c r="P572" i="1"/>
  <c r="AQ572" i="2"/>
  <c r="O572" i="1"/>
  <c r="AP572" i="2"/>
  <c r="N572" i="1"/>
  <c r="AO572" i="2"/>
  <c r="M572" i="1"/>
  <c r="AN572" i="2"/>
  <c r="L572" i="1"/>
  <c r="AM572" i="2"/>
  <c r="K572" i="1"/>
  <c r="AL572" i="2"/>
  <c r="AK572" i="2"/>
  <c r="AJ572" i="2"/>
  <c r="H572" i="1"/>
  <c r="AI572" i="2"/>
  <c r="G572" i="1"/>
  <c r="AH572" i="2"/>
  <c r="F572" i="1"/>
  <c r="AG572" i="2"/>
  <c r="E572" i="1"/>
  <c r="AF572" i="2"/>
  <c r="D572" i="1"/>
  <c r="AE572" i="2"/>
  <c r="AD572" i="2"/>
  <c r="AC572" i="2"/>
  <c r="Z572" i="2"/>
  <c r="Y572" i="2"/>
  <c r="R571" i="1"/>
  <c r="AS571" i="2"/>
  <c r="AR571" i="2"/>
  <c r="P571" i="1"/>
  <c r="AQ571" i="2"/>
  <c r="O571" i="1"/>
  <c r="AP571" i="2"/>
  <c r="N571" i="1"/>
  <c r="AO571" i="2"/>
  <c r="M571" i="1"/>
  <c r="AN571" i="2"/>
  <c r="L571" i="1"/>
  <c r="AM571" i="2"/>
  <c r="K571" i="1"/>
  <c r="AL571" i="2"/>
  <c r="AK571" i="2"/>
  <c r="AJ571" i="2"/>
  <c r="H571" i="1"/>
  <c r="AI571" i="2"/>
  <c r="G571" i="1"/>
  <c r="AH571" i="2"/>
  <c r="F571" i="1"/>
  <c r="AG571" i="2"/>
  <c r="E571" i="1"/>
  <c r="AF571" i="2"/>
  <c r="D571" i="1"/>
  <c r="AE571" i="2"/>
  <c r="AD571" i="2"/>
  <c r="AC571" i="2"/>
  <c r="Z571" i="2"/>
  <c r="Y571" i="2"/>
  <c r="R570" i="1"/>
  <c r="AS570" i="2"/>
  <c r="AR570" i="2"/>
  <c r="P570" i="1"/>
  <c r="AQ570" i="2"/>
  <c r="O570" i="1"/>
  <c r="AP570" i="2"/>
  <c r="N570" i="1"/>
  <c r="AO570" i="2"/>
  <c r="M570" i="1"/>
  <c r="AN570" i="2"/>
  <c r="L570" i="1"/>
  <c r="AM570" i="2"/>
  <c r="K570" i="1"/>
  <c r="AL570" i="2"/>
  <c r="AK570" i="2"/>
  <c r="AJ570" i="2"/>
  <c r="H570" i="1"/>
  <c r="AI570" i="2"/>
  <c r="G570" i="1"/>
  <c r="AH570" i="2"/>
  <c r="F570" i="1"/>
  <c r="AG570" i="2"/>
  <c r="E570" i="1"/>
  <c r="AF570" i="2"/>
  <c r="D570" i="1"/>
  <c r="AE570" i="2"/>
  <c r="AD570" i="2"/>
  <c r="AC570" i="2"/>
  <c r="Z570" i="2"/>
  <c r="Y570" i="2"/>
  <c r="R569" i="1"/>
  <c r="AS569" i="2"/>
  <c r="AR569" i="2"/>
  <c r="P569" i="1"/>
  <c r="AQ569" i="2"/>
  <c r="O569" i="1"/>
  <c r="AP569" i="2"/>
  <c r="N569" i="1"/>
  <c r="AO569" i="2"/>
  <c r="M569" i="1"/>
  <c r="AN569" i="2"/>
  <c r="L569" i="1"/>
  <c r="AM569" i="2"/>
  <c r="K569" i="1"/>
  <c r="AL569" i="2"/>
  <c r="AK569" i="2"/>
  <c r="AJ569" i="2"/>
  <c r="H569" i="1"/>
  <c r="AI569" i="2"/>
  <c r="G569" i="1"/>
  <c r="AH569" i="2"/>
  <c r="F569" i="1"/>
  <c r="AG569" i="2"/>
  <c r="E569" i="1"/>
  <c r="AF569" i="2"/>
  <c r="D569" i="1"/>
  <c r="AE569" i="2"/>
  <c r="AD569" i="2"/>
  <c r="AC569" i="2"/>
  <c r="Z569" i="2"/>
  <c r="Y569" i="2"/>
  <c r="R568" i="1"/>
  <c r="AS568" i="2"/>
  <c r="AR568" i="2"/>
  <c r="P568" i="1"/>
  <c r="AQ568" i="2"/>
  <c r="O568" i="1"/>
  <c r="AP568" i="2"/>
  <c r="N568" i="1"/>
  <c r="AO568" i="2"/>
  <c r="M568" i="1"/>
  <c r="AN568" i="2"/>
  <c r="L568" i="1"/>
  <c r="AM568" i="2"/>
  <c r="K568" i="1"/>
  <c r="AL568" i="2"/>
  <c r="AK568" i="2"/>
  <c r="AJ568" i="2"/>
  <c r="H568" i="1"/>
  <c r="AI568" i="2"/>
  <c r="G568" i="1"/>
  <c r="AH568" i="2"/>
  <c r="F568" i="1"/>
  <c r="AG568" i="2"/>
  <c r="E568" i="1"/>
  <c r="AF568" i="2"/>
  <c r="D568" i="1"/>
  <c r="AE568" i="2"/>
  <c r="AD568" i="2"/>
  <c r="AC568" i="2"/>
  <c r="Z568" i="2"/>
  <c r="Y568" i="2"/>
  <c r="R567" i="1"/>
  <c r="AS567" i="2"/>
  <c r="AR567" i="2"/>
  <c r="P567" i="1"/>
  <c r="AQ567" i="2"/>
  <c r="O567" i="1"/>
  <c r="AP567" i="2"/>
  <c r="N567" i="1"/>
  <c r="AO567" i="2"/>
  <c r="M567" i="1"/>
  <c r="AN567" i="2"/>
  <c r="L567" i="1"/>
  <c r="AM567" i="2"/>
  <c r="K567" i="1"/>
  <c r="AL567" i="2"/>
  <c r="AK567" i="2"/>
  <c r="AJ567" i="2"/>
  <c r="H567" i="1"/>
  <c r="AI567" i="2"/>
  <c r="G567" i="1"/>
  <c r="AH567" i="2"/>
  <c r="F567" i="1"/>
  <c r="AG567" i="2"/>
  <c r="E567" i="1"/>
  <c r="AF567" i="2"/>
  <c r="D567" i="1"/>
  <c r="AE567" i="2"/>
  <c r="AD567" i="2"/>
  <c r="AC567" i="2"/>
  <c r="Z567" i="2"/>
  <c r="Y567" i="2"/>
  <c r="R566" i="1"/>
  <c r="AS566" i="2"/>
  <c r="AR566" i="2"/>
  <c r="P566" i="1"/>
  <c r="AQ566" i="2"/>
  <c r="O566" i="1"/>
  <c r="AP566" i="2"/>
  <c r="N566" i="1"/>
  <c r="AO566" i="2"/>
  <c r="M566" i="1"/>
  <c r="AN566" i="2"/>
  <c r="L566" i="1"/>
  <c r="AM566" i="2"/>
  <c r="K566" i="1"/>
  <c r="AL566" i="2"/>
  <c r="AK566" i="2"/>
  <c r="AJ566" i="2"/>
  <c r="H566" i="1"/>
  <c r="AI566" i="2"/>
  <c r="G566" i="1"/>
  <c r="AH566" i="2"/>
  <c r="F566" i="1"/>
  <c r="AG566" i="2"/>
  <c r="E566" i="1"/>
  <c r="AF566" i="2"/>
  <c r="D566" i="1"/>
  <c r="AE566" i="2"/>
  <c r="AD566" i="2"/>
  <c r="AC566" i="2"/>
  <c r="Z566" i="2"/>
  <c r="Y566" i="2"/>
  <c r="R565" i="1"/>
  <c r="AS565" i="2"/>
  <c r="AR565" i="2"/>
  <c r="P565" i="1"/>
  <c r="AQ565" i="2"/>
  <c r="O565" i="1"/>
  <c r="AP565" i="2"/>
  <c r="N565" i="1"/>
  <c r="AO565" i="2"/>
  <c r="M565" i="1"/>
  <c r="AN565" i="2"/>
  <c r="L565" i="1"/>
  <c r="AM565" i="2"/>
  <c r="K565" i="1"/>
  <c r="AL565" i="2"/>
  <c r="AK565" i="2"/>
  <c r="AJ565" i="2"/>
  <c r="H565" i="1"/>
  <c r="AI565" i="2"/>
  <c r="G565" i="1"/>
  <c r="AH565" i="2"/>
  <c r="F565" i="1"/>
  <c r="AG565" i="2"/>
  <c r="E565" i="1"/>
  <c r="AF565" i="2"/>
  <c r="D565" i="1"/>
  <c r="AE565" i="2"/>
  <c r="AD565" i="2"/>
  <c r="AC565" i="2"/>
  <c r="Z565" i="2"/>
  <c r="Y565" i="2"/>
  <c r="R564" i="1"/>
  <c r="AS564" i="2"/>
  <c r="AR564" i="2"/>
  <c r="P564" i="1"/>
  <c r="AQ564" i="2"/>
  <c r="O564" i="1"/>
  <c r="AP564" i="2"/>
  <c r="N564" i="1"/>
  <c r="AO564" i="2"/>
  <c r="M564" i="1"/>
  <c r="AN564" i="2"/>
  <c r="L564" i="1"/>
  <c r="AM564" i="2"/>
  <c r="K564" i="1"/>
  <c r="AL564" i="2"/>
  <c r="AK564" i="2"/>
  <c r="AJ564" i="2"/>
  <c r="H564" i="1"/>
  <c r="AI564" i="2"/>
  <c r="G564" i="1"/>
  <c r="AH564" i="2"/>
  <c r="F564" i="1"/>
  <c r="AG564" i="2"/>
  <c r="E564" i="1"/>
  <c r="AF564" i="2"/>
  <c r="D564" i="1"/>
  <c r="AE564" i="2"/>
  <c r="AD564" i="2"/>
  <c r="AC564" i="2"/>
  <c r="Z564" i="2"/>
  <c r="Y564" i="2"/>
  <c r="R563" i="1"/>
  <c r="AS563" i="2"/>
  <c r="AR563" i="2"/>
  <c r="P563" i="1"/>
  <c r="AQ563" i="2"/>
  <c r="O563" i="1"/>
  <c r="AP563" i="2"/>
  <c r="N563" i="1"/>
  <c r="AO563" i="2"/>
  <c r="M563" i="1"/>
  <c r="AN563" i="2"/>
  <c r="L563" i="1"/>
  <c r="AM563" i="2"/>
  <c r="K563" i="1"/>
  <c r="AL563" i="2"/>
  <c r="AK563" i="2"/>
  <c r="AJ563" i="2"/>
  <c r="H563" i="1"/>
  <c r="AI563" i="2"/>
  <c r="G563" i="1"/>
  <c r="AH563" i="2"/>
  <c r="F563" i="1"/>
  <c r="AG563" i="2"/>
  <c r="E563" i="1"/>
  <c r="AF563" i="2"/>
  <c r="D563" i="1"/>
  <c r="AE563" i="2"/>
  <c r="AD563" i="2"/>
  <c r="AC563" i="2"/>
  <c r="Z563" i="2"/>
  <c r="Y563" i="2"/>
  <c r="R562" i="1"/>
  <c r="AS562" i="2"/>
  <c r="AR562" i="2"/>
  <c r="P562" i="1"/>
  <c r="AQ562" i="2"/>
  <c r="O562" i="1"/>
  <c r="AP562" i="2"/>
  <c r="N562" i="1"/>
  <c r="AO562" i="2"/>
  <c r="M562" i="1"/>
  <c r="AN562" i="2"/>
  <c r="L562" i="1"/>
  <c r="AM562" i="2"/>
  <c r="K562" i="1"/>
  <c r="AL562" i="2"/>
  <c r="AK562" i="2"/>
  <c r="AJ562" i="2"/>
  <c r="H562" i="1"/>
  <c r="AI562" i="2"/>
  <c r="G562" i="1"/>
  <c r="AH562" i="2"/>
  <c r="F562" i="1"/>
  <c r="AG562" i="2"/>
  <c r="E562" i="1"/>
  <c r="AF562" i="2"/>
  <c r="D562" i="1"/>
  <c r="AE562" i="2"/>
  <c r="AD562" i="2"/>
  <c r="AC562" i="2"/>
  <c r="Z562" i="2"/>
  <c r="Y562" i="2"/>
  <c r="R561" i="1"/>
  <c r="AS561" i="2"/>
  <c r="AR561" i="2"/>
  <c r="P561" i="1"/>
  <c r="AQ561" i="2"/>
  <c r="O561" i="1"/>
  <c r="AP561" i="2"/>
  <c r="N561" i="1"/>
  <c r="AO561" i="2"/>
  <c r="M561" i="1"/>
  <c r="AN561" i="2"/>
  <c r="L561" i="1"/>
  <c r="AM561" i="2"/>
  <c r="K561" i="1"/>
  <c r="AL561" i="2"/>
  <c r="AK561" i="2"/>
  <c r="AJ561" i="2"/>
  <c r="H561" i="1"/>
  <c r="AI561" i="2"/>
  <c r="G561" i="1"/>
  <c r="AH561" i="2"/>
  <c r="F561" i="1"/>
  <c r="AG561" i="2"/>
  <c r="E561" i="1"/>
  <c r="AF561" i="2"/>
  <c r="D561" i="1"/>
  <c r="AE561" i="2"/>
  <c r="AD561" i="2"/>
  <c r="AC561" i="2"/>
  <c r="Z561" i="2"/>
  <c r="Y561" i="2"/>
  <c r="R560" i="1"/>
  <c r="AS560" i="2"/>
  <c r="AR560" i="2"/>
  <c r="P560" i="1"/>
  <c r="AQ560" i="2"/>
  <c r="O560" i="1"/>
  <c r="AP560" i="2"/>
  <c r="N560" i="1"/>
  <c r="AO560" i="2"/>
  <c r="M560" i="1"/>
  <c r="AN560" i="2"/>
  <c r="L560" i="1"/>
  <c r="AM560" i="2"/>
  <c r="K560" i="1"/>
  <c r="AL560" i="2"/>
  <c r="AK560" i="2"/>
  <c r="AJ560" i="2"/>
  <c r="H560" i="1"/>
  <c r="AI560" i="2"/>
  <c r="G560" i="1"/>
  <c r="AH560" i="2"/>
  <c r="F560" i="1"/>
  <c r="AG560" i="2"/>
  <c r="E560" i="1"/>
  <c r="AF560" i="2"/>
  <c r="D560" i="1"/>
  <c r="AE560" i="2"/>
  <c r="AD560" i="2"/>
  <c r="AC560" i="2"/>
  <c r="Z560" i="2"/>
  <c r="Y560" i="2"/>
  <c r="R559" i="1"/>
  <c r="AS559" i="2"/>
  <c r="AR559" i="2"/>
  <c r="P559" i="1"/>
  <c r="AQ559" i="2"/>
  <c r="O559" i="1"/>
  <c r="AP559" i="2"/>
  <c r="N559" i="1"/>
  <c r="AO559" i="2"/>
  <c r="M559" i="1"/>
  <c r="AN559" i="2"/>
  <c r="L559" i="1"/>
  <c r="AM559" i="2"/>
  <c r="K559" i="1"/>
  <c r="AL559" i="2"/>
  <c r="AK559" i="2"/>
  <c r="AJ559" i="2"/>
  <c r="H559" i="1"/>
  <c r="AI559" i="2"/>
  <c r="G559" i="1"/>
  <c r="AH559" i="2"/>
  <c r="F559" i="1"/>
  <c r="AG559" i="2"/>
  <c r="E559" i="1"/>
  <c r="AF559" i="2"/>
  <c r="D559" i="1"/>
  <c r="AE559" i="2"/>
  <c r="AD559" i="2"/>
  <c r="AC559" i="2"/>
  <c r="Z559" i="2"/>
  <c r="Y559" i="2"/>
  <c r="R558" i="1"/>
  <c r="AS558" i="2"/>
  <c r="AR558" i="2"/>
  <c r="P558" i="1"/>
  <c r="AQ558" i="2"/>
  <c r="O558" i="1"/>
  <c r="AP558" i="2"/>
  <c r="N558" i="1"/>
  <c r="AO558" i="2"/>
  <c r="M558" i="1"/>
  <c r="AN558" i="2"/>
  <c r="L558" i="1"/>
  <c r="AM558" i="2"/>
  <c r="K558" i="1"/>
  <c r="AL558" i="2"/>
  <c r="AK558" i="2"/>
  <c r="AJ558" i="2"/>
  <c r="H558" i="1"/>
  <c r="AI558" i="2"/>
  <c r="G558" i="1"/>
  <c r="AH558" i="2"/>
  <c r="F558" i="1"/>
  <c r="AG558" i="2"/>
  <c r="E558" i="1"/>
  <c r="AF558" i="2"/>
  <c r="D558" i="1"/>
  <c r="AE558" i="2"/>
  <c r="AD558" i="2"/>
  <c r="AC558" i="2"/>
  <c r="Z558" i="2"/>
  <c r="Y558" i="2"/>
  <c r="R557" i="1"/>
  <c r="AS557" i="2"/>
  <c r="AR557" i="2"/>
  <c r="P557" i="1"/>
  <c r="AQ557" i="2"/>
  <c r="O557" i="1"/>
  <c r="AP557" i="2"/>
  <c r="N557" i="1"/>
  <c r="AO557" i="2"/>
  <c r="M557" i="1"/>
  <c r="AN557" i="2"/>
  <c r="L557" i="1"/>
  <c r="AM557" i="2"/>
  <c r="K557" i="1"/>
  <c r="AL557" i="2"/>
  <c r="AK557" i="2"/>
  <c r="AJ557" i="2"/>
  <c r="H557" i="1"/>
  <c r="AI557" i="2"/>
  <c r="G557" i="1"/>
  <c r="AH557" i="2"/>
  <c r="F557" i="1"/>
  <c r="AG557" i="2"/>
  <c r="E557" i="1"/>
  <c r="AF557" i="2"/>
  <c r="D557" i="1"/>
  <c r="AE557" i="2"/>
  <c r="AD557" i="2"/>
  <c r="AC557" i="2"/>
  <c r="Z557" i="2"/>
  <c r="Y557" i="2"/>
  <c r="R556" i="1"/>
  <c r="AS556" i="2"/>
  <c r="AR556" i="2"/>
  <c r="P556" i="1"/>
  <c r="AQ556" i="2"/>
  <c r="O556" i="1"/>
  <c r="AP556" i="2"/>
  <c r="N556" i="1"/>
  <c r="AO556" i="2"/>
  <c r="M556" i="1"/>
  <c r="AN556" i="2"/>
  <c r="L556" i="1"/>
  <c r="AM556" i="2"/>
  <c r="K556" i="1"/>
  <c r="AL556" i="2"/>
  <c r="AK556" i="2"/>
  <c r="AJ556" i="2"/>
  <c r="H556" i="1"/>
  <c r="AI556" i="2"/>
  <c r="G556" i="1"/>
  <c r="AH556" i="2"/>
  <c r="F556" i="1"/>
  <c r="AG556" i="2"/>
  <c r="E556" i="1"/>
  <c r="AF556" i="2"/>
  <c r="D556" i="1"/>
  <c r="AE556" i="2"/>
  <c r="AD556" i="2"/>
  <c r="AC556" i="2"/>
  <c r="Z556" i="2"/>
  <c r="Y556" i="2"/>
  <c r="R555" i="1"/>
  <c r="AS555" i="2"/>
  <c r="AR555" i="2"/>
  <c r="P555" i="1"/>
  <c r="AQ555" i="2"/>
  <c r="O555" i="1"/>
  <c r="AP555" i="2"/>
  <c r="N555" i="1"/>
  <c r="AO555" i="2"/>
  <c r="M555" i="1"/>
  <c r="AN555" i="2"/>
  <c r="L555" i="1"/>
  <c r="AM555" i="2"/>
  <c r="K555" i="1"/>
  <c r="AL555" i="2"/>
  <c r="AK555" i="2"/>
  <c r="AJ555" i="2"/>
  <c r="H555" i="1"/>
  <c r="AI555" i="2"/>
  <c r="G555" i="1"/>
  <c r="AH555" i="2"/>
  <c r="F555" i="1"/>
  <c r="AG555" i="2"/>
  <c r="E555" i="1"/>
  <c r="AF555" i="2"/>
  <c r="D555" i="1"/>
  <c r="AE555" i="2"/>
  <c r="AD555" i="2"/>
  <c r="AC555" i="2"/>
  <c r="Z555" i="2"/>
  <c r="Y555" i="2"/>
  <c r="R554" i="1"/>
  <c r="AS554" i="2"/>
  <c r="AR554" i="2"/>
  <c r="P554" i="1"/>
  <c r="AQ554" i="2"/>
  <c r="O554" i="1"/>
  <c r="AP554" i="2"/>
  <c r="N554" i="1"/>
  <c r="AO554" i="2"/>
  <c r="M554" i="1"/>
  <c r="AN554" i="2"/>
  <c r="L554" i="1"/>
  <c r="AM554" i="2"/>
  <c r="K554" i="1"/>
  <c r="AL554" i="2"/>
  <c r="AK554" i="2"/>
  <c r="AJ554" i="2"/>
  <c r="H554" i="1"/>
  <c r="AI554" i="2"/>
  <c r="G554" i="1"/>
  <c r="AH554" i="2"/>
  <c r="F554" i="1"/>
  <c r="AG554" i="2"/>
  <c r="E554" i="1"/>
  <c r="AF554" i="2"/>
  <c r="D554" i="1"/>
  <c r="AE554" i="2"/>
  <c r="AD554" i="2"/>
  <c r="AC554" i="2"/>
  <c r="Z554" i="2"/>
  <c r="Y554" i="2"/>
  <c r="R553" i="1"/>
  <c r="AS553" i="2"/>
  <c r="AR553" i="2"/>
  <c r="P553" i="1"/>
  <c r="AQ553" i="2"/>
  <c r="O553" i="1"/>
  <c r="AP553" i="2"/>
  <c r="N553" i="1"/>
  <c r="AO553" i="2"/>
  <c r="M553" i="1"/>
  <c r="AN553" i="2"/>
  <c r="L553" i="1"/>
  <c r="AM553" i="2"/>
  <c r="K553" i="1"/>
  <c r="AL553" i="2"/>
  <c r="AK553" i="2"/>
  <c r="AJ553" i="2"/>
  <c r="H553" i="1"/>
  <c r="AI553" i="2"/>
  <c r="G553" i="1"/>
  <c r="AH553" i="2"/>
  <c r="F553" i="1"/>
  <c r="AG553" i="2"/>
  <c r="E553" i="1"/>
  <c r="AF553" i="2"/>
  <c r="D553" i="1"/>
  <c r="AE553" i="2"/>
  <c r="AD553" i="2"/>
  <c r="AC553" i="2"/>
  <c r="Z553" i="2"/>
  <c r="Y553" i="2"/>
  <c r="R552" i="1"/>
  <c r="AS552" i="2"/>
  <c r="AR552" i="2"/>
  <c r="P552" i="1"/>
  <c r="AQ552" i="2"/>
  <c r="O552" i="1"/>
  <c r="AP552" i="2"/>
  <c r="N552" i="1"/>
  <c r="AO552" i="2"/>
  <c r="M552" i="1"/>
  <c r="AN552" i="2"/>
  <c r="L552" i="1"/>
  <c r="AM552" i="2"/>
  <c r="K552" i="1"/>
  <c r="AL552" i="2"/>
  <c r="AK552" i="2"/>
  <c r="AJ552" i="2"/>
  <c r="H552" i="1"/>
  <c r="AI552" i="2"/>
  <c r="G552" i="1"/>
  <c r="AH552" i="2"/>
  <c r="F552" i="1"/>
  <c r="AG552" i="2"/>
  <c r="E552" i="1"/>
  <c r="AF552" i="2"/>
  <c r="D552" i="1"/>
  <c r="AE552" i="2"/>
  <c r="AD552" i="2"/>
  <c r="AC552" i="2"/>
  <c r="Z552" i="2"/>
  <c r="Y552" i="2"/>
  <c r="R551" i="1"/>
  <c r="AS551" i="2"/>
  <c r="AR551" i="2"/>
  <c r="P551" i="1"/>
  <c r="AQ551" i="2"/>
  <c r="O551" i="1"/>
  <c r="AP551" i="2"/>
  <c r="N551" i="1"/>
  <c r="AO551" i="2"/>
  <c r="M551" i="1"/>
  <c r="AN551" i="2"/>
  <c r="L551" i="1"/>
  <c r="AM551" i="2"/>
  <c r="K551" i="1"/>
  <c r="AL551" i="2"/>
  <c r="AK551" i="2"/>
  <c r="AJ551" i="2"/>
  <c r="H551" i="1"/>
  <c r="AI551" i="2"/>
  <c r="G551" i="1"/>
  <c r="AH551" i="2"/>
  <c r="F551" i="1"/>
  <c r="AG551" i="2"/>
  <c r="E551" i="1"/>
  <c r="AF551" i="2"/>
  <c r="D551" i="1"/>
  <c r="AE551" i="2"/>
  <c r="AD551" i="2"/>
  <c r="AC551" i="2"/>
  <c r="Z551" i="2"/>
  <c r="Y551" i="2"/>
  <c r="R550" i="1"/>
  <c r="AS550" i="2"/>
  <c r="AR550" i="2"/>
  <c r="P550" i="1"/>
  <c r="AQ550" i="2"/>
  <c r="O550" i="1"/>
  <c r="AP550" i="2"/>
  <c r="N550" i="1"/>
  <c r="AO550" i="2"/>
  <c r="M550" i="1"/>
  <c r="AN550" i="2"/>
  <c r="L550" i="1"/>
  <c r="AM550" i="2"/>
  <c r="K550" i="1"/>
  <c r="AL550" i="2"/>
  <c r="AK550" i="2"/>
  <c r="AJ550" i="2"/>
  <c r="H550" i="1"/>
  <c r="AI550" i="2"/>
  <c r="G550" i="1"/>
  <c r="AH550" i="2"/>
  <c r="F550" i="1"/>
  <c r="AG550" i="2"/>
  <c r="E550" i="1"/>
  <c r="AF550" i="2"/>
  <c r="D550" i="1"/>
  <c r="AE550" i="2"/>
  <c r="AD550" i="2"/>
  <c r="AC550" i="2"/>
  <c r="Z550" i="2"/>
  <c r="Y550" i="2"/>
  <c r="R549" i="1"/>
  <c r="AS549" i="2"/>
  <c r="AR549" i="2"/>
  <c r="P549" i="1"/>
  <c r="AQ549" i="2"/>
  <c r="O549" i="1"/>
  <c r="AP549" i="2"/>
  <c r="N549" i="1"/>
  <c r="AO549" i="2"/>
  <c r="M549" i="1"/>
  <c r="AN549" i="2"/>
  <c r="L549" i="1"/>
  <c r="AM549" i="2"/>
  <c r="K549" i="1"/>
  <c r="AL549" i="2"/>
  <c r="AK549" i="2"/>
  <c r="AJ549" i="2"/>
  <c r="H549" i="1"/>
  <c r="AI549" i="2"/>
  <c r="G549" i="1"/>
  <c r="AH549" i="2"/>
  <c r="F549" i="1"/>
  <c r="AG549" i="2"/>
  <c r="E549" i="1"/>
  <c r="AF549" i="2"/>
  <c r="D549" i="1"/>
  <c r="AE549" i="2"/>
  <c r="AD549" i="2"/>
  <c r="AC549" i="2"/>
  <c r="Z549" i="2"/>
  <c r="Y549" i="2"/>
  <c r="R548" i="1"/>
  <c r="AS548" i="2"/>
  <c r="AR548" i="2"/>
  <c r="P548" i="1"/>
  <c r="AQ548" i="2"/>
  <c r="O548" i="1"/>
  <c r="AP548" i="2"/>
  <c r="N548" i="1"/>
  <c r="AO548" i="2"/>
  <c r="M548" i="1"/>
  <c r="AN548" i="2"/>
  <c r="L548" i="1"/>
  <c r="AM548" i="2"/>
  <c r="K548" i="1"/>
  <c r="AL548" i="2"/>
  <c r="AK548" i="2"/>
  <c r="AJ548" i="2"/>
  <c r="H548" i="1"/>
  <c r="AI548" i="2"/>
  <c r="G548" i="1"/>
  <c r="AH548" i="2"/>
  <c r="F548" i="1"/>
  <c r="AG548" i="2"/>
  <c r="E548" i="1"/>
  <c r="AF548" i="2"/>
  <c r="D548" i="1"/>
  <c r="AE548" i="2"/>
  <c r="AD548" i="2"/>
  <c r="AC548" i="2"/>
  <c r="Z548" i="2"/>
  <c r="Y548" i="2"/>
  <c r="R547" i="1"/>
  <c r="AS547" i="2"/>
  <c r="AR547" i="2"/>
  <c r="P547" i="1"/>
  <c r="AQ547" i="2"/>
  <c r="O547" i="1"/>
  <c r="AP547" i="2"/>
  <c r="N547" i="1"/>
  <c r="AO547" i="2"/>
  <c r="M547" i="1"/>
  <c r="AN547" i="2"/>
  <c r="L547" i="1"/>
  <c r="AM547" i="2"/>
  <c r="K547" i="1"/>
  <c r="AL547" i="2"/>
  <c r="AK547" i="2"/>
  <c r="AJ547" i="2"/>
  <c r="H547" i="1"/>
  <c r="AI547" i="2"/>
  <c r="G547" i="1"/>
  <c r="AH547" i="2"/>
  <c r="F547" i="1"/>
  <c r="AG547" i="2"/>
  <c r="E547" i="1"/>
  <c r="AF547" i="2"/>
  <c r="D547" i="1"/>
  <c r="AE547" i="2"/>
  <c r="AD547" i="2"/>
  <c r="AC547" i="2"/>
  <c r="Z547" i="2"/>
  <c r="Y547" i="2"/>
  <c r="R546" i="1"/>
  <c r="AS546" i="2"/>
  <c r="AR546" i="2"/>
  <c r="P546" i="1"/>
  <c r="AQ546" i="2"/>
  <c r="O546" i="1"/>
  <c r="AP546" i="2"/>
  <c r="N546" i="1"/>
  <c r="AO546" i="2"/>
  <c r="M546" i="1"/>
  <c r="AN546" i="2"/>
  <c r="L546" i="1"/>
  <c r="AM546" i="2"/>
  <c r="K546" i="1"/>
  <c r="AL546" i="2"/>
  <c r="AK546" i="2"/>
  <c r="AJ546" i="2"/>
  <c r="H546" i="1"/>
  <c r="AI546" i="2"/>
  <c r="G546" i="1"/>
  <c r="AH546" i="2"/>
  <c r="F546" i="1"/>
  <c r="AG546" i="2"/>
  <c r="E546" i="1"/>
  <c r="AF546" i="2"/>
  <c r="D546" i="1"/>
  <c r="AE546" i="2"/>
  <c r="AD546" i="2"/>
  <c r="AC546" i="2"/>
  <c r="Z546" i="2"/>
  <c r="Y546" i="2"/>
  <c r="R545" i="1"/>
  <c r="AS545" i="2"/>
  <c r="AR545" i="2"/>
  <c r="P545" i="1"/>
  <c r="AQ545" i="2"/>
  <c r="O545" i="1"/>
  <c r="AP545" i="2"/>
  <c r="N545" i="1"/>
  <c r="AO545" i="2"/>
  <c r="M545" i="1"/>
  <c r="AN545" i="2"/>
  <c r="L545" i="1"/>
  <c r="AM545" i="2"/>
  <c r="K545" i="1"/>
  <c r="AL545" i="2"/>
  <c r="AK545" i="2"/>
  <c r="AJ545" i="2"/>
  <c r="H545" i="1"/>
  <c r="AI545" i="2"/>
  <c r="G545" i="1"/>
  <c r="AH545" i="2"/>
  <c r="F545" i="1"/>
  <c r="AG545" i="2"/>
  <c r="E545" i="1"/>
  <c r="AF545" i="2"/>
  <c r="D545" i="1"/>
  <c r="AE545" i="2"/>
  <c r="AD545" i="2"/>
  <c r="AC545" i="2"/>
  <c r="Z545" i="2"/>
  <c r="Y545" i="2"/>
  <c r="R544" i="1"/>
  <c r="AS544" i="2"/>
  <c r="AR544" i="2"/>
  <c r="P544" i="1"/>
  <c r="AQ544" i="2"/>
  <c r="O544" i="1"/>
  <c r="AP544" i="2"/>
  <c r="N544" i="1"/>
  <c r="AO544" i="2"/>
  <c r="M544" i="1"/>
  <c r="AN544" i="2"/>
  <c r="L544" i="1"/>
  <c r="AM544" i="2"/>
  <c r="K544" i="1"/>
  <c r="AL544" i="2"/>
  <c r="AK544" i="2"/>
  <c r="AJ544" i="2"/>
  <c r="H544" i="1"/>
  <c r="AI544" i="2"/>
  <c r="G544" i="1"/>
  <c r="AH544" i="2"/>
  <c r="F544" i="1"/>
  <c r="AG544" i="2"/>
  <c r="E544" i="1"/>
  <c r="AF544" i="2"/>
  <c r="D544" i="1"/>
  <c r="AE544" i="2"/>
  <c r="AD544" i="2"/>
  <c r="AC544" i="2"/>
  <c r="Z544" i="2"/>
  <c r="Y544" i="2"/>
  <c r="R543" i="1"/>
  <c r="AS543" i="2"/>
  <c r="AR543" i="2"/>
  <c r="P543" i="1"/>
  <c r="AQ543" i="2"/>
  <c r="O543" i="1"/>
  <c r="AP543" i="2"/>
  <c r="N543" i="1"/>
  <c r="AO543" i="2"/>
  <c r="M543" i="1"/>
  <c r="AN543" i="2"/>
  <c r="L543" i="1"/>
  <c r="AM543" i="2"/>
  <c r="K543" i="1"/>
  <c r="AL543" i="2"/>
  <c r="AK543" i="2"/>
  <c r="AJ543" i="2"/>
  <c r="H543" i="1"/>
  <c r="AI543" i="2"/>
  <c r="G543" i="1"/>
  <c r="AH543" i="2"/>
  <c r="F543" i="1"/>
  <c r="AG543" i="2"/>
  <c r="E543" i="1"/>
  <c r="AF543" i="2"/>
  <c r="D543" i="1"/>
  <c r="AE543" i="2"/>
  <c r="AD543" i="2"/>
  <c r="AC543" i="2"/>
  <c r="Z543" i="2"/>
  <c r="Y543" i="2"/>
  <c r="R542" i="1"/>
  <c r="AS542" i="2"/>
  <c r="AR542" i="2"/>
  <c r="P542" i="1"/>
  <c r="AQ542" i="2"/>
  <c r="O542" i="1"/>
  <c r="AP542" i="2"/>
  <c r="N542" i="1"/>
  <c r="AO542" i="2"/>
  <c r="M542" i="1"/>
  <c r="AN542" i="2"/>
  <c r="L542" i="1"/>
  <c r="AM542" i="2"/>
  <c r="K542" i="1"/>
  <c r="AL542" i="2"/>
  <c r="AK542" i="2"/>
  <c r="AJ542" i="2"/>
  <c r="H542" i="1"/>
  <c r="AI542" i="2"/>
  <c r="G542" i="1"/>
  <c r="AH542" i="2"/>
  <c r="F542" i="1"/>
  <c r="AG542" i="2"/>
  <c r="E542" i="1"/>
  <c r="AF542" i="2"/>
  <c r="D542" i="1"/>
  <c r="AE542" i="2"/>
  <c r="AD542" i="2"/>
  <c r="AC542" i="2"/>
  <c r="Z542" i="2"/>
  <c r="Y542" i="2"/>
  <c r="R541" i="1"/>
  <c r="AS541" i="2"/>
  <c r="AR541" i="2"/>
  <c r="P541" i="1"/>
  <c r="AQ541" i="2"/>
  <c r="O541" i="1"/>
  <c r="AP541" i="2"/>
  <c r="N541" i="1"/>
  <c r="AO541" i="2"/>
  <c r="M541" i="1"/>
  <c r="AN541" i="2"/>
  <c r="L541" i="1"/>
  <c r="AM541" i="2"/>
  <c r="K541" i="1"/>
  <c r="AL541" i="2"/>
  <c r="AK541" i="2"/>
  <c r="AJ541" i="2"/>
  <c r="H541" i="1"/>
  <c r="AI541" i="2"/>
  <c r="G541" i="1"/>
  <c r="AH541" i="2"/>
  <c r="F541" i="1"/>
  <c r="AG541" i="2"/>
  <c r="E541" i="1"/>
  <c r="AF541" i="2"/>
  <c r="D541" i="1"/>
  <c r="AE541" i="2"/>
  <c r="AD541" i="2"/>
  <c r="AC541" i="2"/>
  <c r="Z541" i="2"/>
  <c r="Y541" i="2"/>
  <c r="R540" i="1"/>
  <c r="AS540" i="2"/>
  <c r="AR540" i="2"/>
  <c r="P540" i="1"/>
  <c r="AQ540" i="2"/>
  <c r="O540" i="1"/>
  <c r="AP540" i="2"/>
  <c r="N540" i="1"/>
  <c r="AO540" i="2"/>
  <c r="M540" i="1"/>
  <c r="AN540" i="2"/>
  <c r="L540" i="1"/>
  <c r="AM540" i="2"/>
  <c r="K540" i="1"/>
  <c r="AL540" i="2"/>
  <c r="AK540" i="2"/>
  <c r="AJ540" i="2"/>
  <c r="H540" i="1"/>
  <c r="AI540" i="2"/>
  <c r="G540" i="1"/>
  <c r="AH540" i="2"/>
  <c r="F540" i="1"/>
  <c r="AG540" i="2"/>
  <c r="E540" i="1"/>
  <c r="AF540" i="2"/>
  <c r="D540" i="1"/>
  <c r="AE540" i="2"/>
  <c r="AD540" i="2"/>
  <c r="AC540" i="2"/>
  <c r="Z540" i="2"/>
  <c r="Y540" i="2"/>
  <c r="R539" i="1"/>
  <c r="AS539" i="2"/>
  <c r="AR539" i="2"/>
  <c r="P539" i="1"/>
  <c r="AQ539" i="2"/>
  <c r="O539" i="1"/>
  <c r="AP539" i="2"/>
  <c r="N539" i="1"/>
  <c r="AO539" i="2"/>
  <c r="M539" i="1"/>
  <c r="AN539" i="2"/>
  <c r="L539" i="1"/>
  <c r="AM539" i="2"/>
  <c r="K539" i="1"/>
  <c r="AL539" i="2"/>
  <c r="AK539" i="2"/>
  <c r="AJ539" i="2"/>
  <c r="H539" i="1"/>
  <c r="AI539" i="2"/>
  <c r="G539" i="1"/>
  <c r="AH539" i="2"/>
  <c r="F539" i="1"/>
  <c r="AG539" i="2"/>
  <c r="E539" i="1"/>
  <c r="AF539" i="2"/>
  <c r="D539" i="1"/>
  <c r="AE539" i="2"/>
  <c r="AD539" i="2"/>
  <c r="AC539" i="2"/>
  <c r="Z539" i="2"/>
  <c r="Y539" i="2"/>
  <c r="R538" i="1"/>
  <c r="AS538" i="2"/>
  <c r="AR538" i="2"/>
  <c r="P538" i="1"/>
  <c r="AQ538" i="2"/>
  <c r="O538" i="1"/>
  <c r="AP538" i="2"/>
  <c r="N538" i="1"/>
  <c r="AO538" i="2"/>
  <c r="M538" i="1"/>
  <c r="AN538" i="2"/>
  <c r="L538" i="1"/>
  <c r="AM538" i="2"/>
  <c r="K538" i="1"/>
  <c r="AL538" i="2"/>
  <c r="AK538" i="2"/>
  <c r="AJ538" i="2"/>
  <c r="H538" i="1"/>
  <c r="AI538" i="2"/>
  <c r="G538" i="1"/>
  <c r="AH538" i="2"/>
  <c r="F538" i="1"/>
  <c r="AG538" i="2"/>
  <c r="E538" i="1"/>
  <c r="AF538" i="2"/>
  <c r="D538" i="1"/>
  <c r="AE538" i="2"/>
  <c r="AD538" i="2"/>
  <c r="AC538" i="2"/>
  <c r="Z538" i="2"/>
  <c r="Y538" i="2"/>
  <c r="R537" i="1"/>
  <c r="AS537" i="2"/>
  <c r="AR537" i="2"/>
  <c r="P537" i="1"/>
  <c r="AQ537" i="2"/>
  <c r="O537" i="1"/>
  <c r="AP537" i="2"/>
  <c r="N537" i="1"/>
  <c r="AO537" i="2"/>
  <c r="M537" i="1"/>
  <c r="AN537" i="2"/>
  <c r="L537" i="1"/>
  <c r="AM537" i="2"/>
  <c r="K537" i="1"/>
  <c r="AL537" i="2"/>
  <c r="AK537" i="2"/>
  <c r="AJ537" i="2"/>
  <c r="H537" i="1"/>
  <c r="AI537" i="2"/>
  <c r="G537" i="1"/>
  <c r="AH537" i="2"/>
  <c r="F537" i="1"/>
  <c r="AG537" i="2"/>
  <c r="E537" i="1"/>
  <c r="AF537" i="2"/>
  <c r="D537" i="1"/>
  <c r="AE537" i="2"/>
  <c r="AD537" i="2"/>
  <c r="AC537" i="2"/>
  <c r="Z537" i="2"/>
  <c r="Y537" i="2"/>
  <c r="R536" i="1"/>
  <c r="AS536" i="2"/>
  <c r="AR536" i="2"/>
  <c r="P536" i="1"/>
  <c r="AQ536" i="2"/>
  <c r="O536" i="1"/>
  <c r="AP536" i="2"/>
  <c r="N536" i="1"/>
  <c r="AO536" i="2"/>
  <c r="M536" i="1"/>
  <c r="AN536" i="2"/>
  <c r="L536" i="1"/>
  <c r="AM536" i="2"/>
  <c r="K536" i="1"/>
  <c r="AL536" i="2"/>
  <c r="AK536" i="2"/>
  <c r="AJ536" i="2"/>
  <c r="H536" i="1"/>
  <c r="AI536" i="2"/>
  <c r="G536" i="1"/>
  <c r="AH536" i="2"/>
  <c r="F536" i="1"/>
  <c r="AG536" i="2"/>
  <c r="E536" i="1"/>
  <c r="AF536" i="2"/>
  <c r="D536" i="1"/>
  <c r="AE536" i="2"/>
  <c r="AD536" i="2"/>
  <c r="AC536" i="2"/>
  <c r="Z536" i="2"/>
  <c r="Y536" i="2"/>
  <c r="R535" i="1"/>
  <c r="AS535" i="2"/>
  <c r="AR535" i="2"/>
  <c r="P535" i="1"/>
  <c r="AQ535" i="2"/>
  <c r="O535" i="1"/>
  <c r="AP535" i="2"/>
  <c r="N535" i="1"/>
  <c r="AO535" i="2"/>
  <c r="M535" i="1"/>
  <c r="AN535" i="2"/>
  <c r="L535" i="1"/>
  <c r="AM535" i="2"/>
  <c r="K535" i="1"/>
  <c r="AL535" i="2"/>
  <c r="AK535" i="2"/>
  <c r="AJ535" i="2"/>
  <c r="H535" i="1"/>
  <c r="AI535" i="2"/>
  <c r="G535" i="1"/>
  <c r="AH535" i="2"/>
  <c r="F535" i="1"/>
  <c r="AG535" i="2"/>
  <c r="E535" i="1"/>
  <c r="AF535" i="2"/>
  <c r="D535" i="1"/>
  <c r="AE535" i="2"/>
  <c r="AD535" i="2"/>
  <c r="AC535" i="2"/>
  <c r="Z535" i="2"/>
  <c r="Y535" i="2"/>
  <c r="R534" i="1"/>
  <c r="AS534" i="2"/>
  <c r="AR534" i="2"/>
  <c r="P534" i="1"/>
  <c r="AQ534" i="2"/>
  <c r="O534" i="1"/>
  <c r="AP534" i="2"/>
  <c r="N534" i="1"/>
  <c r="AO534" i="2"/>
  <c r="M534" i="1"/>
  <c r="AN534" i="2"/>
  <c r="L534" i="1"/>
  <c r="AM534" i="2"/>
  <c r="K534" i="1"/>
  <c r="AL534" i="2"/>
  <c r="AK534" i="2"/>
  <c r="AJ534" i="2"/>
  <c r="H534" i="1"/>
  <c r="AI534" i="2"/>
  <c r="G534" i="1"/>
  <c r="AH534" i="2"/>
  <c r="F534" i="1"/>
  <c r="AG534" i="2"/>
  <c r="E534" i="1"/>
  <c r="AF534" i="2"/>
  <c r="D534" i="1"/>
  <c r="AE534" i="2"/>
  <c r="AD534" i="2"/>
  <c r="AC534" i="2"/>
  <c r="Z534" i="2"/>
  <c r="Y534" i="2"/>
  <c r="R533" i="1"/>
  <c r="AS533" i="2"/>
  <c r="AR533" i="2"/>
  <c r="P533" i="1"/>
  <c r="AQ533" i="2"/>
  <c r="O533" i="1"/>
  <c r="AP533" i="2"/>
  <c r="N533" i="1"/>
  <c r="AO533" i="2"/>
  <c r="M533" i="1"/>
  <c r="AN533" i="2"/>
  <c r="L533" i="1"/>
  <c r="AM533" i="2"/>
  <c r="K533" i="1"/>
  <c r="AL533" i="2"/>
  <c r="AK533" i="2"/>
  <c r="AJ533" i="2"/>
  <c r="H533" i="1"/>
  <c r="AI533" i="2"/>
  <c r="G533" i="1"/>
  <c r="AH533" i="2"/>
  <c r="F533" i="1"/>
  <c r="AG533" i="2"/>
  <c r="E533" i="1"/>
  <c r="AF533" i="2"/>
  <c r="D533" i="1"/>
  <c r="AE533" i="2"/>
  <c r="AD533" i="2"/>
  <c r="AC533" i="2"/>
  <c r="Z533" i="2"/>
  <c r="Y533" i="2"/>
  <c r="R532" i="1"/>
  <c r="AS532" i="2"/>
  <c r="AR532" i="2"/>
  <c r="P532" i="1"/>
  <c r="AQ532" i="2"/>
  <c r="O532" i="1"/>
  <c r="AP532" i="2"/>
  <c r="N532" i="1"/>
  <c r="AO532" i="2"/>
  <c r="M532" i="1"/>
  <c r="AN532" i="2"/>
  <c r="L532" i="1"/>
  <c r="AM532" i="2"/>
  <c r="K532" i="1"/>
  <c r="AL532" i="2"/>
  <c r="AK532" i="2"/>
  <c r="AJ532" i="2"/>
  <c r="H532" i="1"/>
  <c r="AI532" i="2"/>
  <c r="G532" i="1"/>
  <c r="AH532" i="2"/>
  <c r="F532" i="1"/>
  <c r="AG532" i="2"/>
  <c r="E532" i="1"/>
  <c r="AF532" i="2"/>
  <c r="D532" i="1"/>
  <c r="AE532" i="2"/>
  <c r="AD532" i="2"/>
  <c r="AC532" i="2"/>
  <c r="Z532" i="2"/>
  <c r="Y532" i="2"/>
  <c r="R531" i="1"/>
  <c r="AS531" i="2"/>
  <c r="AR531" i="2"/>
  <c r="P531" i="1"/>
  <c r="AQ531" i="2"/>
  <c r="O531" i="1"/>
  <c r="AP531" i="2"/>
  <c r="N531" i="1"/>
  <c r="AO531" i="2"/>
  <c r="M531" i="1"/>
  <c r="AN531" i="2"/>
  <c r="L531" i="1"/>
  <c r="AM531" i="2"/>
  <c r="K531" i="1"/>
  <c r="AL531" i="2"/>
  <c r="AK531" i="2"/>
  <c r="AJ531" i="2"/>
  <c r="H531" i="1"/>
  <c r="AI531" i="2"/>
  <c r="G531" i="1"/>
  <c r="AH531" i="2"/>
  <c r="F531" i="1"/>
  <c r="AG531" i="2"/>
  <c r="E531" i="1"/>
  <c r="AF531" i="2"/>
  <c r="D531" i="1"/>
  <c r="AE531" i="2"/>
  <c r="AD531" i="2"/>
  <c r="AC531" i="2"/>
  <c r="Z531" i="2"/>
  <c r="Y531" i="2"/>
  <c r="R530" i="1"/>
  <c r="AS530" i="2"/>
  <c r="AR530" i="2"/>
  <c r="P530" i="1"/>
  <c r="AQ530" i="2"/>
  <c r="O530" i="1"/>
  <c r="AP530" i="2"/>
  <c r="N530" i="1"/>
  <c r="AO530" i="2"/>
  <c r="M530" i="1"/>
  <c r="AN530" i="2"/>
  <c r="L530" i="1"/>
  <c r="AM530" i="2"/>
  <c r="K530" i="1"/>
  <c r="AL530" i="2"/>
  <c r="AK530" i="2"/>
  <c r="AJ530" i="2"/>
  <c r="H530" i="1"/>
  <c r="AI530" i="2"/>
  <c r="G530" i="1"/>
  <c r="AH530" i="2"/>
  <c r="F530" i="1"/>
  <c r="AG530" i="2"/>
  <c r="E530" i="1"/>
  <c r="AF530" i="2"/>
  <c r="D530" i="1"/>
  <c r="AE530" i="2"/>
  <c r="AD530" i="2"/>
  <c r="AC530" i="2"/>
  <c r="Z530" i="2"/>
  <c r="Y530" i="2"/>
  <c r="R529" i="1"/>
  <c r="AS529" i="2"/>
  <c r="AR529" i="2"/>
  <c r="P529" i="1"/>
  <c r="AQ529" i="2"/>
  <c r="O529" i="1"/>
  <c r="AP529" i="2"/>
  <c r="N529" i="1"/>
  <c r="AO529" i="2"/>
  <c r="M529" i="1"/>
  <c r="AN529" i="2"/>
  <c r="L529" i="1"/>
  <c r="AM529" i="2"/>
  <c r="K529" i="1"/>
  <c r="AL529" i="2"/>
  <c r="AK529" i="2"/>
  <c r="AJ529" i="2"/>
  <c r="H529" i="1"/>
  <c r="AI529" i="2"/>
  <c r="G529" i="1"/>
  <c r="AH529" i="2"/>
  <c r="F529" i="1"/>
  <c r="AG529" i="2"/>
  <c r="E529" i="1"/>
  <c r="AF529" i="2"/>
  <c r="D529" i="1"/>
  <c r="AE529" i="2"/>
  <c r="AD529" i="2"/>
  <c r="AC529" i="2"/>
  <c r="Z529" i="2"/>
  <c r="Y529" i="2"/>
  <c r="R528" i="1"/>
  <c r="AS528" i="2"/>
  <c r="AR528" i="2"/>
  <c r="P528" i="1"/>
  <c r="AQ528" i="2"/>
  <c r="O528" i="1"/>
  <c r="AP528" i="2"/>
  <c r="N528" i="1"/>
  <c r="AO528" i="2"/>
  <c r="M528" i="1"/>
  <c r="AN528" i="2"/>
  <c r="L528" i="1"/>
  <c r="AM528" i="2"/>
  <c r="K528" i="1"/>
  <c r="AL528" i="2"/>
  <c r="AK528" i="2"/>
  <c r="AJ528" i="2"/>
  <c r="H528" i="1"/>
  <c r="AI528" i="2"/>
  <c r="G528" i="1"/>
  <c r="AH528" i="2"/>
  <c r="F528" i="1"/>
  <c r="AG528" i="2"/>
  <c r="E528" i="1"/>
  <c r="AF528" i="2"/>
  <c r="D528" i="1"/>
  <c r="AE528" i="2"/>
  <c r="AD528" i="2"/>
  <c r="AC528" i="2"/>
  <c r="Z528" i="2"/>
  <c r="Y528" i="2"/>
  <c r="R527" i="1"/>
  <c r="AS527" i="2"/>
  <c r="AR527" i="2"/>
  <c r="P527" i="1"/>
  <c r="AQ527" i="2"/>
  <c r="O527" i="1"/>
  <c r="AP527" i="2"/>
  <c r="N527" i="1"/>
  <c r="AO527" i="2"/>
  <c r="M527" i="1"/>
  <c r="AN527" i="2"/>
  <c r="L527" i="1"/>
  <c r="AM527" i="2"/>
  <c r="K527" i="1"/>
  <c r="AL527" i="2"/>
  <c r="AK527" i="2"/>
  <c r="AJ527" i="2"/>
  <c r="H527" i="1"/>
  <c r="AI527" i="2"/>
  <c r="G527" i="1"/>
  <c r="AH527" i="2"/>
  <c r="F527" i="1"/>
  <c r="AG527" i="2"/>
  <c r="E527" i="1"/>
  <c r="AF527" i="2"/>
  <c r="D527" i="1"/>
  <c r="AE527" i="2"/>
  <c r="AD527" i="2"/>
  <c r="AC527" i="2"/>
  <c r="Z527" i="2"/>
  <c r="Y527" i="2"/>
  <c r="R526" i="1"/>
  <c r="AS526" i="2"/>
  <c r="AR526" i="2"/>
  <c r="P526" i="1"/>
  <c r="AQ526" i="2"/>
  <c r="O526" i="1"/>
  <c r="AP526" i="2"/>
  <c r="N526" i="1"/>
  <c r="AO526" i="2"/>
  <c r="M526" i="1"/>
  <c r="AN526" i="2"/>
  <c r="L526" i="1"/>
  <c r="AM526" i="2"/>
  <c r="K526" i="1"/>
  <c r="AL526" i="2"/>
  <c r="AK526" i="2"/>
  <c r="AJ526" i="2"/>
  <c r="H526" i="1"/>
  <c r="AI526" i="2"/>
  <c r="G526" i="1"/>
  <c r="AH526" i="2"/>
  <c r="F526" i="1"/>
  <c r="AG526" i="2"/>
  <c r="E526" i="1"/>
  <c r="AF526" i="2"/>
  <c r="D526" i="1"/>
  <c r="AE526" i="2"/>
  <c r="AD526" i="2"/>
  <c r="AC526" i="2"/>
  <c r="Z526" i="2"/>
  <c r="Y526" i="2"/>
  <c r="R525" i="1"/>
  <c r="AS525" i="2"/>
  <c r="AR525" i="2"/>
  <c r="P525" i="1"/>
  <c r="AQ525" i="2"/>
  <c r="O525" i="1"/>
  <c r="AP525" i="2"/>
  <c r="N525" i="1"/>
  <c r="AO525" i="2"/>
  <c r="M525" i="1"/>
  <c r="AN525" i="2"/>
  <c r="L525" i="1"/>
  <c r="AM525" i="2"/>
  <c r="K525" i="1"/>
  <c r="AL525" i="2"/>
  <c r="AK525" i="2"/>
  <c r="AJ525" i="2"/>
  <c r="H525" i="1"/>
  <c r="AI525" i="2"/>
  <c r="G525" i="1"/>
  <c r="AH525" i="2"/>
  <c r="F525" i="1"/>
  <c r="AG525" i="2"/>
  <c r="E525" i="1"/>
  <c r="AF525" i="2"/>
  <c r="D525" i="1"/>
  <c r="AE525" i="2"/>
  <c r="AD525" i="2"/>
  <c r="AC525" i="2"/>
  <c r="Z525" i="2"/>
  <c r="Y525" i="2"/>
  <c r="R524" i="1"/>
  <c r="AS524" i="2"/>
  <c r="AR524" i="2"/>
  <c r="P524" i="1"/>
  <c r="AQ524" i="2"/>
  <c r="O524" i="1"/>
  <c r="AP524" i="2"/>
  <c r="N524" i="1"/>
  <c r="AO524" i="2"/>
  <c r="M524" i="1"/>
  <c r="AN524" i="2"/>
  <c r="L524" i="1"/>
  <c r="AM524" i="2"/>
  <c r="K524" i="1"/>
  <c r="AL524" i="2"/>
  <c r="AK524" i="2"/>
  <c r="AJ524" i="2"/>
  <c r="H524" i="1"/>
  <c r="AI524" i="2"/>
  <c r="G524" i="1"/>
  <c r="AH524" i="2"/>
  <c r="F524" i="1"/>
  <c r="AG524" i="2"/>
  <c r="E524" i="1"/>
  <c r="AF524" i="2"/>
  <c r="D524" i="1"/>
  <c r="AE524" i="2"/>
  <c r="AD524" i="2"/>
  <c r="AC524" i="2"/>
  <c r="Z524" i="2"/>
  <c r="Y524" i="2"/>
  <c r="R523" i="1"/>
  <c r="AS523" i="2"/>
  <c r="AR523" i="2"/>
  <c r="P523" i="1"/>
  <c r="AQ523" i="2"/>
  <c r="O523" i="1"/>
  <c r="AP523" i="2"/>
  <c r="N523" i="1"/>
  <c r="AO523" i="2"/>
  <c r="M523" i="1"/>
  <c r="AN523" i="2"/>
  <c r="L523" i="1"/>
  <c r="AM523" i="2"/>
  <c r="K523" i="1"/>
  <c r="AL523" i="2"/>
  <c r="AK523" i="2"/>
  <c r="AJ523" i="2"/>
  <c r="H523" i="1"/>
  <c r="AI523" i="2"/>
  <c r="G523" i="1"/>
  <c r="AH523" i="2"/>
  <c r="F523" i="1"/>
  <c r="AG523" i="2"/>
  <c r="E523" i="1"/>
  <c r="AF523" i="2"/>
  <c r="D523" i="1"/>
  <c r="AE523" i="2"/>
  <c r="AD523" i="2"/>
  <c r="AC523" i="2"/>
  <c r="Z523" i="2"/>
  <c r="Y523" i="2"/>
  <c r="R522" i="1"/>
  <c r="AS522" i="2"/>
  <c r="AR522" i="2"/>
  <c r="P522" i="1"/>
  <c r="AQ522" i="2"/>
  <c r="O522" i="1"/>
  <c r="AP522" i="2"/>
  <c r="N522" i="1"/>
  <c r="AO522" i="2"/>
  <c r="M522" i="1"/>
  <c r="AN522" i="2"/>
  <c r="L522" i="1"/>
  <c r="AM522" i="2"/>
  <c r="K522" i="1"/>
  <c r="AL522" i="2"/>
  <c r="AK522" i="2"/>
  <c r="AJ522" i="2"/>
  <c r="H522" i="1"/>
  <c r="AI522" i="2"/>
  <c r="G522" i="1"/>
  <c r="AH522" i="2"/>
  <c r="F522" i="1"/>
  <c r="AG522" i="2"/>
  <c r="E522" i="1"/>
  <c r="AF522" i="2"/>
  <c r="D522" i="1"/>
  <c r="AE522" i="2"/>
  <c r="AD522" i="2"/>
  <c r="AC522" i="2"/>
  <c r="Z522" i="2"/>
  <c r="Y522" i="2"/>
  <c r="R521" i="1"/>
  <c r="AS521" i="2"/>
  <c r="AR521" i="2"/>
  <c r="P521" i="1"/>
  <c r="AQ521" i="2"/>
  <c r="O521" i="1"/>
  <c r="AP521" i="2"/>
  <c r="N521" i="1"/>
  <c r="AO521" i="2"/>
  <c r="M521" i="1"/>
  <c r="AN521" i="2"/>
  <c r="L521" i="1"/>
  <c r="AM521" i="2"/>
  <c r="K521" i="1"/>
  <c r="AL521" i="2"/>
  <c r="AK521" i="2"/>
  <c r="AJ521" i="2"/>
  <c r="H521" i="1"/>
  <c r="AI521" i="2"/>
  <c r="G521" i="1"/>
  <c r="AH521" i="2"/>
  <c r="F521" i="1"/>
  <c r="AG521" i="2"/>
  <c r="E521" i="1"/>
  <c r="AF521" i="2"/>
  <c r="D521" i="1"/>
  <c r="AE521" i="2"/>
  <c r="AD521" i="2"/>
  <c r="AC521" i="2"/>
  <c r="Z521" i="2"/>
  <c r="Y521" i="2"/>
  <c r="R520" i="1"/>
  <c r="AS520" i="2"/>
  <c r="AR520" i="2"/>
  <c r="P520" i="1"/>
  <c r="AQ520" i="2"/>
  <c r="O520" i="1"/>
  <c r="AP520" i="2"/>
  <c r="N520" i="1"/>
  <c r="AO520" i="2"/>
  <c r="M520" i="1"/>
  <c r="AN520" i="2"/>
  <c r="L520" i="1"/>
  <c r="AM520" i="2"/>
  <c r="K520" i="1"/>
  <c r="AL520" i="2"/>
  <c r="AK520" i="2"/>
  <c r="AJ520" i="2"/>
  <c r="H520" i="1"/>
  <c r="AI520" i="2"/>
  <c r="G520" i="1"/>
  <c r="AH520" i="2"/>
  <c r="F520" i="1"/>
  <c r="AG520" i="2"/>
  <c r="E520" i="1"/>
  <c r="AF520" i="2"/>
  <c r="D520" i="1"/>
  <c r="AE520" i="2"/>
  <c r="AD520" i="2"/>
  <c r="AC520" i="2"/>
  <c r="Z520" i="2"/>
  <c r="Y520" i="2"/>
  <c r="R519" i="1"/>
  <c r="AS519" i="2"/>
  <c r="AR519" i="2"/>
  <c r="P519" i="1"/>
  <c r="AQ519" i="2"/>
  <c r="O519" i="1"/>
  <c r="AP519" i="2"/>
  <c r="N519" i="1"/>
  <c r="AO519" i="2"/>
  <c r="M519" i="1"/>
  <c r="AN519" i="2"/>
  <c r="L519" i="1"/>
  <c r="AM519" i="2"/>
  <c r="K519" i="1"/>
  <c r="AL519" i="2"/>
  <c r="AK519" i="2"/>
  <c r="AJ519" i="2"/>
  <c r="H519" i="1"/>
  <c r="AI519" i="2"/>
  <c r="G519" i="1"/>
  <c r="AH519" i="2"/>
  <c r="F519" i="1"/>
  <c r="AG519" i="2"/>
  <c r="E519" i="1"/>
  <c r="AF519" i="2"/>
  <c r="D519" i="1"/>
  <c r="AE519" i="2"/>
  <c r="AD519" i="2"/>
  <c r="AC519" i="2"/>
  <c r="Z519" i="2"/>
  <c r="Y519" i="2"/>
  <c r="R518" i="1"/>
  <c r="AS518" i="2"/>
  <c r="AR518" i="2"/>
  <c r="P518" i="1"/>
  <c r="AQ518" i="2"/>
  <c r="O518" i="1"/>
  <c r="AP518" i="2"/>
  <c r="N518" i="1"/>
  <c r="AO518" i="2"/>
  <c r="M518" i="1"/>
  <c r="AN518" i="2"/>
  <c r="L518" i="1"/>
  <c r="AM518" i="2"/>
  <c r="K518" i="1"/>
  <c r="AL518" i="2"/>
  <c r="AK518" i="2"/>
  <c r="AJ518" i="2"/>
  <c r="H518" i="1"/>
  <c r="AI518" i="2"/>
  <c r="G518" i="1"/>
  <c r="AH518" i="2"/>
  <c r="F518" i="1"/>
  <c r="AG518" i="2"/>
  <c r="E518" i="1"/>
  <c r="AF518" i="2"/>
  <c r="D518" i="1"/>
  <c r="AE518" i="2"/>
  <c r="AD518" i="2"/>
  <c r="AC518" i="2"/>
  <c r="Z518" i="2"/>
  <c r="Y518" i="2"/>
  <c r="R517" i="1"/>
  <c r="AS517" i="2"/>
  <c r="AR517" i="2"/>
  <c r="P517" i="1"/>
  <c r="AQ517" i="2"/>
  <c r="O517" i="1"/>
  <c r="AP517" i="2"/>
  <c r="N517" i="1"/>
  <c r="AO517" i="2"/>
  <c r="M517" i="1"/>
  <c r="AN517" i="2"/>
  <c r="L517" i="1"/>
  <c r="AM517" i="2"/>
  <c r="K517" i="1"/>
  <c r="AL517" i="2"/>
  <c r="AK517" i="2"/>
  <c r="AJ517" i="2"/>
  <c r="H517" i="1"/>
  <c r="AI517" i="2"/>
  <c r="G517" i="1"/>
  <c r="AH517" i="2"/>
  <c r="F517" i="1"/>
  <c r="AG517" i="2"/>
  <c r="E517" i="1"/>
  <c r="AF517" i="2"/>
  <c r="D517" i="1"/>
  <c r="AE517" i="2"/>
  <c r="AD517" i="2"/>
  <c r="AC517" i="2"/>
  <c r="Z517" i="2"/>
  <c r="Y517" i="2"/>
  <c r="R516" i="1"/>
  <c r="AS516" i="2"/>
  <c r="AR516" i="2"/>
  <c r="P516" i="1"/>
  <c r="AQ516" i="2"/>
  <c r="O516" i="1"/>
  <c r="AP516" i="2"/>
  <c r="N516" i="1"/>
  <c r="AO516" i="2"/>
  <c r="M516" i="1"/>
  <c r="AN516" i="2"/>
  <c r="L516" i="1"/>
  <c r="AM516" i="2"/>
  <c r="K516" i="1"/>
  <c r="AL516" i="2"/>
  <c r="AK516" i="2"/>
  <c r="AJ516" i="2"/>
  <c r="H516" i="1"/>
  <c r="AI516" i="2"/>
  <c r="G516" i="1"/>
  <c r="AH516" i="2"/>
  <c r="F516" i="1"/>
  <c r="AG516" i="2"/>
  <c r="E516" i="1"/>
  <c r="AF516" i="2"/>
  <c r="D516" i="1"/>
  <c r="AE516" i="2"/>
  <c r="AD516" i="2"/>
  <c r="AC516" i="2"/>
  <c r="Z516" i="2"/>
  <c r="Y516" i="2"/>
  <c r="R515" i="1"/>
  <c r="AS515" i="2"/>
  <c r="AR515" i="2"/>
  <c r="P515" i="1"/>
  <c r="AQ515" i="2"/>
  <c r="O515" i="1"/>
  <c r="AP515" i="2"/>
  <c r="N515" i="1"/>
  <c r="AO515" i="2"/>
  <c r="M515" i="1"/>
  <c r="AN515" i="2"/>
  <c r="L515" i="1"/>
  <c r="AM515" i="2"/>
  <c r="K515" i="1"/>
  <c r="AL515" i="2"/>
  <c r="AK515" i="2"/>
  <c r="AJ515" i="2"/>
  <c r="H515" i="1"/>
  <c r="AI515" i="2"/>
  <c r="G515" i="1"/>
  <c r="AH515" i="2"/>
  <c r="F515" i="1"/>
  <c r="AG515" i="2"/>
  <c r="E515" i="1"/>
  <c r="AF515" i="2"/>
  <c r="D515" i="1"/>
  <c r="AE515" i="2"/>
  <c r="AD515" i="2"/>
  <c r="AC515" i="2"/>
  <c r="Z515" i="2"/>
  <c r="Y515" i="2"/>
  <c r="R514" i="1"/>
  <c r="AS514" i="2"/>
  <c r="AR514" i="2"/>
  <c r="P514" i="1"/>
  <c r="AQ514" i="2"/>
  <c r="O514" i="1"/>
  <c r="AP514" i="2"/>
  <c r="N514" i="1"/>
  <c r="AO514" i="2"/>
  <c r="M514" i="1"/>
  <c r="AN514" i="2"/>
  <c r="L514" i="1"/>
  <c r="AM514" i="2"/>
  <c r="K514" i="1"/>
  <c r="AL514" i="2"/>
  <c r="AK514" i="2"/>
  <c r="AJ514" i="2"/>
  <c r="H514" i="1"/>
  <c r="AI514" i="2"/>
  <c r="G514" i="1"/>
  <c r="AH514" i="2"/>
  <c r="F514" i="1"/>
  <c r="AG514" i="2"/>
  <c r="E514" i="1"/>
  <c r="AF514" i="2"/>
  <c r="D514" i="1"/>
  <c r="AE514" i="2"/>
  <c r="AD514" i="2"/>
  <c r="AC514" i="2"/>
  <c r="Z514" i="2"/>
  <c r="Y514" i="2"/>
  <c r="R513" i="1"/>
  <c r="AS513" i="2"/>
  <c r="AR513" i="2"/>
  <c r="P513" i="1"/>
  <c r="AQ513" i="2"/>
  <c r="O513" i="1"/>
  <c r="AP513" i="2"/>
  <c r="N513" i="1"/>
  <c r="AO513" i="2"/>
  <c r="M513" i="1"/>
  <c r="AN513" i="2"/>
  <c r="L513" i="1"/>
  <c r="AM513" i="2"/>
  <c r="K513" i="1"/>
  <c r="AL513" i="2"/>
  <c r="AK513" i="2"/>
  <c r="AJ513" i="2"/>
  <c r="H513" i="1"/>
  <c r="AI513" i="2"/>
  <c r="G513" i="1"/>
  <c r="AH513" i="2"/>
  <c r="F513" i="1"/>
  <c r="AG513" i="2"/>
  <c r="E513" i="1"/>
  <c r="AF513" i="2"/>
  <c r="D513" i="1"/>
  <c r="AE513" i="2"/>
  <c r="AD513" i="2"/>
  <c r="AC513" i="2"/>
  <c r="Z513" i="2"/>
  <c r="Y513" i="2"/>
  <c r="R512" i="1"/>
  <c r="AS512" i="2"/>
  <c r="AR512" i="2"/>
  <c r="P512" i="1"/>
  <c r="AQ512" i="2"/>
  <c r="O512" i="1"/>
  <c r="AP512" i="2"/>
  <c r="N512" i="1"/>
  <c r="AO512" i="2"/>
  <c r="M512" i="1"/>
  <c r="AN512" i="2"/>
  <c r="L512" i="1"/>
  <c r="AM512" i="2"/>
  <c r="K512" i="1"/>
  <c r="AL512" i="2"/>
  <c r="AK512" i="2"/>
  <c r="AJ512" i="2"/>
  <c r="H512" i="1"/>
  <c r="AI512" i="2"/>
  <c r="G512" i="1"/>
  <c r="AH512" i="2"/>
  <c r="F512" i="1"/>
  <c r="AG512" i="2"/>
  <c r="E512" i="1"/>
  <c r="AF512" i="2"/>
  <c r="D512" i="1"/>
  <c r="AE512" i="2"/>
  <c r="AD512" i="2"/>
  <c r="AC512" i="2"/>
  <c r="Z512" i="2"/>
  <c r="Y512" i="2"/>
  <c r="R511" i="1"/>
  <c r="AS511" i="2"/>
  <c r="AR511" i="2"/>
  <c r="P511" i="1"/>
  <c r="AQ511" i="2"/>
  <c r="O511" i="1"/>
  <c r="AP511" i="2"/>
  <c r="N511" i="1"/>
  <c r="AO511" i="2"/>
  <c r="M511" i="1"/>
  <c r="AN511" i="2"/>
  <c r="L511" i="1"/>
  <c r="AM511" i="2"/>
  <c r="K511" i="1"/>
  <c r="AL511" i="2"/>
  <c r="AK511" i="2"/>
  <c r="AJ511" i="2"/>
  <c r="H511" i="1"/>
  <c r="AI511" i="2"/>
  <c r="G511" i="1"/>
  <c r="AH511" i="2"/>
  <c r="F511" i="1"/>
  <c r="AG511" i="2"/>
  <c r="E511" i="1"/>
  <c r="AF511" i="2"/>
  <c r="D511" i="1"/>
  <c r="AE511" i="2"/>
  <c r="AD511" i="2"/>
  <c r="AC511" i="2"/>
  <c r="Z511" i="2"/>
  <c r="Y511" i="2"/>
  <c r="R510" i="1"/>
  <c r="AS510" i="2"/>
  <c r="AR510" i="2"/>
  <c r="P510" i="1"/>
  <c r="AQ510" i="2"/>
  <c r="O510" i="1"/>
  <c r="AP510" i="2"/>
  <c r="N510" i="1"/>
  <c r="AO510" i="2"/>
  <c r="M510" i="1"/>
  <c r="AN510" i="2"/>
  <c r="L510" i="1"/>
  <c r="AM510" i="2"/>
  <c r="K510" i="1"/>
  <c r="AL510" i="2"/>
  <c r="AK510" i="2"/>
  <c r="AJ510" i="2"/>
  <c r="H510" i="1"/>
  <c r="AI510" i="2"/>
  <c r="G510" i="1"/>
  <c r="AH510" i="2"/>
  <c r="F510" i="1"/>
  <c r="AG510" i="2"/>
  <c r="E510" i="1"/>
  <c r="AF510" i="2"/>
  <c r="D510" i="1"/>
  <c r="AE510" i="2"/>
  <c r="AD510" i="2"/>
  <c r="AC510" i="2"/>
  <c r="Z510" i="2"/>
  <c r="Y510" i="2"/>
  <c r="R509" i="1"/>
  <c r="AS509" i="2"/>
  <c r="AR509" i="2"/>
  <c r="P509" i="1"/>
  <c r="AQ509" i="2"/>
  <c r="O509" i="1"/>
  <c r="AP509" i="2"/>
  <c r="N509" i="1"/>
  <c r="AO509" i="2"/>
  <c r="M509" i="1"/>
  <c r="AN509" i="2"/>
  <c r="L509" i="1"/>
  <c r="AM509" i="2"/>
  <c r="K509" i="1"/>
  <c r="AL509" i="2"/>
  <c r="AK509" i="2"/>
  <c r="AJ509" i="2"/>
  <c r="H509" i="1"/>
  <c r="AI509" i="2"/>
  <c r="G509" i="1"/>
  <c r="AH509" i="2"/>
  <c r="F509" i="1"/>
  <c r="AG509" i="2"/>
  <c r="E509" i="1"/>
  <c r="AF509" i="2"/>
  <c r="D509" i="1"/>
  <c r="AE509" i="2"/>
  <c r="AD509" i="2"/>
  <c r="AC509" i="2"/>
  <c r="Z509" i="2"/>
  <c r="Y509" i="2"/>
  <c r="R508" i="1"/>
  <c r="AS508" i="2"/>
  <c r="AR508" i="2"/>
  <c r="P508" i="1"/>
  <c r="AQ508" i="2"/>
  <c r="O508" i="1"/>
  <c r="AP508" i="2"/>
  <c r="N508" i="1"/>
  <c r="AO508" i="2"/>
  <c r="M508" i="1"/>
  <c r="AN508" i="2"/>
  <c r="L508" i="1"/>
  <c r="AM508" i="2"/>
  <c r="K508" i="1"/>
  <c r="AL508" i="2"/>
  <c r="AK508" i="2"/>
  <c r="AJ508" i="2"/>
  <c r="H508" i="1"/>
  <c r="AI508" i="2"/>
  <c r="G508" i="1"/>
  <c r="AH508" i="2"/>
  <c r="F508" i="1"/>
  <c r="AG508" i="2"/>
  <c r="E508" i="1"/>
  <c r="AF508" i="2"/>
  <c r="D508" i="1"/>
  <c r="AE508" i="2"/>
  <c r="AD508" i="2"/>
  <c r="AC508" i="2"/>
  <c r="Z508" i="2"/>
  <c r="Y508" i="2"/>
  <c r="R507" i="1"/>
  <c r="AS507" i="2"/>
  <c r="AR507" i="2"/>
  <c r="P507" i="1"/>
  <c r="AQ507" i="2"/>
  <c r="O507" i="1"/>
  <c r="AP507" i="2"/>
  <c r="N507" i="1"/>
  <c r="AO507" i="2"/>
  <c r="M507" i="1"/>
  <c r="AN507" i="2"/>
  <c r="L507" i="1"/>
  <c r="AM507" i="2"/>
  <c r="K507" i="1"/>
  <c r="AL507" i="2"/>
  <c r="AK507" i="2"/>
  <c r="AJ507" i="2"/>
  <c r="H507" i="1"/>
  <c r="AI507" i="2"/>
  <c r="G507" i="1"/>
  <c r="AH507" i="2"/>
  <c r="F507" i="1"/>
  <c r="AG507" i="2"/>
  <c r="E507" i="1"/>
  <c r="AF507" i="2"/>
  <c r="D507" i="1"/>
  <c r="AE507" i="2"/>
  <c r="AD507" i="2"/>
  <c r="AC507" i="2"/>
  <c r="Z507" i="2"/>
  <c r="Y507" i="2"/>
  <c r="R506" i="1"/>
  <c r="AS506" i="2"/>
  <c r="AR506" i="2"/>
  <c r="P506" i="1"/>
  <c r="AQ506" i="2"/>
  <c r="O506" i="1"/>
  <c r="AP506" i="2"/>
  <c r="N506" i="1"/>
  <c r="AO506" i="2"/>
  <c r="M506" i="1"/>
  <c r="AN506" i="2"/>
  <c r="L506" i="1"/>
  <c r="AM506" i="2"/>
  <c r="K506" i="1"/>
  <c r="AL506" i="2"/>
  <c r="AK506" i="2"/>
  <c r="AJ506" i="2"/>
  <c r="H506" i="1"/>
  <c r="AI506" i="2"/>
  <c r="G506" i="1"/>
  <c r="AH506" i="2"/>
  <c r="F506" i="1"/>
  <c r="AG506" i="2"/>
  <c r="E506" i="1"/>
  <c r="AF506" i="2"/>
  <c r="D506" i="1"/>
  <c r="AE506" i="2"/>
  <c r="AD506" i="2"/>
  <c r="AC506" i="2"/>
  <c r="Z506" i="2"/>
  <c r="Y506" i="2"/>
  <c r="R505" i="1"/>
  <c r="AS505" i="2"/>
  <c r="AR505" i="2"/>
  <c r="P505" i="1"/>
  <c r="AQ505" i="2"/>
  <c r="O505" i="1"/>
  <c r="AP505" i="2"/>
  <c r="N505" i="1"/>
  <c r="AO505" i="2"/>
  <c r="M505" i="1"/>
  <c r="AN505" i="2"/>
  <c r="L505" i="1"/>
  <c r="AM505" i="2"/>
  <c r="K505" i="1"/>
  <c r="AL505" i="2"/>
  <c r="AK505" i="2"/>
  <c r="AJ505" i="2"/>
  <c r="H505" i="1"/>
  <c r="AI505" i="2"/>
  <c r="G505" i="1"/>
  <c r="AH505" i="2"/>
  <c r="F505" i="1"/>
  <c r="AG505" i="2"/>
  <c r="E505" i="1"/>
  <c r="AF505" i="2"/>
  <c r="D505" i="1"/>
  <c r="AE505" i="2"/>
  <c r="AD505" i="2"/>
  <c r="AC505" i="2"/>
  <c r="Z505" i="2"/>
  <c r="Y505" i="2"/>
  <c r="R504" i="1"/>
  <c r="AS504" i="2"/>
  <c r="AR504" i="2"/>
  <c r="P504" i="1"/>
  <c r="AQ504" i="2"/>
  <c r="O504" i="1"/>
  <c r="AP504" i="2"/>
  <c r="N504" i="1"/>
  <c r="AO504" i="2"/>
  <c r="M504" i="1"/>
  <c r="AN504" i="2"/>
  <c r="L504" i="1"/>
  <c r="AM504" i="2"/>
  <c r="K504" i="1"/>
  <c r="AL504" i="2"/>
  <c r="AK504" i="2"/>
  <c r="AJ504" i="2"/>
  <c r="H504" i="1"/>
  <c r="AI504" i="2"/>
  <c r="G504" i="1"/>
  <c r="AH504" i="2"/>
  <c r="F504" i="1"/>
  <c r="AG504" i="2"/>
  <c r="E504" i="1"/>
  <c r="AF504" i="2"/>
  <c r="D504" i="1"/>
  <c r="AE504" i="2"/>
  <c r="AD504" i="2"/>
  <c r="AC504" i="2"/>
  <c r="Z504" i="2"/>
  <c r="Y504" i="2"/>
  <c r="R503" i="1"/>
  <c r="AS503" i="2"/>
  <c r="AR503" i="2"/>
  <c r="P503" i="1"/>
  <c r="AQ503" i="2"/>
  <c r="O503" i="1"/>
  <c r="AP503" i="2"/>
  <c r="N503" i="1"/>
  <c r="AO503" i="2"/>
  <c r="M503" i="1"/>
  <c r="AN503" i="2"/>
  <c r="L503" i="1"/>
  <c r="AM503" i="2"/>
  <c r="K503" i="1"/>
  <c r="AL503" i="2"/>
  <c r="AK503" i="2"/>
  <c r="AJ503" i="2"/>
  <c r="H503" i="1"/>
  <c r="AI503" i="2"/>
  <c r="G503" i="1"/>
  <c r="AH503" i="2"/>
  <c r="F503" i="1"/>
  <c r="AG503" i="2"/>
  <c r="E503" i="1"/>
  <c r="AF503" i="2"/>
  <c r="D503" i="1"/>
  <c r="AE503" i="2"/>
  <c r="AD503" i="2"/>
  <c r="AC503" i="2"/>
  <c r="Z503" i="2"/>
  <c r="Y503" i="2"/>
  <c r="R502" i="1"/>
  <c r="AS502" i="2"/>
  <c r="AR502" i="2"/>
  <c r="P502" i="1"/>
  <c r="AQ502" i="2"/>
  <c r="O502" i="1"/>
  <c r="AP502" i="2"/>
  <c r="N502" i="1"/>
  <c r="AO502" i="2"/>
  <c r="M502" i="1"/>
  <c r="AN502" i="2"/>
  <c r="L502" i="1"/>
  <c r="AM502" i="2"/>
  <c r="K502" i="1"/>
  <c r="AL502" i="2"/>
  <c r="AK502" i="2"/>
  <c r="AJ502" i="2"/>
  <c r="H502" i="1"/>
  <c r="AI502" i="2"/>
  <c r="G502" i="1"/>
  <c r="AH502" i="2"/>
  <c r="F502" i="1"/>
  <c r="AG502" i="2"/>
  <c r="E502" i="1"/>
  <c r="AF502" i="2"/>
  <c r="D502" i="1"/>
  <c r="AE502" i="2"/>
  <c r="AD502" i="2"/>
  <c r="AC502" i="2"/>
  <c r="Z502" i="2"/>
  <c r="Y502" i="2"/>
  <c r="R501" i="1"/>
  <c r="AS501" i="2"/>
  <c r="AR501" i="2"/>
  <c r="P501" i="1"/>
  <c r="AQ501" i="2"/>
  <c r="O501" i="1"/>
  <c r="AP501" i="2"/>
  <c r="N501" i="1"/>
  <c r="AO501" i="2"/>
  <c r="M501" i="1"/>
  <c r="AN501" i="2"/>
  <c r="L501" i="1"/>
  <c r="AM501" i="2"/>
  <c r="K501" i="1"/>
  <c r="AL501" i="2"/>
  <c r="AK501" i="2"/>
  <c r="AJ501" i="2"/>
  <c r="H501" i="1"/>
  <c r="AI501" i="2"/>
  <c r="G501" i="1"/>
  <c r="AH501" i="2"/>
  <c r="F501" i="1"/>
  <c r="AG501" i="2"/>
  <c r="E501" i="1"/>
  <c r="AF501" i="2"/>
  <c r="D501" i="1"/>
  <c r="AE501" i="2"/>
  <c r="AD501" i="2"/>
  <c r="AC501" i="2"/>
  <c r="Z501" i="2"/>
  <c r="Y501" i="2"/>
  <c r="R500" i="1"/>
  <c r="AS500" i="2"/>
  <c r="AR500" i="2"/>
  <c r="P500" i="1"/>
  <c r="AQ500" i="2"/>
  <c r="O500" i="1"/>
  <c r="AP500" i="2"/>
  <c r="N500" i="1"/>
  <c r="AO500" i="2"/>
  <c r="M500" i="1"/>
  <c r="AN500" i="2"/>
  <c r="L500" i="1"/>
  <c r="AM500" i="2"/>
  <c r="K500" i="1"/>
  <c r="AL500" i="2"/>
  <c r="AK500" i="2"/>
  <c r="AJ500" i="2"/>
  <c r="H500" i="1"/>
  <c r="AI500" i="2"/>
  <c r="G500" i="1"/>
  <c r="AH500" i="2"/>
  <c r="F500" i="1"/>
  <c r="AG500" i="2"/>
  <c r="E500" i="1"/>
  <c r="AF500" i="2"/>
  <c r="D500" i="1"/>
  <c r="AE500" i="2"/>
  <c r="AD500" i="2"/>
  <c r="AC500" i="2"/>
  <c r="Z500" i="2"/>
  <c r="Y500" i="2"/>
  <c r="R499" i="1"/>
  <c r="AS499" i="2"/>
  <c r="AR499" i="2"/>
  <c r="P499" i="1"/>
  <c r="AQ499" i="2"/>
  <c r="O499" i="1"/>
  <c r="AP499" i="2"/>
  <c r="N499" i="1"/>
  <c r="AO499" i="2"/>
  <c r="M499" i="1"/>
  <c r="AN499" i="2"/>
  <c r="L499" i="1"/>
  <c r="AM499" i="2"/>
  <c r="K499" i="1"/>
  <c r="AL499" i="2"/>
  <c r="AK499" i="2"/>
  <c r="AJ499" i="2"/>
  <c r="H499" i="1"/>
  <c r="AI499" i="2"/>
  <c r="G499" i="1"/>
  <c r="AH499" i="2"/>
  <c r="F499" i="1"/>
  <c r="AG499" i="2"/>
  <c r="E499" i="1"/>
  <c r="AF499" i="2"/>
  <c r="D499" i="1"/>
  <c r="AE499" i="2"/>
  <c r="AD499" i="2"/>
  <c r="AC499" i="2"/>
  <c r="Z499" i="2"/>
  <c r="Y499" i="2"/>
  <c r="R498" i="1"/>
  <c r="AS498" i="2"/>
  <c r="AR498" i="2"/>
  <c r="P498" i="1"/>
  <c r="AQ498" i="2"/>
  <c r="O498" i="1"/>
  <c r="AP498" i="2"/>
  <c r="N498" i="1"/>
  <c r="AO498" i="2"/>
  <c r="M498" i="1"/>
  <c r="AN498" i="2"/>
  <c r="L498" i="1"/>
  <c r="AM498" i="2"/>
  <c r="K498" i="1"/>
  <c r="AL498" i="2"/>
  <c r="AK498" i="2"/>
  <c r="AJ498" i="2"/>
  <c r="H498" i="1"/>
  <c r="AI498" i="2"/>
  <c r="G498" i="1"/>
  <c r="AH498" i="2"/>
  <c r="F498" i="1"/>
  <c r="AG498" i="2"/>
  <c r="E498" i="1"/>
  <c r="AF498" i="2"/>
  <c r="D498" i="1"/>
  <c r="AE498" i="2"/>
  <c r="AD498" i="2"/>
  <c r="AC498" i="2"/>
  <c r="Z498" i="2"/>
  <c r="Y498" i="2"/>
  <c r="R497" i="1"/>
  <c r="AS497" i="2"/>
  <c r="AR497" i="2"/>
  <c r="P497" i="1"/>
  <c r="AQ497" i="2"/>
  <c r="O497" i="1"/>
  <c r="AP497" i="2"/>
  <c r="N497" i="1"/>
  <c r="AO497" i="2"/>
  <c r="M497" i="1"/>
  <c r="AN497" i="2"/>
  <c r="L497" i="1"/>
  <c r="AM497" i="2"/>
  <c r="K497" i="1"/>
  <c r="AL497" i="2"/>
  <c r="AK497" i="2"/>
  <c r="AJ497" i="2"/>
  <c r="H497" i="1"/>
  <c r="AI497" i="2"/>
  <c r="G497" i="1"/>
  <c r="AH497" i="2"/>
  <c r="F497" i="1"/>
  <c r="AG497" i="2"/>
  <c r="E497" i="1"/>
  <c r="AF497" i="2"/>
  <c r="D497" i="1"/>
  <c r="AE497" i="2"/>
  <c r="AD497" i="2"/>
  <c r="AC497" i="2"/>
  <c r="Z497" i="2"/>
  <c r="Y497" i="2"/>
  <c r="R496" i="1"/>
  <c r="AS496" i="2"/>
  <c r="AR496" i="2"/>
  <c r="P496" i="1"/>
  <c r="AQ496" i="2"/>
  <c r="O496" i="1"/>
  <c r="AP496" i="2"/>
  <c r="N496" i="1"/>
  <c r="AO496" i="2"/>
  <c r="M496" i="1"/>
  <c r="AN496" i="2"/>
  <c r="L496" i="1"/>
  <c r="AM496" i="2"/>
  <c r="K496" i="1"/>
  <c r="AL496" i="2"/>
  <c r="AK496" i="2"/>
  <c r="AJ496" i="2"/>
  <c r="H496" i="1"/>
  <c r="AI496" i="2"/>
  <c r="G496" i="1"/>
  <c r="AH496" i="2"/>
  <c r="F496" i="1"/>
  <c r="AG496" i="2"/>
  <c r="E496" i="1"/>
  <c r="AF496" i="2"/>
  <c r="D496" i="1"/>
  <c r="AE496" i="2"/>
  <c r="AD496" i="2"/>
  <c r="AC496" i="2"/>
  <c r="Z496" i="2"/>
  <c r="Y496" i="2"/>
  <c r="R495" i="1"/>
  <c r="AS495" i="2"/>
  <c r="AR495" i="2"/>
  <c r="P495" i="1"/>
  <c r="AQ495" i="2"/>
  <c r="O495" i="1"/>
  <c r="AP495" i="2"/>
  <c r="N495" i="1"/>
  <c r="AO495" i="2"/>
  <c r="M495" i="1"/>
  <c r="AN495" i="2"/>
  <c r="L495" i="1"/>
  <c r="AM495" i="2"/>
  <c r="K495" i="1"/>
  <c r="AL495" i="2"/>
  <c r="AK495" i="2"/>
  <c r="AJ495" i="2"/>
  <c r="H495" i="1"/>
  <c r="AI495" i="2"/>
  <c r="G495" i="1"/>
  <c r="AH495" i="2"/>
  <c r="F495" i="1"/>
  <c r="AG495" i="2"/>
  <c r="E495" i="1"/>
  <c r="AF495" i="2"/>
  <c r="D495" i="1"/>
  <c r="AE495" i="2"/>
  <c r="AD495" i="2"/>
  <c r="AC495" i="2"/>
  <c r="Z495" i="2"/>
  <c r="Y495" i="2"/>
  <c r="R494" i="1"/>
  <c r="AS494" i="2"/>
  <c r="AR494" i="2"/>
  <c r="P494" i="1"/>
  <c r="AQ494" i="2"/>
  <c r="O494" i="1"/>
  <c r="AP494" i="2"/>
  <c r="N494" i="1"/>
  <c r="AO494" i="2"/>
  <c r="M494" i="1"/>
  <c r="AN494" i="2"/>
  <c r="L494" i="1"/>
  <c r="AM494" i="2"/>
  <c r="K494" i="1"/>
  <c r="AL494" i="2"/>
  <c r="AK494" i="2"/>
  <c r="AJ494" i="2"/>
  <c r="H494" i="1"/>
  <c r="AI494" i="2"/>
  <c r="G494" i="1"/>
  <c r="AH494" i="2"/>
  <c r="F494" i="1"/>
  <c r="AG494" i="2"/>
  <c r="E494" i="1"/>
  <c r="AF494" i="2"/>
  <c r="D494" i="1"/>
  <c r="AE494" i="2"/>
  <c r="AD494" i="2"/>
  <c r="AC494" i="2"/>
  <c r="Z494" i="2"/>
  <c r="Y494" i="2"/>
  <c r="R493" i="1"/>
  <c r="AS493" i="2"/>
  <c r="AR493" i="2"/>
  <c r="P493" i="1"/>
  <c r="AQ493" i="2"/>
  <c r="O493" i="1"/>
  <c r="AP493" i="2"/>
  <c r="N493" i="1"/>
  <c r="AO493" i="2"/>
  <c r="M493" i="1"/>
  <c r="AN493" i="2"/>
  <c r="L493" i="1"/>
  <c r="AM493" i="2"/>
  <c r="K493" i="1"/>
  <c r="AL493" i="2"/>
  <c r="AK493" i="2"/>
  <c r="AJ493" i="2"/>
  <c r="H493" i="1"/>
  <c r="AI493" i="2"/>
  <c r="G493" i="1"/>
  <c r="AH493" i="2"/>
  <c r="F493" i="1"/>
  <c r="AG493" i="2"/>
  <c r="E493" i="1"/>
  <c r="AF493" i="2"/>
  <c r="D493" i="1"/>
  <c r="AE493" i="2"/>
  <c r="AD493" i="2"/>
  <c r="AC493" i="2"/>
  <c r="Z493" i="2"/>
  <c r="Y493" i="2"/>
  <c r="R492" i="1"/>
  <c r="AS492" i="2"/>
  <c r="AR492" i="2"/>
  <c r="P492" i="1"/>
  <c r="AQ492" i="2"/>
  <c r="O492" i="1"/>
  <c r="AP492" i="2"/>
  <c r="N492" i="1"/>
  <c r="AO492" i="2"/>
  <c r="M492" i="1"/>
  <c r="AN492" i="2"/>
  <c r="L492" i="1"/>
  <c r="AM492" i="2"/>
  <c r="K492" i="1"/>
  <c r="AL492" i="2"/>
  <c r="AK492" i="2"/>
  <c r="AJ492" i="2"/>
  <c r="H492" i="1"/>
  <c r="AI492" i="2"/>
  <c r="G492" i="1"/>
  <c r="AH492" i="2"/>
  <c r="F492" i="1"/>
  <c r="AG492" i="2"/>
  <c r="E492" i="1"/>
  <c r="AF492" i="2"/>
  <c r="D492" i="1"/>
  <c r="AE492" i="2"/>
  <c r="AD492" i="2"/>
  <c r="AC492" i="2"/>
  <c r="Z492" i="2"/>
  <c r="Y492" i="2"/>
  <c r="R491" i="1"/>
  <c r="AS491" i="2"/>
  <c r="AR491" i="2"/>
  <c r="P491" i="1"/>
  <c r="AQ491" i="2"/>
  <c r="O491" i="1"/>
  <c r="AP491" i="2"/>
  <c r="N491" i="1"/>
  <c r="AO491" i="2"/>
  <c r="M491" i="1"/>
  <c r="AN491" i="2"/>
  <c r="L491" i="1"/>
  <c r="AM491" i="2"/>
  <c r="K491" i="1"/>
  <c r="AL491" i="2"/>
  <c r="AK491" i="2"/>
  <c r="AJ491" i="2"/>
  <c r="H491" i="1"/>
  <c r="AI491" i="2"/>
  <c r="G491" i="1"/>
  <c r="AH491" i="2"/>
  <c r="F491" i="1"/>
  <c r="AG491" i="2"/>
  <c r="E491" i="1"/>
  <c r="AF491" i="2"/>
  <c r="D491" i="1"/>
  <c r="AE491" i="2"/>
  <c r="AD491" i="2"/>
  <c r="AC491" i="2"/>
  <c r="Z491" i="2"/>
  <c r="Y491" i="2"/>
  <c r="R490" i="1"/>
  <c r="AS490" i="2"/>
  <c r="AR490" i="2"/>
  <c r="P490" i="1"/>
  <c r="AQ490" i="2"/>
  <c r="O490" i="1"/>
  <c r="AP490" i="2"/>
  <c r="N490" i="1"/>
  <c r="AO490" i="2"/>
  <c r="M490" i="1"/>
  <c r="AN490" i="2"/>
  <c r="L490" i="1"/>
  <c r="AM490" i="2"/>
  <c r="K490" i="1"/>
  <c r="AL490" i="2"/>
  <c r="AK490" i="2"/>
  <c r="AJ490" i="2"/>
  <c r="H490" i="1"/>
  <c r="AI490" i="2"/>
  <c r="G490" i="1"/>
  <c r="AH490" i="2"/>
  <c r="F490" i="1"/>
  <c r="AG490" i="2"/>
  <c r="E490" i="1"/>
  <c r="AF490" i="2"/>
  <c r="D490" i="1"/>
  <c r="AE490" i="2"/>
  <c r="AD490" i="2"/>
  <c r="AC490" i="2"/>
  <c r="Z490" i="2"/>
  <c r="Y490" i="2"/>
  <c r="R489" i="1"/>
  <c r="AS489" i="2"/>
  <c r="AR489" i="2"/>
  <c r="P489" i="1"/>
  <c r="AQ489" i="2"/>
  <c r="O489" i="1"/>
  <c r="AP489" i="2"/>
  <c r="N489" i="1"/>
  <c r="AO489" i="2"/>
  <c r="M489" i="1"/>
  <c r="AN489" i="2"/>
  <c r="L489" i="1"/>
  <c r="AM489" i="2"/>
  <c r="K489" i="1"/>
  <c r="AL489" i="2"/>
  <c r="AK489" i="2"/>
  <c r="AJ489" i="2"/>
  <c r="H489" i="1"/>
  <c r="AI489" i="2"/>
  <c r="G489" i="1"/>
  <c r="AH489" i="2"/>
  <c r="F489" i="1"/>
  <c r="AG489" i="2"/>
  <c r="E489" i="1"/>
  <c r="AF489" i="2"/>
  <c r="D489" i="1"/>
  <c r="AE489" i="2"/>
  <c r="AD489" i="2"/>
  <c r="AC489" i="2"/>
  <c r="Z489" i="2"/>
  <c r="Y489" i="2"/>
  <c r="R488" i="1"/>
  <c r="AS488" i="2"/>
  <c r="AR488" i="2"/>
  <c r="P488" i="1"/>
  <c r="AQ488" i="2"/>
  <c r="O488" i="1"/>
  <c r="AP488" i="2"/>
  <c r="N488" i="1"/>
  <c r="AO488" i="2"/>
  <c r="M488" i="1"/>
  <c r="AN488" i="2"/>
  <c r="L488" i="1"/>
  <c r="AM488" i="2"/>
  <c r="K488" i="1"/>
  <c r="AL488" i="2"/>
  <c r="AK488" i="2"/>
  <c r="AJ488" i="2"/>
  <c r="H488" i="1"/>
  <c r="AI488" i="2"/>
  <c r="G488" i="1"/>
  <c r="AH488" i="2"/>
  <c r="F488" i="1"/>
  <c r="AG488" i="2"/>
  <c r="E488" i="1"/>
  <c r="AF488" i="2"/>
  <c r="D488" i="1"/>
  <c r="AE488" i="2"/>
  <c r="AD488" i="2"/>
  <c r="AC488" i="2"/>
  <c r="Z488" i="2"/>
  <c r="Y488" i="2"/>
  <c r="R487" i="1"/>
  <c r="AS487" i="2"/>
  <c r="AR487" i="2"/>
  <c r="P487" i="1"/>
  <c r="AQ487" i="2"/>
  <c r="O487" i="1"/>
  <c r="AP487" i="2"/>
  <c r="N487" i="1"/>
  <c r="AO487" i="2"/>
  <c r="M487" i="1"/>
  <c r="AN487" i="2"/>
  <c r="L487" i="1"/>
  <c r="AM487" i="2"/>
  <c r="K487" i="1"/>
  <c r="AL487" i="2"/>
  <c r="AK487" i="2"/>
  <c r="AJ487" i="2"/>
  <c r="H487" i="1"/>
  <c r="AI487" i="2"/>
  <c r="G487" i="1"/>
  <c r="AH487" i="2"/>
  <c r="F487" i="1"/>
  <c r="AG487" i="2"/>
  <c r="E487" i="1"/>
  <c r="AF487" i="2"/>
  <c r="D487" i="1"/>
  <c r="AE487" i="2"/>
  <c r="AD487" i="2"/>
  <c r="AC487" i="2"/>
  <c r="Z487" i="2"/>
  <c r="Y487" i="2"/>
  <c r="R486" i="1"/>
  <c r="AS486" i="2"/>
  <c r="AR486" i="2"/>
  <c r="P486" i="1"/>
  <c r="AQ486" i="2"/>
  <c r="O486" i="1"/>
  <c r="AP486" i="2"/>
  <c r="N486" i="1"/>
  <c r="AO486" i="2"/>
  <c r="M486" i="1"/>
  <c r="AN486" i="2"/>
  <c r="L486" i="1"/>
  <c r="AM486" i="2"/>
  <c r="K486" i="1"/>
  <c r="AL486" i="2"/>
  <c r="AK486" i="2"/>
  <c r="AJ486" i="2"/>
  <c r="H486" i="1"/>
  <c r="AI486" i="2"/>
  <c r="G486" i="1"/>
  <c r="AH486" i="2"/>
  <c r="F486" i="1"/>
  <c r="AG486" i="2"/>
  <c r="E486" i="1"/>
  <c r="AF486" i="2"/>
  <c r="D486" i="1"/>
  <c r="AE486" i="2"/>
  <c r="AD486" i="2"/>
  <c r="AC486" i="2"/>
  <c r="Z486" i="2"/>
  <c r="Y486" i="2"/>
  <c r="R485" i="1"/>
  <c r="AS485" i="2"/>
  <c r="AR485" i="2"/>
  <c r="P485" i="1"/>
  <c r="AQ485" i="2"/>
  <c r="O485" i="1"/>
  <c r="AP485" i="2"/>
  <c r="N485" i="1"/>
  <c r="AO485" i="2"/>
  <c r="M485" i="1"/>
  <c r="AN485" i="2"/>
  <c r="L485" i="1"/>
  <c r="AM485" i="2"/>
  <c r="K485" i="1"/>
  <c r="AL485" i="2"/>
  <c r="AK485" i="2"/>
  <c r="AJ485" i="2"/>
  <c r="H485" i="1"/>
  <c r="AI485" i="2"/>
  <c r="G485" i="1"/>
  <c r="AH485" i="2"/>
  <c r="F485" i="1"/>
  <c r="AG485" i="2"/>
  <c r="E485" i="1"/>
  <c r="AF485" i="2"/>
  <c r="D485" i="1"/>
  <c r="AE485" i="2"/>
  <c r="AD485" i="2"/>
  <c r="AC485" i="2"/>
  <c r="Z485" i="2"/>
  <c r="Y485" i="2"/>
  <c r="R484" i="1"/>
  <c r="AS484" i="2"/>
  <c r="AR484" i="2"/>
  <c r="P484" i="1"/>
  <c r="AQ484" i="2"/>
  <c r="O484" i="1"/>
  <c r="AP484" i="2"/>
  <c r="N484" i="1"/>
  <c r="AO484" i="2"/>
  <c r="M484" i="1"/>
  <c r="AN484" i="2"/>
  <c r="L484" i="1"/>
  <c r="AM484" i="2"/>
  <c r="K484" i="1"/>
  <c r="AL484" i="2"/>
  <c r="AK484" i="2"/>
  <c r="AJ484" i="2"/>
  <c r="H484" i="1"/>
  <c r="AI484" i="2"/>
  <c r="G484" i="1"/>
  <c r="AH484" i="2"/>
  <c r="F484" i="1"/>
  <c r="AG484" i="2"/>
  <c r="E484" i="1"/>
  <c r="AF484" i="2"/>
  <c r="D484" i="1"/>
  <c r="AE484" i="2"/>
  <c r="AD484" i="2"/>
  <c r="AC484" i="2"/>
  <c r="Z484" i="2"/>
  <c r="Y484" i="2"/>
  <c r="R483" i="1"/>
  <c r="AS483" i="2"/>
  <c r="AR483" i="2"/>
  <c r="P483" i="1"/>
  <c r="AQ483" i="2"/>
  <c r="O483" i="1"/>
  <c r="AP483" i="2"/>
  <c r="N483" i="1"/>
  <c r="AO483" i="2"/>
  <c r="M483" i="1"/>
  <c r="AN483" i="2"/>
  <c r="L483" i="1"/>
  <c r="AM483" i="2"/>
  <c r="K483" i="1"/>
  <c r="AL483" i="2"/>
  <c r="AK483" i="2"/>
  <c r="AJ483" i="2"/>
  <c r="H483" i="1"/>
  <c r="AI483" i="2"/>
  <c r="G483" i="1"/>
  <c r="AH483" i="2"/>
  <c r="F483" i="1"/>
  <c r="AG483" i="2"/>
  <c r="E483" i="1"/>
  <c r="AF483" i="2"/>
  <c r="D483" i="1"/>
  <c r="AE483" i="2"/>
  <c r="AD483" i="2"/>
  <c r="AC483" i="2"/>
  <c r="Z483" i="2"/>
  <c r="Y483" i="2"/>
  <c r="R482" i="1"/>
  <c r="AS482" i="2"/>
  <c r="AR482" i="2"/>
  <c r="P482" i="1"/>
  <c r="AQ482" i="2"/>
  <c r="O482" i="1"/>
  <c r="AP482" i="2"/>
  <c r="N482" i="1"/>
  <c r="AO482" i="2"/>
  <c r="M482" i="1"/>
  <c r="AN482" i="2"/>
  <c r="L482" i="1"/>
  <c r="AM482" i="2"/>
  <c r="K482" i="1"/>
  <c r="AL482" i="2"/>
  <c r="AK482" i="2"/>
  <c r="AJ482" i="2"/>
  <c r="H482" i="1"/>
  <c r="AI482" i="2"/>
  <c r="G482" i="1"/>
  <c r="AH482" i="2"/>
  <c r="F482" i="1"/>
  <c r="AG482" i="2"/>
  <c r="E482" i="1"/>
  <c r="AF482" i="2"/>
  <c r="D482" i="1"/>
  <c r="AE482" i="2"/>
  <c r="AD482" i="2"/>
  <c r="AC482" i="2"/>
  <c r="Z482" i="2"/>
  <c r="Y482" i="2"/>
  <c r="R481" i="1"/>
  <c r="AS481" i="2"/>
  <c r="AR481" i="2"/>
  <c r="P481" i="1"/>
  <c r="AQ481" i="2"/>
  <c r="O481" i="1"/>
  <c r="AP481" i="2"/>
  <c r="N481" i="1"/>
  <c r="AO481" i="2"/>
  <c r="M481" i="1"/>
  <c r="AN481" i="2"/>
  <c r="L481" i="1"/>
  <c r="AM481" i="2"/>
  <c r="K481" i="1"/>
  <c r="AL481" i="2"/>
  <c r="AK481" i="2"/>
  <c r="AJ481" i="2"/>
  <c r="H481" i="1"/>
  <c r="AI481" i="2"/>
  <c r="G481" i="1"/>
  <c r="AH481" i="2"/>
  <c r="F481" i="1"/>
  <c r="AG481" i="2"/>
  <c r="E481" i="1"/>
  <c r="AF481" i="2"/>
  <c r="D481" i="1"/>
  <c r="AE481" i="2"/>
  <c r="AD481" i="2"/>
  <c r="AC481" i="2"/>
  <c r="Z481" i="2"/>
  <c r="Y481" i="2"/>
  <c r="R480" i="1"/>
  <c r="AS480" i="2"/>
  <c r="AR480" i="2"/>
  <c r="P480" i="1"/>
  <c r="AQ480" i="2"/>
  <c r="O480" i="1"/>
  <c r="AP480" i="2"/>
  <c r="N480" i="1"/>
  <c r="AO480" i="2"/>
  <c r="M480" i="1"/>
  <c r="AN480" i="2"/>
  <c r="L480" i="1"/>
  <c r="AM480" i="2"/>
  <c r="K480" i="1"/>
  <c r="AL480" i="2"/>
  <c r="AK480" i="2"/>
  <c r="AJ480" i="2"/>
  <c r="H480" i="1"/>
  <c r="AI480" i="2"/>
  <c r="G480" i="1"/>
  <c r="AH480" i="2"/>
  <c r="F480" i="1"/>
  <c r="AG480" i="2"/>
  <c r="E480" i="1"/>
  <c r="AF480" i="2"/>
  <c r="D480" i="1"/>
  <c r="AE480" i="2"/>
  <c r="AD480" i="2"/>
  <c r="AC480" i="2"/>
  <c r="Z480" i="2"/>
  <c r="Y480" i="2"/>
  <c r="R479" i="1"/>
  <c r="AS479" i="2"/>
  <c r="AR479" i="2"/>
  <c r="P479" i="1"/>
  <c r="AQ479" i="2"/>
  <c r="O479" i="1"/>
  <c r="AP479" i="2"/>
  <c r="N479" i="1"/>
  <c r="AO479" i="2"/>
  <c r="M479" i="1"/>
  <c r="AN479" i="2"/>
  <c r="L479" i="1"/>
  <c r="AM479" i="2"/>
  <c r="K479" i="1"/>
  <c r="AL479" i="2"/>
  <c r="AK479" i="2"/>
  <c r="AJ479" i="2"/>
  <c r="H479" i="1"/>
  <c r="AI479" i="2"/>
  <c r="G479" i="1"/>
  <c r="AH479" i="2"/>
  <c r="F479" i="1"/>
  <c r="AG479" i="2"/>
  <c r="E479" i="1"/>
  <c r="AF479" i="2"/>
  <c r="D479" i="1"/>
  <c r="AE479" i="2"/>
  <c r="AD479" i="2"/>
  <c r="AC479" i="2"/>
  <c r="Z479" i="2"/>
  <c r="Y479" i="2"/>
  <c r="R478" i="1"/>
  <c r="AS478" i="2"/>
  <c r="AR478" i="2"/>
  <c r="P478" i="1"/>
  <c r="AQ478" i="2"/>
  <c r="O478" i="1"/>
  <c r="AP478" i="2"/>
  <c r="N478" i="1"/>
  <c r="AO478" i="2"/>
  <c r="M478" i="1"/>
  <c r="AN478" i="2"/>
  <c r="L478" i="1"/>
  <c r="AM478" i="2"/>
  <c r="K478" i="1"/>
  <c r="AL478" i="2"/>
  <c r="AK478" i="2"/>
  <c r="AJ478" i="2"/>
  <c r="H478" i="1"/>
  <c r="AI478" i="2"/>
  <c r="G478" i="1"/>
  <c r="AH478" i="2"/>
  <c r="F478" i="1"/>
  <c r="AG478" i="2"/>
  <c r="E478" i="1"/>
  <c r="AF478" i="2"/>
  <c r="D478" i="1"/>
  <c r="AE478" i="2"/>
  <c r="AD478" i="2"/>
  <c r="AC478" i="2"/>
  <c r="Z478" i="2"/>
  <c r="Y478" i="2"/>
  <c r="R477" i="1"/>
  <c r="AS477" i="2"/>
  <c r="AR477" i="2"/>
  <c r="P477" i="1"/>
  <c r="AQ477" i="2"/>
  <c r="O477" i="1"/>
  <c r="AP477" i="2"/>
  <c r="N477" i="1"/>
  <c r="AO477" i="2"/>
  <c r="M477" i="1"/>
  <c r="AN477" i="2"/>
  <c r="L477" i="1"/>
  <c r="AM477" i="2"/>
  <c r="K477" i="1"/>
  <c r="AL477" i="2"/>
  <c r="AK477" i="2"/>
  <c r="AJ477" i="2"/>
  <c r="H477" i="1"/>
  <c r="AI477" i="2"/>
  <c r="G477" i="1"/>
  <c r="AH477" i="2"/>
  <c r="F477" i="1"/>
  <c r="AG477" i="2"/>
  <c r="E477" i="1"/>
  <c r="AF477" i="2"/>
  <c r="D477" i="1"/>
  <c r="AE477" i="2"/>
  <c r="AD477" i="2"/>
  <c r="AC477" i="2"/>
  <c r="Z477" i="2"/>
  <c r="Y477" i="2"/>
  <c r="R476" i="1"/>
  <c r="AS476" i="2"/>
  <c r="AR476" i="2"/>
  <c r="P476" i="1"/>
  <c r="AQ476" i="2"/>
  <c r="O476" i="1"/>
  <c r="AP476" i="2"/>
  <c r="N476" i="1"/>
  <c r="AO476" i="2"/>
  <c r="M476" i="1"/>
  <c r="AN476" i="2"/>
  <c r="L476" i="1"/>
  <c r="AM476" i="2"/>
  <c r="K476" i="1"/>
  <c r="AL476" i="2"/>
  <c r="AK476" i="2"/>
  <c r="AJ476" i="2"/>
  <c r="H476" i="1"/>
  <c r="AI476" i="2"/>
  <c r="G476" i="1"/>
  <c r="AH476" i="2"/>
  <c r="F476" i="1"/>
  <c r="AG476" i="2"/>
  <c r="E476" i="1"/>
  <c r="AF476" i="2"/>
  <c r="D476" i="1"/>
  <c r="AE476" i="2"/>
  <c r="AD476" i="2"/>
  <c r="AC476" i="2"/>
  <c r="Z476" i="2"/>
  <c r="Y476" i="2"/>
  <c r="R475" i="1"/>
  <c r="AS475" i="2"/>
  <c r="AR475" i="2"/>
  <c r="P475" i="1"/>
  <c r="AQ475" i="2"/>
  <c r="O475" i="1"/>
  <c r="AP475" i="2"/>
  <c r="N475" i="1"/>
  <c r="AO475" i="2"/>
  <c r="M475" i="1"/>
  <c r="AN475" i="2"/>
  <c r="L475" i="1"/>
  <c r="AM475" i="2"/>
  <c r="K475" i="1"/>
  <c r="AL475" i="2"/>
  <c r="AK475" i="2"/>
  <c r="AJ475" i="2"/>
  <c r="H475" i="1"/>
  <c r="AI475" i="2"/>
  <c r="G475" i="1"/>
  <c r="AH475" i="2"/>
  <c r="F475" i="1"/>
  <c r="AG475" i="2"/>
  <c r="E475" i="1"/>
  <c r="AF475" i="2"/>
  <c r="D475" i="1"/>
  <c r="AE475" i="2"/>
  <c r="AD475" i="2"/>
  <c r="AC475" i="2"/>
  <c r="Z475" i="2"/>
  <c r="Y475" i="2"/>
  <c r="R474" i="1"/>
  <c r="AS474" i="2"/>
  <c r="AR474" i="2"/>
  <c r="P474" i="1"/>
  <c r="AQ474" i="2"/>
  <c r="O474" i="1"/>
  <c r="AP474" i="2"/>
  <c r="N474" i="1"/>
  <c r="AO474" i="2"/>
  <c r="M474" i="1"/>
  <c r="AN474" i="2"/>
  <c r="L474" i="1"/>
  <c r="AM474" i="2"/>
  <c r="K474" i="1"/>
  <c r="AL474" i="2"/>
  <c r="AK474" i="2"/>
  <c r="AJ474" i="2"/>
  <c r="H474" i="1"/>
  <c r="AI474" i="2"/>
  <c r="G474" i="1"/>
  <c r="AH474" i="2"/>
  <c r="F474" i="1"/>
  <c r="AG474" i="2"/>
  <c r="E474" i="1"/>
  <c r="AF474" i="2"/>
  <c r="D474" i="1"/>
  <c r="AE474" i="2"/>
  <c r="AD474" i="2"/>
  <c r="AC474" i="2"/>
  <c r="Z474" i="2"/>
  <c r="Y474" i="2"/>
  <c r="R473" i="1"/>
  <c r="AS473" i="2"/>
  <c r="AR473" i="2"/>
  <c r="P473" i="1"/>
  <c r="AQ473" i="2"/>
  <c r="O473" i="1"/>
  <c r="AP473" i="2"/>
  <c r="N473" i="1"/>
  <c r="AO473" i="2"/>
  <c r="M473" i="1"/>
  <c r="AN473" i="2"/>
  <c r="L473" i="1"/>
  <c r="AM473" i="2"/>
  <c r="K473" i="1"/>
  <c r="AL473" i="2"/>
  <c r="AK473" i="2"/>
  <c r="AJ473" i="2"/>
  <c r="H473" i="1"/>
  <c r="AI473" i="2"/>
  <c r="G473" i="1"/>
  <c r="AH473" i="2"/>
  <c r="F473" i="1"/>
  <c r="AG473" i="2"/>
  <c r="E473" i="1"/>
  <c r="AF473" i="2"/>
  <c r="D473" i="1"/>
  <c r="AE473" i="2"/>
  <c r="AD473" i="2"/>
  <c r="AC473" i="2"/>
  <c r="Z473" i="2"/>
  <c r="Y473" i="2"/>
  <c r="R472" i="1"/>
  <c r="AS472" i="2"/>
  <c r="AR472" i="2"/>
  <c r="P472" i="1"/>
  <c r="AQ472" i="2"/>
  <c r="O472" i="1"/>
  <c r="AP472" i="2"/>
  <c r="N472" i="1"/>
  <c r="AO472" i="2"/>
  <c r="M472" i="1"/>
  <c r="AN472" i="2"/>
  <c r="L472" i="1"/>
  <c r="AM472" i="2"/>
  <c r="K472" i="1"/>
  <c r="AL472" i="2"/>
  <c r="AK472" i="2"/>
  <c r="AJ472" i="2"/>
  <c r="H472" i="1"/>
  <c r="AI472" i="2"/>
  <c r="G472" i="1"/>
  <c r="AH472" i="2"/>
  <c r="F472" i="1"/>
  <c r="AG472" i="2"/>
  <c r="E472" i="1"/>
  <c r="AF472" i="2"/>
  <c r="D472" i="1"/>
  <c r="AE472" i="2"/>
  <c r="AD472" i="2"/>
  <c r="AC472" i="2"/>
  <c r="Z472" i="2"/>
  <c r="Y472" i="2"/>
  <c r="R471" i="1"/>
  <c r="AS471" i="2"/>
  <c r="AR471" i="2"/>
  <c r="P471" i="1"/>
  <c r="AQ471" i="2"/>
  <c r="O471" i="1"/>
  <c r="AP471" i="2"/>
  <c r="N471" i="1"/>
  <c r="AO471" i="2"/>
  <c r="M471" i="1"/>
  <c r="AN471" i="2"/>
  <c r="L471" i="1"/>
  <c r="AM471" i="2"/>
  <c r="K471" i="1"/>
  <c r="AL471" i="2"/>
  <c r="AK471" i="2"/>
  <c r="AJ471" i="2"/>
  <c r="H471" i="1"/>
  <c r="AI471" i="2"/>
  <c r="G471" i="1"/>
  <c r="AH471" i="2"/>
  <c r="F471" i="1"/>
  <c r="AG471" i="2"/>
  <c r="E471" i="1"/>
  <c r="AF471" i="2"/>
  <c r="D471" i="1"/>
  <c r="AE471" i="2"/>
  <c r="AD471" i="2"/>
  <c r="AC471" i="2"/>
  <c r="Z471" i="2"/>
  <c r="Y471" i="2"/>
  <c r="R470" i="1"/>
  <c r="AS470" i="2"/>
  <c r="AR470" i="2"/>
  <c r="P470" i="1"/>
  <c r="AQ470" i="2"/>
  <c r="O470" i="1"/>
  <c r="AP470" i="2"/>
  <c r="N470" i="1"/>
  <c r="AO470" i="2"/>
  <c r="M470" i="1"/>
  <c r="AN470" i="2"/>
  <c r="L470" i="1"/>
  <c r="AM470" i="2"/>
  <c r="K470" i="1"/>
  <c r="AL470" i="2"/>
  <c r="AK470" i="2"/>
  <c r="AJ470" i="2"/>
  <c r="H470" i="1"/>
  <c r="AI470" i="2"/>
  <c r="G470" i="1"/>
  <c r="AH470" i="2"/>
  <c r="F470" i="1"/>
  <c r="AG470" i="2"/>
  <c r="E470" i="1"/>
  <c r="AF470" i="2"/>
  <c r="D470" i="1"/>
  <c r="AE470" i="2"/>
  <c r="AD470" i="2"/>
  <c r="AC470" i="2"/>
  <c r="Z470" i="2"/>
  <c r="Y470" i="2"/>
  <c r="R469" i="1"/>
  <c r="AS469" i="2"/>
  <c r="AR469" i="2"/>
  <c r="P469" i="1"/>
  <c r="AQ469" i="2"/>
  <c r="O469" i="1"/>
  <c r="AP469" i="2"/>
  <c r="N469" i="1"/>
  <c r="AO469" i="2"/>
  <c r="M469" i="1"/>
  <c r="AN469" i="2"/>
  <c r="L469" i="1"/>
  <c r="AM469" i="2"/>
  <c r="K469" i="1"/>
  <c r="AL469" i="2"/>
  <c r="AK469" i="2"/>
  <c r="AJ469" i="2"/>
  <c r="H469" i="1"/>
  <c r="AI469" i="2"/>
  <c r="G469" i="1"/>
  <c r="AH469" i="2"/>
  <c r="F469" i="1"/>
  <c r="AG469" i="2"/>
  <c r="E469" i="1"/>
  <c r="AF469" i="2"/>
  <c r="D469" i="1"/>
  <c r="AE469" i="2"/>
  <c r="AD469" i="2"/>
  <c r="AC469" i="2"/>
  <c r="Z469" i="2"/>
  <c r="Y469" i="2"/>
  <c r="R468" i="1"/>
  <c r="AS468" i="2"/>
  <c r="AR468" i="2"/>
  <c r="P468" i="1"/>
  <c r="AQ468" i="2"/>
  <c r="O468" i="1"/>
  <c r="AP468" i="2"/>
  <c r="N468" i="1"/>
  <c r="AO468" i="2"/>
  <c r="M468" i="1"/>
  <c r="AN468" i="2"/>
  <c r="L468" i="1"/>
  <c r="AM468" i="2"/>
  <c r="K468" i="1"/>
  <c r="AL468" i="2"/>
  <c r="AK468" i="2"/>
  <c r="AJ468" i="2"/>
  <c r="H468" i="1"/>
  <c r="AI468" i="2"/>
  <c r="G468" i="1"/>
  <c r="AH468" i="2"/>
  <c r="F468" i="1"/>
  <c r="AG468" i="2"/>
  <c r="E468" i="1"/>
  <c r="AF468" i="2"/>
  <c r="D468" i="1"/>
  <c r="AE468" i="2"/>
  <c r="AD468" i="2"/>
  <c r="AC468" i="2"/>
  <c r="Z468" i="2"/>
  <c r="Y468" i="2"/>
  <c r="R467" i="1"/>
  <c r="AS467" i="2"/>
  <c r="AR467" i="2"/>
  <c r="P467" i="1"/>
  <c r="AQ467" i="2"/>
  <c r="O467" i="1"/>
  <c r="AP467" i="2"/>
  <c r="N467" i="1"/>
  <c r="AO467" i="2"/>
  <c r="M467" i="1"/>
  <c r="AN467" i="2"/>
  <c r="L467" i="1"/>
  <c r="AM467" i="2"/>
  <c r="K467" i="1"/>
  <c r="AL467" i="2"/>
  <c r="AK467" i="2"/>
  <c r="AJ467" i="2"/>
  <c r="H467" i="1"/>
  <c r="AI467" i="2"/>
  <c r="G467" i="1"/>
  <c r="AH467" i="2"/>
  <c r="F467" i="1"/>
  <c r="AG467" i="2"/>
  <c r="E467" i="1"/>
  <c r="AF467" i="2"/>
  <c r="D467" i="1"/>
  <c r="AE467" i="2"/>
  <c r="AD467" i="2"/>
  <c r="AC467" i="2"/>
  <c r="Z467" i="2"/>
  <c r="Y467" i="2"/>
  <c r="R466" i="1"/>
  <c r="AS466" i="2"/>
  <c r="AR466" i="2"/>
  <c r="P466" i="1"/>
  <c r="AQ466" i="2"/>
  <c r="O466" i="1"/>
  <c r="AP466" i="2"/>
  <c r="N466" i="1"/>
  <c r="AO466" i="2"/>
  <c r="M466" i="1"/>
  <c r="AN466" i="2"/>
  <c r="L466" i="1"/>
  <c r="AM466" i="2"/>
  <c r="K466" i="1"/>
  <c r="AL466" i="2"/>
  <c r="AK466" i="2"/>
  <c r="AJ466" i="2"/>
  <c r="H466" i="1"/>
  <c r="AI466" i="2"/>
  <c r="G466" i="1"/>
  <c r="AH466" i="2"/>
  <c r="F466" i="1"/>
  <c r="AG466" i="2"/>
  <c r="E466" i="1"/>
  <c r="AF466" i="2"/>
  <c r="D466" i="1"/>
  <c r="AE466" i="2"/>
  <c r="AD466" i="2"/>
  <c r="AC466" i="2"/>
  <c r="Z466" i="2"/>
  <c r="Y466" i="2"/>
  <c r="R465" i="1"/>
  <c r="AS465" i="2"/>
  <c r="AR465" i="2"/>
  <c r="P465" i="1"/>
  <c r="AQ465" i="2"/>
  <c r="O465" i="1"/>
  <c r="AP465" i="2"/>
  <c r="N465" i="1"/>
  <c r="AO465" i="2"/>
  <c r="M465" i="1"/>
  <c r="AN465" i="2"/>
  <c r="L465" i="1"/>
  <c r="AM465" i="2"/>
  <c r="K465" i="1"/>
  <c r="AL465" i="2"/>
  <c r="AK465" i="2"/>
  <c r="AJ465" i="2"/>
  <c r="H465" i="1"/>
  <c r="AI465" i="2"/>
  <c r="G465" i="1"/>
  <c r="AH465" i="2"/>
  <c r="F465" i="1"/>
  <c r="AG465" i="2"/>
  <c r="E465" i="1"/>
  <c r="AF465" i="2"/>
  <c r="D465" i="1"/>
  <c r="AE465" i="2"/>
  <c r="AD465" i="2"/>
  <c r="AC465" i="2"/>
  <c r="Z465" i="2"/>
  <c r="Y465" i="2"/>
  <c r="R464" i="1"/>
  <c r="AS464" i="2"/>
  <c r="AR464" i="2"/>
  <c r="P464" i="1"/>
  <c r="AQ464" i="2"/>
  <c r="O464" i="1"/>
  <c r="AP464" i="2"/>
  <c r="N464" i="1"/>
  <c r="AO464" i="2"/>
  <c r="M464" i="1"/>
  <c r="AN464" i="2"/>
  <c r="L464" i="1"/>
  <c r="AM464" i="2"/>
  <c r="K464" i="1"/>
  <c r="AL464" i="2"/>
  <c r="AK464" i="2"/>
  <c r="AJ464" i="2"/>
  <c r="H464" i="1"/>
  <c r="AI464" i="2"/>
  <c r="G464" i="1"/>
  <c r="AH464" i="2"/>
  <c r="F464" i="1"/>
  <c r="AG464" i="2"/>
  <c r="E464" i="1"/>
  <c r="AF464" i="2"/>
  <c r="D464" i="1"/>
  <c r="AE464" i="2"/>
  <c r="AD464" i="2"/>
  <c r="AC464" i="2"/>
  <c r="Z464" i="2"/>
  <c r="Y464" i="2"/>
  <c r="R463" i="1"/>
  <c r="AS463" i="2"/>
  <c r="AR463" i="2"/>
  <c r="P463" i="1"/>
  <c r="AQ463" i="2"/>
  <c r="O463" i="1"/>
  <c r="AP463" i="2"/>
  <c r="N463" i="1"/>
  <c r="AO463" i="2"/>
  <c r="M463" i="1"/>
  <c r="AN463" i="2"/>
  <c r="L463" i="1"/>
  <c r="AM463" i="2"/>
  <c r="K463" i="1"/>
  <c r="AL463" i="2"/>
  <c r="AK463" i="2"/>
  <c r="AJ463" i="2"/>
  <c r="H463" i="1"/>
  <c r="AI463" i="2"/>
  <c r="G463" i="1"/>
  <c r="AH463" i="2"/>
  <c r="F463" i="1"/>
  <c r="AG463" i="2"/>
  <c r="E463" i="1"/>
  <c r="AF463" i="2"/>
  <c r="D463" i="1"/>
  <c r="AE463" i="2"/>
  <c r="AD463" i="2"/>
  <c r="AC463" i="2"/>
  <c r="Z463" i="2"/>
  <c r="Y463" i="2"/>
  <c r="R462" i="1"/>
  <c r="AS462" i="2"/>
  <c r="AR462" i="2"/>
  <c r="P462" i="1"/>
  <c r="AQ462" i="2"/>
  <c r="O462" i="1"/>
  <c r="AP462" i="2"/>
  <c r="N462" i="1"/>
  <c r="AO462" i="2"/>
  <c r="M462" i="1"/>
  <c r="AN462" i="2"/>
  <c r="L462" i="1"/>
  <c r="AM462" i="2"/>
  <c r="K462" i="1"/>
  <c r="AL462" i="2"/>
  <c r="AK462" i="2"/>
  <c r="AJ462" i="2"/>
  <c r="H462" i="1"/>
  <c r="AI462" i="2"/>
  <c r="G462" i="1"/>
  <c r="AH462" i="2"/>
  <c r="F462" i="1"/>
  <c r="AG462" i="2"/>
  <c r="E462" i="1"/>
  <c r="AF462" i="2"/>
  <c r="D462" i="1"/>
  <c r="AE462" i="2"/>
  <c r="AD462" i="2"/>
  <c r="AC462" i="2"/>
  <c r="Z462" i="2"/>
  <c r="Y462" i="2"/>
  <c r="R461" i="1"/>
  <c r="AS461" i="2"/>
  <c r="AR461" i="2"/>
  <c r="P461" i="1"/>
  <c r="AQ461" i="2"/>
  <c r="O461" i="1"/>
  <c r="AP461" i="2"/>
  <c r="N461" i="1"/>
  <c r="AO461" i="2"/>
  <c r="M461" i="1"/>
  <c r="AN461" i="2"/>
  <c r="L461" i="1"/>
  <c r="AM461" i="2"/>
  <c r="K461" i="1"/>
  <c r="AL461" i="2"/>
  <c r="AK461" i="2"/>
  <c r="AJ461" i="2"/>
  <c r="H461" i="1"/>
  <c r="AI461" i="2"/>
  <c r="G461" i="1"/>
  <c r="AH461" i="2"/>
  <c r="F461" i="1"/>
  <c r="AG461" i="2"/>
  <c r="E461" i="1"/>
  <c r="AF461" i="2"/>
  <c r="D461" i="1"/>
  <c r="AE461" i="2"/>
  <c r="AD461" i="2"/>
  <c r="AC461" i="2"/>
  <c r="Z461" i="2"/>
  <c r="Y461" i="2"/>
  <c r="R460" i="1"/>
  <c r="AS460" i="2"/>
  <c r="AR460" i="2"/>
  <c r="P460" i="1"/>
  <c r="AQ460" i="2"/>
  <c r="O460" i="1"/>
  <c r="AP460" i="2"/>
  <c r="N460" i="1"/>
  <c r="AO460" i="2"/>
  <c r="M460" i="1"/>
  <c r="AN460" i="2"/>
  <c r="L460" i="1"/>
  <c r="AM460" i="2"/>
  <c r="K460" i="1"/>
  <c r="AL460" i="2"/>
  <c r="AK460" i="2"/>
  <c r="AJ460" i="2"/>
  <c r="H460" i="1"/>
  <c r="AI460" i="2"/>
  <c r="G460" i="1"/>
  <c r="AH460" i="2"/>
  <c r="F460" i="1"/>
  <c r="AG460" i="2"/>
  <c r="E460" i="1"/>
  <c r="AF460" i="2"/>
  <c r="D460" i="1"/>
  <c r="AE460" i="2"/>
  <c r="AD460" i="2"/>
  <c r="AC460" i="2"/>
  <c r="Z460" i="2"/>
  <c r="Y460" i="2"/>
  <c r="R459" i="1"/>
  <c r="AS459" i="2"/>
  <c r="AR459" i="2"/>
  <c r="P459" i="1"/>
  <c r="AQ459" i="2"/>
  <c r="O459" i="1"/>
  <c r="AP459" i="2"/>
  <c r="N459" i="1"/>
  <c r="AO459" i="2"/>
  <c r="M459" i="1"/>
  <c r="AN459" i="2"/>
  <c r="L459" i="1"/>
  <c r="AM459" i="2"/>
  <c r="K459" i="1"/>
  <c r="AL459" i="2"/>
  <c r="AK459" i="2"/>
  <c r="AJ459" i="2"/>
  <c r="H459" i="1"/>
  <c r="AI459" i="2"/>
  <c r="G459" i="1"/>
  <c r="AH459" i="2"/>
  <c r="F459" i="1"/>
  <c r="AG459" i="2"/>
  <c r="E459" i="1"/>
  <c r="AF459" i="2"/>
  <c r="D459" i="1"/>
  <c r="AE459" i="2"/>
  <c r="AD459" i="2"/>
  <c r="AC459" i="2"/>
  <c r="Z459" i="2"/>
  <c r="Y459" i="2"/>
  <c r="R458" i="1"/>
  <c r="AS458" i="2"/>
  <c r="AR458" i="2"/>
  <c r="P458" i="1"/>
  <c r="AQ458" i="2"/>
  <c r="O458" i="1"/>
  <c r="AP458" i="2"/>
  <c r="N458" i="1"/>
  <c r="AO458" i="2"/>
  <c r="M458" i="1"/>
  <c r="AN458" i="2"/>
  <c r="L458" i="1"/>
  <c r="AM458" i="2"/>
  <c r="K458" i="1"/>
  <c r="AL458" i="2"/>
  <c r="AK458" i="2"/>
  <c r="AJ458" i="2"/>
  <c r="H458" i="1"/>
  <c r="AI458" i="2"/>
  <c r="G458" i="1"/>
  <c r="AH458" i="2"/>
  <c r="F458" i="1"/>
  <c r="AG458" i="2"/>
  <c r="E458" i="1"/>
  <c r="AF458" i="2"/>
  <c r="D458" i="1"/>
  <c r="AE458" i="2"/>
  <c r="AD458" i="2"/>
  <c r="AC458" i="2"/>
  <c r="Z458" i="2"/>
  <c r="Y458" i="2"/>
  <c r="R457" i="1"/>
  <c r="AS457" i="2"/>
  <c r="AR457" i="2"/>
  <c r="P457" i="1"/>
  <c r="AQ457" i="2"/>
  <c r="O457" i="1"/>
  <c r="AP457" i="2"/>
  <c r="N457" i="1"/>
  <c r="AO457" i="2"/>
  <c r="M457" i="1"/>
  <c r="AN457" i="2"/>
  <c r="L457" i="1"/>
  <c r="AM457" i="2"/>
  <c r="K457" i="1"/>
  <c r="AL457" i="2"/>
  <c r="AK457" i="2"/>
  <c r="AJ457" i="2"/>
  <c r="H457" i="1"/>
  <c r="AI457" i="2"/>
  <c r="G457" i="1"/>
  <c r="AH457" i="2"/>
  <c r="F457" i="1"/>
  <c r="AG457" i="2"/>
  <c r="E457" i="1"/>
  <c r="AF457" i="2"/>
  <c r="D457" i="1"/>
  <c r="AE457" i="2"/>
  <c r="AD457" i="2"/>
  <c r="AC457" i="2"/>
  <c r="Z457" i="2"/>
  <c r="Y457" i="2"/>
  <c r="R456" i="1"/>
  <c r="AS456" i="2"/>
  <c r="AR456" i="2"/>
  <c r="P456" i="1"/>
  <c r="AQ456" i="2"/>
  <c r="O456" i="1"/>
  <c r="AP456" i="2"/>
  <c r="N456" i="1"/>
  <c r="AO456" i="2"/>
  <c r="M456" i="1"/>
  <c r="AN456" i="2"/>
  <c r="L456" i="1"/>
  <c r="AM456" i="2"/>
  <c r="K456" i="1"/>
  <c r="AL456" i="2"/>
  <c r="AK456" i="2"/>
  <c r="AJ456" i="2"/>
  <c r="H456" i="1"/>
  <c r="AI456" i="2"/>
  <c r="G456" i="1"/>
  <c r="AH456" i="2"/>
  <c r="F456" i="1"/>
  <c r="AG456" i="2"/>
  <c r="E456" i="1"/>
  <c r="AF456" i="2"/>
  <c r="D456" i="1"/>
  <c r="AE456" i="2"/>
  <c r="AD456" i="2"/>
  <c r="AC456" i="2"/>
  <c r="Z456" i="2"/>
  <c r="Y456" i="2"/>
  <c r="R455" i="1"/>
  <c r="AS455" i="2"/>
  <c r="AR455" i="2"/>
  <c r="P455" i="1"/>
  <c r="AQ455" i="2"/>
  <c r="O455" i="1"/>
  <c r="AP455" i="2"/>
  <c r="N455" i="1"/>
  <c r="AO455" i="2"/>
  <c r="M455" i="1"/>
  <c r="AN455" i="2"/>
  <c r="L455" i="1"/>
  <c r="AM455" i="2"/>
  <c r="K455" i="1"/>
  <c r="AL455" i="2"/>
  <c r="AK455" i="2"/>
  <c r="AJ455" i="2"/>
  <c r="H455" i="1"/>
  <c r="AI455" i="2"/>
  <c r="G455" i="1"/>
  <c r="AH455" i="2"/>
  <c r="F455" i="1"/>
  <c r="AG455" i="2"/>
  <c r="E455" i="1"/>
  <c r="AF455" i="2"/>
  <c r="D455" i="1"/>
  <c r="AE455" i="2"/>
  <c r="AD455" i="2"/>
  <c r="AC455" i="2"/>
  <c r="Z455" i="2"/>
  <c r="Y455" i="2"/>
  <c r="R454" i="1"/>
  <c r="AS454" i="2"/>
  <c r="AR454" i="2"/>
  <c r="P454" i="1"/>
  <c r="AQ454" i="2"/>
  <c r="O454" i="1"/>
  <c r="AP454" i="2"/>
  <c r="N454" i="1"/>
  <c r="AO454" i="2"/>
  <c r="M454" i="1"/>
  <c r="AN454" i="2"/>
  <c r="L454" i="1"/>
  <c r="AM454" i="2"/>
  <c r="K454" i="1"/>
  <c r="AL454" i="2"/>
  <c r="AK454" i="2"/>
  <c r="AJ454" i="2"/>
  <c r="H454" i="1"/>
  <c r="AI454" i="2"/>
  <c r="G454" i="1"/>
  <c r="AH454" i="2"/>
  <c r="F454" i="1"/>
  <c r="AG454" i="2"/>
  <c r="E454" i="1"/>
  <c r="AF454" i="2"/>
  <c r="D454" i="1"/>
  <c r="AE454" i="2"/>
  <c r="AD454" i="2"/>
  <c r="AC454" i="2"/>
  <c r="Z454" i="2"/>
  <c r="Y454" i="2"/>
  <c r="R453" i="1"/>
  <c r="AS453" i="2"/>
  <c r="AR453" i="2"/>
  <c r="P453" i="1"/>
  <c r="AQ453" i="2"/>
  <c r="O453" i="1"/>
  <c r="AP453" i="2"/>
  <c r="N453" i="1"/>
  <c r="AO453" i="2"/>
  <c r="M453" i="1"/>
  <c r="AN453" i="2"/>
  <c r="L453" i="1"/>
  <c r="AM453" i="2"/>
  <c r="K453" i="1"/>
  <c r="AL453" i="2"/>
  <c r="AK453" i="2"/>
  <c r="AJ453" i="2"/>
  <c r="H453" i="1"/>
  <c r="AI453" i="2"/>
  <c r="G453" i="1"/>
  <c r="AH453" i="2"/>
  <c r="F453" i="1"/>
  <c r="AG453" i="2"/>
  <c r="E453" i="1"/>
  <c r="AF453" i="2"/>
  <c r="D453" i="1"/>
  <c r="AE453" i="2"/>
  <c r="AD453" i="2"/>
  <c r="AC453" i="2"/>
  <c r="Z453" i="2"/>
  <c r="Y453" i="2"/>
  <c r="R452" i="1"/>
  <c r="AS452" i="2"/>
  <c r="AR452" i="2"/>
  <c r="P452" i="1"/>
  <c r="AQ452" i="2"/>
  <c r="O452" i="1"/>
  <c r="AP452" i="2"/>
  <c r="N452" i="1"/>
  <c r="AO452" i="2"/>
  <c r="M452" i="1"/>
  <c r="AN452" i="2"/>
  <c r="L452" i="1"/>
  <c r="AM452" i="2"/>
  <c r="K452" i="1"/>
  <c r="AL452" i="2"/>
  <c r="AK452" i="2"/>
  <c r="AJ452" i="2"/>
  <c r="H452" i="1"/>
  <c r="AI452" i="2"/>
  <c r="G452" i="1"/>
  <c r="AH452" i="2"/>
  <c r="F452" i="1"/>
  <c r="AG452" i="2"/>
  <c r="E452" i="1"/>
  <c r="AF452" i="2"/>
  <c r="D452" i="1"/>
  <c r="AE452" i="2"/>
  <c r="AD452" i="2"/>
  <c r="AC452" i="2"/>
  <c r="Z452" i="2"/>
  <c r="Y452" i="2"/>
  <c r="R451" i="1"/>
  <c r="AS451" i="2"/>
  <c r="AR451" i="2"/>
  <c r="P451" i="1"/>
  <c r="AQ451" i="2"/>
  <c r="O451" i="1"/>
  <c r="AP451" i="2"/>
  <c r="N451" i="1"/>
  <c r="AO451" i="2"/>
  <c r="M451" i="1"/>
  <c r="AN451" i="2"/>
  <c r="L451" i="1"/>
  <c r="AM451" i="2"/>
  <c r="K451" i="1"/>
  <c r="AL451" i="2"/>
  <c r="AK451" i="2"/>
  <c r="AJ451" i="2"/>
  <c r="H451" i="1"/>
  <c r="AI451" i="2"/>
  <c r="G451" i="1"/>
  <c r="AH451" i="2"/>
  <c r="F451" i="1"/>
  <c r="AG451" i="2"/>
  <c r="E451" i="1"/>
  <c r="AF451" i="2"/>
  <c r="D451" i="1"/>
  <c r="AE451" i="2"/>
  <c r="AD451" i="2"/>
  <c r="AC451" i="2"/>
  <c r="Z451" i="2"/>
  <c r="Y451" i="2"/>
  <c r="R450" i="1"/>
  <c r="AS450" i="2"/>
  <c r="AR450" i="2"/>
  <c r="P450" i="1"/>
  <c r="AQ450" i="2"/>
  <c r="O450" i="1"/>
  <c r="AP450" i="2"/>
  <c r="N450" i="1"/>
  <c r="AO450" i="2"/>
  <c r="M450" i="1"/>
  <c r="AN450" i="2"/>
  <c r="L450" i="1"/>
  <c r="AM450" i="2"/>
  <c r="K450" i="1"/>
  <c r="AL450" i="2"/>
  <c r="AK450" i="2"/>
  <c r="AJ450" i="2"/>
  <c r="H450" i="1"/>
  <c r="AI450" i="2"/>
  <c r="G450" i="1"/>
  <c r="AH450" i="2"/>
  <c r="F450" i="1"/>
  <c r="AG450" i="2"/>
  <c r="E450" i="1"/>
  <c r="AF450" i="2"/>
  <c r="D450" i="1"/>
  <c r="AE450" i="2"/>
  <c r="AD450" i="2"/>
  <c r="AC450" i="2"/>
  <c r="Z450" i="2"/>
  <c r="Y450" i="2"/>
  <c r="R449" i="1"/>
  <c r="AS449" i="2"/>
  <c r="AR449" i="2"/>
  <c r="P449" i="1"/>
  <c r="AQ449" i="2"/>
  <c r="O449" i="1"/>
  <c r="AP449" i="2"/>
  <c r="N449" i="1"/>
  <c r="AO449" i="2"/>
  <c r="M449" i="1"/>
  <c r="AN449" i="2"/>
  <c r="L449" i="1"/>
  <c r="AM449" i="2"/>
  <c r="K449" i="1"/>
  <c r="AL449" i="2"/>
  <c r="AK449" i="2"/>
  <c r="AJ449" i="2"/>
  <c r="H449" i="1"/>
  <c r="AI449" i="2"/>
  <c r="G449" i="1"/>
  <c r="AH449" i="2"/>
  <c r="F449" i="1"/>
  <c r="AG449" i="2"/>
  <c r="E449" i="1"/>
  <c r="AF449" i="2"/>
  <c r="D449" i="1"/>
  <c r="AE449" i="2"/>
  <c r="AD449" i="2"/>
  <c r="AC449" i="2"/>
  <c r="Z449" i="2"/>
  <c r="Y449" i="2"/>
  <c r="R448" i="1"/>
  <c r="AS448" i="2"/>
  <c r="AR448" i="2"/>
  <c r="P448" i="1"/>
  <c r="AQ448" i="2"/>
  <c r="O448" i="1"/>
  <c r="AP448" i="2"/>
  <c r="N448" i="1"/>
  <c r="AO448" i="2"/>
  <c r="M448" i="1"/>
  <c r="AN448" i="2"/>
  <c r="L448" i="1"/>
  <c r="AM448" i="2"/>
  <c r="K448" i="1"/>
  <c r="AL448" i="2"/>
  <c r="AK448" i="2"/>
  <c r="AJ448" i="2"/>
  <c r="H448" i="1"/>
  <c r="AI448" i="2"/>
  <c r="G448" i="1"/>
  <c r="AH448" i="2"/>
  <c r="F448" i="1"/>
  <c r="AG448" i="2"/>
  <c r="E448" i="1"/>
  <c r="AF448" i="2"/>
  <c r="D448" i="1"/>
  <c r="AE448" i="2"/>
  <c r="AD448" i="2"/>
  <c r="AC448" i="2"/>
  <c r="Z448" i="2"/>
  <c r="Y448" i="2"/>
  <c r="R447" i="1"/>
  <c r="AS447" i="2"/>
  <c r="AR447" i="2"/>
  <c r="P447" i="1"/>
  <c r="AQ447" i="2"/>
  <c r="O447" i="1"/>
  <c r="AP447" i="2"/>
  <c r="N447" i="1"/>
  <c r="AO447" i="2"/>
  <c r="M447" i="1"/>
  <c r="AN447" i="2"/>
  <c r="L447" i="1"/>
  <c r="AM447" i="2"/>
  <c r="K447" i="1"/>
  <c r="AL447" i="2"/>
  <c r="AK447" i="2"/>
  <c r="AJ447" i="2"/>
  <c r="H447" i="1"/>
  <c r="AI447" i="2"/>
  <c r="G447" i="1"/>
  <c r="AH447" i="2"/>
  <c r="F447" i="1"/>
  <c r="AG447" i="2"/>
  <c r="E447" i="1"/>
  <c r="AF447" i="2"/>
  <c r="D447" i="1"/>
  <c r="AE447" i="2"/>
  <c r="AD447" i="2"/>
  <c r="AC447" i="2"/>
  <c r="Z447" i="2"/>
  <c r="Y447" i="2"/>
  <c r="R446" i="1"/>
  <c r="AS446" i="2"/>
  <c r="AR446" i="2"/>
  <c r="P446" i="1"/>
  <c r="AQ446" i="2"/>
  <c r="O446" i="1"/>
  <c r="AP446" i="2"/>
  <c r="N446" i="1"/>
  <c r="AO446" i="2"/>
  <c r="M446" i="1"/>
  <c r="AN446" i="2"/>
  <c r="L446" i="1"/>
  <c r="AM446" i="2"/>
  <c r="K446" i="1"/>
  <c r="AL446" i="2"/>
  <c r="AK446" i="2"/>
  <c r="AJ446" i="2"/>
  <c r="H446" i="1"/>
  <c r="AI446" i="2"/>
  <c r="G446" i="1"/>
  <c r="AH446" i="2"/>
  <c r="F446" i="1"/>
  <c r="AG446" i="2"/>
  <c r="E446" i="1"/>
  <c r="AF446" i="2"/>
  <c r="D446" i="1"/>
  <c r="AE446" i="2"/>
  <c r="AD446" i="2"/>
  <c r="AC446" i="2"/>
  <c r="Z446" i="2"/>
  <c r="Y446" i="2"/>
  <c r="R445" i="1"/>
  <c r="AS445" i="2"/>
  <c r="AR445" i="2"/>
  <c r="P445" i="1"/>
  <c r="AQ445" i="2"/>
  <c r="O445" i="1"/>
  <c r="AP445" i="2"/>
  <c r="N445" i="1"/>
  <c r="AO445" i="2"/>
  <c r="M445" i="1"/>
  <c r="AN445" i="2"/>
  <c r="L445" i="1"/>
  <c r="AM445" i="2"/>
  <c r="K445" i="1"/>
  <c r="AL445" i="2"/>
  <c r="AK445" i="2"/>
  <c r="AJ445" i="2"/>
  <c r="H445" i="1"/>
  <c r="AI445" i="2"/>
  <c r="G445" i="1"/>
  <c r="AH445" i="2"/>
  <c r="F445" i="1"/>
  <c r="AG445" i="2"/>
  <c r="E445" i="1"/>
  <c r="AF445" i="2"/>
  <c r="D445" i="1"/>
  <c r="AE445" i="2"/>
  <c r="AD445" i="2"/>
  <c r="AC445" i="2"/>
  <c r="Z445" i="2"/>
  <c r="Y445" i="2"/>
  <c r="R444" i="1"/>
  <c r="AS444" i="2"/>
  <c r="AR444" i="2"/>
  <c r="P444" i="1"/>
  <c r="AQ444" i="2"/>
  <c r="O444" i="1"/>
  <c r="AP444" i="2"/>
  <c r="N444" i="1"/>
  <c r="AO444" i="2"/>
  <c r="M444" i="1"/>
  <c r="AN444" i="2"/>
  <c r="L444" i="1"/>
  <c r="AM444" i="2"/>
  <c r="K444" i="1"/>
  <c r="AL444" i="2"/>
  <c r="AK444" i="2"/>
  <c r="AJ444" i="2"/>
  <c r="H444" i="1"/>
  <c r="AI444" i="2"/>
  <c r="G444" i="1"/>
  <c r="AH444" i="2"/>
  <c r="F444" i="1"/>
  <c r="AG444" i="2"/>
  <c r="E444" i="1"/>
  <c r="AF444" i="2"/>
  <c r="D444" i="1"/>
  <c r="AE444" i="2"/>
  <c r="AD444" i="2"/>
  <c r="AC444" i="2"/>
  <c r="Z444" i="2"/>
  <c r="Y444" i="2"/>
  <c r="R443" i="1"/>
  <c r="AS443" i="2"/>
  <c r="AR443" i="2"/>
  <c r="P443" i="1"/>
  <c r="AQ443" i="2"/>
  <c r="O443" i="1"/>
  <c r="AP443" i="2"/>
  <c r="N443" i="1"/>
  <c r="AO443" i="2"/>
  <c r="M443" i="1"/>
  <c r="AN443" i="2"/>
  <c r="L443" i="1"/>
  <c r="AM443" i="2"/>
  <c r="K443" i="1"/>
  <c r="AL443" i="2"/>
  <c r="AK443" i="2"/>
  <c r="AJ443" i="2"/>
  <c r="H443" i="1"/>
  <c r="AI443" i="2"/>
  <c r="G443" i="1"/>
  <c r="AH443" i="2"/>
  <c r="F443" i="1"/>
  <c r="AG443" i="2"/>
  <c r="E443" i="1"/>
  <c r="AF443" i="2"/>
  <c r="D443" i="1"/>
  <c r="AE443" i="2"/>
  <c r="AD443" i="2"/>
  <c r="AC443" i="2"/>
  <c r="Z443" i="2"/>
  <c r="Y443" i="2"/>
  <c r="R442" i="1"/>
  <c r="AS442" i="2"/>
  <c r="AR442" i="2"/>
  <c r="P442" i="1"/>
  <c r="AQ442" i="2"/>
  <c r="O442" i="1"/>
  <c r="AP442" i="2"/>
  <c r="N442" i="1"/>
  <c r="AO442" i="2"/>
  <c r="M442" i="1"/>
  <c r="AN442" i="2"/>
  <c r="L442" i="1"/>
  <c r="AM442" i="2"/>
  <c r="K442" i="1"/>
  <c r="AL442" i="2"/>
  <c r="AK442" i="2"/>
  <c r="AJ442" i="2"/>
  <c r="H442" i="1"/>
  <c r="AI442" i="2"/>
  <c r="G442" i="1"/>
  <c r="AH442" i="2"/>
  <c r="F442" i="1"/>
  <c r="AG442" i="2"/>
  <c r="E442" i="1"/>
  <c r="AF442" i="2"/>
  <c r="D442" i="1"/>
  <c r="AE442" i="2"/>
  <c r="AD442" i="2"/>
  <c r="AC442" i="2"/>
  <c r="Z442" i="2"/>
  <c r="Y442" i="2"/>
  <c r="R441" i="1"/>
  <c r="AS441" i="2"/>
  <c r="AR441" i="2"/>
  <c r="P441" i="1"/>
  <c r="AQ441" i="2"/>
  <c r="O441" i="1"/>
  <c r="AP441" i="2"/>
  <c r="N441" i="1"/>
  <c r="AO441" i="2"/>
  <c r="M441" i="1"/>
  <c r="AN441" i="2"/>
  <c r="L441" i="1"/>
  <c r="AM441" i="2"/>
  <c r="K441" i="1"/>
  <c r="AL441" i="2"/>
  <c r="AK441" i="2"/>
  <c r="AJ441" i="2"/>
  <c r="H441" i="1"/>
  <c r="AI441" i="2"/>
  <c r="G441" i="1"/>
  <c r="AH441" i="2"/>
  <c r="F441" i="1"/>
  <c r="AG441" i="2"/>
  <c r="E441" i="1"/>
  <c r="AF441" i="2"/>
  <c r="D441" i="1"/>
  <c r="AE441" i="2"/>
  <c r="AD441" i="2"/>
  <c r="AC441" i="2"/>
  <c r="Z441" i="2"/>
  <c r="Y441" i="2"/>
  <c r="R440" i="1"/>
  <c r="AS440" i="2"/>
  <c r="AR440" i="2"/>
  <c r="P440" i="1"/>
  <c r="AQ440" i="2"/>
  <c r="O440" i="1"/>
  <c r="AP440" i="2"/>
  <c r="N440" i="1"/>
  <c r="AO440" i="2"/>
  <c r="M440" i="1"/>
  <c r="AN440" i="2"/>
  <c r="L440" i="1"/>
  <c r="AM440" i="2"/>
  <c r="K440" i="1"/>
  <c r="AL440" i="2"/>
  <c r="AK440" i="2"/>
  <c r="AJ440" i="2"/>
  <c r="H440" i="1"/>
  <c r="AI440" i="2"/>
  <c r="G440" i="1"/>
  <c r="AH440" i="2"/>
  <c r="F440" i="1"/>
  <c r="AG440" i="2"/>
  <c r="E440" i="1"/>
  <c r="AF440" i="2"/>
  <c r="D440" i="1"/>
  <c r="AE440" i="2"/>
  <c r="AD440" i="2"/>
  <c r="AC440" i="2"/>
  <c r="Z440" i="2"/>
  <c r="Y440" i="2"/>
  <c r="R439" i="1"/>
  <c r="AS439" i="2"/>
  <c r="AR439" i="2"/>
  <c r="P439" i="1"/>
  <c r="AQ439" i="2"/>
  <c r="O439" i="1"/>
  <c r="AP439" i="2"/>
  <c r="N439" i="1"/>
  <c r="AO439" i="2"/>
  <c r="M439" i="1"/>
  <c r="AN439" i="2"/>
  <c r="L439" i="1"/>
  <c r="AM439" i="2"/>
  <c r="K439" i="1"/>
  <c r="AL439" i="2"/>
  <c r="AK439" i="2"/>
  <c r="AJ439" i="2"/>
  <c r="H439" i="1"/>
  <c r="AI439" i="2"/>
  <c r="G439" i="1"/>
  <c r="AH439" i="2"/>
  <c r="F439" i="1"/>
  <c r="AG439" i="2"/>
  <c r="E439" i="1"/>
  <c r="AF439" i="2"/>
  <c r="D439" i="1"/>
  <c r="AE439" i="2"/>
  <c r="AD439" i="2"/>
  <c r="AC439" i="2"/>
  <c r="Z439" i="2"/>
  <c r="Y439" i="2"/>
  <c r="R438" i="1"/>
  <c r="AS438" i="2"/>
  <c r="AR438" i="2"/>
  <c r="P438" i="1"/>
  <c r="AQ438" i="2"/>
  <c r="O438" i="1"/>
  <c r="AP438" i="2"/>
  <c r="N438" i="1"/>
  <c r="AO438" i="2"/>
  <c r="M438" i="1"/>
  <c r="AN438" i="2"/>
  <c r="L438" i="1"/>
  <c r="AM438" i="2"/>
  <c r="K438" i="1"/>
  <c r="AL438" i="2"/>
  <c r="AK438" i="2"/>
  <c r="AJ438" i="2"/>
  <c r="H438" i="1"/>
  <c r="AI438" i="2"/>
  <c r="G438" i="1"/>
  <c r="AH438" i="2"/>
  <c r="F438" i="1"/>
  <c r="AG438" i="2"/>
  <c r="E438" i="1"/>
  <c r="AF438" i="2"/>
  <c r="D438" i="1"/>
  <c r="AE438" i="2"/>
  <c r="AD438" i="2"/>
  <c r="AC438" i="2"/>
  <c r="Z438" i="2"/>
  <c r="Y438" i="2"/>
  <c r="R437" i="1"/>
  <c r="AS437" i="2"/>
  <c r="AR437" i="2"/>
  <c r="P437" i="1"/>
  <c r="AQ437" i="2"/>
  <c r="O437" i="1"/>
  <c r="AP437" i="2"/>
  <c r="N437" i="1"/>
  <c r="AO437" i="2"/>
  <c r="M437" i="1"/>
  <c r="AN437" i="2"/>
  <c r="L437" i="1"/>
  <c r="AM437" i="2"/>
  <c r="K437" i="1"/>
  <c r="AL437" i="2"/>
  <c r="AK437" i="2"/>
  <c r="AJ437" i="2"/>
  <c r="H437" i="1"/>
  <c r="AI437" i="2"/>
  <c r="G437" i="1"/>
  <c r="AH437" i="2"/>
  <c r="F437" i="1"/>
  <c r="AG437" i="2"/>
  <c r="E437" i="1"/>
  <c r="AF437" i="2"/>
  <c r="D437" i="1"/>
  <c r="AE437" i="2"/>
  <c r="AD437" i="2"/>
  <c r="AC437" i="2"/>
  <c r="Z437" i="2"/>
  <c r="Y437" i="2"/>
  <c r="R436" i="1"/>
  <c r="AS436" i="2"/>
  <c r="AR436" i="2"/>
  <c r="P436" i="1"/>
  <c r="AQ436" i="2"/>
  <c r="O436" i="1"/>
  <c r="AP436" i="2"/>
  <c r="N436" i="1"/>
  <c r="AO436" i="2"/>
  <c r="M436" i="1"/>
  <c r="AN436" i="2"/>
  <c r="L436" i="1"/>
  <c r="AM436" i="2"/>
  <c r="K436" i="1"/>
  <c r="AL436" i="2"/>
  <c r="AK436" i="2"/>
  <c r="AJ436" i="2"/>
  <c r="H436" i="1"/>
  <c r="AI436" i="2"/>
  <c r="G436" i="1"/>
  <c r="AH436" i="2"/>
  <c r="F436" i="1"/>
  <c r="AG436" i="2"/>
  <c r="E436" i="1"/>
  <c r="AF436" i="2"/>
  <c r="D436" i="1"/>
  <c r="AE436" i="2"/>
  <c r="AD436" i="2"/>
  <c r="AC436" i="2"/>
  <c r="Z436" i="2"/>
  <c r="Y436" i="2"/>
  <c r="R435" i="1"/>
  <c r="AS435" i="2"/>
  <c r="AR435" i="2"/>
  <c r="P435" i="1"/>
  <c r="AQ435" i="2"/>
  <c r="O435" i="1"/>
  <c r="AP435" i="2"/>
  <c r="N435" i="1"/>
  <c r="AO435" i="2"/>
  <c r="M435" i="1"/>
  <c r="AN435" i="2"/>
  <c r="L435" i="1"/>
  <c r="AM435" i="2"/>
  <c r="K435" i="1"/>
  <c r="AL435" i="2"/>
  <c r="AK435" i="2"/>
  <c r="AJ435" i="2"/>
  <c r="H435" i="1"/>
  <c r="AI435" i="2"/>
  <c r="G435" i="1"/>
  <c r="AH435" i="2"/>
  <c r="F435" i="1"/>
  <c r="AG435" i="2"/>
  <c r="E435" i="1"/>
  <c r="AF435" i="2"/>
  <c r="D435" i="1"/>
  <c r="AE435" i="2"/>
  <c r="AD435" i="2"/>
  <c r="AC435" i="2"/>
  <c r="Z435" i="2"/>
  <c r="Y435" i="2"/>
  <c r="R434" i="1"/>
  <c r="AS434" i="2"/>
  <c r="AR434" i="2"/>
  <c r="P434" i="1"/>
  <c r="AQ434" i="2"/>
  <c r="O434" i="1"/>
  <c r="AP434" i="2"/>
  <c r="N434" i="1"/>
  <c r="AO434" i="2"/>
  <c r="M434" i="1"/>
  <c r="AN434" i="2"/>
  <c r="L434" i="1"/>
  <c r="AM434" i="2"/>
  <c r="K434" i="1"/>
  <c r="AL434" i="2"/>
  <c r="AK434" i="2"/>
  <c r="AJ434" i="2"/>
  <c r="H434" i="1"/>
  <c r="AI434" i="2"/>
  <c r="G434" i="1"/>
  <c r="AH434" i="2"/>
  <c r="F434" i="1"/>
  <c r="AG434" i="2"/>
  <c r="E434" i="1"/>
  <c r="AF434" i="2"/>
  <c r="D434" i="1"/>
  <c r="AE434" i="2"/>
  <c r="AD434" i="2"/>
  <c r="AC434" i="2"/>
  <c r="Z434" i="2"/>
  <c r="Y434" i="2"/>
  <c r="R433" i="1"/>
  <c r="AS433" i="2"/>
  <c r="AR433" i="2"/>
  <c r="P433" i="1"/>
  <c r="AQ433" i="2"/>
  <c r="O433" i="1"/>
  <c r="AP433" i="2"/>
  <c r="N433" i="1"/>
  <c r="AO433" i="2"/>
  <c r="M433" i="1"/>
  <c r="AN433" i="2"/>
  <c r="L433" i="1"/>
  <c r="AM433" i="2"/>
  <c r="K433" i="1"/>
  <c r="AL433" i="2"/>
  <c r="AK433" i="2"/>
  <c r="AJ433" i="2"/>
  <c r="H433" i="1"/>
  <c r="AI433" i="2"/>
  <c r="G433" i="1"/>
  <c r="AH433" i="2"/>
  <c r="F433" i="1"/>
  <c r="AG433" i="2"/>
  <c r="E433" i="1"/>
  <c r="AF433" i="2"/>
  <c r="D433" i="1"/>
  <c r="AE433" i="2"/>
  <c r="AD433" i="2"/>
  <c r="AC433" i="2"/>
  <c r="Z433" i="2"/>
  <c r="Y433" i="2"/>
  <c r="R432" i="1"/>
  <c r="AS432" i="2"/>
  <c r="AR432" i="2"/>
  <c r="P432" i="1"/>
  <c r="AQ432" i="2"/>
  <c r="O432" i="1"/>
  <c r="AP432" i="2"/>
  <c r="N432" i="1"/>
  <c r="AO432" i="2"/>
  <c r="M432" i="1"/>
  <c r="AN432" i="2"/>
  <c r="L432" i="1"/>
  <c r="AM432" i="2"/>
  <c r="K432" i="1"/>
  <c r="AL432" i="2"/>
  <c r="AK432" i="2"/>
  <c r="AJ432" i="2"/>
  <c r="H432" i="1"/>
  <c r="AI432" i="2"/>
  <c r="G432" i="1"/>
  <c r="AH432" i="2"/>
  <c r="F432" i="1"/>
  <c r="AG432" i="2"/>
  <c r="E432" i="1"/>
  <c r="AF432" i="2"/>
  <c r="D432" i="1"/>
  <c r="AE432" i="2"/>
  <c r="AD432" i="2"/>
  <c r="AC432" i="2"/>
  <c r="Z432" i="2"/>
  <c r="Y432" i="2"/>
  <c r="R431" i="1"/>
  <c r="AS431" i="2"/>
  <c r="AR431" i="2"/>
  <c r="P431" i="1"/>
  <c r="AQ431" i="2"/>
  <c r="O431" i="1"/>
  <c r="AP431" i="2"/>
  <c r="N431" i="1"/>
  <c r="AO431" i="2"/>
  <c r="M431" i="1"/>
  <c r="AN431" i="2"/>
  <c r="L431" i="1"/>
  <c r="AM431" i="2"/>
  <c r="K431" i="1"/>
  <c r="AL431" i="2"/>
  <c r="AK431" i="2"/>
  <c r="AJ431" i="2"/>
  <c r="H431" i="1"/>
  <c r="AI431" i="2"/>
  <c r="G431" i="1"/>
  <c r="AH431" i="2"/>
  <c r="F431" i="1"/>
  <c r="AG431" i="2"/>
  <c r="E431" i="1"/>
  <c r="AF431" i="2"/>
  <c r="D431" i="1"/>
  <c r="AE431" i="2"/>
  <c r="AD431" i="2"/>
  <c r="AC431" i="2"/>
  <c r="Z431" i="2"/>
  <c r="Y431" i="2"/>
  <c r="R430" i="1"/>
  <c r="AS430" i="2"/>
  <c r="AR430" i="2"/>
  <c r="P430" i="1"/>
  <c r="AQ430" i="2"/>
  <c r="O430" i="1"/>
  <c r="AP430" i="2"/>
  <c r="N430" i="1"/>
  <c r="AO430" i="2"/>
  <c r="M430" i="1"/>
  <c r="AN430" i="2"/>
  <c r="L430" i="1"/>
  <c r="AM430" i="2"/>
  <c r="K430" i="1"/>
  <c r="AL430" i="2"/>
  <c r="AK430" i="2"/>
  <c r="AJ430" i="2"/>
  <c r="H430" i="1"/>
  <c r="AI430" i="2"/>
  <c r="G430" i="1"/>
  <c r="AH430" i="2"/>
  <c r="F430" i="1"/>
  <c r="AG430" i="2"/>
  <c r="E430" i="1"/>
  <c r="AF430" i="2"/>
  <c r="D430" i="1"/>
  <c r="AE430" i="2"/>
  <c r="AD430" i="2"/>
  <c r="AC430" i="2"/>
  <c r="Z430" i="2"/>
  <c r="Y430" i="2"/>
  <c r="R429" i="1"/>
  <c r="AS429" i="2"/>
  <c r="AR429" i="2"/>
  <c r="P429" i="1"/>
  <c r="AQ429" i="2"/>
  <c r="O429" i="1"/>
  <c r="AP429" i="2"/>
  <c r="N429" i="1"/>
  <c r="AO429" i="2"/>
  <c r="M429" i="1"/>
  <c r="AN429" i="2"/>
  <c r="L429" i="1"/>
  <c r="AM429" i="2"/>
  <c r="K429" i="1"/>
  <c r="AL429" i="2"/>
  <c r="AK429" i="2"/>
  <c r="AJ429" i="2"/>
  <c r="H429" i="1"/>
  <c r="AI429" i="2"/>
  <c r="G429" i="1"/>
  <c r="AH429" i="2"/>
  <c r="F429" i="1"/>
  <c r="AG429" i="2"/>
  <c r="E429" i="1"/>
  <c r="AF429" i="2"/>
  <c r="D429" i="1"/>
  <c r="AE429" i="2"/>
  <c r="AD429" i="2"/>
  <c r="AC429" i="2"/>
  <c r="Z429" i="2"/>
  <c r="Y429" i="2"/>
  <c r="R428" i="1"/>
  <c r="AS428" i="2"/>
  <c r="AR428" i="2"/>
  <c r="P428" i="1"/>
  <c r="AQ428" i="2"/>
  <c r="O428" i="1"/>
  <c r="AP428" i="2"/>
  <c r="N428" i="1"/>
  <c r="AO428" i="2"/>
  <c r="M428" i="1"/>
  <c r="AN428" i="2"/>
  <c r="L428" i="1"/>
  <c r="AM428" i="2"/>
  <c r="K428" i="1"/>
  <c r="AL428" i="2"/>
  <c r="AK428" i="2"/>
  <c r="AJ428" i="2"/>
  <c r="H428" i="1"/>
  <c r="AI428" i="2"/>
  <c r="G428" i="1"/>
  <c r="AH428" i="2"/>
  <c r="F428" i="1"/>
  <c r="AG428" i="2"/>
  <c r="E428" i="1"/>
  <c r="AF428" i="2"/>
  <c r="D428" i="1"/>
  <c r="AE428" i="2"/>
  <c r="AD428" i="2"/>
  <c r="AC428" i="2"/>
  <c r="Z428" i="2"/>
  <c r="Y428" i="2"/>
  <c r="R427" i="1"/>
  <c r="AS427" i="2"/>
  <c r="AR427" i="2"/>
  <c r="P427" i="1"/>
  <c r="AQ427" i="2"/>
  <c r="O427" i="1"/>
  <c r="AP427" i="2"/>
  <c r="N427" i="1"/>
  <c r="AO427" i="2"/>
  <c r="M427" i="1"/>
  <c r="AN427" i="2"/>
  <c r="L427" i="1"/>
  <c r="AM427" i="2"/>
  <c r="K427" i="1"/>
  <c r="AL427" i="2"/>
  <c r="AK427" i="2"/>
  <c r="AJ427" i="2"/>
  <c r="H427" i="1"/>
  <c r="AI427" i="2"/>
  <c r="G427" i="1"/>
  <c r="AH427" i="2"/>
  <c r="F427" i="1"/>
  <c r="AG427" i="2"/>
  <c r="E427" i="1"/>
  <c r="AF427" i="2"/>
  <c r="D427" i="1"/>
  <c r="AE427" i="2"/>
  <c r="AD427" i="2"/>
  <c r="AC427" i="2"/>
  <c r="Z427" i="2"/>
  <c r="Y427" i="2"/>
  <c r="R426" i="1"/>
  <c r="AS426" i="2"/>
  <c r="AR426" i="2"/>
  <c r="P426" i="1"/>
  <c r="AQ426" i="2"/>
  <c r="O426" i="1"/>
  <c r="AP426" i="2"/>
  <c r="N426" i="1"/>
  <c r="AO426" i="2"/>
  <c r="M426" i="1"/>
  <c r="AN426" i="2"/>
  <c r="L426" i="1"/>
  <c r="AM426" i="2"/>
  <c r="K426" i="1"/>
  <c r="AL426" i="2"/>
  <c r="AK426" i="2"/>
  <c r="AJ426" i="2"/>
  <c r="H426" i="1"/>
  <c r="AI426" i="2"/>
  <c r="G426" i="1"/>
  <c r="AH426" i="2"/>
  <c r="F426" i="1"/>
  <c r="AG426" i="2"/>
  <c r="E426" i="1"/>
  <c r="AF426" i="2"/>
  <c r="D426" i="1"/>
  <c r="AE426" i="2"/>
  <c r="AD426" i="2"/>
  <c r="AC426" i="2"/>
  <c r="Z426" i="2"/>
  <c r="Y426" i="2"/>
  <c r="R425" i="1"/>
  <c r="AS425" i="2"/>
  <c r="AR425" i="2"/>
  <c r="P425" i="1"/>
  <c r="AQ425" i="2"/>
  <c r="O425" i="1"/>
  <c r="AP425" i="2"/>
  <c r="N425" i="1"/>
  <c r="AO425" i="2"/>
  <c r="M425" i="1"/>
  <c r="AN425" i="2"/>
  <c r="L425" i="1"/>
  <c r="AM425" i="2"/>
  <c r="K425" i="1"/>
  <c r="AL425" i="2"/>
  <c r="AK425" i="2"/>
  <c r="AJ425" i="2"/>
  <c r="H425" i="1"/>
  <c r="AI425" i="2"/>
  <c r="G425" i="1"/>
  <c r="AH425" i="2"/>
  <c r="F425" i="1"/>
  <c r="AG425" i="2"/>
  <c r="E425" i="1"/>
  <c r="AF425" i="2"/>
  <c r="D425" i="1"/>
  <c r="AE425" i="2"/>
  <c r="AD425" i="2"/>
  <c r="AC425" i="2"/>
  <c r="Z425" i="2"/>
  <c r="Y425" i="2"/>
  <c r="R424" i="1"/>
  <c r="AS424" i="2"/>
  <c r="AR424" i="2"/>
  <c r="P424" i="1"/>
  <c r="AQ424" i="2"/>
  <c r="O424" i="1"/>
  <c r="AP424" i="2"/>
  <c r="N424" i="1"/>
  <c r="AO424" i="2"/>
  <c r="M424" i="1"/>
  <c r="AN424" i="2"/>
  <c r="L424" i="1"/>
  <c r="AM424" i="2"/>
  <c r="K424" i="1"/>
  <c r="AL424" i="2"/>
  <c r="AK424" i="2"/>
  <c r="AJ424" i="2"/>
  <c r="H424" i="1"/>
  <c r="AI424" i="2"/>
  <c r="G424" i="1"/>
  <c r="AH424" i="2"/>
  <c r="F424" i="1"/>
  <c r="AG424" i="2"/>
  <c r="E424" i="1"/>
  <c r="AF424" i="2"/>
  <c r="D424" i="1"/>
  <c r="AE424" i="2"/>
  <c r="AD424" i="2"/>
  <c r="AC424" i="2"/>
  <c r="Z424" i="2"/>
  <c r="Y424" i="2"/>
  <c r="R423" i="1"/>
  <c r="AS423" i="2"/>
  <c r="AR423" i="2"/>
  <c r="P423" i="1"/>
  <c r="AQ423" i="2"/>
  <c r="O423" i="1"/>
  <c r="AP423" i="2"/>
  <c r="N423" i="1"/>
  <c r="AO423" i="2"/>
  <c r="M423" i="1"/>
  <c r="AN423" i="2"/>
  <c r="L423" i="1"/>
  <c r="AM423" i="2"/>
  <c r="K423" i="1"/>
  <c r="AL423" i="2"/>
  <c r="AK423" i="2"/>
  <c r="AJ423" i="2"/>
  <c r="H423" i="1"/>
  <c r="AI423" i="2"/>
  <c r="G423" i="1"/>
  <c r="AH423" i="2"/>
  <c r="F423" i="1"/>
  <c r="AG423" i="2"/>
  <c r="E423" i="1"/>
  <c r="AF423" i="2"/>
  <c r="D423" i="1"/>
  <c r="AE423" i="2"/>
  <c r="AD423" i="2"/>
  <c r="AC423" i="2"/>
  <c r="Z423" i="2"/>
  <c r="Y423" i="2"/>
  <c r="R422" i="1"/>
  <c r="AS422" i="2"/>
  <c r="AR422" i="2"/>
  <c r="P422" i="1"/>
  <c r="AQ422" i="2"/>
  <c r="O422" i="1"/>
  <c r="AP422" i="2"/>
  <c r="N422" i="1"/>
  <c r="AO422" i="2"/>
  <c r="M422" i="1"/>
  <c r="AN422" i="2"/>
  <c r="L422" i="1"/>
  <c r="AM422" i="2"/>
  <c r="K422" i="1"/>
  <c r="AL422" i="2"/>
  <c r="AK422" i="2"/>
  <c r="AJ422" i="2"/>
  <c r="H422" i="1"/>
  <c r="AI422" i="2"/>
  <c r="G422" i="1"/>
  <c r="AH422" i="2"/>
  <c r="F422" i="1"/>
  <c r="AG422" i="2"/>
  <c r="E422" i="1"/>
  <c r="AF422" i="2"/>
  <c r="D422" i="1"/>
  <c r="AE422" i="2"/>
  <c r="AD422" i="2"/>
  <c r="AC422" i="2"/>
  <c r="Z422" i="2"/>
  <c r="Y422" i="2"/>
  <c r="R421" i="1"/>
  <c r="AS421" i="2"/>
  <c r="AR421" i="2"/>
  <c r="P421" i="1"/>
  <c r="AQ421" i="2"/>
  <c r="O421" i="1"/>
  <c r="AP421" i="2"/>
  <c r="N421" i="1"/>
  <c r="AO421" i="2"/>
  <c r="M421" i="1"/>
  <c r="AN421" i="2"/>
  <c r="L421" i="1"/>
  <c r="AM421" i="2"/>
  <c r="K421" i="1"/>
  <c r="AL421" i="2"/>
  <c r="AK421" i="2"/>
  <c r="AJ421" i="2"/>
  <c r="H421" i="1"/>
  <c r="AI421" i="2"/>
  <c r="G421" i="1"/>
  <c r="AH421" i="2"/>
  <c r="F421" i="1"/>
  <c r="AG421" i="2"/>
  <c r="E421" i="1"/>
  <c r="AF421" i="2"/>
  <c r="D421" i="1"/>
  <c r="AE421" i="2"/>
  <c r="AD421" i="2"/>
  <c r="AC421" i="2"/>
  <c r="Z421" i="2"/>
  <c r="Y421" i="2"/>
  <c r="R420" i="1"/>
  <c r="AS420" i="2"/>
  <c r="AR420" i="2"/>
  <c r="P420" i="1"/>
  <c r="AQ420" i="2"/>
  <c r="O420" i="1"/>
  <c r="AP420" i="2"/>
  <c r="N420" i="1"/>
  <c r="AO420" i="2"/>
  <c r="M420" i="1"/>
  <c r="AN420" i="2"/>
  <c r="L420" i="1"/>
  <c r="AM420" i="2"/>
  <c r="K420" i="1"/>
  <c r="AL420" i="2"/>
  <c r="AK420" i="2"/>
  <c r="AJ420" i="2"/>
  <c r="H420" i="1"/>
  <c r="AI420" i="2"/>
  <c r="G420" i="1"/>
  <c r="AH420" i="2"/>
  <c r="F420" i="1"/>
  <c r="AG420" i="2"/>
  <c r="E420" i="1"/>
  <c r="AF420" i="2"/>
  <c r="D420" i="1"/>
  <c r="AE420" i="2"/>
  <c r="AD420" i="2"/>
  <c r="AC420" i="2"/>
  <c r="Z420" i="2"/>
  <c r="Y420" i="2"/>
  <c r="R419" i="1"/>
  <c r="AS419" i="2"/>
  <c r="AR419" i="2"/>
  <c r="P419" i="1"/>
  <c r="AQ419" i="2"/>
  <c r="O419" i="1"/>
  <c r="AP419" i="2"/>
  <c r="N419" i="1"/>
  <c r="AO419" i="2"/>
  <c r="M419" i="1"/>
  <c r="AN419" i="2"/>
  <c r="L419" i="1"/>
  <c r="AM419" i="2"/>
  <c r="K419" i="1"/>
  <c r="AL419" i="2"/>
  <c r="AK419" i="2"/>
  <c r="AJ419" i="2"/>
  <c r="H419" i="1"/>
  <c r="AI419" i="2"/>
  <c r="G419" i="1"/>
  <c r="AH419" i="2"/>
  <c r="F419" i="1"/>
  <c r="AG419" i="2"/>
  <c r="E419" i="1"/>
  <c r="AF419" i="2"/>
  <c r="D419" i="1"/>
  <c r="AE419" i="2"/>
  <c r="AD419" i="2"/>
  <c r="AC419" i="2"/>
  <c r="Z419" i="2"/>
  <c r="Y419" i="2"/>
  <c r="R418" i="1"/>
  <c r="AS418" i="2"/>
  <c r="AR418" i="2"/>
  <c r="P418" i="1"/>
  <c r="AQ418" i="2"/>
  <c r="O418" i="1"/>
  <c r="AP418" i="2"/>
  <c r="N418" i="1"/>
  <c r="AO418" i="2"/>
  <c r="M418" i="1"/>
  <c r="AN418" i="2"/>
  <c r="L418" i="1"/>
  <c r="AM418" i="2"/>
  <c r="K418" i="1"/>
  <c r="AL418" i="2"/>
  <c r="AK418" i="2"/>
  <c r="AJ418" i="2"/>
  <c r="H418" i="1"/>
  <c r="AI418" i="2"/>
  <c r="G418" i="1"/>
  <c r="AH418" i="2"/>
  <c r="F418" i="1"/>
  <c r="AG418" i="2"/>
  <c r="E418" i="1"/>
  <c r="AF418" i="2"/>
  <c r="D418" i="1"/>
  <c r="AE418" i="2"/>
  <c r="AD418" i="2"/>
  <c r="AC418" i="2"/>
  <c r="Z418" i="2"/>
  <c r="Y418" i="2"/>
  <c r="R417" i="1"/>
  <c r="AS417" i="2"/>
  <c r="AR417" i="2"/>
  <c r="P417" i="1"/>
  <c r="AQ417" i="2"/>
  <c r="O417" i="1"/>
  <c r="AP417" i="2"/>
  <c r="N417" i="1"/>
  <c r="AO417" i="2"/>
  <c r="M417" i="1"/>
  <c r="AN417" i="2"/>
  <c r="L417" i="1"/>
  <c r="AM417" i="2"/>
  <c r="K417" i="1"/>
  <c r="AL417" i="2"/>
  <c r="AK417" i="2"/>
  <c r="AJ417" i="2"/>
  <c r="H417" i="1"/>
  <c r="AI417" i="2"/>
  <c r="G417" i="1"/>
  <c r="AH417" i="2"/>
  <c r="F417" i="1"/>
  <c r="AG417" i="2"/>
  <c r="E417" i="1"/>
  <c r="AF417" i="2"/>
  <c r="D417" i="1"/>
  <c r="AE417" i="2"/>
  <c r="AD417" i="2"/>
  <c r="AC417" i="2"/>
  <c r="Z417" i="2"/>
  <c r="Y417" i="2"/>
  <c r="R416" i="1"/>
  <c r="AS416" i="2"/>
  <c r="AR416" i="2"/>
  <c r="P416" i="1"/>
  <c r="AQ416" i="2"/>
  <c r="O416" i="1"/>
  <c r="AP416" i="2"/>
  <c r="N416" i="1"/>
  <c r="AO416" i="2"/>
  <c r="M416" i="1"/>
  <c r="AN416" i="2"/>
  <c r="L416" i="1"/>
  <c r="AM416" i="2"/>
  <c r="K416" i="1"/>
  <c r="AL416" i="2"/>
  <c r="AK416" i="2"/>
  <c r="AJ416" i="2"/>
  <c r="H416" i="1"/>
  <c r="AI416" i="2"/>
  <c r="G416" i="1"/>
  <c r="AH416" i="2"/>
  <c r="F416" i="1"/>
  <c r="AG416" i="2"/>
  <c r="E416" i="1"/>
  <c r="AF416" i="2"/>
  <c r="D416" i="1"/>
  <c r="AE416" i="2"/>
  <c r="AD416" i="2"/>
  <c r="AC416" i="2"/>
  <c r="Z416" i="2"/>
  <c r="Y416" i="2"/>
  <c r="R415" i="1"/>
  <c r="AS415" i="2"/>
  <c r="AR415" i="2"/>
  <c r="P415" i="1"/>
  <c r="AQ415" i="2"/>
  <c r="O415" i="1"/>
  <c r="AP415" i="2"/>
  <c r="N415" i="1"/>
  <c r="AO415" i="2"/>
  <c r="M415" i="1"/>
  <c r="AN415" i="2"/>
  <c r="L415" i="1"/>
  <c r="AM415" i="2"/>
  <c r="K415" i="1"/>
  <c r="AL415" i="2"/>
  <c r="AK415" i="2"/>
  <c r="AJ415" i="2"/>
  <c r="H415" i="1"/>
  <c r="AI415" i="2"/>
  <c r="G415" i="1"/>
  <c r="AH415" i="2"/>
  <c r="F415" i="1"/>
  <c r="AG415" i="2"/>
  <c r="E415" i="1"/>
  <c r="AF415" i="2"/>
  <c r="D415" i="1"/>
  <c r="AE415" i="2"/>
  <c r="AD415" i="2"/>
  <c r="AC415" i="2"/>
  <c r="Z415" i="2"/>
  <c r="Y415" i="2"/>
  <c r="R414" i="1"/>
  <c r="AS414" i="2"/>
  <c r="AR414" i="2"/>
  <c r="P414" i="1"/>
  <c r="AQ414" i="2"/>
  <c r="O414" i="1"/>
  <c r="AP414" i="2"/>
  <c r="N414" i="1"/>
  <c r="AO414" i="2"/>
  <c r="M414" i="1"/>
  <c r="AN414" i="2"/>
  <c r="L414" i="1"/>
  <c r="AM414" i="2"/>
  <c r="K414" i="1"/>
  <c r="AL414" i="2"/>
  <c r="AK414" i="2"/>
  <c r="AJ414" i="2"/>
  <c r="H414" i="1"/>
  <c r="AI414" i="2"/>
  <c r="G414" i="1"/>
  <c r="AH414" i="2"/>
  <c r="F414" i="1"/>
  <c r="AG414" i="2"/>
  <c r="E414" i="1"/>
  <c r="AF414" i="2"/>
  <c r="D414" i="1"/>
  <c r="AE414" i="2"/>
  <c r="AD414" i="2"/>
  <c r="AC414" i="2"/>
  <c r="Z414" i="2"/>
  <c r="Y414" i="2"/>
  <c r="R413" i="1"/>
  <c r="AS413" i="2"/>
  <c r="AR413" i="2"/>
  <c r="P413" i="1"/>
  <c r="AQ413" i="2"/>
  <c r="O413" i="1"/>
  <c r="AP413" i="2"/>
  <c r="N413" i="1"/>
  <c r="AO413" i="2"/>
  <c r="M413" i="1"/>
  <c r="AN413" i="2"/>
  <c r="L413" i="1"/>
  <c r="AM413" i="2"/>
  <c r="K413" i="1"/>
  <c r="AL413" i="2"/>
  <c r="AK413" i="2"/>
  <c r="AJ413" i="2"/>
  <c r="H413" i="1"/>
  <c r="AI413" i="2"/>
  <c r="G413" i="1"/>
  <c r="AH413" i="2"/>
  <c r="F413" i="1"/>
  <c r="AG413" i="2"/>
  <c r="E413" i="1"/>
  <c r="AF413" i="2"/>
  <c r="D413" i="1"/>
  <c r="AE413" i="2"/>
  <c r="AD413" i="2"/>
  <c r="AC413" i="2"/>
  <c r="Z413" i="2"/>
  <c r="Y413" i="2"/>
  <c r="R412" i="1"/>
  <c r="AS412" i="2"/>
  <c r="AR412" i="2"/>
  <c r="P412" i="1"/>
  <c r="AQ412" i="2"/>
  <c r="O412" i="1"/>
  <c r="AP412" i="2"/>
  <c r="N412" i="1"/>
  <c r="AO412" i="2"/>
  <c r="M412" i="1"/>
  <c r="AN412" i="2"/>
  <c r="L412" i="1"/>
  <c r="AM412" i="2"/>
  <c r="K412" i="1"/>
  <c r="AL412" i="2"/>
  <c r="AK412" i="2"/>
  <c r="AJ412" i="2"/>
  <c r="H412" i="1"/>
  <c r="AI412" i="2"/>
  <c r="G412" i="1"/>
  <c r="AH412" i="2"/>
  <c r="F412" i="1"/>
  <c r="AG412" i="2"/>
  <c r="E412" i="1"/>
  <c r="AF412" i="2"/>
  <c r="D412" i="1"/>
  <c r="AE412" i="2"/>
  <c r="AD412" i="2"/>
  <c r="AC412" i="2"/>
  <c r="Z412" i="2"/>
  <c r="Y412" i="2"/>
  <c r="R411" i="1"/>
  <c r="AS411" i="2"/>
  <c r="AR411" i="2"/>
  <c r="P411" i="1"/>
  <c r="AQ411" i="2"/>
  <c r="O411" i="1"/>
  <c r="AP411" i="2"/>
  <c r="N411" i="1"/>
  <c r="AO411" i="2"/>
  <c r="M411" i="1"/>
  <c r="AN411" i="2"/>
  <c r="L411" i="1"/>
  <c r="AM411" i="2"/>
  <c r="K411" i="1"/>
  <c r="AL411" i="2"/>
  <c r="AK411" i="2"/>
  <c r="AJ411" i="2"/>
  <c r="H411" i="1"/>
  <c r="AI411" i="2"/>
  <c r="G411" i="1"/>
  <c r="AH411" i="2"/>
  <c r="F411" i="1"/>
  <c r="AG411" i="2"/>
  <c r="E411" i="1"/>
  <c r="AF411" i="2"/>
  <c r="D411" i="1"/>
  <c r="AE411" i="2"/>
  <c r="AD411" i="2"/>
  <c r="AC411" i="2"/>
  <c r="Z411" i="2"/>
  <c r="Y411" i="2"/>
  <c r="R410" i="1"/>
  <c r="AS410" i="2"/>
  <c r="AR410" i="2"/>
  <c r="P410" i="1"/>
  <c r="AQ410" i="2"/>
  <c r="O410" i="1"/>
  <c r="AP410" i="2"/>
  <c r="N410" i="1"/>
  <c r="AO410" i="2"/>
  <c r="M410" i="1"/>
  <c r="AN410" i="2"/>
  <c r="L410" i="1"/>
  <c r="AM410" i="2"/>
  <c r="K410" i="1"/>
  <c r="AL410" i="2"/>
  <c r="AK410" i="2"/>
  <c r="AJ410" i="2"/>
  <c r="H410" i="1"/>
  <c r="AI410" i="2"/>
  <c r="G410" i="1"/>
  <c r="AH410" i="2"/>
  <c r="F410" i="1"/>
  <c r="AG410" i="2"/>
  <c r="E410" i="1"/>
  <c r="AF410" i="2"/>
  <c r="D410" i="1"/>
  <c r="AE410" i="2"/>
  <c r="AD410" i="2"/>
  <c r="AC410" i="2"/>
  <c r="Z410" i="2"/>
  <c r="Y410" i="2"/>
  <c r="R409" i="1"/>
  <c r="AS409" i="2"/>
  <c r="AR409" i="2"/>
  <c r="P409" i="1"/>
  <c r="AQ409" i="2"/>
  <c r="O409" i="1"/>
  <c r="AP409" i="2"/>
  <c r="N409" i="1"/>
  <c r="AO409" i="2"/>
  <c r="M409" i="1"/>
  <c r="AN409" i="2"/>
  <c r="L409" i="1"/>
  <c r="AM409" i="2"/>
  <c r="K409" i="1"/>
  <c r="AL409" i="2"/>
  <c r="AK409" i="2"/>
  <c r="AJ409" i="2"/>
  <c r="H409" i="1"/>
  <c r="AI409" i="2"/>
  <c r="G409" i="1"/>
  <c r="AH409" i="2"/>
  <c r="F409" i="1"/>
  <c r="AG409" i="2"/>
  <c r="E409" i="1"/>
  <c r="AF409" i="2"/>
  <c r="D409" i="1"/>
  <c r="AE409" i="2"/>
  <c r="AD409" i="2"/>
  <c r="AC409" i="2"/>
  <c r="Z409" i="2"/>
  <c r="Y409" i="2"/>
  <c r="R408" i="1"/>
  <c r="AS408" i="2"/>
  <c r="AR408" i="2"/>
  <c r="P408" i="1"/>
  <c r="AQ408" i="2"/>
  <c r="O408" i="1"/>
  <c r="AP408" i="2"/>
  <c r="N408" i="1"/>
  <c r="AO408" i="2"/>
  <c r="M408" i="1"/>
  <c r="AN408" i="2"/>
  <c r="L408" i="1"/>
  <c r="AM408" i="2"/>
  <c r="K408" i="1"/>
  <c r="AL408" i="2"/>
  <c r="AK408" i="2"/>
  <c r="AJ408" i="2"/>
  <c r="H408" i="1"/>
  <c r="AI408" i="2"/>
  <c r="G408" i="1"/>
  <c r="AH408" i="2"/>
  <c r="F408" i="1"/>
  <c r="AG408" i="2"/>
  <c r="E408" i="1"/>
  <c r="AF408" i="2"/>
  <c r="D408" i="1"/>
  <c r="AE408" i="2"/>
  <c r="AD408" i="2"/>
  <c r="AC408" i="2"/>
  <c r="Z408" i="2"/>
  <c r="Y408" i="2"/>
  <c r="R407" i="1"/>
  <c r="AS407" i="2"/>
  <c r="AR407" i="2"/>
  <c r="P407" i="1"/>
  <c r="AQ407" i="2"/>
  <c r="O407" i="1"/>
  <c r="AP407" i="2"/>
  <c r="N407" i="1"/>
  <c r="AO407" i="2"/>
  <c r="M407" i="1"/>
  <c r="AN407" i="2"/>
  <c r="L407" i="1"/>
  <c r="AM407" i="2"/>
  <c r="K407" i="1"/>
  <c r="AL407" i="2"/>
  <c r="AK407" i="2"/>
  <c r="AJ407" i="2"/>
  <c r="H407" i="1"/>
  <c r="AI407" i="2"/>
  <c r="G407" i="1"/>
  <c r="AH407" i="2"/>
  <c r="F407" i="1"/>
  <c r="AG407" i="2"/>
  <c r="E407" i="1"/>
  <c r="AF407" i="2"/>
  <c r="D407" i="1"/>
  <c r="AE407" i="2"/>
  <c r="AD407" i="2"/>
  <c r="AC407" i="2"/>
  <c r="Z407" i="2"/>
  <c r="Y407" i="2"/>
  <c r="R406" i="1"/>
  <c r="AS406" i="2"/>
  <c r="AR406" i="2"/>
  <c r="P406" i="1"/>
  <c r="AQ406" i="2"/>
  <c r="O406" i="1"/>
  <c r="AP406" i="2"/>
  <c r="N406" i="1"/>
  <c r="AO406" i="2"/>
  <c r="M406" i="1"/>
  <c r="AN406" i="2"/>
  <c r="L406" i="1"/>
  <c r="AM406" i="2"/>
  <c r="K406" i="1"/>
  <c r="AL406" i="2"/>
  <c r="AK406" i="2"/>
  <c r="AJ406" i="2"/>
  <c r="H406" i="1"/>
  <c r="AI406" i="2"/>
  <c r="G406" i="1"/>
  <c r="AH406" i="2"/>
  <c r="F406" i="1"/>
  <c r="AG406" i="2"/>
  <c r="E406" i="1"/>
  <c r="AF406" i="2"/>
  <c r="D406" i="1"/>
  <c r="AE406" i="2"/>
  <c r="AD406" i="2"/>
  <c r="AC406" i="2"/>
  <c r="Z406" i="2"/>
  <c r="Y406" i="2"/>
  <c r="R405" i="1"/>
  <c r="AS405" i="2"/>
  <c r="AR405" i="2"/>
  <c r="P405" i="1"/>
  <c r="AQ405" i="2"/>
  <c r="O405" i="1"/>
  <c r="AP405" i="2"/>
  <c r="N405" i="1"/>
  <c r="AO405" i="2"/>
  <c r="M405" i="1"/>
  <c r="AN405" i="2"/>
  <c r="L405" i="1"/>
  <c r="AM405" i="2"/>
  <c r="K405" i="1"/>
  <c r="AL405" i="2"/>
  <c r="AK405" i="2"/>
  <c r="AJ405" i="2"/>
  <c r="H405" i="1"/>
  <c r="AI405" i="2"/>
  <c r="G405" i="1"/>
  <c r="AH405" i="2"/>
  <c r="F405" i="1"/>
  <c r="AG405" i="2"/>
  <c r="E405" i="1"/>
  <c r="AF405" i="2"/>
  <c r="D405" i="1"/>
  <c r="AE405" i="2"/>
  <c r="AD405" i="2"/>
  <c r="AC405" i="2"/>
  <c r="Z405" i="2"/>
  <c r="Y405" i="2"/>
  <c r="R404" i="1"/>
  <c r="AS404" i="2"/>
  <c r="AR404" i="2"/>
  <c r="P404" i="1"/>
  <c r="AQ404" i="2"/>
  <c r="O404" i="1"/>
  <c r="AP404" i="2"/>
  <c r="N404" i="1"/>
  <c r="AO404" i="2"/>
  <c r="M404" i="1"/>
  <c r="AN404" i="2"/>
  <c r="L404" i="1"/>
  <c r="AM404" i="2"/>
  <c r="K404" i="1"/>
  <c r="AL404" i="2"/>
  <c r="AK404" i="2"/>
  <c r="AJ404" i="2"/>
  <c r="H404" i="1"/>
  <c r="AI404" i="2"/>
  <c r="G404" i="1"/>
  <c r="AH404" i="2"/>
  <c r="F404" i="1"/>
  <c r="AG404" i="2"/>
  <c r="E404" i="1"/>
  <c r="AF404" i="2"/>
  <c r="D404" i="1"/>
  <c r="AE404" i="2"/>
  <c r="AD404" i="2"/>
  <c r="AC404" i="2"/>
  <c r="Z404" i="2"/>
  <c r="Y404" i="2"/>
  <c r="R403" i="1"/>
  <c r="AS403" i="2"/>
  <c r="AR403" i="2"/>
  <c r="P403" i="1"/>
  <c r="AQ403" i="2"/>
  <c r="O403" i="1"/>
  <c r="AP403" i="2"/>
  <c r="N403" i="1"/>
  <c r="AO403" i="2"/>
  <c r="M403" i="1"/>
  <c r="AN403" i="2"/>
  <c r="L403" i="1"/>
  <c r="AM403" i="2"/>
  <c r="K403" i="1"/>
  <c r="AL403" i="2"/>
  <c r="AK403" i="2"/>
  <c r="AJ403" i="2"/>
  <c r="H403" i="1"/>
  <c r="AI403" i="2"/>
  <c r="G403" i="1"/>
  <c r="AH403" i="2"/>
  <c r="F403" i="1"/>
  <c r="AG403" i="2"/>
  <c r="E403" i="1"/>
  <c r="AF403" i="2"/>
  <c r="D403" i="1"/>
  <c r="AE403" i="2"/>
  <c r="AD403" i="2"/>
  <c r="AC403" i="2"/>
  <c r="Z403" i="2"/>
  <c r="Y403" i="2"/>
  <c r="R402" i="1"/>
  <c r="AS402" i="2"/>
  <c r="AR402" i="2"/>
  <c r="P402" i="1"/>
  <c r="AQ402" i="2"/>
  <c r="O402" i="1"/>
  <c r="AP402" i="2"/>
  <c r="N402" i="1"/>
  <c r="AO402" i="2"/>
  <c r="M402" i="1"/>
  <c r="AN402" i="2"/>
  <c r="L402" i="1"/>
  <c r="AM402" i="2"/>
  <c r="K402" i="1"/>
  <c r="AL402" i="2"/>
  <c r="AK402" i="2"/>
  <c r="AJ402" i="2"/>
  <c r="H402" i="1"/>
  <c r="AI402" i="2"/>
  <c r="G402" i="1"/>
  <c r="AH402" i="2"/>
  <c r="F402" i="1"/>
  <c r="AG402" i="2"/>
  <c r="E402" i="1"/>
  <c r="AF402" i="2"/>
  <c r="D402" i="1"/>
  <c r="AE402" i="2"/>
  <c r="AD402" i="2"/>
  <c r="AC402" i="2"/>
  <c r="Z402" i="2"/>
  <c r="Y402" i="2"/>
  <c r="R401" i="1"/>
  <c r="AS401" i="2"/>
  <c r="AR401" i="2"/>
  <c r="P401" i="1"/>
  <c r="AQ401" i="2"/>
  <c r="O401" i="1"/>
  <c r="AP401" i="2"/>
  <c r="N401" i="1"/>
  <c r="AO401" i="2"/>
  <c r="M401" i="1"/>
  <c r="AN401" i="2"/>
  <c r="L401" i="1"/>
  <c r="AM401" i="2"/>
  <c r="K401" i="1"/>
  <c r="AL401" i="2"/>
  <c r="AK401" i="2"/>
  <c r="AJ401" i="2"/>
  <c r="H401" i="1"/>
  <c r="AI401" i="2"/>
  <c r="G401" i="1"/>
  <c r="AH401" i="2"/>
  <c r="F401" i="1"/>
  <c r="AG401" i="2"/>
  <c r="E401" i="1"/>
  <c r="AF401" i="2"/>
  <c r="D401" i="1"/>
  <c r="AE401" i="2"/>
  <c r="AD401" i="2"/>
  <c r="AC401" i="2"/>
  <c r="Z401" i="2"/>
  <c r="Y401" i="2"/>
  <c r="R400" i="1"/>
  <c r="AS400" i="2"/>
  <c r="AR400" i="2"/>
  <c r="P400" i="1"/>
  <c r="AQ400" i="2"/>
  <c r="O400" i="1"/>
  <c r="AP400" i="2"/>
  <c r="N400" i="1"/>
  <c r="AO400" i="2"/>
  <c r="M400" i="1"/>
  <c r="AN400" i="2"/>
  <c r="L400" i="1"/>
  <c r="AM400" i="2"/>
  <c r="K400" i="1"/>
  <c r="AL400" i="2"/>
  <c r="AK400" i="2"/>
  <c r="AJ400" i="2"/>
  <c r="H400" i="1"/>
  <c r="AI400" i="2"/>
  <c r="G400" i="1"/>
  <c r="AH400" i="2"/>
  <c r="F400" i="1"/>
  <c r="AG400" i="2"/>
  <c r="E400" i="1"/>
  <c r="AF400" i="2"/>
  <c r="D400" i="1"/>
  <c r="AE400" i="2"/>
  <c r="AD400" i="2"/>
  <c r="AC400" i="2"/>
  <c r="Z400" i="2"/>
  <c r="Y400" i="2"/>
  <c r="R399" i="1"/>
  <c r="AS399" i="2"/>
  <c r="AR399" i="2"/>
  <c r="P399" i="1"/>
  <c r="AQ399" i="2"/>
  <c r="O399" i="1"/>
  <c r="AP399" i="2"/>
  <c r="N399" i="1"/>
  <c r="AO399" i="2"/>
  <c r="M399" i="1"/>
  <c r="AN399" i="2"/>
  <c r="L399" i="1"/>
  <c r="AM399" i="2"/>
  <c r="K399" i="1"/>
  <c r="AL399" i="2"/>
  <c r="AK399" i="2"/>
  <c r="AJ399" i="2"/>
  <c r="H399" i="1"/>
  <c r="AI399" i="2"/>
  <c r="G399" i="1"/>
  <c r="AH399" i="2"/>
  <c r="F399" i="1"/>
  <c r="AG399" i="2"/>
  <c r="E399" i="1"/>
  <c r="AF399" i="2"/>
  <c r="D399" i="1"/>
  <c r="AE399" i="2"/>
  <c r="AD399" i="2"/>
  <c r="AC399" i="2"/>
  <c r="Z399" i="2"/>
  <c r="Y399" i="2"/>
  <c r="R398" i="1"/>
  <c r="AS398" i="2"/>
  <c r="AR398" i="2"/>
  <c r="P398" i="1"/>
  <c r="AQ398" i="2"/>
  <c r="O398" i="1"/>
  <c r="AP398" i="2"/>
  <c r="N398" i="1"/>
  <c r="AO398" i="2"/>
  <c r="M398" i="1"/>
  <c r="AN398" i="2"/>
  <c r="L398" i="1"/>
  <c r="AM398" i="2"/>
  <c r="K398" i="1"/>
  <c r="AL398" i="2"/>
  <c r="AK398" i="2"/>
  <c r="AJ398" i="2"/>
  <c r="H398" i="1"/>
  <c r="AI398" i="2"/>
  <c r="G398" i="1"/>
  <c r="AH398" i="2"/>
  <c r="F398" i="1"/>
  <c r="AG398" i="2"/>
  <c r="E398" i="1"/>
  <c r="AF398" i="2"/>
  <c r="D398" i="1"/>
  <c r="AE398" i="2"/>
  <c r="AD398" i="2"/>
  <c r="AC398" i="2"/>
  <c r="Z398" i="2"/>
  <c r="Y398" i="2"/>
  <c r="R397" i="1"/>
  <c r="AS397" i="2"/>
  <c r="AR397" i="2"/>
  <c r="P397" i="1"/>
  <c r="AQ397" i="2"/>
  <c r="O397" i="1"/>
  <c r="AP397" i="2"/>
  <c r="N397" i="1"/>
  <c r="AO397" i="2"/>
  <c r="M397" i="1"/>
  <c r="AN397" i="2"/>
  <c r="L397" i="1"/>
  <c r="AM397" i="2"/>
  <c r="K397" i="1"/>
  <c r="AL397" i="2"/>
  <c r="AK397" i="2"/>
  <c r="AJ397" i="2"/>
  <c r="H397" i="1"/>
  <c r="AI397" i="2"/>
  <c r="G397" i="1"/>
  <c r="AH397" i="2"/>
  <c r="F397" i="1"/>
  <c r="AG397" i="2"/>
  <c r="E397" i="1"/>
  <c r="AF397" i="2"/>
  <c r="D397" i="1"/>
  <c r="AE397" i="2"/>
  <c r="AD397" i="2"/>
  <c r="AC397" i="2"/>
  <c r="Z397" i="2"/>
  <c r="Y397" i="2"/>
  <c r="R396" i="1"/>
  <c r="AS396" i="2"/>
  <c r="AR396" i="2"/>
  <c r="P396" i="1"/>
  <c r="AQ396" i="2"/>
  <c r="O396" i="1"/>
  <c r="AP396" i="2"/>
  <c r="N396" i="1"/>
  <c r="AO396" i="2"/>
  <c r="M396" i="1"/>
  <c r="AN396" i="2"/>
  <c r="L396" i="1"/>
  <c r="AM396" i="2"/>
  <c r="K396" i="1"/>
  <c r="AL396" i="2"/>
  <c r="AK396" i="2"/>
  <c r="AJ396" i="2"/>
  <c r="H396" i="1"/>
  <c r="AI396" i="2"/>
  <c r="G396" i="1"/>
  <c r="AH396" i="2"/>
  <c r="F396" i="1"/>
  <c r="AG396" i="2"/>
  <c r="E396" i="1"/>
  <c r="AF396" i="2"/>
  <c r="D396" i="1"/>
  <c r="AE396" i="2"/>
  <c r="AD396" i="2"/>
  <c r="AC396" i="2"/>
  <c r="Z396" i="2"/>
  <c r="Y396" i="2"/>
  <c r="R395" i="1"/>
  <c r="AS395" i="2"/>
  <c r="AR395" i="2"/>
  <c r="P395" i="1"/>
  <c r="AQ395" i="2"/>
  <c r="O395" i="1"/>
  <c r="AP395" i="2"/>
  <c r="N395" i="1"/>
  <c r="AO395" i="2"/>
  <c r="M395" i="1"/>
  <c r="AN395" i="2"/>
  <c r="L395" i="1"/>
  <c r="AM395" i="2"/>
  <c r="K395" i="1"/>
  <c r="AL395" i="2"/>
  <c r="AK395" i="2"/>
  <c r="AJ395" i="2"/>
  <c r="H395" i="1"/>
  <c r="AI395" i="2"/>
  <c r="G395" i="1"/>
  <c r="AH395" i="2"/>
  <c r="F395" i="1"/>
  <c r="AG395" i="2"/>
  <c r="E395" i="1"/>
  <c r="AF395" i="2"/>
  <c r="D395" i="1"/>
  <c r="AE395" i="2"/>
  <c r="AD395" i="2"/>
  <c r="AC395" i="2"/>
  <c r="Z395" i="2"/>
  <c r="Y395" i="2"/>
  <c r="R394" i="1"/>
  <c r="AS394" i="2"/>
  <c r="AR394" i="2"/>
  <c r="P394" i="1"/>
  <c r="AQ394" i="2"/>
  <c r="O394" i="1"/>
  <c r="AP394" i="2"/>
  <c r="N394" i="1"/>
  <c r="AO394" i="2"/>
  <c r="M394" i="1"/>
  <c r="AN394" i="2"/>
  <c r="L394" i="1"/>
  <c r="AM394" i="2"/>
  <c r="K394" i="1"/>
  <c r="AL394" i="2"/>
  <c r="AK394" i="2"/>
  <c r="AJ394" i="2"/>
  <c r="H394" i="1"/>
  <c r="AI394" i="2"/>
  <c r="G394" i="1"/>
  <c r="AH394" i="2"/>
  <c r="F394" i="1"/>
  <c r="AG394" i="2"/>
  <c r="E394" i="1"/>
  <c r="AF394" i="2"/>
  <c r="D394" i="1"/>
  <c r="AE394" i="2"/>
  <c r="AD394" i="2"/>
  <c r="AC394" i="2"/>
  <c r="Z394" i="2"/>
  <c r="Y394" i="2"/>
  <c r="R393" i="1"/>
  <c r="AS393" i="2"/>
  <c r="AR393" i="2"/>
  <c r="P393" i="1"/>
  <c r="AQ393" i="2"/>
  <c r="O393" i="1"/>
  <c r="AP393" i="2"/>
  <c r="N393" i="1"/>
  <c r="AO393" i="2"/>
  <c r="M393" i="1"/>
  <c r="AN393" i="2"/>
  <c r="L393" i="1"/>
  <c r="AM393" i="2"/>
  <c r="K393" i="1"/>
  <c r="AL393" i="2"/>
  <c r="AK393" i="2"/>
  <c r="AJ393" i="2"/>
  <c r="H393" i="1"/>
  <c r="AI393" i="2"/>
  <c r="G393" i="1"/>
  <c r="AH393" i="2"/>
  <c r="F393" i="1"/>
  <c r="AG393" i="2"/>
  <c r="E393" i="1"/>
  <c r="AF393" i="2"/>
  <c r="D393" i="1"/>
  <c r="AE393" i="2"/>
  <c r="AD393" i="2"/>
  <c r="AC393" i="2"/>
  <c r="Z393" i="2"/>
  <c r="Y393" i="2"/>
  <c r="R392" i="1"/>
  <c r="AS392" i="2"/>
  <c r="AR392" i="2"/>
  <c r="P392" i="1"/>
  <c r="AQ392" i="2"/>
  <c r="O392" i="1"/>
  <c r="AP392" i="2"/>
  <c r="N392" i="1"/>
  <c r="AO392" i="2"/>
  <c r="M392" i="1"/>
  <c r="AN392" i="2"/>
  <c r="L392" i="1"/>
  <c r="AM392" i="2"/>
  <c r="K392" i="1"/>
  <c r="AL392" i="2"/>
  <c r="AK392" i="2"/>
  <c r="AJ392" i="2"/>
  <c r="H392" i="1"/>
  <c r="AI392" i="2"/>
  <c r="G392" i="1"/>
  <c r="AH392" i="2"/>
  <c r="F392" i="1"/>
  <c r="AG392" i="2"/>
  <c r="E392" i="1"/>
  <c r="AF392" i="2"/>
  <c r="D392" i="1"/>
  <c r="AE392" i="2"/>
  <c r="AD392" i="2"/>
  <c r="AC392" i="2"/>
  <c r="Z392" i="2"/>
  <c r="Y392" i="2"/>
  <c r="R391" i="1"/>
  <c r="AS391" i="2"/>
  <c r="AR391" i="2"/>
  <c r="P391" i="1"/>
  <c r="AQ391" i="2"/>
  <c r="O391" i="1"/>
  <c r="AP391" i="2"/>
  <c r="N391" i="1"/>
  <c r="AO391" i="2"/>
  <c r="M391" i="1"/>
  <c r="AN391" i="2"/>
  <c r="L391" i="1"/>
  <c r="AM391" i="2"/>
  <c r="K391" i="1"/>
  <c r="AL391" i="2"/>
  <c r="AK391" i="2"/>
  <c r="AJ391" i="2"/>
  <c r="H391" i="1"/>
  <c r="AI391" i="2"/>
  <c r="G391" i="1"/>
  <c r="AH391" i="2"/>
  <c r="F391" i="1"/>
  <c r="AG391" i="2"/>
  <c r="E391" i="1"/>
  <c r="AF391" i="2"/>
  <c r="D391" i="1"/>
  <c r="AE391" i="2"/>
  <c r="AD391" i="2"/>
  <c r="AC391" i="2"/>
  <c r="Z391" i="2"/>
  <c r="Y391" i="2"/>
  <c r="R390" i="1"/>
  <c r="AS390" i="2"/>
  <c r="AR390" i="2"/>
  <c r="P390" i="1"/>
  <c r="AQ390" i="2"/>
  <c r="O390" i="1"/>
  <c r="AP390" i="2"/>
  <c r="N390" i="1"/>
  <c r="AO390" i="2"/>
  <c r="M390" i="1"/>
  <c r="AN390" i="2"/>
  <c r="L390" i="1"/>
  <c r="AM390" i="2"/>
  <c r="K390" i="1"/>
  <c r="AL390" i="2"/>
  <c r="AK390" i="2"/>
  <c r="AJ390" i="2"/>
  <c r="H390" i="1"/>
  <c r="AI390" i="2"/>
  <c r="G390" i="1"/>
  <c r="AH390" i="2"/>
  <c r="F390" i="1"/>
  <c r="AG390" i="2"/>
  <c r="E390" i="1"/>
  <c r="AF390" i="2"/>
  <c r="D390" i="1"/>
  <c r="AE390" i="2"/>
  <c r="AD390" i="2"/>
  <c r="AC390" i="2"/>
  <c r="Z390" i="2"/>
  <c r="Y390" i="2"/>
  <c r="R389" i="1"/>
  <c r="AS389" i="2"/>
  <c r="AR389" i="2"/>
  <c r="P389" i="1"/>
  <c r="AQ389" i="2"/>
  <c r="O389" i="1"/>
  <c r="AP389" i="2"/>
  <c r="N389" i="1"/>
  <c r="AO389" i="2"/>
  <c r="M389" i="1"/>
  <c r="AN389" i="2"/>
  <c r="L389" i="1"/>
  <c r="AM389" i="2"/>
  <c r="K389" i="1"/>
  <c r="AL389" i="2"/>
  <c r="AK389" i="2"/>
  <c r="AJ389" i="2"/>
  <c r="H389" i="1"/>
  <c r="AI389" i="2"/>
  <c r="G389" i="1"/>
  <c r="AH389" i="2"/>
  <c r="F389" i="1"/>
  <c r="AG389" i="2"/>
  <c r="E389" i="1"/>
  <c r="AF389" i="2"/>
  <c r="D389" i="1"/>
  <c r="AE389" i="2"/>
  <c r="AD389" i="2"/>
  <c r="AC389" i="2"/>
  <c r="Z389" i="2"/>
  <c r="Y389" i="2"/>
  <c r="R388" i="1"/>
  <c r="AS388" i="2"/>
  <c r="AR388" i="2"/>
  <c r="P388" i="1"/>
  <c r="AQ388" i="2"/>
  <c r="O388" i="1"/>
  <c r="AP388" i="2"/>
  <c r="N388" i="1"/>
  <c r="AO388" i="2"/>
  <c r="M388" i="1"/>
  <c r="AN388" i="2"/>
  <c r="L388" i="1"/>
  <c r="AM388" i="2"/>
  <c r="K388" i="1"/>
  <c r="AL388" i="2"/>
  <c r="AK388" i="2"/>
  <c r="AJ388" i="2"/>
  <c r="H388" i="1"/>
  <c r="AI388" i="2"/>
  <c r="G388" i="1"/>
  <c r="AH388" i="2"/>
  <c r="F388" i="1"/>
  <c r="AG388" i="2"/>
  <c r="E388" i="1"/>
  <c r="AF388" i="2"/>
  <c r="D388" i="1"/>
  <c r="AE388" i="2"/>
  <c r="AD388" i="2"/>
  <c r="AC388" i="2"/>
  <c r="Z388" i="2"/>
  <c r="Y388" i="2"/>
  <c r="R387" i="1"/>
  <c r="AS387" i="2"/>
  <c r="AR387" i="2"/>
  <c r="P387" i="1"/>
  <c r="AQ387" i="2"/>
  <c r="O387" i="1"/>
  <c r="AP387" i="2"/>
  <c r="N387" i="1"/>
  <c r="AO387" i="2"/>
  <c r="M387" i="1"/>
  <c r="AN387" i="2"/>
  <c r="L387" i="1"/>
  <c r="AM387" i="2"/>
  <c r="K387" i="1"/>
  <c r="AL387" i="2"/>
  <c r="AK387" i="2"/>
  <c r="AJ387" i="2"/>
  <c r="H387" i="1"/>
  <c r="AI387" i="2"/>
  <c r="G387" i="1"/>
  <c r="AH387" i="2"/>
  <c r="F387" i="1"/>
  <c r="AG387" i="2"/>
  <c r="E387" i="1"/>
  <c r="AF387" i="2"/>
  <c r="D387" i="1"/>
  <c r="AE387" i="2"/>
  <c r="AD387" i="2"/>
  <c r="AC387" i="2"/>
  <c r="Z387" i="2"/>
  <c r="Y387" i="2"/>
  <c r="R386" i="1"/>
  <c r="AS386" i="2"/>
  <c r="AR386" i="2"/>
  <c r="P386" i="1"/>
  <c r="AQ386" i="2"/>
  <c r="O386" i="1"/>
  <c r="AP386" i="2"/>
  <c r="N386" i="1"/>
  <c r="AO386" i="2"/>
  <c r="M386" i="1"/>
  <c r="AN386" i="2"/>
  <c r="L386" i="1"/>
  <c r="AM386" i="2"/>
  <c r="K386" i="1"/>
  <c r="AL386" i="2"/>
  <c r="AK386" i="2"/>
  <c r="AJ386" i="2"/>
  <c r="H386" i="1"/>
  <c r="AI386" i="2"/>
  <c r="G386" i="1"/>
  <c r="AH386" i="2"/>
  <c r="F386" i="1"/>
  <c r="AG386" i="2"/>
  <c r="E386" i="1"/>
  <c r="AF386" i="2"/>
  <c r="D386" i="1"/>
  <c r="AE386" i="2"/>
  <c r="AD386" i="2"/>
  <c r="AC386" i="2"/>
  <c r="Z386" i="2"/>
  <c r="Y386" i="2"/>
  <c r="R385" i="1"/>
  <c r="AS385" i="2"/>
  <c r="AR385" i="2"/>
  <c r="P385" i="1"/>
  <c r="AQ385" i="2"/>
  <c r="O385" i="1"/>
  <c r="AP385" i="2"/>
  <c r="N385" i="1"/>
  <c r="AO385" i="2"/>
  <c r="M385" i="1"/>
  <c r="AN385" i="2"/>
  <c r="L385" i="1"/>
  <c r="AM385" i="2"/>
  <c r="K385" i="1"/>
  <c r="AL385" i="2"/>
  <c r="AK385" i="2"/>
  <c r="AJ385" i="2"/>
  <c r="H385" i="1"/>
  <c r="AI385" i="2"/>
  <c r="G385" i="1"/>
  <c r="AH385" i="2"/>
  <c r="F385" i="1"/>
  <c r="AG385" i="2"/>
  <c r="E385" i="1"/>
  <c r="AF385" i="2"/>
  <c r="D385" i="1"/>
  <c r="AE385" i="2"/>
  <c r="AD385" i="2"/>
  <c r="AC385" i="2"/>
  <c r="Z385" i="2"/>
  <c r="Y385" i="2"/>
  <c r="R384" i="1"/>
  <c r="AS384" i="2"/>
  <c r="AR384" i="2"/>
  <c r="P384" i="1"/>
  <c r="AQ384" i="2"/>
  <c r="O384" i="1"/>
  <c r="AP384" i="2"/>
  <c r="N384" i="1"/>
  <c r="AO384" i="2"/>
  <c r="M384" i="1"/>
  <c r="AN384" i="2"/>
  <c r="L384" i="1"/>
  <c r="AM384" i="2"/>
  <c r="K384" i="1"/>
  <c r="AL384" i="2"/>
  <c r="AK384" i="2"/>
  <c r="AJ384" i="2"/>
  <c r="H384" i="1"/>
  <c r="AI384" i="2"/>
  <c r="G384" i="1"/>
  <c r="AH384" i="2"/>
  <c r="F384" i="1"/>
  <c r="AG384" i="2"/>
  <c r="E384" i="1"/>
  <c r="AF384" i="2"/>
  <c r="D384" i="1"/>
  <c r="AE384" i="2"/>
  <c r="AD384" i="2"/>
  <c r="AC384" i="2"/>
  <c r="Z384" i="2"/>
  <c r="Y384" i="2"/>
  <c r="R383" i="1"/>
  <c r="AS383" i="2"/>
  <c r="AR383" i="2"/>
  <c r="P383" i="1"/>
  <c r="AQ383" i="2"/>
  <c r="O383" i="1"/>
  <c r="AP383" i="2"/>
  <c r="N383" i="1"/>
  <c r="AO383" i="2"/>
  <c r="M383" i="1"/>
  <c r="AN383" i="2"/>
  <c r="L383" i="1"/>
  <c r="AM383" i="2"/>
  <c r="K383" i="1"/>
  <c r="AL383" i="2"/>
  <c r="AK383" i="2"/>
  <c r="AJ383" i="2"/>
  <c r="H383" i="1"/>
  <c r="AI383" i="2"/>
  <c r="G383" i="1"/>
  <c r="AH383" i="2"/>
  <c r="F383" i="1"/>
  <c r="AG383" i="2"/>
  <c r="E383" i="1"/>
  <c r="AF383" i="2"/>
  <c r="D383" i="1"/>
  <c r="AE383" i="2"/>
  <c r="AD383" i="2"/>
  <c r="AC383" i="2"/>
  <c r="Z383" i="2"/>
  <c r="Y383" i="2"/>
  <c r="R382" i="1"/>
  <c r="AS382" i="2"/>
  <c r="AR382" i="2"/>
  <c r="P382" i="1"/>
  <c r="AQ382" i="2"/>
  <c r="O382" i="1"/>
  <c r="AP382" i="2"/>
  <c r="N382" i="1"/>
  <c r="AO382" i="2"/>
  <c r="M382" i="1"/>
  <c r="AN382" i="2"/>
  <c r="L382" i="1"/>
  <c r="AM382" i="2"/>
  <c r="K382" i="1"/>
  <c r="AL382" i="2"/>
  <c r="AK382" i="2"/>
  <c r="AJ382" i="2"/>
  <c r="H382" i="1"/>
  <c r="AI382" i="2"/>
  <c r="G382" i="1"/>
  <c r="AH382" i="2"/>
  <c r="F382" i="1"/>
  <c r="AG382" i="2"/>
  <c r="E382" i="1"/>
  <c r="AF382" i="2"/>
  <c r="D382" i="1"/>
  <c r="AE382" i="2"/>
  <c r="AD382" i="2"/>
  <c r="AC382" i="2"/>
  <c r="Z382" i="2"/>
  <c r="Y382" i="2"/>
  <c r="R381" i="1"/>
  <c r="AS381" i="2"/>
  <c r="AR381" i="2"/>
  <c r="P381" i="1"/>
  <c r="AQ381" i="2"/>
  <c r="O381" i="1"/>
  <c r="AP381" i="2"/>
  <c r="N381" i="1"/>
  <c r="AO381" i="2"/>
  <c r="M381" i="1"/>
  <c r="AN381" i="2"/>
  <c r="L381" i="1"/>
  <c r="AM381" i="2"/>
  <c r="K381" i="1"/>
  <c r="AL381" i="2"/>
  <c r="AK381" i="2"/>
  <c r="AJ381" i="2"/>
  <c r="H381" i="1"/>
  <c r="AI381" i="2"/>
  <c r="G381" i="1"/>
  <c r="AH381" i="2"/>
  <c r="F381" i="1"/>
  <c r="AG381" i="2"/>
  <c r="E381" i="1"/>
  <c r="AF381" i="2"/>
  <c r="D381" i="1"/>
  <c r="AE381" i="2"/>
  <c r="AD381" i="2"/>
  <c r="AC381" i="2"/>
  <c r="Z381" i="2"/>
  <c r="Y381" i="2"/>
  <c r="R380" i="1"/>
  <c r="AS380" i="2"/>
  <c r="AR380" i="2"/>
  <c r="P380" i="1"/>
  <c r="AQ380" i="2"/>
  <c r="O380" i="1"/>
  <c r="AP380" i="2"/>
  <c r="N380" i="1"/>
  <c r="AO380" i="2"/>
  <c r="M380" i="1"/>
  <c r="AN380" i="2"/>
  <c r="L380" i="1"/>
  <c r="AM380" i="2"/>
  <c r="K380" i="1"/>
  <c r="AL380" i="2"/>
  <c r="AK380" i="2"/>
  <c r="AJ380" i="2"/>
  <c r="H380" i="1"/>
  <c r="AI380" i="2"/>
  <c r="G380" i="1"/>
  <c r="AH380" i="2"/>
  <c r="F380" i="1"/>
  <c r="AG380" i="2"/>
  <c r="E380" i="1"/>
  <c r="AF380" i="2"/>
  <c r="D380" i="1"/>
  <c r="AE380" i="2"/>
  <c r="AD380" i="2"/>
  <c r="AC380" i="2"/>
  <c r="Z380" i="2"/>
  <c r="Y380" i="2"/>
  <c r="R379" i="1"/>
  <c r="AS379" i="2"/>
  <c r="AR379" i="2"/>
  <c r="P379" i="1"/>
  <c r="AQ379" i="2"/>
  <c r="O379" i="1"/>
  <c r="AP379" i="2"/>
  <c r="N379" i="1"/>
  <c r="AO379" i="2"/>
  <c r="M379" i="1"/>
  <c r="AN379" i="2"/>
  <c r="L379" i="1"/>
  <c r="AM379" i="2"/>
  <c r="K379" i="1"/>
  <c r="AL379" i="2"/>
  <c r="AK379" i="2"/>
  <c r="AJ379" i="2"/>
  <c r="H379" i="1"/>
  <c r="AI379" i="2"/>
  <c r="G379" i="1"/>
  <c r="AH379" i="2"/>
  <c r="F379" i="1"/>
  <c r="AG379" i="2"/>
  <c r="E379" i="1"/>
  <c r="AF379" i="2"/>
  <c r="D379" i="1"/>
  <c r="AE379" i="2"/>
  <c r="AD379" i="2"/>
  <c r="AC379" i="2"/>
  <c r="Z379" i="2"/>
  <c r="Y379" i="2"/>
  <c r="R378" i="1"/>
  <c r="AS378" i="2"/>
  <c r="AR378" i="2"/>
  <c r="P378" i="1"/>
  <c r="AQ378" i="2"/>
  <c r="O378" i="1"/>
  <c r="AP378" i="2"/>
  <c r="N378" i="1"/>
  <c r="AO378" i="2"/>
  <c r="M378" i="1"/>
  <c r="AN378" i="2"/>
  <c r="L378" i="1"/>
  <c r="AM378" i="2"/>
  <c r="K378" i="1"/>
  <c r="AL378" i="2"/>
  <c r="AK378" i="2"/>
  <c r="AJ378" i="2"/>
  <c r="H378" i="1"/>
  <c r="AI378" i="2"/>
  <c r="G378" i="1"/>
  <c r="AH378" i="2"/>
  <c r="F378" i="1"/>
  <c r="AG378" i="2"/>
  <c r="E378" i="1"/>
  <c r="AF378" i="2"/>
  <c r="D378" i="1"/>
  <c r="AE378" i="2"/>
  <c r="AD378" i="2"/>
  <c r="AC378" i="2"/>
  <c r="Z378" i="2"/>
  <c r="Y378" i="2"/>
  <c r="R377" i="1"/>
  <c r="AS377" i="2"/>
  <c r="AR377" i="2"/>
  <c r="P377" i="1"/>
  <c r="AQ377" i="2"/>
  <c r="O377" i="1"/>
  <c r="AP377" i="2"/>
  <c r="N377" i="1"/>
  <c r="AO377" i="2"/>
  <c r="M377" i="1"/>
  <c r="AN377" i="2"/>
  <c r="L377" i="1"/>
  <c r="AM377" i="2"/>
  <c r="K377" i="1"/>
  <c r="AL377" i="2"/>
  <c r="AK377" i="2"/>
  <c r="AJ377" i="2"/>
  <c r="H377" i="1"/>
  <c r="AI377" i="2"/>
  <c r="G377" i="1"/>
  <c r="AH377" i="2"/>
  <c r="F377" i="1"/>
  <c r="AG377" i="2"/>
  <c r="E377" i="1"/>
  <c r="AF377" i="2"/>
  <c r="D377" i="1"/>
  <c r="AE377" i="2"/>
  <c r="AD377" i="2"/>
  <c r="AC377" i="2"/>
  <c r="Z377" i="2"/>
  <c r="Y377" i="2"/>
  <c r="R376" i="1"/>
  <c r="AS376" i="2"/>
  <c r="AR376" i="2"/>
  <c r="P376" i="1"/>
  <c r="AQ376" i="2"/>
  <c r="O376" i="1"/>
  <c r="AP376" i="2"/>
  <c r="N376" i="1"/>
  <c r="AO376" i="2"/>
  <c r="M376" i="1"/>
  <c r="AN376" i="2"/>
  <c r="L376" i="1"/>
  <c r="AM376" i="2"/>
  <c r="K376" i="1"/>
  <c r="AL376" i="2"/>
  <c r="AK376" i="2"/>
  <c r="AJ376" i="2"/>
  <c r="H376" i="1"/>
  <c r="AI376" i="2"/>
  <c r="G376" i="1"/>
  <c r="AH376" i="2"/>
  <c r="F376" i="1"/>
  <c r="AG376" i="2"/>
  <c r="E376" i="1"/>
  <c r="AF376" i="2"/>
  <c r="D376" i="1"/>
  <c r="AE376" i="2"/>
  <c r="AD376" i="2"/>
  <c r="AC376" i="2"/>
  <c r="Z376" i="2"/>
  <c r="Y376" i="2"/>
  <c r="R375" i="1"/>
  <c r="AS375" i="2"/>
  <c r="AR375" i="2"/>
  <c r="P375" i="1"/>
  <c r="AQ375" i="2"/>
  <c r="O375" i="1"/>
  <c r="AP375" i="2"/>
  <c r="N375" i="1"/>
  <c r="AO375" i="2"/>
  <c r="M375" i="1"/>
  <c r="AN375" i="2"/>
  <c r="L375" i="1"/>
  <c r="AM375" i="2"/>
  <c r="K375" i="1"/>
  <c r="AL375" i="2"/>
  <c r="AK375" i="2"/>
  <c r="AJ375" i="2"/>
  <c r="H375" i="1"/>
  <c r="AI375" i="2"/>
  <c r="G375" i="1"/>
  <c r="AH375" i="2"/>
  <c r="F375" i="1"/>
  <c r="AG375" i="2"/>
  <c r="E375" i="1"/>
  <c r="AF375" i="2"/>
  <c r="D375" i="1"/>
  <c r="AE375" i="2"/>
  <c r="AD375" i="2"/>
  <c r="AC375" i="2"/>
  <c r="Z375" i="2"/>
  <c r="Y375" i="2"/>
  <c r="R374" i="1"/>
  <c r="AS374" i="2"/>
  <c r="AR374" i="2"/>
  <c r="P374" i="1"/>
  <c r="AQ374" i="2"/>
  <c r="O374" i="1"/>
  <c r="AP374" i="2"/>
  <c r="N374" i="1"/>
  <c r="AO374" i="2"/>
  <c r="M374" i="1"/>
  <c r="AN374" i="2"/>
  <c r="L374" i="1"/>
  <c r="AM374" i="2"/>
  <c r="K374" i="1"/>
  <c r="AL374" i="2"/>
  <c r="AK374" i="2"/>
  <c r="AJ374" i="2"/>
  <c r="H374" i="1"/>
  <c r="AI374" i="2"/>
  <c r="G374" i="1"/>
  <c r="AH374" i="2"/>
  <c r="F374" i="1"/>
  <c r="AG374" i="2"/>
  <c r="E374" i="1"/>
  <c r="AF374" i="2"/>
  <c r="D374" i="1"/>
  <c r="AE374" i="2"/>
  <c r="AD374" i="2"/>
  <c r="AC374" i="2"/>
  <c r="Z374" i="2"/>
  <c r="Y374" i="2"/>
  <c r="R373" i="1"/>
  <c r="AS373" i="2"/>
  <c r="AR373" i="2"/>
  <c r="P373" i="1"/>
  <c r="AQ373" i="2"/>
  <c r="O373" i="1"/>
  <c r="AP373" i="2"/>
  <c r="N373" i="1"/>
  <c r="AO373" i="2"/>
  <c r="M373" i="1"/>
  <c r="AN373" i="2"/>
  <c r="L373" i="1"/>
  <c r="AM373" i="2"/>
  <c r="K373" i="1"/>
  <c r="AL373" i="2"/>
  <c r="AK373" i="2"/>
  <c r="AJ373" i="2"/>
  <c r="H373" i="1"/>
  <c r="AI373" i="2"/>
  <c r="G373" i="1"/>
  <c r="AH373" i="2"/>
  <c r="F373" i="1"/>
  <c r="AG373" i="2"/>
  <c r="E373" i="1"/>
  <c r="AF373" i="2"/>
  <c r="D373" i="1"/>
  <c r="AE373" i="2"/>
  <c r="AD373" i="2"/>
  <c r="AC373" i="2"/>
  <c r="Z373" i="2"/>
  <c r="Y373" i="2"/>
  <c r="R372" i="1"/>
  <c r="AS372" i="2"/>
  <c r="AR372" i="2"/>
  <c r="P372" i="1"/>
  <c r="AQ372" i="2"/>
  <c r="O372" i="1"/>
  <c r="AP372" i="2"/>
  <c r="N372" i="1"/>
  <c r="AO372" i="2"/>
  <c r="M372" i="1"/>
  <c r="AN372" i="2"/>
  <c r="L372" i="1"/>
  <c r="AM372" i="2"/>
  <c r="K372" i="1"/>
  <c r="AL372" i="2"/>
  <c r="AK372" i="2"/>
  <c r="AJ372" i="2"/>
  <c r="H372" i="1"/>
  <c r="AI372" i="2"/>
  <c r="G372" i="1"/>
  <c r="AH372" i="2"/>
  <c r="F372" i="1"/>
  <c r="AG372" i="2"/>
  <c r="E372" i="1"/>
  <c r="AF372" i="2"/>
  <c r="D372" i="1"/>
  <c r="AE372" i="2"/>
  <c r="AD372" i="2"/>
  <c r="AC372" i="2"/>
  <c r="Z372" i="2"/>
  <c r="Y372" i="2"/>
  <c r="R371" i="1"/>
  <c r="AS371" i="2"/>
  <c r="AR371" i="2"/>
  <c r="P371" i="1"/>
  <c r="AQ371" i="2"/>
  <c r="O371" i="1"/>
  <c r="AP371" i="2"/>
  <c r="N371" i="1"/>
  <c r="AO371" i="2"/>
  <c r="M371" i="1"/>
  <c r="AN371" i="2"/>
  <c r="L371" i="1"/>
  <c r="AM371" i="2"/>
  <c r="K371" i="1"/>
  <c r="AL371" i="2"/>
  <c r="AK371" i="2"/>
  <c r="AJ371" i="2"/>
  <c r="H371" i="1"/>
  <c r="AI371" i="2"/>
  <c r="G371" i="1"/>
  <c r="AH371" i="2"/>
  <c r="F371" i="1"/>
  <c r="AG371" i="2"/>
  <c r="E371" i="1"/>
  <c r="AF371" i="2"/>
  <c r="D371" i="1"/>
  <c r="AE371" i="2"/>
  <c r="AD371" i="2"/>
  <c r="AC371" i="2"/>
  <c r="Z371" i="2"/>
  <c r="Y371" i="2"/>
  <c r="R370" i="1"/>
  <c r="AS370" i="2"/>
  <c r="AR370" i="2"/>
  <c r="P370" i="1"/>
  <c r="AQ370" i="2"/>
  <c r="O370" i="1"/>
  <c r="AP370" i="2"/>
  <c r="N370" i="1"/>
  <c r="AO370" i="2"/>
  <c r="M370" i="1"/>
  <c r="AN370" i="2"/>
  <c r="L370" i="1"/>
  <c r="AM370" i="2"/>
  <c r="K370" i="1"/>
  <c r="AL370" i="2"/>
  <c r="AK370" i="2"/>
  <c r="AJ370" i="2"/>
  <c r="H370" i="1"/>
  <c r="AI370" i="2"/>
  <c r="G370" i="1"/>
  <c r="AH370" i="2"/>
  <c r="F370" i="1"/>
  <c r="AG370" i="2"/>
  <c r="E370" i="1"/>
  <c r="AF370" i="2"/>
  <c r="D370" i="1"/>
  <c r="AE370" i="2"/>
  <c r="AD370" i="2"/>
  <c r="AC370" i="2"/>
  <c r="Z370" i="2"/>
  <c r="Y370" i="2"/>
  <c r="R369" i="1"/>
  <c r="AS369" i="2"/>
  <c r="AR369" i="2"/>
  <c r="P369" i="1"/>
  <c r="AQ369" i="2"/>
  <c r="O369" i="1"/>
  <c r="AP369" i="2"/>
  <c r="N369" i="1"/>
  <c r="AO369" i="2"/>
  <c r="M369" i="1"/>
  <c r="AN369" i="2"/>
  <c r="L369" i="1"/>
  <c r="AM369" i="2"/>
  <c r="K369" i="1"/>
  <c r="AL369" i="2"/>
  <c r="AK369" i="2"/>
  <c r="AJ369" i="2"/>
  <c r="H369" i="1"/>
  <c r="AI369" i="2"/>
  <c r="G369" i="1"/>
  <c r="AH369" i="2"/>
  <c r="F369" i="1"/>
  <c r="AG369" i="2"/>
  <c r="E369" i="1"/>
  <c r="AF369" i="2"/>
  <c r="D369" i="1"/>
  <c r="AE369" i="2"/>
  <c r="AD369" i="2"/>
  <c r="AC369" i="2"/>
  <c r="Z369" i="2"/>
  <c r="Y369" i="2"/>
  <c r="R368" i="1"/>
  <c r="AS368" i="2"/>
  <c r="AR368" i="2"/>
  <c r="P368" i="1"/>
  <c r="AQ368" i="2"/>
  <c r="O368" i="1"/>
  <c r="AP368" i="2"/>
  <c r="N368" i="1"/>
  <c r="AO368" i="2"/>
  <c r="M368" i="1"/>
  <c r="AN368" i="2"/>
  <c r="L368" i="1"/>
  <c r="AM368" i="2"/>
  <c r="K368" i="1"/>
  <c r="AL368" i="2"/>
  <c r="AK368" i="2"/>
  <c r="AJ368" i="2"/>
  <c r="H368" i="1"/>
  <c r="AI368" i="2"/>
  <c r="G368" i="1"/>
  <c r="AH368" i="2"/>
  <c r="F368" i="1"/>
  <c r="AG368" i="2"/>
  <c r="E368" i="1"/>
  <c r="AF368" i="2"/>
  <c r="D368" i="1"/>
  <c r="AE368" i="2"/>
  <c r="AD368" i="2"/>
  <c r="AC368" i="2"/>
  <c r="Z368" i="2"/>
  <c r="Y368" i="2"/>
  <c r="R367" i="1"/>
  <c r="AS367" i="2"/>
  <c r="AR367" i="2"/>
  <c r="P367" i="1"/>
  <c r="AQ367" i="2"/>
  <c r="O367" i="1"/>
  <c r="AP367" i="2"/>
  <c r="N367" i="1"/>
  <c r="AO367" i="2"/>
  <c r="M367" i="1"/>
  <c r="AN367" i="2"/>
  <c r="L367" i="1"/>
  <c r="AM367" i="2"/>
  <c r="K367" i="1"/>
  <c r="AL367" i="2"/>
  <c r="AK367" i="2"/>
  <c r="AJ367" i="2"/>
  <c r="H367" i="1"/>
  <c r="AI367" i="2"/>
  <c r="G367" i="1"/>
  <c r="AH367" i="2"/>
  <c r="F367" i="1"/>
  <c r="AG367" i="2"/>
  <c r="E367" i="1"/>
  <c r="AF367" i="2"/>
  <c r="D367" i="1"/>
  <c r="AE367" i="2"/>
  <c r="AD367" i="2"/>
  <c r="AC367" i="2"/>
  <c r="Z367" i="2"/>
  <c r="Y367" i="2"/>
  <c r="R366" i="1"/>
  <c r="AS366" i="2"/>
  <c r="AR366" i="2"/>
  <c r="P366" i="1"/>
  <c r="AQ366" i="2"/>
  <c r="O366" i="1"/>
  <c r="AP366" i="2"/>
  <c r="N366" i="1"/>
  <c r="AO366" i="2"/>
  <c r="M366" i="1"/>
  <c r="AN366" i="2"/>
  <c r="L366" i="1"/>
  <c r="AM366" i="2"/>
  <c r="K366" i="1"/>
  <c r="AL366" i="2"/>
  <c r="AK366" i="2"/>
  <c r="AJ366" i="2"/>
  <c r="H366" i="1"/>
  <c r="AI366" i="2"/>
  <c r="G366" i="1"/>
  <c r="AH366" i="2"/>
  <c r="F366" i="1"/>
  <c r="AG366" i="2"/>
  <c r="E366" i="1"/>
  <c r="AF366" i="2"/>
  <c r="D366" i="1"/>
  <c r="AE366" i="2"/>
  <c r="AD366" i="2"/>
  <c r="AC366" i="2"/>
  <c r="Z366" i="2"/>
  <c r="Y366" i="2"/>
  <c r="R365" i="1"/>
  <c r="AS365" i="2"/>
  <c r="AR365" i="2"/>
  <c r="P365" i="1"/>
  <c r="AQ365" i="2"/>
  <c r="O365" i="1"/>
  <c r="AP365" i="2"/>
  <c r="N365" i="1"/>
  <c r="AO365" i="2"/>
  <c r="M365" i="1"/>
  <c r="AN365" i="2"/>
  <c r="L365" i="1"/>
  <c r="AM365" i="2"/>
  <c r="K365" i="1"/>
  <c r="AL365" i="2"/>
  <c r="AK365" i="2"/>
  <c r="AJ365" i="2"/>
  <c r="H365" i="1"/>
  <c r="AI365" i="2"/>
  <c r="G365" i="1"/>
  <c r="AH365" i="2"/>
  <c r="F365" i="1"/>
  <c r="AG365" i="2"/>
  <c r="E365" i="1"/>
  <c r="AF365" i="2"/>
  <c r="D365" i="1"/>
  <c r="AE365" i="2"/>
  <c r="AD365" i="2"/>
  <c r="AC365" i="2"/>
  <c r="Z365" i="2"/>
  <c r="Y365" i="2"/>
  <c r="R364" i="1"/>
  <c r="AS364" i="2"/>
  <c r="AR364" i="2"/>
  <c r="P364" i="1"/>
  <c r="AQ364" i="2"/>
  <c r="O364" i="1"/>
  <c r="AP364" i="2"/>
  <c r="N364" i="1"/>
  <c r="AO364" i="2"/>
  <c r="M364" i="1"/>
  <c r="AN364" i="2"/>
  <c r="L364" i="1"/>
  <c r="AM364" i="2"/>
  <c r="K364" i="1"/>
  <c r="AL364" i="2"/>
  <c r="AK364" i="2"/>
  <c r="AJ364" i="2"/>
  <c r="H364" i="1"/>
  <c r="AI364" i="2"/>
  <c r="G364" i="1"/>
  <c r="AH364" i="2"/>
  <c r="F364" i="1"/>
  <c r="AG364" i="2"/>
  <c r="E364" i="1"/>
  <c r="AF364" i="2"/>
  <c r="D364" i="1"/>
  <c r="AE364" i="2"/>
  <c r="AD364" i="2"/>
  <c r="AC364" i="2"/>
  <c r="Z364" i="2"/>
  <c r="Y364" i="2"/>
  <c r="R363" i="1"/>
  <c r="AS363" i="2"/>
  <c r="AR363" i="2"/>
  <c r="P363" i="1"/>
  <c r="AQ363" i="2"/>
  <c r="O363" i="1"/>
  <c r="AP363" i="2"/>
  <c r="N363" i="1"/>
  <c r="AO363" i="2"/>
  <c r="M363" i="1"/>
  <c r="AN363" i="2"/>
  <c r="L363" i="1"/>
  <c r="AM363" i="2"/>
  <c r="K363" i="1"/>
  <c r="AL363" i="2"/>
  <c r="AK363" i="2"/>
  <c r="AJ363" i="2"/>
  <c r="H363" i="1"/>
  <c r="AI363" i="2"/>
  <c r="G363" i="1"/>
  <c r="AH363" i="2"/>
  <c r="F363" i="1"/>
  <c r="AG363" i="2"/>
  <c r="E363" i="1"/>
  <c r="AF363" i="2"/>
  <c r="D363" i="1"/>
  <c r="AE363" i="2"/>
  <c r="AD363" i="2"/>
  <c r="AC363" i="2"/>
  <c r="Z363" i="2"/>
  <c r="Y363" i="2"/>
  <c r="R362" i="1"/>
  <c r="AS362" i="2"/>
  <c r="AR362" i="2"/>
  <c r="P362" i="1"/>
  <c r="AQ362" i="2"/>
  <c r="O362" i="1"/>
  <c r="AP362" i="2"/>
  <c r="N362" i="1"/>
  <c r="AO362" i="2"/>
  <c r="M362" i="1"/>
  <c r="AN362" i="2"/>
  <c r="L362" i="1"/>
  <c r="AM362" i="2"/>
  <c r="K362" i="1"/>
  <c r="AL362" i="2"/>
  <c r="AK362" i="2"/>
  <c r="AJ362" i="2"/>
  <c r="H362" i="1"/>
  <c r="AI362" i="2"/>
  <c r="G362" i="1"/>
  <c r="AH362" i="2"/>
  <c r="F362" i="1"/>
  <c r="AG362" i="2"/>
  <c r="E362" i="1"/>
  <c r="AF362" i="2"/>
  <c r="D362" i="1"/>
  <c r="AE362" i="2"/>
  <c r="AD362" i="2"/>
  <c r="AC362" i="2"/>
  <c r="Z362" i="2"/>
  <c r="Y362" i="2"/>
  <c r="R361" i="1"/>
  <c r="AS361" i="2"/>
  <c r="AR361" i="2"/>
  <c r="P361" i="1"/>
  <c r="AQ361" i="2"/>
  <c r="O361" i="1"/>
  <c r="AP361" i="2"/>
  <c r="N361" i="1"/>
  <c r="AO361" i="2"/>
  <c r="M361" i="1"/>
  <c r="AN361" i="2"/>
  <c r="L361" i="1"/>
  <c r="AM361" i="2"/>
  <c r="K361" i="1"/>
  <c r="AL361" i="2"/>
  <c r="AK361" i="2"/>
  <c r="AJ361" i="2"/>
  <c r="H361" i="1"/>
  <c r="AI361" i="2"/>
  <c r="G361" i="1"/>
  <c r="AH361" i="2"/>
  <c r="F361" i="1"/>
  <c r="AG361" i="2"/>
  <c r="E361" i="1"/>
  <c r="AF361" i="2"/>
  <c r="D361" i="1"/>
  <c r="AE361" i="2"/>
  <c r="AD361" i="2"/>
  <c r="AC361" i="2"/>
  <c r="Z361" i="2"/>
  <c r="Y361" i="2"/>
  <c r="R360" i="1"/>
  <c r="AS360" i="2"/>
  <c r="AR360" i="2"/>
  <c r="P360" i="1"/>
  <c r="AQ360" i="2"/>
  <c r="O360" i="1"/>
  <c r="AP360" i="2"/>
  <c r="N360" i="1"/>
  <c r="AO360" i="2"/>
  <c r="M360" i="1"/>
  <c r="AN360" i="2"/>
  <c r="L360" i="1"/>
  <c r="AM360" i="2"/>
  <c r="K360" i="1"/>
  <c r="AL360" i="2"/>
  <c r="AK360" i="2"/>
  <c r="AJ360" i="2"/>
  <c r="H360" i="1"/>
  <c r="AI360" i="2"/>
  <c r="G360" i="1"/>
  <c r="AH360" i="2"/>
  <c r="F360" i="1"/>
  <c r="AG360" i="2"/>
  <c r="E360" i="1"/>
  <c r="AF360" i="2"/>
  <c r="D360" i="1"/>
  <c r="AE360" i="2"/>
  <c r="AD360" i="2"/>
  <c r="AC360" i="2"/>
  <c r="Z360" i="2"/>
  <c r="Y360" i="2"/>
  <c r="R359" i="1"/>
  <c r="AS359" i="2"/>
  <c r="AR359" i="2"/>
  <c r="P359" i="1"/>
  <c r="AQ359" i="2"/>
  <c r="O359" i="1"/>
  <c r="AP359" i="2"/>
  <c r="N359" i="1"/>
  <c r="AO359" i="2"/>
  <c r="M359" i="1"/>
  <c r="AN359" i="2"/>
  <c r="L359" i="1"/>
  <c r="AM359" i="2"/>
  <c r="K359" i="1"/>
  <c r="AL359" i="2"/>
  <c r="AK359" i="2"/>
  <c r="AJ359" i="2"/>
  <c r="H359" i="1"/>
  <c r="AI359" i="2"/>
  <c r="G359" i="1"/>
  <c r="AH359" i="2"/>
  <c r="F359" i="1"/>
  <c r="AG359" i="2"/>
  <c r="E359" i="1"/>
  <c r="AF359" i="2"/>
  <c r="D359" i="1"/>
  <c r="AE359" i="2"/>
  <c r="AD359" i="2"/>
  <c r="AC359" i="2"/>
  <c r="Z359" i="2"/>
  <c r="Y359" i="2"/>
  <c r="R358" i="1"/>
  <c r="AS358" i="2"/>
  <c r="AR358" i="2"/>
  <c r="P358" i="1"/>
  <c r="AQ358" i="2"/>
  <c r="O358" i="1"/>
  <c r="AP358" i="2"/>
  <c r="N358" i="1"/>
  <c r="AO358" i="2"/>
  <c r="M358" i="1"/>
  <c r="AN358" i="2"/>
  <c r="L358" i="1"/>
  <c r="AM358" i="2"/>
  <c r="K358" i="1"/>
  <c r="AL358" i="2"/>
  <c r="AK358" i="2"/>
  <c r="AJ358" i="2"/>
  <c r="H358" i="1"/>
  <c r="AI358" i="2"/>
  <c r="G358" i="1"/>
  <c r="AH358" i="2"/>
  <c r="F358" i="1"/>
  <c r="AG358" i="2"/>
  <c r="E358" i="1"/>
  <c r="AF358" i="2"/>
  <c r="D358" i="1"/>
  <c r="AE358" i="2"/>
  <c r="AD358" i="2"/>
  <c r="AC358" i="2"/>
  <c r="Z358" i="2"/>
  <c r="Y358" i="2"/>
  <c r="R357" i="1"/>
  <c r="AS357" i="2"/>
  <c r="AR357" i="2"/>
  <c r="P357" i="1"/>
  <c r="AQ357" i="2"/>
  <c r="O357" i="1"/>
  <c r="AP357" i="2"/>
  <c r="N357" i="1"/>
  <c r="AO357" i="2"/>
  <c r="M357" i="1"/>
  <c r="AN357" i="2"/>
  <c r="L357" i="1"/>
  <c r="AM357" i="2"/>
  <c r="K357" i="1"/>
  <c r="AL357" i="2"/>
  <c r="AK357" i="2"/>
  <c r="AJ357" i="2"/>
  <c r="H357" i="1"/>
  <c r="AI357" i="2"/>
  <c r="G357" i="1"/>
  <c r="AH357" i="2"/>
  <c r="F357" i="1"/>
  <c r="AG357" i="2"/>
  <c r="E357" i="1"/>
  <c r="AF357" i="2"/>
  <c r="D357" i="1"/>
  <c r="AE357" i="2"/>
  <c r="AD357" i="2"/>
  <c r="AC357" i="2"/>
  <c r="Z357" i="2"/>
  <c r="Y357" i="2"/>
  <c r="R356" i="1"/>
  <c r="AS356" i="2"/>
  <c r="AR356" i="2"/>
  <c r="P356" i="1"/>
  <c r="AQ356" i="2"/>
  <c r="O356" i="1"/>
  <c r="AP356" i="2"/>
  <c r="N356" i="1"/>
  <c r="AO356" i="2"/>
  <c r="M356" i="1"/>
  <c r="AN356" i="2"/>
  <c r="L356" i="1"/>
  <c r="AM356" i="2"/>
  <c r="K356" i="1"/>
  <c r="AL356" i="2"/>
  <c r="AK356" i="2"/>
  <c r="AJ356" i="2"/>
  <c r="H356" i="1"/>
  <c r="AI356" i="2"/>
  <c r="G356" i="1"/>
  <c r="AH356" i="2"/>
  <c r="F356" i="1"/>
  <c r="AG356" i="2"/>
  <c r="E356" i="1"/>
  <c r="AF356" i="2"/>
  <c r="D356" i="1"/>
  <c r="AE356" i="2"/>
  <c r="AD356" i="2"/>
  <c r="AC356" i="2"/>
  <c r="Z356" i="2"/>
  <c r="Y356" i="2"/>
  <c r="R355" i="1"/>
  <c r="AS355" i="2"/>
  <c r="AR355" i="2"/>
  <c r="P355" i="1"/>
  <c r="AQ355" i="2"/>
  <c r="O355" i="1"/>
  <c r="AP355" i="2"/>
  <c r="N355" i="1"/>
  <c r="AO355" i="2"/>
  <c r="M355" i="1"/>
  <c r="AN355" i="2"/>
  <c r="L355" i="1"/>
  <c r="AM355" i="2"/>
  <c r="K355" i="1"/>
  <c r="AL355" i="2"/>
  <c r="AK355" i="2"/>
  <c r="AJ355" i="2"/>
  <c r="H355" i="1"/>
  <c r="AI355" i="2"/>
  <c r="G355" i="1"/>
  <c r="AH355" i="2"/>
  <c r="F355" i="1"/>
  <c r="AG355" i="2"/>
  <c r="E355" i="1"/>
  <c r="AF355" i="2"/>
  <c r="D355" i="1"/>
  <c r="AE355" i="2"/>
  <c r="AD355" i="2"/>
  <c r="AC355" i="2"/>
  <c r="Z355" i="2"/>
  <c r="Y355" i="2"/>
  <c r="R354" i="1"/>
  <c r="AS354" i="2"/>
  <c r="AR354" i="2"/>
  <c r="P354" i="1"/>
  <c r="AQ354" i="2"/>
  <c r="O354" i="1"/>
  <c r="AP354" i="2"/>
  <c r="N354" i="1"/>
  <c r="AO354" i="2"/>
  <c r="M354" i="1"/>
  <c r="AN354" i="2"/>
  <c r="L354" i="1"/>
  <c r="AM354" i="2"/>
  <c r="K354" i="1"/>
  <c r="AL354" i="2"/>
  <c r="AK354" i="2"/>
  <c r="AJ354" i="2"/>
  <c r="H354" i="1"/>
  <c r="AI354" i="2"/>
  <c r="G354" i="1"/>
  <c r="AH354" i="2"/>
  <c r="F354" i="1"/>
  <c r="AG354" i="2"/>
  <c r="E354" i="1"/>
  <c r="AF354" i="2"/>
  <c r="D354" i="1"/>
  <c r="AE354" i="2"/>
  <c r="AD354" i="2"/>
  <c r="AC354" i="2"/>
  <c r="Z354" i="2"/>
  <c r="Y354" i="2"/>
  <c r="R353" i="1"/>
  <c r="AS353" i="2"/>
  <c r="AR353" i="2"/>
  <c r="P353" i="1"/>
  <c r="AQ353" i="2"/>
  <c r="O353" i="1"/>
  <c r="AP353" i="2"/>
  <c r="N353" i="1"/>
  <c r="AO353" i="2"/>
  <c r="M353" i="1"/>
  <c r="AN353" i="2"/>
  <c r="L353" i="1"/>
  <c r="AM353" i="2"/>
  <c r="K353" i="1"/>
  <c r="AL353" i="2"/>
  <c r="AK353" i="2"/>
  <c r="AJ353" i="2"/>
  <c r="H353" i="1"/>
  <c r="AI353" i="2"/>
  <c r="G353" i="1"/>
  <c r="AH353" i="2"/>
  <c r="F353" i="1"/>
  <c r="AG353" i="2"/>
  <c r="E353" i="1"/>
  <c r="AF353" i="2"/>
  <c r="D353" i="1"/>
  <c r="AE353" i="2"/>
  <c r="AD353" i="2"/>
  <c r="AC353" i="2"/>
  <c r="Z353" i="2"/>
  <c r="Y353" i="2"/>
  <c r="R352" i="1"/>
  <c r="AS352" i="2"/>
  <c r="AR352" i="2"/>
  <c r="P352" i="1"/>
  <c r="AQ352" i="2"/>
  <c r="O352" i="1"/>
  <c r="AP352" i="2"/>
  <c r="N352" i="1"/>
  <c r="AO352" i="2"/>
  <c r="M352" i="1"/>
  <c r="AN352" i="2"/>
  <c r="L352" i="1"/>
  <c r="AM352" i="2"/>
  <c r="K352" i="1"/>
  <c r="AL352" i="2"/>
  <c r="AK352" i="2"/>
  <c r="AJ352" i="2"/>
  <c r="H352" i="1"/>
  <c r="AI352" i="2"/>
  <c r="G352" i="1"/>
  <c r="AH352" i="2"/>
  <c r="F352" i="1"/>
  <c r="AG352" i="2"/>
  <c r="E352" i="1"/>
  <c r="AF352" i="2"/>
  <c r="D352" i="1"/>
  <c r="AE352" i="2"/>
  <c r="AD352" i="2"/>
  <c r="AC352" i="2"/>
  <c r="Z352" i="2"/>
  <c r="Y352" i="2"/>
  <c r="R351" i="1"/>
  <c r="AS351" i="2"/>
  <c r="AR351" i="2"/>
  <c r="P351" i="1"/>
  <c r="AQ351" i="2"/>
  <c r="O351" i="1"/>
  <c r="AP351" i="2"/>
  <c r="N351" i="1"/>
  <c r="AO351" i="2"/>
  <c r="M351" i="1"/>
  <c r="AN351" i="2"/>
  <c r="L351" i="1"/>
  <c r="AM351" i="2"/>
  <c r="K351" i="1"/>
  <c r="AL351" i="2"/>
  <c r="AK351" i="2"/>
  <c r="AJ351" i="2"/>
  <c r="H351" i="1"/>
  <c r="AI351" i="2"/>
  <c r="G351" i="1"/>
  <c r="AH351" i="2"/>
  <c r="F351" i="1"/>
  <c r="AG351" i="2"/>
  <c r="E351" i="1"/>
  <c r="AF351" i="2"/>
  <c r="D351" i="1"/>
  <c r="AE351" i="2"/>
  <c r="AD351" i="2"/>
  <c r="AC351" i="2"/>
  <c r="Z351" i="2"/>
  <c r="Y351" i="2"/>
  <c r="R350" i="1"/>
  <c r="AS350" i="2"/>
  <c r="AR350" i="2"/>
  <c r="P350" i="1"/>
  <c r="AQ350" i="2"/>
  <c r="O350" i="1"/>
  <c r="AP350" i="2"/>
  <c r="N350" i="1"/>
  <c r="AO350" i="2"/>
  <c r="M350" i="1"/>
  <c r="AN350" i="2"/>
  <c r="L350" i="1"/>
  <c r="AM350" i="2"/>
  <c r="K350" i="1"/>
  <c r="AL350" i="2"/>
  <c r="AK350" i="2"/>
  <c r="AJ350" i="2"/>
  <c r="H350" i="1"/>
  <c r="AI350" i="2"/>
  <c r="G350" i="1"/>
  <c r="AH350" i="2"/>
  <c r="F350" i="1"/>
  <c r="AG350" i="2"/>
  <c r="E350" i="1"/>
  <c r="AF350" i="2"/>
  <c r="D350" i="1"/>
  <c r="AE350" i="2"/>
  <c r="AD350" i="2"/>
  <c r="AC350" i="2"/>
  <c r="Z350" i="2"/>
  <c r="Y350" i="2"/>
  <c r="R349" i="1"/>
  <c r="AS349" i="2"/>
  <c r="AR349" i="2"/>
  <c r="P349" i="1"/>
  <c r="AQ349" i="2"/>
  <c r="O349" i="1"/>
  <c r="AP349" i="2"/>
  <c r="N349" i="1"/>
  <c r="AO349" i="2"/>
  <c r="M349" i="1"/>
  <c r="AN349" i="2"/>
  <c r="L349" i="1"/>
  <c r="AM349" i="2"/>
  <c r="K349" i="1"/>
  <c r="AL349" i="2"/>
  <c r="AK349" i="2"/>
  <c r="AJ349" i="2"/>
  <c r="H349" i="1"/>
  <c r="AI349" i="2"/>
  <c r="G349" i="1"/>
  <c r="AH349" i="2"/>
  <c r="F349" i="1"/>
  <c r="AG349" i="2"/>
  <c r="E349" i="1"/>
  <c r="AF349" i="2"/>
  <c r="D349" i="1"/>
  <c r="AE349" i="2"/>
  <c r="AD349" i="2"/>
  <c r="AC349" i="2"/>
  <c r="Z349" i="2"/>
  <c r="Y349" i="2"/>
  <c r="R348" i="1"/>
  <c r="AS348" i="2"/>
  <c r="AR348" i="2"/>
  <c r="P348" i="1"/>
  <c r="AQ348" i="2"/>
  <c r="O348" i="1"/>
  <c r="AP348" i="2"/>
  <c r="N348" i="1"/>
  <c r="AO348" i="2"/>
  <c r="M348" i="1"/>
  <c r="AN348" i="2"/>
  <c r="L348" i="1"/>
  <c r="AM348" i="2"/>
  <c r="K348" i="1"/>
  <c r="AL348" i="2"/>
  <c r="AK348" i="2"/>
  <c r="AJ348" i="2"/>
  <c r="H348" i="1"/>
  <c r="AI348" i="2"/>
  <c r="G348" i="1"/>
  <c r="AH348" i="2"/>
  <c r="F348" i="1"/>
  <c r="AG348" i="2"/>
  <c r="E348" i="1"/>
  <c r="AF348" i="2"/>
  <c r="D348" i="1"/>
  <c r="AE348" i="2"/>
  <c r="AD348" i="2"/>
  <c r="AC348" i="2"/>
  <c r="Z348" i="2"/>
  <c r="Y348" i="2"/>
  <c r="R347" i="1"/>
  <c r="AS347" i="2"/>
  <c r="AR347" i="2"/>
  <c r="P347" i="1"/>
  <c r="AQ347" i="2"/>
  <c r="O347" i="1"/>
  <c r="AP347" i="2"/>
  <c r="N347" i="1"/>
  <c r="AO347" i="2"/>
  <c r="M347" i="1"/>
  <c r="AN347" i="2"/>
  <c r="L347" i="1"/>
  <c r="AM347" i="2"/>
  <c r="K347" i="1"/>
  <c r="AL347" i="2"/>
  <c r="AK347" i="2"/>
  <c r="AJ347" i="2"/>
  <c r="H347" i="1"/>
  <c r="AI347" i="2"/>
  <c r="G347" i="1"/>
  <c r="AH347" i="2"/>
  <c r="F347" i="1"/>
  <c r="AG347" i="2"/>
  <c r="E347" i="1"/>
  <c r="AF347" i="2"/>
  <c r="D347" i="1"/>
  <c r="AE347" i="2"/>
  <c r="AD347" i="2"/>
  <c r="AC347" i="2"/>
  <c r="Z347" i="2"/>
  <c r="Y347" i="2"/>
  <c r="R346" i="1"/>
  <c r="AS346" i="2"/>
  <c r="AR346" i="2"/>
  <c r="P346" i="1"/>
  <c r="AQ346" i="2"/>
  <c r="O346" i="1"/>
  <c r="AP346" i="2"/>
  <c r="N346" i="1"/>
  <c r="AO346" i="2"/>
  <c r="M346" i="1"/>
  <c r="AN346" i="2"/>
  <c r="L346" i="1"/>
  <c r="AM346" i="2"/>
  <c r="K346" i="1"/>
  <c r="AL346" i="2"/>
  <c r="AK346" i="2"/>
  <c r="AJ346" i="2"/>
  <c r="H346" i="1"/>
  <c r="AI346" i="2"/>
  <c r="G346" i="1"/>
  <c r="AH346" i="2"/>
  <c r="F346" i="1"/>
  <c r="AG346" i="2"/>
  <c r="E346" i="1"/>
  <c r="AF346" i="2"/>
  <c r="D346" i="1"/>
  <c r="AE346" i="2"/>
  <c r="AD346" i="2"/>
  <c r="AC346" i="2"/>
  <c r="Z346" i="2"/>
  <c r="Y346" i="2"/>
  <c r="R345" i="1"/>
  <c r="AS345" i="2"/>
  <c r="AR345" i="2"/>
  <c r="P345" i="1"/>
  <c r="AQ345" i="2"/>
  <c r="O345" i="1"/>
  <c r="AP345" i="2"/>
  <c r="N345" i="1"/>
  <c r="AO345" i="2"/>
  <c r="M345" i="1"/>
  <c r="AN345" i="2"/>
  <c r="L345" i="1"/>
  <c r="AM345" i="2"/>
  <c r="K345" i="1"/>
  <c r="AL345" i="2"/>
  <c r="AK345" i="2"/>
  <c r="AJ345" i="2"/>
  <c r="H345" i="1"/>
  <c r="AI345" i="2"/>
  <c r="G345" i="1"/>
  <c r="AH345" i="2"/>
  <c r="F345" i="1"/>
  <c r="AG345" i="2"/>
  <c r="E345" i="1"/>
  <c r="AF345" i="2"/>
  <c r="D345" i="1"/>
  <c r="AE345" i="2"/>
  <c r="AD345" i="2"/>
  <c r="AC345" i="2"/>
  <c r="Z345" i="2"/>
  <c r="Y345" i="2"/>
  <c r="R344" i="1"/>
  <c r="AS344" i="2"/>
  <c r="AR344" i="2"/>
  <c r="P344" i="1"/>
  <c r="AQ344" i="2"/>
  <c r="O344" i="1"/>
  <c r="AP344" i="2"/>
  <c r="N344" i="1"/>
  <c r="AO344" i="2"/>
  <c r="M344" i="1"/>
  <c r="AN344" i="2"/>
  <c r="L344" i="1"/>
  <c r="AM344" i="2"/>
  <c r="K344" i="1"/>
  <c r="AL344" i="2"/>
  <c r="AK344" i="2"/>
  <c r="AJ344" i="2"/>
  <c r="H344" i="1"/>
  <c r="AI344" i="2"/>
  <c r="G344" i="1"/>
  <c r="AH344" i="2"/>
  <c r="F344" i="1"/>
  <c r="AG344" i="2"/>
  <c r="E344" i="1"/>
  <c r="AF344" i="2"/>
  <c r="D344" i="1"/>
  <c r="AE344" i="2"/>
  <c r="AD344" i="2"/>
  <c r="AC344" i="2"/>
  <c r="Z344" i="2"/>
  <c r="Y344" i="2"/>
  <c r="R343" i="1"/>
  <c r="AS343" i="2"/>
  <c r="AR343" i="2"/>
  <c r="P343" i="1"/>
  <c r="AQ343" i="2"/>
  <c r="O343" i="1"/>
  <c r="AP343" i="2"/>
  <c r="N343" i="1"/>
  <c r="AO343" i="2"/>
  <c r="M343" i="1"/>
  <c r="AN343" i="2"/>
  <c r="L343" i="1"/>
  <c r="AM343" i="2"/>
  <c r="K343" i="1"/>
  <c r="AL343" i="2"/>
  <c r="AK343" i="2"/>
  <c r="AJ343" i="2"/>
  <c r="H343" i="1"/>
  <c r="AI343" i="2"/>
  <c r="G343" i="1"/>
  <c r="AH343" i="2"/>
  <c r="F343" i="1"/>
  <c r="AG343" i="2"/>
  <c r="E343" i="1"/>
  <c r="AF343" i="2"/>
  <c r="D343" i="1"/>
  <c r="AE343" i="2"/>
  <c r="AD343" i="2"/>
  <c r="AC343" i="2"/>
  <c r="Z343" i="2"/>
  <c r="Y343" i="2"/>
  <c r="R342" i="1"/>
  <c r="AS342" i="2"/>
  <c r="AR342" i="2"/>
  <c r="P342" i="1"/>
  <c r="AQ342" i="2"/>
  <c r="O342" i="1"/>
  <c r="AP342" i="2"/>
  <c r="N342" i="1"/>
  <c r="AO342" i="2"/>
  <c r="M342" i="1"/>
  <c r="AN342" i="2"/>
  <c r="L342" i="1"/>
  <c r="AM342" i="2"/>
  <c r="K342" i="1"/>
  <c r="AL342" i="2"/>
  <c r="AK342" i="2"/>
  <c r="AJ342" i="2"/>
  <c r="H342" i="1"/>
  <c r="AI342" i="2"/>
  <c r="G342" i="1"/>
  <c r="AH342" i="2"/>
  <c r="F342" i="1"/>
  <c r="AG342" i="2"/>
  <c r="E342" i="1"/>
  <c r="AF342" i="2"/>
  <c r="D342" i="1"/>
  <c r="AE342" i="2"/>
  <c r="AD342" i="2"/>
  <c r="AC342" i="2"/>
  <c r="Z342" i="2"/>
  <c r="Y342" i="2"/>
  <c r="R341" i="1"/>
  <c r="AS341" i="2"/>
  <c r="AR341" i="2"/>
  <c r="P341" i="1"/>
  <c r="AQ341" i="2"/>
  <c r="O341" i="1"/>
  <c r="AP341" i="2"/>
  <c r="N341" i="1"/>
  <c r="AO341" i="2"/>
  <c r="M341" i="1"/>
  <c r="AN341" i="2"/>
  <c r="L341" i="1"/>
  <c r="AM341" i="2"/>
  <c r="K341" i="1"/>
  <c r="AL341" i="2"/>
  <c r="AK341" i="2"/>
  <c r="AJ341" i="2"/>
  <c r="H341" i="1"/>
  <c r="AI341" i="2"/>
  <c r="G341" i="1"/>
  <c r="AH341" i="2"/>
  <c r="F341" i="1"/>
  <c r="AG341" i="2"/>
  <c r="E341" i="1"/>
  <c r="AF341" i="2"/>
  <c r="D341" i="1"/>
  <c r="AE341" i="2"/>
  <c r="AD341" i="2"/>
  <c r="AC341" i="2"/>
  <c r="Z341" i="2"/>
  <c r="Y341" i="2"/>
  <c r="R340" i="1"/>
  <c r="AS340" i="2"/>
  <c r="AR340" i="2"/>
  <c r="P340" i="1"/>
  <c r="AQ340" i="2"/>
  <c r="O340" i="1"/>
  <c r="AP340" i="2"/>
  <c r="N340" i="1"/>
  <c r="AO340" i="2"/>
  <c r="M340" i="1"/>
  <c r="AN340" i="2"/>
  <c r="L340" i="1"/>
  <c r="AM340" i="2"/>
  <c r="K340" i="1"/>
  <c r="AL340" i="2"/>
  <c r="AK340" i="2"/>
  <c r="AJ340" i="2"/>
  <c r="H340" i="1"/>
  <c r="AI340" i="2"/>
  <c r="G340" i="1"/>
  <c r="AH340" i="2"/>
  <c r="F340" i="1"/>
  <c r="AG340" i="2"/>
  <c r="E340" i="1"/>
  <c r="AF340" i="2"/>
  <c r="D340" i="1"/>
  <c r="AE340" i="2"/>
  <c r="AD340" i="2"/>
  <c r="AC340" i="2"/>
  <c r="Z340" i="2"/>
  <c r="Y340" i="2"/>
  <c r="R339" i="1"/>
  <c r="AS339" i="2"/>
  <c r="AR339" i="2"/>
  <c r="P339" i="1"/>
  <c r="AQ339" i="2"/>
  <c r="O339" i="1"/>
  <c r="AP339" i="2"/>
  <c r="N339" i="1"/>
  <c r="AO339" i="2"/>
  <c r="M339" i="1"/>
  <c r="AN339" i="2"/>
  <c r="L339" i="1"/>
  <c r="AM339" i="2"/>
  <c r="K339" i="1"/>
  <c r="AL339" i="2"/>
  <c r="AK339" i="2"/>
  <c r="AJ339" i="2"/>
  <c r="H339" i="1"/>
  <c r="AI339" i="2"/>
  <c r="G339" i="1"/>
  <c r="AH339" i="2"/>
  <c r="F339" i="1"/>
  <c r="AG339" i="2"/>
  <c r="E339" i="1"/>
  <c r="AF339" i="2"/>
  <c r="D339" i="1"/>
  <c r="AE339" i="2"/>
  <c r="AD339" i="2"/>
  <c r="AC339" i="2"/>
  <c r="Z339" i="2"/>
  <c r="Y339" i="2"/>
  <c r="R338" i="1"/>
  <c r="AS338" i="2"/>
  <c r="AR338" i="2"/>
  <c r="P338" i="1"/>
  <c r="AQ338" i="2"/>
  <c r="O338" i="1"/>
  <c r="AP338" i="2"/>
  <c r="N338" i="1"/>
  <c r="AO338" i="2"/>
  <c r="M338" i="1"/>
  <c r="AN338" i="2"/>
  <c r="L338" i="1"/>
  <c r="AM338" i="2"/>
  <c r="K338" i="1"/>
  <c r="AL338" i="2"/>
  <c r="AK338" i="2"/>
  <c r="AJ338" i="2"/>
  <c r="H338" i="1"/>
  <c r="AI338" i="2"/>
  <c r="G338" i="1"/>
  <c r="AH338" i="2"/>
  <c r="F338" i="1"/>
  <c r="AG338" i="2"/>
  <c r="E338" i="1"/>
  <c r="AF338" i="2"/>
  <c r="D338" i="1"/>
  <c r="AE338" i="2"/>
  <c r="AD338" i="2"/>
  <c r="AC338" i="2"/>
  <c r="Z338" i="2"/>
  <c r="Y338" i="2"/>
  <c r="R337" i="1"/>
  <c r="AS337" i="2"/>
  <c r="AR337" i="2"/>
  <c r="P337" i="1"/>
  <c r="AQ337" i="2"/>
  <c r="O337" i="1"/>
  <c r="AP337" i="2"/>
  <c r="N337" i="1"/>
  <c r="AO337" i="2"/>
  <c r="M337" i="1"/>
  <c r="AN337" i="2"/>
  <c r="L337" i="1"/>
  <c r="AM337" i="2"/>
  <c r="K337" i="1"/>
  <c r="AL337" i="2"/>
  <c r="AK337" i="2"/>
  <c r="AJ337" i="2"/>
  <c r="H337" i="1"/>
  <c r="AI337" i="2"/>
  <c r="G337" i="1"/>
  <c r="AH337" i="2"/>
  <c r="F337" i="1"/>
  <c r="AG337" i="2"/>
  <c r="E337" i="1"/>
  <c r="AF337" i="2"/>
  <c r="D337" i="1"/>
  <c r="AE337" i="2"/>
  <c r="AD337" i="2"/>
  <c r="AC337" i="2"/>
  <c r="Z337" i="2"/>
  <c r="Y337" i="2"/>
  <c r="R336" i="1"/>
  <c r="AS336" i="2"/>
  <c r="AR336" i="2"/>
  <c r="P336" i="1"/>
  <c r="AQ336" i="2"/>
  <c r="O336" i="1"/>
  <c r="AP336" i="2"/>
  <c r="N336" i="1"/>
  <c r="AO336" i="2"/>
  <c r="M336" i="1"/>
  <c r="AN336" i="2"/>
  <c r="L336" i="1"/>
  <c r="AM336" i="2"/>
  <c r="K336" i="1"/>
  <c r="AL336" i="2"/>
  <c r="AK336" i="2"/>
  <c r="AJ336" i="2"/>
  <c r="H336" i="1"/>
  <c r="AI336" i="2"/>
  <c r="G336" i="1"/>
  <c r="AH336" i="2"/>
  <c r="F336" i="1"/>
  <c r="AG336" i="2"/>
  <c r="E336" i="1"/>
  <c r="AF336" i="2"/>
  <c r="D336" i="1"/>
  <c r="AE336" i="2"/>
  <c r="AD336" i="2"/>
  <c r="AC336" i="2"/>
  <c r="Z336" i="2"/>
  <c r="Y336" i="2"/>
  <c r="R335" i="1"/>
  <c r="AS335" i="2"/>
  <c r="AR335" i="2"/>
  <c r="P335" i="1"/>
  <c r="AQ335" i="2"/>
  <c r="O335" i="1"/>
  <c r="AP335" i="2"/>
  <c r="N335" i="1"/>
  <c r="AO335" i="2"/>
  <c r="M335" i="1"/>
  <c r="AN335" i="2"/>
  <c r="L335" i="1"/>
  <c r="AM335" i="2"/>
  <c r="K335" i="1"/>
  <c r="AL335" i="2"/>
  <c r="AK335" i="2"/>
  <c r="AJ335" i="2"/>
  <c r="H335" i="1"/>
  <c r="AI335" i="2"/>
  <c r="G335" i="1"/>
  <c r="AH335" i="2"/>
  <c r="F335" i="1"/>
  <c r="AG335" i="2"/>
  <c r="E335" i="1"/>
  <c r="AF335" i="2"/>
  <c r="D335" i="1"/>
  <c r="AE335" i="2"/>
  <c r="AD335" i="2"/>
  <c r="AC335" i="2"/>
  <c r="Z335" i="2"/>
  <c r="Y335" i="2"/>
  <c r="R334" i="1"/>
  <c r="AS334" i="2"/>
  <c r="AR334" i="2"/>
  <c r="P334" i="1"/>
  <c r="AQ334" i="2"/>
  <c r="O334" i="1"/>
  <c r="AP334" i="2"/>
  <c r="N334" i="1"/>
  <c r="AO334" i="2"/>
  <c r="M334" i="1"/>
  <c r="AN334" i="2"/>
  <c r="L334" i="1"/>
  <c r="AM334" i="2"/>
  <c r="K334" i="1"/>
  <c r="AL334" i="2"/>
  <c r="AK334" i="2"/>
  <c r="AJ334" i="2"/>
  <c r="H334" i="1"/>
  <c r="AI334" i="2"/>
  <c r="G334" i="1"/>
  <c r="AH334" i="2"/>
  <c r="F334" i="1"/>
  <c r="AG334" i="2"/>
  <c r="E334" i="1"/>
  <c r="AF334" i="2"/>
  <c r="D334" i="1"/>
  <c r="AE334" i="2"/>
  <c r="AD334" i="2"/>
  <c r="AC334" i="2"/>
  <c r="Z334" i="2"/>
  <c r="Y334" i="2"/>
  <c r="R333" i="1"/>
  <c r="AS333" i="2"/>
  <c r="AR333" i="2"/>
  <c r="P333" i="1"/>
  <c r="AQ333" i="2"/>
  <c r="O333" i="1"/>
  <c r="AP333" i="2"/>
  <c r="N333" i="1"/>
  <c r="AO333" i="2"/>
  <c r="M333" i="1"/>
  <c r="AN333" i="2"/>
  <c r="L333" i="1"/>
  <c r="AM333" i="2"/>
  <c r="K333" i="1"/>
  <c r="AL333" i="2"/>
  <c r="AK333" i="2"/>
  <c r="AJ333" i="2"/>
  <c r="H333" i="1"/>
  <c r="AI333" i="2"/>
  <c r="G333" i="1"/>
  <c r="AH333" i="2"/>
  <c r="F333" i="1"/>
  <c r="AG333" i="2"/>
  <c r="E333" i="1"/>
  <c r="AF333" i="2"/>
  <c r="D333" i="1"/>
  <c r="AE333" i="2"/>
  <c r="AD333" i="2"/>
  <c r="AC333" i="2"/>
  <c r="Z333" i="2"/>
  <c r="Y333" i="2"/>
  <c r="R332" i="1"/>
  <c r="AS332" i="2"/>
  <c r="AR332" i="2"/>
  <c r="P332" i="1"/>
  <c r="AQ332" i="2"/>
  <c r="O332" i="1"/>
  <c r="AP332" i="2"/>
  <c r="N332" i="1"/>
  <c r="AO332" i="2"/>
  <c r="M332" i="1"/>
  <c r="AN332" i="2"/>
  <c r="L332" i="1"/>
  <c r="AM332" i="2"/>
  <c r="K332" i="1"/>
  <c r="AL332" i="2"/>
  <c r="AK332" i="2"/>
  <c r="AJ332" i="2"/>
  <c r="H332" i="1"/>
  <c r="AI332" i="2"/>
  <c r="G332" i="1"/>
  <c r="AH332" i="2"/>
  <c r="F332" i="1"/>
  <c r="AG332" i="2"/>
  <c r="E332" i="1"/>
  <c r="AF332" i="2"/>
  <c r="D332" i="1"/>
  <c r="AE332" i="2"/>
  <c r="AD332" i="2"/>
  <c r="AC332" i="2"/>
  <c r="Z332" i="2"/>
  <c r="Y332" i="2"/>
  <c r="R331" i="1"/>
  <c r="AS331" i="2"/>
  <c r="AR331" i="2"/>
  <c r="P331" i="1"/>
  <c r="AQ331" i="2"/>
  <c r="O331" i="1"/>
  <c r="AP331" i="2"/>
  <c r="N331" i="1"/>
  <c r="AO331" i="2"/>
  <c r="M331" i="1"/>
  <c r="AN331" i="2"/>
  <c r="L331" i="1"/>
  <c r="AM331" i="2"/>
  <c r="K331" i="1"/>
  <c r="AL331" i="2"/>
  <c r="AK331" i="2"/>
  <c r="AJ331" i="2"/>
  <c r="H331" i="1"/>
  <c r="AI331" i="2"/>
  <c r="G331" i="1"/>
  <c r="AH331" i="2"/>
  <c r="F331" i="1"/>
  <c r="AG331" i="2"/>
  <c r="E331" i="1"/>
  <c r="AF331" i="2"/>
  <c r="D331" i="1"/>
  <c r="AE331" i="2"/>
  <c r="AD331" i="2"/>
  <c r="AC331" i="2"/>
  <c r="Z331" i="2"/>
  <c r="Y331" i="2"/>
  <c r="R330" i="1"/>
  <c r="AS330" i="2"/>
  <c r="AR330" i="2"/>
  <c r="P330" i="1"/>
  <c r="AQ330" i="2"/>
  <c r="O330" i="1"/>
  <c r="AP330" i="2"/>
  <c r="N330" i="1"/>
  <c r="AO330" i="2"/>
  <c r="M330" i="1"/>
  <c r="AN330" i="2"/>
  <c r="L330" i="1"/>
  <c r="AM330" i="2"/>
  <c r="K330" i="1"/>
  <c r="AL330" i="2"/>
  <c r="AK330" i="2"/>
  <c r="AJ330" i="2"/>
  <c r="H330" i="1"/>
  <c r="AI330" i="2"/>
  <c r="G330" i="1"/>
  <c r="AH330" i="2"/>
  <c r="F330" i="1"/>
  <c r="AG330" i="2"/>
  <c r="E330" i="1"/>
  <c r="AF330" i="2"/>
  <c r="D330" i="1"/>
  <c r="AE330" i="2"/>
  <c r="AD330" i="2"/>
  <c r="AC330" i="2"/>
  <c r="Z330" i="2"/>
  <c r="Y330" i="2"/>
  <c r="R329" i="1"/>
  <c r="AS329" i="2"/>
  <c r="AR329" i="2"/>
  <c r="P329" i="1"/>
  <c r="AQ329" i="2"/>
  <c r="O329" i="1"/>
  <c r="AP329" i="2"/>
  <c r="N329" i="1"/>
  <c r="AO329" i="2"/>
  <c r="M329" i="1"/>
  <c r="AN329" i="2"/>
  <c r="L329" i="1"/>
  <c r="AM329" i="2"/>
  <c r="K329" i="1"/>
  <c r="AL329" i="2"/>
  <c r="AK329" i="2"/>
  <c r="AJ329" i="2"/>
  <c r="H329" i="1"/>
  <c r="AI329" i="2"/>
  <c r="G329" i="1"/>
  <c r="AH329" i="2"/>
  <c r="F329" i="1"/>
  <c r="AG329" i="2"/>
  <c r="E329" i="1"/>
  <c r="AF329" i="2"/>
  <c r="D329" i="1"/>
  <c r="AE329" i="2"/>
  <c r="AD329" i="2"/>
  <c r="AC329" i="2"/>
  <c r="Z329" i="2"/>
  <c r="Y329" i="2"/>
  <c r="R328" i="1"/>
  <c r="AS328" i="2"/>
  <c r="AR328" i="2"/>
  <c r="P328" i="1"/>
  <c r="AQ328" i="2"/>
  <c r="O328" i="1"/>
  <c r="AP328" i="2"/>
  <c r="N328" i="1"/>
  <c r="AO328" i="2"/>
  <c r="M328" i="1"/>
  <c r="AN328" i="2"/>
  <c r="L328" i="1"/>
  <c r="AM328" i="2"/>
  <c r="K328" i="1"/>
  <c r="AL328" i="2"/>
  <c r="AK328" i="2"/>
  <c r="AJ328" i="2"/>
  <c r="H328" i="1"/>
  <c r="AI328" i="2"/>
  <c r="G328" i="1"/>
  <c r="AH328" i="2"/>
  <c r="F328" i="1"/>
  <c r="AG328" i="2"/>
  <c r="E328" i="1"/>
  <c r="AF328" i="2"/>
  <c r="D328" i="1"/>
  <c r="AE328" i="2"/>
  <c r="AD328" i="2"/>
  <c r="AC328" i="2"/>
  <c r="Z328" i="2"/>
  <c r="Y328" i="2"/>
  <c r="R327" i="1"/>
  <c r="AS327" i="2"/>
  <c r="AR327" i="2"/>
  <c r="P327" i="1"/>
  <c r="AQ327" i="2"/>
  <c r="O327" i="1"/>
  <c r="AP327" i="2"/>
  <c r="N327" i="1"/>
  <c r="AO327" i="2"/>
  <c r="M327" i="1"/>
  <c r="AN327" i="2"/>
  <c r="L327" i="1"/>
  <c r="AM327" i="2"/>
  <c r="K327" i="1"/>
  <c r="AL327" i="2"/>
  <c r="AK327" i="2"/>
  <c r="AJ327" i="2"/>
  <c r="H327" i="1"/>
  <c r="AI327" i="2"/>
  <c r="G327" i="1"/>
  <c r="AH327" i="2"/>
  <c r="F327" i="1"/>
  <c r="AG327" i="2"/>
  <c r="E327" i="1"/>
  <c r="AF327" i="2"/>
  <c r="D327" i="1"/>
  <c r="AE327" i="2"/>
  <c r="AD327" i="2"/>
  <c r="AC327" i="2"/>
  <c r="Z327" i="2"/>
  <c r="Y327" i="2"/>
  <c r="R326" i="1"/>
  <c r="AS326" i="2"/>
  <c r="AR326" i="2"/>
  <c r="P326" i="1"/>
  <c r="AQ326" i="2"/>
  <c r="O326" i="1"/>
  <c r="AP326" i="2"/>
  <c r="N326" i="1"/>
  <c r="AO326" i="2"/>
  <c r="M326" i="1"/>
  <c r="AN326" i="2"/>
  <c r="L326" i="1"/>
  <c r="AM326" i="2"/>
  <c r="K326" i="1"/>
  <c r="AL326" i="2"/>
  <c r="AK326" i="2"/>
  <c r="AJ326" i="2"/>
  <c r="H326" i="1"/>
  <c r="AI326" i="2"/>
  <c r="G326" i="1"/>
  <c r="AH326" i="2"/>
  <c r="F326" i="1"/>
  <c r="AG326" i="2"/>
  <c r="E326" i="1"/>
  <c r="AF326" i="2"/>
  <c r="D326" i="1"/>
  <c r="AE326" i="2"/>
  <c r="AD326" i="2"/>
  <c r="AC326" i="2"/>
  <c r="Z326" i="2"/>
  <c r="Y326" i="2"/>
  <c r="R325" i="1"/>
  <c r="AS325" i="2"/>
  <c r="AR325" i="2"/>
  <c r="P325" i="1"/>
  <c r="AQ325" i="2"/>
  <c r="O325" i="1"/>
  <c r="AP325" i="2"/>
  <c r="N325" i="1"/>
  <c r="AO325" i="2"/>
  <c r="M325" i="1"/>
  <c r="AN325" i="2"/>
  <c r="L325" i="1"/>
  <c r="AM325" i="2"/>
  <c r="K325" i="1"/>
  <c r="AL325" i="2"/>
  <c r="AK325" i="2"/>
  <c r="AJ325" i="2"/>
  <c r="H325" i="1"/>
  <c r="AI325" i="2"/>
  <c r="G325" i="1"/>
  <c r="AH325" i="2"/>
  <c r="F325" i="1"/>
  <c r="AG325" i="2"/>
  <c r="E325" i="1"/>
  <c r="AF325" i="2"/>
  <c r="D325" i="1"/>
  <c r="AE325" i="2"/>
  <c r="AD325" i="2"/>
  <c r="AC325" i="2"/>
  <c r="Z325" i="2"/>
  <c r="Y325" i="2"/>
  <c r="R324" i="1"/>
  <c r="AS324" i="2"/>
  <c r="AR324" i="2"/>
  <c r="P324" i="1"/>
  <c r="AQ324" i="2"/>
  <c r="O324" i="1"/>
  <c r="AP324" i="2"/>
  <c r="N324" i="1"/>
  <c r="AO324" i="2"/>
  <c r="M324" i="1"/>
  <c r="AN324" i="2"/>
  <c r="L324" i="1"/>
  <c r="AM324" i="2"/>
  <c r="K324" i="1"/>
  <c r="AL324" i="2"/>
  <c r="AK324" i="2"/>
  <c r="AJ324" i="2"/>
  <c r="H324" i="1"/>
  <c r="AI324" i="2"/>
  <c r="G324" i="1"/>
  <c r="AH324" i="2"/>
  <c r="F324" i="1"/>
  <c r="AG324" i="2"/>
  <c r="E324" i="1"/>
  <c r="AF324" i="2"/>
  <c r="D324" i="1"/>
  <c r="AE324" i="2"/>
  <c r="AD324" i="2"/>
  <c r="AC324" i="2"/>
  <c r="Z324" i="2"/>
  <c r="Y324" i="2"/>
  <c r="R323" i="1"/>
  <c r="AS323" i="2"/>
  <c r="AR323" i="2"/>
  <c r="P323" i="1"/>
  <c r="AQ323" i="2"/>
  <c r="O323" i="1"/>
  <c r="AP323" i="2"/>
  <c r="N323" i="1"/>
  <c r="AO323" i="2"/>
  <c r="M323" i="1"/>
  <c r="AN323" i="2"/>
  <c r="L323" i="1"/>
  <c r="AM323" i="2"/>
  <c r="K323" i="1"/>
  <c r="AL323" i="2"/>
  <c r="AK323" i="2"/>
  <c r="AJ323" i="2"/>
  <c r="H323" i="1"/>
  <c r="AI323" i="2"/>
  <c r="G323" i="1"/>
  <c r="AH323" i="2"/>
  <c r="F323" i="1"/>
  <c r="AG323" i="2"/>
  <c r="E323" i="1"/>
  <c r="AF323" i="2"/>
  <c r="D323" i="1"/>
  <c r="AE323" i="2"/>
  <c r="AD323" i="2"/>
  <c r="AC323" i="2"/>
  <c r="Z323" i="2"/>
  <c r="Y323" i="2"/>
  <c r="R322" i="1"/>
  <c r="AS322" i="2"/>
  <c r="AR322" i="2"/>
  <c r="P322" i="1"/>
  <c r="AQ322" i="2"/>
  <c r="O322" i="1"/>
  <c r="AP322" i="2"/>
  <c r="N322" i="1"/>
  <c r="AO322" i="2"/>
  <c r="M322" i="1"/>
  <c r="AN322" i="2"/>
  <c r="L322" i="1"/>
  <c r="AM322" i="2"/>
  <c r="K322" i="1"/>
  <c r="AL322" i="2"/>
  <c r="AK322" i="2"/>
  <c r="AJ322" i="2"/>
  <c r="H322" i="1"/>
  <c r="AI322" i="2"/>
  <c r="G322" i="1"/>
  <c r="AH322" i="2"/>
  <c r="F322" i="1"/>
  <c r="AG322" i="2"/>
  <c r="E322" i="1"/>
  <c r="AF322" i="2"/>
  <c r="D322" i="1"/>
  <c r="AE322" i="2"/>
  <c r="AD322" i="2"/>
  <c r="AC322" i="2"/>
  <c r="Z322" i="2"/>
  <c r="Y322" i="2"/>
  <c r="R321" i="1"/>
  <c r="AS321" i="2"/>
  <c r="AR321" i="2"/>
  <c r="P321" i="1"/>
  <c r="AQ321" i="2"/>
  <c r="O321" i="1"/>
  <c r="AP321" i="2"/>
  <c r="N321" i="1"/>
  <c r="AO321" i="2"/>
  <c r="M321" i="1"/>
  <c r="AN321" i="2"/>
  <c r="L321" i="1"/>
  <c r="AM321" i="2"/>
  <c r="K321" i="1"/>
  <c r="AL321" i="2"/>
  <c r="AK321" i="2"/>
  <c r="AJ321" i="2"/>
  <c r="H321" i="1"/>
  <c r="AI321" i="2"/>
  <c r="G321" i="1"/>
  <c r="AH321" i="2"/>
  <c r="F321" i="1"/>
  <c r="AG321" i="2"/>
  <c r="E321" i="1"/>
  <c r="AF321" i="2"/>
  <c r="D321" i="1"/>
  <c r="AE321" i="2"/>
  <c r="AD321" i="2"/>
  <c r="AC321" i="2"/>
  <c r="Z321" i="2"/>
  <c r="Y321" i="2"/>
  <c r="R320" i="1"/>
  <c r="AS320" i="2"/>
  <c r="AR320" i="2"/>
  <c r="P320" i="1"/>
  <c r="AQ320" i="2"/>
  <c r="O320" i="1"/>
  <c r="AP320" i="2"/>
  <c r="N320" i="1"/>
  <c r="AO320" i="2"/>
  <c r="M320" i="1"/>
  <c r="AN320" i="2"/>
  <c r="L320" i="1"/>
  <c r="AM320" i="2"/>
  <c r="K320" i="1"/>
  <c r="AL320" i="2"/>
  <c r="AK320" i="2"/>
  <c r="AJ320" i="2"/>
  <c r="H320" i="1"/>
  <c r="AI320" i="2"/>
  <c r="G320" i="1"/>
  <c r="AH320" i="2"/>
  <c r="F320" i="1"/>
  <c r="AG320" i="2"/>
  <c r="E320" i="1"/>
  <c r="AF320" i="2"/>
  <c r="D320" i="1"/>
  <c r="AE320" i="2"/>
  <c r="AD320" i="2"/>
  <c r="AC320" i="2"/>
  <c r="Z320" i="2"/>
  <c r="Y320" i="2"/>
  <c r="R319" i="1"/>
  <c r="AS319" i="2"/>
  <c r="AR319" i="2"/>
  <c r="P319" i="1"/>
  <c r="AQ319" i="2"/>
  <c r="O319" i="1"/>
  <c r="AP319" i="2"/>
  <c r="N319" i="1"/>
  <c r="AO319" i="2"/>
  <c r="M319" i="1"/>
  <c r="AN319" i="2"/>
  <c r="L319" i="1"/>
  <c r="AM319" i="2"/>
  <c r="K319" i="1"/>
  <c r="AL319" i="2"/>
  <c r="AK319" i="2"/>
  <c r="AJ319" i="2"/>
  <c r="H319" i="1"/>
  <c r="AI319" i="2"/>
  <c r="G319" i="1"/>
  <c r="AH319" i="2"/>
  <c r="F319" i="1"/>
  <c r="AG319" i="2"/>
  <c r="E319" i="1"/>
  <c r="AF319" i="2"/>
  <c r="D319" i="1"/>
  <c r="AE319" i="2"/>
  <c r="AD319" i="2"/>
  <c r="AC319" i="2"/>
  <c r="Z319" i="2"/>
  <c r="Y319" i="2"/>
  <c r="R318" i="1"/>
  <c r="AS318" i="2"/>
  <c r="AR318" i="2"/>
  <c r="P318" i="1"/>
  <c r="AQ318" i="2"/>
  <c r="O318" i="1"/>
  <c r="AP318" i="2"/>
  <c r="N318" i="1"/>
  <c r="AO318" i="2"/>
  <c r="M318" i="1"/>
  <c r="AN318" i="2"/>
  <c r="L318" i="1"/>
  <c r="AM318" i="2"/>
  <c r="K318" i="1"/>
  <c r="AL318" i="2"/>
  <c r="AK318" i="2"/>
  <c r="AJ318" i="2"/>
  <c r="H318" i="1"/>
  <c r="AI318" i="2"/>
  <c r="G318" i="1"/>
  <c r="AH318" i="2"/>
  <c r="F318" i="1"/>
  <c r="AG318" i="2"/>
  <c r="E318" i="1"/>
  <c r="AF318" i="2"/>
  <c r="D318" i="1"/>
  <c r="AE318" i="2"/>
  <c r="AD318" i="2"/>
  <c r="AC318" i="2"/>
  <c r="Z318" i="2"/>
  <c r="Y318" i="2"/>
  <c r="R317" i="1"/>
  <c r="AS317" i="2"/>
  <c r="AR317" i="2"/>
  <c r="P317" i="1"/>
  <c r="AQ317" i="2"/>
  <c r="O317" i="1"/>
  <c r="AP317" i="2"/>
  <c r="N317" i="1"/>
  <c r="AO317" i="2"/>
  <c r="M317" i="1"/>
  <c r="AN317" i="2"/>
  <c r="L317" i="1"/>
  <c r="AM317" i="2"/>
  <c r="K317" i="1"/>
  <c r="AL317" i="2"/>
  <c r="AK317" i="2"/>
  <c r="AJ317" i="2"/>
  <c r="H317" i="1"/>
  <c r="AI317" i="2"/>
  <c r="G317" i="1"/>
  <c r="AH317" i="2"/>
  <c r="F317" i="1"/>
  <c r="AG317" i="2"/>
  <c r="E317" i="1"/>
  <c r="AF317" i="2"/>
  <c r="D317" i="1"/>
  <c r="AE317" i="2"/>
  <c r="AD317" i="2"/>
  <c r="AC317" i="2"/>
  <c r="Z317" i="2"/>
  <c r="Y317" i="2"/>
  <c r="R316" i="1"/>
  <c r="AS316" i="2"/>
  <c r="AR316" i="2"/>
  <c r="P316" i="1"/>
  <c r="AQ316" i="2"/>
  <c r="O316" i="1"/>
  <c r="AP316" i="2"/>
  <c r="N316" i="1"/>
  <c r="AO316" i="2"/>
  <c r="M316" i="1"/>
  <c r="AN316" i="2"/>
  <c r="L316" i="1"/>
  <c r="AM316" i="2"/>
  <c r="K316" i="1"/>
  <c r="AL316" i="2"/>
  <c r="AK316" i="2"/>
  <c r="AJ316" i="2"/>
  <c r="H316" i="1"/>
  <c r="AI316" i="2"/>
  <c r="G316" i="1"/>
  <c r="AH316" i="2"/>
  <c r="F316" i="1"/>
  <c r="AG316" i="2"/>
  <c r="E316" i="1"/>
  <c r="AF316" i="2"/>
  <c r="D316" i="1"/>
  <c r="AE316" i="2"/>
  <c r="AD316" i="2"/>
  <c r="AC316" i="2"/>
  <c r="Z316" i="2"/>
  <c r="Y316" i="2"/>
  <c r="R315" i="1"/>
  <c r="AS315" i="2"/>
  <c r="AR315" i="2"/>
  <c r="P315" i="1"/>
  <c r="AQ315" i="2"/>
  <c r="O315" i="1"/>
  <c r="AP315" i="2"/>
  <c r="N315" i="1"/>
  <c r="AO315" i="2"/>
  <c r="M315" i="1"/>
  <c r="AN315" i="2"/>
  <c r="L315" i="1"/>
  <c r="AM315" i="2"/>
  <c r="K315" i="1"/>
  <c r="AL315" i="2"/>
  <c r="AK315" i="2"/>
  <c r="AJ315" i="2"/>
  <c r="H315" i="1"/>
  <c r="AI315" i="2"/>
  <c r="G315" i="1"/>
  <c r="AH315" i="2"/>
  <c r="F315" i="1"/>
  <c r="AG315" i="2"/>
  <c r="E315" i="1"/>
  <c r="AF315" i="2"/>
  <c r="D315" i="1"/>
  <c r="AE315" i="2"/>
  <c r="AD315" i="2"/>
  <c r="AC315" i="2"/>
  <c r="Z315" i="2"/>
  <c r="Y315" i="2"/>
  <c r="R314" i="1"/>
  <c r="AS314" i="2"/>
  <c r="AR314" i="2"/>
  <c r="P314" i="1"/>
  <c r="AQ314" i="2"/>
  <c r="O314" i="1"/>
  <c r="AP314" i="2"/>
  <c r="N314" i="1"/>
  <c r="AO314" i="2"/>
  <c r="M314" i="1"/>
  <c r="AN314" i="2"/>
  <c r="L314" i="1"/>
  <c r="AM314" i="2"/>
  <c r="K314" i="1"/>
  <c r="AL314" i="2"/>
  <c r="AK314" i="2"/>
  <c r="AJ314" i="2"/>
  <c r="H314" i="1"/>
  <c r="AI314" i="2"/>
  <c r="G314" i="1"/>
  <c r="AH314" i="2"/>
  <c r="F314" i="1"/>
  <c r="AG314" i="2"/>
  <c r="E314" i="1"/>
  <c r="AF314" i="2"/>
  <c r="D314" i="1"/>
  <c r="AE314" i="2"/>
  <c r="AD314" i="2"/>
  <c r="AC314" i="2"/>
  <c r="Z314" i="2"/>
  <c r="Y314" i="2"/>
  <c r="R313" i="1"/>
  <c r="AS313" i="2"/>
  <c r="AR313" i="2"/>
  <c r="P313" i="1"/>
  <c r="AQ313" i="2"/>
  <c r="O313" i="1"/>
  <c r="AP313" i="2"/>
  <c r="N313" i="1"/>
  <c r="AO313" i="2"/>
  <c r="M313" i="1"/>
  <c r="AN313" i="2"/>
  <c r="L313" i="1"/>
  <c r="AM313" i="2"/>
  <c r="K313" i="1"/>
  <c r="AL313" i="2"/>
  <c r="AK313" i="2"/>
  <c r="AJ313" i="2"/>
  <c r="H313" i="1"/>
  <c r="AI313" i="2"/>
  <c r="G313" i="1"/>
  <c r="AH313" i="2"/>
  <c r="F313" i="1"/>
  <c r="AG313" i="2"/>
  <c r="E313" i="1"/>
  <c r="AF313" i="2"/>
  <c r="D313" i="1"/>
  <c r="AE313" i="2"/>
  <c r="AD313" i="2"/>
  <c r="AC313" i="2"/>
  <c r="Z313" i="2"/>
  <c r="Y313" i="2"/>
  <c r="R312" i="1"/>
  <c r="AS312" i="2"/>
  <c r="AR312" i="2"/>
  <c r="P312" i="1"/>
  <c r="AQ312" i="2"/>
  <c r="O312" i="1"/>
  <c r="AP312" i="2"/>
  <c r="N312" i="1"/>
  <c r="AO312" i="2"/>
  <c r="M312" i="1"/>
  <c r="AN312" i="2"/>
  <c r="L312" i="1"/>
  <c r="AM312" i="2"/>
  <c r="K312" i="1"/>
  <c r="AL312" i="2"/>
  <c r="AK312" i="2"/>
  <c r="AJ312" i="2"/>
  <c r="H312" i="1"/>
  <c r="AI312" i="2"/>
  <c r="G312" i="1"/>
  <c r="AH312" i="2"/>
  <c r="F312" i="1"/>
  <c r="AG312" i="2"/>
  <c r="E312" i="1"/>
  <c r="AF312" i="2"/>
  <c r="D312" i="1"/>
  <c r="AE312" i="2"/>
  <c r="AD312" i="2"/>
  <c r="AC312" i="2"/>
  <c r="Z312" i="2"/>
  <c r="Y312" i="2"/>
  <c r="R311" i="1"/>
  <c r="AS311" i="2"/>
  <c r="AR311" i="2"/>
  <c r="P311" i="1"/>
  <c r="AQ311" i="2"/>
  <c r="O311" i="1"/>
  <c r="AP311" i="2"/>
  <c r="N311" i="1"/>
  <c r="AO311" i="2"/>
  <c r="M311" i="1"/>
  <c r="AN311" i="2"/>
  <c r="L311" i="1"/>
  <c r="AM311" i="2"/>
  <c r="K311" i="1"/>
  <c r="AL311" i="2"/>
  <c r="AK311" i="2"/>
  <c r="AJ311" i="2"/>
  <c r="H311" i="1"/>
  <c r="AI311" i="2"/>
  <c r="G311" i="1"/>
  <c r="AH311" i="2"/>
  <c r="F311" i="1"/>
  <c r="AG311" i="2"/>
  <c r="E311" i="1"/>
  <c r="AF311" i="2"/>
  <c r="D311" i="1"/>
  <c r="AE311" i="2"/>
  <c r="AD311" i="2"/>
  <c r="AC311" i="2"/>
  <c r="Z311" i="2"/>
  <c r="Y311" i="2"/>
  <c r="R310" i="1"/>
  <c r="AS310" i="2"/>
  <c r="AR310" i="2"/>
  <c r="P310" i="1"/>
  <c r="AQ310" i="2"/>
  <c r="O310" i="1"/>
  <c r="AP310" i="2"/>
  <c r="N310" i="1"/>
  <c r="AO310" i="2"/>
  <c r="M310" i="1"/>
  <c r="AN310" i="2"/>
  <c r="L310" i="1"/>
  <c r="AM310" i="2"/>
  <c r="K310" i="1"/>
  <c r="AL310" i="2"/>
  <c r="AK310" i="2"/>
  <c r="AJ310" i="2"/>
  <c r="H310" i="1"/>
  <c r="AI310" i="2"/>
  <c r="G310" i="1"/>
  <c r="AH310" i="2"/>
  <c r="F310" i="1"/>
  <c r="AG310" i="2"/>
  <c r="E310" i="1"/>
  <c r="AF310" i="2"/>
  <c r="D310" i="1"/>
  <c r="AE310" i="2"/>
  <c r="AD310" i="2"/>
  <c r="AC310" i="2"/>
  <c r="Z310" i="2"/>
  <c r="Y310" i="2"/>
  <c r="R309" i="1"/>
  <c r="AS309" i="2"/>
  <c r="AR309" i="2"/>
  <c r="P309" i="1"/>
  <c r="AQ309" i="2"/>
  <c r="O309" i="1"/>
  <c r="AP309" i="2"/>
  <c r="N309" i="1"/>
  <c r="AO309" i="2"/>
  <c r="M309" i="1"/>
  <c r="AN309" i="2"/>
  <c r="L309" i="1"/>
  <c r="AM309" i="2"/>
  <c r="K309" i="1"/>
  <c r="AL309" i="2"/>
  <c r="AK309" i="2"/>
  <c r="AJ309" i="2"/>
  <c r="H309" i="1"/>
  <c r="AI309" i="2"/>
  <c r="G309" i="1"/>
  <c r="AH309" i="2"/>
  <c r="F309" i="1"/>
  <c r="AG309" i="2"/>
  <c r="E309" i="1"/>
  <c r="AF309" i="2"/>
  <c r="D309" i="1"/>
  <c r="AE309" i="2"/>
  <c r="AD309" i="2"/>
  <c r="AC309" i="2"/>
  <c r="Z309" i="2"/>
  <c r="Y309" i="2"/>
  <c r="R308" i="1"/>
  <c r="AS308" i="2"/>
  <c r="AR308" i="2"/>
  <c r="P308" i="1"/>
  <c r="AQ308" i="2"/>
  <c r="O308" i="1"/>
  <c r="AP308" i="2"/>
  <c r="N308" i="1"/>
  <c r="AO308" i="2"/>
  <c r="M308" i="1"/>
  <c r="AN308" i="2"/>
  <c r="L308" i="1"/>
  <c r="AM308" i="2"/>
  <c r="K308" i="1"/>
  <c r="AL308" i="2"/>
  <c r="AK308" i="2"/>
  <c r="AJ308" i="2"/>
  <c r="H308" i="1"/>
  <c r="AI308" i="2"/>
  <c r="G308" i="1"/>
  <c r="AH308" i="2"/>
  <c r="F308" i="1"/>
  <c r="AG308" i="2"/>
  <c r="E308" i="1"/>
  <c r="AF308" i="2"/>
  <c r="D308" i="1"/>
  <c r="AE308" i="2"/>
  <c r="AD308" i="2"/>
  <c r="AC308" i="2"/>
  <c r="Z308" i="2"/>
  <c r="Y308" i="2"/>
  <c r="R307" i="1"/>
  <c r="AS307" i="2"/>
  <c r="AR307" i="2"/>
  <c r="P307" i="1"/>
  <c r="AQ307" i="2"/>
  <c r="O307" i="1"/>
  <c r="AP307" i="2"/>
  <c r="N307" i="1"/>
  <c r="AO307" i="2"/>
  <c r="M307" i="1"/>
  <c r="AN307" i="2"/>
  <c r="L307" i="1"/>
  <c r="AM307" i="2"/>
  <c r="K307" i="1"/>
  <c r="AL307" i="2"/>
  <c r="AK307" i="2"/>
  <c r="AJ307" i="2"/>
  <c r="H307" i="1"/>
  <c r="AI307" i="2"/>
  <c r="G307" i="1"/>
  <c r="AH307" i="2"/>
  <c r="F307" i="1"/>
  <c r="AG307" i="2"/>
  <c r="E307" i="1"/>
  <c r="AF307" i="2"/>
  <c r="D307" i="1"/>
  <c r="AE307" i="2"/>
  <c r="AD307" i="2"/>
  <c r="AC307" i="2"/>
  <c r="Z307" i="2"/>
  <c r="Y307" i="2"/>
  <c r="R306" i="1"/>
  <c r="AS306" i="2"/>
  <c r="AR306" i="2"/>
  <c r="P306" i="1"/>
  <c r="AQ306" i="2"/>
  <c r="O306" i="1"/>
  <c r="AP306" i="2"/>
  <c r="N306" i="1"/>
  <c r="AO306" i="2"/>
  <c r="M306" i="1"/>
  <c r="AN306" i="2"/>
  <c r="L306" i="1"/>
  <c r="AM306" i="2"/>
  <c r="K306" i="1"/>
  <c r="AL306" i="2"/>
  <c r="AK306" i="2"/>
  <c r="AJ306" i="2"/>
  <c r="H306" i="1"/>
  <c r="AI306" i="2"/>
  <c r="G306" i="1"/>
  <c r="AH306" i="2"/>
  <c r="F306" i="1"/>
  <c r="AG306" i="2"/>
  <c r="E306" i="1"/>
  <c r="AF306" i="2"/>
  <c r="D306" i="1"/>
  <c r="AE306" i="2"/>
  <c r="AD306" i="2"/>
  <c r="AC306" i="2"/>
  <c r="Z306" i="2"/>
  <c r="Y306" i="2"/>
  <c r="R305" i="1"/>
  <c r="AS305" i="2"/>
  <c r="AR305" i="2"/>
  <c r="P305" i="1"/>
  <c r="AQ305" i="2"/>
  <c r="O305" i="1"/>
  <c r="AP305" i="2"/>
  <c r="N305" i="1"/>
  <c r="AO305" i="2"/>
  <c r="M305" i="1"/>
  <c r="AN305" i="2"/>
  <c r="L305" i="1"/>
  <c r="AM305" i="2"/>
  <c r="K305" i="1"/>
  <c r="AL305" i="2"/>
  <c r="AK305" i="2"/>
  <c r="AJ305" i="2"/>
  <c r="H305" i="1"/>
  <c r="AI305" i="2"/>
  <c r="G305" i="1"/>
  <c r="AH305" i="2"/>
  <c r="F305" i="1"/>
  <c r="AG305" i="2"/>
  <c r="E305" i="1"/>
  <c r="AF305" i="2"/>
  <c r="D305" i="1"/>
  <c r="AE305" i="2"/>
  <c r="AD305" i="2"/>
  <c r="AC305" i="2"/>
  <c r="Z305" i="2"/>
  <c r="Y305" i="2"/>
  <c r="R304" i="1"/>
  <c r="AS304" i="2"/>
  <c r="AR304" i="2"/>
  <c r="P304" i="1"/>
  <c r="AQ304" i="2"/>
  <c r="O304" i="1"/>
  <c r="AP304" i="2"/>
  <c r="N304" i="1"/>
  <c r="AO304" i="2"/>
  <c r="M304" i="1"/>
  <c r="AN304" i="2"/>
  <c r="L304" i="1"/>
  <c r="AM304" i="2"/>
  <c r="K304" i="1"/>
  <c r="AL304" i="2"/>
  <c r="AK304" i="2"/>
  <c r="AJ304" i="2"/>
  <c r="H304" i="1"/>
  <c r="AI304" i="2"/>
  <c r="G304" i="1"/>
  <c r="AH304" i="2"/>
  <c r="F304" i="1"/>
  <c r="AG304" i="2"/>
  <c r="E304" i="1"/>
  <c r="AF304" i="2"/>
  <c r="D304" i="1"/>
  <c r="AE304" i="2"/>
  <c r="AD304" i="2"/>
  <c r="AC304" i="2"/>
  <c r="Z304" i="2"/>
  <c r="Y304" i="2"/>
  <c r="R303" i="1"/>
  <c r="AS303" i="2"/>
  <c r="AR303" i="2"/>
  <c r="P303" i="1"/>
  <c r="AQ303" i="2"/>
  <c r="O303" i="1"/>
  <c r="AP303" i="2"/>
  <c r="N303" i="1"/>
  <c r="AO303" i="2"/>
  <c r="M303" i="1"/>
  <c r="AN303" i="2"/>
  <c r="L303" i="1"/>
  <c r="AM303" i="2"/>
  <c r="K303" i="1"/>
  <c r="AL303" i="2"/>
  <c r="AK303" i="2"/>
  <c r="AJ303" i="2"/>
  <c r="H303" i="1"/>
  <c r="AI303" i="2"/>
  <c r="G303" i="1"/>
  <c r="AH303" i="2"/>
  <c r="F303" i="1"/>
  <c r="AG303" i="2"/>
  <c r="E303" i="1"/>
  <c r="AF303" i="2"/>
  <c r="D303" i="1"/>
  <c r="AE303" i="2"/>
  <c r="AD303" i="2"/>
  <c r="AC303" i="2"/>
  <c r="Z303" i="2"/>
  <c r="Y303" i="2"/>
  <c r="R302" i="1"/>
  <c r="AS302" i="2"/>
  <c r="AR302" i="2"/>
  <c r="P302" i="1"/>
  <c r="AQ302" i="2"/>
  <c r="O302" i="1"/>
  <c r="AP302" i="2"/>
  <c r="N302" i="1"/>
  <c r="AO302" i="2"/>
  <c r="M302" i="1"/>
  <c r="AN302" i="2"/>
  <c r="L302" i="1"/>
  <c r="AM302" i="2"/>
  <c r="K302" i="1"/>
  <c r="AL302" i="2"/>
  <c r="AK302" i="2"/>
  <c r="AJ302" i="2"/>
  <c r="H302" i="1"/>
  <c r="AI302" i="2"/>
  <c r="G302" i="1"/>
  <c r="AH302" i="2"/>
  <c r="F302" i="1"/>
  <c r="AG302" i="2"/>
  <c r="E302" i="1"/>
  <c r="AF302" i="2"/>
  <c r="D302" i="1"/>
  <c r="AE302" i="2"/>
  <c r="AD302" i="2"/>
  <c r="AC302" i="2"/>
  <c r="Z302" i="2"/>
  <c r="Y302" i="2"/>
  <c r="R301" i="1"/>
  <c r="AS301" i="2"/>
  <c r="AR301" i="2"/>
  <c r="P301" i="1"/>
  <c r="AQ301" i="2"/>
  <c r="O301" i="1"/>
  <c r="AP301" i="2"/>
  <c r="N301" i="1"/>
  <c r="AO301" i="2"/>
  <c r="M301" i="1"/>
  <c r="AN301" i="2"/>
  <c r="L301" i="1"/>
  <c r="AM301" i="2"/>
  <c r="K301" i="1"/>
  <c r="AL301" i="2"/>
  <c r="AK301" i="2"/>
  <c r="AJ301" i="2"/>
  <c r="H301" i="1"/>
  <c r="AI301" i="2"/>
  <c r="G301" i="1"/>
  <c r="AH301" i="2"/>
  <c r="F301" i="1"/>
  <c r="AG301" i="2"/>
  <c r="E301" i="1"/>
  <c r="AF301" i="2"/>
  <c r="D301" i="1"/>
  <c r="AE301" i="2"/>
  <c r="AD301" i="2"/>
  <c r="AC301" i="2"/>
  <c r="Z301" i="2"/>
  <c r="Y301" i="2"/>
  <c r="R300" i="1"/>
  <c r="AS300" i="2"/>
  <c r="AR300" i="2"/>
  <c r="P300" i="1"/>
  <c r="AQ300" i="2"/>
  <c r="O300" i="1"/>
  <c r="AP300" i="2"/>
  <c r="N300" i="1"/>
  <c r="AO300" i="2"/>
  <c r="M300" i="1"/>
  <c r="AN300" i="2"/>
  <c r="L300" i="1"/>
  <c r="AM300" i="2"/>
  <c r="K300" i="1"/>
  <c r="AL300" i="2"/>
  <c r="AK300" i="2"/>
  <c r="AJ300" i="2"/>
  <c r="H300" i="1"/>
  <c r="AI300" i="2"/>
  <c r="G300" i="1"/>
  <c r="AH300" i="2"/>
  <c r="F300" i="1"/>
  <c r="AG300" i="2"/>
  <c r="E300" i="1"/>
  <c r="AF300" i="2"/>
  <c r="D300" i="1"/>
  <c r="AE300" i="2"/>
  <c r="AD300" i="2"/>
  <c r="AC300" i="2"/>
  <c r="Z300" i="2"/>
  <c r="Y300" i="2"/>
  <c r="R299" i="1"/>
  <c r="AS299" i="2"/>
  <c r="AR299" i="2"/>
  <c r="P299" i="1"/>
  <c r="AQ299" i="2"/>
  <c r="O299" i="1"/>
  <c r="AP299" i="2"/>
  <c r="N299" i="1"/>
  <c r="AO299" i="2"/>
  <c r="M299" i="1"/>
  <c r="AN299" i="2"/>
  <c r="L299" i="1"/>
  <c r="AM299" i="2"/>
  <c r="K299" i="1"/>
  <c r="AL299" i="2"/>
  <c r="AK299" i="2"/>
  <c r="AJ299" i="2"/>
  <c r="H299" i="1"/>
  <c r="AI299" i="2"/>
  <c r="G299" i="1"/>
  <c r="AH299" i="2"/>
  <c r="F299" i="1"/>
  <c r="AG299" i="2"/>
  <c r="E299" i="1"/>
  <c r="AF299" i="2"/>
  <c r="D299" i="1"/>
  <c r="AE299" i="2"/>
  <c r="AD299" i="2"/>
  <c r="AC299" i="2"/>
  <c r="Z299" i="2"/>
  <c r="Y299" i="2"/>
  <c r="R298" i="1"/>
  <c r="AS298" i="2"/>
  <c r="AR298" i="2"/>
  <c r="P298" i="1"/>
  <c r="AQ298" i="2"/>
  <c r="O298" i="1"/>
  <c r="AP298" i="2"/>
  <c r="N298" i="1"/>
  <c r="AO298" i="2"/>
  <c r="M298" i="1"/>
  <c r="AN298" i="2"/>
  <c r="L298" i="1"/>
  <c r="AM298" i="2"/>
  <c r="K298" i="1"/>
  <c r="AL298" i="2"/>
  <c r="AK298" i="2"/>
  <c r="AJ298" i="2"/>
  <c r="H298" i="1"/>
  <c r="AI298" i="2"/>
  <c r="G298" i="1"/>
  <c r="AH298" i="2"/>
  <c r="F298" i="1"/>
  <c r="AG298" i="2"/>
  <c r="E298" i="1"/>
  <c r="AF298" i="2"/>
  <c r="D298" i="1"/>
  <c r="AE298" i="2"/>
  <c r="AD298" i="2"/>
  <c r="AC298" i="2"/>
  <c r="Z298" i="2"/>
  <c r="Y298" i="2"/>
  <c r="R297" i="1"/>
  <c r="AS297" i="2"/>
  <c r="AR297" i="2"/>
  <c r="P297" i="1"/>
  <c r="AQ297" i="2"/>
  <c r="O297" i="1"/>
  <c r="AP297" i="2"/>
  <c r="N297" i="1"/>
  <c r="AO297" i="2"/>
  <c r="M297" i="1"/>
  <c r="AN297" i="2"/>
  <c r="L297" i="1"/>
  <c r="AM297" i="2"/>
  <c r="K297" i="1"/>
  <c r="AL297" i="2"/>
  <c r="AK297" i="2"/>
  <c r="AJ297" i="2"/>
  <c r="H297" i="1"/>
  <c r="AI297" i="2"/>
  <c r="G297" i="1"/>
  <c r="AH297" i="2"/>
  <c r="F297" i="1"/>
  <c r="AG297" i="2"/>
  <c r="E297" i="1"/>
  <c r="AF297" i="2"/>
  <c r="D297" i="1"/>
  <c r="AE297" i="2"/>
  <c r="AD297" i="2"/>
  <c r="AC297" i="2"/>
  <c r="Z297" i="2"/>
  <c r="Y297" i="2"/>
  <c r="R296" i="1"/>
  <c r="AS296" i="2"/>
  <c r="AR296" i="2"/>
  <c r="P296" i="1"/>
  <c r="AQ296" i="2"/>
  <c r="O296" i="1"/>
  <c r="AP296" i="2"/>
  <c r="N296" i="1"/>
  <c r="AO296" i="2"/>
  <c r="M296" i="1"/>
  <c r="AN296" i="2"/>
  <c r="L296" i="1"/>
  <c r="AM296" i="2"/>
  <c r="K296" i="1"/>
  <c r="AL296" i="2"/>
  <c r="AK296" i="2"/>
  <c r="AJ296" i="2"/>
  <c r="H296" i="1"/>
  <c r="AI296" i="2"/>
  <c r="G296" i="1"/>
  <c r="AH296" i="2"/>
  <c r="F296" i="1"/>
  <c r="AG296" i="2"/>
  <c r="E296" i="1"/>
  <c r="AF296" i="2"/>
  <c r="D296" i="1"/>
  <c r="AE296" i="2"/>
  <c r="AD296" i="2"/>
  <c r="AC296" i="2"/>
  <c r="Z296" i="2"/>
  <c r="Y296" i="2"/>
  <c r="R295" i="1"/>
  <c r="AS295" i="2"/>
  <c r="AR295" i="2"/>
  <c r="P295" i="1"/>
  <c r="AQ295" i="2"/>
  <c r="O295" i="1"/>
  <c r="AP295" i="2"/>
  <c r="N295" i="1"/>
  <c r="AO295" i="2"/>
  <c r="M295" i="1"/>
  <c r="AN295" i="2"/>
  <c r="L295" i="1"/>
  <c r="AM295" i="2"/>
  <c r="K295" i="1"/>
  <c r="AL295" i="2"/>
  <c r="AK295" i="2"/>
  <c r="AJ295" i="2"/>
  <c r="H295" i="1"/>
  <c r="AI295" i="2"/>
  <c r="G295" i="1"/>
  <c r="AH295" i="2"/>
  <c r="F295" i="1"/>
  <c r="AG295" i="2"/>
  <c r="E295" i="1"/>
  <c r="AF295" i="2"/>
  <c r="D295" i="1"/>
  <c r="AE295" i="2"/>
  <c r="AD295" i="2"/>
  <c r="AC295" i="2"/>
  <c r="Z295" i="2"/>
  <c r="Y295" i="2"/>
  <c r="R294" i="1"/>
  <c r="AS294" i="2"/>
  <c r="AR294" i="2"/>
  <c r="P294" i="1"/>
  <c r="AQ294" i="2"/>
  <c r="O294" i="1"/>
  <c r="AP294" i="2"/>
  <c r="N294" i="1"/>
  <c r="AO294" i="2"/>
  <c r="M294" i="1"/>
  <c r="AN294" i="2"/>
  <c r="L294" i="1"/>
  <c r="AM294" i="2"/>
  <c r="K294" i="1"/>
  <c r="AL294" i="2"/>
  <c r="AK294" i="2"/>
  <c r="AJ294" i="2"/>
  <c r="H294" i="1"/>
  <c r="AI294" i="2"/>
  <c r="G294" i="1"/>
  <c r="AH294" i="2"/>
  <c r="F294" i="1"/>
  <c r="AG294" i="2"/>
  <c r="E294" i="1"/>
  <c r="AF294" i="2"/>
  <c r="D294" i="1"/>
  <c r="AE294" i="2"/>
  <c r="AD294" i="2"/>
  <c r="AC294" i="2"/>
  <c r="Z294" i="2"/>
  <c r="Y294" i="2"/>
  <c r="R293" i="1"/>
  <c r="AS293" i="2"/>
  <c r="AR293" i="2"/>
  <c r="P293" i="1"/>
  <c r="AQ293" i="2"/>
  <c r="O293" i="1"/>
  <c r="AP293" i="2"/>
  <c r="N293" i="1"/>
  <c r="AO293" i="2"/>
  <c r="M293" i="1"/>
  <c r="AN293" i="2"/>
  <c r="L293" i="1"/>
  <c r="AM293" i="2"/>
  <c r="K293" i="1"/>
  <c r="AL293" i="2"/>
  <c r="AK293" i="2"/>
  <c r="AJ293" i="2"/>
  <c r="H293" i="1"/>
  <c r="AI293" i="2"/>
  <c r="G293" i="1"/>
  <c r="AH293" i="2"/>
  <c r="F293" i="1"/>
  <c r="AG293" i="2"/>
  <c r="E293" i="1"/>
  <c r="AF293" i="2"/>
  <c r="D293" i="1"/>
  <c r="AE293" i="2"/>
  <c r="AD293" i="2"/>
  <c r="AC293" i="2"/>
  <c r="Z293" i="2"/>
  <c r="Y293" i="2"/>
  <c r="R292" i="1"/>
  <c r="AS292" i="2"/>
  <c r="AR292" i="2"/>
  <c r="P292" i="1"/>
  <c r="AQ292" i="2"/>
  <c r="O292" i="1"/>
  <c r="AP292" i="2"/>
  <c r="N292" i="1"/>
  <c r="AO292" i="2"/>
  <c r="M292" i="1"/>
  <c r="AN292" i="2"/>
  <c r="L292" i="1"/>
  <c r="AM292" i="2"/>
  <c r="K292" i="1"/>
  <c r="AL292" i="2"/>
  <c r="AK292" i="2"/>
  <c r="AJ292" i="2"/>
  <c r="H292" i="1"/>
  <c r="AI292" i="2"/>
  <c r="G292" i="1"/>
  <c r="AH292" i="2"/>
  <c r="F292" i="1"/>
  <c r="AG292" i="2"/>
  <c r="E292" i="1"/>
  <c r="AF292" i="2"/>
  <c r="D292" i="1"/>
  <c r="AE292" i="2"/>
  <c r="AD292" i="2"/>
  <c r="AC292" i="2"/>
  <c r="Z292" i="2"/>
  <c r="Y292" i="2"/>
  <c r="R291" i="1"/>
  <c r="AS291" i="2"/>
  <c r="AR291" i="2"/>
  <c r="P291" i="1"/>
  <c r="AQ291" i="2"/>
  <c r="O291" i="1"/>
  <c r="AP291" i="2"/>
  <c r="N291" i="1"/>
  <c r="AO291" i="2"/>
  <c r="M291" i="1"/>
  <c r="AN291" i="2"/>
  <c r="L291" i="1"/>
  <c r="AM291" i="2"/>
  <c r="K291" i="1"/>
  <c r="AL291" i="2"/>
  <c r="AK291" i="2"/>
  <c r="AJ291" i="2"/>
  <c r="H291" i="1"/>
  <c r="AI291" i="2"/>
  <c r="G291" i="1"/>
  <c r="AH291" i="2"/>
  <c r="F291" i="1"/>
  <c r="AG291" i="2"/>
  <c r="E291" i="1"/>
  <c r="AF291" i="2"/>
  <c r="D291" i="1"/>
  <c r="AE291" i="2"/>
  <c r="AD291" i="2"/>
  <c r="AC291" i="2"/>
  <c r="Z291" i="2"/>
  <c r="Y291" i="2"/>
  <c r="R290" i="1"/>
  <c r="AS290" i="2"/>
  <c r="AR290" i="2"/>
  <c r="P290" i="1"/>
  <c r="AQ290" i="2"/>
  <c r="O290" i="1"/>
  <c r="AP290" i="2"/>
  <c r="N290" i="1"/>
  <c r="AO290" i="2"/>
  <c r="M290" i="1"/>
  <c r="AN290" i="2"/>
  <c r="L290" i="1"/>
  <c r="AM290" i="2"/>
  <c r="K290" i="1"/>
  <c r="AL290" i="2"/>
  <c r="AK290" i="2"/>
  <c r="AJ290" i="2"/>
  <c r="H290" i="1"/>
  <c r="AI290" i="2"/>
  <c r="G290" i="1"/>
  <c r="AH290" i="2"/>
  <c r="F290" i="1"/>
  <c r="AG290" i="2"/>
  <c r="E290" i="1"/>
  <c r="AF290" i="2"/>
  <c r="D290" i="1"/>
  <c r="AE290" i="2"/>
  <c r="AD290" i="2"/>
  <c r="AC290" i="2"/>
  <c r="Z290" i="2"/>
  <c r="Y290" i="2"/>
  <c r="R289" i="1"/>
  <c r="AS289" i="2"/>
  <c r="AR289" i="2"/>
  <c r="P289" i="1"/>
  <c r="AQ289" i="2"/>
  <c r="O289" i="1"/>
  <c r="AP289" i="2"/>
  <c r="N289" i="1"/>
  <c r="AO289" i="2"/>
  <c r="M289" i="1"/>
  <c r="AN289" i="2"/>
  <c r="L289" i="1"/>
  <c r="AM289" i="2"/>
  <c r="K289" i="1"/>
  <c r="AL289" i="2"/>
  <c r="AK289" i="2"/>
  <c r="AJ289" i="2"/>
  <c r="H289" i="1"/>
  <c r="AI289" i="2"/>
  <c r="G289" i="1"/>
  <c r="AH289" i="2"/>
  <c r="F289" i="1"/>
  <c r="AG289" i="2"/>
  <c r="E289" i="1"/>
  <c r="AF289" i="2"/>
  <c r="D289" i="1"/>
  <c r="AE289" i="2"/>
  <c r="AD289" i="2"/>
  <c r="AC289" i="2"/>
  <c r="Z289" i="2"/>
  <c r="Y289" i="2"/>
  <c r="R288" i="1"/>
  <c r="AS288" i="2"/>
  <c r="AR288" i="2"/>
  <c r="P288" i="1"/>
  <c r="AQ288" i="2"/>
  <c r="O288" i="1"/>
  <c r="AP288" i="2"/>
  <c r="N288" i="1"/>
  <c r="AO288" i="2"/>
  <c r="M288" i="1"/>
  <c r="AN288" i="2"/>
  <c r="L288" i="1"/>
  <c r="AM288" i="2"/>
  <c r="K288" i="1"/>
  <c r="AL288" i="2"/>
  <c r="AK288" i="2"/>
  <c r="AJ288" i="2"/>
  <c r="H288" i="1"/>
  <c r="AI288" i="2"/>
  <c r="G288" i="1"/>
  <c r="AH288" i="2"/>
  <c r="F288" i="1"/>
  <c r="AG288" i="2"/>
  <c r="E288" i="1"/>
  <c r="AF288" i="2"/>
  <c r="D288" i="1"/>
  <c r="AE288" i="2"/>
  <c r="AD288" i="2"/>
  <c r="AC288" i="2"/>
  <c r="Z288" i="2"/>
  <c r="Y288" i="2"/>
  <c r="R287" i="1"/>
  <c r="AS287" i="2"/>
  <c r="AR287" i="2"/>
  <c r="P287" i="1"/>
  <c r="AQ287" i="2"/>
  <c r="O287" i="1"/>
  <c r="AP287" i="2"/>
  <c r="N287" i="1"/>
  <c r="AO287" i="2"/>
  <c r="M287" i="1"/>
  <c r="AN287" i="2"/>
  <c r="L287" i="1"/>
  <c r="AM287" i="2"/>
  <c r="K287" i="1"/>
  <c r="AL287" i="2"/>
  <c r="AK287" i="2"/>
  <c r="AJ287" i="2"/>
  <c r="H287" i="1"/>
  <c r="AI287" i="2"/>
  <c r="G287" i="1"/>
  <c r="AH287" i="2"/>
  <c r="F287" i="1"/>
  <c r="AG287" i="2"/>
  <c r="E287" i="1"/>
  <c r="AF287" i="2"/>
  <c r="D287" i="1"/>
  <c r="AE287" i="2"/>
  <c r="AD287" i="2"/>
  <c r="AC287" i="2"/>
  <c r="Z287" i="2"/>
  <c r="Y287" i="2"/>
  <c r="R286" i="1"/>
  <c r="AS286" i="2"/>
  <c r="AR286" i="2"/>
  <c r="P286" i="1"/>
  <c r="AQ286" i="2"/>
  <c r="O286" i="1"/>
  <c r="AP286" i="2"/>
  <c r="N286" i="1"/>
  <c r="AO286" i="2"/>
  <c r="M286" i="1"/>
  <c r="AN286" i="2"/>
  <c r="L286" i="1"/>
  <c r="AM286" i="2"/>
  <c r="K286" i="1"/>
  <c r="AL286" i="2"/>
  <c r="AK286" i="2"/>
  <c r="AJ286" i="2"/>
  <c r="H286" i="1"/>
  <c r="AI286" i="2"/>
  <c r="G286" i="1"/>
  <c r="AH286" i="2"/>
  <c r="F286" i="1"/>
  <c r="AG286" i="2"/>
  <c r="E286" i="1"/>
  <c r="AF286" i="2"/>
  <c r="D286" i="1"/>
  <c r="AE286" i="2"/>
  <c r="AD286" i="2"/>
  <c r="AC286" i="2"/>
  <c r="Z286" i="2"/>
  <c r="Y286" i="2"/>
  <c r="R285" i="1"/>
  <c r="AS285" i="2"/>
  <c r="AR285" i="2"/>
  <c r="P285" i="1"/>
  <c r="AQ285" i="2"/>
  <c r="O285" i="1"/>
  <c r="AP285" i="2"/>
  <c r="N285" i="1"/>
  <c r="AO285" i="2"/>
  <c r="M285" i="1"/>
  <c r="AN285" i="2"/>
  <c r="L285" i="1"/>
  <c r="AM285" i="2"/>
  <c r="K285" i="1"/>
  <c r="AL285" i="2"/>
  <c r="AK285" i="2"/>
  <c r="AJ285" i="2"/>
  <c r="H285" i="1"/>
  <c r="AI285" i="2"/>
  <c r="G285" i="1"/>
  <c r="AH285" i="2"/>
  <c r="F285" i="1"/>
  <c r="AG285" i="2"/>
  <c r="E285" i="1"/>
  <c r="AF285" i="2"/>
  <c r="D285" i="1"/>
  <c r="AE285" i="2"/>
  <c r="AD285" i="2"/>
  <c r="AC285" i="2"/>
  <c r="Z285" i="2"/>
  <c r="Y285" i="2"/>
  <c r="R284" i="1"/>
  <c r="AS284" i="2"/>
  <c r="AR284" i="2"/>
  <c r="P284" i="1"/>
  <c r="AQ284" i="2"/>
  <c r="O284" i="1"/>
  <c r="AP284" i="2"/>
  <c r="N284" i="1"/>
  <c r="AO284" i="2"/>
  <c r="M284" i="1"/>
  <c r="AN284" i="2"/>
  <c r="L284" i="1"/>
  <c r="AM284" i="2"/>
  <c r="K284" i="1"/>
  <c r="AL284" i="2"/>
  <c r="AK284" i="2"/>
  <c r="AJ284" i="2"/>
  <c r="H284" i="1"/>
  <c r="AI284" i="2"/>
  <c r="G284" i="1"/>
  <c r="AH284" i="2"/>
  <c r="F284" i="1"/>
  <c r="AG284" i="2"/>
  <c r="E284" i="1"/>
  <c r="AF284" i="2"/>
  <c r="D284" i="1"/>
  <c r="AE284" i="2"/>
  <c r="AD284" i="2"/>
  <c r="AC284" i="2"/>
  <c r="Z284" i="2"/>
  <c r="Y284" i="2"/>
  <c r="R283" i="1"/>
  <c r="AS283" i="2"/>
  <c r="AR283" i="2"/>
  <c r="P283" i="1"/>
  <c r="AQ283" i="2"/>
  <c r="O283" i="1"/>
  <c r="AP283" i="2"/>
  <c r="N283" i="1"/>
  <c r="AO283" i="2"/>
  <c r="M283" i="1"/>
  <c r="AN283" i="2"/>
  <c r="L283" i="1"/>
  <c r="AM283" i="2"/>
  <c r="K283" i="1"/>
  <c r="AL283" i="2"/>
  <c r="AK283" i="2"/>
  <c r="AJ283" i="2"/>
  <c r="H283" i="1"/>
  <c r="AI283" i="2"/>
  <c r="G283" i="1"/>
  <c r="AH283" i="2"/>
  <c r="F283" i="1"/>
  <c r="AG283" i="2"/>
  <c r="E283" i="1"/>
  <c r="AF283" i="2"/>
  <c r="D283" i="1"/>
  <c r="AE283" i="2"/>
  <c r="AD283" i="2"/>
  <c r="AC283" i="2"/>
  <c r="Z283" i="2"/>
  <c r="Y283" i="2"/>
  <c r="R282" i="1"/>
  <c r="AS282" i="2"/>
  <c r="AR282" i="2"/>
  <c r="P282" i="1"/>
  <c r="AQ282" i="2"/>
  <c r="O282" i="1"/>
  <c r="AP282" i="2"/>
  <c r="N282" i="1"/>
  <c r="AO282" i="2"/>
  <c r="M282" i="1"/>
  <c r="AN282" i="2"/>
  <c r="L282" i="1"/>
  <c r="AM282" i="2"/>
  <c r="K282" i="1"/>
  <c r="AL282" i="2"/>
  <c r="AK282" i="2"/>
  <c r="AJ282" i="2"/>
  <c r="H282" i="1"/>
  <c r="AI282" i="2"/>
  <c r="G282" i="1"/>
  <c r="AH282" i="2"/>
  <c r="F282" i="1"/>
  <c r="AG282" i="2"/>
  <c r="E282" i="1"/>
  <c r="AF282" i="2"/>
  <c r="D282" i="1"/>
  <c r="AE282" i="2"/>
  <c r="AD282" i="2"/>
  <c r="AC282" i="2"/>
  <c r="Z282" i="2"/>
  <c r="Y282" i="2"/>
  <c r="R281" i="1"/>
  <c r="AS281" i="2"/>
  <c r="AR281" i="2"/>
  <c r="P281" i="1"/>
  <c r="AQ281" i="2"/>
  <c r="O281" i="1"/>
  <c r="AP281" i="2"/>
  <c r="N281" i="1"/>
  <c r="AO281" i="2"/>
  <c r="M281" i="1"/>
  <c r="AN281" i="2"/>
  <c r="L281" i="1"/>
  <c r="AM281" i="2"/>
  <c r="K281" i="1"/>
  <c r="AL281" i="2"/>
  <c r="AK281" i="2"/>
  <c r="AJ281" i="2"/>
  <c r="H281" i="1"/>
  <c r="AI281" i="2"/>
  <c r="G281" i="1"/>
  <c r="AH281" i="2"/>
  <c r="F281" i="1"/>
  <c r="AG281" i="2"/>
  <c r="E281" i="1"/>
  <c r="AF281" i="2"/>
  <c r="D281" i="1"/>
  <c r="AE281" i="2"/>
  <c r="AD281" i="2"/>
  <c r="AC281" i="2"/>
  <c r="Z281" i="2"/>
  <c r="Y281" i="2"/>
  <c r="R280" i="1"/>
  <c r="AS280" i="2"/>
  <c r="AR280" i="2"/>
  <c r="P280" i="1"/>
  <c r="AQ280" i="2"/>
  <c r="O280" i="1"/>
  <c r="AP280" i="2"/>
  <c r="N280" i="1"/>
  <c r="AO280" i="2"/>
  <c r="M280" i="1"/>
  <c r="AN280" i="2"/>
  <c r="L280" i="1"/>
  <c r="AM280" i="2"/>
  <c r="K280" i="1"/>
  <c r="AL280" i="2"/>
  <c r="AK280" i="2"/>
  <c r="AJ280" i="2"/>
  <c r="H280" i="1"/>
  <c r="AI280" i="2"/>
  <c r="G280" i="1"/>
  <c r="AH280" i="2"/>
  <c r="F280" i="1"/>
  <c r="AG280" i="2"/>
  <c r="E280" i="1"/>
  <c r="AF280" i="2"/>
  <c r="D280" i="1"/>
  <c r="AE280" i="2"/>
  <c r="AD280" i="2"/>
  <c r="AC280" i="2"/>
  <c r="Z280" i="2"/>
  <c r="Y280" i="2"/>
  <c r="R279" i="1"/>
  <c r="AS279" i="2"/>
  <c r="AR279" i="2"/>
  <c r="P279" i="1"/>
  <c r="AQ279" i="2"/>
  <c r="O279" i="1"/>
  <c r="AP279" i="2"/>
  <c r="N279" i="1"/>
  <c r="AO279" i="2"/>
  <c r="M279" i="1"/>
  <c r="AN279" i="2"/>
  <c r="L279" i="1"/>
  <c r="AM279" i="2"/>
  <c r="K279" i="1"/>
  <c r="AL279" i="2"/>
  <c r="AK279" i="2"/>
  <c r="AJ279" i="2"/>
  <c r="H279" i="1"/>
  <c r="AI279" i="2"/>
  <c r="G279" i="1"/>
  <c r="AH279" i="2"/>
  <c r="F279" i="1"/>
  <c r="AG279" i="2"/>
  <c r="E279" i="1"/>
  <c r="AF279" i="2"/>
  <c r="D279" i="1"/>
  <c r="AE279" i="2"/>
  <c r="AD279" i="2"/>
  <c r="AC279" i="2"/>
  <c r="Z279" i="2"/>
  <c r="Y279" i="2"/>
  <c r="R278" i="1"/>
  <c r="AS278" i="2"/>
  <c r="AR278" i="2"/>
  <c r="P278" i="1"/>
  <c r="AQ278" i="2"/>
  <c r="O278" i="1"/>
  <c r="AP278" i="2"/>
  <c r="N278" i="1"/>
  <c r="AO278" i="2"/>
  <c r="M278" i="1"/>
  <c r="AN278" i="2"/>
  <c r="L278" i="1"/>
  <c r="AM278" i="2"/>
  <c r="K278" i="1"/>
  <c r="AL278" i="2"/>
  <c r="AK278" i="2"/>
  <c r="AJ278" i="2"/>
  <c r="H278" i="1"/>
  <c r="AI278" i="2"/>
  <c r="G278" i="1"/>
  <c r="AH278" i="2"/>
  <c r="F278" i="1"/>
  <c r="AG278" i="2"/>
  <c r="E278" i="1"/>
  <c r="AF278" i="2"/>
  <c r="D278" i="1"/>
  <c r="AE278" i="2"/>
  <c r="AD278" i="2"/>
  <c r="AC278" i="2"/>
  <c r="Z278" i="2"/>
  <c r="Y278" i="2"/>
  <c r="R277" i="1"/>
  <c r="AS277" i="2"/>
  <c r="AR277" i="2"/>
  <c r="P277" i="1"/>
  <c r="AQ277" i="2"/>
  <c r="O277" i="1"/>
  <c r="AP277" i="2"/>
  <c r="N277" i="1"/>
  <c r="AO277" i="2"/>
  <c r="M277" i="1"/>
  <c r="AN277" i="2"/>
  <c r="L277" i="1"/>
  <c r="AM277" i="2"/>
  <c r="K277" i="1"/>
  <c r="AL277" i="2"/>
  <c r="AK277" i="2"/>
  <c r="AJ277" i="2"/>
  <c r="H277" i="1"/>
  <c r="AI277" i="2"/>
  <c r="G277" i="1"/>
  <c r="AH277" i="2"/>
  <c r="F277" i="1"/>
  <c r="AG277" i="2"/>
  <c r="E277" i="1"/>
  <c r="AF277" i="2"/>
  <c r="D277" i="1"/>
  <c r="AE277" i="2"/>
  <c r="AD277" i="2"/>
  <c r="AC277" i="2"/>
  <c r="Z277" i="2"/>
  <c r="Y277" i="2"/>
  <c r="R276" i="1"/>
  <c r="AS276" i="2"/>
  <c r="AR276" i="2"/>
  <c r="P276" i="1"/>
  <c r="AQ276" i="2"/>
  <c r="O276" i="1"/>
  <c r="AP276" i="2"/>
  <c r="N276" i="1"/>
  <c r="AO276" i="2"/>
  <c r="M276" i="1"/>
  <c r="AN276" i="2"/>
  <c r="L276" i="1"/>
  <c r="AM276" i="2"/>
  <c r="K276" i="1"/>
  <c r="AL276" i="2"/>
  <c r="AK276" i="2"/>
  <c r="AJ276" i="2"/>
  <c r="H276" i="1"/>
  <c r="AI276" i="2"/>
  <c r="G276" i="1"/>
  <c r="AH276" i="2"/>
  <c r="F276" i="1"/>
  <c r="AG276" i="2"/>
  <c r="E276" i="1"/>
  <c r="AF276" i="2"/>
  <c r="D276" i="1"/>
  <c r="AE276" i="2"/>
  <c r="AD276" i="2"/>
  <c r="AC276" i="2"/>
  <c r="Z276" i="2"/>
  <c r="Y276" i="2"/>
  <c r="R275" i="1"/>
  <c r="AS275" i="2"/>
  <c r="AR275" i="2"/>
  <c r="P275" i="1"/>
  <c r="AQ275" i="2"/>
  <c r="O275" i="1"/>
  <c r="AP275" i="2"/>
  <c r="N275" i="1"/>
  <c r="AO275" i="2"/>
  <c r="M275" i="1"/>
  <c r="AN275" i="2"/>
  <c r="L275" i="1"/>
  <c r="AM275" i="2"/>
  <c r="K275" i="1"/>
  <c r="AL275" i="2"/>
  <c r="AK275" i="2"/>
  <c r="AJ275" i="2"/>
  <c r="H275" i="1"/>
  <c r="AI275" i="2"/>
  <c r="G275" i="1"/>
  <c r="AH275" i="2"/>
  <c r="F275" i="1"/>
  <c r="AG275" i="2"/>
  <c r="E275" i="1"/>
  <c r="AF275" i="2"/>
  <c r="D275" i="1"/>
  <c r="AE275" i="2"/>
  <c r="AD275" i="2"/>
  <c r="AC275" i="2"/>
  <c r="Z275" i="2"/>
  <c r="Y275" i="2"/>
  <c r="R274" i="1"/>
  <c r="AS274" i="2"/>
  <c r="AR274" i="2"/>
  <c r="P274" i="1"/>
  <c r="AQ274" i="2"/>
  <c r="O274" i="1"/>
  <c r="AP274" i="2"/>
  <c r="N274" i="1"/>
  <c r="AO274" i="2"/>
  <c r="M274" i="1"/>
  <c r="AN274" i="2"/>
  <c r="L274" i="1"/>
  <c r="AM274" i="2"/>
  <c r="K274" i="1"/>
  <c r="AL274" i="2"/>
  <c r="AK274" i="2"/>
  <c r="AJ274" i="2"/>
  <c r="H274" i="1"/>
  <c r="AI274" i="2"/>
  <c r="G274" i="1"/>
  <c r="AH274" i="2"/>
  <c r="F274" i="1"/>
  <c r="AG274" i="2"/>
  <c r="E274" i="1"/>
  <c r="AF274" i="2"/>
  <c r="D274" i="1"/>
  <c r="AE274" i="2"/>
  <c r="AD274" i="2"/>
  <c r="AC274" i="2"/>
  <c r="Z274" i="2"/>
  <c r="Y274" i="2"/>
  <c r="R273" i="1"/>
  <c r="AS273" i="2"/>
  <c r="AR273" i="2"/>
  <c r="P273" i="1"/>
  <c r="AQ273" i="2"/>
  <c r="O273" i="1"/>
  <c r="AP273" i="2"/>
  <c r="N273" i="1"/>
  <c r="AO273" i="2"/>
  <c r="M273" i="1"/>
  <c r="AN273" i="2"/>
  <c r="L273" i="1"/>
  <c r="AM273" i="2"/>
  <c r="K273" i="1"/>
  <c r="AL273" i="2"/>
  <c r="AK273" i="2"/>
  <c r="AJ273" i="2"/>
  <c r="H273" i="1"/>
  <c r="AI273" i="2"/>
  <c r="G273" i="1"/>
  <c r="AH273" i="2"/>
  <c r="F273" i="1"/>
  <c r="AG273" i="2"/>
  <c r="E273" i="1"/>
  <c r="AF273" i="2"/>
  <c r="D273" i="1"/>
  <c r="AE273" i="2"/>
  <c r="AD273" i="2"/>
  <c r="AC273" i="2"/>
  <c r="Z273" i="2"/>
  <c r="Y273" i="2"/>
  <c r="R272" i="1"/>
  <c r="AS272" i="2"/>
  <c r="AR272" i="2"/>
  <c r="P272" i="1"/>
  <c r="AQ272" i="2"/>
  <c r="O272" i="1"/>
  <c r="AP272" i="2"/>
  <c r="N272" i="1"/>
  <c r="AO272" i="2"/>
  <c r="M272" i="1"/>
  <c r="AN272" i="2"/>
  <c r="L272" i="1"/>
  <c r="AM272" i="2"/>
  <c r="K272" i="1"/>
  <c r="AL272" i="2"/>
  <c r="AK272" i="2"/>
  <c r="AJ272" i="2"/>
  <c r="H272" i="1"/>
  <c r="AI272" i="2"/>
  <c r="G272" i="1"/>
  <c r="AH272" i="2"/>
  <c r="F272" i="1"/>
  <c r="AG272" i="2"/>
  <c r="E272" i="1"/>
  <c r="AF272" i="2"/>
  <c r="D272" i="1"/>
  <c r="AE272" i="2"/>
  <c r="AD272" i="2"/>
  <c r="AC272" i="2"/>
  <c r="Z272" i="2"/>
  <c r="Y272" i="2"/>
  <c r="R271" i="1"/>
  <c r="AS271" i="2"/>
  <c r="AR271" i="2"/>
  <c r="P271" i="1"/>
  <c r="AQ271" i="2"/>
  <c r="O271" i="1"/>
  <c r="AP271" i="2"/>
  <c r="N271" i="1"/>
  <c r="AO271" i="2"/>
  <c r="M271" i="1"/>
  <c r="AN271" i="2"/>
  <c r="L271" i="1"/>
  <c r="AM271" i="2"/>
  <c r="K271" i="1"/>
  <c r="AL271" i="2"/>
  <c r="AK271" i="2"/>
  <c r="AJ271" i="2"/>
  <c r="H271" i="1"/>
  <c r="AI271" i="2"/>
  <c r="G271" i="1"/>
  <c r="AH271" i="2"/>
  <c r="F271" i="1"/>
  <c r="AG271" i="2"/>
  <c r="E271" i="1"/>
  <c r="AF271" i="2"/>
  <c r="D271" i="1"/>
  <c r="AE271" i="2"/>
  <c r="AD271" i="2"/>
  <c r="AC271" i="2"/>
  <c r="Z271" i="2"/>
  <c r="Y271" i="2"/>
  <c r="R270" i="1"/>
  <c r="AS270" i="2"/>
  <c r="AR270" i="2"/>
  <c r="P270" i="1"/>
  <c r="AQ270" i="2"/>
  <c r="O270" i="1"/>
  <c r="AP270" i="2"/>
  <c r="N270" i="1"/>
  <c r="AO270" i="2"/>
  <c r="M270" i="1"/>
  <c r="AN270" i="2"/>
  <c r="L270" i="1"/>
  <c r="AM270" i="2"/>
  <c r="K270" i="1"/>
  <c r="AL270" i="2"/>
  <c r="AK270" i="2"/>
  <c r="AJ270" i="2"/>
  <c r="H270" i="1"/>
  <c r="AI270" i="2"/>
  <c r="G270" i="1"/>
  <c r="AH270" i="2"/>
  <c r="F270" i="1"/>
  <c r="AG270" i="2"/>
  <c r="E270" i="1"/>
  <c r="AF270" i="2"/>
  <c r="D270" i="1"/>
  <c r="AE270" i="2"/>
  <c r="AD270" i="2"/>
  <c r="AC270" i="2"/>
  <c r="Z270" i="2"/>
  <c r="Y270" i="2"/>
  <c r="R269" i="1"/>
  <c r="AS269" i="2"/>
  <c r="AR269" i="2"/>
  <c r="P269" i="1"/>
  <c r="AQ269" i="2"/>
  <c r="O269" i="1"/>
  <c r="AP269" i="2"/>
  <c r="N269" i="1"/>
  <c r="AO269" i="2"/>
  <c r="M269" i="1"/>
  <c r="AN269" i="2"/>
  <c r="L269" i="1"/>
  <c r="AM269" i="2"/>
  <c r="K269" i="1"/>
  <c r="AL269" i="2"/>
  <c r="AK269" i="2"/>
  <c r="AJ269" i="2"/>
  <c r="H269" i="1"/>
  <c r="AI269" i="2"/>
  <c r="G269" i="1"/>
  <c r="AH269" i="2"/>
  <c r="F269" i="1"/>
  <c r="AG269" i="2"/>
  <c r="E269" i="1"/>
  <c r="AF269" i="2"/>
  <c r="D269" i="1"/>
  <c r="AE269" i="2"/>
  <c r="AD269" i="2"/>
  <c r="AC269" i="2"/>
  <c r="Z269" i="2"/>
  <c r="Y269" i="2"/>
  <c r="R268" i="1"/>
  <c r="AS268" i="2"/>
  <c r="AR268" i="2"/>
  <c r="P268" i="1"/>
  <c r="AQ268" i="2"/>
  <c r="O268" i="1"/>
  <c r="AP268" i="2"/>
  <c r="N268" i="1"/>
  <c r="AO268" i="2"/>
  <c r="M268" i="1"/>
  <c r="AN268" i="2"/>
  <c r="L268" i="1"/>
  <c r="AM268" i="2"/>
  <c r="K268" i="1"/>
  <c r="AL268" i="2"/>
  <c r="AK268" i="2"/>
  <c r="AJ268" i="2"/>
  <c r="H268" i="1"/>
  <c r="AI268" i="2"/>
  <c r="G268" i="1"/>
  <c r="AH268" i="2"/>
  <c r="F268" i="1"/>
  <c r="AG268" i="2"/>
  <c r="E268" i="1"/>
  <c r="AF268" i="2"/>
  <c r="D268" i="1"/>
  <c r="AE268" i="2"/>
  <c r="AD268" i="2"/>
  <c r="AC268" i="2"/>
  <c r="Z268" i="2"/>
  <c r="Y268" i="2"/>
  <c r="R267" i="1"/>
  <c r="AS267" i="2"/>
  <c r="AR267" i="2"/>
  <c r="P267" i="1"/>
  <c r="AQ267" i="2"/>
  <c r="O267" i="1"/>
  <c r="AP267" i="2"/>
  <c r="N267" i="1"/>
  <c r="AO267" i="2"/>
  <c r="M267" i="1"/>
  <c r="AN267" i="2"/>
  <c r="L267" i="1"/>
  <c r="AM267" i="2"/>
  <c r="K267" i="1"/>
  <c r="AL267" i="2"/>
  <c r="AK267" i="2"/>
  <c r="AJ267" i="2"/>
  <c r="H267" i="1"/>
  <c r="AI267" i="2"/>
  <c r="G267" i="1"/>
  <c r="AH267" i="2"/>
  <c r="F267" i="1"/>
  <c r="AG267" i="2"/>
  <c r="E267" i="1"/>
  <c r="AF267" i="2"/>
  <c r="D267" i="1"/>
  <c r="AE267" i="2"/>
  <c r="AD267" i="2"/>
  <c r="AC267" i="2"/>
  <c r="Z267" i="2"/>
  <c r="Y267" i="2"/>
  <c r="R266" i="1"/>
  <c r="AS266" i="2"/>
  <c r="AR266" i="2"/>
  <c r="P266" i="1"/>
  <c r="AQ266" i="2"/>
  <c r="O266" i="1"/>
  <c r="AP266" i="2"/>
  <c r="N266" i="1"/>
  <c r="AO266" i="2"/>
  <c r="M266" i="1"/>
  <c r="AN266" i="2"/>
  <c r="L266" i="1"/>
  <c r="AM266" i="2"/>
  <c r="K266" i="1"/>
  <c r="AL266" i="2"/>
  <c r="AK266" i="2"/>
  <c r="AJ266" i="2"/>
  <c r="H266" i="1"/>
  <c r="AI266" i="2"/>
  <c r="G266" i="1"/>
  <c r="AH266" i="2"/>
  <c r="F266" i="1"/>
  <c r="AG266" i="2"/>
  <c r="E266" i="1"/>
  <c r="AF266" i="2"/>
  <c r="D266" i="1"/>
  <c r="AE266" i="2"/>
  <c r="AD266" i="2"/>
  <c r="AC266" i="2"/>
  <c r="Z266" i="2"/>
  <c r="Y266" i="2"/>
  <c r="R265" i="1"/>
  <c r="AS265" i="2"/>
  <c r="AR265" i="2"/>
  <c r="P265" i="1"/>
  <c r="AQ265" i="2"/>
  <c r="O265" i="1"/>
  <c r="AP265" i="2"/>
  <c r="N265" i="1"/>
  <c r="AO265" i="2"/>
  <c r="M265" i="1"/>
  <c r="AN265" i="2"/>
  <c r="L265" i="1"/>
  <c r="AM265" i="2"/>
  <c r="K265" i="1"/>
  <c r="AL265" i="2"/>
  <c r="AK265" i="2"/>
  <c r="AJ265" i="2"/>
  <c r="H265" i="1"/>
  <c r="AI265" i="2"/>
  <c r="G265" i="1"/>
  <c r="AH265" i="2"/>
  <c r="F265" i="1"/>
  <c r="AG265" i="2"/>
  <c r="E265" i="1"/>
  <c r="AF265" i="2"/>
  <c r="D265" i="1"/>
  <c r="AE265" i="2"/>
  <c r="AD265" i="2"/>
  <c r="AC265" i="2"/>
  <c r="Z265" i="2"/>
  <c r="Y265" i="2"/>
  <c r="R264" i="1"/>
  <c r="AS264" i="2"/>
  <c r="AR264" i="2"/>
  <c r="P264" i="1"/>
  <c r="AQ264" i="2"/>
  <c r="O264" i="1"/>
  <c r="AP264" i="2"/>
  <c r="N264" i="1"/>
  <c r="AO264" i="2"/>
  <c r="M264" i="1"/>
  <c r="AN264" i="2"/>
  <c r="L264" i="1"/>
  <c r="AM264" i="2"/>
  <c r="K264" i="1"/>
  <c r="AL264" i="2"/>
  <c r="AK264" i="2"/>
  <c r="AJ264" i="2"/>
  <c r="H264" i="1"/>
  <c r="AI264" i="2"/>
  <c r="G264" i="1"/>
  <c r="AH264" i="2"/>
  <c r="F264" i="1"/>
  <c r="AG264" i="2"/>
  <c r="E264" i="1"/>
  <c r="AF264" i="2"/>
  <c r="D264" i="1"/>
  <c r="AE264" i="2"/>
  <c r="AD264" i="2"/>
  <c r="AC264" i="2"/>
  <c r="Z264" i="2"/>
  <c r="Y264" i="2"/>
  <c r="R263" i="1"/>
  <c r="AS263" i="2"/>
  <c r="AR263" i="2"/>
  <c r="P263" i="1"/>
  <c r="AQ263" i="2"/>
  <c r="O263" i="1"/>
  <c r="AP263" i="2"/>
  <c r="N263" i="1"/>
  <c r="AO263" i="2"/>
  <c r="M263" i="1"/>
  <c r="AN263" i="2"/>
  <c r="L263" i="1"/>
  <c r="AM263" i="2"/>
  <c r="K263" i="1"/>
  <c r="AL263" i="2"/>
  <c r="AK263" i="2"/>
  <c r="AJ263" i="2"/>
  <c r="H263" i="1"/>
  <c r="AI263" i="2"/>
  <c r="G263" i="1"/>
  <c r="AH263" i="2"/>
  <c r="F263" i="1"/>
  <c r="AG263" i="2"/>
  <c r="E263" i="1"/>
  <c r="AF263" i="2"/>
  <c r="D263" i="1"/>
  <c r="AE263" i="2"/>
  <c r="AD263" i="2"/>
  <c r="AC263" i="2"/>
  <c r="Z263" i="2"/>
  <c r="Y263" i="2"/>
  <c r="R262" i="1"/>
  <c r="AS262" i="2"/>
  <c r="AR262" i="2"/>
  <c r="P262" i="1"/>
  <c r="AQ262" i="2"/>
  <c r="O262" i="1"/>
  <c r="AP262" i="2"/>
  <c r="N262" i="1"/>
  <c r="AO262" i="2"/>
  <c r="M262" i="1"/>
  <c r="AN262" i="2"/>
  <c r="L262" i="1"/>
  <c r="AM262" i="2"/>
  <c r="K262" i="1"/>
  <c r="AL262" i="2"/>
  <c r="AK262" i="2"/>
  <c r="AJ262" i="2"/>
  <c r="H262" i="1"/>
  <c r="AI262" i="2"/>
  <c r="G262" i="1"/>
  <c r="AH262" i="2"/>
  <c r="F262" i="1"/>
  <c r="AG262" i="2"/>
  <c r="E262" i="1"/>
  <c r="AF262" i="2"/>
  <c r="D262" i="1"/>
  <c r="AE262" i="2"/>
  <c r="AD262" i="2"/>
  <c r="AC262" i="2"/>
  <c r="Z262" i="2"/>
  <c r="Y262" i="2"/>
  <c r="R261" i="1"/>
  <c r="AS261" i="2"/>
  <c r="AR261" i="2"/>
  <c r="P261" i="1"/>
  <c r="AQ261" i="2"/>
  <c r="O261" i="1"/>
  <c r="AP261" i="2"/>
  <c r="N261" i="1"/>
  <c r="AO261" i="2"/>
  <c r="M261" i="1"/>
  <c r="AN261" i="2"/>
  <c r="L261" i="1"/>
  <c r="AM261" i="2"/>
  <c r="K261" i="1"/>
  <c r="AL261" i="2"/>
  <c r="AK261" i="2"/>
  <c r="AJ261" i="2"/>
  <c r="H261" i="1"/>
  <c r="AI261" i="2"/>
  <c r="G261" i="1"/>
  <c r="AH261" i="2"/>
  <c r="F261" i="1"/>
  <c r="AG261" i="2"/>
  <c r="E261" i="1"/>
  <c r="AF261" i="2"/>
  <c r="D261" i="1"/>
  <c r="AE261" i="2"/>
  <c r="AD261" i="2"/>
  <c r="AC261" i="2"/>
  <c r="Z261" i="2"/>
  <c r="Y261" i="2"/>
  <c r="R260" i="1"/>
  <c r="AS260" i="2"/>
  <c r="AR260" i="2"/>
  <c r="P260" i="1"/>
  <c r="AQ260" i="2"/>
  <c r="O260" i="1"/>
  <c r="AP260" i="2"/>
  <c r="N260" i="1"/>
  <c r="AO260" i="2"/>
  <c r="M260" i="1"/>
  <c r="AN260" i="2"/>
  <c r="L260" i="1"/>
  <c r="AM260" i="2"/>
  <c r="K260" i="1"/>
  <c r="AL260" i="2"/>
  <c r="AK260" i="2"/>
  <c r="AJ260" i="2"/>
  <c r="H260" i="1"/>
  <c r="AI260" i="2"/>
  <c r="G260" i="1"/>
  <c r="AH260" i="2"/>
  <c r="F260" i="1"/>
  <c r="AG260" i="2"/>
  <c r="E260" i="1"/>
  <c r="AF260" i="2"/>
  <c r="D260" i="1"/>
  <c r="AE260" i="2"/>
  <c r="AD260" i="2"/>
  <c r="AC260" i="2"/>
  <c r="Z260" i="2"/>
  <c r="Y260" i="2"/>
  <c r="R259" i="1"/>
  <c r="AS259" i="2"/>
  <c r="AR259" i="2"/>
  <c r="P259" i="1"/>
  <c r="AQ259" i="2"/>
  <c r="O259" i="1"/>
  <c r="AP259" i="2"/>
  <c r="N259" i="1"/>
  <c r="AO259" i="2"/>
  <c r="M259" i="1"/>
  <c r="AN259" i="2"/>
  <c r="L259" i="1"/>
  <c r="AM259" i="2"/>
  <c r="K259" i="1"/>
  <c r="AL259" i="2"/>
  <c r="AK259" i="2"/>
  <c r="AJ259" i="2"/>
  <c r="H259" i="1"/>
  <c r="AI259" i="2"/>
  <c r="G259" i="1"/>
  <c r="AH259" i="2"/>
  <c r="F259" i="1"/>
  <c r="AG259" i="2"/>
  <c r="E259" i="1"/>
  <c r="AF259" i="2"/>
  <c r="D259" i="1"/>
  <c r="AE259" i="2"/>
  <c r="AD259" i="2"/>
  <c r="AC259" i="2"/>
  <c r="Z259" i="2"/>
  <c r="Y259" i="2"/>
  <c r="R258" i="1"/>
  <c r="AS258" i="2"/>
  <c r="AR258" i="2"/>
  <c r="P258" i="1"/>
  <c r="AQ258" i="2"/>
  <c r="O258" i="1"/>
  <c r="AP258" i="2"/>
  <c r="N258" i="1"/>
  <c r="AO258" i="2"/>
  <c r="M258" i="1"/>
  <c r="AN258" i="2"/>
  <c r="L258" i="1"/>
  <c r="AM258" i="2"/>
  <c r="K258" i="1"/>
  <c r="AL258" i="2"/>
  <c r="AK258" i="2"/>
  <c r="AJ258" i="2"/>
  <c r="H258" i="1"/>
  <c r="AI258" i="2"/>
  <c r="G258" i="1"/>
  <c r="AH258" i="2"/>
  <c r="F258" i="1"/>
  <c r="AG258" i="2"/>
  <c r="E258" i="1"/>
  <c r="AF258" i="2"/>
  <c r="D258" i="1"/>
  <c r="AE258" i="2"/>
  <c r="AD258" i="2"/>
  <c r="AC258" i="2"/>
  <c r="Z258" i="2"/>
  <c r="Y258" i="2"/>
  <c r="R257" i="1"/>
  <c r="AS257" i="2"/>
  <c r="AR257" i="2"/>
  <c r="P257" i="1"/>
  <c r="AQ257" i="2"/>
  <c r="O257" i="1"/>
  <c r="AP257" i="2"/>
  <c r="N257" i="1"/>
  <c r="AO257" i="2"/>
  <c r="M257" i="1"/>
  <c r="AN257" i="2"/>
  <c r="L257" i="1"/>
  <c r="AM257" i="2"/>
  <c r="K257" i="1"/>
  <c r="AL257" i="2"/>
  <c r="AK257" i="2"/>
  <c r="AJ257" i="2"/>
  <c r="H257" i="1"/>
  <c r="AI257" i="2"/>
  <c r="G257" i="1"/>
  <c r="AH257" i="2"/>
  <c r="F257" i="1"/>
  <c r="AG257" i="2"/>
  <c r="E257" i="1"/>
  <c r="AF257" i="2"/>
  <c r="D257" i="1"/>
  <c r="AE257" i="2"/>
  <c r="AD257" i="2"/>
  <c r="AC257" i="2"/>
  <c r="Z257" i="2"/>
  <c r="Y257" i="2"/>
  <c r="R256" i="1"/>
  <c r="AS256" i="2"/>
  <c r="AR256" i="2"/>
  <c r="P256" i="1"/>
  <c r="AQ256" i="2"/>
  <c r="O256" i="1"/>
  <c r="AP256" i="2"/>
  <c r="N256" i="1"/>
  <c r="AO256" i="2"/>
  <c r="M256" i="1"/>
  <c r="AN256" i="2"/>
  <c r="L256" i="1"/>
  <c r="AM256" i="2"/>
  <c r="K256" i="1"/>
  <c r="AL256" i="2"/>
  <c r="AK256" i="2"/>
  <c r="AJ256" i="2"/>
  <c r="H256" i="1"/>
  <c r="AI256" i="2"/>
  <c r="G256" i="1"/>
  <c r="AH256" i="2"/>
  <c r="F256" i="1"/>
  <c r="AG256" i="2"/>
  <c r="E256" i="1"/>
  <c r="AF256" i="2"/>
  <c r="D256" i="1"/>
  <c r="AE256" i="2"/>
  <c r="AD256" i="2"/>
  <c r="AC256" i="2"/>
  <c r="Z256" i="2"/>
  <c r="Y256" i="2"/>
  <c r="R255" i="1"/>
  <c r="AS255" i="2"/>
  <c r="AR255" i="2"/>
  <c r="P255" i="1"/>
  <c r="AQ255" i="2"/>
  <c r="O255" i="1"/>
  <c r="AP255" i="2"/>
  <c r="N255" i="1"/>
  <c r="AO255" i="2"/>
  <c r="M255" i="1"/>
  <c r="AN255" i="2"/>
  <c r="L255" i="1"/>
  <c r="AM255" i="2"/>
  <c r="K255" i="1"/>
  <c r="AL255" i="2"/>
  <c r="AK255" i="2"/>
  <c r="AJ255" i="2"/>
  <c r="H255" i="1"/>
  <c r="AI255" i="2"/>
  <c r="G255" i="1"/>
  <c r="AH255" i="2"/>
  <c r="F255" i="1"/>
  <c r="AG255" i="2"/>
  <c r="E255" i="1"/>
  <c r="AF255" i="2"/>
  <c r="D255" i="1"/>
  <c r="AE255" i="2"/>
  <c r="AD255" i="2"/>
  <c r="AC255" i="2"/>
  <c r="Z255" i="2"/>
  <c r="Y255" i="2"/>
  <c r="R254" i="1"/>
  <c r="AS254" i="2"/>
  <c r="AR254" i="2"/>
  <c r="P254" i="1"/>
  <c r="AQ254" i="2"/>
  <c r="O254" i="1"/>
  <c r="AP254" i="2"/>
  <c r="N254" i="1"/>
  <c r="AO254" i="2"/>
  <c r="M254" i="1"/>
  <c r="AN254" i="2"/>
  <c r="L254" i="1"/>
  <c r="AM254" i="2"/>
  <c r="K254" i="1"/>
  <c r="AL254" i="2"/>
  <c r="AK254" i="2"/>
  <c r="AJ254" i="2"/>
  <c r="H254" i="1"/>
  <c r="AI254" i="2"/>
  <c r="G254" i="1"/>
  <c r="AH254" i="2"/>
  <c r="F254" i="1"/>
  <c r="AG254" i="2"/>
  <c r="E254" i="1"/>
  <c r="AF254" i="2"/>
  <c r="D254" i="1"/>
  <c r="AE254" i="2"/>
  <c r="AD254" i="2"/>
  <c r="AC254" i="2"/>
  <c r="Z254" i="2"/>
  <c r="Y254" i="2"/>
  <c r="R253" i="1"/>
  <c r="AS253" i="2"/>
  <c r="AR253" i="2"/>
  <c r="P253" i="1"/>
  <c r="AQ253" i="2"/>
  <c r="O253" i="1"/>
  <c r="AP253" i="2"/>
  <c r="N253" i="1"/>
  <c r="AO253" i="2"/>
  <c r="M253" i="1"/>
  <c r="AN253" i="2"/>
  <c r="L253" i="1"/>
  <c r="AM253" i="2"/>
  <c r="K253" i="1"/>
  <c r="AL253" i="2"/>
  <c r="AK253" i="2"/>
  <c r="AJ253" i="2"/>
  <c r="H253" i="1"/>
  <c r="AI253" i="2"/>
  <c r="G253" i="1"/>
  <c r="AH253" i="2"/>
  <c r="F253" i="1"/>
  <c r="AG253" i="2"/>
  <c r="E253" i="1"/>
  <c r="AF253" i="2"/>
  <c r="D253" i="1"/>
  <c r="AE253" i="2"/>
  <c r="AD253" i="2"/>
  <c r="AC253" i="2"/>
  <c r="Z253" i="2"/>
  <c r="Y253" i="2"/>
  <c r="R252" i="1"/>
  <c r="AS252" i="2"/>
  <c r="AR252" i="2"/>
  <c r="P252" i="1"/>
  <c r="AQ252" i="2"/>
  <c r="O252" i="1"/>
  <c r="AP252" i="2"/>
  <c r="N252" i="1"/>
  <c r="AO252" i="2"/>
  <c r="M252" i="1"/>
  <c r="AN252" i="2"/>
  <c r="L252" i="1"/>
  <c r="AM252" i="2"/>
  <c r="K252" i="1"/>
  <c r="AL252" i="2"/>
  <c r="AK252" i="2"/>
  <c r="AJ252" i="2"/>
  <c r="H252" i="1"/>
  <c r="AI252" i="2"/>
  <c r="G252" i="1"/>
  <c r="AH252" i="2"/>
  <c r="F252" i="1"/>
  <c r="AG252" i="2"/>
  <c r="E252" i="1"/>
  <c r="AF252" i="2"/>
  <c r="D252" i="1"/>
  <c r="AE252" i="2"/>
  <c r="AD252" i="2"/>
  <c r="AC252" i="2"/>
  <c r="Z252" i="2"/>
  <c r="Y252" i="2"/>
  <c r="R251" i="1"/>
  <c r="AS251" i="2"/>
  <c r="AR251" i="2"/>
  <c r="P251" i="1"/>
  <c r="AQ251" i="2"/>
  <c r="O251" i="1"/>
  <c r="AP251" i="2"/>
  <c r="N251" i="1"/>
  <c r="AO251" i="2"/>
  <c r="M251" i="1"/>
  <c r="AN251" i="2"/>
  <c r="L251" i="1"/>
  <c r="AM251" i="2"/>
  <c r="K251" i="1"/>
  <c r="AL251" i="2"/>
  <c r="AK251" i="2"/>
  <c r="AJ251" i="2"/>
  <c r="H251" i="1"/>
  <c r="AI251" i="2"/>
  <c r="G251" i="1"/>
  <c r="AH251" i="2"/>
  <c r="F251" i="1"/>
  <c r="AG251" i="2"/>
  <c r="E251" i="1"/>
  <c r="AF251" i="2"/>
  <c r="D251" i="1"/>
  <c r="AE251" i="2"/>
  <c r="AD251" i="2"/>
  <c r="AC251" i="2"/>
  <c r="Z251" i="2"/>
  <c r="Y251" i="2"/>
  <c r="R250" i="1"/>
  <c r="AS250" i="2"/>
  <c r="AR250" i="2"/>
  <c r="P250" i="1"/>
  <c r="AQ250" i="2"/>
  <c r="O250" i="1"/>
  <c r="AP250" i="2"/>
  <c r="N250" i="1"/>
  <c r="AO250" i="2"/>
  <c r="M250" i="1"/>
  <c r="AN250" i="2"/>
  <c r="L250" i="1"/>
  <c r="AM250" i="2"/>
  <c r="K250" i="1"/>
  <c r="AL250" i="2"/>
  <c r="AK250" i="2"/>
  <c r="AJ250" i="2"/>
  <c r="H250" i="1"/>
  <c r="AI250" i="2"/>
  <c r="G250" i="1"/>
  <c r="AH250" i="2"/>
  <c r="F250" i="1"/>
  <c r="AG250" i="2"/>
  <c r="E250" i="1"/>
  <c r="AF250" i="2"/>
  <c r="D250" i="1"/>
  <c r="AE250" i="2"/>
  <c r="AD250" i="2"/>
  <c r="AC250" i="2"/>
  <c r="Z250" i="2"/>
  <c r="Y250" i="2"/>
  <c r="R249" i="1"/>
  <c r="AS249" i="2"/>
  <c r="AR249" i="2"/>
  <c r="P249" i="1"/>
  <c r="AQ249" i="2"/>
  <c r="O249" i="1"/>
  <c r="AP249" i="2"/>
  <c r="N249" i="1"/>
  <c r="AO249" i="2"/>
  <c r="M249" i="1"/>
  <c r="AN249" i="2"/>
  <c r="L249" i="1"/>
  <c r="AM249" i="2"/>
  <c r="K249" i="1"/>
  <c r="AL249" i="2"/>
  <c r="AK249" i="2"/>
  <c r="AJ249" i="2"/>
  <c r="H249" i="1"/>
  <c r="AI249" i="2"/>
  <c r="G249" i="1"/>
  <c r="AH249" i="2"/>
  <c r="F249" i="1"/>
  <c r="AG249" i="2"/>
  <c r="E249" i="1"/>
  <c r="AF249" i="2"/>
  <c r="D249" i="1"/>
  <c r="AE249" i="2"/>
  <c r="AD249" i="2"/>
  <c r="AC249" i="2"/>
  <c r="Z249" i="2"/>
  <c r="Y249" i="2"/>
  <c r="R248" i="1"/>
  <c r="AS248" i="2"/>
  <c r="AR248" i="2"/>
  <c r="P248" i="1"/>
  <c r="AQ248" i="2"/>
  <c r="O248" i="1"/>
  <c r="AP248" i="2"/>
  <c r="N248" i="1"/>
  <c r="AO248" i="2"/>
  <c r="M248" i="1"/>
  <c r="AN248" i="2"/>
  <c r="L248" i="1"/>
  <c r="AM248" i="2"/>
  <c r="K248" i="1"/>
  <c r="AL248" i="2"/>
  <c r="AK248" i="2"/>
  <c r="AJ248" i="2"/>
  <c r="H248" i="1"/>
  <c r="AI248" i="2"/>
  <c r="G248" i="1"/>
  <c r="AH248" i="2"/>
  <c r="F248" i="1"/>
  <c r="AG248" i="2"/>
  <c r="E248" i="1"/>
  <c r="AF248" i="2"/>
  <c r="D248" i="1"/>
  <c r="AE248" i="2"/>
  <c r="AD248" i="2"/>
  <c r="AC248" i="2"/>
  <c r="Z248" i="2"/>
  <c r="Y248" i="2"/>
  <c r="R247" i="1"/>
  <c r="AS247" i="2"/>
  <c r="AR247" i="2"/>
  <c r="P247" i="1"/>
  <c r="AQ247" i="2"/>
  <c r="O247" i="1"/>
  <c r="AP247" i="2"/>
  <c r="N247" i="1"/>
  <c r="AO247" i="2"/>
  <c r="M247" i="1"/>
  <c r="AN247" i="2"/>
  <c r="L247" i="1"/>
  <c r="AM247" i="2"/>
  <c r="K247" i="1"/>
  <c r="AL247" i="2"/>
  <c r="AK247" i="2"/>
  <c r="AJ247" i="2"/>
  <c r="H247" i="1"/>
  <c r="AI247" i="2"/>
  <c r="G247" i="1"/>
  <c r="AH247" i="2"/>
  <c r="F247" i="1"/>
  <c r="AG247" i="2"/>
  <c r="E247" i="1"/>
  <c r="AF247" i="2"/>
  <c r="D247" i="1"/>
  <c r="AE247" i="2"/>
  <c r="AD247" i="2"/>
  <c r="AC247" i="2"/>
  <c r="Z247" i="2"/>
  <c r="Y247" i="2"/>
  <c r="R246" i="1"/>
  <c r="AS246" i="2"/>
  <c r="AR246" i="2"/>
  <c r="P246" i="1"/>
  <c r="AQ246" i="2"/>
  <c r="O246" i="1"/>
  <c r="AP246" i="2"/>
  <c r="N246" i="1"/>
  <c r="AO246" i="2"/>
  <c r="M246" i="1"/>
  <c r="AN246" i="2"/>
  <c r="L246" i="1"/>
  <c r="AM246" i="2"/>
  <c r="K246" i="1"/>
  <c r="AL246" i="2"/>
  <c r="AK246" i="2"/>
  <c r="AJ246" i="2"/>
  <c r="H246" i="1"/>
  <c r="AI246" i="2"/>
  <c r="G246" i="1"/>
  <c r="AH246" i="2"/>
  <c r="F246" i="1"/>
  <c r="AG246" i="2"/>
  <c r="E246" i="1"/>
  <c r="AF246" i="2"/>
  <c r="D246" i="1"/>
  <c r="AE246" i="2"/>
  <c r="AD246" i="2"/>
  <c r="AC246" i="2"/>
  <c r="Z246" i="2"/>
  <c r="Y246" i="2"/>
  <c r="R245" i="1"/>
  <c r="AS245" i="2"/>
  <c r="AR245" i="2"/>
  <c r="P245" i="1"/>
  <c r="AQ245" i="2"/>
  <c r="O245" i="1"/>
  <c r="AP245" i="2"/>
  <c r="N245" i="1"/>
  <c r="AO245" i="2"/>
  <c r="M245" i="1"/>
  <c r="AN245" i="2"/>
  <c r="L245" i="1"/>
  <c r="AM245" i="2"/>
  <c r="K245" i="1"/>
  <c r="AL245" i="2"/>
  <c r="AK245" i="2"/>
  <c r="AJ245" i="2"/>
  <c r="H245" i="1"/>
  <c r="AI245" i="2"/>
  <c r="G245" i="1"/>
  <c r="AH245" i="2"/>
  <c r="F245" i="1"/>
  <c r="AG245" i="2"/>
  <c r="E245" i="1"/>
  <c r="AF245" i="2"/>
  <c r="D245" i="1"/>
  <c r="AE245" i="2"/>
  <c r="AD245" i="2"/>
  <c r="AC245" i="2"/>
  <c r="Z245" i="2"/>
  <c r="Y245" i="2"/>
  <c r="R244" i="1"/>
  <c r="AS244" i="2"/>
  <c r="AR244" i="2"/>
  <c r="P244" i="1"/>
  <c r="AQ244" i="2"/>
  <c r="O244" i="1"/>
  <c r="AP244" i="2"/>
  <c r="N244" i="1"/>
  <c r="AO244" i="2"/>
  <c r="M244" i="1"/>
  <c r="AN244" i="2"/>
  <c r="L244" i="1"/>
  <c r="AM244" i="2"/>
  <c r="K244" i="1"/>
  <c r="AL244" i="2"/>
  <c r="AK244" i="2"/>
  <c r="AJ244" i="2"/>
  <c r="H244" i="1"/>
  <c r="AI244" i="2"/>
  <c r="G244" i="1"/>
  <c r="AH244" i="2"/>
  <c r="F244" i="1"/>
  <c r="AG244" i="2"/>
  <c r="E244" i="1"/>
  <c r="AF244" i="2"/>
  <c r="D244" i="1"/>
  <c r="AE244" i="2"/>
  <c r="AD244" i="2"/>
  <c r="AC244" i="2"/>
  <c r="Z244" i="2"/>
  <c r="Y244" i="2"/>
  <c r="R243" i="1"/>
  <c r="AS243" i="2"/>
  <c r="AR243" i="2"/>
  <c r="P243" i="1"/>
  <c r="AQ243" i="2"/>
  <c r="O243" i="1"/>
  <c r="AP243" i="2"/>
  <c r="N243" i="1"/>
  <c r="AO243" i="2"/>
  <c r="M243" i="1"/>
  <c r="AN243" i="2"/>
  <c r="L243" i="1"/>
  <c r="AM243" i="2"/>
  <c r="K243" i="1"/>
  <c r="AL243" i="2"/>
  <c r="AK243" i="2"/>
  <c r="AJ243" i="2"/>
  <c r="H243" i="1"/>
  <c r="AI243" i="2"/>
  <c r="G243" i="1"/>
  <c r="AH243" i="2"/>
  <c r="F243" i="1"/>
  <c r="AG243" i="2"/>
  <c r="E243" i="1"/>
  <c r="AF243" i="2"/>
  <c r="D243" i="1"/>
  <c r="AE243" i="2"/>
  <c r="AD243" i="2"/>
  <c r="AC243" i="2"/>
  <c r="Z243" i="2"/>
  <c r="Y243" i="2"/>
  <c r="R242" i="1"/>
  <c r="AS242" i="2"/>
  <c r="AR242" i="2"/>
  <c r="P242" i="1"/>
  <c r="AQ242" i="2"/>
  <c r="O242" i="1"/>
  <c r="AP242" i="2"/>
  <c r="N242" i="1"/>
  <c r="AO242" i="2"/>
  <c r="M242" i="1"/>
  <c r="AN242" i="2"/>
  <c r="L242" i="1"/>
  <c r="AM242" i="2"/>
  <c r="K242" i="1"/>
  <c r="AL242" i="2"/>
  <c r="AK242" i="2"/>
  <c r="AJ242" i="2"/>
  <c r="H242" i="1"/>
  <c r="AI242" i="2"/>
  <c r="G242" i="1"/>
  <c r="AH242" i="2"/>
  <c r="F242" i="1"/>
  <c r="AG242" i="2"/>
  <c r="E242" i="1"/>
  <c r="AF242" i="2"/>
  <c r="D242" i="1"/>
  <c r="AE242" i="2"/>
  <c r="AD242" i="2"/>
  <c r="AC242" i="2"/>
  <c r="Z242" i="2"/>
  <c r="Y242" i="2"/>
  <c r="R241" i="1"/>
  <c r="AS241" i="2"/>
  <c r="AR241" i="2"/>
  <c r="P241" i="1"/>
  <c r="AQ241" i="2"/>
  <c r="O241" i="1"/>
  <c r="AP241" i="2"/>
  <c r="N241" i="1"/>
  <c r="AO241" i="2"/>
  <c r="M241" i="1"/>
  <c r="AN241" i="2"/>
  <c r="L241" i="1"/>
  <c r="AM241" i="2"/>
  <c r="K241" i="1"/>
  <c r="AL241" i="2"/>
  <c r="AK241" i="2"/>
  <c r="AJ241" i="2"/>
  <c r="H241" i="1"/>
  <c r="AI241" i="2"/>
  <c r="G241" i="1"/>
  <c r="AH241" i="2"/>
  <c r="F241" i="1"/>
  <c r="AG241" i="2"/>
  <c r="E241" i="1"/>
  <c r="AF241" i="2"/>
  <c r="D241" i="1"/>
  <c r="AE241" i="2"/>
  <c r="AD241" i="2"/>
  <c r="AC241" i="2"/>
  <c r="Z241" i="2"/>
  <c r="Y241" i="2"/>
  <c r="R240" i="1"/>
  <c r="AS240" i="2"/>
  <c r="AR240" i="2"/>
  <c r="P240" i="1"/>
  <c r="AQ240" i="2"/>
  <c r="O240" i="1"/>
  <c r="AP240" i="2"/>
  <c r="N240" i="1"/>
  <c r="AO240" i="2"/>
  <c r="M240" i="1"/>
  <c r="AN240" i="2"/>
  <c r="L240" i="1"/>
  <c r="AM240" i="2"/>
  <c r="K240" i="1"/>
  <c r="AL240" i="2"/>
  <c r="AK240" i="2"/>
  <c r="AJ240" i="2"/>
  <c r="H240" i="1"/>
  <c r="AI240" i="2"/>
  <c r="G240" i="1"/>
  <c r="AH240" i="2"/>
  <c r="F240" i="1"/>
  <c r="AG240" i="2"/>
  <c r="E240" i="1"/>
  <c r="AF240" i="2"/>
  <c r="D240" i="1"/>
  <c r="AE240" i="2"/>
  <c r="AD240" i="2"/>
  <c r="AC240" i="2"/>
  <c r="Z240" i="2"/>
  <c r="Y240" i="2"/>
  <c r="R239" i="1"/>
  <c r="AS239" i="2"/>
  <c r="AR239" i="2"/>
  <c r="P239" i="1"/>
  <c r="AQ239" i="2"/>
  <c r="O239" i="1"/>
  <c r="AP239" i="2"/>
  <c r="N239" i="1"/>
  <c r="AO239" i="2"/>
  <c r="M239" i="1"/>
  <c r="AN239" i="2"/>
  <c r="L239" i="1"/>
  <c r="AM239" i="2"/>
  <c r="K239" i="1"/>
  <c r="AL239" i="2"/>
  <c r="AK239" i="2"/>
  <c r="AJ239" i="2"/>
  <c r="H239" i="1"/>
  <c r="AI239" i="2"/>
  <c r="G239" i="1"/>
  <c r="AH239" i="2"/>
  <c r="F239" i="1"/>
  <c r="AG239" i="2"/>
  <c r="E239" i="1"/>
  <c r="AF239" i="2"/>
  <c r="D239" i="1"/>
  <c r="AE239" i="2"/>
  <c r="AD239" i="2"/>
  <c r="AC239" i="2"/>
  <c r="Z239" i="2"/>
  <c r="Y239" i="2"/>
  <c r="R238" i="1"/>
  <c r="AS238" i="2"/>
  <c r="AR238" i="2"/>
  <c r="P238" i="1"/>
  <c r="AQ238" i="2"/>
  <c r="O238" i="1"/>
  <c r="AP238" i="2"/>
  <c r="N238" i="1"/>
  <c r="AO238" i="2"/>
  <c r="M238" i="1"/>
  <c r="AN238" i="2"/>
  <c r="L238" i="1"/>
  <c r="AM238" i="2"/>
  <c r="K238" i="1"/>
  <c r="AL238" i="2"/>
  <c r="AK238" i="2"/>
  <c r="AJ238" i="2"/>
  <c r="H238" i="1"/>
  <c r="AI238" i="2"/>
  <c r="G238" i="1"/>
  <c r="AH238" i="2"/>
  <c r="F238" i="1"/>
  <c r="AG238" i="2"/>
  <c r="E238" i="1"/>
  <c r="AF238" i="2"/>
  <c r="D238" i="1"/>
  <c r="AE238" i="2"/>
  <c r="AD238" i="2"/>
  <c r="AC238" i="2"/>
  <c r="Z238" i="2"/>
  <c r="Y238" i="2"/>
  <c r="R237" i="1"/>
  <c r="AS237" i="2"/>
  <c r="AR237" i="2"/>
  <c r="P237" i="1"/>
  <c r="AQ237" i="2"/>
  <c r="O237" i="1"/>
  <c r="AP237" i="2"/>
  <c r="N237" i="1"/>
  <c r="AO237" i="2"/>
  <c r="M237" i="1"/>
  <c r="AN237" i="2"/>
  <c r="L237" i="1"/>
  <c r="AM237" i="2"/>
  <c r="K237" i="1"/>
  <c r="AL237" i="2"/>
  <c r="AK237" i="2"/>
  <c r="AJ237" i="2"/>
  <c r="H237" i="1"/>
  <c r="AI237" i="2"/>
  <c r="G237" i="1"/>
  <c r="AH237" i="2"/>
  <c r="F237" i="1"/>
  <c r="AG237" i="2"/>
  <c r="E237" i="1"/>
  <c r="AF237" i="2"/>
  <c r="D237" i="1"/>
  <c r="AE237" i="2"/>
  <c r="AD237" i="2"/>
  <c r="AC237" i="2"/>
  <c r="Z237" i="2"/>
  <c r="Y237" i="2"/>
  <c r="R236" i="1"/>
  <c r="AS236" i="2"/>
  <c r="AR236" i="2"/>
  <c r="P236" i="1"/>
  <c r="AQ236" i="2"/>
  <c r="O236" i="1"/>
  <c r="AP236" i="2"/>
  <c r="N236" i="1"/>
  <c r="AO236" i="2"/>
  <c r="M236" i="1"/>
  <c r="AN236" i="2"/>
  <c r="L236" i="1"/>
  <c r="AM236" i="2"/>
  <c r="K236" i="1"/>
  <c r="AL236" i="2"/>
  <c r="AK236" i="2"/>
  <c r="AJ236" i="2"/>
  <c r="H236" i="1"/>
  <c r="AI236" i="2"/>
  <c r="G236" i="1"/>
  <c r="AH236" i="2"/>
  <c r="F236" i="1"/>
  <c r="AG236" i="2"/>
  <c r="E236" i="1"/>
  <c r="AF236" i="2"/>
  <c r="D236" i="1"/>
  <c r="AE236" i="2"/>
  <c r="AD236" i="2"/>
  <c r="AC236" i="2"/>
  <c r="Z236" i="2"/>
  <c r="Y236" i="2"/>
  <c r="R235" i="1"/>
  <c r="AS235" i="2"/>
  <c r="AR235" i="2"/>
  <c r="P235" i="1"/>
  <c r="AQ235" i="2"/>
  <c r="O235" i="1"/>
  <c r="AP235" i="2"/>
  <c r="N235" i="1"/>
  <c r="AO235" i="2"/>
  <c r="M235" i="1"/>
  <c r="AN235" i="2"/>
  <c r="L235" i="1"/>
  <c r="AM235" i="2"/>
  <c r="K235" i="1"/>
  <c r="AL235" i="2"/>
  <c r="AK235" i="2"/>
  <c r="AJ235" i="2"/>
  <c r="H235" i="1"/>
  <c r="AI235" i="2"/>
  <c r="G235" i="1"/>
  <c r="AH235" i="2"/>
  <c r="F235" i="1"/>
  <c r="AG235" i="2"/>
  <c r="E235" i="1"/>
  <c r="AF235" i="2"/>
  <c r="D235" i="1"/>
  <c r="AE235" i="2"/>
  <c r="AD235" i="2"/>
  <c r="AC235" i="2"/>
  <c r="Z235" i="2"/>
  <c r="Y235" i="2"/>
  <c r="R234" i="1"/>
  <c r="AS234" i="2"/>
  <c r="AR234" i="2"/>
  <c r="P234" i="1"/>
  <c r="AQ234" i="2"/>
  <c r="O234" i="1"/>
  <c r="AP234" i="2"/>
  <c r="N234" i="1"/>
  <c r="AO234" i="2"/>
  <c r="M234" i="1"/>
  <c r="AN234" i="2"/>
  <c r="L234" i="1"/>
  <c r="AM234" i="2"/>
  <c r="K234" i="1"/>
  <c r="AL234" i="2"/>
  <c r="AK234" i="2"/>
  <c r="AJ234" i="2"/>
  <c r="H234" i="1"/>
  <c r="AI234" i="2"/>
  <c r="G234" i="1"/>
  <c r="AH234" i="2"/>
  <c r="F234" i="1"/>
  <c r="AG234" i="2"/>
  <c r="E234" i="1"/>
  <c r="AF234" i="2"/>
  <c r="D234" i="1"/>
  <c r="AE234" i="2"/>
  <c r="AD234" i="2"/>
  <c r="AC234" i="2"/>
  <c r="Z234" i="2"/>
  <c r="Y234" i="2"/>
  <c r="R233" i="1"/>
  <c r="AS233" i="2"/>
  <c r="AR233" i="2"/>
  <c r="P233" i="1"/>
  <c r="AQ233" i="2"/>
  <c r="O233" i="1"/>
  <c r="AP233" i="2"/>
  <c r="N233" i="1"/>
  <c r="AO233" i="2"/>
  <c r="M233" i="1"/>
  <c r="AN233" i="2"/>
  <c r="L233" i="1"/>
  <c r="AM233" i="2"/>
  <c r="K233" i="1"/>
  <c r="AL233" i="2"/>
  <c r="AK233" i="2"/>
  <c r="AJ233" i="2"/>
  <c r="H233" i="1"/>
  <c r="AI233" i="2"/>
  <c r="G233" i="1"/>
  <c r="AH233" i="2"/>
  <c r="F233" i="1"/>
  <c r="AG233" i="2"/>
  <c r="E233" i="1"/>
  <c r="AF233" i="2"/>
  <c r="D233" i="1"/>
  <c r="AE233" i="2"/>
  <c r="AD233" i="2"/>
  <c r="AC233" i="2"/>
  <c r="Z233" i="2"/>
  <c r="Y233" i="2"/>
  <c r="R232" i="1"/>
  <c r="AS232" i="2"/>
  <c r="AR232" i="2"/>
  <c r="P232" i="1"/>
  <c r="AQ232" i="2"/>
  <c r="O232" i="1"/>
  <c r="AP232" i="2"/>
  <c r="N232" i="1"/>
  <c r="AO232" i="2"/>
  <c r="M232" i="1"/>
  <c r="AN232" i="2"/>
  <c r="L232" i="1"/>
  <c r="AM232" i="2"/>
  <c r="K232" i="1"/>
  <c r="AL232" i="2"/>
  <c r="AK232" i="2"/>
  <c r="AJ232" i="2"/>
  <c r="H232" i="1"/>
  <c r="AI232" i="2"/>
  <c r="G232" i="1"/>
  <c r="AH232" i="2"/>
  <c r="F232" i="1"/>
  <c r="AG232" i="2"/>
  <c r="E232" i="1"/>
  <c r="AF232" i="2"/>
  <c r="D232" i="1"/>
  <c r="AE232" i="2"/>
  <c r="AD232" i="2"/>
  <c r="AC232" i="2"/>
  <c r="Z232" i="2"/>
  <c r="Y232" i="2"/>
  <c r="R231" i="1"/>
  <c r="AS231" i="2"/>
  <c r="AR231" i="2"/>
  <c r="P231" i="1"/>
  <c r="AQ231" i="2"/>
  <c r="O231" i="1"/>
  <c r="AP231" i="2"/>
  <c r="N231" i="1"/>
  <c r="AO231" i="2"/>
  <c r="M231" i="1"/>
  <c r="AN231" i="2"/>
  <c r="L231" i="1"/>
  <c r="AM231" i="2"/>
  <c r="K231" i="1"/>
  <c r="AL231" i="2"/>
  <c r="AK231" i="2"/>
  <c r="AJ231" i="2"/>
  <c r="H231" i="1"/>
  <c r="AI231" i="2"/>
  <c r="G231" i="1"/>
  <c r="AH231" i="2"/>
  <c r="F231" i="1"/>
  <c r="AG231" i="2"/>
  <c r="E231" i="1"/>
  <c r="AF231" i="2"/>
  <c r="D231" i="1"/>
  <c r="AE231" i="2"/>
  <c r="AD231" i="2"/>
  <c r="AC231" i="2"/>
  <c r="Z231" i="2"/>
  <c r="Y231" i="2"/>
  <c r="R230" i="1"/>
  <c r="AS230" i="2"/>
  <c r="AR230" i="2"/>
  <c r="P230" i="1"/>
  <c r="AQ230" i="2"/>
  <c r="O230" i="1"/>
  <c r="AP230" i="2"/>
  <c r="N230" i="1"/>
  <c r="AO230" i="2"/>
  <c r="M230" i="1"/>
  <c r="AN230" i="2"/>
  <c r="L230" i="1"/>
  <c r="AM230" i="2"/>
  <c r="K230" i="1"/>
  <c r="AL230" i="2"/>
  <c r="AK230" i="2"/>
  <c r="AJ230" i="2"/>
  <c r="H230" i="1"/>
  <c r="AI230" i="2"/>
  <c r="G230" i="1"/>
  <c r="AH230" i="2"/>
  <c r="F230" i="1"/>
  <c r="AG230" i="2"/>
  <c r="E230" i="1"/>
  <c r="AF230" i="2"/>
  <c r="D230" i="1"/>
  <c r="AE230" i="2"/>
  <c r="AD230" i="2"/>
  <c r="AC230" i="2"/>
  <c r="Z230" i="2"/>
  <c r="Y230" i="2"/>
  <c r="R229" i="1"/>
  <c r="AS229" i="2"/>
  <c r="AR229" i="2"/>
  <c r="P229" i="1"/>
  <c r="AQ229" i="2"/>
  <c r="O229" i="1"/>
  <c r="AP229" i="2"/>
  <c r="N229" i="1"/>
  <c r="AO229" i="2"/>
  <c r="M229" i="1"/>
  <c r="AN229" i="2"/>
  <c r="L229" i="1"/>
  <c r="AM229" i="2"/>
  <c r="K229" i="1"/>
  <c r="AL229" i="2"/>
  <c r="AK229" i="2"/>
  <c r="AJ229" i="2"/>
  <c r="H229" i="1"/>
  <c r="AI229" i="2"/>
  <c r="G229" i="1"/>
  <c r="AH229" i="2"/>
  <c r="F229" i="1"/>
  <c r="AG229" i="2"/>
  <c r="E229" i="1"/>
  <c r="AF229" i="2"/>
  <c r="D229" i="1"/>
  <c r="AE229" i="2"/>
  <c r="AD229" i="2"/>
  <c r="AC229" i="2"/>
  <c r="Z229" i="2"/>
  <c r="Y229" i="2"/>
  <c r="R228" i="1"/>
  <c r="AS228" i="2"/>
  <c r="AR228" i="2"/>
  <c r="P228" i="1"/>
  <c r="AQ228" i="2"/>
  <c r="O228" i="1"/>
  <c r="AP228" i="2"/>
  <c r="N228" i="1"/>
  <c r="AO228" i="2"/>
  <c r="M228" i="1"/>
  <c r="AN228" i="2"/>
  <c r="L228" i="1"/>
  <c r="AM228" i="2"/>
  <c r="K228" i="1"/>
  <c r="AL228" i="2"/>
  <c r="AK228" i="2"/>
  <c r="AJ228" i="2"/>
  <c r="H228" i="1"/>
  <c r="AI228" i="2"/>
  <c r="G228" i="1"/>
  <c r="AH228" i="2"/>
  <c r="F228" i="1"/>
  <c r="AG228" i="2"/>
  <c r="E228" i="1"/>
  <c r="AF228" i="2"/>
  <c r="D228" i="1"/>
  <c r="AE228" i="2"/>
  <c r="AD228" i="2"/>
  <c r="AC228" i="2"/>
  <c r="Z228" i="2"/>
  <c r="Y228" i="2"/>
  <c r="R227" i="1"/>
  <c r="AS227" i="2"/>
  <c r="AR227" i="2"/>
  <c r="P227" i="1"/>
  <c r="AQ227" i="2"/>
  <c r="O227" i="1"/>
  <c r="AP227" i="2"/>
  <c r="N227" i="1"/>
  <c r="AO227" i="2"/>
  <c r="M227" i="1"/>
  <c r="AN227" i="2"/>
  <c r="L227" i="1"/>
  <c r="AM227" i="2"/>
  <c r="K227" i="1"/>
  <c r="AL227" i="2"/>
  <c r="AK227" i="2"/>
  <c r="AJ227" i="2"/>
  <c r="H227" i="1"/>
  <c r="AI227" i="2"/>
  <c r="G227" i="1"/>
  <c r="AH227" i="2"/>
  <c r="F227" i="1"/>
  <c r="AG227" i="2"/>
  <c r="E227" i="1"/>
  <c r="AF227" i="2"/>
  <c r="D227" i="1"/>
  <c r="AE227" i="2"/>
  <c r="AD227" i="2"/>
  <c r="AC227" i="2"/>
  <c r="Z227" i="2"/>
  <c r="Y227" i="2"/>
  <c r="R226" i="1"/>
  <c r="AS226" i="2"/>
  <c r="AR226" i="2"/>
  <c r="P226" i="1"/>
  <c r="AQ226" i="2"/>
  <c r="O226" i="1"/>
  <c r="AP226" i="2"/>
  <c r="N226" i="1"/>
  <c r="AO226" i="2"/>
  <c r="M226" i="1"/>
  <c r="AN226" i="2"/>
  <c r="L226" i="1"/>
  <c r="AM226" i="2"/>
  <c r="K226" i="1"/>
  <c r="AL226" i="2"/>
  <c r="AK226" i="2"/>
  <c r="AJ226" i="2"/>
  <c r="H226" i="1"/>
  <c r="AI226" i="2"/>
  <c r="G226" i="1"/>
  <c r="AH226" i="2"/>
  <c r="F226" i="1"/>
  <c r="AG226" i="2"/>
  <c r="E226" i="1"/>
  <c r="AF226" i="2"/>
  <c r="D226" i="1"/>
  <c r="AE226" i="2"/>
  <c r="AD226" i="2"/>
  <c r="AC226" i="2"/>
  <c r="Z226" i="2"/>
  <c r="Y226" i="2"/>
  <c r="R225" i="1"/>
  <c r="AS225" i="2"/>
  <c r="AR225" i="2"/>
  <c r="P225" i="1"/>
  <c r="AQ225" i="2"/>
  <c r="O225" i="1"/>
  <c r="AP225" i="2"/>
  <c r="N225" i="1"/>
  <c r="AO225" i="2"/>
  <c r="M225" i="1"/>
  <c r="AN225" i="2"/>
  <c r="L225" i="1"/>
  <c r="AM225" i="2"/>
  <c r="K225" i="1"/>
  <c r="AL225" i="2"/>
  <c r="AK225" i="2"/>
  <c r="AJ225" i="2"/>
  <c r="H225" i="1"/>
  <c r="AI225" i="2"/>
  <c r="G225" i="1"/>
  <c r="AH225" i="2"/>
  <c r="F225" i="1"/>
  <c r="AG225" i="2"/>
  <c r="E225" i="1"/>
  <c r="AF225" i="2"/>
  <c r="D225" i="1"/>
  <c r="AE225" i="2"/>
  <c r="AD225" i="2"/>
  <c r="AC225" i="2"/>
  <c r="Z225" i="2"/>
  <c r="Y225" i="2"/>
  <c r="R224" i="1"/>
  <c r="AS224" i="2"/>
  <c r="AR224" i="2"/>
  <c r="P224" i="1"/>
  <c r="AQ224" i="2"/>
  <c r="O224" i="1"/>
  <c r="AP224" i="2"/>
  <c r="N224" i="1"/>
  <c r="AO224" i="2"/>
  <c r="M224" i="1"/>
  <c r="AN224" i="2"/>
  <c r="L224" i="1"/>
  <c r="AM224" i="2"/>
  <c r="K224" i="1"/>
  <c r="AL224" i="2"/>
  <c r="AK224" i="2"/>
  <c r="AJ224" i="2"/>
  <c r="H224" i="1"/>
  <c r="AI224" i="2"/>
  <c r="G224" i="1"/>
  <c r="AH224" i="2"/>
  <c r="F224" i="1"/>
  <c r="AG224" i="2"/>
  <c r="E224" i="1"/>
  <c r="AF224" i="2"/>
  <c r="D224" i="1"/>
  <c r="AE224" i="2"/>
  <c r="AD224" i="2"/>
  <c r="AC224" i="2"/>
  <c r="Z224" i="2"/>
  <c r="Y224" i="2"/>
  <c r="R223" i="1"/>
  <c r="AS223" i="2"/>
  <c r="AR223" i="2"/>
  <c r="P223" i="1"/>
  <c r="AQ223" i="2"/>
  <c r="O223" i="1"/>
  <c r="AP223" i="2"/>
  <c r="N223" i="1"/>
  <c r="AO223" i="2"/>
  <c r="M223" i="1"/>
  <c r="AN223" i="2"/>
  <c r="L223" i="1"/>
  <c r="AM223" i="2"/>
  <c r="K223" i="1"/>
  <c r="AL223" i="2"/>
  <c r="AK223" i="2"/>
  <c r="AJ223" i="2"/>
  <c r="H223" i="1"/>
  <c r="AI223" i="2"/>
  <c r="G223" i="1"/>
  <c r="AH223" i="2"/>
  <c r="F223" i="1"/>
  <c r="AG223" i="2"/>
  <c r="E223" i="1"/>
  <c r="AF223" i="2"/>
  <c r="D223" i="1"/>
  <c r="AE223" i="2"/>
  <c r="AD223" i="2"/>
  <c r="AC223" i="2"/>
  <c r="Z223" i="2"/>
  <c r="Y223" i="2"/>
  <c r="R222" i="1"/>
  <c r="AS222" i="2"/>
  <c r="AR222" i="2"/>
  <c r="P222" i="1"/>
  <c r="AQ222" i="2"/>
  <c r="O222" i="1"/>
  <c r="AP222" i="2"/>
  <c r="N222" i="1"/>
  <c r="AO222" i="2"/>
  <c r="M222" i="1"/>
  <c r="AN222" i="2"/>
  <c r="L222" i="1"/>
  <c r="AM222" i="2"/>
  <c r="K222" i="1"/>
  <c r="AL222" i="2"/>
  <c r="AK222" i="2"/>
  <c r="AJ222" i="2"/>
  <c r="H222" i="1"/>
  <c r="AI222" i="2"/>
  <c r="G222" i="1"/>
  <c r="AH222" i="2"/>
  <c r="F222" i="1"/>
  <c r="AG222" i="2"/>
  <c r="E222" i="1"/>
  <c r="AF222" i="2"/>
  <c r="D222" i="1"/>
  <c r="AE222" i="2"/>
  <c r="AD222" i="2"/>
  <c r="AC222" i="2"/>
  <c r="Z222" i="2"/>
  <c r="Y222" i="2"/>
  <c r="R221" i="1"/>
  <c r="AS221" i="2"/>
  <c r="AR221" i="2"/>
  <c r="P221" i="1"/>
  <c r="AQ221" i="2"/>
  <c r="O221" i="1"/>
  <c r="AP221" i="2"/>
  <c r="N221" i="1"/>
  <c r="AO221" i="2"/>
  <c r="M221" i="1"/>
  <c r="AN221" i="2"/>
  <c r="L221" i="1"/>
  <c r="AM221" i="2"/>
  <c r="K221" i="1"/>
  <c r="AL221" i="2"/>
  <c r="AK221" i="2"/>
  <c r="AJ221" i="2"/>
  <c r="H221" i="1"/>
  <c r="AI221" i="2"/>
  <c r="G221" i="1"/>
  <c r="AH221" i="2"/>
  <c r="F221" i="1"/>
  <c r="AG221" i="2"/>
  <c r="E221" i="1"/>
  <c r="AF221" i="2"/>
  <c r="D221" i="1"/>
  <c r="AE221" i="2"/>
  <c r="AD221" i="2"/>
  <c r="AC221" i="2"/>
  <c r="Z221" i="2"/>
  <c r="Y221" i="2"/>
  <c r="R220" i="1"/>
  <c r="AS220" i="2"/>
  <c r="AR220" i="2"/>
  <c r="P220" i="1"/>
  <c r="AQ220" i="2"/>
  <c r="O220" i="1"/>
  <c r="AP220" i="2"/>
  <c r="N220" i="1"/>
  <c r="AO220" i="2"/>
  <c r="M220" i="1"/>
  <c r="AN220" i="2"/>
  <c r="L220" i="1"/>
  <c r="AM220" i="2"/>
  <c r="K220" i="1"/>
  <c r="AL220" i="2"/>
  <c r="AK220" i="2"/>
  <c r="AJ220" i="2"/>
  <c r="H220" i="1"/>
  <c r="AI220" i="2"/>
  <c r="G220" i="1"/>
  <c r="AH220" i="2"/>
  <c r="F220" i="1"/>
  <c r="AG220" i="2"/>
  <c r="E220" i="1"/>
  <c r="AF220" i="2"/>
  <c r="D220" i="1"/>
  <c r="AE220" i="2"/>
  <c r="AD220" i="2"/>
  <c r="AC220" i="2"/>
  <c r="Z220" i="2"/>
  <c r="Y220" i="2"/>
  <c r="R219" i="1"/>
  <c r="AS219" i="2"/>
  <c r="AR219" i="2"/>
  <c r="P219" i="1"/>
  <c r="AQ219" i="2"/>
  <c r="O219" i="1"/>
  <c r="AP219" i="2"/>
  <c r="N219" i="1"/>
  <c r="AO219" i="2"/>
  <c r="M219" i="1"/>
  <c r="AN219" i="2"/>
  <c r="L219" i="1"/>
  <c r="AM219" i="2"/>
  <c r="K219" i="1"/>
  <c r="AL219" i="2"/>
  <c r="AK219" i="2"/>
  <c r="AJ219" i="2"/>
  <c r="H219" i="1"/>
  <c r="AI219" i="2"/>
  <c r="G219" i="1"/>
  <c r="AH219" i="2"/>
  <c r="F219" i="1"/>
  <c r="AG219" i="2"/>
  <c r="E219" i="1"/>
  <c r="AF219" i="2"/>
  <c r="D219" i="1"/>
  <c r="AE219" i="2"/>
  <c r="AD219" i="2"/>
  <c r="AC219" i="2"/>
  <c r="Z219" i="2"/>
  <c r="Y219" i="2"/>
  <c r="R218" i="1"/>
  <c r="AS218" i="2"/>
  <c r="AR218" i="2"/>
  <c r="P218" i="1"/>
  <c r="AQ218" i="2"/>
  <c r="O218" i="1"/>
  <c r="AP218" i="2"/>
  <c r="N218" i="1"/>
  <c r="AO218" i="2"/>
  <c r="M218" i="1"/>
  <c r="AN218" i="2"/>
  <c r="L218" i="1"/>
  <c r="AM218" i="2"/>
  <c r="K218" i="1"/>
  <c r="AL218" i="2"/>
  <c r="AK218" i="2"/>
  <c r="AJ218" i="2"/>
  <c r="H218" i="1"/>
  <c r="AI218" i="2"/>
  <c r="G218" i="1"/>
  <c r="AH218" i="2"/>
  <c r="F218" i="1"/>
  <c r="AG218" i="2"/>
  <c r="E218" i="1"/>
  <c r="AF218" i="2"/>
  <c r="D218" i="1"/>
  <c r="AE218" i="2"/>
  <c r="AD218" i="2"/>
  <c r="AC218" i="2"/>
  <c r="Z218" i="2"/>
  <c r="Y218" i="2"/>
  <c r="R217" i="1"/>
  <c r="AS217" i="2"/>
  <c r="AR217" i="2"/>
  <c r="P217" i="1"/>
  <c r="AQ217" i="2"/>
  <c r="O217" i="1"/>
  <c r="AP217" i="2"/>
  <c r="N217" i="1"/>
  <c r="AO217" i="2"/>
  <c r="M217" i="1"/>
  <c r="AN217" i="2"/>
  <c r="L217" i="1"/>
  <c r="AM217" i="2"/>
  <c r="K217" i="1"/>
  <c r="AL217" i="2"/>
  <c r="AK217" i="2"/>
  <c r="AJ217" i="2"/>
  <c r="H217" i="1"/>
  <c r="AI217" i="2"/>
  <c r="G217" i="1"/>
  <c r="AH217" i="2"/>
  <c r="F217" i="1"/>
  <c r="AG217" i="2"/>
  <c r="E217" i="1"/>
  <c r="AF217" i="2"/>
  <c r="D217" i="1"/>
  <c r="AE217" i="2"/>
  <c r="AD217" i="2"/>
  <c r="AC217" i="2"/>
  <c r="Z217" i="2"/>
  <c r="Y217" i="2"/>
  <c r="R216" i="1"/>
  <c r="AS216" i="2"/>
  <c r="AR216" i="2"/>
  <c r="P216" i="1"/>
  <c r="AQ216" i="2"/>
  <c r="O216" i="1"/>
  <c r="AP216" i="2"/>
  <c r="N216" i="1"/>
  <c r="AO216" i="2"/>
  <c r="M216" i="1"/>
  <c r="AN216" i="2"/>
  <c r="L216" i="1"/>
  <c r="AM216" i="2"/>
  <c r="K216" i="1"/>
  <c r="AL216" i="2"/>
  <c r="AK216" i="2"/>
  <c r="AJ216" i="2"/>
  <c r="H216" i="1"/>
  <c r="AI216" i="2"/>
  <c r="G216" i="1"/>
  <c r="AH216" i="2"/>
  <c r="F216" i="1"/>
  <c r="AG216" i="2"/>
  <c r="E216" i="1"/>
  <c r="AF216" i="2"/>
  <c r="D216" i="1"/>
  <c r="AE216" i="2"/>
  <c r="AD216" i="2"/>
  <c r="AC216" i="2"/>
  <c r="Z216" i="2"/>
  <c r="Y216" i="2"/>
  <c r="R215" i="1"/>
  <c r="AS215" i="2"/>
  <c r="AR215" i="2"/>
  <c r="P215" i="1"/>
  <c r="AQ215" i="2"/>
  <c r="O215" i="1"/>
  <c r="AP215" i="2"/>
  <c r="N215" i="1"/>
  <c r="AO215" i="2"/>
  <c r="M215" i="1"/>
  <c r="AN215" i="2"/>
  <c r="L215" i="1"/>
  <c r="AM215" i="2"/>
  <c r="K215" i="1"/>
  <c r="AL215" i="2"/>
  <c r="AK215" i="2"/>
  <c r="AJ215" i="2"/>
  <c r="H215" i="1"/>
  <c r="AI215" i="2"/>
  <c r="G215" i="1"/>
  <c r="AH215" i="2"/>
  <c r="F215" i="1"/>
  <c r="AG215" i="2"/>
  <c r="E215" i="1"/>
  <c r="AF215" i="2"/>
  <c r="D215" i="1"/>
  <c r="AE215" i="2"/>
  <c r="AD215" i="2"/>
  <c r="AC215" i="2"/>
  <c r="Z215" i="2"/>
  <c r="Y215" i="2"/>
  <c r="R214" i="1"/>
  <c r="AS214" i="2"/>
  <c r="AR214" i="2"/>
  <c r="P214" i="1"/>
  <c r="AQ214" i="2"/>
  <c r="O214" i="1"/>
  <c r="AP214" i="2"/>
  <c r="N214" i="1"/>
  <c r="AO214" i="2"/>
  <c r="M214" i="1"/>
  <c r="AN214" i="2"/>
  <c r="L214" i="1"/>
  <c r="AM214" i="2"/>
  <c r="K214" i="1"/>
  <c r="AL214" i="2"/>
  <c r="AK214" i="2"/>
  <c r="AJ214" i="2"/>
  <c r="H214" i="1"/>
  <c r="AI214" i="2"/>
  <c r="G214" i="1"/>
  <c r="AH214" i="2"/>
  <c r="F214" i="1"/>
  <c r="AG214" i="2"/>
  <c r="E214" i="1"/>
  <c r="AF214" i="2"/>
  <c r="D214" i="1"/>
  <c r="AE214" i="2"/>
  <c r="AD214" i="2"/>
  <c r="AC214" i="2"/>
  <c r="Z214" i="2"/>
  <c r="Y214" i="2"/>
  <c r="R213" i="1"/>
  <c r="AS213" i="2"/>
  <c r="AR213" i="2"/>
  <c r="P213" i="1"/>
  <c r="AQ213" i="2"/>
  <c r="O213" i="1"/>
  <c r="AP213" i="2"/>
  <c r="N213" i="1"/>
  <c r="AO213" i="2"/>
  <c r="M213" i="1"/>
  <c r="AN213" i="2"/>
  <c r="L213" i="1"/>
  <c r="AM213" i="2"/>
  <c r="K213" i="1"/>
  <c r="AL213" i="2"/>
  <c r="AK213" i="2"/>
  <c r="AJ213" i="2"/>
  <c r="H213" i="1"/>
  <c r="AI213" i="2"/>
  <c r="G213" i="1"/>
  <c r="AH213" i="2"/>
  <c r="F213" i="1"/>
  <c r="AG213" i="2"/>
  <c r="E213" i="1"/>
  <c r="AF213" i="2"/>
  <c r="D213" i="1"/>
  <c r="AE213" i="2"/>
  <c r="AD213" i="2"/>
  <c r="AC213" i="2"/>
  <c r="Z213" i="2"/>
  <c r="Y213" i="2"/>
  <c r="R212" i="1"/>
  <c r="AS212" i="2"/>
  <c r="AR212" i="2"/>
  <c r="P212" i="1"/>
  <c r="AQ212" i="2"/>
  <c r="O212" i="1"/>
  <c r="AP212" i="2"/>
  <c r="N212" i="1"/>
  <c r="AO212" i="2"/>
  <c r="M212" i="1"/>
  <c r="AN212" i="2"/>
  <c r="L212" i="1"/>
  <c r="AM212" i="2"/>
  <c r="K212" i="1"/>
  <c r="AL212" i="2"/>
  <c r="AK212" i="2"/>
  <c r="AJ212" i="2"/>
  <c r="H212" i="1"/>
  <c r="AI212" i="2"/>
  <c r="G212" i="1"/>
  <c r="AH212" i="2"/>
  <c r="F212" i="1"/>
  <c r="AG212" i="2"/>
  <c r="E212" i="1"/>
  <c r="AF212" i="2"/>
  <c r="D212" i="1"/>
  <c r="AE212" i="2"/>
  <c r="AD212" i="2"/>
  <c r="AC212" i="2"/>
  <c r="Z212" i="2"/>
  <c r="Y212" i="2"/>
  <c r="R211" i="1"/>
  <c r="AS211" i="2"/>
  <c r="AR211" i="2"/>
  <c r="P211" i="1"/>
  <c r="AQ211" i="2"/>
  <c r="O211" i="1"/>
  <c r="AP211" i="2"/>
  <c r="N211" i="1"/>
  <c r="AO211" i="2"/>
  <c r="M211" i="1"/>
  <c r="AN211" i="2"/>
  <c r="L211" i="1"/>
  <c r="AM211" i="2"/>
  <c r="K211" i="1"/>
  <c r="AL211" i="2"/>
  <c r="AK211" i="2"/>
  <c r="AJ211" i="2"/>
  <c r="H211" i="1"/>
  <c r="AI211" i="2"/>
  <c r="G211" i="1"/>
  <c r="AH211" i="2"/>
  <c r="F211" i="1"/>
  <c r="AG211" i="2"/>
  <c r="E211" i="1"/>
  <c r="AF211" i="2"/>
  <c r="D211" i="1"/>
  <c r="AE211" i="2"/>
  <c r="AD211" i="2"/>
  <c r="AC211" i="2"/>
  <c r="Z211" i="2"/>
  <c r="Y211" i="2"/>
  <c r="R210" i="1"/>
  <c r="AS210" i="2"/>
  <c r="AR210" i="2"/>
  <c r="P210" i="1"/>
  <c r="AQ210" i="2"/>
  <c r="O210" i="1"/>
  <c r="AP210" i="2"/>
  <c r="N210" i="1"/>
  <c r="AO210" i="2"/>
  <c r="M210" i="1"/>
  <c r="AN210" i="2"/>
  <c r="L210" i="1"/>
  <c r="AM210" i="2"/>
  <c r="K210" i="1"/>
  <c r="AL210" i="2"/>
  <c r="AK210" i="2"/>
  <c r="AJ210" i="2"/>
  <c r="H210" i="1"/>
  <c r="AI210" i="2"/>
  <c r="G210" i="1"/>
  <c r="AH210" i="2"/>
  <c r="F210" i="1"/>
  <c r="AG210" i="2"/>
  <c r="E210" i="1"/>
  <c r="AF210" i="2"/>
  <c r="D210" i="1"/>
  <c r="AE210" i="2"/>
  <c r="AD210" i="2"/>
  <c r="AC210" i="2"/>
  <c r="Z210" i="2"/>
  <c r="Y210" i="2"/>
  <c r="R209" i="1"/>
  <c r="AS209" i="2"/>
  <c r="AR209" i="2"/>
  <c r="P209" i="1"/>
  <c r="AQ209" i="2"/>
  <c r="O209" i="1"/>
  <c r="AP209" i="2"/>
  <c r="N209" i="1"/>
  <c r="AO209" i="2"/>
  <c r="M209" i="1"/>
  <c r="AN209" i="2"/>
  <c r="L209" i="1"/>
  <c r="AM209" i="2"/>
  <c r="K209" i="1"/>
  <c r="AL209" i="2"/>
  <c r="AK209" i="2"/>
  <c r="AJ209" i="2"/>
  <c r="H209" i="1"/>
  <c r="AI209" i="2"/>
  <c r="G209" i="1"/>
  <c r="AH209" i="2"/>
  <c r="F209" i="1"/>
  <c r="AG209" i="2"/>
  <c r="E209" i="1"/>
  <c r="AF209" i="2"/>
  <c r="D209" i="1"/>
  <c r="AE209" i="2"/>
  <c r="AD209" i="2"/>
  <c r="AC209" i="2"/>
  <c r="Z209" i="2"/>
  <c r="Y209" i="2"/>
  <c r="R208" i="1"/>
  <c r="AS208" i="2"/>
  <c r="AR208" i="2"/>
  <c r="P208" i="1"/>
  <c r="AQ208" i="2"/>
  <c r="O208" i="1"/>
  <c r="AP208" i="2"/>
  <c r="N208" i="1"/>
  <c r="AO208" i="2"/>
  <c r="M208" i="1"/>
  <c r="AN208" i="2"/>
  <c r="L208" i="1"/>
  <c r="AM208" i="2"/>
  <c r="K208" i="1"/>
  <c r="AL208" i="2"/>
  <c r="AK208" i="2"/>
  <c r="AJ208" i="2"/>
  <c r="H208" i="1"/>
  <c r="AI208" i="2"/>
  <c r="G208" i="1"/>
  <c r="AH208" i="2"/>
  <c r="F208" i="1"/>
  <c r="AG208" i="2"/>
  <c r="E208" i="1"/>
  <c r="AF208" i="2"/>
  <c r="D208" i="1"/>
  <c r="AE208" i="2"/>
  <c r="AD208" i="2"/>
  <c r="AC208" i="2"/>
  <c r="Z208" i="2"/>
  <c r="Y208" i="2"/>
  <c r="R207" i="1"/>
  <c r="AS207" i="2"/>
  <c r="AR207" i="2"/>
  <c r="P207" i="1"/>
  <c r="AQ207" i="2"/>
  <c r="O207" i="1"/>
  <c r="AP207" i="2"/>
  <c r="N207" i="1"/>
  <c r="AO207" i="2"/>
  <c r="M207" i="1"/>
  <c r="AN207" i="2"/>
  <c r="L207" i="1"/>
  <c r="AM207" i="2"/>
  <c r="K207" i="1"/>
  <c r="AL207" i="2"/>
  <c r="AK207" i="2"/>
  <c r="AJ207" i="2"/>
  <c r="H207" i="1"/>
  <c r="AI207" i="2"/>
  <c r="G207" i="1"/>
  <c r="AH207" i="2"/>
  <c r="F207" i="1"/>
  <c r="AG207" i="2"/>
  <c r="E207" i="1"/>
  <c r="AF207" i="2"/>
  <c r="D207" i="1"/>
  <c r="AE207" i="2"/>
  <c r="AD207" i="2"/>
  <c r="AC207" i="2"/>
  <c r="Z207" i="2"/>
  <c r="Y207" i="2"/>
  <c r="R206" i="1"/>
  <c r="AS206" i="2"/>
  <c r="AR206" i="2"/>
  <c r="P206" i="1"/>
  <c r="AQ206" i="2"/>
  <c r="O206" i="1"/>
  <c r="AP206" i="2"/>
  <c r="N206" i="1"/>
  <c r="AO206" i="2"/>
  <c r="M206" i="1"/>
  <c r="AN206" i="2"/>
  <c r="L206" i="1"/>
  <c r="AM206" i="2"/>
  <c r="K206" i="1"/>
  <c r="AL206" i="2"/>
  <c r="AK206" i="2"/>
  <c r="AJ206" i="2"/>
  <c r="H206" i="1"/>
  <c r="AI206" i="2"/>
  <c r="G206" i="1"/>
  <c r="AH206" i="2"/>
  <c r="F206" i="1"/>
  <c r="AG206" i="2"/>
  <c r="E206" i="1"/>
  <c r="AF206" i="2"/>
  <c r="D206" i="1"/>
  <c r="AE206" i="2"/>
  <c r="AD206" i="2"/>
  <c r="AC206" i="2"/>
  <c r="Z206" i="2"/>
  <c r="Y206" i="2"/>
  <c r="R205" i="1"/>
  <c r="AS205" i="2"/>
  <c r="AR205" i="2"/>
  <c r="P205" i="1"/>
  <c r="AQ205" i="2"/>
  <c r="O205" i="1"/>
  <c r="AP205" i="2"/>
  <c r="N205" i="1"/>
  <c r="AO205" i="2"/>
  <c r="M205" i="1"/>
  <c r="AN205" i="2"/>
  <c r="L205" i="1"/>
  <c r="AM205" i="2"/>
  <c r="K205" i="1"/>
  <c r="AL205" i="2"/>
  <c r="AK205" i="2"/>
  <c r="AJ205" i="2"/>
  <c r="H205" i="1"/>
  <c r="AI205" i="2"/>
  <c r="G205" i="1"/>
  <c r="AH205" i="2"/>
  <c r="F205" i="1"/>
  <c r="AG205" i="2"/>
  <c r="E205" i="1"/>
  <c r="AF205" i="2"/>
  <c r="D205" i="1"/>
  <c r="AE205" i="2"/>
  <c r="AD205" i="2"/>
  <c r="AC205" i="2"/>
  <c r="Z205" i="2"/>
  <c r="Y205" i="2"/>
  <c r="R204" i="1"/>
  <c r="AS204" i="2"/>
  <c r="AR204" i="2"/>
  <c r="P204" i="1"/>
  <c r="AQ204" i="2"/>
  <c r="O204" i="1"/>
  <c r="AP204" i="2"/>
  <c r="N204" i="1"/>
  <c r="AO204" i="2"/>
  <c r="M204" i="1"/>
  <c r="AN204" i="2"/>
  <c r="L204" i="1"/>
  <c r="AM204" i="2"/>
  <c r="K204" i="1"/>
  <c r="AL204" i="2"/>
  <c r="AK204" i="2"/>
  <c r="AJ204" i="2"/>
  <c r="H204" i="1"/>
  <c r="AI204" i="2"/>
  <c r="G204" i="1"/>
  <c r="AH204" i="2"/>
  <c r="F204" i="1"/>
  <c r="AG204" i="2"/>
  <c r="E204" i="1"/>
  <c r="AF204" i="2"/>
  <c r="D204" i="1"/>
  <c r="AE204" i="2"/>
  <c r="AD204" i="2"/>
  <c r="AC204" i="2"/>
  <c r="Z204" i="2"/>
  <c r="Y204" i="2"/>
  <c r="R203" i="1"/>
  <c r="AS203" i="2"/>
  <c r="AR203" i="2"/>
  <c r="P203" i="1"/>
  <c r="AQ203" i="2"/>
  <c r="O203" i="1"/>
  <c r="AP203" i="2"/>
  <c r="N203" i="1"/>
  <c r="AO203" i="2"/>
  <c r="M203" i="1"/>
  <c r="AN203" i="2"/>
  <c r="L203" i="1"/>
  <c r="AM203" i="2"/>
  <c r="K203" i="1"/>
  <c r="AL203" i="2"/>
  <c r="AK203" i="2"/>
  <c r="AJ203" i="2"/>
  <c r="H203" i="1"/>
  <c r="AI203" i="2"/>
  <c r="G203" i="1"/>
  <c r="AH203" i="2"/>
  <c r="F203" i="1"/>
  <c r="AG203" i="2"/>
  <c r="E203" i="1"/>
  <c r="AF203" i="2"/>
  <c r="D203" i="1"/>
  <c r="AE203" i="2"/>
  <c r="AD203" i="2"/>
  <c r="AC203" i="2"/>
  <c r="Z203" i="2"/>
  <c r="Y203" i="2"/>
  <c r="R202" i="1"/>
  <c r="AS202" i="2"/>
  <c r="AR202" i="2"/>
  <c r="P202" i="1"/>
  <c r="AQ202" i="2"/>
  <c r="O202" i="1"/>
  <c r="AP202" i="2"/>
  <c r="N202" i="1"/>
  <c r="AO202" i="2"/>
  <c r="M202" i="1"/>
  <c r="AN202" i="2"/>
  <c r="L202" i="1"/>
  <c r="AM202" i="2"/>
  <c r="K202" i="1"/>
  <c r="AL202" i="2"/>
  <c r="AK202" i="2"/>
  <c r="AJ202" i="2"/>
  <c r="H202" i="1"/>
  <c r="AI202" i="2"/>
  <c r="G202" i="1"/>
  <c r="AH202" i="2"/>
  <c r="F202" i="1"/>
  <c r="AG202" i="2"/>
  <c r="E202" i="1"/>
  <c r="AF202" i="2"/>
  <c r="D202" i="1"/>
  <c r="AE202" i="2"/>
  <c r="AD202" i="2"/>
  <c r="AC202" i="2"/>
  <c r="Z202" i="2"/>
  <c r="Y202" i="2"/>
  <c r="R201" i="1"/>
  <c r="AS201" i="2"/>
  <c r="AR201" i="2"/>
  <c r="P201" i="1"/>
  <c r="AQ201" i="2"/>
  <c r="O201" i="1"/>
  <c r="AP201" i="2"/>
  <c r="N201" i="1"/>
  <c r="AO201" i="2"/>
  <c r="M201" i="1"/>
  <c r="AN201" i="2"/>
  <c r="L201" i="1"/>
  <c r="AM201" i="2"/>
  <c r="K201" i="1"/>
  <c r="AL201" i="2"/>
  <c r="AK201" i="2"/>
  <c r="AJ201" i="2"/>
  <c r="H201" i="1"/>
  <c r="AI201" i="2"/>
  <c r="G201" i="1"/>
  <c r="AH201" i="2"/>
  <c r="F201" i="1"/>
  <c r="AG201" i="2"/>
  <c r="E201" i="1"/>
  <c r="AF201" i="2"/>
  <c r="D201" i="1"/>
  <c r="AE201" i="2"/>
  <c r="AD201" i="2"/>
  <c r="AC201" i="2"/>
  <c r="Z201" i="2"/>
  <c r="Y201" i="2"/>
  <c r="R200" i="1"/>
  <c r="AS200" i="2"/>
  <c r="AR200" i="2"/>
  <c r="P200" i="1"/>
  <c r="AQ200" i="2"/>
  <c r="O200" i="1"/>
  <c r="AP200" i="2"/>
  <c r="N200" i="1"/>
  <c r="AO200" i="2"/>
  <c r="M200" i="1"/>
  <c r="AN200" i="2"/>
  <c r="L200" i="1"/>
  <c r="AM200" i="2"/>
  <c r="K200" i="1"/>
  <c r="AL200" i="2"/>
  <c r="AK200" i="2"/>
  <c r="AJ200" i="2"/>
  <c r="H200" i="1"/>
  <c r="AI200" i="2"/>
  <c r="G200" i="1"/>
  <c r="AH200" i="2"/>
  <c r="F200" i="1"/>
  <c r="AG200" i="2"/>
  <c r="E200" i="1"/>
  <c r="AF200" i="2"/>
  <c r="D200" i="1"/>
  <c r="AE200" i="2"/>
  <c r="AD200" i="2"/>
  <c r="AC200" i="2"/>
  <c r="Z200" i="2"/>
  <c r="Y200" i="2"/>
  <c r="R199" i="1"/>
  <c r="AS199" i="2"/>
  <c r="AR199" i="2"/>
  <c r="P199" i="1"/>
  <c r="AQ199" i="2"/>
  <c r="O199" i="1"/>
  <c r="AP199" i="2"/>
  <c r="N199" i="1"/>
  <c r="AO199" i="2"/>
  <c r="M199" i="1"/>
  <c r="AN199" i="2"/>
  <c r="L199" i="1"/>
  <c r="AM199" i="2"/>
  <c r="K199" i="1"/>
  <c r="AL199" i="2"/>
  <c r="AK199" i="2"/>
  <c r="AJ199" i="2"/>
  <c r="H199" i="1"/>
  <c r="AI199" i="2"/>
  <c r="G199" i="1"/>
  <c r="AH199" i="2"/>
  <c r="F199" i="1"/>
  <c r="AG199" i="2"/>
  <c r="E199" i="1"/>
  <c r="AF199" i="2"/>
  <c r="D199" i="1"/>
  <c r="AE199" i="2"/>
  <c r="AD199" i="2"/>
  <c r="AC199" i="2"/>
  <c r="Z199" i="2"/>
  <c r="Y199" i="2"/>
  <c r="R198" i="1"/>
  <c r="AS198" i="2"/>
  <c r="AR198" i="2"/>
  <c r="P198" i="1"/>
  <c r="AQ198" i="2"/>
  <c r="O198" i="1"/>
  <c r="AP198" i="2"/>
  <c r="N198" i="1"/>
  <c r="AO198" i="2"/>
  <c r="M198" i="1"/>
  <c r="AN198" i="2"/>
  <c r="L198" i="1"/>
  <c r="AM198" i="2"/>
  <c r="K198" i="1"/>
  <c r="AL198" i="2"/>
  <c r="AK198" i="2"/>
  <c r="AJ198" i="2"/>
  <c r="H198" i="1"/>
  <c r="AI198" i="2"/>
  <c r="G198" i="1"/>
  <c r="AH198" i="2"/>
  <c r="F198" i="1"/>
  <c r="AG198" i="2"/>
  <c r="E198" i="1"/>
  <c r="AF198" i="2"/>
  <c r="D198" i="1"/>
  <c r="AE198" i="2"/>
  <c r="AD198" i="2"/>
  <c r="AC198" i="2"/>
  <c r="Z198" i="2"/>
  <c r="Y198" i="2"/>
  <c r="R197" i="1"/>
  <c r="AS197" i="2"/>
  <c r="AR197" i="2"/>
  <c r="P197" i="1"/>
  <c r="AQ197" i="2"/>
  <c r="O197" i="1"/>
  <c r="AP197" i="2"/>
  <c r="N197" i="1"/>
  <c r="AO197" i="2"/>
  <c r="M197" i="1"/>
  <c r="AN197" i="2"/>
  <c r="L197" i="1"/>
  <c r="AM197" i="2"/>
  <c r="K197" i="1"/>
  <c r="AL197" i="2"/>
  <c r="AK197" i="2"/>
  <c r="AJ197" i="2"/>
  <c r="H197" i="1"/>
  <c r="AI197" i="2"/>
  <c r="G197" i="1"/>
  <c r="AH197" i="2"/>
  <c r="F197" i="1"/>
  <c r="AG197" i="2"/>
  <c r="E197" i="1"/>
  <c r="AF197" i="2"/>
  <c r="D197" i="1"/>
  <c r="AE197" i="2"/>
  <c r="AD197" i="2"/>
  <c r="AC197" i="2"/>
  <c r="Z197" i="2"/>
  <c r="Y197" i="2"/>
  <c r="R196" i="1"/>
  <c r="AS196" i="2"/>
  <c r="AR196" i="2"/>
  <c r="P196" i="1"/>
  <c r="AQ196" i="2"/>
  <c r="O196" i="1"/>
  <c r="AP196" i="2"/>
  <c r="N196" i="1"/>
  <c r="AO196" i="2"/>
  <c r="M196" i="1"/>
  <c r="AN196" i="2"/>
  <c r="L196" i="1"/>
  <c r="AM196" i="2"/>
  <c r="K196" i="1"/>
  <c r="AL196" i="2"/>
  <c r="AK196" i="2"/>
  <c r="AJ196" i="2"/>
  <c r="H196" i="1"/>
  <c r="AI196" i="2"/>
  <c r="G196" i="1"/>
  <c r="AH196" i="2"/>
  <c r="F196" i="1"/>
  <c r="AG196" i="2"/>
  <c r="E196" i="1"/>
  <c r="AF196" i="2"/>
  <c r="D196" i="1"/>
  <c r="AE196" i="2"/>
  <c r="AD196" i="2"/>
  <c r="AC196" i="2"/>
  <c r="Z196" i="2"/>
  <c r="Y196" i="2"/>
  <c r="R195" i="1"/>
  <c r="AS195" i="2"/>
  <c r="AR195" i="2"/>
  <c r="P195" i="1"/>
  <c r="AQ195" i="2"/>
  <c r="O195" i="1"/>
  <c r="AP195" i="2"/>
  <c r="N195" i="1"/>
  <c r="AO195" i="2"/>
  <c r="M195" i="1"/>
  <c r="AN195" i="2"/>
  <c r="L195" i="1"/>
  <c r="AM195" i="2"/>
  <c r="K195" i="1"/>
  <c r="AL195" i="2"/>
  <c r="AK195" i="2"/>
  <c r="AJ195" i="2"/>
  <c r="H195" i="1"/>
  <c r="AI195" i="2"/>
  <c r="G195" i="1"/>
  <c r="AH195" i="2"/>
  <c r="F195" i="1"/>
  <c r="AG195" i="2"/>
  <c r="E195" i="1"/>
  <c r="AF195" i="2"/>
  <c r="D195" i="1"/>
  <c r="AE195" i="2"/>
  <c r="AD195" i="2"/>
  <c r="AC195" i="2"/>
  <c r="Z195" i="2"/>
  <c r="Y195" i="2"/>
  <c r="R194" i="1"/>
  <c r="AS194" i="2"/>
  <c r="AR194" i="2"/>
  <c r="P194" i="1"/>
  <c r="AQ194" i="2"/>
  <c r="O194" i="1"/>
  <c r="AP194" i="2"/>
  <c r="N194" i="1"/>
  <c r="AO194" i="2"/>
  <c r="M194" i="1"/>
  <c r="AN194" i="2"/>
  <c r="L194" i="1"/>
  <c r="AM194" i="2"/>
  <c r="K194" i="1"/>
  <c r="AL194" i="2"/>
  <c r="AK194" i="2"/>
  <c r="AJ194" i="2"/>
  <c r="H194" i="1"/>
  <c r="AI194" i="2"/>
  <c r="G194" i="1"/>
  <c r="AH194" i="2"/>
  <c r="F194" i="1"/>
  <c r="AG194" i="2"/>
  <c r="E194" i="1"/>
  <c r="AF194" i="2"/>
  <c r="D194" i="1"/>
  <c r="AE194" i="2"/>
  <c r="AD194" i="2"/>
  <c r="AC194" i="2"/>
  <c r="Z194" i="2"/>
  <c r="Y194" i="2"/>
  <c r="R193" i="1"/>
  <c r="AS193" i="2"/>
  <c r="AR193" i="2"/>
  <c r="P193" i="1"/>
  <c r="AQ193" i="2"/>
  <c r="O193" i="1"/>
  <c r="AP193" i="2"/>
  <c r="N193" i="1"/>
  <c r="AO193" i="2"/>
  <c r="M193" i="1"/>
  <c r="AN193" i="2"/>
  <c r="L193" i="1"/>
  <c r="AM193" i="2"/>
  <c r="K193" i="1"/>
  <c r="AL193" i="2"/>
  <c r="AK193" i="2"/>
  <c r="AJ193" i="2"/>
  <c r="H193" i="1"/>
  <c r="AI193" i="2"/>
  <c r="G193" i="1"/>
  <c r="AH193" i="2"/>
  <c r="F193" i="1"/>
  <c r="AG193" i="2"/>
  <c r="E193" i="1"/>
  <c r="AF193" i="2"/>
  <c r="D193" i="1"/>
  <c r="AE193" i="2"/>
  <c r="AD193" i="2"/>
  <c r="AC193" i="2"/>
  <c r="Z193" i="2"/>
  <c r="Y193" i="2"/>
  <c r="R192" i="1"/>
  <c r="AS192" i="2"/>
  <c r="AR192" i="2"/>
  <c r="P192" i="1"/>
  <c r="AQ192" i="2"/>
  <c r="O192" i="1"/>
  <c r="AP192" i="2"/>
  <c r="N192" i="1"/>
  <c r="AO192" i="2"/>
  <c r="M192" i="1"/>
  <c r="AN192" i="2"/>
  <c r="L192" i="1"/>
  <c r="AM192" i="2"/>
  <c r="K192" i="1"/>
  <c r="AL192" i="2"/>
  <c r="AK192" i="2"/>
  <c r="AJ192" i="2"/>
  <c r="H192" i="1"/>
  <c r="AI192" i="2"/>
  <c r="G192" i="1"/>
  <c r="AH192" i="2"/>
  <c r="F192" i="1"/>
  <c r="AG192" i="2"/>
  <c r="E192" i="1"/>
  <c r="AF192" i="2"/>
  <c r="D192" i="1"/>
  <c r="AE192" i="2"/>
  <c r="AD192" i="2"/>
  <c r="AC192" i="2"/>
  <c r="Z192" i="2"/>
  <c r="Y192" i="2"/>
  <c r="R191" i="1"/>
  <c r="AS191" i="2"/>
  <c r="AR191" i="2"/>
  <c r="P191" i="1"/>
  <c r="AQ191" i="2"/>
  <c r="O191" i="1"/>
  <c r="AP191" i="2"/>
  <c r="N191" i="1"/>
  <c r="AO191" i="2"/>
  <c r="M191" i="1"/>
  <c r="AN191" i="2"/>
  <c r="L191" i="1"/>
  <c r="AM191" i="2"/>
  <c r="K191" i="1"/>
  <c r="AL191" i="2"/>
  <c r="AK191" i="2"/>
  <c r="AJ191" i="2"/>
  <c r="H191" i="1"/>
  <c r="AI191" i="2"/>
  <c r="G191" i="1"/>
  <c r="AH191" i="2"/>
  <c r="F191" i="1"/>
  <c r="AG191" i="2"/>
  <c r="E191" i="1"/>
  <c r="AF191" i="2"/>
  <c r="D191" i="1"/>
  <c r="AE191" i="2"/>
  <c r="AD191" i="2"/>
  <c r="AC191" i="2"/>
  <c r="Z191" i="2"/>
  <c r="Y191" i="2"/>
  <c r="R190" i="1"/>
  <c r="AS190" i="2"/>
  <c r="AR190" i="2"/>
  <c r="P190" i="1"/>
  <c r="AQ190" i="2"/>
  <c r="O190" i="1"/>
  <c r="AP190" i="2"/>
  <c r="N190" i="1"/>
  <c r="AO190" i="2"/>
  <c r="M190" i="1"/>
  <c r="AN190" i="2"/>
  <c r="L190" i="1"/>
  <c r="AM190" i="2"/>
  <c r="K190" i="1"/>
  <c r="AL190" i="2"/>
  <c r="AK190" i="2"/>
  <c r="AJ190" i="2"/>
  <c r="H190" i="1"/>
  <c r="AI190" i="2"/>
  <c r="G190" i="1"/>
  <c r="AH190" i="2"/>
  <c r="F190" i="1"/>
  <c r="AG190" i="2"/>
  <c r="E190" i="1"/>
  <c r="AF190" i="2"/>
  <c r="D190" i="1"/>
  <c r="AE190" i="2"/>
  <c r="AD190" i="2"/>
  <c r="AC190" i="2"/>
  <c r="Z190" i="2"/>
  <c r="Y190" i="2"/>
  <c r="R189" i="1"/>
  <c r="AS189" i="2"/>
  <c r="AR189" i="2"/>
  <c r="P189" i="1"/>
  <c r="AQ189" i="2"/>
  <c r="O189" i="1"/>
  <c r="AP189" i="2"/>
  <c r="N189" i="1"/>
  <c r="AO189" i="2"/>
  <c r="M189" i="1"/>
  <c r="AN189" i="2"/>
  <c r="L189" i="1"/>
  <c r="AM189" i="2"/>
  <c r="K189" i="1"/>
  <c r="AL189" i="2"/>
  <c r="AK189" i="2"/>
  <c r="AJ189" i="2"/>
  <c r="H189" i="1"/>
  <c r="AI189" i="2"/>
  <c r="G189" i="1"/>
  <c r="AH189" i="2"/>
  <c r="F189" i="1"/>
  <c r="AG189" i="2"/>
  <c r="E189" i="1"/>
  <c r="AF189" i="2"/>
  <c r="D189" i="1"/>
  <c r="AE189" i="2"/>
  <c r="AD189" i="2"/>
  <c r="AC189" i="2"/>
  <c r="Z189" i="2"/>
  <c r="Y189" i="2"/>
  <c r="R188" i="1"/>
  <c r="AS188" i="2"/>
  <c r="AR188" i="2"/>
  <c r="P188" i="1"/>
  <c r="AQ188" i="2"/>
  <c r="O188" i="1"/>
  <c r="AP188" i="2"/>
  <c r="N188" i="1"/>
  <c r="AO188" i="2"/>
  <c r="M188" i="1"/>
  <c r="AN188" i="2"/>
  <c r="L188" i="1"/>
  <c r="AM188" i="2"/>
  <c r="K188" i="1"/>
  <c r="AL188" i="2"/>
  <c r="AK188" i="2"/>
  <c r="AJ188" i="2"/>
  <c r="H188" i="1"/>
  <c r="AI188" i="2"/>
  <c r="G188" i="1"/>
  <c r="AH188" i="2"/>
  <c r="F188" i="1"/>
  <c r="AG188" i="2"/>
  <c r="E188" i="1"/>
  <c r="AF188" i="2"/>
  <c r="D188" i="1"/>
  <c r="AE188" i="2"/>
  <c r="AD188" i="2"/>
  <c r="AC188" i="2"/>
  <c r="Z188" i="2"/>
  <c r="Y188" i="2"/>
  <c r="R187" i="1"/>
  <c r="AS187" i="2"/>
  <c r="AR187" i="2"/>
  <c r="P187" i="1"/>
  <c r="AQ187" i="2"/>
  <c r="O187" i="1"/>
  <c r="AP187" i="2"/>
  <c r="N187" i="1"/>
  <c r="AO187" i="2"/>
  <c r="M187" i="1"/>
  <c r="AN187" i="2"/>
  <c r="L187" i="1"/>
  <c r="AM187" i="2"/>
  <c r="K187" i="1"/>
  <c r="AL187" i="2"/>
  <c r="AK187" i="2"/>
  <c r="AJ187" i="2"/>
  <c r="H187" i="1"/>
  <c r="AI187" i="2"/>
  <c r="G187" i="1"/>
  <c r="AH187" i="2"/>
  <c r="F187" i="1"/>
  <c r="AG187" i="2"/>
  <c r="E187" i="1"/>
  <c r="AF187" i="2"/>
  <c r="D187" i="1"/>
  <c r="AE187" i="2"/>
  <c r="AD187" i="2"/>
  <c r="AC187" i="2"/>
  <c r="Z187" i="2"/>
  <c r="Y187" i="2"/>
  <c r="R186" i="1"/>
  <c r="AS186" i="2"/>
  <c r="AR186" i="2"/>
  <c r="P186" i="1"/>
  <c r="AQ186" i="2"/>
  <c r="O186" i="1"/>
  <c r="AP186" i="2"/>
  <c r="N186" i="1"/>
  <c r="AO186" i="2"/>
  <c r="M186" i="1"/>
  <c r="AN186" i="2"/>
  <c r="L186" i="1"/>
  <c r="AM186" i="2"/>
  <c r="K186" i="1"/>
  <c r="AL186" i="2"/>
  <c r="AK186" i="2"/>
  <c r="AJ186" i="2"/>
  <c r="H186" i="1"/>
  <c r="AI186" i="2"/>
  <c r="G186" i="1"/>
  <c r="AH186" i="2"/>
  <c r="F186" i="1"/>
  <c r="AG186" i="2"/>
  <c r="E186" i="1"/>
  <c r="AF186" i="2"/>
  <c r="D186" i="1"/>
  <c r="AE186" i="2"/>
  <c r="AD186" i="2"/>
  <c r="AC186" i="2"/>
  <c r="Z186" i="2"/>
  <c r="Y186" i="2"/>
  <c r="R185" i="1"/>
  <c r="AS185" i="2"/>
  <c r="AR185" i="2"/>
  <c r="P185" i="1"/>
  <c r="AQ185" i="2"/>
  <c r="O185" i="1"/>
  <c r="AP185" i="2"/>
  <c r="N185" i="1"/>
  <c r="AO185" i="2"/>
  <c r="M185" i="1"/>
  <c r="AN185" i="2"/>
  <c r="L185" i="1"/>
  <c r="AM185" i="2"/>
  <c r="K185" i="1"/>
  <c r="AL185" i="2"/>
  <c r="AK185" i="2"/>
  <c r="AJ185" i="2"/>
  <c r="H185" i="1"/>
  <c r="AI185" i="2"/>
  <c r="G185" i="1"/>
  <c r="AH185" i="2"/>
  <c r="F185" i="1"/>
  <c r="AG185" i="2"/>
  <c r="E185" i="1"/>
  <c r="AF185" i="2"/>
  <c r="D185" i="1"/>
  <c r="AE185" i="2"/>
  <c r="AD185" i="2"/>
  <c r="AC185" i="2"/>
  <c r="Z185" i="2"/>
  <c r="Y185" i="2"/>
  <c r="R184" i="1"/>
  <c r="AS184" i="2"/>
  <c r="AR184" i="2"/>
  <c r="P184" i="1"/>
  <c r="AQ184" i="2"/>
  <c r="O184" i="1"/>
  <c r="AP184" i="2"/>
  <c r="N184" i="1"/>
  <c r="AO184" i="2"/>
  <c r="M184" i="1"/>
  <c r="AN184" i="2"/>
  <c r="L184" i="1"/>
  <c r="AM184" i="2"/>
  <c r="K184" i="1"/>
  <c r="AL184" i="2"/>
  <c r="AK184" i="2"/>
  <c r="AJ184" i="2"/>
  <c r="H184" i="1"/>
  <c r="AI184" i="2"/>
  <c r="G184" i="1"/>
  <c r="AH184" i="2"/>
  <c r="F184" i="1"/>
  <c r="AG184" i="2"/>
  <c r="E184" i="1"/>
  <c r="AF184" i="2"/>
  <c r="D184" i="1"/>
  <c r="AE184" i="2"/>
  <c r="AD184" i="2"/>
  <c r="AC184" i="2"/>
  <c r="Z184" i="2"/>
  <c r="Y184" i="2"/>
  <c r="R183" i="1"/>
  <c r="AS183" i="2"/>
  <c r="AR183" i="2"/>
  <c r="P183" i="1"/>
  <c r="AQ183" i="2"/>
  <c r="O183" i="1"/>
  <c r="AP183" i="2"/>
  <c r="N183" i="1"/>
  <c r="AO183" i="2"/>
  <c r="M183" i="1"/>
  <c r="AN183" i="2"/>
  <c r="L183" i="1"/>
  <c r="AM183" i="2"/>
  <c r="K183" i="1"/>
  <c r="AL183" i="2"/>
  <c r="AK183" i="2"/>
  <c r="AJ183" i="2"/>
  <c r="H183" i="1"/>
  <c r="AI183" i="2"/>
  <c r="G183" i="1"/>
  <c r="AH183" i="2"/>
  <c r="F183" i="1"/>
  <c r="AG183" i="2"/>
  <c r="E183" i="1"/>
  <c r="AF183" i="2"/>
  <c r="D183" i="1"/>
  <c r="AE183" i="2"/>
  <c r="AD183" i="2"/>
  <c r="AC183" i="2"/>
  <c r="Z183" i="2"/>
  <c r="Y183" i="2"/>
  <c r="R182" i="1"/>
  <c r="AS182" i="2"/>
  <c r="AR182" i="2"/>
  <c r="P182" i="1"/>
  <c r="AQ182" i="2"/>
  <c r="O182" i="1"/>
  <c r="AP182" i="2"/>
  <c r="N182" i="1"/>
  <c r="AO182" i="2"/>
  <c r="M182" i="1"/>
  <c r="AN182" i="2"/>
  <c r="L182" i="1"/>
  <c r="AM182" i="2"/>
  <c r="K182" i="1"/>
  <c r="AL182" i="2"/>
  <c r="AK182" i="2"/>
  <c r="AJ182" i="2"/>
  <c r="H182" i="1"/>
  <c r="AI182" i="2"/>
  <c r="G182" i="1"/>
  <c r="AH182" i="2"/>
  <c r="F182" i="1"/>
  <c r="AG182" i="2"/>
  <c r="E182" i="1"/>
  <c r="AF182" i="2"/>
  <c r="D182" i="1"/>
  <c r="AE182" i="2"/>
  <c r="AD182" i="2"/>
  <c r="AC182" i="2"/>
  <c r="Z182" i="2"/>
  <c r="Y182" i="2"/>
  <c r="R181" i="1"/>
  <c r="AS181" i="2"/>
  <c r="AR181" i="2"/>
  <c r="P181" i="1"/>
  <c r="AQ181" i="2"/>
  <c r="O181" i="1"/>
  <c r="AP181" i="2"/>
  <c r="N181" i="1"/>
  <c r="AO181" i="2"/>
  <c r="M181" i="1"/>
  <c r="AN181" i="2"/>
  <c r="L181" i="1"/>
  <c r="AM181" i="2"/>
  <c r="K181" i="1"/>
  <c r="AL181" i="2"/>
  <c r="AK181" i="2"/>
  <c r="AJ181" i="2"/>
  <c r="H181" i="1"/>
  <c r="AI181" i="2"/>
  <c r="G181" i="1"/>
  <c r="AH181" i="2"/>
  <c r="F181" i="1"/>
  <c r="AG181" i="2"/>
  <c r="E181" i="1"/>
  <c r="AF181" i="2"/>
  <c r="D181" i="1"/>
  <c r="AE181" i="2"/>
  <c r="AD181" i="2"/>
  <c r="AC181" i="2"/>
  <c r="Z181" i="2"/>
  <c r="Y181" i="2"/>
  <c r="R180" i="1"/>
  <c r="AS180" i="2"/>
  <c r="AR180" i="2"/>
  <c r="P180" i="1"/>
  <c r="AQ180" i="2"/>
  <c r="O180" i="1"/>
  <c r="AP180" i="2"/>
  <c r="N180" i="1"/>
  <c r="AO180" i="2"/>
  <c r="M180" i="1"/>
  <c r="AN180" i="2"/>
  <c r="L180" i="1"/>
  <c r="AM180" i="2"/>
  <c r="K180" i="1"/>
  <c r="AL180" i="2"/>
  <c r="AK180" i="2"/>
  <c r="AJ180" i="2"/>
  <c r="H180" i="1"/>
  <c r="AI180" i="2"/>
  <c r="G180" i="1"/>
  <c r="AH180" i="2"/>
  <c r="F180" i="1"/>
  <c r="AG180" i="2"/>
  <c r="E180" i="1"/>
  <c r="AF180" i="2"/>
  <c r="D180" i="1"/>
  <c r="AE180" i="2"/>
  <c r="AD180" i="2"/>
  <c r="AC180" i="2"/>
  <c r="Z180" i="2"/>
  <c r="Y180" i="2"/>
  <c r="R179" i="1"/>
  <c r="AS179" i="2"/>
  <c r="AR179" i="2"/>
  <c r="P179" i="1"/>
  <c r="AQ179" i="2"/>
  <c r="O179" i="1"/>
  <c r="AP179" i="2"/>
  <c r="N179" i="1"/>
  <c r="AO179" i="2"/>
  <c r="M179" i="1"/>
  <c r="AN179" i="2"/>
  <c r="L179" i="1"/>
  <c r="AM179" i="2"/>
  <c r="K179" i="1"/>
  <c r="AL179" i="2"/>
  <c r="AK179" i="2"/>
  <c r="AJ179" i="2"/>
  <c r="H179" i="1"/>
  <c r="AI179" i="2"/>
  <c r="G179" i="1"/>
  <c r="AH179" i="2"/>
  <c r="F179" i="1"/>
  <c r="AG179" i="2"/>
  <c r="E179" i="1"/>
  <c r="AF179" i="2"/>
  <c r="D179" i="1"/>
  <c r="AE179" i="2"/>
  <c r="AD179" i="2"/>
  <c r="AC179" i="2"/>
  <c r="Z179" i="2"/>
  <c r="Y179" i="2"/>
  <c r="R178" i="1"/>
  <c r="AS178" i="2"/>
  <c r="AR178" i="2"/>
  <c r="P178" i="1"/>
  <c r="AQ178" i="2"/>
  <c r="O178" i="1"/>
  <c r="AP178" i="2"/>
  <c r="N178" i="1"/>
  <c r="AO178" i="2"/>
  <c r="M178" i="1"/>
  <c r="AN178" i="2"/>
  <c r="L178" i="1"/>
  <c r="AM178" i="2"/>
  <c r="K178" i="1"/>
  <c r="AL178" i="2"/>
  <c r="AK178" i="2"/>
  <c r="AJ178" i="2"/>
  <c r="H178" i="1"/>
  <c r="AI178" i="2"/>
  <c r="G178" i="1"/>
  <c r="AH178" i="2"/>
  <c r="F178" i="1"/>
  <c r="AG178" i="2"/>
  <c r="E178" i="1"/>
  <c r="AF178" i="2"/>
  <c r="D178" i="1"/>
  <c r="AE178" i="2"/>
  <c r="AD178" i="2"/>
  <c r="AC178" i="2"/>
  <c r="Z178" i="2"/>
  <c r="Y178" i="2"/>
  <c r="R177" i="1"/>
  <c r="AS177" i="2"/>
  <c r="AR177" i="2"/>
  <c r="P177" i="1"/>
  <c r="AQ177" i="2"/>
  <c r="O177" i="1"/>
  <c r="AP177" i="2"/>
  <c r="N177" i="1"/>
  <c r="AO177" i="2"/>
  <c r="M177" i="1"/>
  <c r="AN177" i="2"/>
  <c r="L177" i="1"/>
  <c r="AM177" i="2"/>
  <c r="K177" i="1"/>
  <c r="AL177" i="2"/>
  <c r="AK177" i="2"/>
  <c r="AJ177" i="2"/>
  <c r="H177" i="1"/>
  <c r="AI177" i="2"/>
  <c r="G177" i="1"/>
  <c r="AH177" i="2"/>
  <c r="F177" i="1"/>
  <c r="AG177" i="2"/>
  <c r="E177" i="1"/>
  <c r="AF177" i="2"/>
  <c r="D177" i="1"/>
  <c r="AE177" i="2"/>
  <c r="AD177" i="2"/>
  <c r="AC177" i="2"/>
  <c r="Z177" i="2"/>
  <c r="Y177" i="2"/>
  <c r="R176" i="1"/>
  <c r="AS176" i="2"/>
  <c r="AR176" i="2"/>
  <c r="P176" i="1"/>
  <c r="AQ176" i="2"/>
  <c r="O176" i="1"/>
  <c r="AP176" i="2"/>
  <c r="N176" i="1"/>
  <c r="AO176" i="2"/>
  <c r="M176" i="1"/>
  <c r="AN176" i="2"/>
  <c r="L176" i="1"/>
  <c r="AM176" i="2"/>
  <c r="K176" i="1"/>
  <c r="AL176" i="2"/>
  <c r="AK176" i="2"/>
  <c r="AJ176" i="2"/>
  <c r="H176" i="1"/>
  <c r="AI176" i="2"/>
  <c r="G176" i="1"/>
  <c r="AH176" i="2"/>
  <c r="F176" i="1"/>
  <c r="AG176" i="2"/>
  <c r="E176" i="1"/>
  <c r="AF176" i="2"/>
  <c r="D176" i="1"/>
  <c r="AE176" i="2"/>
  <c r="AD176" i="2"/>
  <c r="AC176" i="2"/>
  <c r="Z176" i="2"/>
  <c r="Y176" i="2"/>
  <c r="R175" i="1"/>
  <c r="AS175" i="2"/>
  <c r="AR175" i="2"/>
  <c r="P175" i="1"/>
  <c r="AQ175" i="2"/>
  <c r="O175" i="1"/>
  <c r="AP175" i="2"/>
  <c r="N175" i="1"/>
  <c r="AO175" i="2"/>
  <c r="M175" i="1"/>
  <c r="AN175" i="2"/>
  <c r="L175" i="1"/>
  <c r="AM175" i="2"/>
  <c r="K175" i="1"/>
  <c r="AL175" i="2"/>
  <c r="AK175" i="2"/>
  <c r="AJ175" i="2"/>
  <c r="H175" i="1"/>
  <c r="AI175" i="2"/>
  <c r="G175" i="1"/>
  <c r="AH175" i="2"/>
  <c r="F175" i="1"/>
  <c r="AG175" i="2"/>
  <c r="E175" i="1"/>
  <c r="AF175" i="2"/>
  <c r="D175" i="1"/>
  <c r="AE175" i="2"/>
  <c r="AD175" i="2"/>
  <c r="AC175" i="2"/>
  <c r="Z175" i="2"/>
  <c r="Y175" i="2"/>
  <c r="R174" i="1"/>
  <c r="AS174" i="2"/>
  <c r="AR174" i="2"/>
  <c r="P174" i="1"/>
  <c r="AQ174" i="2"/>
  <c r="O174" i="1"/>
  <c r="AP174" i="2"/>
  <c r="N174" i="1"/>
  <c r="AO174" i="2"/>
  <c r="M174" i="1"/>
  <c r="AN174" i="2"/>
  <c r="L174" i="1"/>
  <c r="AM174" i="2"/>
  <c r="K174" i="1"/>
  <c r="AL174" i="2"/>
  <c r="AK174" i="2"/>
  <c r="AJ174" i="2"/>
  <c r="H174" i="1"/>
  <c r="AI174" i="2"/>
  <c r="G174" i="1"/>
  <c r="AH174" i="2"/>
  <c r="F174" i="1"/>
  <c r="AG174" i="2"/>
  <c r="E174" i="1"/>
  <c r="AF174" i="2"/>
  <c r="D174" i="1"/>
  <c r="AE174" i="2"/>
  <c r="AD174" i="2"/>
  <c r="AC174" i="2"/>
  <c r="Z174" i="2"/>
  <c r="Y174" i="2"/>
  <c r="R173" i="1"/>
  <c r="AS173" i="2"/>
  <c r="AR173" i="2"/>
  <c r="P173" i="1"/>
  <c r="AQ173" i="2"/>
  <c r="O173" i="1"/>
  <c r="AP173" i="2"/>
  <c r="N173" i="1"/>
  <c r="AO173" i="2"/>
  <c r="M173" i="1"/>
  <c r="AN173" i="2"/>
  <c r="L173" i="1"/>
  <c r="AM173" i="2"/>
  <c r="K173" i="1"/>
  <c r="AL173" i="2"/>
  <c r="AK173" i="2"/>
  <c r="AJ173" i="2"/>
  <c r="H173" i="1"/>
  <c r="AI173" i="2"/>
  <c r="G173" i="1"/>
  <c r="AH173" i="2"/>
  <c r="F173" i="1"/>
  <c r="AG173" i="2"/>
  <c r="E173" i="1"/>
  <c r="AF173" i="2"/>
  <c r="D173" i="1"/>
  <c r="AE173" i="2"/>
  <c r="AD173" i="2"/>
  <c r="AC173" i="2"/>
  <c r="Z173" i="2"/>
  <c r="Y173" i="2"/>
  <c r="R172" i="1"/>
  <c r="AS172" i="2"/>
  <c r="AR172" i="2"/>
  <c r="P172" i="1"/>
  <c r="AQ172" i="2"/>
  <c r="O172" i="1"/>
  <c r="AP172" i="2"/>
  <c r="N172" i="1"/>
  <c r="AO172" i="2"/>
  <c r="M172" i="1"/>
  <c r="AN172" i="2"/>
  <c r="L172" i="1"/>
  <c r="AM172" i="2"/>
  <c r="K172" i="1"/>
  <c r="AL172" i="2"/>
  <c r="AK172" i="2"/>
  <c r="AJ172" i="2"/>
  <c r="H172" i="1"/>
  <c r="AI172" i="2"/>
  <c r="G172" i="1"/>
  <c r="AH172" i="2"/>
  <c r="F172" i="1"/>
  <c r="AG172" i="2"/>
  <c r="E172" i="1"/>
  <c r="AF172" i="2"/>
  <c r="D172" i="1"/>
  <c r="AE172" i="2"/>
  <c r="AD172" i="2"/>
  <c r="AC172" i="2"/>
  <c r="Z172" i="2"/>
  <c r="Y172" i="2"/>
  <c r="R171" i="1"/>
  <c r="AS171" i="2"/>
  <c r="AR171" i="2"/>
  <c r="P171" i="1"/>
  <c r="AQ171" i="2"/>
  <c r="O171" i="1"/>
  <c r="AP171" i="2"/>
  <c r="N171" i="1"/>
  <c r="AO171" i="2"/>
  <c r="M171" i="1"/>
  <c r="AN171" i="2"/>
  <c r="L171" i="1"/>
  <c r="AM171" i="2"/>
  <c r="K171" i="1"/>
  <c r="AL171" i="2"/>
  <c r="AK171" i="2"/>
  <c r="AJ171" i="2"/>
  <c r="H171" i="1"/>
  <c r="AI171" i="2"/>
  <c r="G171" i="1"/>
  <c r="AH171" i="2"/>
  <c r="F171" i="1"/>
  <c r="AG171" i="2"/>
  <c r="E171" i="1"/>
  <c r="AF171" i="2"/>
  <c r="D171" i="1"/>
  <c r="AE171" i="2"/>
  <c r="AD171" i="2"/>
  <c r="AC171" i="2"/>
  <c r="Z171" i="2"/>
  <c r="Y171" i="2"/>
  <c r="R170" i="1"/>
  <c r="AS170" i="2"/>
  <c r="AR170" i="2"/>
  <c r="P170" i="1"/>
  <c r="AQ170" i="2"/>
  <c r="O170" i="1"/>
  <c r="AP170" i="2"/>
  <c r="N170" i="1"/>
  <c r="AO170" i="2"/>
  <c r="M170" i="1"/>
  <c r="AN170" i="2"/>
  <c r="L170" i="1"/>
  <c r="AM170" i="2"/>
  <c r="K170" i="1"/>
  <c r="AL170" i="2"/>
  <c r="AK170" i="2"/>
  <c r="AJ170" i="2"/>
  <c r="H170" i="1"/>
  <c r="AI170" i="2"/>
  <c r="G170" i="1"/>
  <c r="AH170" i="2"/>
  <c r="F170" i="1"/>
  <c r="AG170" i="2"/>
  <c r="E170" i="1"/>
  <c r="AF170" i="2"/>
  <c r="D170" i="1"/>
  <c r="AE170" i="2"/>
  <c r="AD170" i="2"/>
  <c r="AC170" i="2"/>
  <c r="Z170" i="2"/>
  <c r="Y170" i="2"/>
  <c r="R169" i="1"/>
  <c r="AS169" i="2"/>
  <c r="AR169" i="2"/>
  <c r="P169" i="1"/>
  <c r="AQ169" i="2"/>
  <c r="O169" i="1"/>
  <c r="AP169" i="2"/>
  <c r="N169" i="1"/>
  <c r="AO169" i="2"/>
  <c r="M169" i="1"/>
  <c r="AN169" i="2"/>
  <c r="L169" i="1"/>
  <c r="AM169" i="2"/>
  <c r="K169" i="1"/>
  <c r="AL169" i="2"/>
  <c r="AK169" i="2"/>
  <c r="AJ169" i="2"/>
  <c r="H169" i="1"/>
  <c r="AI169" i="2"/>
  <c r="G169" i="1"/>
  <c r="AH169" i="2"/>
  <c r="F169" i="1"/>
  <c r="AG169" i="2"/>
  <c r="E169" i="1"/>
  <c r="AF169" i="2"/>
  <c r="D169" i="1"/>
  <c r="AE169" i="2"/>
  <c r="AD169" i="2"/>
  <c r="AC169" i="2"/>
  <c r="Z169" i="2"/>
  <c r="Y169" i="2"/>
  <c r="R168" i="1"/>
  <c r="AS168" i="2"/>
  <c r="AR168" i="2"/>
  <c r="P168" i="1"/>
  <c r="AQ168" i="2"/>
  <c r="O168" i="1"/>
  <c r="AP168" i="2"/>
  <c r="N168" i="1"/>
  <c r="AO168" i="2"/>
  <c r="M168" i="1"/>
  <c r="AN168" i="2"/>
  <c r="L168" i="1"/>
  <c r="AM168" i="2"/>
  <c r="K168" i="1"/>
  <c r="AL168" i="2"/>
  <c r="AK168" i="2"/>
  <c r="AJ168" i="2"/>
  <c r="H168" i="1"/>
  <c r="AI168" i="2"/>
  <c r="G168" i="1"/>
  <c r="AH168" i="2"/>
  <c r="F168" i="1"/>
  <c r="AG168" i="2"/>
  <c r="E168" i="1"/>
  <c r="AF168" i="2"/>
  <c r="D168" i="1"/>
  <c r="AE168" i="2"/>
  <c r="AD168" i="2"/>
  <c r="AC168" i="2"/>
  <c r="Z168" i="2"/>
  <c r="Y168" i="2"/>
  <c r="R167" i="1"/>
  <c r="AS167" i="2"/>
  <c r="AR167" i="2"/>
  <c r="P167" i="1"/>
  <c r="AQ167" i="2"/>
  <c r="O167" i="1"/>
  <c r="AP167" i="2"/>
  <c r="N167" i="1"/>
  <c r="AO167" i="2"/>
  <c r="M167" i="1"/>
  <c r="AN167" i="2"/>
  <c r="L167" i="1"/>
  <c r="AM167" i="2"/>
  <c r="K167" i="1"/>
  <c r="AL167" i="2"/>
  <c r="AK167" i="2"/>
  <c r="AJ167" i="2"/>
  <c r="H167" i="1"/>
  <c r="AI167" i="2"/>
  <c r="G167" i="1"/>
  <c r="AH167" i="2"/>
  <c r="F167" i="1"/>
  <c r="AG167" i="2"/>
  <c r="E167" i="1"/>
  <c r="AF167" i="2"/>
  <c r="D167" i="1"/>
  <c r="AE167" i="2"/>
  <c r="AD167" i="2"/>
  <c r="AC167" i="2"/>
  <c r="Z167" i="2"/>
  <c r="Y167" i="2"/>
  <c r="R166" i="1"/>
  <c r="AS166" i="2"/>
  <c r="AR166" i="2"/>
  <c r="P166" i="1"/>
  <c r="AQ166" i="2"/>
  <c r="O166" i="1"/>
  <c r="AP166" i="2"/>
  <c r="N166" i="1"/>
  <c r="AO166" i="2"/>
  <c r="M166" i="1"/>
  <c r="AN166" i="2"/>
  <c r="L166" i="1"/>
  <c r="AM166" i="2"/>
  <c r="K166" i="1"/>
  <c r="AL166" i="2"/>
  <c r="AK166" i="2"/>
  <c r="AJ166" i="2"/>
  <c r="H166" i="1"/>
  <c r="AI166" i="2"/>
  <c r="G166" i="1"/>
  <c r="AH166" i="2"/>
  <c r="F166" i="1"/>
  <c r="AG166" i="2"/>
  <c r="E166" i="1"/>
  <c r="AF166" i="2"/>
  <c r="D166" i="1"/>
  <c r="AE166" i="2"/>
  <c r="AD166" i="2"/>
  <c r="AC166" i="2"/>
  <c r="Z166" i="2"/>
  <c r="Y166" i="2"/>
  <c r="R165" i="1"/>
  <c r="AS165" i="2"/>
  <c r="AR165" i="2"/>
  <c r="P165" i="1"/>
  <c r="AQ165" i="2"/>
  <c r="O165" i="1"/>
  <c r="AP165" i="2"/>
  <c r="N165" i="1"/>
  <c r="AO165" i="2"/>
  <c r="M165" i="1"/>
  <c r="AN165" i="2"/>
  <c r="L165" i="1"/>
  <c r="AM165" i="2"/>
  <c r="K165" i="1"/>
  <c r="AL165" i="2"/>
  <c r="AK165" i="2"/>
  <c r="AJ165" i="2"/>
  <c r="H165" i="1"/>
  <c r="AI165" i="2"/>
  <c r="G165" i="1"/>
  <c r="AH165" i="2"/>
  <c r="F165" i="1"/>
  <c r="AG165" i="2"/>
  <c r="E165" i="1"/>
  <c r="AF165" i="2"/>
  <c r="D165" i="1"/>
  <c r="AE165" i="2"/>
  <c r="AD165" i="2"/>
  <c r="AC165" i="2"/>
  <c r="Z165" i="2"/>
  <c r="Y165" i="2"/>
  <c r="R164" i="1"/>
  <c r="AS164" i="2"/>
  <c r="AR164" i="2"/>
  <c r="P164" i="1"/>
  <c r="AQ164" i="2"/>
  <c r="O164" i="1"/>
  <c r="AP164" i="2"/>
  <c r="N164" i="1"/>
  <c r="AO164" i="2"/>
  <c r="M164" i="1"/>
  <c r="AN164" i="2"/>
  <c r="L164" i="1"/>
  <c r="AM164" i="2"/>
  <c r="K164" i="1"/>
  <c r="AL164" i="2"/>
  <c r="AK164" i="2"/>
  <c r="AJ164" i="2"/>
  <c r="H164" i="1"/>
  <c r="AI164" i="2"/>
  <c r="G164" i="1"/>
  <c r="AH164" i="2"/>
  <c r="F164" i="1"/>
  <c r="AG164" i="2"/>
  <c r="E164" i="1"/>
  <c r="AF164" i="2"/>
  <c r="D164" i="1"/>
  <c r="AE164" i="2"/>
  <c r="AD164" i="2"/>
  <c r="AC164" i="2"/>
  <c r="Z164" i="2"/>
  <c r="Y164" i="2"/>
  <c r="R163" i="1"/>
  <c r="AS163" i="2"/>
  <c r="AR163" i="2"/>
  <c r="P163" i="1"/>
  <c r="AQ163" i="2"/>
  <c r="O163" i="1"/>
  <c r="AP163" i="2"/>
  <c r="N163" i="1"/>
  <c r="AO163" i="2"/>
  <c r="M163" i="1"/>
  <c r="AN163" i="2"/>
  <c r="L163" i="1"/>
  <c r="AM163" i="2"/>
  <c r="K163" i="1"/>
  <c r="AL163" i="2"/>
  <c r="AK163" i="2"/>
  <c r="AJ163" i="2"/>
  <c r="H163" i="1"/>
  <c r="AI163" i="2"/>
  <c r="G163" i="1"/>
  <c r="AH163" i="2"/>
  <c r="F163" i="1"/>
  <c r="AG163" i="2"/>
  <c r="E163" i="1"/>
  <c r="AF163" i="2"/>
  <c r="D163" i="1"/>
  <c r="AE163" i="2"/>
  <c r="AD163" i="2"/>
  <c r="AC163" i="2"/>
  <c r="Z163" i="2"/>
  <c r="Y163" i="2"/>
  <c r="R162" i="1"/>
  <c r="AS162" i="2"/>
  <c r="AR162" i="2"/>
  <c r="P162" i="1"/>
  <c r="AQ162" i="2"/>
  <c r="O162" i="1"/>
  <c r="AP162" i="2"/>
  <c r="N162" i="1"/>
  <c r="AO162" i="2"/>
  <c r="M162" i="1"/>
  <c r="AN162" i="2"/>
  <c r="L162" i="1"/>
  <c r="AM162" i="2"/>
  <c r="K162" i="1"/>
  <c r="AL162" i="2"/>
  <c r="AK162" i="2"/>
  <c r="AJ162" i="2"/>
  <c r="H162" i="1"/>
  <c r="AI162" i="2"/>
  <c r="G162" i="1"/>
  <c r="AH162" i="2"/>
  <c r="F162" i="1"/>
  <c r="AG162" i="2"/>
  <c r="E162" i="1"/>
  <c r="AF162" i="2"/>
  <c r="D162" i="1"/>
  <c r="AE162" i="2"/>
  <c r="AD162" i="2"/>
  <c r="AC162" i="2"/>
  <c r="Z162" i="2"/>
  <c r="Y162" i="2"/>
  <c r="R161" i="1"/>
  <c r="AS161" i="2"/>
  <c r="AR161" i="2"/>
  <c r="P161" i="1"/>
  <c r="AQ161" i="2"/>
  <c r="O161" i="1"/>
  <c r="AP161" i="2"/>
  <c r="N161" i="1"/>
  <c r="AO161" i="2"/>
  <c r="M161" i="1"/>
  <c r="AN161" i="2"/>
  <c r="L161" i="1"/>
  <c r="AM161" i="2"/>
  <c r="K161" i="1"/>
  <c r="AL161" i="2"/>
  <c r="AK161" i="2"/>
  <c r="AJ161" i="2"/>
  <c r="H161" i="1"/>
  <c r="AI161" i="2"/>
  <c r="G161" i="1"/>
  <c r="AH161" i="2"/>
  <c r="F161" i="1"/>
  <c r="AG161" i="2"/>
  <c r="E161" i="1"/>
  <c r="AF161" i="2"/>
  <c r="D161" i="1"/>
  <c r="AE161" i="2"/>
  <c r="AD161" i="2"/>
  <c r="AC161" i="2"/>
  <c r="Z161" i="2"/>
  <c r="Y161" i="2"/>
  <c r="R160" i="1"/>
  <c r="AS160" i="2"/>
  <c r="AR160" i="2"/>
  <c r="P160" i="1"/>
  <c r="AQ160" i="2"/>
  <c r="O160" i="1"/>
  <c r="AP160" i="2"/>
  <c r="N160" i="1"/>
  <c r="AO160" i="2"/>
  <c r="M160" i="1"/>
  <c r="AN160" i="2"/>
  <c r="L160" i="1"/>
  <c r="AM160" i="2"/>
  <c r="K160" i="1"/>
  <c r="AL160" i="2"/>
  <c r="AK160" i="2"/>
  <c r="AJ160" i="2"/>
  <c r="H160" i="1"/>
  <c r="AI160" i="2"/>
  <c r="G160" i="1"/>
  <c r="AH160" i="2"/>
  <c r="F160" i="1"/>
  <c r="AG160" i="2"/>
  <c r="E160" i="1"/>
  <c r="AF160" i="2"/>
  <c r="D160" i="1"/>
  <c r="AE160" i="2"/>
  <c r="AD160" i="2"/>
  <c r="AC160" i="2"/>
  <c r="Z160" i="2"/>
  <c r="Y160" i="2"/>
  <c r="R159" i="1"/>
  <c r="AS159" i="2"/>
  <c r="AR159" i="2"/>
  <c r="P159" i="1"/>
  <c r="AQ159" i="2"/>
  <c r="O159" i="1"/>
  <c r="AP159" i="2"/>
  <c r="N159" i="1"/>
  <c r="AO159" i="2"/>
  <c r="M159" i="1"/>
  <c r="AN159" i="2"/>
  <c r="L159" i="1"/>
  <c r="AM159" i="2"/>
  <c r="K159" i="1"/>
  <c r="AL159" i="2"/>
  <c r="AK159" i="2"/>
  <c r="AJ159" i="2"/>
  <c r="H159" i="1"/>
  <c r="AI159" i="2"/>
  <c r="G159" i="1"/>
  <c r="AH159" i="2"/>
  <c r="F159" i="1"/>
  <c r="AG159" i="2"/>
  <c r="E159" i="1"/>
  <c r="AF159" i="2"/>
  <c r="D159" i="1"/>
  <c r="AE159" i="2"/>
  <c r="AD159" i="2"/>
  <c r="AC159" i="2"/>
  <c r="Z159" i="2"/>
  <c r="Y159" i="2"/>
  <c r="R158" i="1"/>
  <c r="AS158" i="2"/>
  <c r="AR158" i="2"/>
  <c r="P158" i="1"/>
  <c r="AQ158" i="2"/>
  <c r="O158" i="1"/>
  <c r="AP158" i="2"/>
  <c r="N158" i="1"/>
  <c r="AO158" i="2"/>
  <c r="M158" i="1"/>
  <c r="AN158" i="2"/>
  <c r="L158" i="1"/>
  <c r="AM158" i="2"/>
  <c r="K158" i="1"/>
  <c r="AL158" i="2"/>
  <c r="AK158" i="2"/>
  <c r="AJ158" i="2"/>
  <c r="H158" i="1"/>
  <c r="AI158" i="2"/>
  <c r="G158" i="1"/>
  <c r="AH158" i="2"/>
  <c r="F158" i="1"/>
  <c r="AG158" i="2"/>
  <c r="E158" i="1"/>
  <c r="AF158" i="2"/>
  <c r="D158" i="1"/>
  <c r="AE158" i="2"/>
  <c r="AD158" i="2"/>
  <c r="AC158" i="2"/>
  <c r="Z158" i="2"/>
  <c r="Y158" i="2"/>
  <c r="R157" i="1"/>
  <c r="AS157" i="2"/>
  <c r="AR157" i="2"/>
  <c r="P157" i="1"/>
  <c r="AQ157" i="2"/>
  <c r="O157" i="1"/>
  <c r="AP157" i="2"/>
  <c r="N157" i="1"/>
  <c r="AO157" i="2"/>
  <c r="M157" i="1"/>
  <c r="AN157" i="2"/>
  <c r="L157" i="1"/>
  <c r="AM157" i="2"/>
  <c r="K157" i="1"/>
  <c r="AL157" i="2"/>
  <c r="AK157" i="2"/>
  <c r="AJ157" i="2"/>
  <c r="H157" i="1"/>
  <c r="AI157" i="2"/>
  <c r="G157" i="1"/>
  <c r="AH157" i="2"/>
  <c r="F157" i="1"/>
  <c r="AG157" i="2"/>
  <c r="E157" i="1"/>
  <c r="AF157" i="2"/>
  <c r="D157" i="1"/>
  <c r="AE157" i="2"/>
  <c r="AD157" i="2"/>
  <c r="AC157" i="2"/>
  <c r="Z157" i="2"/>
  <c r="Y157" i="2"/>
  <c r="R156" i="1"/>
  <c r="AS156" i="2"/>
  <c r="AR156" i="2"/>
  <c r="P156" i="1"/>
  <c r="AQ156" i="2"/>
  <c r="O156" i="1"/>
  <c r="AP156" i="2"/>
  <c r="N156" i="1"/>
  <c r="AO156" i="2"/>
  <c r="M156" i="1"/>
  <c r="AN156" i="2"/>
  <c r="L156" i="1"/>
  <c r="AM156" i="2"/>
  <c r="K156" i="1"/>
  <c r="AL156" i="2"/>
  <c r="AK156" i="2"/>
  <c r="AJ156" i="2"/>
  <c r="H156" i="1"/>
  <c r="AI156" i="2"/>
  <c r="G156" i="1"/>
  <c r="AH156" i="2"/>
  <c r="F156" i="1"/>
  <c r="AG156" i="2"/>
  <c r="E156" i="1"/>
  <c r="AF156" i="2"/>
  <c r="D156" i="1"/>
  <c r="AE156" i="2"/>
  <c r="AD156" i="2"/>
  <c r="AC156" i="2"/>
  <c r="Z156" i="2"/>
  <c r="Y156" i="2"/>
  <c r="R155" i="1"/>
  <c r="AS155" i="2"/>
  <c r="AR155" i="2"/>
  <c r="P155" i="1"/>
  <c r="AQ155" i="2"/>
  <c r="O155" i="1"/>
  <c r="AP155" i="2"/>
  <c r="N155" i="1"/>
  <c r="AO155" i="2"/>
  <c r="M155" i="1"/>
  <c r="AN155" i="2"/>
  <c r="L155" i="1"/>
  <c r="AM155" i="2"/>
  <c r="K155" i="1"/>
  <c r="AL155" i="2"/>
  <c r="AK155" i="2"/>
  <c r="AJ155" i="2"/>
  <c r="H155" i="1"/>
  <c r="AI155" i="2"/>
  <c r="G155" i="1"/>
  <c r="AH155" i="2"/>
  <c r="F155" i="1"/>
  <c r="AG155" i="2"/>
  <c r="E155" i="1"/>
  <c r="AF155" i="2"/>
  <c r="D155" i="1"/>
  <c r="AE155" i="2"/>
  <c r="AD155" i="2"/>
  <c r="AC155" i="2"/>
  <c r="Z155" i="2"/>
  <c r="Y155" i="2"/>
  <c r="R154" i="1"/>
  <c r="AS154" i="2"/>
  <c r="AR154" i="2"/>
  <c r="P154" i="1"/>
  <c r="AQ154" i="2"/>
  <c r="O154" i="1"/>
  <c r="AP154" i="2"/>
  <c r="N154" i="1"/>
  <c r="AO154" i="2"/>
  <c r="M154" i="1"/>
  <c r="AN154" i="2"/>
  <c r="L154" i="1"/>
  <c r="AM154" i="2"/>
  <c r="K154" i="1"/>
  <c r="AL154" i="2"/>
  <c r="AK154" i="2"/>
  <c r="AJ154" i="2"/>
  <c r="H154" i="1"/>
  <c r="AI154" i="2"/>
  <c r="G154" i="1"/>
  <c r="AH154" i="2"/>
  <c r="F154" i="1"/>
  <c r="AG154" i="2"/>
  <c r="E154" i="1"/>
  <c r="AF154" i="2"/>
  <c r="D154" i="1"/>
  <c r="AE154" i="2"/>
  <c r="AD154" i="2"/>
  <c r="AC154" i="2"/>
  <c r="Z154" i="2"/>
  <c r="Y154" i="2"/>
  <c r="R153" i="1"/>
  <c r="AS153" i="2"/>
  <c r="AR153" i="2"/>
  <c r="P153" i="1"/>
  <c r="AQ153" i="2"/>
  <c r="O153" i="1"/>
  <c r="AP153" i="2"/>
  <c r="N153" i="1"/>
  <c r="AO153" i="2"/>
  <c r="M153" i="1"/>
  <c r="AN153" i="2"/>
  <c r="L153" i="1"/>
  <c r="AM153" i="2"/>
  <c r="K153" i="1"/>
  <c r="AL153" i="2"/>
  <c r="AK153" i="2"/>
  <c r="AJ153" i="2"/>
  <c r="H153" i="1"/>
  <c r="AI153" i="2"/>
  <c r="G153" i="1"/>
  <c r="AH153" i="2"/>
  <c r="F153" i="1"/>
  <c r="AG153" i="2"/>
  <c r="E153" i="1"/>
  <c r="AF153" i="2"/>
  <c r="D153" i="1"/>
  <c r="AE153" i="2"/>
  <c r="AD153" i="2"/>
  <c r="AC153" i="2"/>
  <c r="Z153" i="2"/>
  <c r="Y153" i="2"/>
  <c r="R152" i="1"/>
  <c r="AS152" i="2"/>
  <c r="AR152" i="2"/>
  <c r="P152" i="1"/>
  <c r="AQ152" i="2"/>
  <c r="O152" i="1"/>
  <c r="AP152" i="2"/>
  <c r="N152" i="1"/>
  <c r="AO152" i="2"/>
  <c r="M152" i="1"/>
  <c r="AN152" i="2"/>
  <c r="L152" i="1"/>
  <c r="AM152" i="2"/>
  <c r="K152" i="1"/>
  <c r="AL152" i="2"/>
  <c r="AK152" i="2"/>
  <c r="AJ152" i="2"/>
  <c r="H152" i="1"/>
  <c r="AI152" i="2"/>
  <c r="G152" i="1"/>
  <c r="AH152" i="2"/>
  <c r="F152" i="1"/>
  <c r="AG152" i="2"/>
  <c r="E152" i="1"/>
  <c r="AF152" i="2"/>
  <c r="D152" i="1"/>
  <c r="AE152" i="2"/>
  <c r="AD152" i="2"/>
  <c r="AC152" i="2"/>
  <c r="Z152" i="2"/>
  <c r="Y152" i="2"/>
  <c r="R151" i="1"/>
  <c r="AS151" i="2"/>
  <c r="AR151" i="2"/>
  <c r="P151" i="1"/>
  <c r="AQ151" i="2"/>
  <c r="O151" i="1"/>
  <c r="AP151" i="2"/>
  <c r="N151" i="1"/>
  <c r="AO151" i="2"/>
  <c r="M151" i="1"/>
  <c r="AN151" i="2"/>
  <c r="L151" i="1"/>
  <c r="AM151" i="2"/>
  <c r="K151" i="1"/>
  <c r="AL151" i="2"/>
  <c r="AK151" i="2"/>
  <c r="AJ151" i="2"/>
  <c r="H151" i="1"/>
  <c r="AI151" i="2"/>
  <c r="G151" i="1"/>
  <c r="AH151" i="2"/>
  <c r="F151" i="1"/>
  <c r="AG151" i="2"/>
  <c r="E151" i="1"/>
  <c r="AF151" i="2"/>
  <c r="D151" i="1"/>
  <c r="AE151" i="2"/>
  <c r="AD151" i="2"/>
  <c r="AC151" i="2"/>
  <c r="Z151" i="2"/>
  <c r="Y151" i="2"/>
  <c r="R150" i="1"/>
  <c r="AS150" i="2"/>
  <c r="AR150" i="2"/>
  <c r="P150" i="1"/>
  <c r="AQ150" i="2"/>
  <c r="O150" i="1"/>
  <c r="AP150" i="2"/>
  <c r="N150" i="1"/>
  <c r="AO150" i="2"/>
  <c r="M150" i="1"/>
  <c r="AN150" i="2"/>
  <c r="L150" i="1"/>
  <c r="AM150" i="2"/>
  <c r="K150" i="1"/>
  <c r="AL150" i="2"/>
  <c r="AK150" i="2"/>
  <c r="AJ150" i="2"/>
  <c r="H150" i="1"/>
  <c r="AI150" i="2"/>
  <c r="G150" i="1"/>
  <c r="AH150" i="2"/>
  <c r="F150" i="1"/>
  <c r="AG150" i="2"/>
  <c r="E150" i="1"/>
  <c r="AF150" i="2"/>
  <c r="D150" i="1"/>
  <c r="AE150" i="2"/>
  <c r="AD150" i="2"/>
  <c r="AC150" i="2"/>
  <c r="Z150" i="2"/>
  <c r="Y150" i="2"/>
  <c r="R149" i="1"/>
  <c r="AS149" i="2"/>
  <c r="AR149" i="2"/>
  <c r="P149" i="1"/>
  <c r="AQ149" i="2"/>
  <c r="O149" i="1"/>
  <c r="AP149" i="2"/>
  <c r="N149" i="1"/>
  <c r="AO149" i="2"/>
  <c r="M149" i="1"/>
  <c r="AN149" i="2"/>
  <c r="L149" i="1"/>
  <c r="AM149" i="2"/>
  <c r="K149" i="1"/>
  <c r="AL149" i="2"/>
  <c r="AK149" i="2"/>
  <c r="AJ149" i="2"/>
  <c r="H149" i="1"/>
  <c r="AI149" i="2"/>
  <c r="G149" i="1"/>
  <c r="AH149" i="2"/>
  <c r="F149" i="1"/>
  <c r="AG149" i="2"/>
  <c r="E149" i="1"/>
  <c r="AF149" i="2"/>
  <c r="D149" i="1"/>
  <c r="AE149" i="2"/>
  <c r="AD149" i="2"/>
  <c r="AC149" i="2"/>
  <c r="Z149" i="2"/>
  <c r="Y149" i="2"/>
  <c r="R148" i="1"/>
  <c r="AS148" i="2"/>
  <c r="AR148" i="2"/>
  <c r="P148" i="1"/>
  <c r="AQ148" i="2"/>
  <c r="O148" i="1"/>
  <c r="AP148" i="2"/>
  <c r="N148" i="1"/>
  <c r="AO148" i="2"/>
  <c r="M148" i="1"/>
  <c r="AN148" i="2"/>
  <c r="L148" i="1"/>
  <c r="AM148" i="2"/>
  <c r="K148" i="1"/>
  <c r="AL148" i="2"/>
  <c r="AK148" i="2"/>
  <c r="AJ148" i="2"/>
  <c r="H148" i="1"/>
  <c r="AI148" i="2"/>
  <c r="G148" i="1"/>
  <c r="AH148" i="2"/>
  <c r="F148" i="1"/>
  <c r="AG148" i="2"/>
  <c r="E148" i="1"/>
  <c r="AF148" i="2"/>
  <c r="D148" i="1"/>
  <c r="AE148" i="2"/>
  <c r="AD148" i="2"/>
  <c r="AC148" i="2"/>
  <c r="Z148" i="2"/>
  <c r="Y148" i="2"/>
  <c r="R147" i="1"/>
  <c r="AS147" i="2"/>
  <c r="AR147" i="2"/>
  <c r="P147" i="1"/>
  <c r="AQ147" i="2"/>
  <c r="O147" i="1"/>
  <c r="AP147" i="2"/>
  <c r="N147" i="1"/>
  <c r="AO147" i="2"/>
  <c r="M147" i="1"/>
  <c r="AN147" i="2"/>
  <c r="L147" i="1"/>
  <c r="AM147" i="2"/>
  <c r="K147" i="1"/>
  <c r="AL147" i="2"/>
  <c r="AK147" i="2"/>
  <c r="AJ147" i="2"/>
  <c r="H147" i="1"/>
  <c r="AI147" i="2"/>
  <c r="G147" i="1"/>
  <c r="AH147" i="2"/>
  <c r="F147" i="1"/>
  <c r="AG147" i="2"/>
  <c r="E147" i="1"/>
  <c r="AF147" i="2"/>
  <c r="D147" i="1"/>
  <c r="AE147" i="2"/>
  <c r="AD147" i="2"/>
  <c r="AC147" i="2"/>
  <c r="Z147" i="2"/>
  <c r="Y147" i="2"/>
  <c r="R146" i="1"/>
  <c r="AS146" i="2"/>
  <c r="AR146" i="2"/>
  <c r="P146" i="1"/>
  <c r="AQ146" i="2"/>
  <c r="O146" i="1"/>
  <c r="AP146" i="2"/>
  <c r="N146" i="1"/>
  <c r="AO146" i="2"/>
  <c r="M146" i="1"/>
  <c r="AN146" i="2"/>
  <c r="L146" i="1"/>
  <c r="AM146" i="2"/>
  <c r="K146" i="1"/>
  <c r="AL146" i="2"/>
  <c r="AK146" i="2"/>
  <c r="AJ146" i="2"/>
  <c r="H146" i="1"/>
  <c r="AI146" i="2"/>
  <c r="G146" i="1"/>
  <c r="AH146" i="2"/>
  <c r="F146" i="1"/>
  <c r="AG146" i="2"/>
  <c r="E146" i="1"/>
  <c r="AF146" i="2"/>
  <c r="D146" i="1"/>
  <c r="AE146" i="2"/>
  <c r="AD146" i="2"/>
  <c r="AC146" i="2"/>
  <c r="Z146" i="2"/>
  <c r="Y146" i="2"/>
  <c r="R145" i="1"/>
  <c r="AS145" i="2"/>
  <c r="AR145" i="2"/>
  <c r="P145" i="1"/>
  <c r="AQ145" i="2"/>
  <c r="O145" i="1"/>
  <c r="AP145" i="2"/>
  <c r="N145" i="1"/>
  <c r="AO145" i="2"/>
  <c r="M145" i="1"/>
  <c r="AN145" i="2"/>
  <c r="L145" i="1"/>
  <c r="AM145" i="2"/>
  <c r="K145" i="1"/>
  <c r="AL145" i="2"/>
  <c r="AK145" i="2"/>
  <c r="AJ145" i="2"/>
  <c r="H145" i="1"/>
  <c r="AI145" i="2"/>
  <c r="G145" i="1"/>
  <c r="AH145" i="2"/>
  <c r="F145" i="1"/>
  <c r="AG145" i="2"/>
  <c r="E145" i="1"/>
  <c r="AF145" i="2"/>
  <c r="D145" i="1"/>
  <c r="AE145" i="2"/>
  <c r="AD145" i="2"/>
  <c r="AC145" i="2"/>
  <c r="Z145" i="2"/>
  <c r="Y145" i="2"/>
  <c r="R144" i="1"/>
  <c r="AS144" i="2"/>
  <c r="AR144" i="2"/>
  <c r="P144" i="1"/>
  <c r="AQ144" i="2"/>
  <c r="O144" i="1"/>
  <c r="AP144" i="2"/>
  <c r="N144" i="1"/>
  <c r="AO144" i="2"/>
  <c r="M144" i="1"/>
  <c r="AN144" i="2"/>
  <c r="L144" i="1"/>
  <c r="AM144" i="2"/>
  <c r="K144" i="1"/>
  <c r="AL144" i="2"/>
  <c r="AK144" i="2"/>
  <c r="AJ144" i="2"/>
  <c r="H144" i="1"/>
  <c r="AI144" i="2"/>
  <c r="G144" i="1"/>
  <c r="AH144" i="2"/>
  <c r="F144" i="1"/>
  <c r="AG144" i="2"/>
  <c r="E144" i="1"/>
  <c r="AF144" i="2"/>
  <c r="D144" i="1"/>
  <c r="AE144" i="2"/>
  <c r="AD144" i="2"/>
  <c r="AC144" i="2"/>
  <c r="Z144" i="2"/>
  <c r="Y144" i="2"/>
  <c r="R143" i="1"/>
  <c r="AS143" i="2"/>
  <c r="AR143" i="2"/>
  <c r="P143" i="1"/>
  <c r="AQ143" i="2"/>
  <c r="O143" i="1"/>
  <c r="AP143" i="2"/>
  <c r="N143" i="1"/>
  <c r="AO143" i="2"/>
  <c r="M143" i="1"/>
  <c r="AN143" i="2"/>
  <c r="L143" i="1"/>
  <c r="AM143" i="2"/>
  <c r="K143" i="1"/>
  <c r="AL143" i="2"/>
  <c r="AK143" i="2"/>
  <c r="AJ143" i="2"/>
  <c r="H143" i="1"/>
  <c r="AI143" i="2"/>
  <c r="G143" i="1"/>
  <c r="AH143" i="2"/>
  <c r="F143" i="1"/>
  <c r="AG143" i="2"/>
  <c r="E143" i="1"/>
  <c r="AF143" i="2"/>
  <c r="D143" i="1"/>
  <c r="AE143" i="2"/>
  <c r="AD143" i="2"/>
  <c r="AC143" i="2"/>
  <c r="Z143" i="2"/>
  <c r="Y143" i="2"/>
  <c r="R142" i="1"/>
  <c r="AS142" i="2"/>
  <c r="AR142" i="2"/>
  <c r="P142" i="1"/>
  <c r="AQ142" i="2"/>
  <c r="O142" i="1"/>
  <c r="AP142" i="2"/>
  <c r="N142" i="1"/>
  <c r="AO142" i="2"/>
  <c r="M142" i="1"/>
  <c r="AN142" i="2"/>
  <c r="L142" i="1"/>
  <c r="AM142" i="2"/>
  <c r="K142" i="1"/>
  <c r="AL142" i="2"/>
  <c r="AK142" i="2"/>
  <c r="AJ142" i="2"/>
  <c r="H142" i="1"/>
  <c r="AI142" i="2"/>
  <c r="G142" i="1"/>
  <c r="AH142" i="2"/>
  <c r="F142" i="1"/>
  <c r="AG142" i="2"/>
  <c r="E142" i="1"/>
  <c r="AF142" i="2"/>
  <c r="D142" i="1"/>
  <c r="AE142" i="2"/>
  <c r="AD142" i="2"/>
  <c r="AC142" i="2"/>
  <c r="Z142" i="2"/>
  <c r="Y142" i="2"/>
  <c r="R141" i="1"/>
  <c r="AS141" i="2"/>
  <c r="AR141" i="2"/>
  <c r="P141" i="1"/>
  <c r="AQ141" i="2"/>
  <c r="O141" i="1"/>
  <c r="AP141" i="2"/>
  <c r="N141" i="1"/>
  <c r="AO141" i="2"/>
  <c r="M141" i="1"/>
  <c r="AN141" i="2"/>
  <c r="L141" i="1"/>
  <c r="AM141" i="2"/>
  <c r="K141" i="1"/>
  <c r="AL141" i="2"/>
  <c r="AK141" i="2"/>
  <c r="AJ141" i="2"/>
  <c r="H141" i="1"/>
  <c r="AI141" i="2"/>
  <c r="G141" i="1"/>
  <c r="AH141" i="2"/>
  <c r="F141" i="1"/>
  <c r="AG141" i="2"/>
  <c r="E141" i="1"/>
  <c r="AF141" i="2"/>
  <c r="D141" i="1"/>
  <c r="AE141" i="2"/>
  <c r="AD141" i="2"/>
  <c r="AC141" i="2"/>
  <c r="Z141" i="2"/>
  <c r="Y141" i="2"/>
  <c r="R140" i="1"/>
  <c r="AS140" i="2"/>
  <c r="AR140" i="2"/>
  <c r="P140" i="1"/>
  <c r="AQ140" i="2"/>
  <c r="O140" i="1"/>
  <c r="AP140" i="2"/>
  <c r="N140" i="1"/>
  <c r="AO140" i="2"/>
  <c r="M140" i="1"/>
  <c r="AN140" i="2"/>
  <c r="L140" i="1"/>
  <c r="AM140" i="2"/>
  <c r="K140" i="1"/>
  <c r="AL140" i="2"/>
  <c r="AK140" i="2"/>
  <c r="AJ140" i="2"/>
  <c r="H140" i="1"/>
  <c r="AI140" i="2"/>
  <c r="G140" i="1"/>
  <c r="AH140" i="2"/>
  <c r="F140" i="1"/>
  <c r="AG140" i="2"/>
  <c r="E140" i="1"/>
  <c r="AF140" i="2"/>
  <c r="D140" i="1"/>
  <c r="AE140" i="2"/>
  <c r="AD140" i="2"/>
  <c r="AC140" i="2"/>
  <c r="Z140" i="2"/>
  <c r="Y140" i="2"/>
  <c r="R139" i="1"/>
  <c r="AS139" i="2"/>
  <c r="AR139" i="2"/>
  <c r="P139" i="1"/>
  <c r="AQ139" i="2"/>
  <c r="O139" i="1"/>
  <c r="AP139" i="2"/>
  <c r="N139" i="1"/>
  <c r="AO139" i="2"/>
  <c r="M139" i="1"/>
  <c r="AN139" i="2"/>
  <c r="L139" i="1"/>
  <c r="AM139" i="2"/>
  <c r="K139" i="1"/>
  <c r="AL139" i="2"/>
  <c r="AK139" i="2"/>
  <c r="AJ139" i="2"/>
  <c r="H139" i="1"/>
  <c r="AI139" i="2"/>
  <c r="G139" i="1"/>
  <c r="AH139" i="2"/>
  <c r="F139" i="1"/>
  <c r="AG139" i="2"/>
  <c r="E139" i="1"/>
  <c r="AF139" i="2"/>
  <c r="D139" i="1"/>
  <c r="AE139" i="2"/>
  <c r="AD139" i="2"/>
  <c r="AC139" i="2"/>
  <c r="Z139" i="2"/>
  <c r="Y139" i="2"/>
  <c r="R138" i="1"/>
  <c r="AS138" i="2"/>
  <c r="AR138" i="2"/>
  <c r="P138" i="1"/>
  <c r="AQ138" i="2"/>
  <c r="O138" i="1"/>
  <c r="AP138" i="2"/>
  <c r="N138" i="1"/>
  <c r="AO138" i="2"/>
  <c r="M138" i="1"/>
  <c r="AN138" i="2"/>
  <c r="L138" i="1"/>
  <c r="AM138" i="2"/>
  <c r="K138" i="1"/>
  <c r="AL138" i="2"/>
  <c r="AK138" i="2"/>
  <c r="AJ138" i="2"/>
  <c r="H138" i="1"/>
  <c r="AI138" i="2"/>
  <c r="G138" i="1"/>
  <c r="AH138" i="2"/>
  <c r="F138" i="1"/>
  <c r="AG138" i="2"/>
  <c r="E138" i="1"/>
  <c r="AF138" i="2"/>
  <c r="D138" i="1"/>
  <c r="AE138" i="2"/>
  <c r="AD138" i="2"/>
  <c r="AC138" i="2"/>
  <c r="Z138" i="2"/>
  <c r="Y138" i="2"/>
  <c r="R137" i="1"/>
  <c r="AS137" i="2"/>
  <c r="AR137" i="2"/>
  <c r="P137" i="1"/>
  <c r="AQ137" i="2"/>
  <c r="O137" i="1"/>
  <c r="AP137" i="2"/>
  <c r="N137" i="1"/>
  <c r="AO137" i="2"/>
  <c r="M137" i="1"/>
  <c r="AN137" i="2"/>
  <c r="L137" i="1"/>
  <c r="AM137" i="2"/>
  <c r="K137" i="1"/>
  <c r="AL137" i="2"/>
  <c r="AK137" i="2"/>
  <c r="AJ137" i="2"/>
  <c r="H137" i="1"/>
  <c r="AI137" i="2"/>
  <c r="G137" i="1"/>
  <c r="AH137" i="2"/>
  <c r="F137" i="1"/>
  <c r="AG137" i="2"/>
  <c r="E137" i="1"/>
  <c r="AF137" i="2"/>
  <c r="D137" i="1"/>
  <c r="AE137" i="2"/>
  <c r="AD137" i="2"/>
  <c r="AC137" i="2"/>
  <c r="Z137" i="2"/>
  <c r="Y137" i="2"/>
  <c r="R136" i="1"/>
  <c r="AS136" i="2"/>
  <c r="AR136" i="2"/>
  <c r="P136" i="1"/>
  <c r="AQ136" i="2"/>
  <c r="O136" i="1"/>
  <c r="AP136" i="2"/>
  <c r="N136" i="1"/>
  <c r="AO136" i="2"/>
  <c r="M136" i="1"/>
  <c r="AN136" i="2"/>
  <c r="L136" i="1"/>
  <c r="AM136" i="2"/>
  <c r="K136" i="1"/>
  <c r="AL136" i="2"/>
  <c r="AK136" i="2"/>
  <c r="AJ136" i="2"/>
  <c r="H136" i="1"/>
  <c r="AI136" i="2"/>
  <c r="G136" i="1"/>
  <c r="AH136" i="2"/>
  <c r="F136" i="1"/>
  <c r="AG136" i="2"/>
  <c r="E136" i="1"/>
  <c r="AF136" i="2"/>
  <c r="D136" i="1"/>
  <c r="AE136" i="2"/>
  <c r="AD136" i="2"/>
  <c r="AC136" i="2"/>
  <c r="Z136" i="2"/>
  <c r="Y136" i="2"/>
  <c r="R135" i="1"/>
  <c r="AS135" i="2"/>
  <c r="AR135" i="2"/>
  <c r="P135" i="1"/>
  <c r="AQ135" i="2"/>
  <c r="O135" i="1"/>
  <c r="AP135" i="2"/>
  <c r="N135" i="1"/>
  <c r="AO135" i="2"/>
  <c r="M135" i="1"/>
  <c r="AN135" i="2"/>
  <c r="L135" i="1"/>
  <c r="AM135" i="2"/>
  <c r="K135" i="1"/>
  <c r="AL135" i="2"/>
  <c r="AK135" i="2"/>
  <c r="AJ135" i="2"/>
  <c r="H135" i="1"/>
  <c r="AI135" i="2"/>
  <c r="G135" i="1"/>
  <c r="AH135" i="2"/>
  <c r="F135" i="1"/>
  <c r="AG135" i="2"/>
  <c r="E135" i="1"/>
  <c r="AF135" i="2"/>
  <c r="D135" i="1"/>
  <c r="AE135" i="2"/>
  <c r="AD135" i="2"/>
  <c r="AC135" i="2"/>
  <c r="Z135" i="2"/>
  <c r="Y135" i="2"/>
  <c r="R134" i="1"/>
  <c r="AS134" i="2"/>
  <c r="AR134" i="2"/>
  <c r="P134" i="1"/>
  <c r="AQ134" i="2"/>
  <c r="O134" i="1"/>
  <c r="AP134" i="2"/>
  <c r="N134" i="1"/>
  <c r="AO134" i="2"/>
  <c r="M134" i="1"/>
  <c r="AN134" i="2"/>
  <c r="L134" i="1"/>
  <c r="AM134" i="2"/>
  <c r="K134" i="1"/>
  <c r="AL134" i="2"/>
  <c r="AK134" i="2"/>
  <c r="AJ134" i="2"/>
  <c r="H134" i="1"/>
  <c r="AI134" i="2"/>
  <c r="G134" i="1"/>
  <c r="AH134" i="2"/>
  <c r="F134" i="1"/>
  <c r="AG134" i="2"/>
  <c r="E134" i="1"/>
  <c r="AF134" i="2"/>
  <c r="D134" i="1"/>
  <c r="AE134" i="2"/>
  <c r="AD134" i="2"/>
  <c r="AC134" i="2"/>
  <c r="Z134" i="2"/>
  <c r="Y134" i="2"/>
  <c r="R133" i="1"/>
  <c r="AS133" i="2"/>
  <c r="AR133" i="2"/>
  <c r="P133" i="1"/>
  <c r="AQ133" i="2"/>
  <c r="O133" i="1"/>
  <c r="AP133" i="2"/>
  <c r="N133" i="1"/>
  <c r="AO133" i="2"/>
  <c r="M133" i="1"/>
  <c r="AN133" i="2"/>
  <c r="L133" i="1"/>
  <c r="AM133" i="2"/>
  <c r="K133" i="1"/>
  <c r="AL133" i="2"/>
  <c r="AK133" i="2"/>
  <c r="AJ133" i="2"/>
  <c r="H133" i="1"/>
  <c r="AI133" i="2"/>
  <c r="G133" i="1"/>
  <c r="AH133" i="2"/>
  <c r="F133" i="1"/>
  <c r="AG133" i="2"/>
  <c r="E133" i="1"/>
  <c r="AF133" i="2"/>
  <c r="D133" i="1"/>
  <c r="AE133" i="2"/>
  <c r="AD133" i="2"/>
  <c r="AC133" i="2"/>
  <c r="Z133" i="2"/>
  <c r="Y133" i="2"/>
  <c r="R132" i="1"/>
  <c r="AS132" i="2"/>
  <c r="AR132" i="2"/>
  <c r="P132" i="1"/>
  <c r="AQ132" i="2"/>
  <c r="O132" i="1"/>
  <c r="AP132" i="2"/>
  <c r="N132" i="1"/>
  <c r="AO132" i="2"/>
  <c r="M132" i="1"/>
  <c r="AN132" i="2"/>
  <c r="L132" i="1"/>
  <c r="AM132" i="2"/>
  <c r="K132" i="1"/>
  <c r="AL132" i="2"/>
  <c r="AK132" i="2"/>
  <c r="AJ132" i="2"/>
  <c r="H132" i="1"/>
  <c r="AI132" i="2"/>
  <c r="G132" i="1"/>
  <c r="AH132" i="2"/>
  <c r="F132" i="1"/>
  <c r="AG132" i="2"/>
  <c r="E132" i="1"/>
  <c r="AF132" i="2"/>
  <c r="D132" i="1"/>
  <c r="AE132" i="2"/>
  <c r="AD132" i="2"/>
  <c r="AC132" i="2"/>
  <c r="Z132" i="2"/>
  <c r="Y132" i="2"/>
  <c r="R131" i="1"/>
  <c r="AS131" i="2"/>
  <c r="AR131" i="2"/>
  <c r="P131" i="1"/>
  <c r="AQ131" i="2"/>
  <c r="O131" i="1"/>
  <c r="AP131" i="2"/>
  <c r="N131" i="1"/>
  <c r="AO131" i="2"/>
  <c r="M131" i="1"/>
  <c r="AN131" i="2"/>
  <c r="L131" i="1"/>
  <c r="AM131" i="2"/>
  <c r="K131" i="1"/>
  <c r="AL131" i="2"/>
  <c r="AK131" i="2"/>
  <c r="AJ131" i="2"/>
  <c r="H131" i="1"/>
  <c r="AI131" i="2"/>
  <c r="G131" i="1"/>
  <c r="AH131" i="2"/>
  <c r="F131" i="1"/>
  <c r="AG131" i="2"/>
  <c r="E131" i="1"/>
  <c r="AF131" i="2"/>
  <c r="D131" i="1"/>
  <c r="AE131" i="2"/>
  <c r="AD131" i="2"/>
  <c r="AC131" i="2"/>
  <c r="Z131" i="2"/>
  <c r="Y131" i="2"/>
  <c r="R130" i="1"/>
  <c r="AS130" i="2"/>
  <c r="AR130" i="2"/>
  <c r="P130" i="1"/>
  <c r="AQ130" i="2"/>
  <c r="O130" i="1"/>
  <c r="AP130" i="2"/>
  <c r="N130" i="1"/>
  <c r="AO130" i="2"/>
  <c r="M130" i="1"/>
  <c r="AN130" i="2"/>
  <c r="L130" i="1"/>
  <c r="AM130" i="2"/>
  <c r="K130" i="1"/>
  <c r="AL130" i="2"/>
  <c r="AK130" i="2"/>
  <c r="AJ130" i="2"/>
  <c r="H130" i="1"/>
  <c r="AI130" i="2"/>
  <c r="G130" i="1"/>
  <c r="AH130" i="2"/>
  <c r="F130" i="1"/>
  <c r="AG130" i="2"/>
  <c r="E130" i="1"/>
  <c r="AF130" i="2"/>
  <c r="D130" i="1"/>
  <c r="AE130" i="2"/>
  <c r="AD130" i="2"/>
  <c r="AC130" i="2"/>
  <c r="Z130" i="2"/>
  <c r="Y130" i="2"/>
  <c r="R129" i="1"/>
  <c r="AS129" i="2"/>
  <c r="AR129" i="2"/>
  <c r="P129" i="1"/>
  <c r="AQ129" i="2"/>
  <c r="O129" i="1"/>
  <c r="AP129" i="2"/>
  <c r="N129" i="1"/>
  <c r="AO129" i="2"/>
  <c r="M129" i="1"/>
  <c r="AN129" i="2"/>
  <c r="L129" i="1"/>
  <c r="AM129" i="2"/>
  <c r="K129" i="1"/>
  <c r="AL129" i="2"/>
  <c r="AK129" i="2"/>
  <c r="AJ129" i="2"/>
  <c r="H129" i="1"/>
  <c r="AI129" i="2"/>
  <c r="G129" i="1"/>
  <c r="AH129" i="2"/>
  <c r="F129" i="1"/>
  <c r="AG129" i="2"/>
  <c r="E129" i="1"/>
  <c r="AF129" i="2"/>
  <c r="D129" i="1"/>
  <c r="AE129" i="2"/>
  <c r="AD129" i="2"/>
  <c r="AC129" i="2"/>
  <c r="Z129" i="2"/>
  <c r="Y129" i="2"/>
  <c r="R128" i="1"/>
  <c r="AS128" i="2"/>
  <c r="AR128" i="2"/>
  <c r="P128" i="1"/>
  <c r="AQ128" i="2"/>
  <c r="O128" i="1"/>
  <c r="AP128" i="2"/>
  <c r="N128" i="1"/>
  <c r="AO128" i="2"/>
  <c r="M128" i="1"/>
  <c r="AN128" i="2"/>
  <c r="L128" i="1"/>
  <c r="AM128" i="2"/>
  <c r="K128" i="1"/>
  <c r="AL128" i="2"/>
  <c r="AK128" i="2"/>
  <c r="AJ128" i="2"/>
  <c r="H128" i="1"/>
  <c r="AI128" i="2"/>
  <c r="G128" i="1"/>
  <c r="AH128" i="2"/>
  <c r="F128" i="1"/>
  <c r="AG128" i="2"/>
  <c r="E128" i="1"/>
  <c r="AF128" i="2"/>
  <c r="D128" i="1"/>
  <c r="AE128" i="2"/>
  <c r="AD128" i="2"/>
  <c r="AC128" i="2"/>
  <c r="Z128" i="2"/>
  <c r="Y128" i="2"/>
  <c r="R127" i="1"/>
  <c r="AS127" i="2"/>
  <c r="AR127" i="2"/>
  <c r="P127" i="1"/>
  <c r="AQ127" i="2"/>
  <c r="O127" i="1"/>
  <c r="AP127" i="2"/>
  <c r="N127" i="1"/>
  <c r="AO127" i="2"/>
  <c r="M127" i="1"/>
  <c r="AN127" i="2"/>
  <c r="L127" i="1"/>
  <c r="AM127" i="2"/>
  <c r="K127" i="1"/>
  <c r="AL127" i="2"/>
  <c r="AK127" i="2"/>
  <c r="AJ127" i="2"/>
  <c r="H127" i="1"/>
  <c r="AI127" i="2"/>
  <c r="G127" i="1"/>
  <c r="AH127" i="2"/>
  <c r="F127" i="1"/>
  <c r="AG127" i="2"/>
  <c r="E127" i="1"/>
  <c r="AF127" i="2"/>
  <c r="D127" i="1"/>
  <c r="AE127" i="2"/>
  <c r="AD127" i="2"/>
  <c r="AC127" i="2"/>
  <c r="Z127" i="2"/>
  <c r="Y127" i="2"/>
  <c r="R126" i="1"/>
  <c r="AS126" i="2"/>
  <c r="AR126" i="2"/>
  <c r="P126" i="1"/>
  <c r="AQ126" i="2"/>
  <c r="O126" i="1"/>
  <c r="AP126" i="2"/>
  <c r="N126" i="1"/>
  <c r="AO126" i="2"/>
  <c r="M126" i="1"/>
  <c r="AN126" i="2"/>
  <c r="L126" i="1"/>
  <c r="AM126" i="2"/>
  <c r="K126" i="1"/>
  <c r="AL126" i="2"/>
  <c r="AK126" i="2"/>
  <c r="AJ126" i="2"/>
  <c r="H126" i="1"/>
  <c r="AI126" i="2"/>
  <c r="G126" i="1"/>
  <c r="AH126" i="2"/>
  <c r="F126" i="1"/>
  <c r="AG126" i="2"/>
  <c r="E126" i="1"/>
  <c r="AF126" i="2"/>
  <c r="D126" i="1"/>
  <c r="AE126" i="2"/>
  <c r="AD126" i="2"/>
  <c r="AC126" i="2"/>
  <c r="Z126" i="2"/>
  <c r="Y126" i="2"/>
  <c r="R125" i="1"/>
  <c r="AS125" i="2"/>
  <c r="AR125" i="2"/>
  <c r="P125" i="1"/>
  <c r="AQ125" i="2"/>
  <c r="O125" i="1"/>
  <c r="AP125" i="2"/>
  <c r="N125" i="1"/>
  <c r="AO125" i="2"/>
  <c r="M125" i="1"/>
  <c r="AN125" i="2"/>
  <c r="L125" i="1"/>
  <c r="AM125" i="2"/>
  <c r="K125" i="1"/>
  <c r="AL125" i="2"/>
  <c r="AK125" i="2"/>
  <c r="AJ125" i="2"/>
  <c r="H125" i="1"/>
  <c r="AI125" i="2"/>
  <c r="G125" i="1"/>
  <c r="AH125" i="2"/>
  <c r="F125" i="1"/>
  <c r="AG125" i="2"/>
  <c r="E125" i="1"/>
  <c r="AF125" i="2"/>
  <c r="D125" i="1"/>
  <c r="AE125" i="2"/>
  <c r="AD125" i="2"/>
  <c r="AC125" i="2"/>
  <c r="Z125" i="2"/>
  <c r="Y125" i="2"/>
  <c r="R124" i="1"/>
  <c r="AS124" i="2"/>
  <c r="AR124" i="2"/>
  <c r="P124" i="1"/>
  <c r="AQ124" i="2"/>
  <c r="O124" i="1"/>
  <c r="AP124" i="2"/>
  <c r="N124" i="1"/>
  <c r="AO124" i="2"/>
  <c r="M124" i="1"/>
  <c r="AN124" i="2"/>
  <c r="L124" i="1"/>
  <c r="AM124" i="2"/>
  <c r="K124" i="1"/>
  <c r="AL124" i="2"/>
  <c r="AK124" i="2"/>
  <c r="AJ124" i="2"/>
  <c r="H124" i="1"/>
  <c r="AI124" i="2"/>
  <c r="G124" i="1"/>
  <c r="AH124" i="2"/>
  <c r="F124" i="1"/>
  <c r="AG124" i="2"/>
  <c r="E124" i="1"/>
  <c r="AF124" i="2"/>
  <c r="D124" i="1"/>
  <c r="AE124" i="2"/>
  <c r="AD124" i="2"/>
  <c r="AC124" i="2"/>
  <c r="Z124" i="2"/>
  <c r="Y124" i="2"/>
  <c r="R123" i="1"/>
  <c r="AS123" i="2"/>
  <c r="AR123" i="2"/>
  <c r="P123" i="1"/>
  <c r="AQ123" i="2"/>
  <c r="O123" i="1"/>
  <c r="AP123" i="2"/>
  <c r="N123" i="1"/>
  <c r="AO123" i="2"/>
  <c r="M123" i="1"/>
  <c r="AN123" i="2"/>
  <c r="L123" i="1"/>
  <c r="AM123" i="2"/>
  <c r="K123" i="1"/>
  <c r="AL123" i="2"/>
  <c r="AK123" i="2"/>
  <c r="AJ123" i="2"/>
  <c r="H123" i="1"/>
  <c r="AI123" i="2"/>
  <c r="G123" i="1"/>
  <c r="AH123" i="2"/>
  <c r="F123" i="1"/>
  <c r="AG123" i="2"/>
  <c r="E123" i="1"/>
  <c r="AF123" i="2"/>
  <c r="D123" i="1"/>
  <c r="AE123" i="2"/>
  <c r="AD123" i="2"/>
  <c r="AC123" i="2"/>
  <c r="Z123" i="2"/>
  <c r="Y123" i="2"/>
  <c r="R122" i="1"/>
  <c r="AS122" i="2"/>
  <c r="AR122" i="2"/>
  <c r="P122" i="1"/>
  <c r="AQ122" i="2"/>
  <c r="O122" i="1"/>
  <c r="AP122" i="2"/>
  <c r="N122" i="1"/>
  <c r="AO122" i="2"/>
  <c r="M122" i="1"/>
  <c r="AN122" i="2"/>
  <c r="L122" i="1"/>
  <c r="AM122" i="2"/>
  <c r="K122" i="1"/>
  <c r="AL122" i="2"/>
  <c r="AK122" i="2"/>
  <c r="AJ122" i="2"/>
  <c r="H122" i="1"/>
  <c r="AI122" i="2"/>
  <c r="G122" i="1"/>
  <c r="AH122" i="2"/>
  <c r="F122" i="1"/>
  <c r="AG122" i="2"/>
  <c r="E122" i="1"/>
  <c r="AF122" i="2"/>
  <c r="D122" i="1"/>
  <c r="AE122" i="2"/>
  <c r="AD122" i="2"/>
  <c r="AC122" i="2"/>
  <c r="Z122" i="2"/>
  <c r="Y122" i="2"/>
  <c r="R121" i="1"/>
  <c r="AS121" i="2"/>
  <c r="AR121" i="2"/>
  <c r="P121" i="1"/>
  <c r="AQ121" i="2"/>
  <c r="O121" i="1"/>
  <c r="AP121" i="2"/>
  <c r="N121" i="1"/>
  <c r="AO121" i="2"/>
  <c r="M121" i="1"/>
  <c r="AN121" i="2"/>
  <c r="L121" i="1"/>
  <c r="AM121" i="2"/>
  <c r="K121" i="1"/>
  <c r="AL121" i="2"/>
  <c r="AK121" i="2"/>
  <c r="AJ121" i="2"/>
  <c r="H121" i="1"/>
  <c r="AI121" i="2"/>
  <c r="G121" i="1"/>
  <c r="AH121" i="2"/>
  <c r="F121" i="1"/>
  <c r="AG121" i="2"/>
  <c r="E121" i="1"/>
  <c r="AF121" i="2"/>
  <c r="D121" i="1"/>
  <c r="AE121" i="2"/>
  <c r="AD121" i="2"/>
  <c r="AC121" i="2"/>
  <c r="Z121" i="2"/>
  <c r="Y121" i="2"/>
  <c r="R120" i="1"/>
  <c r="AS120" i="2"/>
  <c r="AR120" i="2"/>
  <c r="P120" i="1"/>
  <c r="AQ120" i="2"/>
  <c r="O120" i="1"/>
  <c r="AP120" i="2"/>
  <c r="N120" i="1"/>
  <c r="AO120" i="2"/>
  <c r="M120" i="1"/>
  <c r="AN120" i="2"/>
  <c r="L120" i="1"/>
  <c r="AM120" i="2"/>
  <c r="K120" i="1"/>
  <c r="AL120" i="2"/>
  <c r="AK120" i="2"/>
  <c r="AJ120" i="2"/>
  <c r="H120" i="1"/>
  <c r="AI120" i="2"/>
  <c r="G120" i="1"/>
  <c r="AH120" i="2"/>
  <c r="F120" i="1"/>
  <c r="AG120" i="2"/>
  <c r="E120" i="1"/>
  <c r="AF120" i="2"/>
  <c r="D120" i="1"/>
  <c r="AE120" i="2"/>
  <c r="AD120" i="2"/>
  <c r="AC120" i="2"/>
  <c r="Z120" i="2"/>
  <c r="Y120" i="2"/>
  <c r="R119" i="1"/>
  <c r="AS119" i="2"/>
  <c r="AR119" i="2"/>
  <c r="P119" i="1"/>
  <c r="AQ119" i="2"/>
  <c r="O119" i="1"/>
  <c r="AP119" i="2"/>
  <c r="N119" i="1"/>
  <c r="AO119" i="2"/>
  <c r="M119" i="1"/>
  <c r="AN119" i="2"/>
  <c r="L119" i="1"/>
  <c r="AM119" i="2"/>
  <c r="K119" i="1"/>
  <c r="AL119" i="2"/>
  <c r="AK119" i="2"/>
  <c r="AJ119" i="2"/>
  <c r="H119" i="1"/>
  <c r="AI119" i="2"/>
  <c r="G119" i="1"/>
  <c r="AH119" i="2"/>
  <c r="F119" i="1"/>
  <c r="AG119" i="2"/>
  <c r="E119" i="1"/>
  <c r="AF119" i="2"/>
  <c r="D119" i="1"/>
  <c r="AE119" i="2"/>
  <c r="AD119" i="2"/>
  <c r="AC119" i="2"/>
  <c r="Z119" i="2"/>
  <c r="Y119" i="2"/>
  <c r="R118" i="1"/>
  <c r="AS118" i="2"/>
  <c r="AR118" i="2"/>
  <c r="P118" i="1"/>
  <c r="AQ118" i="2"/>
  <c r="O118" i="1"/>
  <c r="AP118" i="2"/>
  <c r="N118" i="1"/>
  <c r="AO118" i="2"/>
  <c r="M118" i="1"/>
  <c r="AN118" i="2"/>
  <c r="L118" i="1"/>
  <c r="AM118" i="2"/>
  <c r="K118" i="1"/>
  <c r="AL118" i="2"/>
  <c r="AK118" i="2"/>
  <c r="AJ118" i="2"/>
  <c r="H118" i="1"/>
  <c r="AI118" i="2"/>
  <c r="G118" i="1"/>
  <c r="AH118" i="2"/>
  <c r="F118" i="1"/>
  <c r="AG118" i="2"/>
  <c r="E118" i="1"/>
  <c r="AF118" i="2"/>
  <c r="D118" i="1"/>
  <c r="AE118" i="2"/>
  <c r="AD118" i="2"/>
  <c r="AC118" i="2"/>
  <c r="Z118" i="2"/>
  <c r="Y118" i="2"/>
  <c r="R117" i="1"/>
  <c r="AS117" i="2"/>
  <c r="AR117" i="2"/>
  <c r="P117" i="1"/>
  <c r="AQ117" i="2"/>
  <c r="O117" i="1"/>
  <c r="AP117" i="2"/>
  <c r="N117" i="1"/>
  <c r="AO117" i="2"/>
  <c r="M117" i="1"/>
  <c r="AN117" i="2"/>
  <c r="L117" i="1"/>
  <c r="AM117" i="2"/>
  <c r="K117" i="1"/>
  <c r="AL117" i="2"/>
  <c r="AK117" i="2"/>
  <c r="AJ117" i="2"/>
  <c r="H117" i="1"/>
  <c r="AI117" i="2"/>
  <c r="G117" i="1"/>
  <c r="AH117" i="2"/>
  <c r="F117" i="1"/>
  <c r="AG117" i="2"/>
  <c r="E117" i="1"/>
  <c r="AF117" i="2"/>
  <c r="D117" i="1"/>
  <c r="AE117" i="2"/>
  <c r="AD117" i="2"/>
  <c r="AC117" i="2"/>
  <c r="Z117" i="2"/>
  <c r="Y117" i="2"/>
  <c r="R116" i="1"/>
  <c r="AS116" i="2"/>
  <c r="AR116" i="2"/>
  <c r="P116" i="1"/>
  <c r="AQ116" i="2"/>
  <c r="O116" i="1"/>
  <c r="AP116" i="2"/>
  <c r="N116" i="1"/>
  <c r="AO116" i="2"/>
  <c r="M116" i="1"/>
  <c r="AN116" i="2"/>
  <c r="L116" i="1"/>
  <c r="AM116" i="2"/>
  <c r="K116" i="1"/>
  <c r="AL116" i="2"/>
  <c r="AK116" i="2"/>
  <c r="AJ116" i="2"/>
  <c r="H116" i="1"/>
  <c r="AI116" i="2"/>
  <c r="G116" i="1"/>
  <c r="AH116" i="2"/>
  <c r="F116" i="1"/>
  <c r="AG116" i="2"/>
  <c r="E116" i="1"/>
  <c r="AF116" i="2"/>
  <c r="D116" i="1"/>
  <c r="AE116" i="2"/>
  <c r="AD116" i="2"/>
  <c r="AC116" i="2"/>
  <c r="Z116" i="2"/>
  <c r="Y116" i="2"/>
  <c r="R115" i="1"/>
  <c r="AS115" i="2"/>
  <c r="AR115" i="2"/>
  <c r="P115" i="1"/>
  <c r="AQ115" i="2"/>
  <c r="O115" i="1"/>
  <c r="AP115" i="2"/>
  <c r="N115" i="1"/>
  <c r="AO115" i="2"/>
  <c r="M115" i="1"/>
  <c r="AN115" i="2"/>
  <c r="L115" i="1"/>
  <c r="AM115" i="2"/>
  <c r="K115" i="1"/>
  <c r="AL115" i="2"/>
  <c r="AK115" i="2"/>
  <c r="AJ115" i="2"/>
  <c r="H115" i="1"/>
  <c r="AI115" i="2"/>
  <c r="G115" i="1"/>
  <c r="AH115" i="2"/>
  <c r="F115" i="1"/>
  <c r="AG115" i="2"/>
  <c r="E115" i="1"/>
  <c r="AF115" i="2"/>
  <c r="D115" i="1"/>
  <c r="AE115" i="2"/>
  <c r="AD115" i="2"/>
  <c r="AC115" i="2"/>
  <c r="Z115" i="2"/>
  <c r="Y115" i="2"/>
  <c r="R114" i="1"/>
  <c r="AS114" i="2"/>
  <c r="AR114" i="2"/>
  <c r="P114" i="1"/>
  <c r="AQ114" i="2"/>
  <c r="O114" i="1"/>
  <c r="AP114" i="2"/>
  <c r="N114" i="1"/>
  <c r="AO114" i="2"/>
  <c r="M114" i="1"/>
  <c r="AN114" i="2"/>
  <c r="L114" i="1"/>
  <c r="AM114" i="2"/>
  <c r="K114" i="1"/>
  <c r="AL114" i="2"/>
  <c r="AK114" i="2"/>
  <c r="AJ114" i="2"/>
  <c r="H114" i="1"/>
  <c r="AI114" i="2"/>
  <c r="G114" i="1"/>
  <c r="AH114" i="2"/>
  <c r="F114" i="1"/>
  <c r="AG114" i="2"/>
  <c r="E114" i="1"/>
  <c r="AF114" i="2"/>
  <c r="D114" i="1"/>
  <c r="AE114" i="2"/>
  <c r="AD114" i="2"/>
  <c r="AC114" i="2"/>
  <c r="Z114" i="2"/>
  <c r="Y114" i="2"/>
  <c r="R113" i="1"/>
  <c r="AS113" i="2"/>
  <c r="AR113" i="2"/>
  <c r="P113" i="1"/>
  <c r="AQ113" i="2"/>
  <c r="O113" i="1"/>
  <c r="AP113" i="2"/>
  <c r="N113" i="1"/>
  <c r="AO113" i="2"/>
  <c r="M113" i="1"/>
  <c r="AN113" i="2"/>
  <c r="L113" i="1"/>
  <c r="AM113" i="2"/>
  <c r="K113" i="1"/>
  <c r="AL113" i="2"/>
  <c r="AK113" i="2"/>
  <c r="AJ113" i="2"/>
  <c r="H113" i="1"/>
  <c r="AI113" i="2"/>
  <c r="G113" i="1"/>
  <c r="AH113" i="2"/>
  <c r="F113" i="1"/>
  <c r="AG113" i="2"/>
  <c r="E113" i="1"/>
  <c r="AF113" i="2"/>
  <c r="D113" i="1"/>
  <c r="AE113" i="2"/>
  <c r="AD113" i="2"/>
  <c r="AC113" i="2"/>
  <c r="Z113" i="2"/>
  <c r="Y113" i="2"/>
  <c r="R112" i="1"/>
  <c r="AS112" i="2"/>
  <c r="AR112" i="2"/>
  <c r="P112" i="1"/>
  <c r="AQ112" i="2"/>
  <c r="O112" i="1"/>
  <c r="AP112" i="2"/>
  <c r="N112" i="1"/>
  <c r="AO112" i="2"/>
  <c r="M112" i="1"/>
  <c r="AN112" i="2"/>
  <c r="L112" i="1"/>
  <c r="AM112" i="2"/>
  <c r="K112" i="1"/>
  <c r="AL112" i="2"/>
  <c r="AK112" i="2"/>
  <c r="AJ112" i="2"/>
  <c r="H112" i="1"/>
  <c r="AI112" i="2"/>
  <c r="G112" i="1"/>
  <c r="AH112" i="2"/>
  <c r="F112" i="1"/>
  <c r="AG112" i="2"/>
  <c r="E112" i="1"/>
  <c r="AF112" i="2"/>
  <c r="D112" i="1"/>
  <c r="AE112" i="2"/>
  <c r="AD112" i="2"/>
  <c r="AC112" i="2"/>
  <c r="Z112" i="2"/>
  <c r="Y112" i="2"/>
  <c r="R111" i="1"/>
  <c r="AS111" i="2"/>
  <c r="AR111" i="2"/>
  <c r="P111" i="1"/>
  <c r="AQ111" i="2"/>
  <c r="O111" i="1"/>
  <c r="AP111" i="2"/>
  <c r="N111" i="1"/>
  <c r="AO111" i="2"/>
  <c r="M111" i="1"/>
  <c r="AN111" i="2"/>
  <c r="L111" i="1"/>
  <c r="AM111" i="2"/>
  <c r="K111" i="1"/>
  <c r="AL111" i="2"/>
  <c r="AK111" i="2"/>
  <c r="AJ111" i="2"/>
  <c r="H111" i="1"/>
  <c r="AI111" i="2"/>
  <c r="G111" i="1"/>
  <c r="AH111" i="2"/>
  <c r="F111" i="1"/>
  <c r="AG111" i="2"/>
  <c r="E111" i="1"/>
  <c r="AF111" i="2"/>
  <c r="D111" i="1"/>
  <c r="AE111" i="2"/>
  <c r="AD111" i="2"/>
  <c r="AC111" i="2"/>
  <c r="Z111" i="2"/>
  <c r="Y111" i="2"/>
  <c r="R110" i="1"/>
  <c r="AS110" i="2"/>
  <c r="AR110" i="2"/>
  <c r="P110" i="1"/>
  <c r="AQ110" i="2"/>
  <c r="O110" i="1"/>
  <c r="AP110" i="2"/>
  <c r="N110" i="1"/>
  <c r="AO110" i="2"/>
  <c r="M110" i="1"/>
  <c r="AN110" i="2"/>
  <c r="L110" i="1"/>
  <c r="AM110" i="2"/>
  <c r="K110" i="1"/>
  <c r="AL110" i="2"/>
  <c r="AK110" i="2"/>
  <c r="AJ110" i="2"/>
  <c r="H110" i="1"/>
  <c r="AI110" i="2"/>
  <c r="G110" i="1"/>
  <c r="AH110" i="2"/>
  <c r="F110" i="1"/>
  <c r="AG110" i="2"/>
  <c r="E110" i="1"/>
  <c r="AF110" i="2"/>
  <c r="D110" i="1"/>
  <c r="AE110" i="2"/>
  <c r="AD110" i="2"/>
  <c r="AC110" i="2"/>
  <c r="Z110" i="2"/>
  <c r="Y110" i="2"/>
  <c r="R109" i="1"/>
  <c r="AS109" i="2"/>
  <c r="AR109" i="2"/>
  <c r="P109" i="1"/>
  <c r="AQ109" i="2"/>
  <c r="O109" i="1"/>
  <c r="AP109" i="2"/>
  <c r="N109" i="1"/>
  <c r="AO109" i="2"/>
  <c r="M109" i="1"/>
  <c r="AN109" i="2"/>
  <c r="L109" i="1"/>
  <c r="AM109" i="2"/>
  <c r="K109" i="1"/>
  <c r="AL109" i="2"/>
  <c r="AK109" i="2"/>
  <c r="AJ109" i="2"/>
  <c r="H109" i="1"/>
  <c r="AI109" i="2"/>
  <c r="G109" i="1"/>
  <c r="AH109" i="2"/>
  <c r="F109" i="1"/>
  <c r="AG109" i="2"/>
  <c r="E109" i="1"/>
  <c r="AF109" i="2"/>
  <c r="D109" i="1"/>
  <c r="AE109" i="2"/>
  <c r="AD109" i="2"/>
  <c r="AC109" i="2"/>
  <c r="Z109" i="2"/>
  <c r="Y109" i="2"/>
  <c r="R108" i="1"/>
  <c r="AS108" i="2"/>
  <c r="AR108" i="2"/>
  <c r="P108" i="1"/>
  <c r="AQ108" i="2"/>
  <c r="O108" i="1"/>
  <c r="AP108" i="2"/>
  <c r="N108" i="1"/>
  <c r="AO108" i="2"/>
  <c r="M108" i="1"/>
  <c r="AN108" i="2"/>
  <c r="L108" i="1"/>
  <c r="AM108" i="2"/>
  <c r="K108" i="1"/>
  <c r="AL108" i="2"/>
  <c r="AK108" i="2"/>
  <c r="AJ108" i="2"/>
  <c r="H108" i="1"/>
  <c r="AI108" i="2"/>
  <c r="G108" i="1"/>
  <c r="AH108" i="2"/>
  <c r="F108" i="1"/>
  <c r="AG108" i="2"/>
  <c r="E108" i="1"/>
  <c r="AF108" i="2"/>
  <c r="D108" i="1"/>
  <c r="AE108" i="2"/>
  <c r="AD108" i="2"/>
  <c r="AC108" i="2"/>
  <c r="Z108" i="2"/>
  <c r="Y108" i="2"/>
  <c r="R107" i="1"/>
  <c r="AS107" i="2"/>
  <c r="AR107" i="2"/>
  <c r="P107" i="1"/>
  <c r="AQ107" i="2"/>
  <c r="O107" i="1"/>
  <c r="AP107" i="2"/>
  <c r="N107" i="1"/>
  <c r="AO107" i="2"/>
  <c r="M107" i="1"/>
  <c r="AN107" i="2"/>
  <c r="L107" i="1"/>
  <c r="AM107" i="2"/>
  <c r="K107" i="1"/>
  <c r="AL107" i="2"/>
  <c r="AK107" i="2"/>
  <c r="AJ107" i="2"/>
  <c r="H107" i="1"/>
  <c r="AI107" i="2"/>
  <c r="G107" i="1"/>
  <c r="AH107" i="2"/>
  <c r="F107" i="1"/>
  <c r="AG107" i="2"/>
  <c r="E107" i="1"/>
  <c r="AF107" i="2"/>
  <c r="D107" i="1"/>
  <c r="AE107" i="2"/>
  <c r="AD107" i="2"/>
  <c r="AC107" i="2"/>
  <c r="Z107" i="2"/>
  <c r="Y107" i="2"/>
  <c r="R106" i="1"/>
  <c r="AS106" i="2"/>
  <c r="AR106" i="2"/>
  <c r="P106" i="1"/>
  <c r="AQ106" i="2"/>
  <c r="O106" i="1"/>
  <c r="AP106" i="2"/>
  <c r="N106" i="1"/>
  <c r="AO106" i="2"/>
  <c r="M106" i="1"/>
  <c r="AN106" i="2"/>
  <c r="L106" i="1"/>
  <c r="AM106" i="2"/>
  <c r="K106" i="1"/>
  <c r="AL106" i="2"/>
  <c r="AK106" i="2"/>
  <c r="AJ106" i="2"/>
  <c r="H106" i="1"/>
  <c r="AI106" i="2"/>
  <c r="G106" i="1"/>
  <c r="AH106" i="2"/>
  <c r="F106" i="1"/>
  <c r="AG106" i="2"/>
  <c r="E106" i="1"/>
  <c r="AF106" i="2"/>
  <c r="D106" i="1"/>
  <c r="AE106" i="2"/>
  <c r="AD106" i="2"/>
  <c r="AC106" i="2"/>
  <c r="Z106" i="2"/>
  <c r="Y106" i="2"/>
  <c r="R105" i="1"/>
  <c r="AS105" i="2"/>
  <c r="AR105" i="2"/>
  <c r="P105" i="1"/>
  <c r="AQ105" i="2"/>
  <c r="O105" i="1"/>
  <c r="AP105" i="2"/>
  <c r="N105" i="1"/>
  <c r="AO105" i="2"/>
  <c r="M105" i="1"/>
  <c r="AN105" i="2"/>
  <c r="L105" i="1"/>
  <c r="AM105" i="2"/>
  <c r="K105" i="1"/>
  <c r="AL105" i="2"/>
  <c r="AK105" i="2"/>
  <c r="AJ105" i="2"/>
  <c r="H105" i="1"/>
  <c r="AI105" i="2"/>
  <c r="G105" i="1"/>
  <c r="AH105" i="2"/>
  <c r="F105" i="1"/>
  <c r="AG105" i="2"/>
  <c r="E105" i="1"/>
  <c r="AF105" i="2"/>
  <c r="D105" i="1"/>
  <c r="AE105" i="2"/>
  <c r="AD105" i="2"/>
  <c r="AC105" i="2"/>
  <c r="Z105" i="2"/>
  <c r="Y105" i="2"/>
  <c r="R104" i="1"/>
  <c r="AS104" i="2"/>
  <c r="AR104" i="2"/>
  <c r="P104" i="1"/>
  <c r="AQ104" i="2"/>
  <c r="O104" i="1"/>
  <c r="AP104" i="2"/>
  <c r="N104" i="1"/>
  <c r="AO104" i="2"/>
  <c r="M104" i="1"/>
  <c r="AN104" i="2"/>
  <c r="L104" i="1"/>
  <c r="AM104" i="2"/>
  <c r="K104" i="1"/>
  <c r="AL104" i="2"/>
  <c r="AK104" i="2"/>
  <c r="AJ104" i="2"/>
  <c r="H104" i="1"/>
  <c r="AI104" i="2"/>
  <c r="G104" i="1"/>
  <c r="AH104" i="2"/>
  <c r="F104" i="1"/>
  <c r="AG104" i="2"/>
  <c r="E104" i="1"/>
  <c r="AF104" i="2"/>
  <c r="D104" i="1"/>
  <c r="AE104" i="2"/>
  <c r="AD104" i="2"/>
  <c r="AC104" i="2"/>
  <c r="Z104" i="2"/>
  <c r="Y104" i="2"/>
  <c r="R103" i="1"/>
  <c r="AS103" i="2"/>
  <c r="AR103" i="2"/>
  <c r="P103" i="1"/>
  <c r="AQ103" i="2"/>
  <c r="O103" i="1"/>
  <c r="AP103" i="2"/>
  <c r="N103" i="1"/>
  <c r="AO103" i="2"/>
  <c r="M103" i="1"/>
  <c r="AN103" i="2"/>
  <c r="L103" i="1"/>
  <c r="AM103" i="2"/>
  <c r="K103" i="1"/>
  <c r="AL103" i="2"/>
  <c r="AK103" i="2"/>
  <c r="AJ103" i="2"/>
  <c r="H103" i="1"/>
  <c r="AI103" i="2"/>
  <c r="G103" i="1"/>
  <c r="AH103" i="2"/>
  <c r="F103" i="1"/>
  <c r="AG103" i="2"/>
  <c r="E103" i="1"/>
  <c r="AF103" i="2"/>
  <c r="D103" i="1"/>
  <c r="AE103" i="2"/>
  <c r="AD103" i="2"/>
  <c r="AC103" i="2"/>
  <c r="Z103" i="2"/>
  <c r="Y103" i="2"/>
  <c r="R102" i="1"/>
  <c r="AS102" i="2"/>
  <c r="AR102" i="2"/>
  <c r="P102" i="1"/>
  <c r="AQ102" i="2"/>
  <c r="O102" i="1"/>
  <c r="AP102" i="2"/>
  <c r="N102" i="1"/>
  <c r="AO102" i="2"/>
  <c r="M102" i="1"/>
  <c r="AN102" i="2"/>
  <c r="L102" i="1"/>
  <c r="AM102" i="2"/>
  <c r="K102" i="1"/>
  <c r="AL102" i="2"/>
  <c r="AK102" i="2"/>
  <c r="AJ102" i="2"/>
  <c r="H102" i="1"/>
  <c r="AI102" i="2"/>
  <c r="G102" i="1"/>
  <c r="AH102" i="2"/>
  <c r="F102" i="1"/>
  <c r="AG102" i="2"/>
  <c r="E102" i="1"/>
  <c r="AF102" i="2"/>
  <c r="D102" i="1"/>
  <c r="AE102" i="2"/>
  <c r="AD102" i="2"/>
  <c r="AC102" i="2"/>
  <c r="Z102" i="2"/>
  <c r="Y102" i="2"/>
  <c r="R101" i="1"/>
  <c r="AS101" i="2"/>
  <c r="AR101" i="2"/>
  <c r="P101" i="1"/>
  <c r="AQ101" i="2"/>
  <c r="O101" i="1"/>
  <c r="AP101" i="2"/>
  <c r="N101" i="1"/>
  <c r="AO101" i="2"/>
  <c r="M101" i="1"/>
  <c r="AN101" i="2"/>
  <c r="L101" i="1"/>
  <c r="AM101" i="2"/>
  <c r="K101" i="1"/>
  <c r="AL101" i="2"/>
  <c r="AK101" i="2"/>
  <c r="AJ101" i="2"/>
  <c r="H101" i="1"/>
  <c r="AI101" i="2"/>
  <c r="G101" i="1"/>
  <c r="AH101" i="2"/>
  <c r="F101" i="1"/>
  <c r="AG101" i="2"/>
  <c r="E101" i="1"/>
  <c r="AF101" i="2"/>
  <c r="D101" i="1"/>
  <c r="AE101" i="2"/>
  <c r="AD101" i="2"/>
  <c r="AC101" i="2"/>
  <c r="Z101" i="2"/>
  <c r="Y101" i="2"/>
  <c r="R100" i="1"/>
  <c r="AS100" i="2"/>
  <c r="AR100" i="2"/>
  <c r="P100" i="1"/>
  <c r="AQ100" i="2"/>
  <c r="O100" i="1"/>
  <c r="AP100" i="2"/>
  <c r="N100" i="1"/>
  <c r="AO100" i="2"/>
  <c r="M100" i="1"/>
  <c r="AN100" i="2"/>
  <c r="L100" i="1"/>
  <c r="AM100" i="2"/>
  <c r="K100" i="1"/>
  <c r="AL100" i="2"/>
  <c r="AK100" i="2"/>
  <c r="AJ100" i="2"/>
  <c r="H100" i="1"/>
  <c r="AI100" i="2"/>
  <c r="G100" i="1"/>
  <c r="AH100" i="2"/>
  <c r="F100" i="1"/>
  <c r="AG100" i="2"/>
  <c r="E100" i="1"/>
  <c r="AF100" i="2"/>
  <c r="D100" i="1"/>
  <c r="AE100" i="2"/>
  <c r="AD100" i="2"/>
  <c r="AC100" i="2"/>
  <c r="Z100" i="2"/>
  <c r="Y100" i="2"/>
  <c r="R99" i="1"/>
  <c r="AS99" i="2"/>
  <c r="AR99" i="2"/>
  <c r="P99" i="1"/>
  <c r="AQ99" i="2"/>
  <c r="O99" i="1"/>
  <c r="AP99" i="2"/>
  <c r="N99" i="1"/>
  <c r="AO99" i="2"/>
  <c r="M99" i="1"/>
  <c r="AN99" i="2"/>
  <c r="L99" i="1"/>
  <c r="AM99" i="2"/>
  <c r="K99" i="1"/>
  <c r="AL99" i="2"/>
  <c r="AK99" i="2"/>
  <c r="AJ99" i="2"/>
  <c r="H99" i="1"/>
  <c r="AI99" i="2"/>
  <c r="G99" i="1"/>
  <c r="AH99" i="2"/>
  <c r="F99" i="1"/>
  <c r="AG99" i="2"/>
  <c r="E99" i="1"/>
  <c r="AF99" i="2"/>
  <c r="D99" i="1"/>
  <c r="AE99" i="2"/>
  <c r="AD99" i="2"/>
  <c r="AC99" i="2"/>
  <c r="Z99" i="2"/>
  <c r="Y99" i="2"/>
  <c r="R98" i="1"/>
  <c r="AS98" i="2"/>
  <c r="AR98" i="2"/>
  <c r="P98" i="1"/>
  <c r="AQ98" i="2"/>
  <c r="O98" i="1"/>
  <c r="AP98" i="2"/>
  <c r="N98" i="1"/>
  <c r="AO98" i="2"/>
  <c r="M98" i="1"/>
  <c r="AN98" i="2"/>
  <c r="L98" i="1"/>
  <c r="AM98" i="2"/>
  <c r="K98" i="1"/>
  <c r="AL98" i="2"/>
  <c r="AK98" i="2"/>
  <c r="AJ98" i="2"/>
  <c r="H98" i="1"/>
  <c r="AI98" i="2"/>
  <c r="G98" i="1"/>
  <c r="AH98" i="2"/>
  <c r="F98" i="1"/>
  <c r="AG98" i="2"/>
  <c r="E98" i="1"/>
  <c r="AF98" i="2"/>
  <c r="D98" i="1"/>
  <c r="AE98" i="2"/>
  <c r="AD98" i="2"/>
  <c r="AC98" i="2"/>
  <c r="Z98" i="2"/>
  <c r="Y98" i="2"/>
  <c r="R97" i="1"/>
  <c r="AS97" i="2"/>
  <c r="AR97" i="2"/>
  <c r="P97" i="1"/>
  <c r="AQ97" i="2"/>
  <c r="O97" i="1"/>
  <c r="AP97" i="2"/>
  <c r="N97" i="1"/>
  <c r="AO97" i="2"/>
  <c r="M97" i="1"/>
  <c r="AN97" i="2"/>
  <c r="L97" i="1"/>
  <c r="AM97" i="2"/>
  <c r="K97" i="1"/>
  <c r="AL97" i="2"/>
  <c r="AK97" i="2"/>
  <c r="AJ97" i="2"/>
  <c r="H97" i="1"/>
  <c r="AI97" i="2"/>
  <c r="G97" i="1"/>
  <c r="AH97" i="2"/>
  <c r="F97" i="1"/>
  <c r="AG97" i="2"/>
  <c r="E97" i="1"/>
  <c r="AF97" i="2"/>
  <c r="D97" i="1"/>
  <c r="AE97" i="2"/>
  <c r="AD97" i="2"/>
  <c r="AC97" i="2"/>
  <c r="Z97" i="2"/>
  <c r="Y97" i="2"/>
  <c r="R96" i="1"/>
  <c r="AS96" i="2"/>
  <c r="AR96" i="2"/>
  <c r="P96" i="1"/>
  <c r="AQ96" i="2"/>
  <c r="O96" i="1"/>
  <c r="AP96" i="2"/>
  <c r="N96" i="1"/>
  <c r="AO96" i="2"/>
  <c r="M96" i="1"/>
  <c r="AN96" i="2"/>
  <c r="L96" i="1"/>
  <c r="AM96" i="2"/>
  <c r="K96" i="1"/>
  <c r="AL96" i="2"/>
  <c r="AK96" i="2"/>
  <c r="AJ96" i="2"/>
  <c r="H96" i="1"/>
  <c r="AI96" i="2"/>
  <c r="G96" i="1"/>
  <c r="AH96" i="2"/>
  <c r="F96" i="1"/>
  <c r="AG96" i="2"/>
  <c r="E96" i="1"/>
  <c r="AF96" i="2"/>
  <c r="D96" i="1"/>
  <c r="AE96" i="2"/>
  <c r="AD96" i="2"/>
  <c r="AC96" i="2"/>
  <c r="Z96" i="2"/>
  <c r="Y96" i="2"/>
  <c r="R95" i="1"/>
  <c r="AS95" i="2"/>
  <c r="AR95" i="2"/>
  <c r="P95" i="1"/>
  <c r="AQ95" i="2"/>
  <c r="O95" i="1"/>
  <c r="AP95" i="2"/>
  <c r="N95" i="1"/>
  <c r="AO95" i="2"/>
  <c r="M95" i="1"/>
  <c r="AN95" i="2"/>
  <c r="L95" i="1"/>
  <c r="AM95" i="2"/>
  <c r="K95" i="1"/>
  <c r="AL95" i="2"/>
  <c r="AK95" i="2"/>
  <c r="AJ95" i="2"/>
  <c r="H95" i="1"/>
  <c r="AI95" i="2"/>
  <c r="G95" i="1"/>
  <c r="AH95" i="2"/>
  <c r="F95" i="1"/>
  <c r="AG95" i="2"/>
  <c r="E95" i="1"/>
  <c r="AF95" i="2"/>
  <c r="D95" i="1"/>
  <c r="AE95" i="2"/>
  <c r="AD95" i="2"/>
  <c r="AC95" i="2"/>
  <c r="Z95" i="2"/>
  <c r="Y95" i="2"/>
  <c r="R94" i="1"/>
  <c r="AS94" i="2"/>
  <c r="AR94" i="2"/>
  <c r="P94" i="1"/>
  <c r="AQ94" i="2"/>
  <c r="O94" i="1"/>
  <c r="AP94" i="2"/>
  <c r="N94" i="1"/>
  <c r="AO94" i="2"/>
  <c r="M94" i="1"/>
  <c r="AN94" i="2"/>
  <c r="L94" i="1"/>
  <c r="AM94" i="2"/>
  <c r="K94" i="1"/>
  <c r="AL94" i="2"/>
  <c r="AK94" i="2"/>
  <c r="AJ94" i="2"/>
  <c r="H94" i="1"/>
  <c r="AI94" i="2"/>
  <c r="G94" i="1"/>
  <c r="AH94" i="2"/>
  <c r="F94" i="1"/>
  <c r="AG94" i="2"/>
  <c r="E94" i="1"/>
  <c r="AF94" i="2"/>
  <c r="D94" i="1"/>
  <c r="AE94" i="2"/>
  <c r="AD94" i="2"/>
  <c r="AC94" i="2"/>
  <c r="Z94" i="2"/>
  <c r="Y94" i="2"/>
  <c r="R93" i="1"/>
  <c r="AS93" i="2"/>
  <c r="AR93" i="2"/>
  <c r="P93" i="1"/>
  <c r="AQ93" i="2"/>
  <c r="O93" i="1"/>
  <c r="AP93" i="2"/>
  <c r="N93" i="1"/>
  <c r="AO93" i="2"/>
  <c r="M93" i="1"/>
  <c r="AN93" i="2"/>
  <c r="L93" i="1"/>
  <c r="AM93" i="2"/>
  <c r="K93" i="1"/>
  <c r="AL93" i="2"/>
  <c r="AK93" i="2"/>
  <c r="AJ93" i="2"/>
  <c r="H93" i="1"/>
  <c r="AI93" i="2"/>
  <c r="G93" i="1"/>
  <c r="AH93" i="2"/>
  <c r="F93" i="1"/>
  <c r="AG93" i="2"/>
  <c r="E93" i="1"/>
  <c r="AF93" i="2"/>
  <c r="D93" i="1"/>
  <c r="AE93" i="2"/>
  <c r="AD93" i="2"/>
  <c r="AC93" i="2"/>
  <c r="Z93" i="2"/>
  <c r="Y93" i="2"/>
  <c r="R92" i="1"/>
  <c r="AS92" i="2"/>
  <c r="AR92" i="2"/>
  <c r="P92" i="1"/>
  <c r="AQ92" i="2"/>
  <c r="O92" i="1"/>
  <c r="AP92" i="2"/>
  <c r="N92" i="1"/>
  <c r="AO92" i="2"/>
  <c r="M92" i="1"/>
  <c r="AN92" i="2"/>
  <c r="L92" i="1"/>
  <c r="AM92" i="2"/>
  <c r="K92" i="1"/>
  <c r="AL92" i="2"/>
  <c r="AK92" i="2"/>
  <c r="AJ92" i="2"/>
  <c r="H92" i="1"/>
  <c r="AI92" i="2"/>
  <c r="G92" i="1"/>
  <c r="AH92" i="2"/>
  <c r="F92" i="1"/>
  <c r="AG92" i="2"/>
  <c r="E92" i="1"/>
  <c r="AF92" i="2"/>
  <c r="D92" i="1"/>
  <c r="AE92" i="2"/>
  <c r="AD92" i="2"/>
  <c r="AC92" i="2"/>
  <c r="Z92" i="2"/>
  <c r="Y92" i="2"/>
  <c r="R91" i="1"/>
  <c r="AS91" i="2"/>
  <c r="AR91" i="2"/>
  <c r="P91" i="1"/>
  <c r="AQ91" i="2"/>
  <c r="O91" i="1"/>
  <c r="AP91" i="2"/>
  <c r="N91" i="1"/>
  <c r="AO91" i="2"/>
  <c r="M91" i="1"/>
  <c r="AN91" i="2"/>
  <c r="L91" i="1"/>
  <c r="AM91" i="2"/>
  <c r="K91" i="1"/>
  <c r="AL91" i="2"/>
  <c r="AK91" i="2"/>
  <c r="AJ91" i="2"/>
  <c r="H91" i="1"/>
  <c r="AI91" i="2"/>
  <c r="G91" i="1"/>
  <c r="AH91" i="2"/>
  <c r="F91" i="1"/>
  <c r="AG91" i="2"/>
  <c r="E91" i="1"/>
  <c r="AF91" i="2"/>
  <c r="D91" i="1"/>
  <c r="AE91" i="2"/>
  <c r="AD91" i="2"/>
  <c r="AC91" i="2"/>
  <c r="Z91" i="2"/>
  <c r="Y91" i="2"/>
  <c r="R90" i="1"/>
  <c r="AS90" i="2"/>
  <c r="AR90" i="2"/>
  <c r="P90" i="1"/>
  <c r="AQ90" i="2"/>
  <c r="O90" i="1"/>
  <c r="AP90" i="2"/>
  <c r="N90" i="1"/>
  <c r="AO90" i="2"/>
  <c r="M90" i="1"/>
  <c r="AN90" i="2"/>
  <c r="L90" i="1"/>
  <c r="AM90" i="2"/>
  <c r="K90" i="1"/>
  <c r="AL90" i="2"/>
  <c r="AK90" i="2"/>
  <c r="AJ90" i="2"/>
  <c r="H90" i="1"/>
  <c r="AI90" i="2"/>
  <c r="G90" i="1"/>
  <c r="AH90" i="2"/>
  <c r="F90" i="1"/>
  <c r="AG90" i="2"/>
  <c r="E90" i="1"/>
  <c r="AF90" i="2"/>
  <c r="D90" i="1"/>
  <c r="AE90" i="2"/>
  <c r="AD90" i="2"/>
  <c r="AC90" i="2"/>
  <c r="Z90" i="2"/>
  <c r="Y90" i="2"/>
  <c r="R89" i="1"/>
  <c r="AS89" i="2"/>
  <c r="AR89" i="2"/>
  <c r="P89" i="1"/>
  <c r="AQ89" i="2"/>
  <c r="O89" i="1"/>
  <c r="AP89" i="2"/>
  <c r="N89" i="1"/>
  <c r="AO89" i="2"/>
  <c r="M89" i="1"/>
  <c r="AN89" i="2"/>
  <c r="L89" i="1"/>
  <c r="AM89" i="2"/>
  <c r="K89" i="1"/>
  <c r="AL89" i="2"/>
  <c r="AK89" i="2"/>
  <c r="AJ89" i="2"/>
  <c r="H89" i="1"/>
  <c r="AI89" i="2"/>
  <c r="G89" i="1"/>
  <c r="AH89" i="2"/>
  <c r="F89" i="1"/>
  <c r="AG89" i="2"/>
  <c r="E89" i="1"/>
  <c r="AF89" i="2"/>
  <c r="D89" i="1"/>
  <c r="AE89" i="2"/>
  <c r="AD89" i="2"/>
  <c r="AC89" i="2"/>
  <c r="Z89" i="2"/>
  <c r="Y89" i="2"/>
  <c r="R88" i="1"/>
  <c r="AS88" i="2"/>
  <c r="AR88" i="2"/>
  <c r="P88" i="1"/>
  <c r="AQ88" i="2"/>
  <c r="O88" i="1"/>
  <c r="AP88" i="2"/>
  <c r="N88" i="1"/>
  <c r="AO88" i="2"/>
  <c r="M88" i="1"/>
  <c r="AN88" i="2"/>
  <c r="L88" i="1"/>
  <c r="AM88" i="2"/>
  <c r="K88" i="1"/>
  <c r="AL88" i="2"/>
  <c r="AK88" i="2"/>
  <c r="AJ88" i="2"/>
  <c r="H88" i="1"/>
  <c r="AI88" i="2"/>
  <c r="G88" i="1"/>
  <c r="AH88" i="2"/>
  <c r="F88" i="1"/>
  <c r="AG88" i="2"/>
  <c r="E88" i="1"/>
  <c r="AF88" i="2"/>
  <c r="D88" i="1"/>
  <c r="AE88" i="2"/>
  <c r="AD88" i="2"/>
  <c r="AC88" i="2"/>
  <c r="Z88" i="2"/>
  <c r="Y88" i="2"/>
  <c r="R87" i="1"/>
  <c r="AS87" i="2"/>
  <c r="AR87" i="2"/>
  <c r="P87" i="1"/>
  <c r="AQ87" i="2"/>
  <c r="O87" i="1"/>
  <c r="AP87" i="2"/>
  <c r="N87" i="1"/>
  <c r="AO87" i="2"/>
  <c r="M87" i="1"/>
  <c r="AN87" i="2"/>
  <c r="L87" i="1"/>
  <c r="AM87" i="2"/>
  <c r="K87" i="1"/>
  <c r="AL87" i="2"/>
  <c r="AK87" i="2"/>
  <c r="AJ87" i="2"/>
  <c r="H87" i="1"/>
  <c r="AI87" i="2"/>
  <c r="G87" i="1"/>
  <c r="AH87" i="2"/>
  <c r="F87" i="1"/>
  <c r="AG87" i="2"/>
  <c r="E87" i="1"/>
  <c r="AF87" i="2"/>
  <c r="D87" i="1"/>
  <c r="AE87" i="2"/>
  <c r="AD87" i="2"/>
  <c r="AC87" i="2"/>
  <c r="Z87" i="2"/>
  <c r="Y87" i="2"/>
  <c r="R86" i="1"/>
  <c r="AS86" i="2"/>
  <c r="AR86" i="2"/>
  <c r="P86" i="1"/>
  <c r="AQ86" i="2"/>
  <c r="O86" i="1"/>
  <c r="AP86" i="2"/>
  <c r="N86" i="1"/>
  <c r="AO86" i="2"/>
  <c r="M86" i="1"/>
  <c r="AN86" i="2"/>
  <c r="L86" i="1"/>
  <c r="AM86" i="2"/>
  <c r="K86" i="1"/>
  <c r="AL86" i="2"/>
  <c r="AK86" i="2"/>
  <c r="AJ86" i="2"/>
  <c r="H86" i="1"/>
  <c r="AI86" i="2"/>
  <c r="G86" i="1"/>
  <c r="AH86" i="2"/>
  <c r="F86" i="1"/>
  <c r="AG86" i="2"/>
  <c r="E86" i="1"/>
  <c r="AF86" i="2"/>
  <c r="D86" i="1"/>
  <c r="AE86" i="2"/>
  <c r="AD86" i="2"/>
  <c r="AC86" i="2"/>
  <c r="Z86" i="2"/>
  <c r="Y86" i="2"/>
  <c r="R85" i="1"/>
  <c r="AS85" i="2"/>
  <c r="AR85" i="2"/>
  <c r="P85" i="1"/>
  <c r="AQ85" i="2"/>
  <c r="O85" i="1"/>
  <c r="AP85" i="2"/>
  <c r="N85" i="1"/>
  <c r="AO85" i="2"/>
  <c r="M85" i="1"/>
  <c r="AN85" i="2"/>
  <c r="L85" i="1"/>
  <c r="AM85" i="2"/>
  <c r="K85" i="1"/>
  <c r="AL85" i="2"/>
  <c r="AK85" i="2"/>
  <c r="AJ85" i="2"/>
  <c r="H85" i="1"/>
  <c r="AI85" i="2"/>
  <c r="G85" i="1"/>
  <c r="AH85" i="2"/>
  <c r="F85" i="1"/>
  <c r="AG85" i="2"/>
  <c r="E85" i="1"/>
  <c r="AF85" i="2"/>
  <c r="D85" i="1"/>
  <c r="AE85" i="2"/>
  <c r="AD85" i="2"/>
  <c r="AC85" i="2"/>
  <c r="Z85" i="2"/>
  <c r="Y85" i="2"/>
  <c r="R84" i="1"/>
  <c r="AS84" i="2"/>
  <c r="AR84" i="2"/>
  <c r="P84" i="1"/>
  <c r="AQ84" i="2"/>
  <c r="O84" i="1"/>
  <c r="AP84" i="2"/>
  <c r="N84" i="1"/>
  <c r="AO84" i="2"/>
  <c r="M84" i="1"/>
  <c r="AN84" i="2"/>
  <c r="L84" i="1"/>
  <c r="AM84" i="2"/>
  <c r="K84" i="1"/>
  <c r="AL84" i="2"/>
  <c r="AK84" i="2"/>
  <c r="AJ84" i="2"/>
  <c r="H84" i="1"/>
  <c r="AI84" i="2"/>
  <c r="G84" i="1"/>
  <c r="AH84" i="2"/>
  <c r="F84" i="1"/>
  <c r="AG84" i="2"/>
  <c r="E84" i="1"/>
  <c r="AF84" i="2"/>
  <c r="D84" i="1"/>
  <c r="AE84" i="2"/>
  <c r="AD84" i="2"/>
  <c r="AC84" i="2"/>
  <c r="Z84" i="2"/>
  <c r="Y84" i="2"/>
  <c r="R83" i="1"/>
  <c r="AS83" i="2"/>
  <c r="AR83" i="2"/>
  <c r="P83" i="1"/>
  <c r="AQ83" i="2"/>
  <c r="O83" i="1"/>
  <c r="AP83" i="2"/>
  <c r="N83" i="1"/>
  <c r="AO83" i="2"/>
  <c r="M83" i="1"/>
  <c r="AN83" i="2"/>
  <c r="L83" i="1"/>
  <c r="AM83" i="2"/>
  <c r="K83" i="1"/>
  <c r="AL83" i="2"/>
  <c r="AK83" i="2"/>
  <c r="AJ83" i="2"/>
  <c r="H83" i="1"/>
  <c r="AI83" i="2"/>
  <c r="G83" i="1"/>
  <c r="AH83" i="2"/>
  <c r="F83" i="1"/>
  <c r="AG83" i="2"/>
  <c r="E83" i="1"/>
  <c r="AF83" i="2"/>
  <c r="D83" i="1"/>
  <c r="AE83" i="2"/>
  <c r="AD83" i="2"/>
  <c r="AC83" i="2"/>
  <c r="Z83" i="2"/>
  <c r="Y83" i="2"/>
  <c r="R82" i="1"/>
  <c r="AS82" i="2"/>
  <c r="AR82" i="2"/>
  <c r="P82" i="1"/>
  <c r="AQ82" i="2"/>
  <c r="O82" i="1"/>
  <c r="AP82" i="2"/>
  <c r="N82" i="1"/>
  <c r="AO82" i="2"/>
  <c r="M82" i="1"/>
  <c r="AN82" i="2"/>
  <c r="L82" i="1"/>
  <c r="AM82" i="2"/>
  <c r="K82" i="1"/>
  <c r="AL82" i="2"/>
  <c r="AK82" i="2"/>
  <c r="AJ82" i="2"/>
  <c r="H82" i="1"/>
  <c r="AI82" i="2"/>
  <c r="G82" i="1"/>
  <c r="AH82" i="2"/>
  <c r="F82" i="1"/>
  <c r="AG82" i="2"/>
  <c r="E82" i="1"/>
  <c r="AF82" i="2"/>
  <c r="D82" i="1"/>
  <c r="AE82" i="2"/>
  <c r="AD82" i="2"/>
  <c r="AC82" i="2"/>
  <c r="Z82" i="2"/>
  <c r="Y82" i="2"/>
  <c r="R81" i="1"/>
  <c r="AS81" i="2"/>
  <c r="AR81" i="2"/>
  <c r="P81" i="1"/>
  <c r="AQ81" i="2"/>
  <c r="O81" i="1"/>
  <c r="AP81" i="2"/>
  <c r="N81" i="1"/>
  <c r="AO81" i="2"/>
  <c r="M81" i="1"/>
  <c r="AN81" i="2"/>
  <c r="L81" i="1"/>
  <c r="AM81" i="2"/>
  <c r="K81" i="1"/>
  <c r="AL81" i="2"/>
  <c r="AK81" i="2"/>
  <c r="AJ81" i="2"/>
  <c r="H81" i="1"/>
  <c r="AI81" i="2"/>
  <c r="G81" i="1"/>
  <c r="AH81" i="2"/>
  <c r="F81" i="1"/>
  <c r="AG81" i="2"/>
  <c r="E81" i="1"/>
  <c r="AF81" i="2"/>
  <c r="D81" i="1"/>
  <c r="AE81" i="2"/>
  <c r="AD81" i="2"/>
  <c r="AC81" i="2"/>
  <c r="Z81" i="2"/>
  <c r="Y81" i="2"/>
  <c r="R80" i="1"/>
  <c r="AS80" i="2"/>
  <c r="AR80" i="2"/>
  <c r="P80" i="1"/>
  <c r="AQ80" i="2"/>
  <c r="O80" i="1"/>
  <c r="AP80" i="2"/>
  <c r="N80" i="1"/>
  <c r="AO80" i="2"/>
  <c r="M80" i="1"/>
  <c r="AN80" i="2"/>
  <c r="L80" i="1"/>
  <c r="AM80" i="2"/>
  <c r="K80" i="1"/>
  <c r="AL80" i="2"/>
  <c r="AK80" i="2"/>
  <c r="AJ80" i="2"/>
  <c r="H80" i="1"/>
  <c r="AI80" i="2"/>
  <c r="G80" i="1"/>
  <c r="AH80" i="2"/>
  <c r="F80" i="1"/>
  <c r="AG80" i="2"/>
  <c r="E80" i="1"/>
  <c r="AF80" i="2"/>
  <c r="D80" i="1"/>
  <c r="AE80" i="2"/>
  <c r="AD80" i="2"/>
  <c r="AC80" i="2"/>
  <c r="Z80" i="2"/>
  <c r="Y80" i="2"/>
  <c r="R79" i="1"/>
  <c r="AS79" i="2"/>
  <c r="AR79" i="2"/>
  <c r="P79" i="1"/>
  <c r="AQ79" i="2"/>
  <c r="O79" i="1"/>
  <c r="AP79" i="2"/>
  <c r="N79" i="1"/>
  <c r="AO79" i="2"/>
  <c r="M79" i="1"/>
  <c r="AN79" i="2"/>
  <c r="L79" i="1"/>
  <c r="AM79" i="2"/>
  <c r="K79" i="1"/>
  <c r="AL79" i="2"/>
  <c r="AK79" i="2"/>
  <c r="AJ79" i="2"/>
  <c r="H79" i="1"/>
  <c r="AI79" i="2"/>
  <c r="G79" i="1"/>
  <c r="AH79" i="2"/>
  <c r="F79" i="1"/>
  <c r="AG79" i="2"/>
  <c r="E79" i="1"/>
  <c r="AF79" i="2"/>
  <c r="D79" i="1"/>
  <c r="AE79" i="2"/>
  <c r="AD79" i="2"/>
  <c r="AC79" i="2"/>
  <c r="Z79" i="2"/>
  <c r="Y79" i="2"/>
  <c r="R78" i="1"/>
  <c r="AS78" i="2"/>
  <c r="AR78" i="2"/>
  <c r="P78" i="1"/>
  <c r="AQ78" i="2"/>
  <c r="O78" i="1"/>
  <c r="AP78" i="2"/>
  <c r="N78" i="1"/>
  <c r="AO78" i="2"/>
  <c r="M78" i="1"/>
  <c r="AN78" i="2"/>
  <c r="L78" i="1"/>
  <c r="AM78" i="2"/>
  <c r="K78" i="1"/>
  <c r="AL78" i="2"/>
  <c r="AK78" i="2"/>
  <c r="AJ78" i="2"/>
  <c r="H78" i="1"/>
  <c r="AI78" i="2"/>
  <c r="G78" i="1"/>
  <c r="AH78" i="2"/>
  <c r="F78" i="1"/>
  <c r="AG78" i="2"/>
  <c r="E78" i="1"/>
  <c r="AF78" i="2"/>
  <c r="D78" i="1"/>
  <c r="AE78" i="2"/>
  <c r="AD78" i="2"/>
  <c r="AC78" i="2"/>
  <c r="Z78" i="2"/>
  <c r="Y78" i="2"/>
  <c r="R77" i="1"/>
  <c r="AS77" i="2"/>
  <c r="AR77" i="2"/>
  <c r="P77" i="1"/>
  <c r="AQ77" i="2"/>
  <c r="O77" i="1"/>
  <c r="AP77" i="2"/>
  <c r="N77" i="1"/>
  <c r="AO77" i="2"/>
  <c r="M77" i="1"/>
  <c r="AN77" i="2"/>
  <c r="L77" i="1"/>
  <c r="AM77" i="2"/>
  <c r="K77" i="1"/>
  <c r="AL77" i="2"/>
  <c r="AK77" i="2"/>
  <c r="AJ77" i="2"/>
  <c r="H77" i="1"/>
  <c r="AI77" i="2"/>
  <c r="G77" i="1"/>
  <c r="AH77" i="2"/>
  <c r="F77" i="1"/>
  <c r="AG77" i="2"/>
  <c r="E77" i="1"/>
  <c r="AF77" i="2"/>
  <c r="D77" i="1"/>
  <c r="AE77" i="2"/>
  <c r="AD77" i="2"/>
  <c r="AC77" i="2"/>
  <c r="Z77" i="2"/>
  <c r="Y77" i="2"/>
  <c r="R76" i="1"/>
  <c r="AS76" i="2"/>
  <c r="AR76" i="2"/>
  <c r="P76" i="1"/>
  <c r="AQ76" i="2"/>
  <c r="O76" i="1"/>
  <c r="AP76" i="2"/>
  <c r="N76" i="1"/>
  <c r="AO76" i="2"/>
  <c r="M76" i="1"/>
  <c r="AN76" i="2"/>
  <c r="L76" i="1"/>
  <c r="AM76" i="2"/>
  <c r="K76" i="1"/>
  <c r="AL76" i="2"/>
  <c r="AK76" i="2"/>
  <c r="AJ76" i="2"/>
  <c r="H76" i="1"/>
  <c r="AI76" i="2"/>
  <c r="G76" i="1"/>
  <c r="AH76" i="2"/>
  <c r="F76" i="1"/>
  <c r="AG76" i="2"/>
  <c r="E76" i="1"/>
  <c r="AF76" i="2"/>
  <c r="D76" i="1"/>
  <c r="AE76" i="2"/>
  <c r="AD76" i="2"/>
  <c r="AC76" i="2"/>
  <c r="Z76" i="2"/>
  <c r="Y76" i="2"/>
  <c r="R75" i="1"/>
  <c r="AS75" i="2"/>
  <c r="AR75" i="2"/>
  <c r="P75" i="1"/>
  <c r="AQ75" i="2"/>
  <c r="O75" i="1"/>
  <c r="AP75" i="2"/>
  <c r="N75" i="1"/>
  <c r="AO75" i="2"/>
  <c r="M75" i="1"/>
  <c r="AN75" i="2"/>
  <c r="L75" i="1"/>
  <c r="AM75" i="2"/>
  <c r="K75" i="1"/>
  <c r="AL75" i="2"/>
  <c r="AK75" i="2"/>
  <c r="AJ75" i="2"/>
  <c r="H75" i="1"/>
  <c r="AI75" i="2"/>
  <c r="G75" i="1"/>
  <c r="AH75" i="2"/>
  <c r="F75" i="1"/>
  <c r="AG75" i="2"/>
  <c r="E75" i="1"/>
  <c r="AF75" i="2"/>
  <c r="D75" i="1"/>
  <c r="AE75" i="2"/>
  <c r="AD75" i="2"/>
  <c r="AC75" i="2"/>
  <c r="Z75" i="2"/>
  <c r="Y75" i="2"/>
  <c r="R74" i="1"/>
  <c r="AS74" i="2"/>
  <c r="AR74" i="2"/>
  <c r="P74" i="1"/>
  <c r="AQ74" i="2"/>
  <c r="O74" i="1"/>
  <c r="AP74" i="2"/>
  <c r="N74" i="1"/>
  <c r="AO74" i="2"/>
  <c r="M74" i="1"/>
  <c r="AN74" i="2"/>
  <c r="L74" i="1"/>
  <c r="AM74" i="2"/>
  <c r="K74" i="1"/>
  <c r="AL74" i="2"/>
  <c r="AK74" i="2"/>
  <c r="AJ74" i="2"/>
  <c r="H74" i="1"/>
  <c r="AI74" i="2"/>
  <c r="G74" i="1"/>
  <c r="AH74" i="2"/>
  <c r="F74" i="1"/>
  <c r="AG74" i="2"/>
  <c r="E74" i="1"/>
  <c r="AF74" i="2"/>
  <c r="D74" i="1"/>
  <c r="AE74" i="2"/>
  <c r="AD74" i="2"/>
  <c r="AC74" i="2"/>
  <c r="Z74" i="2"/>
  <c r="Y74" i="2"/>
  <c r="R73" i="1"/>
  <c r="AS73" i="2"/>
  <c r="AR73" i="2"/>
  <c r="P73" i="1"/>
  <c r="AQ73" i="2"/>
  <c r="O73" i="1"/>
  <c r="AP73" i="2"/>
  <c r="N73" i="1"/>
  <c r="AO73" i="2"/>
  <c r="M73" i="1"/>
  <c r="AN73" i="2"/>
  <c r="L73" i="1"/>
  <c r="AM73" i="2"/>
  <c r="K73" i="1"/>
  <c r="AL73" i="2"/>
  <c r="AK73" i="2"/>
  <c r="AJ73" i="2"/>
  <c r="H73" i="1"/>
  <c r="AI73" i="2"/>
  <c r="G73" i="1"/>
  <c r="AH73" i="2"/>
  <c r="F73" i="1"/>
  <c r="AG73" i="2"/>
  <c r="E73" i="1"/>
  <c r="AF73" i="2"/>
  <c r="D73" i="1"/>
  <c r="AE73" i="2"/>
  <c r="AD73" i="2"/>
  <c r="AC73" i="2"/>
  <c r="Z73" i="2"/>
  <c r="Y73" i="2"/>
  <c r="R72" i="1"/>
  <c r="AS72" i="2"/>
  <c r="AR72" i="2"/>
  <c r="P72" i="1"/>
  <c r="AQ72" i="2"/>
  <c r="O72" i="1"/>
  <c r="AP72" i="2"/>
  <c r="N72" i="1"/>
  <c r="AO72" i="2"/>
  <c r="M72" i="1"/>
  <c r="AN72" i="2"/>
  <c r="L72" i="1"/>
  <c r="AM72" i="2"/>
  <c r="K72" i="1"/>
  <c r="AL72" i="2"/>
  <c r="AK72" i="2"/>
  <c r="AJ72" i="2"/>
  <c r="H72" i="1"/>
  <c r="AI72" i="2"/>
  <c r="G72" i="1"/>
  <c r="AH72" i="2"/>
  <c r="F72" i="1"/>
  <c r="AG72" i="2"/>
  <c r="E72" i="1"/>
  <c r="AF72" i="2"/>
  <c r="D72" i="1"/>
  <c r="AE72" i="2"/>
  <c r="AD72" i="2"/>
  <c r="AC72" i="2"/>
  <c r="Z72" i="2"/>
  <c r="Y72" i="2"/>
  <c r="R71" i="1"/>
  <c r="AS71" i="2"/>
  <c r="AR71" i="2"/>
  <c r="P71" i="1"/>
  <c r="AQ71" i="2"/>
  <c r="O71" i="1"/>
  <c r="AP71" i="2"/>
  <c r="N71" i="1"/>
  <c r="AO71" i="2"/>
  <c r="M71" i="1"/>
  <c r="AN71" i="2"/>
  <c r="L71" i="1"/>
  <c r="AM71" i="2"/>
  <c r="K71" i="1"/>
  <c r="AL71" i="2"/>
  <c r="AK71" i="2"/>
  <c r="AJ71" i="2"/>
  <c r="H71" i="1"/>
  <c r="AI71" i="2"/>
  <c r="G71" i="1"/>
  <c r="AH71" i="2"/>
  <c r="F71" i="1"/>
  <c r="AG71" i="2"/>
  <c r="E71" i="1"/>
  <c r="AF71" i="2"/>
  <c r="D71" i="1"/>
  <c r="AE71" i="2"/>
  <c r="AD71" i="2"/>
  <c r="AC71" i="2"/>
  <c r="Z71" i="2"/>
  <c r="Y71" i="2"/>
  <c r="R70" i="1"/>
  <c r="AS70" i="2"/>
  <c r="AR70" i="2"/>
  <c r="P70" i="1"/>
  <c r="AQ70" i="2"/>
  <c r="O70" i="1"/>
  <c r="AP70" i="2"/>
  <c r="N70" i="1"/>
  <c r="AO70" i="2"/>
  <c r="M70" i="1"/>
  <c r="AN70" i="2"/>
  <c r="L70" i="1"/>
  <c r="AM70" i="2"/>
  <c r="K70" i="1"/>
  <c r="AL70" i="2"/>
  <c r="AK70" i="2"/>
  <c r="AJ70" i="2"/>
  <c r="H70" i="1"/>
  <c r="AI70" i="2"/>
  <c r="G70" i="1"/>
  <c r="AH70" i="2"/>
  <c r="F70" i="1"/>
  <c r="AG70" i="2"/>
  <c r="E70" i="1"/>
  <c r="AF70" i="2"/>
  <c r="D70" i="1"/>
  <c r="AE70" i="2"/>
  <c r="AD70" i="2"/>
  <c r="AC70" i="2"/>
  <c r="Z70" i="2"/>
  <c r="Y70" i="2"/>
  <c r="R69" i="1"/>
  <c r="AS69" i="2"/>
  <c r="AR69" i="2"/>
  <c r="P69" i="1"/>
  <c r="AQ69" i="2"/>
  <c r="O69" i="1"/>
  <c r="AP69" i="2"/>
  <c r="N69" i="1"/>
  <c r="AO69" i="2"/>
  <c r="M69" i="1"/>
  <c r="AN69" i="2"/>
  <c r="L69" i="1"/>
  <c r="AM69" i="2"/>
  <c r="K69" i="1"/>
  <c r="AL69" i="2"/>
  <c r="AK69" i="2"/>
  <c r="AJ69" i="2"/>
  <c r="H69" i="1"/>
  <c r="AI69" i="2"/>
  <c r="G69" i="1"/>
  <c r="AH69" i="2"/>
  <c r="F69" i="1"/>
  <c r="AG69" i="2"/>
  <c r="E69" i="1"/>
  <c r="AF69" i="2"/>
  <c r="D69" i="1"/>
  <c r="AE69" i="2"/>
  <c r="AD69" i="2"/>
  <c r="AC69" i="2"/>
  <c r="Z69" i="2"/>
  <c r="Y69" i="2"/>
  <c r="R68" i="1"/>
  <c r="AS68" i="2"/>
  <c r="AR68" i="2"/>
  <c r="P68" i="1"/>
  <c r="AQ68" i="2"/>
  <c r="O68" i="1"/>
  <c r="AP68" i="2"/>
  <c r="N68" i="1"/>
  <c r="AO68" i="2"/>
  <c r="M68" i="1"/>
  <c r="AN68" i="2"/>
  <c r="L68" i="1"/>
  <c r="AM68" i="2"/>
  <c r="K68" i="1"/>
  <c r="AL68" i="2"/>
  <c r="AK68" i="2"/>
  <c r="AJ68" i="2"/>
  <c r="H68" i="1"/>
  <c r="AI68" i="2"/>
  <c r="G68" i="1"/>
  <c r="AH68" i="2"/>
  <c r="F68" i="1"/>
  <c r="AG68" i="2"/>
  <c r="E68" i="1"/>
  <c r="AF68" i="2"/>
  <c r="D68" i="1"/>
  <c r="AE68" i="2"/>
  <c r="AD68" i="2"/>
  <c r="AC68" i="2"/>
  <c r="Z68" i="2"/>
  <c r="Y68" i="2"/>
  <c r="R67" i="1"/>
  <c r="AS67" i="2"/>
  <c r="AR67" i="2"/>
  <c r="P67" i="1"/>
  <c r="AQ67" i="2"/>
  <c r="O67" i="1"/>
  <c r="AP67" i="2"/>
  <c r="N67" i="1"/>
  <c r="AO67" i="2"/>
  <c r="M67" i="1"/>
  <c r="AN67" i="2"/>
  <c r="L67" i="1"/>
  <c r="AM67" i="2"/>
  <c r="K67" i="1"/>
  <c r="AL67" i="2"/>
  <c r="AK67" i="2"/>
  <c r="AJ67" i="2"/>
  <c r="H67" i="1"/>
  <c r="AI67" i="2"/>
  <c r="G67" i="1"/>
  <c r="AH67" i="2"/>
  <c r="F67" i="1"/>
  <c r="AG67" i="2"/>
  <c r="E67" i="1"/>
  <c r="AF67" i="2"/>
  <c r="D67" i="1"/>
  <c r="AE67" i="2"/>
  <c r="AD67" i="2"/>
  <c r="AC67" i="2"/>
  <c r="Z67" i="2"/>
  <c r="Y67" i="2"/>
  <c r="R66" i="1"/>
  <c r="AS66" i="2"/>
  <c r="AR66" i="2"/>
  <c r="P66" i="1"/>
  <c r="AQ66" i="2"/>
  <c r="O66" i="1"/>
  <c r="AP66" i="2"/>
  <c r="N66" i="1"/>
  <c r="AO66" i="2"/>
  <c r="M66" i="1"/>
  <c r="AN66" i="2"/>
  <c r="L66" i="1"/>
  <c r="AM66" i="2"/>
  <c r="K66" i="1"/>
  <c r="AL66" i="2"/>
  <c r="AK66" i="2"/>
  <c r="AJ66" i="2"/>
  <c r="H66" i="1"/>
  <c r="AI66" i="2"/>
  <c r="G66" i="1"/>
  <c r="AH66" i="2"/>
  <c r="F66" i="1"/>
  <c r="AG66" i="2"/>
  <c r="E66" i="1"/>
  <c r="AF66" i="2"/>
  <c r="D66" i="1"/>
  <c r="AE66" i="2"/>
  <c r="AD66" i="2"/>
  <c r="AC66" i="2"/>
  <c r="Z66" i="2"/>
  <c r="Y66" i="2"/>
  <c r="R65" i="1"/>
  <c r="AS65" i="2"/>
  <c r="AR65" i="2"/>
  <c r="P65" i="1"/>
  <c r="AQ65" i="2"/>
  <c r="O65" i="1"/>
  <c r="AP65" i="2"/>
  <c r="N65" i="1"/>
  <c r="AO65" i="2"/>
  <c r="M65" i="1"/>
  <c r="AN65" i="2"/>
  <c r="L65" i="1"/>
  <c r="AM65" i="2"/>
  <c r="K65" i="1"/>
  <c r="AL65" i="2"/>
  <c r="AK65" i="2"/>
  <c r="AJ65" i="2"/>
  <c r="H65" i="1"/>
  <c r="AI65" i="2"/>
  <c r="G65" i="1"/>
  <c r="AH65" i="2"/>
  <c r="F65" i="1"/>
  <c r="AG65" i="2"/>
  <c r="E65" i="1"/>
  <c r="AF65" i="2"/>
  <c r="D65" i="1"/>
  <c r="AE65" i="2"/>
  <c r="AD65" i="2"/>
  <c r="AC65" i="2"/>
  <c r="Z65" i="2"/>
  <c r="Y65" i="2"/>
  <c r="R64" i="1"/>
  <c r="AS64" i="2"/>
  <c r="AR64" i="2"/>
  <c r="P64" i="1"/>
  <c r="AQ64" i="2"/>
  <c r="O64" i="1"/>
  <c r="AP64" i="2"/>
  <c r="N64" i="1"/>
  <c r="AO64" i="2"/>
  <c r="M64" i="1"/>
  <c r="AN64" i="2"/>
  <c r="L64" i="1"/>
  <c r="AM64" i="2"/>
  <c r="K64" i="1"/>
  <c r="AL64" i="2"/>
  <c r="AK64" i="2"/>
  <c r="AJ64" i="2"/>
  <c r="H64" i="1"/>
  <c r="AI64" i="2"/>
  <c r="G64" i="1"/>
  <c r="AH64" i="2"/>
  <c r="F64" i="1"/>
  <c r="AG64" i="2"/>
  <c r="E64" i="1"/>
  <c r="AF64" i="2"/>
  <c r="D64" i="1"/>
  <c r="AE64" i="2"/>
  <c r="AD64" i="2"/>
  <c r="AC64" i="2"/>
  <c r="Z64" i="2"/>
  <c r="Y64" i="2"/>
  <c r="R63" i="1"/>
  <c r="AS63" i="2"/>
  <c r="AR63" i="2"/>
  <c r="P63" i="1"/>
  <c r="AQ63" i="2"/>
  <c r="O63" i="1"/>
  <c r="AP63" i="2"/>
  <c r="N63" i="1"/>
  <c r="AO63" i="2"/>
  <c r="M63" i="1"/>
  <c r="AN63" i="2"/>
  <c r="L63" i="1"/>
  <c r="AM63" i="2"/>
  <c r="K63" i="1"/>
  <c r="AL63" i="2"/>
  <c r="AK63" i="2"/>
  <c r="AJ63" i="2"/>
  <c r="H63" i="1"/>
  <c r="AI63" i="2"/>
  <c r="G63" i="1"/>
  <c r="AH63" i="2"/>
  <c r="F63" i="1"/>
  <c r="AG63" i="2"/>
  <c r="E63" i="1"/>
  <c r="AF63" i="2"/>
  <c r="D63" i="1"/>
  <c r="AE63" i="2"/>
  <c r="AD63" i="2"/>
  <c r="AC63" i="2"/>
  <c r="Z63" i="2"/>
  <c r="Y63" i="2"/>
  <c r="R62" i="1"/>
  <c r="AS62" i="2"/>
  <c r="AR62" i="2"/>
  <c r="P62" i="1"/>
  <c r="AQ62" i="2"/>
  <c r="O62" i="1"/>
  <c r="AP62" i="2"/>
  <c r="N62" i="1"/>
  <c r="AO62" i="2"/>
  <c r="M62" i="1"/>
  <c r="AN62" i="2"/>
  <c r="L62" i="1"/>
  <c r="AM62" i="2"/>
  <c r="K62" i="1"/>
  <c r="AL62" i="2"/>
  <c r="AK62" i="2"/>
  <c r="AJ62" i="2"/>
  <c r="H62" i="1"/>
  <c r="AI62" i="2"/>
  <c r="G62" i="1"/>
  <c r="AH62" i="2"/>
  <c r="F62" i="1"/>
  <c r="AG62" i="2"/>
  <c r="E62" i="1"/>
  <c r="AF62" i="2"/>
  <c r="D62" i="1"/>
  <c r="AE62" i="2"/>
  <c r="AD62" i="2"/>
  <c r="AC62" i="2"/>
  <c r="Z62" i="2"/>
  <c r="Y62" i="2"/>
  <c r="R61" i="1"/>
  <c r="AS61" i="2"/>
  <c r="AR61" i="2"/>
  <c r="P61" i="1"/>
  <c r="AQ61" i="2"/>
  <c r="O61" i="1"/>
  <c r="AP61" i="2"/>
  <c r="N61" i="1"/>
  <c r="AO61" i="2"/>
  <c r="M61" i="1"/>
  <c r="AN61" i="2"/>
  <c r="L61" i="1"/>
  <c r="AM61" i="2"/>
  <c r="K61" i="1"/>
  <c r="AL61" i="2"/>
  <c r="AK61" i="2"/>
  <c r="AJ61" i="2"/>
  <c r="H61" i="1"/>
  <c r="AI61" i="2"/>
  <c r="G61" i="1"/>
  <c r="AH61" i="2"/>
  <c r="F61" i="1"/>
  <c r="AG61" i="2"/>
  <c r="E61" i="1"/>
  <c r="AF61" i="2"/>
  <c r="D61" i="1"/>
  <c r="AE61" i="2"/>
  <c r="AD61" i="2"/>
  <c r="AC61" i="2"/>
  <c r="Z61" i="2"/>
  <c r="Y61" i="2"/>
  <c r="R60" i="1"/>
  <c r="AS60" i="2"/>
  <c r="AR60" i="2"/>
  <c r="P60" i="1"/>
  <c r="AQ60" i="2"/>
  <c r="O60" i="1"/>
  <c r="AP60" i="2"/>
  <c r="N60" i="1"/>
  <c r="AO60" i="2"/>
  <c r="M60" i="1"/>
  <c r="AN60" i="2"/>
  <c r="L60" i="1"/>
  <c r="AM60" i="2"/>
  <c r="K60" i="1"/>
  <c r="AL60" i="2"/>
  <c r="AK60" i="2"/>
  <c r="AJ60" i="2"/>
  <c r="H60" i="1"/>
  <c r="AI60" i="2"/>
  <c r="G60" i="1"/>
  <c r="AH60" i="2"/>
  <c r="F60" i="1"/>
  <c r="AG60" i="2"/>
  <c r="E60" i="1"/>
  <c r="AF60" i="2"/>
  <c r="D60" i="1"/>
  <c r="AE60" i="2"/>
  <c r="AD60" i="2"/>
  <c r="AC60" i="2"/>
  <c r="Z60" i="2"/>
  <c r="Y60" i="2"/>
  <c r="R59" i="1"/>
  <c r="AS59" i="2"/>
  <c r="AR59" i="2"/>
  <c r="P59" i="1"/>
  <c r="AQ59" i="2"/>
  <c r="O59" i="1"/>
  <c r="AP59" i="2"/>
  <c r="N59" i="1"/>
  <c r="AO59" i="2"/>
  <c r="M59" i="1"/>
  <c r="AN59" i="2"/>
  <c r="L59" i="1"/>
  <c r="AM59" i="2"/>
  <c r="K59" i="1"/>
  <c r="AL59" i="2"/>
  <c r="AK59" i="2"/>
  <c r="AJ59" i="2"/>
  <c r="H59" i="1"/>
  <c r="AI59" i="2"/>
  <c r="G59" i="1"/>
  <c r="AH59" i="2"/>
  <c r="F59" i="1"/>
  <c r="AG59" i="2"/>
  <c r="E59" i="1"/>
  <c r="AF59" i="2"/>
  <c r="D59" i="1"/>
  <c r="AE59" i="2"/>
  <c r="AD59" i="2"/>
  <c r="AC59" i="2"/>
  <c r="Z59" i="2"/>
  <c r="Y59" i="2"/>
  <c r="R58" i="1"/>
  <c r="AS58" i="2"/>
  <c r="AR58" i="2"/>
  <c r="P58" i="1"/>
  <c r="AQ58" i="2"/>
  <c r="O58" i="1"/>
  <c r="AP58" i="2"/>
  <c r="N58" i="1"/>
  <c r="AO58" i="2"/>
  <c r="M58" i="1"/>
  <c r="AN58" i="2"/>
  <c r="L58" i="1"/>
  <c r="AM58" i="2"/>
  <c r="K58" i="1"/>
  <c r="AL58" i="2"/>
  <c r="AK58" i="2"/>
  <c r="AJ58" i="2"/>
  <c r="H58" i="1"/>
  <c r="AI58" i="2"/>
  <c r="G58" i="1"/>
  <c r="AH58" i="2"/>
  <c r="F58" i="1"/>
  <c r="AG58" i="2"/>
  <c r="E58" i="1"/>
  <c r="AF58" i="2"/>
  <c r="D58" i="1"/>
  <c r="AE58" i="2"/>
  <c r="AD58" i="2"/>
  <c r="AC58" i="2"/>
  <c r="Z58" i="2"/>
  <c r="Y58" i="2"/>
  <c r="R57" i="1"/>
  <c r="AS57" i="2"/>
  <c r="AR57" i="2"/>
  <c r="P57" i="1"/>
  <c r="AQ57" i="2"/>
  <c r="O57" i="1"/>
  <c r="AP57" i="2"/>
  <c r="N57" i="1"/>
  <c r="AO57" i="2"/>
  <c r="M57" i="1"/>
  <c r="AN57" i="2"/>
  <c r="L57" i="1"/>
  <c r="AM57" i="2"/>
  <c r="K57" i="1"/>
  <c r="AL57" i="2"/>
  <c r="AK57" i="2"/>
  <c r="AJ57" i="2"/>
  <c r="H57" i="1"/>
  <c r="AI57" i="2"/>
  <c r="G57" i="1"/>
  <c r="AH57" i="2"/>
  <c r="F57" i="1"/>
  <c r="AG57" i="2"/>
  <c r="E57" i="1"/>
  <c r="AF57" i="2"/>
  <c r="D57" i="1"/>
  <c r="AE57" i="2"/>
  <c r="AD57" i="2"/>
  <c r="AC57" i="2"/>
  <c r="Z57" i="2"/>
  <c r="Y57" i="2"/>
  <c r="R56" i="1"/>
  <c r="AS56" i="2"/>
  <c r="AR56" i="2"/>
  <c r="P56" i="1"/>
  <c r="AQ56" i="2"/>
  <c r="O56" i="1"/>
  <c r="AP56" i="2"/>
  <c r="N56" i="1"/>
  <c r="AO56" i="2"/>
  <c r="M56" i="1"/>
  <c r="AN56" i="2"/>
  <c r="L56" i="1"/>
  <c r="AM56" i="2"/>
  <c r="K56" i="1"/>
  <c r="AL56" i="2"/>
  <c r="AK56" i="2"/>
  <c r="AJ56" i="2"/>
  <c r="H56" i="1"/>
  <c r="AI56" i="2"/>
  <c r="G56" i="1"/>
  <c r="AH56" i="2"/>
  <c r="F56" i="1"/>
  <c r="AG56" i="2"/>
  <c r="E56" i="1"/>
  <c r="AF56" i="2"/>
  <c r="D56" i="1"/>
  <c r="AE56" i="2"/>
  <c r="AD56" i="2"/>
  <c r="AC56" i="2"/>
  <c r="Z56" i="2"/>
  <c r="Y56" i="2"/>
  <c r="R55" i="1"/>
  <c r="AS55" i="2"/>
  <c r="AR55" i="2"/>
  <c r="P55" i="1"/>
  <c r="AQ55" i="2"/>
  <c r="O55" i="1"/>
  <c r="AP55" i="2"/>
  <c r="N55" i="1"/>
  <c r="AO55" i="2"/>
  <c r="M55" i="1"/>
  <c r="AN55" i="2"/>
  <c r="L55" i="1"/>
  <c r="AM55" i="2"/>
  <c r="K55" i="1"/>
  <c r="AL55" i="2"/>
  <c r="AK55" i="2"/>
  <c r="AJ55" i="2"/>
  <c r="H55" i="1"/>
  <c r="AI55" i="2"/>
  <c r="G55" i="1"/>
  <c r="AH55" i="2"/>
  <c r="F55" i="1"/>
  <c r="AG55" i="2"/>
  <c r="E55" i="1"/>
  <c r="AF55" i="2"/>
  <c r="D55" i="1"/>
  <c r="AE55" i="2"/>
  <c r="AD55" i="2"/>
  <c r="AC55" i="2"/>
  <c r="Z55" i="2"/>
  <c r="Y55" i="2"/>
  <c r="R54" i="1"/>
  <c r="AS54" i="2"/>
  <c r="AR54" i="2"/>
  <c r="P54" i="1"/>
  <c r="AQ54" i="2"/>
  <c r="O54" i="1"/>
  <c r="AP54" i="2"/>
  <c r="N54" i="1"/>
  <c r="AO54" i="2"/>
  <c r="M54" i="1"/>
  <c r="AN54" i="2"/>
  <c r="L54" i="1"/>
  <c r="AM54" i="2"/>
  <c r="K54" i="1"/>
  <c r="AL54" i="2"/>
  <c r="AK54" i="2"/>
  <c r="AJ54" i="2"/>
  <c r="H54" i="1"/>
  <c r="AI54" i="2"/>
  <c r="G54" i="1"/>
  <c r="AH54" i="2"/>
  <c r="F54" i="1"/>
  <c r="AG54" i="2"/>
  <c r="E54" i="1"/>
  <c r="AF54" i="2"/>
  <c r="D54" i="1"/>
  <c r="AE54" i="2"/>
  <c r="AD54" i="2"/>
  <c r="AC54" i="2"/>
  <c r="Z54" i="2"/>
  <c r="Y54" i="2"/>
  <c r="R53" i="1"/>
  <c r="AS53" i="2"/>
  <c r="AR53" i="2"/>
  <c r="P53" i="1"/>
  <c r="AQ53" i="2"/>
  <c r="O53" i="1"/>
  <c r="AP53" i="2"/>
  <c r="N53" i="1"/>
  <c r="AO53" i="2"/>
  <c r="M53" i="1"/>
  <c r="AN53" i="2"/>
  <c r="L53" i="1"/>
  <c r="AM53" i="2"/>
  <c r="K53" i="1"/>
  <c r="AL53" i="2"/>
  <c r="AK53" i="2"/>
  <c r="AJ53" i="2"/>
  <c r="H53" i="1"/>
  <c r="AI53" i="2"/>
  <c r="G53" i="1"/>
  <c r="AH53" i="2"/>
  <c r="F53" i="1"/>
  <c r="AG53" i="2"/>
  <c r="E53" i="1"/>
  <c r="AF53" i="2"/>
  <c r="D53" i="1"/>
  <c r="AE53" i="2"/>
  <c r="AD53" i="2"/>
  <c r="AC53" i="2"/>
  <c r="Z53" i="2"/>
  <c r="Y53" i="2"/>
  <c r="R52" i="1"/>
  <c r="AS52" i="2"/>
  <c r="AR52" i="2"/>
  <c r="P52" i="1"/>
  <c r="AQ52" i="2"/>
  <c r="O52" i="1"/>
  <c r="AP52" i="2"/>
  <c r="N52" i="1"/>
  <c r="AO52" i="2"/>
  <c r="M52" i="1"/>
  <c r="AN52" i="2"/>
  <c r="L52" i="1"/>
  <c r="AM52" i="2"/>
  <c r="K52" i="1"/>
  <c r="AL52" i="2"/>
  <c r="AK52" i="2"/>
  <c r="AJ52" i="2"/>
  <c r="H52" i="1"/>
  <c r="AI52" i="2"/>
  <c r="G52" i="1"/>
  <c r="AH52" i="2"/>
  <c r="F52" i="1"/>
  <c r="AG52" i="2"/>
  <c r="E52" i="1"/>
  <c r="AF52" i="2"/>
  <c r="D52" i="1"/>
  <c r="AE52" i="2"/>
  <c r="AD52" i="2"/>
  <c r="AC52" i="2"/>
  <c r="Z52" i="2"/>
  <c r="Y52" i="2"/>
  <c r="R51" i="1"/>
  <c r="AS51" i="2"/>
  <c r="AR51" i="2"/>
  <c r="P51" i="1"/>
  <c r="AQ51" i="2"/>
  <c r="O51" i="1"/>
  <c r="AP51" i="2"/>
  <c r="N51" i="1"/>
  <c r="AO51" i="2"/>
  <c r="M51" i="1"/>
  <c r="AN51" i="2"/>
  <c r="L51" i="1"/>
  <c r="AM51" i="2"/>
  <c r="K51" i="1"/>
  <c r="AL51" i="2"/>
  <c r="AK51" i="2"/>
  <c r="AJ51" i="2"/>
  <c r="H51" i="1"/>
  <c r="AI51" i="2"/>
  <c r="G51" i="1"/>
  <c r="AH51" i="2"/>
  <c r="F51" i="1"/>
  <c r="AG51" i="2"/>
  <c r="E51" i="1"/>
  <c r="AF51" i="2"/>
  <c r="D51" i="1"/>
  <c r="AE51" i="2"/>
  <c r="AD51" i="2"/>
  <c r="AC51" i="2"/>
  <c r="Z51" i="2"/>
  <c r="Y51" i="2"/>
  <c r="R50" i="1"/>
  <c r="AS50" i="2"/>
  <c r="AR50" i="2"/>
  <c r="P50" i="1"/>
  <c r="AQ50" i="2"/>
  <c r="O50" i="1"/>
  <c r="AP50" i="2"/>
  <c r="N50" i="1"/>
  <c r="AO50" i="2"/>
  <c r="M50" i="1"/>
  <c r="AN50" i="2"/>
  <c r="L50" i="1"/>
  <c r="AM50" i="2"/>
  <c r="K50" i="1"/>
  <c r="AL50" i="2"/>
  <c r="AK50" i="2"/>
  <c r="AJ50" i="2"/>
  <c r="H50" i="1"/>
  <c r="AI50" i="2"/>
  <c r="G50" i="1"/>
  <c r="AH50" i="2"/>
  <c r="F50" i="1"/>
  <c r="AG50" i="2"/>
  <c r="E50" i="1"/>
  <c r="AF50" i="2"/>
  <c r="D50" i="1"/>
  <c r="AE50" i="2"/>
  <c r="AD50" i="2"/>
  <c r="AC50" i="2"/>
  <c r="Z50" i="2"/>
  <c r="Y50" i="2"/>
  <c r="R49" i="1"/>
  <c r="AS49" i="2"/>
  <c r="AR49" i="2"/>
  <c r="P49" i="1"/>
  <c r="AQ49" i="2"/>
  <c r="O49" i="1"/>
  <c r="AP49" i="2"/>
  <c r="N49" i="1"/>
  <c r="AO49" i="2"/>
  <c r="M49" i="1"/>
  <c r="AN49" i="2"/>
  <c r="L49" i="1"/>
  <c r="AM49" i="2"/>
  <c r="K49" i="1"/>
  <c r="AL49" i="2"/>
  <c r="AK49" i="2"/>
  <c r="AJ49" i="2"/>
  <c r="H49" i="1"/>
  <c r="AI49" i="2"/>
  <c r="G49" i="1"/>
  <c r="AH49" i="2"/>
  <c r="F49" i="1"/>
  <c r="AG49" i="2"/>
  <c r="E49" i="1"/>
  <c r="AF49" i="2"/>
  <c r="D49" i="1"/>
  <c r="AE49" i="2"/>
  <c r="AD49" i="2"/>
  <c r="AC49" i="2"/>
  <c r="Z49" i="2"/>
  <c r="Y49" i="2"/>
  <c r="R48" i="1"/>
  <c r="AS48" i="2"/>
  <c r="AR48" i="2"/>
  <c r="P48" i="1"/>
  <c r="AQ48" i="2"/>
  <c r="O48" i="1"/>
  <c r="AP48" i="2"/>
  <c r="N48" i="1"/>
  <c r="AO48" i="2"/>
  <c r="M48" i="1"/>
  <c r="AN48" i="2"/>
  <c r="L48" i="1"/>
  <c r="AM48" i="2"/>
  <c r="K48" i="1"/>
  <c r="AL48" i="2"/>
  <c r="AK48" i="2"/>
  <c r="AJ48" i="2"/>
  <c r="H48" i="1"/>
  <c r="AI48" i="2"/>
  <c r="G48" i="1"/>
  <c r="AH48" i="2"/>
  <c r="F48" i="1"/>
  <c r="AG48" i="2"/>
  <c r="E48" i="1"/>
  <c r="AF48" i="2"/>
  <c r="D48" i="1"/>
  <c r="AE48" i="2"/>
  <c r="AD48" i="2"/>
  <c r="AC48" i="2"/>
  <c r="Z48" i="2"/>
  <c r="Y48" i="2"/>
  <c r="R47" i="1"/>
  <c r="AS47" i="2"/>
  <c r="AR47" i="2"/>
  <c r="P47" i="1"/>
  <c r="AQ47" i="2"/>
  <c r="O47" i="1"/>
  <c r="AP47" i="2"/>
  <c r="N47" i="1"/>
  <c r="AO47" i="2"/>
  <c r="M47" i="1"/>
  <c r="AN47" i="2"/>
  <c r="L47" i="1"/>
  <c r="AM47" i="2"/>
  <c r="K47" i="1"/>
  <c r="AL47" i="2"/>
  <c r="AK47" i="2"/>
  <c r="AJ47" i="2"/>
  <c r="H47" i="1"/>
  <c r="AI47" i="2"/>
  <c r="G47" i="1"/>
  <c r="AH47" i="2"/>
  <c r="F47" i="1"/>
  <c r="AG47" i="2"/>
  <c r="E47" i="1"/>
  <c r="AF47" i="2"/>
  <c r="D47" i="1"/>
  <c r="AE47" i="2"/>
  <c r="AD47" i="2"/>
  <c r="AC47" i="2"/>
  <c r="Z47" i="2"/>
  <c r="Y47" i="2"/>
  <c r="R46" i="1"/>
  <c r="AS46" i="2"/>
  <c r="AR46" i="2"/>
  <c r="P46" i="1"/>
  <c r="AQ46" i="2"/>
  <c r="O46" i="1"/>
  <c r="AP46" i="2"/>
  <c r="N46" i="1"/>
  <c r="AO46" i="2"/>
  <c r="M46" i="1"/>
  <c r="AN46" i="2"/>
  <c r="L46" i="1"/>
  <c r="AM46" i="2"/>
  <c r="K46" i="1"/>
  <c r="AL46" i="2"/>
  <c r="AK46" i="2"/>
  <c r="AJ46" i="2"/>
  <c r="H46" i="1"/>
  <c r="AI46" i="2"/>
  <c r="G46" i="1"/>
  <c r="AH46" i="2"/>
  <c r="F46" i="1"/>
  <c r="AG46" i="2"/>
  <c r="E46" i="1"/>
  <c r="AF46" i="2"/>
  <c r="D46" i="1"/>
  <c r="AE46" i="2"/>
  <c r="AD46" i="2"/>
  <c r="AC46" i="2"/>
  <c r="Z46" i="2"/>
  <c r="Y46" i="2"/>
  <c r="R45" i="1"/>
  <c r="AS45" i="2"/>
  <c r="AR45" i="2"/>
  <c r="P45" i="1"/>
  <c r="AQ45" i="2"/>
  <c r="O45" i="1"/>
  <c r="AP45" i="2"/>
  <c r="N45" i="1"/>
  <c r="AO45" i="2"/>
  <c r="M45" i="1"/>
  <c r="AN45" i="2"/>
  <c r="L45" i="1"/>
  <c r="AM45" i="2"/>
  <c r="K45" i="1"/>
  <c r="AL45" i="2"/>
  <c r="AK45" i="2"/>
  <c r="AJ45" i="2"/>
  <c r="H45" i="1"/>
  <c r="AI45" i="2"/>
  <c r="G45" i="1"/>
  <c r="AH45" i="2"/>
  <c r="F45" i="1"/>
  <c r="AG45" i="2"/>
  <c r="E45" i="1"/>
  <c r="AF45" i="2"/>
  <c r="D45" i="1"/>
  <c r="AE45" i="2"/>
  <c r="AD45" i="2"/>
  <c r="AC45" i="2"/>
  <c r="Z45" i="2"/>
  <c r="Y45" i="2"/>
  <c r="R44" i="1"/>
  <c r="AS44" i="2"/>
  <c r="AR44" i="2"/>
  <c r="P44" i="1"/>
  <c r="AQ44" i="2"/>
  <c r="O44" i="1"/>
  <c r="AP44" i="2"/>
  <c r="N44" i="1"/>
  <c r="AO44" i="2"/>
  <c r="M44" i="1"/>
  <c r="AN44" i="2"/>
  <c r="L44" i="1"/>
  <c r="AM44" i="2"/>
  <c r="K44" i="1"/>
  <c r="AL44" i="2"/>
  <c r="AK44" i="2"/>
  <c r="AJ44" i="2"/>
  <c r="H44" i="1"/>
  <c r="AI44" i="2"/>
  <c r="G44" i="1"/>
  <c r="AH44" i="2"/>
  <c r="F44" i="1"/>
  <c r="AG44" i="2"/>
  <c r="E44" i="1"/>
  <c r="AF44" i="2"/>
  <c r="D44" i="1"/>
  <c r="AE44" i="2"/>
  <c r="AD44" i="2"/>
  <c r="AC44" i="2"/>
  <c r="Z44" i="2"/>
  <c r="Y44" i="2"/>
  <c r="R43" i="1"/>
  <c r="AS43" i="2"/>
  <c r="AR43" i="2"/>
  <c r="P43" i="1"/>
  <c r="AQ43" i="2"/>
  <c r="O43" i="1"/>
  <c r="AP43" i="2"/>
  <c r="N43" i="1"/>
  <c r="AO43" i="2"/>
  <c r="M43" i="1"/>
  <c r="AN43" i="2"/>
  <c r="L43" i="1"/>
  <c r="AM43" i="2"/>
  <c r="K43" i="1"/>
  <c r="AL43" i="2"/>
  <c r="AK43" i="2"/>
  <c r="AJ43" i="2"/>
  <c r="H43" i="1"/>
  <c r="AI43" i="2"/>
  <c r="G43" i="1"/>
  <c r="AH43" i="2"/>
  <c r="F43" i="1"/>
  <c r="AG43" i="2"/>
  <c r="E43" i="1"/>
  <c r="AF43" i="2"/>
  <c r="D43" i="1"/>
  <c r="AE43" i="2"/>
  <c r="AD43" i="2"/>
  <c r="AC43" i="2"/>
  <c r="Z43" i="2"/>
  <c r="Y43" i="2"/>
  <c r="R42" i="1"/>
  <c r="AS42" i="2"/>
  <c r="AR42" i="2"/>
  <c r="P42" i="1"/>
  <c r="AQ42" i="2"/>
  <c r="O42" i="1"/>
  <c r="AP42" i="2"/>
  <c r="N42" i="1"/>
  <c r="AO42" i="2"/>
  <c r="M42" i="1"/>
  <c r="AN42" i="2"/>
  <c r="L42" i="1"/>
  <c r="AM42" i="2"/>
  <c r="K42" i="1"/>
  <c r="AL42" i="2"/>
  <c r="AK42" i="2"/>
  <c r="AJ42" i="2"/>
  <c r="H42" i="1"/>
  <c r="AI42" i="2"/>
  <c r="G42" i="1"/>
  <c r="AH42" i="2"/>
  <c r="F42" i="1"/>
  <c r="AG42" i="2"/>
  <c r="E42" i="1"/>
  <c r="AF42" i="2"/>
  <c r="D42" i="1"/>
  <c r="AE42" i="2"/>
  <c r="AD42" i="2"/>
  <c r="AC42" i="2"/>
  <c r="Z42" i="2"/>
  <c r="Y42" i="2"/>
  <c r="R41" i="1"/>
  <c r="AS41" i="2"/>
  <c r="AR41" i="2"/>
  <c r="P41" i="1"/>
  <c r="AQ41" i="2"/>
  <c r="O41" i="1"/>
  <c r="AP41" i="2"/>
  <c r="N41" i="1"/>
  <c r="AO41" i="2"/>
  <c r="M41" i="1"/>
  <c r="AN41" i="2"/>
  <c r="L41" i="1"/>
  <c r="AM41" i="2"/>
  <c r="K41" i="1"/>
  <c r="AL41" i="2"/>
  <c r="AK41" i="2"/>
  <c r="AJ41" i="2"/>
  <c r="H41" i="1"/>
  <c r="AI41" i="2"/>
  <c r="G41" i="1"/>
  <c r="AH41" i="2"/>
  <c r="F41" i="1"/>
  <c r="AG41" i="2"/>
  <c r="E41" i="1"/>
  <c r="AF41" i="2"/>
  <c r="D41" i="1"/>
  <c r="AE41" i="2"/>
  <c r="AD41" i="2"/>
  <c r="AC41" i="2"/>
  <c r="Z41" i="2"/>
  <c r="Y41" i="2"/>
  <c r="R40" i="1"/>
  <c r="AS40" i="2"/>
  <c r="AR40" i="2"/>
  <c r="P40" i="1"/>
  <c r="AQ40" i="2"/>
  <c r="O40" i="1"/>
  <c r="AP40" i="2"/>
  <c r="N40" i="1"/>
  <c r="AO40" i="2"/>
  <c r="M40" i="1"/>
  <c r="AN40" i="2"/>
  <c r="L40" i="1"/>
  <c r="AM40" i="2"/>
  <c r="K40" i="1"/>
  <c r="AL40" i="2"/>
  <c r="AK40" i="2"/>
  <c r="AJ40" i="2"/>
  <c r="H40" i="1"/>
  <c r="AI40" i="2"/>
  <c r="G40" i="1"/>
  <c r="AH40" i="2"/>
  <c r="F40" i="1"/>
  <c r="AG40" i="2"/>
  <c r="E40" i="1"/>
  <c r="AF40" i="2"/>
  <c r="D40" i="1"/>
  <c r="AE40" i="2"/>
  <c r="AD40" i="2"/>
  <c r="AC40" i="2"/>
  <c r="Z40" i="2"/>
  <c r="Y40" i="2"/>
  <c r="R39" i="1"/>
  <c r="AS39" i="2"/>
  <c r="AR39" i="2"/>
  <c r="P39" i="1"/>
  <c r="AQ39" i="2"/>
  <c r="O39" i="1"/>
  <c r="AP39" i="2"/>
  <c r="N39" i="1"/>
  <c r="AO39" i="2"/>
  <c r="M39" i="1"/>
  <c r="AN39" i="2"/>
  <c r="L39" i="1"/>
  <c r="AM39" i="2"/>
  <c r="K39" i="1"/>
  <c r="AL39" i="2"/>
  <c r="AK39" i="2"/>
  <c r="AJ39" i="2"/>
  <c r="H39" i="1"/>
  <c r="AI39" i="2"/>
  <c r="G39" i="1"/>
  <c r="AH39" i="2"/>
  <c r="F39" i="1"/>
  <c r="AG39" i="2"/>
  <c r="E39" i="1"/>
  <c r="AF39" i="2"/>
  <c r="D39" i="1"/>
  <c r="AE39" i="2"/>
  <c r="AD39" i="2"/>
  <c r="AC39" i="2"/>
  <c r="Z39" i="2"/>
  <c r="Y39" i="2"/>
  <c r="R38" i="1"/>
  <c r="AS38" i="2"/>
  <c r="AR38" i="2"/>
  <c r="P38" i="1"/>
  <c r="AQ38" i="2"/>
  <c r="O38" i="1"/>
  <c r="AP38" i="2"/>
  <c r="N38" i="1"/>
  <c r="AO38" i="2"/>
  <c r="M38" i="1"/>
  <c r="AN38" i="2"/>
  <c r="L38" i="1"/>
  <c r="AM38" i="2"/>
  <c r="K38" i="1"/>
  <c r="AL38" i="2"/>
  <c r="AK38" i="2"/>
  <c r="AJ38" i="2"/>
  <c r="H38" i="1"/>
  <c r="AI38" i="2"/>
  <c r="G38" i="1"/>
  <c r="AH38" i="2"/>
  <c r="F38" i="1"/>
  <c r="AG38" i="2"/>
  <c r="E38" i="1"/>
  <c r="AF38" i="2"/>
  <c r="D38" i="1"/>
  <c r="AE38" i="2"/>
  <c r="AD38" i="2"/>
  <c r="AC38" i="2"/>
  <c r="Z38" i="2"/>
  <c r="Y38" i="2"/>
  <c r="R37" i="1"/>
  <c r="AS37" i="2"/>
  <c r="AR37" i="2"/>
  <c r="P37" i="1"/>
  <c r="AQ37" i="2"/>
  <c r="O37" i="1"/>
  <c r="AP37" i="2"/>
  <c r="N37" i="1"/>
  <c r="AO37" i="2"/>
  <c r="M37" i="1"/>
  <c r="AN37" i="2"/>
  <c r="L37" i="1"/>
  <c r="AM37" i="2"/>
  <c r="K37" i="1"/>
  <c r="AL37" i="2"/>
  <c r="AK37" i="2"/>
  <c r="AJ37" i="2"/>
  <c r="H37" i="1"/>
  <c r="AI37" i="2"/>
  <c r="G37" i="1"/>
  <c r="AH37" i="2"/>
  <c r="F37" i="1"/>
  <c r="AG37" i="2"/>
  <c r="E37" i="1"/>
  <c r="AF37" i="2"/>
  <c r="D37" i="1"/>
  <c r="AE37" i="2"/>
  <c r="AD37" i="2"/>
  <c r="AC37" i="2"/>
  <c r="Z37" i="2"/>
  <c r="Y37" i="2"/>
  <c r="R36" i="1"/>
  <c r="AS36" i="2"/>
  <c r="AR36" i="2"/>
  <c r="P36" i="1"/>
  <c r="AQ36" i="2"/>
  <c r="O36" i="1"/>
  <c r="AP36" i="2"/>
  <c r="N36" i="1"/>
  <c r="AO36" i="2"/>
  <c r="M36" i="1"/>
  <c r="AN36" i="2"/>
  <c r="L36" i="1"/>
  <c r="AM36" i="2"/>
  <c r="K36" i="1"/>
  <c r="AL36" i="2"/>
  <c r="AK36" i="2"/>
  <c r="AJ36" i="2"/>
  <c r="H36" i="1"/>
  <c r="AI36" i="2"/>
  <c r="G36" i="1"/>
  <c r="AH36" i="2"/>
  <c r="F36" i="1"/>
  <c r="AG36" i="2"/>
  <c r="E36" i="1"/>
  <c r="AF36" i="2"/>
  <c r="D36" i="1"/>
  <c r="AE36" i="2"/>
  <c r="AD36" i="2"/>
  <c r="AC36" i="2"/>
  <c r="Z36" i="2"/>
  <c r="Y36" i="2"/>
  <c r="R35" i="1"/>
  <c r="AS35" i="2"/>
  <c r="AR35" i="2"/>
  <c r="P35" i="1"/>
  <c r="AQ35" i="2"/>
  <c r="O35" i="1"/>
  <c r="AP35" i="2"/>
  <c r="N35" i="1"/>
  <c r="AO35" i="2"/>
  <c r="M35" i="1"/>
  <c r="AN35" i="2"/>
  <c r="L35" i="1"/>
  <c r="AM35" i="2"/>
  <c r="K35" i="1"/>
  <c r="AL35" i="2"/>
  <c r="AK35" i="2"/>
  <c r="AJ35" i="2"/>
  <c r="H35" i="1"/>
  <c r="AI35" i="2"/>
  <c r="G35" i="1"/>
  <c r="AH35" i="2"/>
  <c r="F35" i="1"/>
  <c r="AG35" i="2"/>
  <c r="E35" i="1"/>
  <c r="AF35" i="2"/>
  <c r="D35" i="1"/>
  <c r="AE35" i="2"/>
  <c r="AD35" i="2"/>
  <c r="AC35" i="2"/>
  <c r="Z35" i="2"/>
  <c r="Y35" i="2"/>
  <c r="R34" i="1"/>
  <c r="AS34" i="2"/>
  <c r="AR34" i="2"/>
  <c r="P34" i="1"/>
  <c r="AQ34" i="2"/>
  <c r="O34" i="1"/>
  <c r="AP34" i="2"/>
  <c r="N34" i="1"/>
  <c r="AO34" i="2"/>
  <c r="M34" i="1"/>
  <c r="AN34" i="2"/>
  <c r="L34" i="1"/>
  <c r="AM34" i="2"/>
  <c r="K34" i="1"/>
  <c r="AL34" i="2"/>
  <c r="AK34" i="2"/>
  <c r="AJ34" i="2"/>
  <c r="H34" i="1"/>
  <c r="AI34" i="2"/>
  <c r="G34" i="1"/>
  <c r="AH34" i="2"/>
  <c r="F34" i="1"/>
  <c r="AG34" i="2"/>
  <c r="E34" i="1"/>
  <c r="AF34" i="2"/>
  <c r="D34" i="1"/>
  <c r="AE34" i="2"/>
  <c r="AD34" i="2"/>
  <c r="AC34" i="2"/>
  <c r="Z34" i="2"/>
  <c r="Y34" i="2"/>
  <c r="R33" i="1"/>
  <c r="AS33" i="2"/>
  <c r="AR33" i="2"/>
  <c r="P33" i="1"/>
  <c r="AQ33" i="2"/>
  <c r="O33" i="1"/>
  <c r="AP33" i="2"/>
  <c r="N33" i="1"/>
  <c r="AO33" i="2"/>
  <c r="M33" i="1"/>
  <c r="AN33" i="2"/>
  <c r="L33" i="1"/>
  <c r="AM33" i="2"/>
  <c r="K33" i="1"/>
  <c r="AL33" i="2"/>
  <c r="AK33" i="2"/>
  <c r="AJ33" i="2"/>
  <c r="H33" i="1"/>
  <c r="AI33" i="2"/>
  <c r="G33" i="1"/>
  <c r="AH33" i="2"/>
  <c r="F33" i="1"/>
  <c r="AG33" i="2"/>
  <c r="E33" i="1"/>
  <c r="AF33" i="2"/>
  <c r="D33" i="1"/>
  <c r="AE33" i="2"/>
  <c r="AD33" i="2"/>
  <c r="AC33" i="2"/>
  <c r="Z33" i="2"/>
  <c r="Y33" i="2"/>
  <c r="R32" i="1"/>
  <c r="AS32" i="2"/>
  <c r="AR32" i="2"/>
  <c r="P32" i="1"/>
  <c r="AQ32" i="2"/>
  <c r="O32" i="1"/>
  <c r="AP32" i="2"/>
  <c r="N32" i="1"/>
  <c r="AO32" i="2"/>
  <c r="M32" i="1"/>
  <c r="AN32" i="2"/>
  <c r="L32" i="1"/>
  <c r="AM32" i="2"/>
  <c r="K32" i="1"/>
  <c r="AL32" i="2"/>
  <c r="AK32" i="2"/>
  <c r="AJ32" i="2"/>
  <c r="H32" i="1"/>
  <c r="AI32" i="2"/>
  <c r="G32" i="1"/>
  <c r="AH32" i="2"/>
  <c r="F32" i="1"/>
  <c r="AG32" i="2"/>
  <c r="E32" i="1"/>
  <c r="AF32" i="2"/>
  <c r="D32" i="1"/>
  <c r="AE32" i="2"/>
  <c r="AD32" i="2"/>
  <c r="AC32" i="2"/>
  <c r="Z32" i="2"/>
  <c r="Y32" i="2"/>
  <c r="R31" i="1"/>
  <c r="AS31" i="2"/>
  <c r="AR31" i="2"/>
  <c r="P31" i="1"/>
  <c r="AQ31" i="2"/>
  <c r="O31" i="1"/>
  <c r="AP31" i="2"/>
  <c r="N31" i="1"/>
  <c r="AO31" i="2"/>
  <c r="M31" i="1"/>
  <c r="AN31" i="2"/>
  <c r="L31" i="1"/>
  <c r="AM31" i="2"/>
  <c r="K31" i="1"/>
  <c r="AL31" i="2"/>
  <c r="AK31" i="2"/>
  <c r="AJ31" i="2"/>
  <c r="H31" i="1"/>
  <c r="AI31" i="2"/>
  <c r="G31" i="1"/>
  <c r="AH31" i="2"/>
  <c r="F31" i="1"/>
  <c r="AG31" i="2"/>
  <c r="E31" i="1"/>
  <c r="AF31" i="2"/>
  <c r="D31" i="1"/>
  <c r="AE31" i="2"/>
  <c r="AD31" i="2"/>
  <c r="AC31" i="2"/>
  <c r="Z31" i="2"/>
  <c r="Y31" i="2"/>
  <c r="R30" i="1"/>
  <c r="AS30" i="2"/>
  <c r="AR30" i="2"/>
  <c r="P30" i="1"/>
  <c r="AQ30" i="2"/>
  <c r="O30" i="1"/>
  <c r="AP30" i="2"/>
  <c r="N30" i="1"/>
  <c r="AO30" i="2"/>
  <c r="M30" i="1"/>
  <c r="AN30" i="2"/>
  <c r="L30" i="1"/>
  <c r="AM30" i="2"/>
  <c r="K30" i="1"/>
  <c r="AL30" i="2"/>
  <c r="AK30" i="2"/>
  <c r="AJ30" i="2"/>
  <c r="H30" i="1"/>
  <c r="AI30" i="2"/>
  <c r="G30" i="1"/>
  <c r="AH30" i="2"/>
  <c r="F30" i="1"/>
  <c r="AG30" i="2"/>
  <c r="E30" i="1"/>
  <c r="AF30" i="2"/>
  <c r="D30" i="1"/>
  <c r="AE30" i="2"/>
  <c r="AD30" i="2"/>
  <c r="AC30" i="2"/>
  <c r="Z30" i="2"/>
  <c r="Y30" i="2"/>
  <c r="R29" i="1"/>
  <c r="AS29" i="2"/>
  <c r="AR29" i="2"/>
  <c r="P29" i="1"/>
  <c r="AQ29" i="2"/>
  <c r="O29" i="1"/>
  <c r="AP29" i="2"/>
  <c r="N29" i="1"/>
  <c r="AO29" i="2"/>
  <c r="M29" i="1"/>
  <c r="AN29" i="2"/>
  <c r="L29" i="1"/>
  <c r="AM29" i="2"/>
  <c r="K29" i="1"/>
  <c r="AL29" i="2"/>
  <c r="AK29" i="2"/>
  <c r="AJ29" i="2"/>
  <c r="H29" i="1"/>
  <c r="AI29" i="2"/>
  <c r="G29" i="1"/>
  <c r="AH29" i="2"/>
  <c r="F29" i="1"/>
  <c r="AG29" i="2"/>
  <c r="E29" i="1"/>
  <c r="AF29" i="2"/>
  <c r="D29" i="1"/>
  <c r="AE29" i="2"/>
  <c r="AD29" i="2"/>
  <c r="AC29" i="2"/>
  <c r="Z29" i="2"/>
  <c r="Y29" i="2"/>
  <c r="R28" i="1"/>
  <c r="AS28" i="2"/>
  <c r="AR28" i="2"/>
  <c r="P28" i="1"/>
  <c r="AQ28" i="2"/>
  <c r="O28" i="1"/>
  <c r="AP28" i="2"/>
  <c r="N28" i="1"/>
  <c r="AO28" i="2"/>
  <c r="M28" i="1"/>
  <c r="AN28" i="2"/>
  <c r="L28" i="1"/>
  <c r="AM28" i="2"/>
  <c r="K28" i="1"/>
  <c r="AL28" i="2"/>
  <c r="AK28" i="2"/>
  <c r="AJ28" i="2"/>
  <c r="H28" i="1"/>
  <c r="AI28" i="2"/>
  <c r="G28" i="1"/>
  <c r="AH28" i="2"/>
  <c r="F28" i="1"/>
  <c r="AG28" i="2"/>
  <c r="E28" i="1"/>
  <c r="AF28" i="2"/>
  <c r="D28" i="1"/>
  <c r="AE28" i="2"/>
  <c r="AD28" i="2"/>
  <c r="AC28" i="2"/>
  <c r="Z28" i="2"/>
  <c r="Y28" i="2"/>
  <c r="R27" i="1"/>
  <c r="AS27" i="2"/>
  <c r="AR27" i="2"/>
  <c r="P27" i="1"/>
  <c r="AQ27" i="2"/>
  <c r="O27" i="1"/>
  <c r="AP27" i="2"/>
  <c r="N27" i="1"/>
  <c r="AO27" i="2"/>
  <c r="M27" i="1"/>
  <c r="AN27" i="2"/>
  <c r="L27" i="1"/>
  <c r="AM27" i="2"/>
  <c r="K27" i="1"/>
  <c r="AL27" i="2"/>
  <c r="AK27" i="2"/>
  <c r="AJ27" i="2"/>
  <c r="H27" i="1"/>
  <c r="AI27" i="2"/>
  <c r="G27" i="1"/>
  <c r="AH27" i="2"/>
  <c r="F27" i="1"/>
  <c r="AG27" i="2"/>
  <c r="E27" i="1"/>
  <c r="AF27" i="2"/>
  <c r="D27" i="1"/>
  <c r="AE27" i="2"/>
  <c r="AD27" i="2"/>
  <c r="AC27" i="2"/>
  <c r="Z27" i="2"/>
  <c r="Y27" i="2"/>
  <c r="R26" i="1"/>
  <c r="AS26" i="2"/>
  <c r="AR26" i="2"/>
  <c r="P26" i="1"/>
  <c r="AQ26" i="2"/>
  <c r="O26" i="1"/>
  <c r="AP26" i="2"/>
  <c r="N26" i="1"/>
  <c r="AO26" i="2"/>
  <c r="M26" i="1"/>
  <c r="AN26" i="2"/>
  <c r="L26" i="1"/>
  <c r="AM26" i="2"/>
  <c r="K26" i="1"/>
  <c r="AL26" i="2"/>
  <c r="AK26" i="2"/>
  <c r="AJ26" i="2"/>
  <c r="H26" i="1"/>
  <c r="AI26" i="2"/>
  <c r="G26" i="1"/>
  <c r="AH26" i="2"/>
  <c r="F26" i="1"/>
  <c r="AG26" i="2"/>
  <c r="E26" i="1"/>
  <c r="AF26" i="2"/>
  <c r="D26" i="1"/>
  <c r="AE26" i="2"/>
  <c r="AD26" i="2"/>
  <c r="AC26" i="2"/>
  <c r="Z26" i="2"/>
  <c r="Y26" i="2"/>
  <c r="R25" i="1"/>
  <c r="AS25" i="2"/>
  <c r="AR25" i="2"/>
  <c r="P25" i="1"/>
  <c r="AQ25" i="2"/>
  <c r="O25" i="1"/>
  <c r="AP25" i="2"/>
  <c r="N25" i="1"/>
  <c r="AO25" i="2"/>
  <c r="M25" i="1"/>
  <c r="AN25" i="2"/>
  <c r="L25" i="1"/>
  <c r="AM25" i="2"/>
  <c r="K25" i="1"/>
  <c r="AL25" i="2"/>
  <c r="AK25" i="2"/>
  <c r="AJ25" i="2"/>
  <c r="H25" i="1"/>
  <c r="AI25" i="2"/>
  <c r="G25" i="1"/>
  <c r="AH25" i="2"/>
  <c r="F25" i="1"/>
  <c r="AG25" i="2"/>
  <c r="E25" i="1"/>
  <c r="AF25" i="2"/>
  <c r="D25" i="1"/>
  <c r="AE25" i="2"/>
  <c r="AD25" i="2"/>
  <c r="AC25" i="2"/>
  <c r="Z25" i="2"/>
  <c r="Y25" i="2"/>
  <c r="R24" i="1"/>
  <c r="AS24" i="2"/>
  <c r="AR24" i="2"/>
  <c r="P24" i="1"/>
  <c r="AQ24" i="2"/>
  <c r="O24" i="1"/>
  <c r="AP24" i="2"/>
  <c r="N24" i="1"/>
  <c r="AO24" i="2"/>
  <c r="M24" i="1"/>
  <c r="AN24" i="2"/>
  <c r="L24" i="1"/>
  <c r="AM24" i="2"/>
  <c r="K24" i="1"/>
  <c r="AL24" i="2"/>
  <c r="AK24" i="2"/>
  <c r="AJ24" i="2"/>
  <c r="H24" i="1"/>
  <c r="AI24" i="2"/>
  <c r="G24" i="1"/>
  <c r="AH24" i="2"/>
  <c r="F24" i="1"/>
  <c r="AG24" i="2"/>
  <c r="E24" i="1"/>
  <c r="AF24" i="2"/>
  <c r="D24" i="1"/>
  <c r="AE24" i="2"/>
  <c r="AD24" i="2"/>
  <c r="AC24" i="2"/>
  <c r="Z24" i="2"/>
  <c r="Y24" i="2"/>
  <c r="R23" i="1"/>
  <c r="AS23" i="2"/>
  <c r="AR23" i="2"/>
  <c r="P23" i="1"/>
  <c r="AQ23" i="2"/>
  <c r="O23" i="1"/>
  <c r="AP23" i="2"/>
  <c r="N23" i="1"/>
  <c r="AO23" i="2"/>
  <c r="M23" i="1"/>
  <c r="AN23" i="2"/>
  <c r="L23" i="1"/>
  <c r="AM23" i="2"/>
  <c r="K23" i="1"/>
  <c r="AL23" i="2"/>
  <c r="AK23" i="2"/>
  <c r="AJ23" i="2"/>
  <c r="H23" i="1"/>
  <c r="AI23" i="2"/>
  <c r="G23" i="1"/>
  <c r="AH23" i="2"/>
  <c r="F23" i="1"/>
  <c r="AG23" i="2"/>
  <c r="E23" i="1"/>
  <c r="AF23" i="2"/>
  <c r="D23" i="1"/>
  <c r="AE23" i="2"/>
  <c r="AD23" i="2"/>
  <c r="AC23" i="2"/>
  <c r="Z23" i="2"/>
  <c r="Y23" i="2"/>
  <c r="R22" i="1"/>
  <c r="AS22" i="2"/>
  <c r="AR22" i="2"/>
  <c r="P22" i="1"/>
  <c r="AQ22" i="2"/>
  <c r="O22" i="1"/>
  <c r="AP22" i="2"/>
  <c r="N22" i="1"/>
  <c r="AO22" i="2"/>
  <c r="M22" i="1"/>
  <c r="AN22" i="2"/>
  <c r="L22" i="1"/>
  <c r="AM22" i="2"/>
  <c r="K22" i="1"/>
  <c r="AL22" i="2"/>
  <c r="AK22" i="2"/>
  <c r="AJ22" i="2"/>
  <c r="H22" i="1"/>
  <c r="AI22" i="2"/>
  <c r="G22" i="1"/>
  <c r="AH22" i="2"/>
  <c r="F22" i="1"/>
  <c r="AG22" i="2"/>
  <c r="E22" i="1"/>
  <c r="AF22" i="2"/>
  <c r="D22" i="1"/>
  <c r="AE22" i="2"/>
  <c r="AD22" i="2"/>
  <c r="AC22" i="2"/>
  <c r="Z22" i="2"/>
  <c r="Y22" i="2"/>
  <c r="R21" i="1"/>
  <c r="AS21" i="2"/>
  <c r="AR21" i="2"/>
  <c r="P21" i="1"/>
  <c r="AQ21" i="2"/>
  <c r="O21" i="1"/>
  <c r="AP21" i="2"/>
  <c r="N21" i="1"/>
  <c r="AO21" i="2"/>
  <c r="M21" i="1"/>
  <c r="AN21" i="2"/>
  <c r="L21" i="1"/>
  <c r="AM21" i="2"/>
  <c r="K21" i="1"/>
  <c r="AL21" i="2"/>
  <c r="AK21" i="2"/>
  <c r="AJ21" i="2"/>
  <c r="H21" i="1"/>
  <c r="AI21" i="2"/>
  <c r="G21" i="1"/>
  <c r="AH21" i="2"/>
  <c r="F21" i="1"/>
  <c r="AG21" i="2"/>
  <c r="E21" i="1"/>
  <c r="AF21" i="2"/>
  <c r="D21" i="1"/>
  <c r="AE21" i="2"/>
  <c r="AD21" i="2"/>
  <c r="AC21" i="2"/>
  <c r="Z21" i="2"/>
  <c r="Y21" i="2"/>
  <c r="R20" i="1"/>
  <c r="AS20" i="2"/>
  <c r="AR20" i="2"/>
  <c r="P20" i="1"/>
  <c r="AQ20" i="2"/>
  <c r="O20" i="1"/>
  <c r="AP20" i="2"/>
  <c r="N20" i="1"/>
  <c r="AO20" i="2"/>
  <c r="M20" i="1"/>
  <c r="AN20" i="2"/>
  <c r="L20" i="1"/>
  <c r="AM20" i="2"/>
  <c r="K20" i="1"/>
  <c r="AL20" i="2"/>
  <c r="AK20" i="2"/>
  <c r="AJ20" i="2"/>
  <c r="H20" i="1"/>
  <c r="AI20" i="2"/>
  <c r="G20" i="1"/>
  <c r="AH20" i="2"/>
  <c r="F20" i="1"/>
  <c r="AG20" i="2"/>
  <c r="E20" i="1"/>
  <c r="AF20" i="2"/>
  <c r="D20" i="1"/>
  <c r="AE20" i="2"/>
  <c r="AD20" i="2"/>
  <c r="AC20" i="2"/>
  <c r="Z20" i="2"/>
  <c r="Y20" i="2"/>
  <c r="R19" i="1"/>
  <c r="AS19" i="2"/>
  <c r="AR19" i="2"/>
  <c r="P19" i="1"/>
  <c r="AQ19" i="2"/>
  <c r="O19" i="1"/>
  <c r="AP19" i="2"/>
  <c r="N19" i="1"/>
  <c r="AO19" i="2"/>
  <c r="M19" i="1"/>
  <c r="AN19" i="2"/>
  <c r="L19" i="1"/>
  <c r="AM19" i="2"/>
  <c r="K19" i="1"/>
  <c r="AL19" i="2"/>
  <c r="AK19" i="2"/>
  <c r="AJ19" i="2"/>
  <c r="H19" i="1"/>
  <c r="AI19" i="2"/>
  <c r="G19" i="1"/>
  <c r="AH19" i="2"/>
  <c r="F19" i="1"/>
  <c r="AG19" i="2"/>
  <c r="E19" i="1"/>
  <c r="AF19" i="2"/>
  <c r="D19" i="1"/>
  <c r="AE19" i="2"/>
  <c r="AD19" i="2"/>
  <c r="AC19" i="2"/>
  <c r="Z19" i="2"/>
  <c r="Y19" i="2"/>
  <c r="R18" i="1"/>
  <c r="AS18" i="2"/>
  <c r="AR18" i="2"/>
  <c r="P18" i="1"/>
  <c r="AQ18" i="2"/>
  <c r="O18" i="1"/>
  <c r="AP18" i="2"/>
  <c r="N18" i="1"/>
  <c r="AO18" i="2"/>
  <c r="M18" i="1"/>
  <c r="AN18" i="2"/>
  <c r="L18" i="1"/>
  <c r="AM18" i="2"/>
  <c r="K18" i="1"/>
  <c r="AL18" i="2"/>
  <c r="AK18" i="2"/>
  <c r="AJ18" i="2"/>
  <c r="H18" i="1"/>
  <c r="AI18" i="2"/>
  <c r="G18" i="1"/>
  <c r="AH18" i="2"/>
  <c r="F18" i="1"/>
  <c r="AG18" i="2"/>
  <c r="E18" i="1"/>
  <c r="AF18" i="2"/>
  <c r="D18" i="1"/>
  <c r="AE18" i="2"/>
  <c r="AD18" i="2"/>
  <c r="AC18" i="2"/>
  <c r="Z18" i="2"/>
  <c r="Y18" i="2"/>
  <c r="R17" i="1"/>
  <c r="AS17" i="2"/>
  <c r="AR17" i="2"/>
  <c r="P17" i="1"/>
  <c r="AQ17" i="2"/>
  <c r="O17" i="1"/>
  <c r="AP17" i="2"/>
  <c r="N17" i="1"/>
  <c r="AO17" i="2"/>
  <c r="M17" i="1"/>
  <c r="AN17" i="2"/>
  <c r="L17" i="1"/>
  <c r="AM17" i="2"/>
  <c r="K17" i="1"/>
  <c r="AL17" i="2"/>
  <c r="AK17" i="2"/>
  <c r="AJ17" i="2"/>
  <c r="H17" i="1"/>
  <c r="AI17" i="2"/>
  <c r="G17" i="1"/>
  <c r="AH17" i="2"/>
  <c r="F17" i="1"/>
  <c r="AG17" i="2"/>
  <c r="E17" i="1"/>
  <c r="AF17" i="2"/>
  <c r="D17" i="1"/>
  <c r="AE17" i="2"/>
  <c r="AD17" i="2"/>
  <c r="AC17" i="2"/>
  <c r="Z17" i="2"/>
  <c r="Y17" i="2"/>
  <c r="R16" i="1"/>
  <c r="AS16" i="2"/>
  <c r="AR16" i="2"/>
  <c r="P16" i="1"/>
  <c r="AQ16" i="2"/>
  <c r="O16" i="1"/>
  <c r="AP16" i="2"/>
  <c r="N16" i="1"/>
  <c r="AO16" i="2"/>
  <c r="M16" i="1"/>
  <c r="AN16" i="2"/>
  <c r="L16" i="1"/>
  <c r="AM16" i="2"/>
  <c r="K16" i="1"/>
  <c r="AL16" i="2"/>
  <c r="AK16" i="2"/>
  <c r="AJ16" i="2"/>
  <c r="H16" i="1"/>
  <c r="AI16" i="2"/>
  <c r="G16" i="1"/>
  <c r="AH16" i="2"/>
  <c r="F16" i="1"/>
  <c r="AG16" i="2"/>
  <c r="E16" i="1"/>
  <c r="AF16" i="2"/>
  <c r="D16" i="1"/>
  <c r="AE16" i="2"/>
  <c r="AD16" i="2"/>
  <c r="AC16" i="2"/>
  <c r="Z16" i="2"/>
  <c r="Y16" i="2"/>
  <c r="R15" i="1"/>
  <c r="AS15" i="2"/>
  <c r="AR15" i="2"/>
  <c r="P15" i="1"/>
  <c r="AQ15" i="2"/>
  <c r="O15" i="1"/>
  <c r="AP15" i="2"/>
  <c r="N15" i="1"/>
  <c r="AO15" i="2"/>
  <c r="M15" i="1"/>
  <c r="AN15" i="2"/>
  <c r="L15" i="1"/>
  <c r="AM15" i="2"/>
  <c r="K15" i="1"/>
  <c r="AL15" i="2"/>
  <c r="AK15" i="2"/>
  <c r="AJ15" i="2"/>
  <c r="H15" i="1"/>
  <c r="AI15" i="2"/>
  <c r="G15" i="1"/>
  <c r="AH15" i="2"/>
  <c r="F15" i="1"/>
  <c r="AG15" i="2"/>
  <c r="E15" i="1"/>
  <c r="AF15" i="2"/>
  <c r="D15" i="1"/>
  <c r="AE15" i="2"/>
  <c r="AD15" i="2"/>
  <c r="AC15" i="2"/>
  <c r="Z15" i="2"/>
  <c r="Y15" i="2"/>
  <c r="R14" i="1"/>
  <c r="AS14" i="2"/>
  <c r="AR14" i="2"/>
  <c r="P14" i="1"/>
  <c r="AQ14" i="2"/>
  <c r="O14" i="1"/>
  <c r="AP14" i="2"/>
  <c r="N14" i="1"/>
  <c r="AO14" i="2"/>
  <c r="M14" i="1"/>
  <c r="AN14" i="2"/>
  <c r="L14" i="1"/>
  <c r="AM14" i="2"/>
  <c r="K14" i="1"/>
  <c r="AL14" i="2"/>
  <c r="AK14" i="2"/>
  <c r="AJ14" i="2"/>
  <c r="H14" i="1"/>
  <c r="AI14" i="2"/>
  <c r="G14" i="1"/>
  <c r="AH14" i="2"/>
  <c r="F14" i="1"/>
  <c r="AG14" i="2"/>
  <c r="E14" i="1"/>
  <c r="AF14" i="2"/>
  <c r="D14" i="1"/>
  <c r="AE14" i="2"/>
  <c r="AD14" i="2"/>
  <c r="AC14" i="2"/>
  <c r="Z14" i="2"/>
  <c r="Y14" i="2"/>
  <c r="R13" i="1"/>
  <c r="AS13" i="2"/>
  <c r="AR13" i="2"/>
  <c r="P13" i="1"/>
  <c r="AQ13" i="2"/>
  <c r="O13" i="1"/>
  <c r="AP13" i="2"/>
  <c r="N13" i="1"/>
  <c r="AO13" i="2"/>
  <c r="M13" i="1"/>
  <c r="AN13" i="2"/>
  <c r="L13" i="1"/>
  <c r="AM13" i="2"/>
  <c r="K13" i="1"/>
  <c r="AL13" i="2"/>
  <c r="AK13" i="2"/>
  <c r="AJ13" i="2"/>
  <c r="H13" i="1"/>
  <c r="AI13" i="2"/>
  <c r="G13" i="1"/>
  <c r="AH13" i="2"/>
  <c r="F13" i="1"/>
  <c r="AG13" i="2"/>
  <c r="E13" i="1"/>
  <c r="AF13" i="2"/>
  <c r="D13" i="1"/>
  <c r="AE13" i="2"/>
  <c r="AD13" i="2"/>
  <c r="AC13" i="2"/>
  <c r="Z13" i="2"/>
  <c r="Y13" i="2"/>
  <c r="R12" i="1"/>
  <c r="AS12" i="2"/>
  <c r="AR12" i="2"/>
  <c r="P12" i="1"/>
  <c r="AQ12" i="2"/>
  <c r="O12" i="1"/>
  <c r="AP12" i="2"/>
  <c r="N12" i="1"/>
  <c r="AO12" i="2"/>
  <c r="M12" i="1"/>
  <c r="AN12" i="2"/>
  <c r="L12" i="1"/>
  <c r="AM12" i="2"/>
  <c r="K12" i="1"/>
  <c r="AL12" i="2"/>
  <c r="AK12" i="2"/>
  <c r="AJ12" i="2"/>
  <c r="H12" i="1"/>
  <c r="AI12" i="2"/>
  <c r="G12" i="1"/>
  <c r="AH12" i="2"/>
  <c r="F12" i="1"/>
  <c r="AG12" i="2"/>
  <c r="E12" i="1"/>
  <c r="AF12" i="2"/>
  <c r="D12" i="1"/>
  <c r="AE12" i="2"/>
  <c r="AD12" i="2"/>
  <c r="AC12" i="2"/>
  <c r="Z12" i="2"/>
  <c r="Y12" i="2"/>
  <c r="R11" i="1"/>
  <c r="AS11" i="2"/>
  <c r="AR11" i="2"/>
  <c r="P11" i="1"/>
  <c r="AQ11" i="2"/>
  <c r="O11" i="1"/>
  <c r="AP11" i="2"/>
  <c r="N11" i="1"/>
  <c r="AO11" i="2"/>
  <c r="M11" i="1"/>
  <c r="AN11" i="2"/>
  <c r="L11" i="1"/>
  <c r="AM11" i="2"/>
  <c r="K11" i="1"/>
  <c r="AL11" i="2"/>
  <c r="AK11" i="2"/>
  <c r="AJ11" i="2"/>
  <c r="H11" i="1"/>
  <c r="AI11" i="2"/>
  <c r="G11" i="1"/>
  <c r="AH11" i="2"/>
  <c r="F11" i="1"/>
  <c r="AG11" i="2"/>
  <c r="E11" i="1"/>
  <c r="AF11" i="2"/>
  <c r="D11" i="1"/>
  <c r="AE11" i="2"/>
  <c r="AD11" i="2"/>
  <c r="AC11" i="2"/>
  <c r="Z11" i="2"/>
  <c r="Y11" i="2"/>
  <c r="R10" i="1"/>
  <c r="AS10" i="2"/>
  <c r="AR10" i="2"/>
  <c r="P10" i="1"/>
  <c r="AQ10" i="2"/>
  <c r="O10" i="1"/>
  <c r="AP10" i="2"/>
  <c r="N10" i="1"/>
  <c r="AO10" i="2"/>
  <c r="M10" i="1"/>
  <c r="AN10" i="2"/>
  <c r="L10" i="1"/>
  <c r="AM10" i="2"/>
  <c r="K10" i="1"/>
  <c r="AL10" i="2"/>
  <c r="AK10" i="2"/>
  <c r="AJ10" i="2"/>
  <c r="H10" i="1"/>
  <c r="AI10" i="2"/>
  <c r="G10" i="1"/>
  <c r="AH10" i="2"/>
  <c r="F10" i="1"/>
  <c r="AG10" i="2"/>
  <c r="E10" i="1"/>
  <c r="AF10" i="2"/>
  <c r="D10" i="1"/>
  <c r="AE10" i="2"/>
  <c r="AD10" i="2"/>
  <c r="AC10" i="2"/>
  <c r="Z10" i="2"/>
  <c r="Y10" i="2"/>
  <c r="R9" i="1"/>
  <c r="AS9" i="2"/>
  <c r="AR9" i="2"/>
  <c r="P9" i="1"/>
  <c r="AQ9" i="2"/>
  <c r="O9" i="1"/>
  <c r="AP9" i="2"/>
  <c r="N9" i="1"/>
  <c r="AO9" i="2"/>
  <c r="M9" i="1"/>
  <c r="AN9" i="2"/>
  <c r="L9" i="1"/>
  <c r="AM9" i="2"/>
  <c r="K9" i="1"/>
  <c r="AL9" i="2"/>
  <c r="AK9" i="2"/>
  <c r="AJ9" i="2"/>
  <c r="H9" i="1"/>
  <c r="AI9" i="2"/>
  <c r="G9" i="1"/>
  <c r="AH9" i="2"/>
  <c r="F9" i="1"/>
  <c r="AG9" i="2"/>
  <c r="E9" i="1"/>
  <c r="AF9" i="2"/>
  <c r="D9" i="1"/>
  <c r="AE9" i="2"/>
  <c r="AD9" i="2"/>
  <c r="AC9" i="2"/>
  <c r="Z9" i="2"/>
  <c r="Y9" i="2"/>
  <c r="R8" i="1"/>
  <c r="AS8" i="2"/>
  <c r="AR8" i="2"/>
  <c r="P8" i="1"/>
  <c r="AQ8" i="2"/>
  <c r="O8" i="1"/>
  <c r="AP8" i="2"/>
  <c r="N8" i="1"/>
  <c r="AO8" i="2"/>
  <c r="M8" i="1"/>
  <c r="AN8" i="2"/>
  <c r="L8" i="1"/>
  <c r="AM8" i="2"/>
  <c r="K8" i="1"/>
  <c r="AL8" i="2"/>
  <c r="AK8" i="2"/>
  <c r="AJ8" i="2"/>
  <c r="H8" i="1"/>
  <c r="AI8" i="2"/>
  <c r="G8" i="1"/>
  <c r="AH8" i="2"/>
  <c r="F8" i="1"/>
  <c r="AG8" i="2"/>
  <c r="E8" i="1"/>
  <c r="AF8" i="2"/>
  <c r="D8" i="1"/>
  <c r="AE8" i="2"/>
  <c r="AD8" i="2"/>
  <c r="AC8" i="2"/>
  <c r="Z8" i="2"/>
  <c r="Y8" i="2"/>
  <c r="R7" i="1"/>
  <c r="AS7" i="2"/>
  <c r="AR7" i="2"/>
  <c r="P7" i="1"/>
  <c r="AQ7" i="2"/>
  <c r="O7" i="1"/>
  <c r="AP7" i="2"/>
  <c r="N7" i="1"/>
  <c r="AO7" i="2"/>
  <c r="M7" i="1"/>
  <c r="AN7" i="2"/>
  <c r="L7" i="1"/>
  <c r="AM7" i="2"/>
  <c r="K7" i="1"/>
  <c r="AL7" i="2"/>
  <c r="AK7" i="2"/>
  <c r="AJ7" i="2"/>
  <c r="H7" i="1"/>
  <c r="AI7" i="2"/>
  <c r="G7" i="1"/>
  <c r="AH7" i="2"/>
  <c r="F7" i="1"/>
  <c r="AG7" i="2"/>
  <c r="E7" i="1"/>
  <c r="AF7" i="2"/>
  <c r="D7" i="1"/>
  <c r="AE7" i="2"/>
  <c r="AD7" i="2"/>
  <c r="AC7" i="2"/>
  <c r="Z7" i="2"/>
  <c r="Y7" i="2"/>
  <c r="R6" i="1"/>
  <c r="AS6" i="2"/>
  <c r="AR6" i="2"/>
  <c r="P6" i="1"/>
  <c r="AQ6" i="2"/>
  <c r="O6" i="1"/>
  <c r="AP6" i="2"/>
  <c r="N6" i="1"/>
  <c r="AO6" i="2"/>
  <c r="M6" i="1"/>
  <c r="AN6" i="2"/>
  <c r="L6" i="1"/>
  <c r="AM6" i="2"/>
  <c r="K6" i="1"/>
  <c r="AL6" i="2"/>
  <c r="AK6" i="2"/>
  <c r="AJ6" i="2"/>
  <c r="H6" i="1"/>
  <c r="AI6" i="2"/>
  <c r="G6" i="1"/>
  <c r="AH6" i="2"/>
  <c r="F6" i="1"/>
  <c r="AG6" i="2"/>
  <c r="E6" i="1"/>
  <c r="AF6" i="2"/>
  <c r="D6" i="1"/>
  <c r="AE6" i="2"/>
  <c r="AD6" i="2"/>
  <c r="AC6" i="2"/>
  <c r="Z6" i="2"/>
  <c r="Y6" i="2"/>
  <c r="R5" i="1"/>
  <c r="AS5" i="2"/>
  <c r="AR5" i="2"/>
  <c r="P5" i="1"/>
  <c r="AQ5" i="2"/>
  <c r="O5" i="1"/>
  <c r="AP5" i="2"/>
  <c r="N5" i="1"/>
  <c r="AO5" i="2"/>
  <c r="M5" i="1"/>
  <c r="AN5" i="2"/>
  <c r="L5" i="1"/>
  <c r="AM5" i="2"/>
  <c r="K5" i="1"/>
  <c r="AL5" i="2"/>
  <c r="AK5" i="2"/>
  <c r="AJ5" i="2"/>
  <c r="H5" i="1"/>
  <c r="AI5" i="2"/>
  <c r="G5" i="1"/>
  <c r="AH5" i="2"/>
  <c r="F5" i="1"/>
  <c r="AG5" i="2"/>
  <c r="E5" i="1"/>
  <c r="AF5" i="2"/>
  <c r="D5" i="1"/>
  <c r="AE5" i="2"/>
  <c r="AD5" i="2"/>
  <c r="AC5" i="2"/>
  <c r="Z5" i="2"/>
  <c r="Y5" i="2"/>
  <c r="R4" i="1"/>
  <c r="AS4" i="2"/>
  <c r="AR4" i="2"/>
  <c r="P4" i="1"/>
  <c r="AQ4" i="2"/>
  <c r="O4" i="1"/>
  <c r="AP4" i="2"/>
  <c r="N4" i="1"/>
  <c r="AO4" i="2"/>
  <c r="M4" i="1"/>
  <c r="AN4" i="2"/>
  <c r="L4" i="1"/>
  <c r="AM4" i="2"/>
  <c r="K4" i="1"/>
  <c r="AL4" i="2"/>
  <c r="AK4" i="2"/>
  <c r="AJ4" i="2"/>
  <c r="H4" i="1"/>
  <c r="AI4" i="2"/>
  <c r="G4" i="1"/>
  <c r="AH4" i="2"/>
  <c r="F4" i="1"/>
  <c r="AG4" i="2"/>
  <c r="E4" i="1"/>
  <c r="AF4" i="2"/>
  <c r="D4" i="1"/>
  <c r="AE4" i="2"/>
  <c r="AD4" i="2"/>
  <c r="AC4" i="2"/>
  <c r="Z4" i="2"/>
  <c r="Y4" i="2"/>
  <c r="R3" i="1"/>
  <c r="AS3" i="2"/>
  <c r="AR3" i="2"/>
  <c r="P3" i="1"/>
  <c r="AQ3" i="2"/>
  <c r="O3" i="1"/>
  <c r="AP3" i="2"/>
  <c r="N3" i="1"/>
  <c r="AO3" i="2"/>
  <c r="M3" i="1"/>
  <c r="AN3" i="2"/>
  <c r="L3" i="1"/>
  <c r="AM3" i="2"/>
  <c r="K3" i="1"/>
  <c r="AL3" i="2"/>
  <c r="AK3" i="2"/>
  <c r="AJ3" i="2"/>
  <c r="H3" i="1"/>
  <c r="AI3" i="2"/>
  <c r="G3" i="1"/>
  <c r="AH3" i="2"/>
  <c r="F3" i="1"/>
  <c r="AG3" i="2"/>
  <c r="E3" i="1"/>
  <c r="AF3" i="2"/>
  <c r="D3" i="1"/>
  <c r="AE3" i="2"/>
  <c r="AD3" i="2"/>
  <c r="AC3" i="2"/>
  <c r="Z3" i="2"/>
  <c r="Y3" i="2"/>
  <c r="R2" i="1"/>
  <c r="AS2" i="2"/>
  <c r="AR2" i="2"/>
  <c r="P2" i="1"/>
  <c r="AQ2" i="2"/>
  <c r="O2" i="1"/>
  <c r="AP2" i="2"/>
  <c r="N2" i="1"/>
  <c r="AO2" i="2"/>
  <c r="M2" i="1"/>
  <c r="AN2" i="2"/>
  <c r="L2" i="1"/>
  <c r="AM2" i="2"/>
  <c r="K2" i="1"/>
  <c r="AL2" i="2"/>
  <c r="AK2" i="2"/>
  <c r="AJ2" i="2"/>
  <c r="H2" i="1"/>
  <c r="AI2" i="2"/>
  <c r="G2" i="1"/>
  <c r="AH2" i="2"/>
  <c r="F2" i="1"/>
  <c r="AG2" i="2"/>
  <c r="E2" i="1"/>
  <c r="AF2" i="2"/>
  <c r="D2" i="1"/>
  <c r="AE2" i="2"/>
  <c r="AD2" i="2"/>
  <c r="AC2" i="2"/>
  <c r="AA2" i="2" a="1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AA894" i="2"/>
  <c r="AA895" i="2"/>
  <c r="AA896" i="2"/>
  <c r="AA897" i="2"/>
  <c r="AA898" i="2"/>
  <c r="AA899" i="2"/>
  <c r="AA900" i="2"/>
  <c r="AA901" i="2"/>
  <c r="AA902" i="2"/>
  <c r="AA903" i="2"/>
  <c r="AA904" i="2"/>
  <c r="AA905" i="2"/>
  <c r="AA906" i="2"/>
  <c r="AA907" i="2"/>
  <c r="AA908" i="2"/>
  <c r="AA909" i="2"/>
  <c r="AA910" i="2"/>
  <c r="AA911" i="2"/>
  <c r="AA912" i="2"/>
  <c r="AA913" i="2"/>
  <c r="AA914" i="2"/>
  <c r="AA915" i="2"/>
  <c r="AA916" i="2"/>
  <c r="AA917" i="2"/>
  <c r="AA918" i="2"/>
  <c r="AA919" i="2"/>
  <c r="AA920" i="2"/>
  <c r="AA921" i="2"/>
  <c r="AA922" i="2"/>
  <c r="AA923" i="2"/>
  <c r="AA924" i="2"/>
  <c r="AA925" i="2"/>
  <c r="AA926" i="2"/>
  <c r="AA927" i="2"/>
  <c r="AA928" i="2"/>
  <c r="AA929" i="2"/>
  <c r="AA930" i="2"/>
  <c r="AA931" i="2"/>
  <c r="AA932" i="2"/>
  <c r="AA933" i="2"/>
  <c r="AA934" i="2"/>
  <c r="AA935" i="2"/>
  <c r="AA936" i="2"/>
  <c r="AA937" i="2"/>
  <c r="AA938" i="2"/>
  <c r="AA939" i="2"/>
  <c r="AA940" i="2"/>
  <c r="AA941" i="2"/>
  <c r="AA942" i="2"/>
  <c r="AA943" i="2"/>
  <c r="AA944" i="2"/>
  <c r="AA945" i="2"/>
  <c r="AA946" i="2"/>
  <c r="AA947" i="2"/>
  <c r="AA948" i="2"/>
  <c r="AA949" i="2"/>
  <c r="AA950" i="2"/>
  <c r="AA951" i="2"/>
  <c r="AA952" i="2"/>
  <c r="AA953" i="2"/>
  <c r="AA954" i="2"/>
  <c r="AA955" i="2"/>
  <c r="AA956" i="2"/>
  <c r="AA957" i="2"/>
  <c r="AA958" i="2"/>
  <c r="AA959" i="2"/>
  <c r="AA960" i="2"/>
  <c r="AA961" i="2"/>
  <c r="AA962" i="2"/>
  <c r="AA963" i="2"/>
  <c r="AA964" i="2"/>
  <c r="AA965" i="2"/>
  <c r="AA966" i="2"/>
  <c r="AA967" i="2"/>
  <c r="AA968" i="2"/>
  <c r="AA969" i="2"/>
  <c r="AA970" i="2"/>
  <c r="AA971" i="2"/>
  <c r="AA972" i="2"/>
  <c r="AA973" i="2"/>
  <c r="AA974" i="2"/>
  <c r="AA975" i="2"/>
  <c r="AA976" i="2"/>
  <c r="AA977" i="2"/>
  <c r="AA978" i="2"/>
  <c r="AA979" i="2"/>
  <c r="AA980" i="2"/>
  <c r="AA981" i="2"/>
  <c r="AA982" i="2"/>
  <c r="AA983" i="2"/>
  <c r="AA984" i="2"/>
  <c r="AA985" i="2"/>
  <c r="AA986" i="2"/>
  <c r="AA987" i="2"/>
  <c r="AA988" i="2"/>
  <c r="AA989" i="2"/>
  <c r="AA990" i="2"/>
  <c r="AA991" i="2"/>
  <c r="AA992" i="2"/>
  <c r="AA993" i="2"/>
  <c r="AA994" i="2"/>
  <c r="AA995" i="2"/>
  <c r="AA996" i="2"/>
  <c r="AA997" i="2"/>
  <c r="AA998" i="2"/>
  <c r="AA999" i="2"/>
  <c r="AA1000" i="2"/>
  <c r="AA1001" i="2"/>
  <c r="AA2" i="2"/>
  <c r="Z2" i="2"/>
  <c r="Y2" i="2"/>
  <c r="X2" i="2" a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2" i="2"/>
  <c r="W2" i="2" a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2" i="2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V2" i="2" a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AC1003" i="2" a="1"/>
  <c r="AC1003" i="2"/>
  <c r="AD1003" i="2" a="1"/>
  <c r="AD1003" i="2"/>
  <c r="AE1003" i="2" a="1"/>
  <c r="AE1003" i="2"/>
  <c r="AF1003" i="2" a="1"/>
  <c r="AF1003" i="2"/>
  <c r="AG1003" i="2" a="1"/>
  <c r="AG1003" i="2"/>
  <c r="AH1003" i="2" a="1"/>
  <c r="AH1003" i="2"/>
  <c r="AI1003" i="2" a="1"/>
  <c r="AI1003" i="2"/>
  <c r="AJ1003" i="2" a="1"/>
  <c r="AJ1003" i="2"/>
  <c r="AK1003" i="2" a="1"/>
  <c r="AK1003" i="2"/>
  <c r="AL1003" i="2" a="1"/>
  <c r="AL1003" i="2"/>
  <c r="AM1003" i="2" a="1"/>
  <c r="AM1003" i="2"/>
  <c r="AN1003" i="2" a="1"/>
  <c r="AN1003" i="2"/>
  <c r="AO1003" i="2" a="1"/>
  <c r="AO1003" i="2"/>
  <c r="AP1003" i="2" a="1"/>
  <c r="AP1003" i="2"/>
  <c r="AQ1003" i="2" a="1"/>
  <c r="AQ1003" i="2"/>
  <c r="AR1003" i="2" a="1"/>
  <c r="AR1003" i="2"/>
  <c r="AS1003" i="2" a="1"/>
  <c r="AS1003" i="2"/>
  <c r="AC1005" i="2" a="1"/>
  <c r="AD1005" i="2"/>
  <c r="AE1005" i="2"/>
  <c r="AF1005" i="2"/>
  <c r="AG1005" i="2"/>
  <c r="AH1005" i="2"/>
  <c r="AI1005" i="2"/>
  <c r="AJ1005" i="2"/>
  <c r="AK1005" i="2"/>
  <c r="AL1005" i="2"/>
  <c r="AM1005" i="2"/>
  <c r="AN1005" i="2"/>
  <c r="AO1005" i="2"/>
  <c r="AP1005" i="2"/>
  <c r="AQ1005" i="2"/>
  <c r="AR1005" i="2"/>
  <c r="AS1005" i="2"/>
  <c r="AC1005" i="2"/>
  <c r="AC1006" i="2" a="1"/>
  <c r="AC1006" i="2"/>
  <c r="AD1006" i="2"/>
  <c r="AE1006" i="2"/>
  <c r="AF1006" i="2"/>
  <c r="AG1006" i="2"/>
  <c r="AH1006" i="2"/>
  <c r="AI1006" i="2"/>
  <c r="AJ1006" i="2"/>
  <c r="AK1006" i="2"/>
  <c r="AL1006" i="2"/>
  <c r="AM1006" i="2"/>
  <c r="AN1006" i="2"/>
  <c r="AO1006" i="2"/>
  <c r="AP1006" i="2"/>
  <c r="AQ1006" i="2"/>
  <c r="AR1006" i="2"/>
  <c r="AS1006" i="2"/>
  <c r="R1001" i="2"/>
  <c r="Q1001" i="2"/>
  <c r="P1001" i="2"/>
  <c r="O1001" i="2"/>
  <c r="N1001" i="2"/>
  <c r="M1001" i="2"/>
  <c r="L1001" i="2"/>
  <c r="K1001" i="2"/>
  <c r="J1001" i="2"/>
  <c r="I1001" i="2"/>
  <c r="H1001" i="2"/>
  <c r="G1001" i="2"/>
  <c r="F1001" i="2"/>
  <c r="E1001" i="2"/>
  <c r="D1001" i="2"/>
  <c r="C1001" i="2"/>
  <c r="B1001" i="2"/>
  <c r="A1001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/>
  <c r="D1000" i="2"/>
  <c r="C1000" i="2"/>
  <c r="B1000" i="2"/>
  <c r="A1000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/>
  <c r="D999" i="2"/>
  <c r="C999" i="2"/>
  <c r="B999" i="2"/>
  <c r="A999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D998" i="2"/>
  <c r="C998" i="2"/>
  <c r="B998" i="2"/>
  <c r="A998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/>
  <c r="D997" i="2"/>
  <c r="C997" i="2"/>
  <c r="B997" i="2"/>
  <c r="A997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/>
  <c r="D996" i="2"/>
  <c r="C996" i="2"/>
  <c r="B996" i="2"/>
  <c r="A996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D995" i="2"/>
  <c r="C995" i="2"/>
  <c r="B995" i="2"/>
  <c r="A995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/>
  <c r="D994" i="2"/>
  <c r="C994" i="2"/>
  <c r="B994" i="2"/>
  <c r="A994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/>
  <c r="D993" i="2"/>
  <c r="C993" i="2"/>
  <c r="B993" i="2"/>
  <c r="A993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D992" i="2"/>
  <c r="C992" i="2"/>
  <c r="B992" i="2"/>
  <c r="A992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/>
  <c r="D991" i="2"/>
  <c r="C991" i="2"/>
  <c r="B991" i="2"/>
  <c r="A991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/>
  <c r="D990" i="2"/>
  <c r="C990" i="2"/>
  <c r="B990" i="2"/>
  <c r="A990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D989" i="2"/>
  <c r="C989" i="2"/>
  <c r="B989" i="2"/>
  <c r="A989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/>
  <c r="D988" i="2"/>
  <c r="C988" i="2"/>
  <c r="B988" i="2"/>
  <c r="A988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/>
  <c r="D987" i="2"/>
  <c r="C987" i="2"/>
  <c r="B987" i="2"/>
  <c r="A987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D986" i="2"/>
  <c r="C986" i="2"/>
  <c r="B986" i="2"/>
  <c r="A986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/>
  <c r="D985" i="2"/>
  <c r="C985" i="2"/>
  <c r="B985" i="2"/>
  <c r="A985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/>
  <c r="D984" i="2"/>
  <c r="C984" i="2"/>
  <c r="B984" i="2"/>
  <c r="A984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D983" i="2"/>
  <c r="C983" i="2"/>
  <c r="B983" i="2"/>
  <c r="A983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/>
  <c r="D982" i="2"/>
  <c r="C982" i="2"/>
  <c r="B982" i="2"/>
  <c r="A982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/>
  <c r="D981" i="2"/>
  <c r="C981" i="2"/>
  <c r="B981" i="2"/>
  <c r="A981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D980" i="2"/>
  <c r="C980" i="2"/>
  <c r="B980" i="2"/>
  <c r="A980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/>
  <c r="D979" i="2"/>
  <c r="C979" i="2"/>
  <c r="B979" i="2"/>
  <c r="A979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/>
  <c r="D978" i="2"/>
  <c r="C978" i="2"/>
  <c r="B978" i="2"/>
  <c r="A978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D977" i="2"/>
  <c r="C977" i="2"/>
  <c r="B977" i="2"/>
  <c r="A977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/>
  <c r="D976" i="2"/>
  <c r="C976" i="2"/>
  <c r="B976" i="2"/>
  <c r="A976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/>
  <c r="D975" i="2"/>
  <c r="C975" i="2"/>
  <c r="B975" i="2"/>
  <c r="A975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D974" i="2"/>
  <c r="C974" i="2"/>
  <c r="B974" i="2"/>
  <c r="A974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/>
  <c r="D973" i="2"/>
  <c r="C973" i="2"/>
  <c r="B973" i="2"/>
  <c r="A973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/>
  <c r="D972" i="2"/>
  <c r="C972" i="2"/>
  <c r="B972" i="2"/>
  <c r="A972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D971" i="2"/>
  <c r="C971" i="2"/>
  <c r="B971" i="2"/>
  <c r="A971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/>
  <c r="D970" i="2"/>
  <c r="C970" i="2"/>
  <c r="B970" i="2"/>
  <c r="A970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/>
  <c r="D969" i="2"/>
  <c r="C969" i="2"/>
  <c r="B969" i="2"/>
  <c r="A969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D968" i="2"/>
  <c r="C968" i="2"/>
  <c r="B968" i="2"/>
  <c r="A968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/>
  <c r="D967" i="2"/>
  <c r="C967" i="2"/>
  <c r="B967" i="2"/>
  <c r="A967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/>
  <c r="D966" i="2"/>
  <c r="C966" i="2"/>
  <c r="B966" i="2"/>
  <c r="A966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D965" i="2"/>
  <c r="C965" i="2"/>
  <c r="B965" i="2"/>
  <c r="A965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/>
  <c r="D964" i="2"/>
  <c r="C964" i="2"/>
  <c r="B964" i="2"/>
  <c r="A964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/>
  <c r="D963" i="2"/>
  <c r="C963" i="2"/>
  <c r="B963" i="2"/>
  <c r="A963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D962" i="2"/>
  <c r="C962" i="2"/>
  <c r="B962" i="2"/>
  <c r="A962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/>
  <c r="D961" i="2"/>
  <c r="C961" i="2"/>
  <c r="B961" i="2"/>
  <c r="A961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/>
  <c r="D960" i="2"/>
  <c r="C960" i="2"/>
  <c r="B960" i="2"/>
  <c r="A960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D959" i="2"/>
  <c r="C959" i="2"/>
  <c r="B959" i="2"/>
  <c r="A959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/>
  <c r="D958" i="2"/>
  <c r="C958" i="2"/>
  <c r="B958" i="2"/>
  <c r="A958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/>
  <c r="D957" i="2"/>
  <c r="C957" i="2"/>
  <c r="B957" i="2"/>
  <c r="A957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D956" i="2"/>
  <c r="C956" i="2"/>
  <c r="B956" i="2"/>
  <c r="A956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/>
  <c r="D955" i="2"/>
  <c r="C955" i="2"/>
  <c r="B955" i="2"/>
  <c r="A955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/>
  <c r="D954" i="2"/>
  <c r="C954" i="2"/>
  <c r="B954" i="2"/>
  <c r="A954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D953" i="2"/>
  <c r="C953" i="2"/>
  <c r="B953" i="2"/>
  <c r="A953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/>
  <c r="D952" i="2"/>
  <c r="C952" i="2"/>
  <c r="B952" i="2"/>
  <c r="A952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/>
  <c r="D951" i="2"/>
  <c r="C951" i="2"/>
  <c r="B951" i="2"/>
  <c r="A951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D950" i="2"/>
  <c r="C950" i="2"/>
  <c r="B950" i="2"/>
  <c r="A950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/>
  <c r="D949" i="2"/>
  <c r="C949" i="2"/>
  <c r="B949" i="2"/>
  <c r="A949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/>
  <c r="D948" i="2"/>
  <c r="C948" i="2"/>
  <c r="B948" i="2"/>
  <c r="A948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D947" i="2"/>
  <c r="C947" i="2"/>
  <c r="B947" i="2"/>
  <c r="A947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/>
  <c r="D946" i="2"/>
  <c r="C946" i="2"/>
  <c r="B946" i="2"/>
  <c r="A946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/>
  <c r="D945" i="2"/>
  <c r="C945" i="2"/>
  <c r="B945" i="2"/>
  <c r="A945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D944" i="2"/>
  <c r="C944" i="2"/>
  <c r="B944" i="2"/>
  <c r="A944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/>
  <c r="D943" i="2"/>
  <c r="C943" i="2"/>
  <c r="B943" i="2"/>
  <c r="A943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/>
  <c r="D942" i="2"/>
  <c r="C942" i="2"/>
  <c r="B942" i="2"/>
  <c r="A942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D941" i="2"/>
  <c r="C941" i="2"/>
  <c r="B941" i="2"/>
  <c r="A941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/>
  <c r="D940" i="2"/>
  <c r="C940" i="2"/>
  <c r="B940" i="2"/>
  <c r="A940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/>
  <c r="D939" i="2"/>
  <c r="C939" i="2"/>
  <c r="B939" i="2"/>
  <c r="A939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D938" i="2"/>
  <c r="C938" i="2"/>
  <c r="B938" i="2"/>
  <c r="A938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/>
  <c r="D937" i="2"/>
  <c r="C937" i="2"/>
  <c r="B937" i="2"/>
  <c r="A937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/>
  <c r="D936" i="2"/>
  <c r="C936" i="2"/>
  <c r="B936" i="2"/>
  <c r="A936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D935" i="2"/>
  <c r="C935" i="2"/>
  <c r="B935" i="2"/>
  <c r="A935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/>
  <c r="D934" i="2"/>
  <c r="C934" i="2"/>
  <c r="B934" i="2"/>
  <c r="A934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/>
  <c r="D933" i="2"/>
  <c r="C933" i="2"/>
  <c r="B933" i="2"/>
  <c r="A933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D932" i="2"/>
  <c r="C932" i="2"/>
  <c r="B932" i="2"/>
  <c r="A932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/>
  <c r="D931" i="2"/>
  <c r="C931" i="2"/>
  <c r="B931" i="2"/>
  <c r="A931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/>
  <c r="D930" i="2"/>
  <c r="C930" i="2"/>
  <c r="B930" i="2"/>
  <c r="A930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D929" i="2"/>
  <c r="C929" i="2"/>
  <c r="B929" i="2"/>
  <c r="A929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/>
  <c r="D928" i="2"/>
  <c r="C928" i="2"/>
  <c r="B928" i="2"/>
  <c r="A928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/>
  <c r="D927" i="2"/>
  <c r="C927" i="2"/>
  <c r="B927" i="2"/>
  <c r="A927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D926" i="2"/>
  <c r="C926" i="2"/>
  <c r="B926" i="2"/>
  <c r="A926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/>
  <c r="D925" i="2"/>
  <c r="C925" i="2"/>
  <c r="B925" i="2"/>
  <c r="A925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/>
  <c r="D924" i="2"/>
  <c r="C924" i="2"/>
  <c r="B924" i="2"/>
  <c r="A924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D923" i="2"/>
  <c r="C923" i="2"/>
  <c r="B923" i="2"/>
  <c r="A923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/>
  <c r="D922" i="2"/>
  <c r="C922" i="2"/>
  <c r="B922" i="2"/>
  <c r="A922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/>
  <c r="D921" i="2"/>
  <c r="C921" i="2"/>
  <c r="B921" i="2"/>
  <c r="A921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D920" i="2"/>
  <c r="C920" i="2"/>
  <c r="B920" i="2"/>
  <c r="A920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/>
  <c r="D919" i="2"/>
  <c r="C919" i="2"/>
  <c r="B919" i="2"/>
  <c r="A919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/>
  <c r="D918" i="2"/>
  <c r="C918" i="2"/>
  <c r="B918" i="2"/>
  <c r="A918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D917" i="2"/>
  <c r="C917" i="2"/>
  <c r="B917" i="2"/>
  <c r="A917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/>
  <c r="D916" i="2"/>
  <c r="C916" i="2"/>
  <c r="B916" i="2"/>
  <c r="A916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D915" i="2"/>
  <c r="C915" i="2"/>
  <c r="B915" i="2"/>
  <c r="A915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D914" i="2"/>
  <c r="C914" i="2"/>
  <c r="B914" i="2"/>
  <c r="A914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/>
  <c r="D913" i="2"/>
  <c r="C913" i="2"/>
  <c r="B913" i="2"/>
  <c r="A913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/>
  <c r="D912" i="2"/>
  <c r="C912" i="2"/>
  <c r="B912" i="2"/>
  <c r="A912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D911" i="2"/>
  <c r="C911" i="2"/>
  <c r="B911" i="2"/>
  <c r="A911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/>
  <c r="D910" i="2"/>
  <c r="C910" i="2"/>
  <c r="B910" i="2"/>
  <c r="A910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D909" i="2"/>
  <c r="C909" i="2"/>
  <c r="B909" i="2"/>
  <c r="A909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D908" i="2"/>
  <c r="C908" i="2"/>
  <c r="B908" i="2"/>
  <c r="A908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/>
  <c r="D907" i="2"/>
  <c r="C907" i="2"/>
  <c r="B907" i="2"/>
  <c r="A907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/>
  <c r="D906" i="2"/>
  <c r="C906" i="2"/>
  <c r="B906" i="2"/>
  <c r="A906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D905" i="2"/>
  <c r="C905" i="2"/>
  <c r="B905" i="2"/>
  <c r="A905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/>
  <c r="D904" i="2"/>
  <c r="C904" i="2"/>
  <c r="B904" i="2"/>
  <c r="A904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D903" i="2"/>
  <c r="C903" i="2"/>
  <c r="B903" i="2"/>
  <c r="A903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D902" i="2"/>
  <c r="C902" i="2"/>
  <c r="B902" i="2"/>
  <c r="A902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/>
  <c r="D901" i="2"/>
  <c r="C901" i="2"/>
  <c r="B901" i="2"/>
  <c r="A901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/>
  <c r="D900" i="2"/>
  <c r="C900" i="2"/>
  <c r="B900" i="2"/>
  <c r="A900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D899" i="2"/>
  <c r="C899" i="2"/>
  <c r="B899" i="2"/>
  <c r="A899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/>
  <c r="D898" i="2"/>
  <c r="C898" i="2"/>
  <c r="B898" i="2"/>
  <c r="A898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D897" i="2"/>
  <c r="C897" i="2"/>
  <c r="B897" i="2"/>
  <c r="A897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D896" i="2"/>
  <c r="C896" i="2"/>
  <c r="B896" i="2"/>
  <c r="A896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B895" i="2"/>
  <c r="A895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D894" i="2"/>
  <c r="C894" i="2"/>
  <c r="B894" i="2"/>
  <c r="A894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/>
  <c r="D893" i="2"/>
  <c r="C893" i="2"/>
  <c r="B893" i="2"/>
  <c r="A893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/>
  <c r="D892" i="2"/>
  <c r="C892" i="2"/>
  <c r="B892" i="2"/>
  <c r="A892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B891" i="2"/>
  <c r="A891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D890" i="2"/>
  <c r="C890" i="2"/>
  <c r="B890" i="2"/>
  <c r="A890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/>
  <c r="D889" i="2"/>
  <c r="C889" i="2"/>
  <c r="B889" i="2"/>
  <c r="A889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D888" i="2"/>
  <c r="C888" i="2"/>
  <c r="B888" i="2"/>
  <c r="A888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B887" i="2"/>
  <c r="A887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B886" i="2"/>
  <c r="A886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B885" i="2"/>
  <c r="A885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B884" i="2"/>
  <c r="A884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B883" i="2"/>
  <c r="A883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B882" i="2"/>
  <c r="A882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B881" i="2"/>
  <c r="A881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B880" i="2"/>
  <c r="A880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B879" i="2"/>
  <c r="A879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B878" i="2"/>
  <c r="A878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B877" i="2"/>
  <c r="A877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B876" i="2"/>
  <c r="A876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B875" i="2"/>
  <c r="A875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B874" i="2"/>
  <c r="A874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B873" i="2"/>
  <c r="A873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B872" i="2"/>
  <c r="A872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B871" i="2"/>
  <c r="A871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B870" i="2"/>
  <c r="A870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B869" i="2"/>
  <c r="A869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B868" i="2"/>
  <c r="A868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D867" i="2"/>
  <c r="C867" i="2"/>
  <c r="B867" i="2"/>
  <c r="A867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D866" i="2"/>
  <c r="C866" i="2"/>
  <c r="B866" i="2"/>
  <c r="A866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/>
  <c r="D865" i="2"/>
  <c r="C865" i="2"/>
  <c r="B865" i="2"/>
  <c r="A865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/>
  <c r="D864" i="2"/>
  <c r="C864" i="2"/>
  <c r="B864" i="2"/>
  <c r="A864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/>
  <c r="D863" i="2"/>
  <c r="C863" i="2"/>
  <c r="B863" i="2"/>
  <c r="A863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/>
  <c r="D862" i="2"/>
  <c r="C862" i="2"/>
  <c r="B862" i="2"/>
  <c r="A862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D861" i="2"/>
  <c r="C861" i="2"/>
  <c r="B861" i="2"/>
  <c r="A861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D860" i="2"/>
  <c r="C860" i="2"/>
  <c r="B860" i="2"/>
  <c r="A860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/>
  <c r="D859" i="2"/>
  <c r="C859" i="2"/>
  <c r="B859" i="2"/>
  <c r="A859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D858" i="2"/>
  <c r="C858" i="2"/>
  <c r="B858" i="2"/>
  <c r="A858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/>
  <c r="D857" i="2"/>
  <c r="C857" i="2"/>
  <c r="B857" i="2"/>
  <c r="A857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/>
  <c r="D856" i="2"/>
  <c r="C856" i="2"/>
  <c r="B856" i="2"/>
  <c r="A856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/>
  <c r="D855" i="2"/>
  <c r="C855" i="2"/>
  <c r="B855" i="2"/>
  <c r="A855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D854" i="2"/>
  <c r="C854" i="2"/>
  <c r="B854" i="2"/>
  <c r="A854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/>
  <c r="D853" i="2"/>
  <c r="C853" i="2"/>
  <c r="B853" i="2"/>
  <c r="A853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D852" i="2"/>
  <c r="C852" i="2"/>
  <c r="B852" i="2"/>
  <c r="A852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/>
  <c r="D851" i="2"/>
  <c r="C851" i="2"/>
  <c r="B851" i="2"/>
  <c r="A851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/>
  <c r="D850" i="2"/>
  <c r="C850" i="2"/>
  <c r="B850" i="2"/>
  <c r="A850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/>
  <c r="D849" i="2"/>
  <c r="C849" i="2"/>
  <c r="B849" i="2"/>
  <c r="A849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D848" i="2"/>
  <c r="C848" i="2"/>
  <c r="B848" i="2"/>
  <c r="A848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/>
  <c r="D847" i="2"/>
  <c r="C847" i="2"/>
  <c r="B847" i="2"/>
  <c r="A847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D846" i="2"/>
  <c r="C846" i="2"/>
  <c r="B846" i="2"/>
  <c r="A846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D845" i="2"/>
  <c r="C845" i="2"/>
  <c r="B845" i="2"/>
  <c r="A845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/>
  <c r="D844" i="2"/>
  <c r="C844" i="2"/>
  <c r="B844" i="2"/>
  <c r="A844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/>
  <c r="D843" i="2"/>
  <c r="C843" i="2"/>
  <c r="B843" i="2"/>
  <c r="A843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/>
  <c r="D842" i="2"/>
  <c r="C842" i="2"/>
  <c r="B842" i="2"/>
  <c r="A842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/>
  <c r="D841" i="2"/>
  <c r="C841" i="2"/>
  <c r="B841" i="2"/>
  <c r="A841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/>
  <c r="D840" i="2"/>
  <c r="C840" i="2"/>
  <c r="B840" i="2"/>
  <c r="A840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D839" i="2"/>
  <c r="C839" i="2"/>
  <c r="B839" i="2"/>
  <c r="A839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/>
  <c r="D838" i="2"/>
  <c r="C838" i="2"/>
  <c r="B838" i="2"/>
  <c r="A838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D837" i="2"/>
  <c r="C837" i="2"/>
  <c r="B837" i="2"/>
  <c r="A837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/>
  <c r="D836" i="2"/>
  <c r="C836" i="2"/>
  <c r="B836" i="2"/>
  <c r="A836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/>
  <c r="D835" i="2"/>
  <c r="C835" i="2"/>
  <c r="B835" i="2"/>
  <c r="A835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/>
  <c r="D834" i="2"/>
  <c r="C834" i="2"/>
  <c r="B834" i="2"/>
  <c r="A834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D833" i="2"/>
  <c r="C833" i="2"/>
  <c r="B833" i="2"/>
  <c r="A833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/>
  <c r="D832" i="2"/>
  <c r="C832" i="2"/>
  <c r="B832" i="2"/>
  <c r="A832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D831" i="2"/>
  <c r="C831" i="2"/>
  <c r="B831" i="2"/>
  <c r="A831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/>
  <c r="D830" i="2"/>
  <c r="C830" i="2"/>
  <c r="B830" i="2"/>
  <c r="A830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/>
  <c r="D829" i="2"/>
  <c r="C829" i="2"/>
  <c r="B829" i="2"/>
  <c r="A829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/>
  <c r="D828" i="2"/>
  <c r="C828" i="2"/>
  <c r="B828" i="2"/>
  <c r="A828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/>
  <c r="D827" i="2"/>
  <c r="C827" i="2"/>
  <c r="B827" i="2"/>
  <c r="A827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/>
  <c r="D826" i="2"/>
  <c r="C826" i="2"/>
  <c r="B826" i="2"/>
  <c r="A826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D825" i="2"/>
  <c r="C825" i="2"/>
  <c r="B825" i="2"/>
  <c r="A825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D824" i="2"/>
  <c r="C824" i="2"/>
  <c r="B824" i="2"/>
  <c r="A824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/>
  <c r="D823" i="2"/>
  <c r="C823" i="2"/>
  <c r="B823" i="2"/>
  <c r="A823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D822" i="2"/>
  <c r="C822" i="2"/>
  <c r="B822" i="2"/>
  <c r="A822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/>
  <c r="D821" i="2"/>
  <c r="C821" i="2"/>
  <c r="B821" i="2"/>
  <c r="A821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/>
  <c r="D820" i="2"/>
  <c r="C820" i="2"/>
  <c r="B820" i="2"/>
  <c r="A820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/>
  <c r="D819" i="2"/>
  <c r="C819" i="2"/>
  <c r="B819" i="2"/>
  <c r="A819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D818" i="2"/>
  <c r="C818" i="2"/>
  <c r="B818" i="2"/>
  <c r="A818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/>
  <c r="D817" i="2"/>
  <c r="C817" i="2"/>
  <c r="B817" i="2"/>
  <c r="A817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D816" i="2"/>
  <c r="C816" i="2"/>
  <c r="B816" i="2"/>
  <c r="A816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/>
  <c r="D815" i="2"/>
  <c r="C815" i="2"/>
  <c r="B815" i="2"/>
  <c r="A815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/>
  <c r="D814" i="2"/>
  <c r="C814" i="2"/>
  <c r="B814" i="2"/>
  <c r="A814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/>
  <c r="D813" i="2"/>
  <c r="C813" i="2"/>
  <c r="B813" i="2"/>
  <c r="A813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D812" i="2"/>
  <c r="C812" i="2"/>
  <c r="B812" i="2"/>
  <c r="A812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/>
  <c r="D811" i="2"/>
  <c r="C811" i="2"/>
  <c r="B811" i="2"/>
  <c r="A811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D810" i="2"/>
  <c r="C810" i="2"/>
  <c r="B810" i="2"/>
  <c r="A810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D809" i="2"/>
  <c r="C809" i="2"/>
  <c r="B809" i="2"/>
  <c r="A809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/>
  <c r="D808" i="2"/>
  <c r="C808" i="2"/>
  <c r="B808" i="2"/>
  <c r="A808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/>
  <c r="D807" i="2"/>
  <c r="C807" i="2"/>
  <c r="B807" i="2"/>
  <c r="A807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/>
  <c r="D806" i="2"/>
  <c r="C806" i="2"/>
  <c r="B806" i="2"/>
  <c r="A806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/>
  <c r="D805" i="2"/>
  <c r="C805" i="2"/>
  <c r="B805" i="2"/>
  <c r="A805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/>
  <c r="D804" i="2"/>
  <c r="C804" i="2"/>
  <c r="B804" i="2"/>
  <c r="A804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D803" i="2"/>
  <c r="C803" i="2"/>
  <c r="B803" i="2"/>
  <c r="A803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/>
  <c r="D802" i="2"/>
  <c r="C802" i="2"/>
  <c r="B802" i="2"/>
  <c r="A802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D801" i="2"/>
  <c r="C801" i="2"/>
  <c r="B801" i="2"/>
  <c r="A801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/>
  <c r="D800" i="2"/>
  <c r="C800" i="2"/>
  <c r="B800" i="2"/>
  <c r="A800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/>
  <c r="D799" i="2"/>
  <c r="C799" i="2"/>
  <c r="B799" i="2"/>
  <c r="A799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/>
  <c r="D798" i="2"/>
  <c r="C798" i="2"/>
  <c r="B798" i="2"/>
  <c r="A798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D797" i="2"/>
  <c r="C797" i="2"/>
  <c r="B797" i="2"/>
  <c r="A797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/>
  <c r="D796" i="2"/>
  <c r="C796" i="2"/>
  <c r="B796" i="2"/>
  <c r="A796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D795" i="2"/>
  <c r="C795" i="2"/>
  <c r="B795" i="2"/>
  <c r="A795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/>
  <c r="D794" i="2"/>
  <c r="C794" i="2"/>
  <c r="B794" i="2"/>
  <c r="A794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/>
  <c r="D793" i="2"/>
  <c r="C793" i="2"/>
  <c r="B793" i="2"/>
  <c r="A793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/>
  <c r="D792" i="2"/>
  <c r="C792" i="2"/>
  <c r="B792" i="2"/>
  <c r="A792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/>
  <c r="D791" i="2"/>
  <c r="C791" i="2"/>
  <c r="B791" i="2"/>
  <c r="A791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/>
  <c r="D790" i="2"/>
  <c r="C790" i="2"/>
  <c r="B790" i="2"/>
  <c r="A790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D789" i="2"/>
  <c r="C789" i="2"/>
  <c r="B789" i="2"/>
  <c r="A789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D788" i="2"/>
  <c r="C788" i="2"/>
  <c r="B788" i="2"/>
  <c r="A788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/>
  <c r="D787" i="2"/>
  <c r="C787" i="2"/>
  <c r="B787" i="2"/>
  <c r="A787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D786" i="2"/>
  <c r="C786" i="2"/>
  <c r="B786" i="2"/>
  <c r="A786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/>
  <c r="D785" i="2"/>
  <c r="C785" i="2"/>
  <c r="B785" i="2"/>
  <c r="A785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/>
  <c r="D784" i="2"/>
  <c r="C784" i="2"/>
  <c r="B784" i="2"/>
  <c r="A784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/>
  <c r="D783" i="2"/>
  <c r="C783" i="2"/>
  <c r="B783" i="2"/>
  <c r="A783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/>
  <c r="D782" i="2"/>
  <c r="C782" i="2"/>
  <c r="B782" i="2"/>
  <c r="A782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/>
  <c r="D781" i="2"/>
  <c r="C781" i="2"/>
  <c r="B781" i="2"/>
  <c r="A781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D780" i="2"/>
  <c r="C780" i="2"/>
  <c r="B780" i="2"/>
  <c r="A780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/>
  <c r="D779" i="2"/>
  <c r="C779" i="2"/>
  <c r="B779" i="2"/>
  <c r="A779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/>
  <c r="D778" i="2"/>
  <c r="C778" i="2"/>
  <c r="B778" i="2"/>
  <c r="A778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/>
  <c r="D777" i="2"/>
  <c r="C777" i="2"/>
  <c r="B777" i="2"/>
  <c r="A777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D776" i="2"/>
  <c r="C776" i="2"/>
  <c r="B776" i="2"/>
  <c r="A776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/>
  <c r="D775" i="2"/>
  <c r="C775" i="2"/>
  <c r="B775" i="2"/>
  <c r="A775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D774" i="2"/>
  <c r="C774" i="2"/>
  <c r="B774" i="2"/>
  <c r="A774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D773" i="2"/>
  <c r="C773" i="2"/>
  <c r="B773" i="2"/>
  <c r="A773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/>
  <c r="D772" i="2"/>
  <c r="C772" i="2"/>
  <c r="B772" i="2"/>
  <c r="A772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/>
  <c r="D771" i="2"/>
  <c r="C771" i="2"/>
  <c r="B771" i="2"/>
  <c r="A771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/>
  <c r="D770" i="2"/>
  <c r="C770" i="2"/>
  <c r="B770" i="2"/>
  <c r="A770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/>
  <c r="D769" i="2"/>
  <c r="C769" i="2"/>
  <c r="B769" i="2"/>
  <c r="A769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/>
  <c r="D768" i="2"/>
  <c r="C768" i="2"/>
  <c r="B768" i="2"/>
  <c r="A768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D767" i="2"/>
  <c r="C767" i="2"/>
  <c r="B767" i="2"/>
  <c r="A767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/>
  <c r="D766" i="2"/>
  <c r="C766" i="2"/>
  <c r="B766" i="2"/>
  <c r="A766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D765" i="2"/>
  <c r="C765" i="2"/>
  <c r="B765" i="2"/>
  <c r="A765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/>
  <c r="D764" i="2"/>
  <c r="C764" i="2"/>
  <c r="B764" i="2"/>
  <c r="A764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/>
  <c r="D763" i="2"/>
  <c r="C763" i="2"/>
  <c r="B763" i="2"/>
  <c r="A763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/>
  <c r="D762" i="2"/>
  <c r="C762" i="2"/>
  <c r="B762" i="2"/>
  <c r="A762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D761" i="2"/>
  <c r="C761" i="2"/>
  <c r="B761" i="2"/>
  <c r="A761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/>
  <c r="D760" i="2"/>
  <c r="C760" i="2"/>
  <c r="B760" i="2"/>
  <c r="A760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D759" i="2"/>
  <c r="C759" i="2"/>
  <c r="B759" i="2"/>
  <c r="A759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/>
  <c r="D758" i="2"/>
  <c r="C758" i="2"/>
  <c r="B758" i="2"/>
  <c r="A758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/>
  <c r="D757" i="2"/>
  <c r="C757" i="2"/>
  <c r="B757" i="2"/>
  <c r="A757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/>
  <c r="D756" i="2"/>
  <c r="C756" i="2"/>
  <c r="B756" i="2"/>
  <c r="A756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/>
  <c r="D755" i="2"/>
  <c r="C755" i="2"/>
  <c r="B755" i="2"/>
  <c r="A755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/>
  <c r="D754" i="2"/>
  <c r="C754" i="2"/>
  <c r="B754" i="2"/>
  <c r="A754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D753" i="2"/>
  <c r="C753" i="2"/>
  <c r="B753" i="2"/>
  <c r="A753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D752" i="2"/>
  <c r="C752" i="2"/>
  <c r="B752" i="2"/>
  <c r="A752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/>
  <c r="D751" i="2"/>
  <c r="C751" i="2"/>
  <c r="B751" i="2"/>
  <c r="A751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D750" i="2"/>
  <c r="C750" i="2"/>
  <c r="B750" i="2"/>
  <c r="A750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/>
  <c r="D749" i="2"/>
  <c r="C749" i="2"/>
  <c r="B749" i="2"/>
  <c r="A749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/>
  <c r="D748" i="2"/>
  <c r="C748" i="2"/>
  <c r="B748" i="2"/>
  <c r="A748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/>
  <c r="D747" i="2"/>
  <c r="C747" i="2"/>
  <c r="B747" i="2"/>
  <c r="A747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/>
  <c r="D746" i="2"/>
  <c r="C746" i="2"/>
  <c r="B746" i="2"/>
  <c r="A746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/>
  <c r="D745" i="2"/>
  <c r="C745" i="2"/>
  <c r="B745" i="2"/>
  <c r="A745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/>
  <c r="D744" i="2"/>
  <c r="C744" i="2"/>
  <c r="B744" i="2"/>
  <c r="A744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/>
  <c r="D743" i="2"/>
  <c r="C743" i="2"/>
  <c r="B743" i="2"/>
  <c r="A743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/>
  <c r="D742" i="2"/>
  <c r="C742" i="2"/>
  <c r="B742" i="2"/>
  <c r="A742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/>
  <c r="D741" i="2"/>
  <c r="C741" i="2"/>
  <c r="B741" i="2"/>
  <c r="A741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/>
  <c r="D740" i="2"/>
  <c r="C740" i="2"/>
  <c r="B740" i="2"/>
  <c r="A740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/>
  <c r="D739" i="2"/>
  <c r="C739" i="2"/>
  <c r="B739" i="2"/>
  <c r="A739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/>
  <c r="D738" i="2"/>
  <c r="C738" i="2"/>
  <c r="B738" i="2"/>
  <c r="A738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/>
  <c r="D737" i="2"/>
  <c r="C737" i="2"/>
  <c r="B737" i="2"/>
  <c r="A737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/>
  <c r="D736" i="2"/>
  <c r="C736" i="2"/>
  <c r="B736" i="2"/>
  <c r="A736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/>
  <c r="D735" i="2"/>
  <c r="C735" i="2"/>
  <c r="B735" i="2"/>
  <c r="A735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/>
  <c r="D734" i="2"/>
  <c r="C734" i="2"/>
  <c r="B734" i="2"/>
  <c r="A734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/>
  <c r="D733" i="2"/>
  <c r="C733" i="2"/>
  <c r="B733" i="2"/>
  <c r="A733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/>
  <c r="D732" i="2"/>
  <c r="C732" i="2"/>
  <c r="B732" i="2"/>
  <c r="A732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/>
  <c r="D731" i="2"/>
  <c r="C731" i="2"/>
  <c r="B731" i="2"/>
  <c r="A731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/>
  <c r="D730" i="2"/>
  <c r="C730" i="2"/>
  <c r="B730" i="2"/>
  <c r="A730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/>
  <c r="D729" i="2"/>
  <c r="C729" i="2"/>
  <c r="B729" i="2"/>
  <c r="A729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/>
  <c r="D728" i="2"/>
  <c r="C728" i="2"/>
  <c r="B728" i="2"/>
  <c r="A728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/>
  <c r="D727" i="2"/>
  <c r="C727" i="2"/>
  <c r="B727" i="2"/>
  <c r="A727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/>
  <c r="D726" i="2"/>
  <c r="C726" i="2"/>
  <c r="B726" i="2"/>
  <c r="A726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/>
  <c r="D725" i="2"/>
  <c r="C725" i="2"/>
  <c r="B725" i="2"/>
  <c r="A725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/>
  <c r="D724" i="2"/>
  <c r="C724" i="2"/>
  <c r="B724" i="2"/>
  <c r="A724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/>
  <c r="D723" i="2"/>
  <c r="C723" i="2"/>
  <c r="B723" i="2"/>
  <c r="A723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/>
  <c r="D722" i="2"/>
  <c r="C722" i="2"/>
  <c r="B722" i="2"/>
  <c r="A722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/>
  <c r="D721" i="2"/>
  <c r="C721" i="2"/>
  <c r="B721" i="2"/>
  <c r="A721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/>
  <c r="D720" i="2"/>
  <c r="C720" i="2"/>
  <c r="B720" i="2"/>
  <c r="A720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/>
  <c r="D719" i="2"/>
  <c r="C719" i="2"/>
  <c r="B719" i="2"/>
  <c r="A719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/>
  <c r="D718" i="2"/>
  <c r="C718" i="2"/>
  <c r="B718" i="2"/>
  <c r="A718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/>
  <c r="D717" i="2"/>
  <c r="C717" i="2"/>
  <c r="B717" i="2"/>
  <c r="A717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/>
  <c r="D716" i="2"/>
  <c r="C716" i="2"/>
  <c r="B716" i="2"/>
  <c r="A716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/>
  <c r="D715" i="2"/>
  <c r="C715" i="2"/>
  <c r="B715" i="2"/>
  <c r="A715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/>
  <c r="D714" i="2"/>
  <c r="C714" i="2"/>
  <c r="B714" i="2"/>
  <c r="A714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/>
  <c r="D713" i="2"/>
  <c r="C713" i="2"/>
  <c r="B713" i="2"/>
  <c r="A713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/>
  <c r="D712" i="2"/>
  <c r="C712" i="2"/>
  <c r="B712" i="2"/>
  <c r="A712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/>
  <c r="D711" i="2"/>
  <c r="C711" i="2"/>
  <c r="B711" i="2"/>
  <c r="A711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/>
  <c r="D710" i="2"/>
  <c r="C710" i="2"/>
  <c r="B710" i="2"/>
  <c r="A710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/>
  <c r="D709" i="2"/>
  <c r="C709" i="2"/>
  <c r="B709" i="2"/>
  <c r="A709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/>
  <c r="D708" i="2"/>
  <c r="C708" i="2"/>
  <c r="B708" i="2"/>
  <c r="A708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/>
  <c r="D707" i="2"/>
  <c r="C707" i="2"/>
  <c r="B707" i="2"/>
  <c r="A707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/>
  <c r="D706" i="2"/>
  <c r="C706" i="2"/>
  <c r="B706" i="2"/>
  <c r="A706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/>
  <c r="D705" i="2"/>
  <c r="C705" i="2"/>
  <c r="B705" i="2"/>
  <c r="A705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/>
  <c r="D704" i="2"/>
  <c r="C704" i="2"/>
  <c r="B704" i="2"/>
  <c r="A704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/>
  <c r="D703" i="2"/>
  <c r="C703" i="2"/>
  <c r="B703" i="2"/>
  <c r="A703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/>
  <c r="D702" i="2"/>
  <c r="C702" i="2"/>
  <c r="B702" i="2"/>
  <c r="A702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/>
  <c r="D701" i="2"/>
  <c r="C701" i="2"/>
  <c r="B701" i="2"/>
  <c r="A701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A700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A699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/>
  <c r="D698" i="2"/>
  <c r="C698" i="2"/>
  <c r="B698" i="2"/>
  <c r="A698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/>
  <c r="D697" i="2"/>
  <c r="C697" i="2"/>
  <c r="B697" i="2"/>
  <c r="A697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/>
  <c r="D696" i="2"/>
  <c r="C696" i="2"/>
  <c r="B696" i="2"/>
  <c r="A696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A695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/>
  <c r="D694" i="2"/>
  <c r="C694" i="2"/>
  <c r="B694" i="2"/>
  <c r="A694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/>
  <c r="D693" i="2"/>
  <c r="C693" i="2"/>
  <c r="B693" i="2"/>
  <c r="A693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/>
  <c r="D692" i="2"/>
  <c r="C692" i="2"/>
  <c r="B692" i="2"/>
  <c r="A692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A691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/>
  <c r="D690" i="2"/>
  <c r="C690" i="2"/>
  <c r="B690" i="2"/>
  <c r="A690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/>
  <c r="D689" i="2"/>
  <c r="C689" i="2"/>
  <c r="B689" i="2"/>
  <c r="A689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/>
  <c r="D688" i="2"/>
  <c r="C688" i="2"/>
  <c r="B688" i="2"/>
  <c r="A688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A687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/>
  <c r="D686" i="2"/>
  <c r="C686" i="2"/>
  <c r="B686" i="2"/>
  <c r="A686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/>
  <c r="D685" i="2"/>
  <c r="C685" i="2"/>
  <c r="B685" i="2"/>
  <c r="A685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A684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A683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/>
  <c r="D682" i="2"/>
  <c r="C682" i="2"/>
  <c r="B682" i="2"/>
  <c r="A682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/>
  <c r="D681" i="2"/>
  <c r="C681" i="2"/>
  <c r="B681" i="2"/>
  <c r="A681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/>
  <c r="D680" i="2"/>
  <c r="C680" i="2"/>
  <c r="B680" i="2"/>
  <c r="A680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A679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/>
  <c r="D678" i="2"/>
  <c r="C678" i="2"/>
  <c r="B678" i="2"/>
  <c r="A678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/>
  <c r="D677" i="2"/>
  <c r="C677" i="2"/>
  <c r="B677" i="2"/>
  <c r="A677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/>
  <c r="D676" i="2"/>
  <c r="C676" i="2"/>
  <c r="B676" i="2"/>
  <c r="A676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A675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/>
  <c r="D674" i="2"/>
  <c r="C674" i="2"/>
  <c r="B674" i="2"/>
  <c r="A674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/>
  <c r="D673" i="2"/>
  <c r="C673" i="2"/>
  <c r="B673" i="2"/>
  <c r="A673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/>
  <c r="D672" i="2"/>
  <c r="C672" i="2"/>
  <c r="B672" i="2"/>
  <c r="A672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A671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/>
  <c r="D670" i="2"/>
  <c r="C670" i="2"/>
  <c r="B670" i="2"/>
  <c r="A670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/>
  <c r="D669" i="2"/>
  <c r="C669" i="2"/>
  <c r="B669" i="2"/>
  <c r="A669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A668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A667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/>
  <c r="D666" i="2"/>
  <c r="C666" i="2"/>
  <c r="B666" i="2"/>
  <c r="A666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/>
  <c r="D665" i="2"/>
  <c r="C665" i="2"/>
  <c r="B665" i="2"/>
  <c r="A665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/>
  <c r="D664" i="2"/>
  <c r="C664" i="2"/>
  <c r="B664" i="2"/>
  <c r="A664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A663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/>
  <c r="D662" i="2"/>
  <c r="C662" i="2"/>
  <c r="B662" i="2"/>
  <c r="A662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/>
  <c r="D661" i="2"/>
  <c r="C661" i="2"/>
  <c r="B661" i="2"/>
  <c r="A661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/>
  <c r="D660" i="2"/>
  <c r="C660" i="2"/>
  <c r="B660" i="2"/>
  <c r="A660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A659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B658" i="2"/>
  <c r="A658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/>
  <c r="D657" i="2"/>
  <c r="C657" i="2"/>
  <c r="B657" i="2"/>
  <c r="A657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B656" i="2"/>
  <c r="A656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A655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B654" i="2"/>
  <c r="A654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/>
  <c r="D653" i="2"/>
  <c r="C653" i="2"/>
  <c r="B653" i="2"/>
  <c r="A653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A652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A651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B650" i="2"/>
  <c r="A650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/>
  <c r="D649" i="2"/>
  <c r="C649" i="2"/>
  <c r="B649" i="2"/>
  <c r="A649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B648" i="2"/>
  <c r="A648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A647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B646" i="2"/>
  <c r="A646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/>
  <c r="D645" i="2"/>
  <c r="C645" i="2"/>
  <c r="B645" i="2"/>
  <c r="A645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B644" i="2"/>
  <c r="A644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A643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B642" i="2"/>
  <c r="A642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/>
  <c r="D641" i="2"/>
  <c r="C641" i="2"/>
  <c r="B641" i="2"/>
  <c r="A641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B640" i="2"/>
  <c r="A640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A639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B638" i="2"/>
  <c r="A638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/>
  <c r="D637" i="2"/>
  <c r="C637" i="2"/>
  <c r="B637" i="2"/>
  <c r="A637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A636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A635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B634" i="2"/>
  <c r="A634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/>
  <c r="D633" i="2"/>
  <c r="C633" i="2"/>
  <c r="B633" i="2"/>
  <c r="A633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B632" i="2"/>
  <c r="A632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A631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B630" i="2"/>
  <c r="A630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/>
  <c r="D629" i="2"/>
  <c r="C629" i="2"/>
  <c r="B629" i="2"/>
  <c r="A629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A628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A627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B626" i="2"/>
  <c r="A626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/>
  <c r="D625" i="2"/>
  <c r="C625" i="2"/>
  <c r="B625" i="2"/>
  <c r="A625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B624" i="2"/>
  <c r="A624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A623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B622" i="2"/>
  <c r="A622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/>
  <c r="D621" i="2"/>
  <c r="C621" i="2"/>
  <c r="B621" i="2"/>
  <c r="A621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A620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A619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B618" i="2"/>
  <c r="A618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C617" i="2"/>
  <c r="B617" i="2"/>
  <c r="A617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B616" i="2"/>
  <c r="A616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A615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B614" i="2"/>
  <c r="A614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/>
  <c r="D613" i="2"/>
  <c r="C613" i="2"/>
  <c r="B613" i="2"/>
  <c r="A613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B612" i="2"/>
  <c r="A612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A611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B610" i="2"/>
  <c r="A610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/>
  <c r="D609" i="2"/>
  <c r="C609" i="2"/>
  <c r="B609" i="2"/>
  <c r="A609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B608" i="2"/>
  <c r="A608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A607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B606" i="2"/>
  <c r="A606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/>
  <c r="D605" i="2"/>
  <c r="C605" i="2"/>
  <c r="B605" i="2"/>
  <c r="A605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A604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A603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B602" i="2"/>
  <c r="A602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/>
  <c r="D601" i="2"/>
  <c r="C601" i="2"/>
  <c r="B601" i="2"/>
  <c r="A601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B600" i="2"/>
  <c r="A600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A599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B598" i="2"/>
  <c r="A598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/>
  <c r="D597" i="2"/>
  <c r="C597" i="2"/>
  <c r="B597" i="2"/>
  <c r="A597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B596" i="2"/>
  <c r="A596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A595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B594" i="2"/>
  <c r="A594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/>
  <c r="D593" i="2"/>
  <c r="C593" i="2"/>
  <c r="B593" i="2"/>
  <c r="A593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B592" i="2"/>
  <c r="A592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A591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B590" i="2"/>
  <c r="A590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/>
  <c r="D589" i="2"/>
  <c r="C589" i="2"/>
  <c r="B589" i="2"/>
  <c r="A589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A588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A587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B586" i="2"/>
  <c r="A586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/>
  <c r="D585" i="2"/>
  <c r="C585" i="2"/>
  <c r="B585" i="2"/>
  <c r="A585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B584" i="2"/>
  <c r="A584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A583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B582" i="2"/>
  <c r="A582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/>
  <c r="D581" i="2"/>
  <c r="C581" i="2"/>
  <c r="B581" i="2"/>
  <c r="A581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B580" i="2"/>
  <c r="A580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A579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B578" i="2"/>
  <c r="A578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/>
  <c r="D577" i="2"/>
  <c r="C577" i="2"/>
  <c r="B577" i="2"/>
  <c r="A577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B576" i="2"/>
  <c r="A576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A575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B574" i="2"/>
  <c r="A574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/>
  <c r="D573" i="2"/>
  <c r="C573" i="2"/>
  <c r="B573" i="2"/>
  <c r="A573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A572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A571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B570" i="2"/>
  <c r="A570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/>
  <c r="D569" i="2"/>
  <c r="C569" i="2"/>
  <c r="B569" i="2"/>
  <c r="A569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B568" i="2"/>
  <c r="A568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A567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B566" i="2"/>
  <c r="A566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/>
  <c r="D565" i="2"/>
  <c r="C565" i="2"/>
  <c r="B565" i="2"/>
  <c r="A565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B564" i="2"/>
  <c r="A564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A563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B562" i="2"/>
  <c r="A562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/>
  <c r="D561" i="2"/>
  <c r="C561" i="2"/>
  <c r="B561" i="2"/>
  <c r="A561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B560" i="2"/>
  <c r="A560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A559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B558" i="2"/>
  <c r="A558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/>
  <c r="D557" i="2"/>
  <c r="C557" i="2"/>
  <c r="B557" i="2"/>
  <c r="A557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A556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A555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B554" i="2"/>
  <c r="A554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/>
  <c r="D553" i="2"/>
  <c r="C553" i="2"/>
  <c r="B553" i="2"/>
  <c r="A553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B552" i="2"/>
  <c r="A552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A551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B550" i="2"/>
  <c r="A550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/>
  <c r="D549" i="2"/>
  <c r="C549" i="2"/>
  <c r="B549" i="2"/>
  <c r="A549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B548" i="2"/>
  <c r="A548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A547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B546" i="2"/>
  <c r="A546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/>
  <c r="D545" i="2"/>
  <c r="C545" i="2"/>
  <c r="B545" i="2"/>
  <c r="A545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B544" i="2"/>
  <c r="A544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A543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B542" i="2"/>
  <c r="A542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/>
  <c r="D541" i="2"/>
  <c r="C541" i="2"/>
  <c r="B541" i="2"/>
  <c r="A541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A540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A539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B538" i="2"/>
  <c r="A538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/>
  <c r="D537" i="2"/>
  <c r="C537" i="2"/>
  <c r="B537" i="2"/>
  <c r="A537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B536" i="2"/>
  <c r="A536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A535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B534" i="2"/>
  <c r="A534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/>
  <c r="D533" i="2"/>
  <c r="C533" i="2"/>
  <c r="B533" i="2"/>
  <c r="A533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B532" i="2"/>
  <c r="A532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A531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B530" i="2"/>
  <c r="A530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/>
  <c r="D529" i="2"/>
  <c r="C529" i="2"/>
  <c r="B529" i="2"/>
  <c r="A529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B528" i="2"/>
  <c r="A528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A527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B526" i="2"/>
  <c r="A526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/>
  <c r="D525" i="2"/>
  <c r="C525" i="2"/>
  <c r="B525" i="2"/>
  <c r="A525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A524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A523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B522" i="2"/>
  <c r="A522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/>
  <c r="D521" i="2"/>
  <c r="C521" i="2"/>
  <c r="B521" i="2"/>
  <c r="A521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B520" i="2"/>
  <c r="A520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A519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B518" i="2"/>
  <c r="A518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/>
  <c r="D517" i="2"/>
  <c r="C517" i="2"/>
  <c r="B517" i="2"/>
  <c r="A517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/>
  <c r="D516" i="2"/>
  <c r="C516" i="2"/>
  <c r="B516" i="2"/>
  <c r="A516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/>
  <c r="D515" i="2"/>
  <c r="C515" i="2"/>
  <c r="B515" i="2"/>
  <c r="A515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/>
  <c r="D514" i="2"/>
  <c r="C514" i="2"/>
  <c r="B514" i="2"/>
  <c r="A514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/>
  <c r="D513" i="2"/>
  <c r="C513" i="2"/>
  <c r="B513" i="2"/>
  <c r="A513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A512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A511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B510" i="2"/>
  <c r="A510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/>
  <c r="D509" i="2"/>
  <c r="C509" i="2"/>
  <c r="B509" i="2"/>
  <c r="A509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A508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A507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B506" i="2"/>
  <c r="A506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D505" i="2"/>
  <c r="C505" i="2"/>
  <c r="B505" i="2"/>
  <c r="A505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B504" i="2"/>
  <c r="A504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A503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B502" i="2"/>
  <c r="A502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/>
  <c r="D501" i="2"/>
  <c r="C501" i="2"/>
  <c r="B501" i="2"/>
  <c r="A501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B500" i="2"/>
  <c r="A500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A499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A498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A497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A496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A495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B494" i="2"/>
  <c r="A494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D493" i="2"/>
  <c r="C493" i="2"/>
  <c r="B493" i="2"/>
  <c r="A493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A492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A491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B490" i="2"/>
  <c r="A490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/>
  <c r="D489" i="2"/>
  <c r="C489" i="2"/>
  <c r="B489" i="2"/>
  <c r="A489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B488" i="2"/>
  <c r="A488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A487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B486" i="2"/>
  <c r="A486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/>
  <c r="D485" i="2"/>
  <c r="C485" i="2"/>
  <c r="B485" i="2"/>
  <c r="A485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B484" i="2"/>
  <c r="A484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A483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B482" i="2"/>
  <c r="A482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/>
  <c r="D481" i="2"/>
  <c r="C481" i="2"/>
  <c r="B481" i="2"/>
  <c r="A481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B480" i="2"/>
  <c r="A480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A479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B478" i="2"/>
  <c r="A478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/>
  <c r="D477" i="2"/>
  <c r="C477" i="2"/>
  <c r="B477" i="2"/>
  <c r="A477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A476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A475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B474" i="2"/>
  <c r="A474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/>
  <c r="D473" i="2"/>
  <c r="C473" i="2"/>
  <c r="B473" i="2"/>
  <c r="A473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B472" i="2"/>
  <c r="A472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A471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B470" i="2"/>
  <c r="A470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D469" i="2"/>
  <c r="C469" i="2"/>
  <c r="B469" i="2"/>
  <c r="A469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B468" i="2"/>
  <c r="A468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A467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B466" i="2"/>
  <c r="A466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/>
  <c r="D465" i="2"/>
  <c r="C465" i="2"/>
  <c r="B465" i="2"/>
  <c r="A465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B464" i="2"/>
  <c r="A464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A463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B462" i="2"/>
  <c r="A462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D461" i="2"/>
  <c r="C461" i="2"/>
  <c r="B461" i="2"/>
  <c r="A461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A460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A459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B458" i="2"/>
  <c r="A458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D457" i="2"/>
  <c r="C457" i="2"/>
  <c r="B457" i="2"/>
  <c r="A457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B456" i="2"/>
  <c r="A456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A455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B454" i="2"/>
  <c r="A454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/>
  <c r="D453" i="2"/>
  <c r="C453" i="2"/>
  <c r="B453" i="2"/>
  <c r="A453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A452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A451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A450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A449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A448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A447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A446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A445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A444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A443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A442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A441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A440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A439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A438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A437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A436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A435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A434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A433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A432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A431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A430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A429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A428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A427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A426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A425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A424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A423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A422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A421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A420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A419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A418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A417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A416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A415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A414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A413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A412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A411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A410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A409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A408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A407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A406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A405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A404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A403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A402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A401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A400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A399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A398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A397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A396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A395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A394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A393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A392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A391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A390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A389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A388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A387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A386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A385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A384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A383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A382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A381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A380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A379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A378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A377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A376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A375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A374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A373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A372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A371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A370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A369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A368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A367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A366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A365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A364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A363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A362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A361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A360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A359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A358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A357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A356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A355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A354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A353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A352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A351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A350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A349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348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A347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A346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A345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A344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343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A342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A341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A340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A339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A338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A337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A336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A335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A334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A333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332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A331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A330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A329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A328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A327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A326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A325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A324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A323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A322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A321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A320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A319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A318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A317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A315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A314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A313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A312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A311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A310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A309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A308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A307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A306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A305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A304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A303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A302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A301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A300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A299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A298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A297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A296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A295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A294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A293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A292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A291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A290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A289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A288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A287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A286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A285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A284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A283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A282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A281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A280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A279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A278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A277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A276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A275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A274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A273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A272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A271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A270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A269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A268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A267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A266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A265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A264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A263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A262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A261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A260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A259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A258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A257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A256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A255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A254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A253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A252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A251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A250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A249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A248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A247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A246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A245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A244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A243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A242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A241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A240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A239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A238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A237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A236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A235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A234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A233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A232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A231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A230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A229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A228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A227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A226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A225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A224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A223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A222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A221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A220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A219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A218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A217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A216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A215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A214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A213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A212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A211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A210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A209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A208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A207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A206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A205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A204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A203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A202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A201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A200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199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A198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A197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A196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A195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A194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A193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A192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A191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A190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A189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A187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A185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A182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A181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A180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A179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A178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A177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A174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A173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A170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A169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A165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A164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A163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A162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A161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A159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158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157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154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153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152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151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150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149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148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146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145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141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140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138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A137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136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134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133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132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130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129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126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124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122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121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A120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119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A118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A117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A116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A115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114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113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111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109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107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106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105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B2" i="2"/>
  <c r="A2" i="2"/>
  <c r="R2" i="2"/>
  <c r="R1" i="2"/>
  <c r="Q2" i="2"/>
  <c r="Q1" i="2"/>
  <c r="P2" i="2"/>
  <c r="P1" i="2"/>
  <c r="O2" i="2"/>
  <c r="O1" i="2"/>
  <c r="N2" i="2"/>
  <c r="N1" i="2"/>
  <c r="M2" i="2"/>
  <c r="M1" i="2"/>
  <c r="L2" i="2"/>
  <c r="L1" i="2"/>
  <c r="K2" i="2"/>
  <c r="K1" i="2"/>
  <c r="J2" i="2"/>
  <c r="J1" i="2"/>
  <c r="I2" i="2"/>
  <c r="I1" i="2"/>
  <c r="H2" i="2"/>
  <c r="H1" i="2"/>
  <c r="G2" i="2"/>
  <c r="G1" i="2"/>
  <c r="F2" i="2"/>
  <c r="F1" i="2"/>
  <c r="E2" i="2"/>
  <c r="E1" i="2"/>
  <c r="D2" i="2"/>
  <c r="D1" i="2"/>
  <c r="C2" i="2"/>
  <c r="C1" i="2"/>
  <c r="B1" i="2"/>
</calcChain>
</file>

<file path=xl/sharedStrings.xml><?xml version="1.0" encoding="utf-8"?>
<sst xmlns="http://schemas.openxmlformats.org/spreadsheetml/2006/main" count="87" uniqueCount="49">
  <si>
    <t>sample_id</t>
  </si>
  <si>
    <t>sample_name</t>
  </si>
  <si>
    <t>No more than 1000 samples can be entered in this worksheet.  If you need to submit metadata for &gt;1000 samples, please contact CMI directly.</t>
  </si>
  <si>
    <t>age</t>
  </si>
  <si>
    <t>age_units</t>
  </si>
  <si>
    <t>bmi</t>
  </si>
  <si>
    <t>bmi_units</t>
  </si>
  <si>
    <t>env_biome</t>
  </si>
  <si>
    <t>env_feature</t>
  </si>
  <si>
    <t>env_package</t>
  </si>
  <si>
    <t>height</t>
  </si>
  <si>
    <t>height_units</t>
  </si>
  <si>
    <t>host_common_name</t>
  </si>
  <si>
    <t>host_scientific_name</t>
  </si>
  <si>
    <t>host_taxid</t>
  </si>
  <si>
    <t>irb_institute</t>
  </si>
  <si>
    <t>irb_protocol_id</t>
  </si>
  <si>
    <t>weight</t>
  </si>
  <si>
    <t>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</si>
  <si>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</si>
  <si>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</si>
  <si>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</si>
  <si>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</si>
  <si>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</si>
  <si>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</si>
  <si>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</si>
  <si>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</si>
  <si>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</si>
  <si>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</si>
  <si>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</si>
  <si>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</si>
  <si>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number.</t>
  </si>
  <si>
    <t>The value must be a string and must equal "years". The default value is years.</t>
  </si>
  <si>
    <t>Body mass index. The value must be a string and must equal "not applicable" or must equal "missing: not collected" or must equal "missing: not provided" or must equal "missing: restricted access" or the value must be a number and &gt;0. The default value is missing: not provided.</t>
  </si>
  <si>
    <t>The value must be a string and must equal "Not applicable". The default value is Not applicable.</t>
  </si>
  <si>
    <t>The value must be a string and must equal "urban biome". The default value is urban biome.</t>
  </si>
  <si>
    <t>The value must be a string and must equal "human-associated habitat". The default value is human-associated habitat.</t>
  </si>
  <si>
    <t>The value must be a string and must equal "human-associated" or must equal "human-skin" or must equal "human-oral" or must equal "human-gut" or must equal "human-vaginal".</t>
  </si>
  <si>
    <t>The value must be a string and must equal "cm". The default value is cm.</t>
  </si>
  <si>
    <t>The value must be a string and must equal "human". The default value is human.</t>
  </si>
  <si>
    <t>The value must be a string and must equal "Homo sapiens". The default value is Homo sapiens.</t>
  </si>
  <si>
    <t>The value must be a string and must equal "9606". The default value is 9606.</t>
  </si>
  <si>
    <t>The name of institute that approved the IRB (human studies). The value must be a string. The default value is missing: not provided.</t>
  </si>
  <si>
    <t>The ID of the IRB protocol that covers the collection and analysis of this sample (human studies). The value must be a string. The default value is missing: not provided.</t>
  </si>
  <si>
    <t>The value must be a string and must equal "kg". The default value is kg.</t>
  </si>
  <si>
    <t xml:space="preserve">0:
  allowed_missing_default_select: ebi_not_provided
  allowed_missing_vals[]:
  - ebi_not_applicable
  - ebi_not_collected
  - ebi_not_provided
  - ebi_restricted
  data_type: number
  default_value: allowed_missing_default
  field_desc: Body mass index
  field_name: bmi
  field_type: continuous
  maximum_comparison: no_comparison
  minimum_comparison: min_exclusive
  minimum_value: '0'
  units: Not applicable
1:
  default_value: text_default
  field_desc: the name of institute that approved the IRB (human studies)
  field_name: irb_institute
  field_type: string
  text_default: 'missing: not provided'
2:
  default_value: text_default
  field_desc: the ID of the IRB protocol that covers the collection and analysis of
    this sample (human studies)
  field_name: irb_protocol_id
  field_type: string
  text_default: 'missing: not provided'
3:
  data_type: number
  default_value: no_default
  field_name: age
  field_type: continuous
  maximum_comparison: no_comparison
  minimum_comparison: no_comparison
  units: years
4:
  categorical_default_select: urban biome
  categorical_values: urban biome
  default_value: categorical_default
  field_name: env_biome
  field_type: categorical
5:
  categorical_default_select: human-associated habitat
  categorical_values: human-associated habitat
  default_value: categorical_default
  field_name: env_feature
  field_type: categorical
6:
  categorical_values: "human-associated\r\nhuman-skin\r\nhuman-oral\r\nhuman-gut\r\
    \nhuman-vaginal"
  default_value: no_default
  field_name: env_package
  field_type: categorical
7:
  data_type: number
  default_value: no_default
  field_name: height
  field_type: continuous
  maximum_comparison: no_comparison
  minimum_comparison: no_comparison
  units: cm
8:
  categorical_default_select: human
  categorical_values: human
  default_value: categorical_default
  field_name: host_common_name
  field_type: categorical
9:
  categorical_default_select: Homo sapiens
  categorical_values: Homo sapiens
  default_value: categorical_default
  field_name: host_scientific_name
  field_type: categorical
10:
  categorical_default_select: '9606'
  categorical_values: '9606'
  default_value: categorical_default
  field_name: host_taxid
  field_type: categorical
11:
  data_type: number
  default_value: no_default
  field_name: weight
  field_type: continuous
  maximum_comparison: no_comparison
  minimum_comparison: no_comparison
  units: kg
</t>
  </si>
  <si>
    <t>This file was created by the Metadata Wizard v0.3 at 2018-01-03 16:05:33.</t>
  </si>
  <si>
    <t xml:space="preserve">age_units:
  allowed:
  - years
  default: years
  empty: false
  is_phi: false
  required: true
  type: string
bmi:
  anyof:
  - allowed:
    - not applicable
    - 'missing: not collected'
    - 'missing: not provided'
    - 'missing: restricted access'
    type: string
  - min_exclusive: '0'
    type: number
  default: 'missing: not provided'
  empty: false
  field_desc: Body mass index
  is_phi: false
  required: true
env_biome:
  allowed:
  - urban biome
  default: urban biome
  empty: false
  is_phi: false
  required: true
  type: string
env_feature:
  allowed:
  - human-associated habitat
  default: human-associated habitat
  empty: false
  is_phi: false
  required: true
  type: string
env_package:
  allowed:
  - human-associated
  - human-skin
  - human-oral
  - human-gut
  - human-vaginal
  empty: false
  is_phi: false
  required: true
  type: string
height_units:
  allowed:
  - cm
  default: cm
  empty: false
  is_phi: false
  required: true
  type: string
host_common_name:
  allowed:
  - human
  default: human
  empty: false
  is_phi: false
  required: true
  type: string
host_scientific_name:
  allowed:
  - Homo sapiens
  default: Homo sapiens
  empty: false
  is_phi: false
  required: true
  type: string
host_taxid:
  allowed:
  - '9606'
  default: '9606'
  empty: false
  is_phi: false
  required: true
  type: string
irb_institute:
  default: 'missing: not provided'
  empty: false
  field_desc: the name of institute that approved the IRB (human studies)
  is_phi: false
  required: true
  type: string
irb_protocol_id:
  default: 'missing: not provided'
  empty: false
  field_desc: the ID of the IRB protocol that covers the collection and analysis of
    this sample (human studies)
  is_phi: false
  required: true
  type: string
sample_name:
  empty: false
  is_phi: false
  regex: ^[a-zA-Z0-9\.]+$
  required: true
  type: string
  unique: true
weight_units:
  allowed:
  - kg
  default: kg
  empty: false
  is_phi: false
  required: true
  type: string
</t>
  </si>
  <si>
    <t>Manually edited to remove re-defines of age, height, and weight (necessary to auto-generate units columns) and auto-generated bmi_units that is not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</si>
</sst>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2">
    <dxf>
      <font>
        <u/>
        <color rgb="FF9C0006"/>
      </font>
      <fill>
        <patternFill>
          <bgColor rgb="FFFFC7CE"/>
        </patternFill>
      </fill>
    </dxf>
    <dxf>
      <font>
        <color rgb="FFC6EFCE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zeroHeight="1" x14ac:dyDescent="0.2"/>
  <cols>
    <col min="1" max="1" width="0" hidden="1" customWidth="1"/>
    <col min="2" max="2" width="8.83203125" style="1"/>
    <col min="3" max="3" width="8.83203125" style="2"/>
    <col min="4" max="4" width="8.83203125" style="1"/>
    <col min="5" max="5" width="8.83203125" style="2"/>
    <col min="6" max="9" width="8.83203125" style="1"/>
    <col min="10" max="10" width="8.83203125" style="2"/>
    <col min="11" max="16" width="8.83203125" style="1"/>
    <col min="17" max="17" width="8.83203125" style="2"/>
    <col min="18" max="18" width="8.83203125" style="1"/>
  </cols>
  <sheetData>
    <row r="1" spans="1:18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</row>
    <row r="2" spans="1:18" x14ac:dyDescent="0.2">
      <c r="A2" t="str">
        <f>IF(COUNTBLANK(B2:R2)&lt;&gt;COLUMNS(B2:R2),1,"")</f>
        <v/>
      </c>
      <c r="D2" s="1" t="str">
        <f t="shared" ref="D2:D65" si="0">IF(B2="", "", "years")</f>
        <v/>
      </c>
      <c r="E2" s="2" t="str">
        <f t="shared" ref="E2:E65" si="1">IF(B2="", "", "missing: not provided")</f>
        <v/>
      </c>
      <c r="F2" s="1" t="str">
        <f t="shared" ref="F2:F65" si="2">IF(B2="", "", "Not applicable")</f>
        <v/>
      </c>
      <c r="G2" s="1" t="str">
        <f t="shared" ref="G2:G65" si="3">IF(B2="", "", "urban biome")</f>
        <v/>
      </c>
      <c r="H2" s="1" t="str">
        <f t="shared" ref="H2:H65" si="4">IF(B2="", "", "human-associated habitat")</f>
        <v/>
      </c>
      <c r="K2" s="1" t="str">
        <f t="shared" ref="K2:K65" si="5">IF(B2="", "", "cm")</f>
        <v/>
      </c>
      <c r="L2" s="1" t="str">
        <f t="shared" ref="L2:L65" si="6">IF(B2="", "", "human")</f>
        <v/>
      </c>
      <c r="M2" s="1" t="str">
        <f t="shared" ref="M2:M65" si="7">IF(B2="", "", "Homo sapiens")</f>
        <v/>
      </c>
      <c r="N2" s="1" t="str">
        <f t="shared" ref="N2:N65" si="8">IF(B2="", "", "9606")</f>
        <v/>
      </c>
      <c r="O2" s="1" t="str">
        <f t="shared" ref="O2:O65" si="9">IF(B2="", "", "missing: not provided")</f>
        <v/>
      </c>
      <c r="P2" s="1" t="str">
        <f t="shared" ref="P2:P65" si="10">IF(B2="", "", "missing: not provided")</f>
        <v/>
      </c>
      <c r="R2" s="1" t="str">
        <f t="shared" ref="R2:R65" si="11">IF(B2="", "", "kg")</f>
        <v/>
      </c>
    </row>
    <row r="3" spans="1:18" x14ac:dyDescent="0.2">
      <c r="A3" t="str">
        <f>IF(COUNTBLANK(B3:R3)&lt;&gt;COLUMNS(B3:R3),2,"")</f>
        <v/>
      </c>
      <c r="D3" s="1" t="str">
        <f t="shared" si="0"/>
        <v/>
      </c>
      <c r="E3" s="2" t="str">
        <f t="shared" si="1"/>
        <v/>
      </c>
      <c r="F3" s="1" t="str">
        <f t="shared" si="2"/>
        <v/>
      </c>
      <c r="G3" s="1" t="str">
        <f t="shared" si="3"/>
        <v/>
      </c>
      <c r="H3" s="1" t="str">
        <f t="shared" si="4"/>
        <v/>
      </c>
      <c r="K3" s="1" t="str">
        <f t="shared" si="5"/>
        <v/>
      </c>
      <c r="L3" s="1" t="str">
        <f t="shared" si="6"/>
        <v/>
      </c>
      <c r="M3" s="1" t="str">
        <f t="shared" si="7"/>
        <v/>
      </c>
      <c r="N3" s="1" t="str">
        <f t="shared" si="8"/>
        <v/>
      </c>
      <c r="O3" s="1" t="str">
        <f t="shared" si="9"/>
        <v/>
      </c>
      <c r="P3" s="1" t="str">
        <f t="shared" si="10"/>
        <v/>
      </c>
      <c r="R3" s="1" t="str">
        <f t="shared" si="11"/>
        <v/>
      </c>
    </row>
    <row r="4" spans="1:18" x14ac:dyDescent="0.2">
      <c r="A4" t="str">
        <f>IF(COUNTBLANK(B4:R4)&lt;&gt;COLUMNS(B4:R4),3,"")</f>
        <v/>
      </c>
      <c r="D4" s="1" t="str">
        <f t="shared" si="0"/>
        <v/>
      </c>
      <c r="E4" s="2" t="str">
        <f t="shared" si="1"/>
        <v/>
      </c>
      <c r="F4" s="1" t="str">
        <f t="shared" si="2"/>
        <v/>
      </c>
      <c r="G4" s="1" t="str">
        <f t="shared" si="3"/>
        <v/>
      </c>
      <c r="H4" s="1" t="str">
        <f t="shared" si="4"/>
        <v/>
      </c>
      <c r="K4" s="1" t="str">
        <f t="shared" si="5"/>
        <v/>
      </c>
      <c r="L4" s="1" t="str">
        <f t="shared" si="6"/>
        <v/>
      </c>
      <c r="M4" s="1" t="str">
        <f t="shared" si="7"/>
        <v/>
      </c>
      <c r="N4" s="1" t="str">
        <f t="shared" si="8"/>
        <v/>
      </c>
      <c r="O4" s="1" t="str">
        <f t="shared" si="9"/>
        <v/>
      </c>
      <c r="P4" s="1" t="str">
        <f t="shared" si="10"/>
        <v/>
      </c>
      <c r="R4" s="1" t="str">
        <f t="shared" si="11"/>
        <v/>
      </c>
    </row>
    <row r="5" spans="1:18" x14ac:dyDescent="0.2">
      <c r="A5" t="str">
        <f>IF(COUNTBLANK(B5:R5)&lt;&gt;COLUMNS(B5:R5),4,"")</f>
        <v/>
      </c>
      <c r="D5" s="1" t="str">
        <f t="shared" si="0"/>
        <v/>
      </c>
      <c r="E5" s="2" t="str">
        <f t="shared" si="1"/>
        <v/>
      </c>
      <c r="F5" s="1" t="str">
        <f t="shared" si="2"/>
        <v/>
      </c>
      <c r="G5" s="1" t="str">
        <f t="shared" si="3"/>
        <v/>
      </c>
      <c r="H5" s="1" t="str">
        <f t="shared" si="4"/>
        <v/>
      </c>
      <c r="K5" s="1" t="str">
        <f t="shared" si="5"/>
        <v/>
      </c>
      <c r="L5" s="1" t="str">
        <f t="shared" si="6"/>
        <v/>
      </c>
      <c r="M5" s="1" t="str">
        <f t="shared" si="7"/>
        <v/>
      </c>
      <c r="N5" s="1" t="str">
        <f t="shared" si="8"/>
        <v/>
      </c>
      <c r="O5" s="1" t="str">
        <f t="shared" si="9"/>
        <v/>
      </c>
      <c r="P5" s="1" t="str">
        <f t="shared" si="10"/>
        <v/>
      </c>
      <c r="R5" s="1" t="str">
        <f t="shared" si="11"/>
        <v/>
      </c>
    </row>
    <row r="6" spans="1:18" x14ac:dyDescent="0.2">
      <c r="A6" t="str">
        <f>IF(COUNTBLANK(B6:R6)&lt;&gt;COLUMNS(B6:R6),5,"")</f>
        <v/>
      </c>
      <c r="D6" s="1" t="str">
        <f t="shared" si="0"/>
        <v/>
      </c>
      <c r="E6" s="2" t="str">
        <f t="shared" si="1"/>
        <v/>
      </c>
      <c r="F6" s="1" t="str">
        <f t="shared" si="2"/>
        <v/>
      </c>
      <c r="G6" s="1" t="str">
        <f t="shared" si="3"/>
        <v/>
      </c>
      <c r="H6" s="1" t="str">
        <f t="shared" si="4"/>
        <v/>
      </c>
      <c r="K6" s="1" t="str">
        <f t="shared" si="5"/>
        <v/>
      </c>
      <c r="L6" s="1" t="str">
        <f t="shared" si="6"/>
        <v/>
      </c>
      <c r="M6" s="1" t="str">
        <f t="shared" si="7"/>
        <v/>
      </c>
      <c r="N6" s="1" t="str">
        <f t="shared" si="8"/>
        <v/>
      </c>
      <c r="O6" s="1" t="str">
        <f t="shared" si="9"/>
        <v/>
      </c>
      <c r="P6" s="1" t="str">
        <f t="shared" si="10"/>
        <v/>
      </c>
      <c r="R6" s="1" t="str">
        <f t="shared" si="11"/>
        <v/>
      </c>
    </row>
    <row r="7" spans="1:18" x14ac:dyDescent="0.2">
      <c r="A7" t="str">
        <f>IF(COUNTBLANK(B7:R7)&lt;&gt;COLUMNS(B7:R7),6,"")</f>
        <v/>
      </c>
      <c r="D7" s="1" t="str">
        <f t="shared" si="0"/>
        <v/>
      </c>
      <c r="E7" s="2" t="str">
        <f t="shared" si="1"/>
        <v/>
      </c>
      <c r="F7" s="1" t="str">
        <f t="shared" si="2"/>
        <v/>
      </c>
      <c r="G7" s="1" t="str">
        <f t="shared" si="3"/>
        <v/>
      </c>
      <c r="H7" s="1" t="str">
        <f t="shared" si="4"/>
        <v/>
      </c>
      <c r="K7" s="1" t="str">
        <f t="shared" si="5"/>
        <v/>
      </c>
      <c r="L7" s="1" t="str">
        <f t="shared" si="6"/>
        <v/>
      </c>
      <c r="M7" s="1" t="str">
        <f t="shared" si="7"/>
        <v/>
      </c>
      <c r="N7" s="1" t="str">
        <f t="shared" si="8"/>
        <v/>
      </c>
      <c r="O7" s="1" t="str">
        <f t="shared" si="9"/>
        <v/>
      </c>
      <c r="P7" s="1" t="str">
        <f t="shared" si="10"/>
        <v/>
      </c>
      <c r="R7" s="1" t="str">
        <f t="shared" si="11"/>
        <v/>
      </c>
    </row>
    <row r="8" spans="1:18" x14ac:dyDescent="0.2">
      <c r="A8" t="str">
        <f>IF(COUNTBLANK(B8:R8)&lt;&gt;COLUMNS(B8:R8),7,"")</f>
        <v/>
      </c>
      <c r="D8" s="1" t="str">
        <f t="shared" si="0"/>
        <v/>
      </c>
      <c r="E8" s="2" t="str">
        <f t="shared" si="1"/>
        <v/>
      </c>
      <c r="F8" s="1" t="str">
        <f t="shared" si="2"/>
        <v/>
      </c>
      <c r="G8" s="1" t="str">
        <f t="shared" si="3"/>
        <v/>
      </c>
      <c r="H8" s="1" t="str">
        <f t="shared" si="4"/>
        <v/>
      </c>
      <c r="K8" s="1" t="str">
        <f t="shared" si="5"/>
        <v/>
      </c>
      <c r="L8" s="1" t="str">
        <f t="shared" si="6"/>
        <v/>
      </c>
      <c r="M8" s="1" t="str">
        <f t="shared" si="7"/>
        <v/>
      </c>
      <c r="N8" s="1" t="str">
        <f t="shared" si="8"/>
        <v/>
      </c>
      <c r="O8" s="1" t="str">
        <f t="shared" si="9"/>
        <v/>
      </c>
      <c r="P8" s="1" t="str">
        <f t="shared" si="10"/>
        <v/>
      </c>
      <c r="R8" s="1" t="str">
        <f t="shared" si="11"/>
        <v/>
      </c>
    </row>
    <row r="9" spans="1:18" x14ac:dyDescent="0.2">
      <c r="A9" t="str">
        <f>IF(COUNTBLANK(B9:R9)&lt;&gt;COLUMNS(B9:R9),8,"")</f>
        <v/>
      </c>
      <c r="D9" s="1" t="str">
        <f t="shared" si="0"/>
        <v/>
      </c>
      <c r="E9" s="2" t="str">
        <f t="shared" si="1"/>
        <v/>
      </c>
      <c r="F9" s="1" t="str">
        <f t="shared" si="2"/>
        <v/>
      </c>
      <c r="G9" s="1" t="str">
        <f t="shared" si="3"/>
        <v/>
      </c>
      <c r="H9" s="1" t="str">
        <f t="shared" si="4"/>
        <v/>
      </c>
      <c r="K9" s="1" t="str">
        <f t="shared" si="5"/>
        <v/>
      </c>
      <c r="L9" s="1" t="str">
        <f t="shared" si="6"/>
        <v/>
      </c>
      <c r="M9" s="1" t="str">
        <f t="shared" si="7"/>
        <v/>
      </c>
      <c r="N9" s="1" t="str">
        <f t="shared" si="8"/>
        <v/>
      </c>
      <c r="O9" s="1" t="str">
        <f t="shared" si="9"/>
        <v/>
      </c>
      <c r="P9" s="1" t="str">
        <f t="shared" si="10"/>
        <v/>
      </c>
      <c r="R9" s="1" t="str">
        <f t="shared" si="11"/>
        <v/>
      </c>
    </row>
    <row r="10" spans="1:18" x14ac:dyDescent="0.2">
      <c r="A10" t="str">
        <f>IF(COUNTBLANK(B10:R10)&lt;&gt;COLUMNS(B10:R10),9,"")</f>
        <v/>
      </c>
      <c r="D10" s="1" t="str">
        <f t="shared" si="0"/>
        <v/>
      </c>
      <c r="E10" s="2" t="str">
        <f t="shared" si="1"/>
        <v/>
      </c>
      <c r="F10" s="1" t="str">
        <f t="shared" si="2"/>
        <v/>
      </c>
      <c r="G10" s="1" t="str">
        <f t="shared" si="3"/>
        <v/>
      </c>
      <c r="H10" s="1" t="str">
        <f t="shared" si="4"/>
        <v/>
      </c>
      <c r="K10" s="1" t="str">
        <f t="shared" si="5"/>
        <v/>
      </c>
      <c r="L10" s="1" t="str">
        <f t="shared" si="6"/>
        <v/>
      </c>
      <c r="M10" s="1" t="str">
        <f t="shared" si="7"/>
        <v/>
      </c>
      <c r="N10" s="1" t="str">
        <f t="shared" si="8"/>
        <v/>
      </c>
      <c r="O10" s="1" t="str">
        <f t="shared" si="9"/>
        <v/>
      </c>
      <c r="P10" s="1" t="str">
        <f t="shared" si="10"/>
        <v/>
      </c>
      <c r="R10" s="1" t="str">
        <f t="shared" si="11"/>
        <v/>
      </c>
    </row>
    <row r="11" spans="1:18" x14ac:dyDescent="0.2">
      <c r="A11" t="str">
        <f>IF(COUNTBLANK(B11:R11)&lt;&gt;COLUMNS(B11:R11),10,"")</f>
        <v/>
      </c>
      <c r="D11" s="1" t="str">
        <f t="shared" si="0"/>
        <v/>
      </c>
      <c r="E11" s="2" t="str">
        <f t="shared" si="1"/>
        <v/>
      </c>
      <c r="F11" s="1" t="str">
        <f t="shared" si="2"/>
        <v/>
      </c>
      <c r="G11" s="1" t="str">
        <f t="shared" si="3"/>
        <v/>
      </c>
      <c r="H11" s="1" t="str">
        <f t="shared" si="4"/>
        <v/>
      </c>
      <c r="K11" s="1" t="str">
        <f t="shared" si="5"/>
        <v/>
      </c>
      <c r="L11" s="1" t="str">
        <f t="shared" si="6"/>
        <v/>
      </c>
      <c r="M11" s="1" t="str">
        <f t="shared" si="7"/>
        <v/>
      </c>
      <c r="N11" s="1" t="str">
        <f t="shared" si="8"/>
        <v/>
      </c>
      <c r="O11" s="1" t="str">
        <f t="shared" si="9"/>
        <v/>
      </c>
      <c r="P11" s="1" t="str">
        <f t="shared" si="10"/>
        <v/>
      </c>
      <c r="R11" s="1" t="str">
        <f t="shared" si="11"/>
        <v/>
      </c>
    </row>
    <row r="12" spans="1:18" x14ac:dyDescent="0.2">
      <c r="A12" t="str">
        <f>IF(COUNTBLANK(B12:R12)&lt;&gt;COLUMNS(B12:R12),11,"")</f>
        <v/>
      </c>
      <c r="D12" s="1" t="str">
        <f t="shared" si="0"/>
        <v/>
      </c>
      <c r="E12" s="2" t="str">
        <f t="shared" si="1"/>
        <v/>
      </c>
      <c r="F12" s="1" t="str">
        <f t="shared" si="2"/>
        <v/>
      </c>
      <c r="G12" s="1" t="str">
        <f t="shared" si="3"/>
        <v/>
      </c>
      <c r="H12" s="1" t="str">
        <f t="shared" si="4"/>
        <v/>
      </c>
      <c r="K12" s="1" t="str">
        <f t="shared" si="5"/>
        <v/>
      </c>
      <c r="L12" s="1" t="str">
        <f t="shared" si="6"/>
        <v/>
      </c>
      <c r="M12" s="1" t="str">
        <f t="shared" si="7"/>
        <v/>
      </c>
      <c r="N12" s="1" t="str">
        <f t="shared" si="8"/>
        <v/>
      </c>
      <c r="O12" s="1" t="str">
        <f t="shared" si="9"/>
        <v/>
      </c>
      <c r="P12" s="1" t="str">
        <f t="shared" si="10"/>
        <v/>
      </c>
      <c r="R12" s="1" t="str">
        <f t="shared" si="11"/>
        <v/>
      </c>
    </row>
    <row r="13" spans="1:18" x14ac:dyDescent="0.2">
      <c r="A13" t="str">
        <f>IF(COUNTBLANK(B13:R13)&lt;&gt;COLUMNS(B13:R13),12,"")</f>
        <v/>
      </c>
      <c r="D13" s="1" t="str">
        <f t="shared" si="0"/>
        <v/>
      </c>
      <c r="E13" s="2" t="str">
        <f t="shared" si="1"/>
        <v/>
      </c>
      <c r="F13" s="1" t="str">
        <f t="shared" si="2"/>
        <v/>
      </c>
      <c r="G13" s="1" t="str">
        <f t="shared" si="3"/>
        <v/>
      </c>
      <c r="H13" s="1" t="str">
        <f t="shared" si="4"/>
        <v/>
      </c>
      <c r="K13" s="1" t="str">
        <f t="shared" si="5"/>
        <v/>
      </c>
      <c r="L13" s="1" t="str">
        <f t="shared" si="6"/>
        <v/>
      </c>
      <c r="M13" s="1" t="str">
        <f t="shared" si="7"/>
        <v/>
      </c>
      <c r="N13" s="1" t="str">
        <f t="shared" si="8"/>
        <v/>
      </c>
      <c r="O13" s="1" t="str">
        <f t="shared" si="9"/>
        <v/>
      </c>
      <c r="P13" s="1" t="str">
        <f t="shared" si="10"/>
        <v/>
      </c>
      <c r="R13" s="1" t="str">
        <f t="shared" si="11"/>
        <v/>
      </c>
    </row>
    <row r="14" spans="1:18" x14ac:dyDescent="0.2">
      <c r="A14" t="str">
        <f>IF(COUNTBLANK(B14:R14)&lt;&gt;COLUMNS(B14:R14),13,"")</f>
        <v/>
      </c>
      <c r="D14" s="1" t="str">
        <f t="shared" si="0"/>
        <v/>
      </c>
      <c r="E14" s="2" t="str">
        <f t="shared" si="1"/>
        <v/>
      </c>
      <c r="F14" s="1" t="str">
        <f t="shared" si="2"/>
        <v/>
      </c>
      <c r="G14" s="1" t="str">
        <f t="shared" si="3"/>
        <v/>
      </c>
      <c r="H14" s="1" t="str">
        <f t="shared" si="4"/>
        <v/>
      </c>
      <c r="K14" s="1" t="str">
        <f t="shared" si="5"/>
        <v/>
      </c>
      <c r="L14" s="1" t="str">
        <f t="shared" si="6"/>
        <v/>
      </c>
      <c r="M14" s="1" t="str">
        <f t="shared" si="7"/>
        <v/>
      </c>
      <c r="N14" s="1" t="str">
        <f t="shared" si="8"/>
        <v/>
      </c>
      <c r="O14" s="1" t="str">
        <f t="shared" si="9"/>
        <v/>
      </c>
      <c r="P14" s="1" t="str">
        <f t="shared" si="10"/>
        <v/>
      </c>
      <c r="R14" s="1" t="str">
        <f t="shared" si="11"/>
        <v/>
      </c>
    </row>
    <row r="15" spans="1:18" x14ac:dyDescent="0.2">
      <c r="A15" t="str">
        <f>IF(COUNTBLANK(B15:R15)&lt;&gt;COLUMNS(B15:R15),14,"")</f>
        <v/>
      </c>
      <c r="D15" s="1" t="str">
        <f t="shared" si="0"/>
        <v/>
      </c>
      <c r="E15" s="2" t="str">
        <f t="shared" si="1"/>
        <v/>
      </c>
      <c r="F15" s="1" t="str">
        <f t="shared" si="2"/>
        <v/>
      </c>
      <c r="G15" s="1" t="str">
        <f t="shared" si="3"/>
        <v/>
      </c>
      <c r="H15" s="1" t="str">
        <f t="shared" si="4"/>
        <v/>
      </c>
      <c r="K15" s="1" t="str">
        <f t="shared" si="5"/>
        <v/>
      </c>
      <c r="L15" s="1" t="str">
        <f t="shared" si="6"/>
        <v/>
      </c>
      <c r="M15" s="1" t="str">
        <f t="shared" si="7"/>
        <v/>
      </c>
      <c r="N15" s="1" t="str">
        <f t="shared" si="8"/>
        <v/>
      </c>
      <c r="O15" s="1" t="str">
        <f t="shared" si="9"/>
        <v/>
      </c>
      <c r="P15" s="1" t="str">
        <f t="shared" si="10"/>
        <v/>
      </c>
      <c r="R15" s="1" t="str">
        <f t="shared" si="11"/>
        <v/>
      </c>
    </row>
    <row r="16" spans="1:18" x14ac:dyDescent="0.2">
      <c r="A16" t="str">
        <f>IF(COUNTBLANK(B16:R16)&lt;&gt;COLUMNS(B16:R16),15,"")</f>
        <v/>
      </c>
      <c r="D16" s="1" t="str">
        <f t="shared" si="0"/>
        <v/>
      </c>
      <c r="E16" s="2" t="str">
        <f t="shared" si="1"/>
        <v/>
      </c>
      <c r="F16" s="1" t="str">
        <f t="shared" si="2"/>
        <v/>
      </c>
      <c r="G16" s="1" t="str">
        <f t="shared" si="3"/>
        <v/>
      </c>
      <c r="H16" s="1" t="str">
        <f t="shared" si="4"/>
        <v/>
      </c>
      <c r="K16" s="1" t="str">
        <f t="shared" si="5"/>
        <v/>
      </c>
      <c r="L16" s="1" t="str">
        <f t="shared" si="6"/>
        <v/>
      </c>
      <c r="M16" s="1" t="str">
        <f t="shared" si="7"/>
        <v/>
      </c>
      <c r="N16" s="1" t="str">
        <f t="shared" si="8"/>
        <v/>
      </c>
      <c r="O16" s="1" t="str">
        <f t="shared" si="9"/>
        <v/>
      </c>
      <c r="P16" s="1" t="str">
        <f t="shared" si="10"/>
        <v/>
      </c>
      <c r="R16" s="1" t="str">
        <f t="shared" si="11"/>
        <v/>
      </c>
    </row>
    <row r="17" spans="1:18" x14ac:dyDescent="0.2">
      <c r="A17" t="str">
        <f>IF(COUNTBLANK(B17:R17)&lt;&gt;COLUMNS(B17:R17),16,"")</f>
        <v/>
      </c>
      <c r="D17" s="1" t="str">
        <f t="shared" si="0"/>
        <v/>
      </c>
      <c r="E17" s="2" t="str">
        <f t="shared" si="1"/>
        <v/>
      </c>
      <c r="F17" s="1" t="str">
        <f t="shared" si="2"/>
        <v/>
      </c>
      <c r="G17" s="1" t="str">
        <f t="shared" si="3"/>
        <v/>
      </c>
      <c r="H17" s="1" t="str">
        <f t="shared" si="4"/>
        <v/>
      </c>
      <c r="K17" s="1" t="str">
        <f t="shared" si="5"/>
        <v/>
      </c>
      <c r="L17" s="1" t="str">
        <f t="shared" si="6"/>
        <v/>
      </c>
      <c r="M17" s="1" t="str">
        <f t="shared" si="7"/>
        <v/>
      </c>
      <c r="N17" s="1" t="str">
        <f t="shared" si="8"/>
        <v/>
      </c>
      <c r="O17" s="1" t="str">
        <f t="shared" si="9"/>
        <v/>
      </c>
      <c r="P17" s="1" t="str">
        <f t="shared" si="10"/>
        <v/>
      </c>
      <c r="R17" s="1" t="str">
        <f t="shared" si="11"/>
        <v/>
      </c>
    </row>
    <row r="18" spans="1:18" x14ac:dyDescent="0.2">
      <c r="A18" t="str">
        <f>IF(COUNTBLANK(B18:R18)&lt;&gt;COLUMNS(B18:R18),17,"")</f>
        <v/>
      </c>
      <c r="D18" s="1" t="str">
        <f t="shared" si="0"/>
        <v/>
      </c>
      <c r="E18" s="2" t="str">
        <f t="shared" si="1"/>
        <v/>
      </c>
      <c r="F18" s="1" t="str">
        <f t="shared" si="2"/>
        <v/>
      </c>
      <c r="G18" s="1" t="str">
        <f t="shared" si="3"/>
        <v/>
      </c>
      <c r="H18" s="1" t="str">
        <f t="shared" si="4"/>
        <v/>
      </c>
      <c r="K18" s="1" t="str">
        <f t="shared" si="5"/>
        <v/>
      </c>
      <c r="L18" s="1" t="str">
        <f t="shared" si="6"/>
        <v/>
      </c>
      <c r="M18" s="1" t="str">
        <f t="shared" si="7"/>
        <v/>
      </c>
      <c r="N18" s="1" t="str">
        <f t="shared" si="8"/>
        <v/>
      </c>
      <c r="O18" s="1" t="str">
        <f t="shared" si="9"/>
        <v/>
      </c>
      <c r="P18" s="1" t="str">
        <f t="shared" si="10"/>
        <v/>
      </c>
      <c r="R18" s="1" t="str">
        <f t="shared" si="11"/>
        <v/>
      </c>
    </row>
    <row r="19" spans="1:18" x14ac:dyDescent="0.2">
      <c r="A19" t="str">
        <f>IF(COUNTBLANK(B19:R19)&lt;&gt;COLUMNS(B19:R19),18,"")</f>
        <v/>
      </c>
      <c r="D19" s="1" t="str">
        <f t="shared" si="0"/>
        <v/>
      </c>
      <c r="E19" s="2" t="str">
        <f t="shared" si="1"/>
        <v/>
      </c>
      <c r="F19" s="1" t="str">
        <f t="shared" si="2"/>
        <v/>
      </c>
      <c r="G19" s="1" t="str">
        <f t="shared" si="3"/>
        <v/>
      </c>
      <c r="H19" s="1" t="str">
        <f t="shared" si="4"/>
        <v/>
      </c>
      <c r="K19" s="1" t="str">
        <f t="shared" si="5"/>
        <v/>
      </c>
      <c r="L19" s="1" t="str">
        <f t="shared" si="6"/>
        <v/>
      </c>
      <c r="M19" s="1" t="str">
        <f t="shared" si="7"/>
        <v/>
      </c>
      <c r="N19" s="1" t="str">
        <f t="shared" si="8"/>
        <v/>
      </c>
      <c r="O19" s="1" t="str">
        <f t="shared" si="9"/>
        <v/>
      </c>
      <c r="P19" s="1" t="str">
        <f t="shared" si="10"/>
        <v/>
      </c>
      <c r="R19" s="1" t="str">
        <f t="shared" si="11"/>
        <v/>
      </c>
    </row>
    <row r="20" spans="1:18" x14ac:dyDescent="0.2">
      <c r="A20" t="str">
        <f>IF(COUNTBLANK(B20:R20)&lt;&gt;COLUMNS(B20:R20),19,"")</f>
        <v/>
      </c>
      <c r="D20" s="1" t="str">
        <f t="shared" si="0"/>
        <v/>
      </c>
      <c r="E20" s="2" t="str">
        <f t="shared" si="1"/>
        <v/>
      </c>
      <c r="F20" s="1" t="str">
        <f t="shared" si="2"/>
        <v/>
      </c>
      <c r="G20" s="1" t="str">
        <f t="shared" si="3"/>
        <v/>
      </c>
      <c r="H20" s="1" t="str">
        <f t="shared" si="4"/>
        <v/>
      </c>
      <c r="K20" s="1" t="str">
        <f t="shared" si="5"/>
        <v/>
      </c>
      <c r="L20" s="1" t="str">
        <f t="shared" si="6"/>
        <v/>
      </c>
      <c r="M20" s="1" t="str">
        <f t="shared" si="7"/>
        <v/>
      </c>
      <c r="N20" s="1" t="str">
        <f t="shared" si="8"/>
        <v/>
      </c>
      <c r="O20" s="1" t="str">
        <f t="shared" si="9"/>
        <v/>
      </c>
      <c r="P20" s="1" t="str">
        <f t="shared" si="10"/>
        <v/>
      </c>
      <c r="R20" s="1" t="str">
        <f t="shared" si="11"/>
        <v/>
      </c>
    </row>
    <row r="21" spans="1:18" x14ac:dyDescent="0.2">
      <c r="A21" t="str">
        <f>IF(COUNTBLANK(B21:R21)&lt;&gt;COLUMNS(B21:R21),20,"")</f>
        <v/>
      </c>
      <c r="D21" s="1" t="str">
        <f t="shared" si="0"/>
        <v/>
      </c>
      <c r="E21" s="2" t="str">
        <f t="shared" si="1"/>
        <v/>
      </c>
      <c r="F21" s="1" t="str">
        <f t="shared" si="2"/>
        <v/>
      </c>
      <c r="G21" s="1" t="str">
        <f t="shared" si="3"/>
        <v/>
      </c>
      <c r="H21" s="1" t="str">
        <f t="shared" si="4"/>
        <v/>
      </c>
      <c r="K21" s="1" t="str">
        <f t="shared" si="5"/>
        <v/>
      </c>
      <c r="L21" s="1" t="str">
        <f t="shared" si="6"/>
        <v/>
      </c>
      <c r="M21" s="1" t="str">
        <f t="shared" si="7"/>
        <v/>
      </c>
      <c r="N21" s="1" t="str">
        <f t="shared" si="8"/>
        <v/>
      </c>
      <c r="O21" s="1" t="str">
        <f t="shared" si="9"/>
        <v/>
      </c>
      <c r="P21" s="1" t="str">
        <f t="shared" si="10"/>
        <v/>
      </c>
      <c r="R21" s="1" t="str">
        <f t="shared" si="11"/>
        <v/>
      </c>
    </row>
    <row r="22" spans="1:18" x14ac:dyDescent="0.2">
      <c r="A22" t="str">
        <f>IF(COUNTBLANK(B22:R22)&lt;&gt;COLUMNS(B22:R22),21,"")</f>
        <v/>
      </c>
      <c r="D22" s="1" t="str">
        <f t="shared" si="0"/>
        <v/>
      </c>
      <c r="E22" s="2" t="str">
        <f t="shared" si="1"/>
        <v/>
      </c>
      <c r="F22" s="1" t="str">
        <f t="shared" si="2"/>
        <v/>
      </c>
      <c r="G22" s="1" t="str">
        <f t="shared" si="3"/>
        <v/>
      </c>
      <c r="H22" s="1" t="str">
        <f t="shared" si="4"/>
        <v/>
      </c>
      <c r="K22" s="1" t="str">
        <f t="shared" si="5"/>
        <v/>
      </c>
      <c r="L22" s="1" t="str">
        <f t="shared" si="6"/>
        <v/>
      </c>
      <c r="M22" s="1" t="str">
        <f t="shared" si="7"/>
        <v/>
      </c>
      <c r="N22" s="1" t="str">
        <f t="shared" si="8"/>
        <v/>
      </c>
      <c r="O22" s="1" t="str">
        <f t="shared" si="9"/>
        <v/>
      </c>
      <c r="P22" s="1" t="str">
        <f t="shared" si="10"/>
        <v/>
      </c>
      <c r="R22" s="1" t="str">
        <f t="shared" si="11"/>
        <v/>
      </c>
    </row>
    <row r="23" spans="1:18" x14ac:dyDescent="0.2">
      <c r="A23" t="str">
        <f>IF(COUNTBLANK(B23:R23)&lt;&gt;COLUMNS(B23:R23),22,"")</f>
        <v/>
      </c>
      <c r="D23" s="1" t="str">
        <f t="shared" si="0"/>
        <v/>
      </c>
      <c r="E23" s="2" t="str">
        <f t="shared" si="1"/>
        <v/>
      </c>
      <c r="F23" s="1" t="str">
        <f t="shared" si="2"/>
        <v/>
      </c>
      <c r="G23" s="1" t="str">
        <f t="shared" si="3"/>
        <v/>
      </c>
      <c r="H23" s="1" t="str">
        <f t="shared" si="4"/>
        <v/>
      </c>
      <c r="K23" s="1" t="str">
        <f t="shared" si="5"/>
        <v/>
      </c>
      <c r="L23" s="1" t="str">
        <f t="shared" si="6"/>
        <v/>
      </c>
      <c r="M23" s="1" t="str">
        <f t="shared" si="7"/>
        <v/>
      </c>
      <c r="N23" s="1" t="str">
        <f t="shared" si="8"/>
        <v/>
      </c>
      <c r="O23" s="1" t="str">
        <f t="shared" si="9"/>
        <v/>
      </c>
      <c r="P23" s="1" t="str">
        <f t="shared" si="10"/>
        <v/>
      </c>
      <c r="R23" s="1" t="str">
        <f t="shared" si="11"/>
        <v/>
      </c>
    </row>
    <row r="24" spans="1:18" x14ac:dyDescent="0.2">
      <c r="A24" t="str">
        <f>IF(COUNTBLANK(B24:R24)&lt;&gt;COLUMNS(B24:R24),23,"")</f>
        <v/>
      </c>
      <c r="D24" s="1" t="str">
        <f t="shared" si="0"/>
        <v/>
      </c>
      <c r="E24" s="2" t="str">
        <f t="shared" si="1"/>
        <v/>
      </c>
      <c r="F24" s="1" t="str">
        <f t="shared" si="2"/>
        <v/>
      </c>
      <c r="G24" s="1" t="str">
        <f t="shared" si="3"/>
        <v/>
      </c>
      <c r="H24" s="1" t="str">
        <f t="shared" si="4"/>
        <v/>
      </c>
      <c r="K24" s="1" t="str">
        <f t="shared" si="5"/>
        <v/>
      </c>
      <c r="L24" s="1" t="str">
        <f t="shared" si="6"/>
        <v/>
      </c>
      <c r="M24" s="1" t="str">
        <f t="shared" si="7"/>
        <v/>
      </c>
      <c r="N24" s="1" t="str">
        <f t="shared" si="8"/>
        <v/>
      </c>
      <c r="O24" s="1" t="str">
        <f t="shared" si="9"/>
        <v/>
      </c>
      <c r="P24" s="1" t="str">
        <f t="shared" si="10"/>
        <v/>
      </c>
      <c r="R24" s="1" t="str">
        <f t="shared" si="11"/>
        <v/>
      </c>
    </row>
    <row r="25" spans="1:18" x14ac:dyDescent="0.2">
      <c r="A25" t="str">
        <f>IF(COUNTBLANK(B25:R25)&lt;&gt;COLUMNS(B25:R25),24,"")</f>
        <v/>
      </c>
      <c r="D25" s="1" t="str">
        <f t="shared" si="0"/>
        <v/>
      </c>
      <c r="E25" s="2" t="str">
        <f t="shared" si="1"/>
        <v/>
      </c>
      <c r="F25" s="1" t="str">
        <f t="shared" si="2"/>
        <v/>
      </c>
      <c r="G25" s="1" t="str">
        <f t="shared" si="3"/>
        <v/>
      </c>
      <c r="H25" s="1" t="str">
        <f t="shared" si="4"/>
        <v/>
      </c>
      <c r="K25" s="1" t="str">
        <f t="shared" si="5"/>
        <v/>
      </c>
      <c r="L25" s="1" t="str">
        <f t="shared" si="6"/>
        <v/>
      </c>
      <c r="M25" s="1" t="str">
        <f t="shared" si="7"/>
        <v/>
      </c>
      <c r="N25" s="1" t="str">
        <f t="shared" si="8"/>
        <v/>
      </c>
      <c r="O25" s="1" t="str">
        <f t="shared" si="9"/>
        <v/>
      </c>
      <c r="P25" s="1" t="str">
        <f t="shared" si="10"/>
        <v/>
      </c>
      <c r="R25" s="1" t="str">
        <f t="shared" si="11"/>
        <v/>
      </c>
    </row>
    <row r="26" spans="1:18" x14ac:dyDescent="0.2">
      <c r="A26" t="str">
        <f>IF(COUNTBLANK(B26:R26)&lt;&gt;COLUMNS(B26:R26),25,"")</f>
        <v/>
      </c>
      <c r="D26" s="1" t="str">
        <f t="shared" si="0"/>
        <v/>
      </c>
      <c r="E26" s="2" t="str">
        <f t="shared" si="1"/>
        <v/>
      </c>
      <c r="F26" s="1" t="str">
        <f t="shared" si="2"/>
        <v/>
      </c>
      <c r="G26" s="1" t="str">
        <f t="shared" si="3"/>
        <v/>
      </c>
      <c r="H26" s="1" t="str">
        <f t="shared" si="4"/>
        <v/>
      </c>
      <c r="K26" s="1" t="str">
        <f t="shared" si="5"/>
        <v/>
      </c>
      <c r="L26" s="1" t="str">
        <f t="shared" si="6"/>
        <v/>
      </c>
      <c r="M26" s="1" t="str">
        <f t="shared" si="7"/>
        <v/>
      </c>
      <c r="N26" s="1" t="str">
        <f t="shared" si="8"/>
        <v/>
      </c>
      <c r="O26" s="1" t="str">
        <f t="shared" si="9"/>
        <v/>
      </c>
      <c r="P26" s="1" t="str">
        <f t="shared" si="10"/>
        <v/>
      </c>
      <c r="R26" s="1" t="str">
        <f t="shared" si="11"/>
        <v/>
      </c>
    </row>
    <row r="27" spans="1:18" x14ac:dyDescent="0.2">
      <c r="A27" t="str">
        <f>IF(COUNTBLANK(B27:R27)&lt;&gt;COLUMNS(B27:R27),26,"")</f>
        <v/>
      </c>
      <c r="D27" s="1" t="str">
        <f t="shared" si="0"/>
        <v/>
      </c>
      <c r="E27" s="2" t="str">
        <f t="shared" si="1"/>
        <v/>
      </c>
      <c r="F27" s="1" t="str">
        <f t="shared" si="2"/>
        <v/>
      </c>
      <c r="G27" s="1" t="str">
        <f t="shared" si="3"/>
        <v/>
      </c>
      <c r="H27" s="1" t="str">
        <f t="shared" si="4"/>
        <v/>
      </c>
      <c r="K27" s="1" t="str">
        <f t="shared" si="5"/>
        <v/>
      </c>
      <c r="L27" s="1" t="str">
        <f t="shared" si="6"/>
        <v/>
      </c>
      <c r="M27" s="1" t="str">
        <f t="shared" si="7"/>
        <v/>
      </c>
      <c r="N27" s="1" t="str">
        <f t="shared" si="8"/>
        <v/>
      </c>
      <c r="O27" s="1" t="str">
        <f t="shared" si="9"/>
        <v/>
      </c>
      <c r="P27" s="1" t="str">
        <f t="shared" si="10"/>
        <v/>
      </c>
      <c r="R27" s="1" t="str">
        <f t="shared" si="11"/>
        <v/>
      </c>
    </row>
    <row r="28" spans="1:18" x14ac:dyDescent="0.2">
      <c r="A28" t="str">
        <f>IF(COUNTBLANK(B28:R28)&lt;&gt;COLUMNS(B28:R28),27,"")</f>
        <v/>
      </c>
      <c r="D28" s="1" t="str">
        <f t="shared" si="0"/>
        <v/>
      </c>
      <c r="E28" s="2" t="str">
        <f t="shared" si="1"/>
        <v/>
      </c>
      <c r="F28" s="1" t="str">
        <f t="shared" si="2"/>
        <v/>
      </c>
      <c r="G28" s="1" t="str">
        <f t="shared" si="3"/>
        <v/>
      </c>
      <c r="H28" s="1" t="str">
        <f t="shared" si="4"/>
        <v/>
      </c>
      <c r="K28" s="1" t="str">
        <f t="shared" si="5"/>
        <v/>
      </c>
      <c r="L28" s="1" t="str">
        <f t="shared" si="6"/>
        <v/>
      </c>
      <c r="M28" s="1" t="str">
        <f t="shared" si="7"/>
        <v/>
      </c>
      <c r="N28" s="1" t="str">
        <f t="shared" si="8"/>
        <v/>
      </c>
      <c r="O28" s="1" t="str">
        <f t="shared" si="9"/>
        <v/>
      </c>
      <c r="P28" s="1" t="str">
        <f t="shared" si="10"/>
        <v/>
      </c>
      <c r="R28" s="1" t="str">
        <f t="shared" si="11"/>
        <v/>
      </c>
    </row>
    <row r="29" spans="1:18" x14ac:dyDescent="0.2">
      <c r="A29" t="str">
        <f>IF(COUNTBLANK(B29:R29)&lt;&gt;COLUMNS(B29:R29),28,"")</f>
        <v/>
      </c>
      <c r="D29" s="1" t="str">
        <f t="shared" si="0"/>
        <v/>
      </c>
      <c r="E29" s="2" t="str">
        <f t="shared" si="1"/>
        <v/>
      </c>
      <c r="F29" s="1" t="str">
        <f t="shared" si="2"/>
        <v/>
      </c>
      <c r="G29" s="1" t="str">
        <f t="shared" si="3"/>
        <v/>
      </c>
      <c r="H29" s="1" t="str">
        <f t="shared" si="4"/>
        <v/>
      </c>
      <c r="K29" s="1" t="str">
        <f t="shared" si="5"/>
        <v/>
      </c>
      <c r="L29" s="1" t="str">
        <f t="shared" si="6"/>
        <v/>
      </c>
      <c r="M29" s="1" t="str">
        <f t="shared" si="7"/>
        <v/>
      </c>
      <c r="N29" s="1" t="str">
        <f t="shared" si="8"/>
        <v/>
      </c>
      <c r="O29" s="1" t="str">
        <f t="shared" si="9"/>
        <v/>
      </c>
      <c r="P29" s="1" t="str">
        <f t="shared" si="10"/>
        <v/>
      </c>
      <c r="R29" s="1" t="str">
        <f t="shared" si="11"/>
        <v/>
      </c>
    </row>
    <row r="30" spans="1:18" x14ac:dyDescent="0.2">
      <c r="A30" t="str">
        <f>IF(COUNTBLANK(B30:R30)&lt;&gt;COLUMNS(B30:R30),29,"")</f>
        <v/>
      </c>
      <c r="D30" s="1" t="str">
        <f t="shared" si="0"/>
        <v/>
      </c>
      <c r="E30" s="2" t="str">
        <f t="shared" si="1"/>
        <v/>
      </c>
      <c r="F30" s="1" t="str">
        <f t="shared" si="2"/>
        <v/>
      </c>
      <c r="G30" s="1" t="str">
        <f t="shared" si="3"/>
        <v/>
      </c>
      <c r="H30" s="1" t="str">
        <f t="shared" si="4"/>
        <v/>
      </c>
      <c r="K30" s="1" t="str">
        <f t="shared" si="5"/>
        <v/>
      </c>
      <c r="L30" s="1" t="str">
        <f t="shared" si="6"/>
        <v/>
      </c>
      <c r="M30" s="1" t="str">
        <f t="shared" si="7"/>
        <v/>
      </c>
      <c r="N30" s="1" t="str">
        <f t="shared" si="8"/>
        <v/>
      </c>
      <c r="O30" s="1" t="str">
        <f t="shared" si="9"/>
        <v/>
      </c>
      <c r="P30" s="1" t="str">
        <f t="shared" si="10"/>
        <v/>
      </c>
      <c r="R30" s="1" t="str">
        <f t="shared" si="11"/>
        <v/>
      </c>
    </row>
    <row r="31" spans="1:18" x14ac:dyDescent="0.2">
      <c r="A31" t="str">
        <f>IF(COUNTBLANK(B31:R31)&lt;&gt;COLUMNS(B31:R31),30,"")</f>
        <v/>
      </c>
      <c r="D31" s="1" t="str">
        <f t="shared" si="0"/>
        <v/>
      </c>
      <c r="E31" s="2" t="str">
        <f t="shared" si="1"/>
        <v/>
      </c>
      <c r="F31" s="1" t="str">
        <f t="shared" si="2"/>
        <v/>
      </c>
      <c r="G31" s="1" t="str">
        <f t="shared" si="3"/>
        <v/>
      </c>
      <c r="H31" s="1" t="str">
        <f t="shared" si="4"/>
        <v/>
      </c>
      <c r="K31" s="1" t="str">
        <f t="shared" si="5"/>
        <v/>
      </c>
      <c r="L31" s="1" t="str">
        <f t="shared" si="6"/>
        <v/>
      </c>
      <c r="M31" s="1" t="str">
        <f t="shared" si="7"/>
        <v/>
      </c>
      <c r="N31" s="1" t="str">
        <f t="shared" si="8"/>
        <v/>
      </c>
      <c r="O31" s="1" t="str">
        <f t="shared" si="9"/>
        <v/>
      </c>
      <c r="P31" s="1" t="str">
        <f t="shared" si="10"/>
        <v/>
      </c>
      <c r="R31" s="1" t="str">
        <f t="shared" si="11"/>
        <v/>
      </c>
    </row>
    <row r="32" spans="1:18" x14ac:dyDescent="0.2">
      <c r="A32" t="str">
        <f>IF(COUNTBLANK(B32:R32)&lt;&gt;COLUMNS(B32:R32),31,"")</f>
        <v/>
      </c>
      <c r="D32" s="1" t="str">
        <f t="shared" si="0"/>
        <v/>
      </c>
      <c r="E32" s="2" t="str">
        <f t="shared" si="1"/>
        <v/>
      </c>
      <c r="F32" s="1" t="str">
        <f t="shared" si="2"/>
        <v/>
      </c>
      <c r="G32" s="1" t="str">
        <f t="shared" si="3"/>
        <v/>
      </c>
      <c r="H32" s="1" t="str">
        <f t="shared" si="4"/>
        <v/>
      </c>
      <c r="K32" s="1" t="str">
        <f t="shared" si="5"/>
        <v/>
      </c>
      <c r="L32" s="1" t="str">
        <f t="shared" si="6"/>
        <v/>
      </c>
      <c r="M32" s="1" t="str">
        <f t="shared" si="7"/>
        <v/>
      </c>
      <c r="N32" s="1" t="str">
        <f t="shared" si="8"/>
        <v/>
      </c>
      <c r="O32" s="1" t="str">
        <f t="shared" si="9"/>
        <v/>
      </c>
      <c r="P32" s="1" t="str">
        <f t="shared" si="10"/>
        <v/>
      </c>
      <c r="R32" s="1" t="str">
        <f t="shared" si="11"/>
        <v/>
      </c>
    </row>
    <row r="33" spans="1:18" x14ac:dyDescent="0.2">
      <c r="A33" t="str">
        <f>IF(COUNTBLANK(B33:R33)&lt;&gt;COLUMNS(B33:R33),32,"")</f>
        <v/>
      </c>
      <c r="D33" s="1" t="str">
        <f t="shared" si="0"/>
        <v/>
      </c>
      <c r="E33" s="2" t="str">
        <f t="shared" si="1"/>
        <v/>
      </c>
      <c r="F33" s="1" t="str">
        <f t="shared" si="2"/>
        <v/>
      </c>
      <c r="G33" s="1" t="str">
        <f t="shared" si="3"/>
        <v/>
      </c>
      <c r="H33" s="1" t="str">
        <f t="shared" si="4"/>
        <v/>
      </c>
      <c r="K33" s="1" t="str">
        <f t="shared" si="5"/>
        <v/>
      </c>
      <c r="L33" s="1" t="str">
        <f t="shared" si="6"/>
        <v/>
      </c>
      <c r="M33" s="1" t="str">
        <f t="shared" si="7"/>
        <v/>
      </c>
      <c r="N33" s="1" t="str">
        <f t="shared" si="8"/>
        <v/>
      </c>
      <c r="O33" s="1" t="str">
        <f t="shared" si="9"/>
        <v/>
      </c>
      <c r="P33" s="1" t="str">
        <f t="shared" si="10"/>
        <v/>
      </c>
      <c r="R33" s="1" t="str">
        <f t="shared" si="11"/>
        <v/>
      </c>
    </row>
    <row r="34" spans="1:18" x14ac:dyDescent="0.2">
      <c r="A34" t="str">
        <f>IF(COUNTBLANK(B34:R34)&lt;&gt;COLUMNS(B34:R34),33,"")</f>
        <v/>
      </c>
      <c r="D34" s="1" t="str">
        <f t="shared" si="0"/>
        <v/>
      </c>
      <c r="E34" s="2" t="str">
        <f t="shared" si="1"/>
        <v/>
      </c>
      <c r="F34" s="1" t="str">
        <f t="shared" si="2"/>
        <v/>
      </c>
      <c r="G34" s="1" t="str">
        <f t="shared" si="3"/>
        <v/>
      </c>
      <c r="H34" s="1" t="str">
        <f t="shared" si="4"/>
        <v/>
      </c>
      <c r="K34" s="1" t="str">
        <f t="shared" si="5"/>
        <v/>
      </c>
      <c r="L34" s="1" t="str">
        <f t="shared" si="6"/>
        <v/>
      </c>
      <c r="M34" s="1" t="str">
        <f t="shared" si="7"/>
        <v/>
      </c>
      <c r="N34" s="1" t="str">
        <f t="shared" si="8"/>
        <v/>
      </c>
      <c r="O34" s="1" t="str">
        <f t="shared" si="9"/>
        <v/>
      </c>
      <c r="P34" s="1" t="str">
        <f t="shared" si="10"/>
        <v/>
      </c>
      <c r="R34" s="1" t="str">
        <f t="shared" si="11"/>
        <v/>
      </c>
    </row>
    <row r="35" spans="1:18" x14ac:dyDescent="0.2">
      <c r="A35" t="str">
        <f>IF(COUNTBLANK(B35:R35)&lt;&gt;COLUMNS(B35:R35),34,"")</f>
        <v/>
      </c>
      <c r="D35" s="1" t="str">
        <f t="shared" si="0"/>
        <v/>
      </c>
      <c r="E35" s="2" t="str">
        <f t="shared" si="1"/>
        <v/>
      </c>
      <c r="F35" s="1" t="str">
        <f t="shared" si="2"/>
        <v/>
      </c>
      <c r="G35" s="1" t="str">
        <f t="shared" si="3"/>
        <v/>
      </c>
      <c r="H35" s="1" t="str">
        <f t="shared" si="4"/>
        <v/>
      </c>
      <c r="K35" s="1" t="str">
        <f t="shared" si="5"/>
        <v/>
      </c>
      <c r="L35" s="1" t="str">
        <f t="shared" si="6"/>
        <v/>
      </c>
      <c r="M35" s="1" t="str">
        <f t="shared" si="7"/>
        <v/>
      </c>
      <c r="N35" s="1" t="str">
        <f t="shared" si="8"/>
        <v/>
      </c>
      <c r="O35" s="1" t="str">
        <f t="shared" si="9"/>
        <v/>
      </c>
      <c r="P35" s="1" t="str">
        <f t="shared" si="10"/>
        <v/>
      </c>
      <c r="R35" s="1" t="str">
        <f t="shared" si="11"/>
        <v/>
      </c>
    </row>
    <row r="36" spans="1:18" x14ac:dyDescent="0.2">
      <c r="A36" t="str">
        <f>IF(COUNTBLANK(B36:R36)&lt;&gt;COLUMNS(B36:R36),35,"")</f>
        <v/>
      </c>
      <c r="D36" s="1" t="str">
        <f t="shared" si="0"/>
        <v/>
      </c>
      <c r="E36" s="2" t="str">
        <f t="shared" si="1"/>
        <v/>
      </c>
      <c r="F36" s="1" t="str">
        <f t="shared" si="2"/>
        <v/>
      </c>
      <c r="G36" s="1" t="str">
        <f t="shared" si="3"/>
        <v/>
      </c>
      <c r="H36" s="1" t="str">
        <f t="shared" si="4"/>
        <v/>
      </c>
      <c r="K36" s="1" t="str">
        <f t="shared" si="5"/>
        <v/>
      </c>
      <c r="L36" s="1" t="str">
        <f t="shared" si="6"/>
        <v/>
      </c>
      <c r="M36" s="1" t="str">
        <f t="shared" si="7"/>
        <v/>
      </c>
      <c r="N36" s="1" t="str">
        <f t="shared" si="8"/>
        <v/>
      </c>
      <c r="O36" s="1" t="str">
        <f t="shared" si="9"/>
        <v/>
      </c>
      <c r="P36" s="1" t="str">
        <f t="shared" si="10"/>
        <v/>
      </c>
      <c r="R36" s="1" t="str">
        <f t="shared" si="11"/>
        <v/>
      </c>
    </row>
    <row r="37" spans="1:18" x14ac:dyDescent="0.2">
      <c r="A37" t="str">
        <f>IF(COUNTBLANK(B37:R37)&lt;&gt;COLUMNS(B37:R37),36,"")</f>
        <v/>
      </c>
      <c r="D37" s="1" t="str">
        <f t="shared" si="0"/>
        <v/>
      </c>
      <c r="E37" s="2" t="str">
        <f t="shared" si="1"/>
        <v/>
      </c>
      <c r="F37" s="1" t="str">
        <f t="shared" si="2"/>
        <v/>
      </c>
      <c r="G37" s="1" t="str">
        <f t="shared" si="3"/>
        <v/>
      </c>
      <c r="H37" s="1" t="str">
        <f t="shared" si="4"/>
        <v/>
      </c>
      <c r="K37" s="1" t="str">
        <f t="shared" si="5"/>
        <v/>
      </c>
      <c r="L37" s="1" t="str">
        <f t="shared" si="6"/>
        <v/>
      </c>
      <c r="M37" s="1" t="str">
        <f t="shared" si="7"/>
        <v/>
      </c>
      <c r="N37" s="1" t="str">
        <f t="shared" si="8"/>
        <v/>
      </c>
      <c r="O37" s="1" t="str">
        <f t="shared" si="9"/>
        <v/>
      </c>
      <c r="P37" s="1" t="str">
        <f t="shared" si="10"/>
        <v/>
      </c>
      <c r="R37" s="1" t="str">
        <f t="shared" si="11"/>
        <v/>
      </c>
    </row>
    <row r="38" spans="1:18" x14ac:dyDescent="0.2">
      <c r="A38" t="str">
        <f>IF(COUNTBLANK(B38:R38)&lt;&gt;COLUMNS(B38:R38),37,"")</f>
        <v/>
      </c>
      <c r="D38" s="1" t="str">
        <f t="shared" si="0"/>
        <v/>
      </c>
      <c r="E38" s="2" t="str">
        <f t="shared" si="1"/>
        <v/>
      </c>
      <c r="F38" s="1" t="str">
        <f t="shared" si="2"/>
        <v/>
      </c>
      <c r="G38" s="1" t="str">
        <f t="shared" si="3"/>
        <v/>
      </c>
      <c r="H38" s="1" t="str">
        <f t="shared" si="4"/>
        <v/>
      </c>
      <c r="K38" s="1" t="str">
        <f t="shared" si="5"/>
        <v/>
      </c>
      <c r="L38" s="1" t="str">
        <f t="shared" si="6"/>
        <v/>
      </c>
      <c r="M38" s="1" t="str">
        <f t="shared" si="7"/>
        <v/>
      </c>
      <c r="N38" s="1" t="str">
        <f t="shared" si="8"/>
        <v/>
      </c>
      <c r="O38" s="1" t="str">
        <f t="shared" si="9"/>
        <v/>
      </c>
      <c r="P38" s="1" t="str">
        <f t="shared" si="10"/>
        <v/>
      </c>
      <c r="R38" s="1" t="str">
        <f t="shared" si="11"/>
        <v/>
      </c>
    </row>
    <row r="39" spans="1:18" x14ac:dyDescent="0.2">
      <c r="A39" t="str">
        <f>IF(COUNTBLANK(B39:R39)&lt;&gt;COLUMNS(B39:R39),38,"")</f>
        <v/>
      </c>
      <c r="D39" s="1" t="str">
        <f t="shared" si="0"/>
        <v/>
      </c>
      <c r="E39" s="2" t="str">
        <f t="shared" si="1"/>
        <v/>
      </c>
      <c r="F39" s="1" t="str">
        <f t="shared" si="2"/>
        <v/>
      </c>
      <c r="G39" s="1" t="str">
        <f t="shared" si="3"/>
        <v/>
      </c>
      <c r="H39" s="1" t="str">
        <f t="shared" si="4"/>
        <v/>
      </c>
      <c r="K39" s="1" t="str">
        <f t="shared" si="5"/>
        <v/>
      </c>
      <c r="L39" s="1" t="str">
        <f t="shared" si="6"/>
        <v/>
      </c>
      <c r="M39" s="1" t="str">
        <f t="shared" si="7"/>
        <v/>
      </c>
      <c r="N39" s="1" t="str">
        <f t="shared" si="8"/>
        <v/>
      </c>
      <c r="O39" s="1" t="str">
        <f t="shared" si="9"/>
        <v/>
      </c>
      <c r="P39" s="1" t="str">
        <f t="shared" si="10"/>
        <v/>
      </c>
      <c r="R39" s="1" t="str">
        <f t="shared" si="11"/>
        <v/>
      </c>
    </row>
    <row r="40" spans="1:18" x14ac:dyDescent="0.2">
      <c r="A40" t="str">
        <f>IF(COUNTBLANK(B40:R40)&lt;&gt;COLUMNS(B40:R40),39,"")</f>
        <v/>
      </c>
      <c r="D40" s="1" t="str">
        <f t="shared" si="0"/>
        <v/>
      </c>
      <c r="E40" s="2" t="str">
        <f t="shared" si="1"/>
        <v/>
      </c>
      <c r="F40" s="1" t="str">
        <f t="shared" si="2"/>
        <v/>
      </c>
      <c r="G40" s="1" t="str">
        <f t="shared" si="3"/>
        <v/>
      </c>
      <c r="H40" s="1" t="str">
        <f t="shared" si="4"/>
        <v/>
      </c>
      <c r="K40" s="1" t="str">
        <f t="shared" si="5"/>
        <v/>
      </c>
      <c r="L40" s="1" t="str">
        <f t="shared" si="6"/>
        <v/>
      </c>
      <c r="M40" s="1" t="str">
        <f t="shared" si="7"/>
        <v/>
      </c>
      <c r="N40" s="1" t="str">
        <f t="shared" si="8"/>
        <v/>
      </c>
      <c r="O40" s="1" t="str">
        <f t="shared" si="9"/>
        <v/>
      </c>
      <c r="P40" s="1" t="str">
        <f t="shared" si="10"/>
        <v/>
      </c>
      <c r="R40" s="1" t="str">
        <f t="shared" si="11"/>
        <v/>
      </c>
    </row>
    <row r="41" spans="1:18" x14ac:dyDescent="0.2">
      <c r="A41" t="str">
        <f>IF(COUNTBLANK(B41:R41)&lt;&gt;COLUMNS(B41:R41),40,"")</f>
        <v/>
      </c>
      <c r="D41" s="1" t="str">
        <f t="shared" si="0"/>
        <v/>
      </c>
      <c r="E41" s="2" t="str">
        <f t="shared" si="1"/>
        <v/>
      </c>
      <c r="F41" s="1" t="str">
        <f t="shared" si="2"/>
        <v/>
      </c>
      <c r="G41" s="1" t="str">
        <f t="shared" si="3"/>
        <v/>
      </c>
      <c r="H41" s="1" t="str">
        <f t="shared" si="4"/>
        <v/>
      </c>
      <c r="K41" s="1" t="str">
        <f t="shared" si="5"/>
        <v/>
      </c>
      <c r="L41" s="1" t="str">
        <f t="shared" si="6"/>
        <v/>
      </c>
      <c r="M41" s="1" t="str">
        <f t="shared" si="7"/>
        <v/>
      </c>
      <c r="N41" s="1" t="str">
        <f t="shared" si="8"/>
        <v/>
      </c>
      <c r="O41" s="1" t="str">
        <f t="shared" si="9"/>
        <v/>
      </c>
      <c r="P41" s="1" t="str">
        <f t="shared" si="10"/>
        <v/>
      </c>
      <c r="R41" s="1" t="str">
        <f t="shared" si="11"/>
        <v/>
      </c>
    </row>
    <row r="42" spans="1:18" x14ac:dyDescent="0.2">
      <c r="A42" t="str">
        <f>IF(COUNTBLANK(B42:R42)&lt;&gt;COLUMNS(B42:R42),41,"")</f>
        <v/>
      </c>
      <c r="D42" s="1" t="str">
        <f t="shared" si="0"/>
        <v/>
      </c>
      <c r="E42" s="2" t="str">
        <f t="shared" si="1"/>
        <v/>
      </c>
      <c r="F42" s="1" t="str">
        <f t="shared" si="2"/>
        <v/>
      </c>
      <c r="G42" s="1" t="str">
        <f t="shared" si="3"/>
        <v/>
      </c>
      <c r="H42" s="1" t="str">
        <f t="shared" si="4"/>
        <v/>
      </c>
      <c r="K42" s="1" t="str">
        <f t="shared" si="5"/>
        <v/>
      </c>
      <c r="L42" s="1" t="str">
        <f t="shared" si="6"/>
        <v/>
      </c>
      <c r="M42" s="1" t="str">
        <f t="shared" si="7"/>
        <v/>
      </c>
      <c r="N42" s="1" t="str">
        <f t="shared" si="8"/>
        <v/>
      </c>
      <c r="O42" s="1" t="str">
        <f t="shared" si="9"/>
        <v/>
      </c>
      <c r="P42" s="1" t="str">
        <f t="shared" si="10"/>
        <v/>
      </c>
      <c r="R42" s="1" t="str">
        <f t="shared" si="11"/>
        <v/>
      </c>
    </row>
    <row r="43" spans="1:18" x14ac:dyDescent="0.2">
      <c r="A43" t="str">
        <f>IF(COUNTBLANK(B43:R43)&lt;&gt;COLUMNS(B43:R43),42,"")</f>
        <v/>
      </c>
      <c r="D43" s="1" t="str">
        <f t="shared" si="0"/>
        <v/>
      </c>
      <c r="E43" s="2" t="str">
        <f t="shared" si="1"/>
        <v/>
      </c>
      <c r="F43" s="1" t="str">
        <f t="shared" si="2"/>
        <v/>
      </c>
      <c r="G43" s="1" t="str">
        <f t="shared" si="3"/>
        <v/>
      </c>
      <c r="H43" s="1" t="str">
        <f t="shared" si="4"/>
        <v/>
      </c>
      <c r="K43" s="1" t="str">
        <f t="shared" si="5"/>
        <v/>
      </c>
      <c r="L43" s="1" t="str">
        <f t="shared" si="6"/>
        <v/>
      </c>
      <c r="M43" s="1" t="str">
        <f t="shared" si="7"/>
        <v/>
      </c>
      <c r="N43" s="1" t="str">
        <f t="shared" si="8"/>
        <v/>
      </c>
      <c r="O43" s="1" t="str">
        <f t="shared" si="9"/>
        <v/>
      </c>
      <c r="P43" s="1" t="str">
        <f t="shared" si="10"/>
        <v/>
      </c>
      <c r="R43" s="1" t="str">
        <f t="shared" si="11"/>
        <v/>
      </c>
    </row>
    <row r="44" spans="1:18" x14ac:dyDescent="0.2">
      <c r="A44" t="str">
        <f>IF(COUNTBLANK(B44:R44)&lt;&gt;COLUMNS(B44:R44),43,"")</f>
        <v/>
      </c>
      <c r="D44" s="1" t="str">
        <f t="shared" si="0"/>
        <v/>
      </c>
      <c r="E44" s="2" t="str">
        <f t="shared" si="1"/>
        <v/>
      </c>
      <c r="F44" s="1" t="str">
        <f t="shared" si="2"/>
        <v/>
      </c>
      <c r="G44" s="1" t="str">
        <f t="shared" si="3"/>
        <v/>
      </c>
      <c r="H44" s="1" t="str">
        <f t="shared" si="4"/>
        <v/>
      </c>
      <c r="K44" s="1" t="str">
        <f t="shared" si="5"/>
        <v/>
      </c>
      <c r="L44" s="1" t="str">
        <f t="shared" si="6"/>
        <v/>
      </c>
      <c r="M44" s="1" t="str">
        <f t="shared" si="7"/>
        <v/>
      </c>
      <c r="N44" s="1" t="str">
        <f t="shared" si="8"/>
        <v/>
      </c>
      <c r="O44" s="1" t="str">
        <f t="shared" si="9"/>
        <v/>
      </c>
      <c r="P44" s="1" t="str">
        <f t="shared" si="10"/>
        <v/>
      </c>
      <c r="R44" s="1" t="str">
        <f t="shared" si="11"/>
        <v/>
      </c>
    </row>
    <row r="45" spans="1:18" x14ac:dyDescent="0.2">
      <c r="A45" t="str">
        <f>IF(COUNTBLANK(B45:R45)&lt;&gt;COLUMNS(B45:R45),44,"")</f>
        <v/>
      </c>
      <c r="D45" s="1" t="str">
        <f t="shared" si="0"/>
        <v/>
      </c>
      <c r="E45" s="2" t="str">
        <f t="shared" si="1"/>
        <v/>
      </c>
      <c r="F45" s="1" t="str">
        <f t="shared" si="2"/>
        <v/>
      </c>
      <c r="G45" s="1" t="str">
        <f t="shared" si="3"/>
        <v/>
      </c>
      <c r="H45" s="1" t="str">
        <f t="shared" si="4"/>
        <v/>
      </c>
      <c r="K45" s="1" t="str">
        <f t="shared" si="5"/>
        <v/>
      </c>
      <c r="L45" s="1" t="str">
        <f t="shared" si="6"/>
        <v/>
      </c>
      <c r="M45" s="1" t="str">
        <f t="shared" si="7"/>
        <v/>
      </c>
      <c r="N45" s="1" t="str">
        <f t="shared" si="8"/>
        <v/>
      </c>
      <c r="O45" s="1" t="str">
        <f t="shared" si="9"/>
        <v/>
      </c>
      <c r="P45" s="1" t="str">
        <f t="shared" si="10"/>
        <v/>
      </c>
      <c r="R45" s="1" t="str">
        <f t="shared" si="11"/>
        <v/>
      </c>
    </row>
    <row r="46" spans="1:18" x14ac:dyDescent="0.2">
      <c r="A46" t="str">
        <f>IF(COUNTBLANK(B46:R46)&lt;&gt;COLUMNS(B46:R46),45,"")</f>
        <v/>
      </c>
      <c r="D46" s="1" t="str">
        <f t="shared" si="0"/>
        <v/>
      </c>
      <c r="E46" s="2" t="str">
        <f t="shared" si="1"/>
        <v/>
      </c>
      <c r="F46" s="1" t="str">
        <f t="shared" si="2"/>
        <v/>
      </c>
      <c r="G46" s="1" t="str">
        <f t="shared" si="3"/>
        <v/>
      </c>
      <c r="H46" s="1" t="str">
        <f t="shared" si="4"/>
        <v/>
      </c>
      <c r="K46" s="1" t="str">
        <f t="shared" si="5"/>
        <v/>
      </c>
      <c r="L46" s="1" t="str">
        <f t="shared" si="6"/>
        <v/>
      </c>
      <c r="M46" s="1" t="str">
        <f t="shared" si="7"/>
        <v/>
      </c>
      <c r="N46" s="1" t="str">
        <f t="shared" si="8"/>
        <v/>
      </c>
      <c r="O46" s="1" t="str">
        <f t="shared" si="9"/>
        <v/>
      </c>
      <c r="P46" s="1" t="str">
        <f t="shared" si="10"/>
        <v/>
      </c>
      <c r="R46" s="1" t="str">
        <f t="shared" si="11"/>
        <v/>
      </c>
    </row>
    <row r="47" spans="1:18" x14ac:dyDescent="0.2">
      <c r="A47" t="str">
        <f>IF(COUNTBLANK(B47:R47)&lt;&gt;COLUMNS(B47:R47),46,"")</f>
        <v/>
      </c>
      <c r="D47" s="1" t="str">
        <f t="shared" si="0"/>
        <v/>
      </c>
      <c r="E47" s="2" t="str">
        <f t="shared" si="1"/>
        <v/>
      </c>
      <c r="F47" s="1" t="str">
        <f t="shared" si="2"/>
        <v/>
      </c>
      <c r="G47" s="1" t="str">
        <f t="shared" si="3"/>
        <v/>
      </c>
      <c r="H47" s="1" t="str">
        <f t="shared" si="4"/>
        <v/>
      </c>
      <c r="K47" s="1" t="str">
        <f t="shared" si="5"/>
        <v/>
      </c>
      <c r="L47" s="1" t="str">
        <f t="shared" si="6"/>
        <v/>
      </c>
      <c r="M47" s="1" t="str">
        <f t="shared" si="7"/>
        <v/>
      </c>
      <c r="N47" s="1" t="str">
        <f t="shared" si="8"/>
        <v/>
      </c>
      <c r="O47" s="1" t="str">
        <f t="shared" si="9"/>
        <v/>
      </c>
      <c r="P47" s="1" t="str">
        <f t="shared" si="10"/>
        <v/>
      </c>
      <c r="R47" s="1" t="str">
        <f t="shared" si="11"/>
        <v/>
      </c>
    </row>
    <row r="48" spans="1:18" x14ac:dyDescent="0.2">
      <c r="A48" t="str">
        <f>IF(COUNTBLANK(B48:R48)&lt;&gt;COLUMNS(B48:R48),47,"")</f>
        <v/>
      </c>
      <c r="D48" s="1" t="str">
        <f t="shared" si="0"/>
        <v/>
      </c>
      <c r="E48" s="2" t="str">
        <f t="shared" si="1"/>
        <v/>
      </c>
      <c r="F48" s="1" t="str">
        <f t="shared" si="2"/>
        <v/>
      </c>
      <c r="G48" s="1" t="str">
        <f t="shared" si="3"/>
        <v/>
      </c>
      <c r="H48" s="1" t="str">
        <f t="shared" si="4"/>
        <v/>
      </c>
      <c r="K48" s="1" t="str">
        <f t="shared" si="5"/>
        <v/>
      </c>
      <c r="L48" s="1" t="str">
        <f t="shared" si="6"/>
        <v/>
      </c>
      <c r="M48" s="1" t="str">
        <f t="shared" si="7"/>
        <v/>
      </c>
      <c r="N48" s="1" t="str">
        <f t="shared" si="8"/>
        <v/>
      </c>
      <c r="O48" s="1" t="str">
        <f t="shared" si="9"/>
        <v/>
      </c>
      <c r="P48" s="1" t="str">
        <f t="shared" si="10"/>
        <v/>
      </c>
      <c r="R48" s="1" t="str">
        <f t="shared" si="11"/>
        <v/>
      </c>
    </row>
    <row r="49" spans="1:18" x14ac:dyDescent="0.2">
      <c r="A49" t="str">
        <f>IF(COUNTBLANK(B49:R49)&lt;&gt;COLUMNS(B49:R49),48,"")</f>
        <v/>
      </c>
      <c r="D49" s="1" t="str">
        <f t="shared" si="0"/>
        <v/>
      </c>
      <c r="E49" s="2" t="str">
        <f t="shared" si="1"/>
        <v/>
      </c>
      <c r="F49" s="1" t="str">
        <f t="shared" si="2"/>
        <v/>
      </c>
      <c r="G49" s="1" t="str">
        <f t="shared" si="3"/>
        <v/>
      </c>
      <c r="H49" s="1" t="str">
        <f t="shared" si="4"/>
        <v/>
      </c>
      <c r="K49" s="1" t="str">
        <f t="shared" si="5"/>
        <v/>
      </c>
      <c r="L49" s="1" t="str">
        <f t="shared" si="6"/>
        <v/>
      </c>
      <c r="M49" s="1" t="str">
        <f t="shared" si="7"/>
        <v/>
      </c>
      <c r="N49" s="1" t="str">
        <f t="shared" si="8"/>
        <v/>
      </c>
      <c r="O49" s="1" t="str">
        <f t="shared" si="9"/>
        <v/>
      </c>
      <c r="P49" s="1" t="str">
        <f t="shared" si="10"/>
        <v/>
      </c>
      <c r="R49" s="1" t="str">
        <f t="shared" si="11"/>
        <v/>
      </c>
    </row>
    <row r="50" spans="1:18" x14ac:dyDescent="0.2">
      <c r="A50" t="str">
        <f>IF(COUNTBLANK(B50:R50)&lt;&gt;COLUMNS(B50:R50),49,"")</f>
        <v/>
      </c>
      <c r="D50" s="1" t="str">
        <f t="shared" si="0"/>
        <v/>
      </c>
      <c r="E50" s="2" t="str">
        <f t="shared" si="1"/>
        <v/>
      </c>
      <c r="F50" s="1" t="str">
        <f t="shared" si="2"/>
        <v/>
      </c>
      <c r="G50" s="1" t="str">
        <f t="shared" si="3"/>
        <v/>
      </c>
      <c r="H50" s="1" t="str">
        <f t="shared" si="4"/>
        <v/>
      </c>
      <c r="K50" s="1" t="str">
        <f t="shared" si="5"/>
        <v/>
      </c>
      <c r="L50" s="1" t="str">
        <f t="shared" si="6"/>
        <v/>
      </c>
      <c r="M50" s="1" t="str">
        <f t="shared" si="7"/>
        <v/>
      </c>
      <c r="N50" s="1" t="str">
        <f t="shared" si="8"/>
        <v/>
      </c>
      <c r="O50" s="1" t="str">
        <f t="shared" si="9"/>
        <v/>
      </c>
      <c r="P50" s="1" t="str">
        <f t="shared" si="10"/>
        <v/>
      </c>
      <c r="R50" s="1" t="str">
        <f t="shared" si="11"/>
        <v/>
      </c>
    </row>
    <row r="51" spans="1:18" x14ac:dyDescent="0.2">
      <c r="A51" t="str">
        <f>IF(COUNTBLANK(B51:R51)&lt;&gt;COLUMNS(B51:R51),50,"")</f>
        <v/>
      </c>
      <c r="D51" s="1" t="str">
        <f t="shared" si="0"/>
        <v/>
      </c>
      <c r="E51" s="2" t="str">
        <f t="shared" si="1"/>
        <v/>
      </c>
      <c r="F51" s="1" t="str">
        <f t="shared" si="2"/>
        <v/>
      </c>
      <c r="G51" s="1" t="str">
        <f t="shared" si="3"/>
        <v/>
      </c>
      <c r="H51" s="1" t="str">
        <f t="shared" si="4"/>
        <v/>
      </c>
      <c r="K51" s="1" t="str">
        <f t="shared" si="5"/>
        <v/>
      </c>
      <c r="L51" s="1" t="str">
        <f t="shared" si="6"/>
        <v/>
      </c>
      <c r="M51" s="1" t="str">
        <f t="shared" si="7"/>
        <v/>
      </c>
      <c r="N51" s="1" t="str">
        <f t="shared" si="8"/>
        <v/>
      </c>
      <c r="O51" s="1" t="str">
        <f t="shared" si="9"/>
        <v/>
      </c>
      <c r="P51" s="1" t="str">
        <f t="shared" si="10"/>
        <v/>
      </c>
      <c r="R51" s="1" t="str">
        <f t="shared" si="11"/>
        <v/>
      </c>
    </row>
    <row r="52" spans="1:18" x14ac:dyDescent="0.2">
      <c r="A52" t="str">
        <f>IF(COUNTBLANK(B52:R52)&lt;&gt;COLUMNS(B52:R52),51,"")</f>
        <v/>
      </c>
      <c r="D52" s="1" t="str">
        <f t="shared" si="0"/>
        <v/>
      </c>
      <c r="E52" s="2" t="str">
        <f t="shared" si="1"/>
        <v/>
      </c>
      <c r="F52" s="1" t="str">
        <f t="shared" si="2"/>
        <v/>
      </c>
      <c r="G52" s="1" t="str">
        <f t="shared" si="3"/>
        <v/>
      </c>
      <c r="H52" s="1" t="str">
        <f t="shared" si="4"/>
        <v/>
      </c>
      <c r="K52" s="1" t="str">
        <f t="shared" si="5"/>
        <v/>
      </c>
      <c r="L52" s="1" t="str">
        <f t="shared" si="6"/>
        <v/>
      </c>
      <c r="M52" s="1" t="str">
        <f t="shared" si="7"/>
        <v/>
      </c>
      <c r="N52" s="1" t="str">
        <f t="shared" si="8"/>
        <v/>
      </c>
      <c r="O52" s="1" t="str">
        <f t="shared" si="9"/>
        <v/>
      </c>
      <c r="P52" s="1" t="str">
        <f t="shared" si="10"/>
        <v/>
      </c>
      <c r="R52" s="1" t="str">
        <f t="shared" si="11"/>
        <v/>
      </c>
    </row>
    <row r="53" spans="1:18" x14ac:dyDescent="0.2">
      <c r="A53" t="str">
        <f>IF(COUNTBLANK(B53:R53)&lt;&gt;COLUMNS(B53:R53),52,"")</f>
        <v/>
      </c>
      <c r="D53" s="1" t="str">
        <f t="shared" si="0"/>
        <v/>
      </c>
      <c r="E53" s="2" t="str">
        <f t="shared" si="1"/>
        <v/>
      </c>
      <c r="F53" s="1" t="str">
        <f t="shared" si="2"/>
        <v/>
      </c>
      <c r="G53" s="1" t="str">
        <f t="shared" si="3"/>
        <v/>
      </c>
      <c r="H53" s="1" t="str">
        <f t="shared" si="4"/>
        <v/>
      </c>
      <c r="K53" s="1" t="str">
        <f t="shared" si="5"/>
        <v/>
      </c>
      <c r="L53" s="1" t="str">
        <f t="shared" si="6"/>
        <v/>
      </c>
      <c r="M53" s="1" t="str">
        <f t="shared" si="7"/>
        <v/>
      </c>
      <c r="N53" s="1" t="str">
        <f t="shared" si="8"/>
        <v/>
      </c>
      <c r="O53" s="1" t="str">
        <f t="shared" si="9"/>
        <v/>
      </c>
      <c r="P53" s="1" t="str">
        <f t="shared" si="10"/>
        <v/>
      </c>
      <c r="R53" s="1" t="str">
        <f t="shared" si="11"/>
        <v/>
      </c>
    </row>
    <row r="54" spans="1:18" x14ac:dyDescent="0.2">
      <c r="A54" t="str">
        <f>IF(COUNTBLANK(B54:R54)&lt;&gt;COLUMNS(B54:R54),53,"")</f>
        <v/>
      </c>
      <c r="D54" s="1" t="str">
        <f t="shared" si="0"/>
        <v/>
      </c>
      <c r="E54" s="2" t="str">
        <f t="shared" si="1"/>
        <v/>
      </c>
      <c r="F54" s="1" t="str">
        <f t="shared" si="2"/>
        <v/>
      </c>
      <c r="G54" s="1" t="str">
        <f t="shared" si="3"/>
        <v/>
      </c>
      <c r="H54" s="1" t="str">
        <f t="shared" si="4"/>
        <v/>
      </c>
      <c r="K54" s="1" t="str">
        <f t="shared" si="5"/>
        <v/>
      </c>
      <c r="L54" s="1" t="str">
        <f t="shared" si="6"/>
        <v/>
      </c>
      <c r="M54" s="1" t="str">
        <f t="shared" si="7"/>
        <v/>
      </c>
      <c r="N54" s="1" t="str">
        <f t="shared" si="8"/>
        <v/>
      </c>
      <c r="O54" s="1" t="str">
        <f t="shared" si="9"/>
        <v/>
      </c>
      <c r="P54" s="1" t="str">
        <f t="shared" si="10"/>
        <v/>
      </c>
      <c r="R54" s="1" t="str">
        <f t="shared" si="11"/>
        <v/>
      </c>
    </row>
    <row r="55" spans="1:18" x14ac:dyDescent="0.2">
      <c r="A55" t="str">
        <f>IF(COUNTBLANK(B55:R55)&lt;&gt;COLUMNS(B55:R55),54,"")</f>
        <v/>
      </c>
      <c r="D55" s="1" t="str">
        <f t="shared" si="0"/>
        <v/>
      </c>
      <c r="E55" s="2" t="str">
        <f t="shared" si="1"/>
        <v/>
      </c>
      <c r="F55" s="1" t="str">
        <f t="shared" si="2"/>
        <v/>
      </c>
      <c r="G55" s="1" t="str">
        <f t="shared" si="3"/>
        <v/>
      </c>
      <c r="H55" s="1" t="str">
        <f t="shared" si="4"/>
        <v/>
      </c>
      <c r="K55" s="1" t="str">
        <f t="shared" si="5"/>
        <v/>
      </c>
      <c r="L55" s="1" t="str">
        <f t="shared" si="6"/>
        <v/>
      </c>
      <c r="M55" s="1" t="str">
        <f t="shared" si="7"/>
        <v/>
      </c>
      <c r="N55" s="1" t="str">
        <f t="shared" si="8"/>
        <v/>
      </c>
      <c r="O55" s="1" t="str">
        <f t="shared" si="9"/>
        <v/>
      </c>
      <c r="P55" s="1" t="str">
        <f t="shared" si="10"/>
        <v/>
      </c>
      <c r="R55" s="1" t="str">
        <f t="shared" si="11"/>
        <v/>
      </c>
    </row>
    <row r="56" spans="1:18" x14ac:dyDescent="0.2">
      <c r="A56" t="str">
        <f>IF(COUNTBLANK(B56:R56)&lt;&gt;COLUMNS(B56:R56),55,"")</f>
        <v/>
      </c>
      <c r="D56" s="1" t="str">
        <f t="shared" si="0"/>
        <v/>
      </c>
      <c r="E56" s="2" t="str">
        <f t="shared" si="1"/>
        <v/>
      </c>
      <c r="F56" s="1" t="str">
        <f t="shared" si="2"/>
        <v/>
      </c>
      <c r="G56" s="1" t="str">
        <f t="shared" si="3"/>
        <v/>
      </c>
      <c r="H56" s="1" t="str">
        <f t="shared" si="4"/>
        <v/>
      </c>
      <c r="K56" s="1" t="str">
        <f t="shared" si="5"/>
        <v/>
      </c>
      <c r="L56" s="1" t="str">
        <f t="shared" si="6"/>
        <v/>
      </c>
      <c r="M56" s="1" t="str">
        <f t="shared" si="7"/>
        <v/>
      </c>
      <c r="N56" s="1" t="str">
        <f t="shared" si="8"/>
        <v/>
      </c>
      <c r="O56" s="1" t="str">
        <f t="shared" si="9"/>
        <v/>
      </c>
      <c r="P56" s="1" t="str">
        <f t="shared" si="10"/>
        <v/>
      </c>
      <c r="R56" s="1" t="str">
        <f t="shared" si="11"/>
        <v/>
      </c>
    </row>
    <row r="57" spans="1:18" x14ac:dyDescent="0.2">
      <c r="A57" t="str">
        <f>IF(COUNTBLANK(B57:R57)&lt;&gt;COLUMNS(B57:R57),56,"")</f>
        <v/>
      </c>
      <c r="D57" s="1" t="str">
        <f t="shared" si="0"/>
        <v/>
      </c>
      <c r="E57" s="2" t="str">
        <f t="shared" si="1"/>
        <v/>
      </c>
      <c r="F57" s="1" t="str">
        <f t="shared" si="2"/>
        <v/>
      </c>
      <c r="G57" s="1" t="str">
        <f t="shared" si="3"/>
        <v/>
      </c>
      <c r="H57" s="1" t="str">
        <f t="shared" si="4"/>
        <v/>
      </c>
      <c r="K57" s="1" t="str">
        <f t="shared" si="5"/>
        <v/>
      </c>
      <c r="L57" s="1" t="str">
        <f t="shared" si="6"/>
        <v/>
      </c>
      <c r="M57" s="1" t="str">
        <f t="shared" si="7"/>
        <v/>
      </c>
      <c r="N57" s="1" t="str">
        <f t="shared" si="8"/>
        <v/>
      </c>
      <c r="O57" s="1" t="str">
        <f t="shared" si="9"/>
        <v/>
      </c>
      <c r="P57" s="1" t="str">
        <f t="shared" si="10"/>
        <v/>
      </c>
      <c r="R57" s="1" t="str">
        <f t="shared" si="11"/>
        <v/>
      </c>
    </row>
    <row r="58" spans="1:18" x14ac:dyDescent="0.2">
      <c r="A58" t="str">
        <f>IF(COUNTBLANK(B58:R58)&lt;&gt;COLUMNS(B58:R58),57,"")</f>
        <v/>
      </c>
      <c r="D58" s="1" t="str">
        <f t="shared" si="0"/>
        <v/>
      </c>
      <c r="E58" s="2" t="str">
        <f t="shared" si="1"/>
        <v/>
      </c>
      <c r="F58" s="1" t="str">
        <f t="shared" si="2"/>
        <v/>
      </c>
      <c r="G58" s="1" t="str">
        <f t="shared" si="3"/>
        <v/>
      </c>
      <c r="H58" s="1" t="str">
        <f t="shared" si="4"/>
        <v/>
      </c>
      <c r="K58" s="1" t="str">
        <f t="shared" si="5"/>
        <v/>
      </c>
      <c r="L58" s="1" t="str">
        <f t="shared" si="6"/>
        <v/>
      </c>
      <c r="M58" s="1" t="str">
        <f t="shared" si="7"/>
        <v/>
      </c>
      <c r="N58" s="1" t="str">
        <f t="shared" si="8"/>
        <v/>
      </c>
      <c r="O58" s="1" t="str">
        <f t="shared" si="9"/>
        <v/>
      </c>
      <c r="P58" s="1" t="str">
        <f t="shared" si="10"/>
        <v/>
      </c>
      <c r="R58" s="1" t="str">
        <f t="shared" si="11"/>
        <v/>
      </c>
    </row>
    <row r="59" spans="1:18" x14ac:dyDescent="0.2">
      <c r="A59" t="str">
        <f>IF(COUNTBLANK(B59:R59)&lt;&gt;COLUMNS(B59:R59),58,"")</f>
        <v/>
      </c>
      <c r="D59" s="1" t="str">
        <f t="shared" si="0"/>
        <v/>
      </c>
      <c r="E59" s="2" t="str">
        <f t="shared" si="1"/>
        <v/>
      </c>
      <c r="F59" s="1" t="str">
        <f t="shared" si="2"/>
        <v/>
      </c>
      <c r="G59" s="1" t="str">
        <f t="shared" si="3"/>
        <v/>
      </c>
      <c r="H59" s="1" t="str">
        <f t="shared" si="4"/>
        <v/>
      </c>
      <c r="K59" s="1" t="str">
        <f t="shared" si="5"/>
        <v/>
      </c>
      <c r="L59" s="1" t="str">
        <f t="shared" si="6"/>
        <v/>
      </c>
      <c r="M59" s="1" t="str">
        <f t="shared" si="7"/>
        <v/>
      </c>
      <c r="N59" s="1" t="str">
        <f t="shared" si="8"/>
        <v/>
      </c>
      <c r="O59" s="1" t="str">
        <f t="shared" si="9"/>
        <v/>
      </c>
      <c r="P59" s="1" t="str">
        <f t="shared" si="10"/>
        <v/>
      </c>
      <c r="R59" s="1" t="str">
        <f t="shared" si="11"/>
        <v/>
      </c>
    </row>
    <row r="60" spans="1:18" x14ac:dyDescent="0.2">
      <c r="A60" t="str">
        <f>IF(COUNTBLANK(B60:R60)&lt;&gt;COLUMNS(B60:R60),59,"")</f>
        <v/>
      </c>
      <c r="D60" s="1" t="str">
        <f t="shared" si="0"/>
        <v/>
      </c>
      <c r="E60" s="2" t="str">
        <f t="shared" si="1"/>
        <v/>
      </c>
      <c r="F60" s="1" t="str">
        <f t="shared" si="2"/>
        <v/>
      </c>
      <c r="G60" s="1" t="str">
        <f t="shared" si="3"/>
        <v/>
      </c>
      <c r="H60" s="1" t="str">
        <f t="shared" si="4"/>
        <v/>
      </c>
      <c r="K60" s="1" t="str">
        <f t="shared" si="5"/>
        <v/>
      </c>
      <c r="L60" s="1" t="str">
        <f t="shared" si="6"/>
        <v/>
      </c>
      <c r="M60" s="1" t="str">
        <f t="shared" si="7"/>
        <v/>
      </c>
      <c r="N60" s="1" t="str">
        <f t="shared" si="8"/>
        <v/>
      </c>
      <c r="O60" s="1" t="str">
        <f t="shared" si="9"/>
        <v/>
      </c>
      <c r="P60" s="1" t="str">
        <f t="shared" si="10"/>
        <v/>
      </c>
      <c r="R60" s="1" t="str">
        <f t="shared" si="11"/>
        <v/>
      </c>
    </row>
    <row r="61" spans="1:18" x14ac:dyDescent="0.2">
      <c r="A61" t="str">
        <f>IF(COUNTBLANK(B61:R61)&lt;&gt;COLUMNS(B61:R61),60,"")</f>
        <v/>
      </c>
      <c r="D61" s="1" t="str">
        <f t="shared" si="0"/>
        <v/>
      </c>
      <c r="E61" s="2" t="str">
        <f t="shared" si="1"/>
        <v/>
      </c>
      <c r="F61" s="1" t="str">
        <f t="shared" si="2"/>
        <v/>
      </c>
      <c r="G61" s="1" t="str">
        <f t="shared" si="3"/>
        <v/>
      </c>
      <c r="H61" s="1" t="str">
        <f t="shared" si="4"/>
        <v/>
      </c>
      <c r="K61" s="1" t="str">
        <f t="shared" si="5"/>
        <v/>
      </c>
      <c r="L61" s="1" t="str">
        <f t="shared" si="6"/>
        <v/>
      </c>
      <c r="M61" s="1" t="str">
        <f t="shared" si="7"/>
        <v/>
      </c>
      <c r="N61" s="1" t="str">
        <f t="shared" si="8"/>
        <v/>
      </c>
      <c r="O61" s="1" t="str">
        <f t="shared" si="9"/>
        <v/>
      </c>
      <c r="P61" s="1" t="str">
        <f t="shared" si="10"/>
        <v/>
      </c>
      <c r="R61" s="1" t="str">
        <f t="shared" si="11"/>
        <v/>
      </c>
    </row>
    <row r="62" spans="1:18" x14ac:dyDescent="0.2">
      <c r="A62" t="str">
        <f>IF(COUNTBLANK(B62:R62)&lt;&gt;COLUMNS(B62:R62),61,"")</f>
        <v/>
      </c>
      <c r="D62" s="1" t="str">
        <f t="shared" si="0"/>
        <v/>
      </c>
      <c r="E62" s="2" t="str">
        <f t="shared" si="1"/>
        <v/>
      </c>
      <c r="F62" s="1" t="str">
        <f t="shared" si="2"/>
        <v/>
      </c>
      <c r="G62" s="1" t="str">
        <f t="shared" si="3"/>
        <v/>
      </c>
      <c r="H62" s="1" t="str">
        <f t="shared" si="4"/>
        <v/>
      </c>
      <c r="K62" s="1" t="str">
        <f t="shared" si="5"/>
        <v/>
      </c>
      <c r="L62" s="1" t="str">
        <f t="shared" si="6"/>
        <v/>
      </c>
      <c r="M62" s="1" t="str">
        <f t="shared" si="7"/>
        <v/>
      </c>
      <c r="N62" s="1" t="str">
        <f t="shared" si="8"/>
        <v/>
      </c>
      <c r="O62" s="1" t="str">
        <f t="shared" si="9"/>
        <v/>
      </c>
      <c r="P62" s="1" t="str">
        <f t="shared" si="10"/>
        <v/>
      </c>
      <c r="R62" s="1" t="str">
        <f t="shared" si="11"/>
        <v/>
      </c>
    </row>
    <row r="63" spans="1:18" x14ac:dyDescent="0.2">
      <c r="A63" t="str">
        <f>IF(COUNTBLANK(B63:R63)&lt;&gt;COLUMNS(B63:R63),62,"")</f>
        <v/>
      </c>
      <c r="D63" s="1" t="str">
        <f t="shared" si="0"/>
        <v/>
      </c>
      <c r="E63" s="2" t="str">
        <f t="shared" si="1"/>
        <v/>
      </c>
      <c r="F63" s="1" t="str">
        <f t="shared" si="2"/>
        <v/>
      </c>
      <c r="G63" s="1" t="str">
        <f t="shared" si="3"/>
        <v/>
      </c>
      <c r="H63" s="1" t="str">
        <f t="shared" si="4"/>
        <v/>
      </c>
      <c r="K63" s="1" t="str">
        <f t="shared" si="5"/>
        <v/>
      </c>
      <c r="L63" s="1" t="str">
        <f t="shared" si="6"/>
        <v/>
      </c>
      <c r="M63" s="1" t="str">
        <f t="shared" si="7"/>
        <v/>
      </c>
      <c r="N63" s="1" t="str">
        <f t="shared" si="8"/>
        <v/>
      </c>
      <c r="O63" s="1" t="str">
        <f t="shared" si="9"/>
        <v/>
      </c>
      <c r="P63" s="1" t="str">
        <f t="shared" si="10"/>
        <v/>
      </c>
      <c r="R63" s="1" t="str">
        <f t="shared" si="11"/>
        <v/>
      </c>
    </row>
    <row r="64" spans="1:18" x14ac:dyDescent="0.2">
      <c r="A64" t="str">
        <f>IF(COUNTBLANK(B64:R64)&lt;&gt;COLUMNS(B64:R64),63,"")</f>
        <v/>
      </c>
      <c r="D64" s="1" t="str">
        <f t="shared" si="0"/>
        <v/>
      </c>
      <c r="E64" s="2" t="str">
        <f t="shared" si="1"/>
        <v/>
      </c>
      <c r="F64" s="1" t="str">
        <f t="shared" si="2"/>
        <v/>
      </c>
      <c r="G64" s="1" t="str">
        <f t="shared" si="3"/>
        <v/>
      </c>
      <c r="H64" s="1" t="str">
        <f t="shared" si="4"/>
        <v/>
      </c>
      <c r="K64" s="1" t="str">
        <f t="shared" si="5"/>
        <v/>
      </c>
      <c r="L64" s="1" t="str">
        <f t="shared" si="6"/>
        <v/>
      </c>
      <c r="M64" s="1" t="str">
        <f t="shared" si="7"/>
        <v/>
      </c>
      <c r="N64" s="1" t="str">
        <f t="shared" si="8"/>
        <v/>
      </c>
      <c r="O64" s="1" t="str">
        <f t="shared" si="9"/>
        <v/>
      </c>
      <c r="P64" s="1" t="str">
        <f t="shared" si="10"/>
        <v/>
      </c>
      <c r="R64" s="1" t="str">
        <f t="shared" si="11"/>
        <v/>
      </c>
    </row>
    <row r="65" spans="1:18" x14ac:dyDescent="0.2">
      <c r="A65" t="str">
        <f>IF(COUNTBLANK(B65:R65)&lt;&gt;COLUMNS(B65:R65),64,"")</f>
        <v/>
      </c>
      <c r="D65" s="1" t="str">
        <f t="shared" si="0"/>
        <v/>
      </c>
      <c r="E65" s="2" t="str">
        <f t="shared" si="1"/>
        <v/>
      </c>
      <c r="F65" s="1" t="str">
        <f t="shared" si="2"/>
        <v/>
      </c>
      <c r="G65" s="1" t="str">
        <f t="shared" si="3"/>
        <v/>
      </c>
      <c r="H65" s="1" t="str">
        <f t="shared" si="4"/>
        <v/>
      </c>
      <c r="K65" s="1" t="str">
        <f t="shared" si="5"/>
        <v/>
      </c>
      <c r="L65" s="1" t="str">
        <f t="shared" si="6"/>
        <v/>
      </c>
      <c r="M65" s="1" t="str">
        <f t="shared" si="7"/>
        <v/>
      </c>
      <c r="N65" s="1" t="str">
        <f t="shared" si="8"/>
        <v/>
      </c>
      <c r="O65" s="1" t="str">
        <f t="shared" si="9"/>
        <v/>
      </c>
      <c r="P65" s="1" t="str">
        <f t="shared" si="10"/>
        <v/>
      </c>
      <c r="R65" s="1" t="str">
        <f t="shared" si="11"/>
        <v/>
      </c>
    </row>
    <row r="66" spans="1:18" x14ac:dyDescent="0.2">
      <c r="A66" t="str">
        <f>IF(COUNTBLANK(B66:R66)&lt;&gt;COLUMNS(B66:R66),65,"")</f>
        <v/>
      </c>
      <c r="D66" s="1" t="str">
        <f t="shared" ref="D66:D129" si="12">IF(B66="", "", "years")</f>
        <v/>
      </c>
      <c r="E66" s="2" t="str">
        <f t="shared" ref="E66:E129" si="13">IF(B66="", "", "missing: not provided")</f>
        <v/>
      </c>
      <c r="F66" s="1" t="str">
        <f t="shared" ref="F66:F129" si="14">IF(B66="", "", "Not applicable")</f>
        <v/>
      </c>
      <c r="G66" s="1" t="str">
        <f t="shared" ref="G66:G129" si="15">IF(B66="", "", "urban biome")</f>
        <v/>
      </c>
      <c r="H66" s="1" t="str">
        <f t="shared" ref="H66:H129" si="16">IF(B66="", "", "human-associated habitat")</f>
        <v/>
      </c>
      <c r="K66" s="1" t="str">
        <f t="shared" ref="K66:K129" si="17">IF(B66="", "", "cm")</f>
        <v/>
      </c>
      <c r="L66" s="1" t="str">
        <f t="shared" ref="L66:L129" si="18">IF(B66="", "", "human")</f>
        <v/>
      </c>
      <c r="M66" s="1" t="str">
        <f t="shared" ref="M66:M129" si="19">IF(B66="", "", "Homo sapiens")</f>
        <v/>
      </c>
      <c r="N66" s="1" t="str">
        <f t="shared" ref="N66:N129" si="20">IF(B66="", "", "9606")</f>
        <v/>
      </c>
      <c r="O66" s="1" t="str">
        <f t="shared" ref="O66:O129" si="21">IF(B66="", "", "missing: not provided")</f>
        <v/>
      </c>
      <c r="P66" s="1" t="str">
        <f t="shared" ref="P66:P129" si="22">IF(B66="", "", "missing: not provided")</f>
        <v/>
      </c>
      <c r="R66" s="1" t="str">
        <f t="shared" ref="R66:R129" si="23">IF(B66="", "", "kg")</f>
        <v/>
      </c>
    </row>
    <row r="67" spans="1:18" x14ac:dyDescent="0.2">
      <c r="A67" t="str">
        <f>IF(COUNTBLANK(B67:R67)&lt;&gt;COLUMNS(B67:R67),66,"")</f>
        <v/>
      </c>
      <c r="D67" s="1" t="str">
        <f t="shared" si="12"/>
        <v/>
      </c>
      <c r="E67" s="2" t="str">
        <f t="shared" si="13"/>
        <v/>
      </c>
      <c r="F67" s="1" t="str">
        <f t="shared" si="14"/>
        <v/>
      </c>
      <c r="G67" s="1" t="str">
        <f t="shared" si="15"/>
        <v/>
      </c>
      <c r="H67" s="1" t="str">
        <f t="shared" si="16"/>
        <v/>
      </c>
      <c r="K67" s="1" t="str">
        <f t="shared" si="17"/>
        <v/>
      </c>
      <c r="L67" s="1" t="str">
        <f t="shared" si="18"/>
        <v/>
      </c>
      <c r="M67" s="1" t="str">
        <f t="shared" si="19"/>
        <v/>
      </c>
      <c r="N67" s="1" t="str">
        <f t="shared" si="20"/>
        <v/>
      </c>
      <c r="O67" s="1" t="str">
        <f t="shared" si="21"/>
        <v/>
      </c>
      <c r="P67" s="1" t="str">
        <f t="shared" si="22"/>
        <v/>
      </c>
      <c r="R67" s="1" t="str">
        <f t="shared" si="23"/>
        <v/>
      </c>
    </row>
    <row r="68" spans="1:18" x14ac:dyDescent="0.2">
      <c r="A68" t="str">
        <f>IF(COUNTBLANK(B68:R68)&lt;&gt;COLUMNS(B68:R68),67,"")</f>
        <v/>
      </c>
      <c r="D68" s="1" t="str">
        <f t="shared" si="12"/>
        <v/>
      </c>
      <c r="E68" s="2" t="str">
        <f t="shared" si="13"/>
        <v/>
      </c>
      <c r="F68" s="1" t="str">
        <f t="shared" si="14"/>
        <v/>
      </c>
      <c r="G68" s="1" t="str">
        <f t="shared" si="15"/>
        <v/>
      </c>
      <c r="H68" s="1" t="str">
        <f t="shared" si="16"/>
        <v/>
      </c>
      <c r="K68" s="1" t="str">
        <f t="shared" si="17"/>
        <v/>
      </c>
      <c r="L68" s="1" t="str">
        <f t="shared" si="18"/>
        <v/>
      </c>
      <c r="M68" s="1" t="str">
        <f t="shared" si="19"/>
        <v/>
      </c>
      <c r="N68" s="1" t="str">
        <f t="shared" si="20"/>
        <v/>
      </c>
      <c r="O68" s="1" t="str">
        <f t="shared" si="21"/>
        <v/>
      </c>
      <c r="P68" s="1" t="str">
        <f t="shared" si="22"/>
        <v/>
      </c>
      <c r="R68" s="1" t="str">
        <f t="shared" si="23"/>
        <v/>
      </c>
    </row>
    <row r="69" spans="1:18" x14ac:dyDescent="0.2">
      <c r="A69" t="str">
        <f>IF(COUNTBLANK(B69:R69)&lt;&gt;COLUMNS(B69:R69),68,"")</f>
        <v/>
      </c>
      <c r="D69" s="1" t="str">
        <f t="shared" si="12"/>
        <v/>
      </c>
      <c r="E69" s="2" t="str">
        <f t="shared" si="13"/>
        <v/>
      </c>
      <c r="F69" s="1" t="str">
        <f t="shared" si="14"/>
        <v/>
      </c>
      <c r="G69" s="1" t="str">
        <f t="shared" si="15"/>
        <v/>
      </c>
      <c r="H69" s="1" t="str">
        <f t="shared" si="16"/>
        <v/>
      </c>
      <c r="K69" s="1" t="str">
        <f t="shared" si="17"/>
        <v/>
      </c>
      <c r="L69" s="1" t="str">
        <f t="shared" si="18"/>
        <v/>
      </c>
      <c r="M69" s="1" t="str">
        <f t="shared" si="19"/>
        <v/>
      </c>
      <c r="N69" s="1" t="str">
        <f t="shared" si="20"/>
        <v/>
      </c>
      <c r="O69" s="1" t="str">
        <f t="shared" si="21"/>
        <v/>
      </c>
      <c r="P69" s="1" t="str">
        <f t="shared" si="22"/>
        <v/>
      </c>
      <c r="R69" s="1" t="str">
        <f t="shared" si="23"/>
        <v/>
      </c>
    </row>
    <row r="70" spans="1:18" x14ac:dyDescent="0.2">
      <c r="A70" t="str">
        <f>IF(COUNTBLANK(B70:R70)&lt;&gt;COLUMNS(B70:R70),69,"")</f>
        <v/>
      </c>
      <c r="D70" s="1" t="str">
        <f t="shared" si="12"/>
        <v/>
      </c>
      <c r="E70" s="2" t="str">
        <f t="shared" si="13"/>
        <v/>
      </c>
      <c r="F70" s="1" t="str">
        <f t="shared" si="14"/>
        <v/>
      </c>
      <c r="G70" s="1" t="str">
        <f t="shared" si="15"/>
        <v/>
      </c>
      <c r="H70" s="1" t="str">
        <f t="shared" si="16"/>
        <v/>
      </c>
      <c r="K70" s="1" t="str">
        <f t="shared" si="17"/>
        <v/>
      </c>
      <c r="L70" s="1" t="str">
        <f t="shared" si="18"/>
        <v/>
      </c>
      <c r="M70" s="1" t="str">
        <f t="shared" si="19"/>
        <v/>
      </c>
      <c r="N70" s="1" t="str">
        <f t="shared" si="20"/>
        <v/>
      </c>
      <c r="O70" s="1" t="str">
        <f t="shared" si="21"/>
        <v/>
      </c>
      <c r="P70" s="1" t="str">
        <f t="shared" si="22"/>
        <v/>
      </c>
      <c r="R70" s="1" t="str">
        <f t="shared" si="23"/>
        <v/>
      </c>
    </row>
    <row r="71" spans="1:18" x14ac:dyDescent="0.2">
      <c r="A71" t="str">
        <f>IF(COUNTBLANK(B71:R71)&lt;&gt;COLUMNS(B71:R71),70,"")</f>
        <v/>
      </c>
      <c r="D71" s="1" t="str">
        <f t="shared" si="12"/>
        <v/>
      </c>
      <c r="E71" s="2" t="str">
        <f t="shared" si="13"/>
        <v/>
      </c>
      <c r="F71" s="1" t="str">
        <f t="shared" si="14"/>
        <v/>
      </c>
      <c r="G71" s="1" t="str">
        <f t="shared" si="15"/>
        <v/>
      </c>
      <c r="H71" s="1" t="str">
        <f t="shared" si="16"/>
        <v/>
      </c>
      <c r="K71" s="1" t="str">
        <f t="shared" si="17"/>
        <v/>
      </c>
      <c r="L71" s="1" t="str">
        <f t="shared" si="18"/>
        <v/>
      </c>
      <c r="M71" s="1" t="str">
        <f t="shared" si="19"/>
        <v/>
      </c>
      <c r="N71" s="1" t="str">
        <f t="shared" si="20"/>
        <v/>
      </c>
      <c r="O71" s="1" t="str">
        <f t="shared" si="21"/>
        <v/>
      </c>
      <c r="P71" s="1" t="str">
        <f t="shared" si="22"/>
        <v/>
      </c>
      <c r="R71" s="1" t="str">
        <f t="shared" si="23"/>
        <v/>
      </c>
    </row>
    <row r="72" spans="1:18" x14ac:dyDescent="0.2">
      <c r="A72" t="str">
        <f>IF(COUNTBLANK(B72:R72)&lt;&gt;COLUMNS(B72:R72),71,"")</f>
        <v/>
      </c>
      <c r="D72" s="1" t="str">
        <f t="shared" si="12"/>
        <v/>
      </c>
      <c r="E72" s="2" t="str">
        <f t="shared" si="13"/>
        <v/>
      </c>
      <c r="F72" s="1" t="str">
        <f t="shared" si="14"/>
        <v/>
      </c>
      <c r="G72" s="1" t="str">
        <f t="shared" si="15"/>
        <v/>
      </c>
      <c r="H72" s="1" t="str">
        <f t="shared" si="16"/>
        <v/>
      </c>
      <c r="K72" s="1" t="str">
        <f t="shared" si="17"/>
        <v/>
      </c>
      <c r="L72" s="1" t="str">
        <f t="shared" si="18"/>
        <v/>
      </c>
      <c r="M72" s="1" t="str">
        <f t="shared" si="19"/>
        <v/>
      </c>
      <c r="N72" s="1" t="str">
        <f t="shared" si="20"/>
        <v/>
      </c>
      <c r="O72" s="1" t="str">
        <f t="shared" si="21"/>
        <v/>
      </c>
      <c r="P72" s="1" t="str">
        <f t="shared" si="22"/>
        <v/>
      </c>
      <c r="R72" s="1" t="str">
        <f t="shared" si="23"/>
        <v/>
      </c>
    </row>
    <row r="73" spans="1:18" x14ac:dyDescent="0.2">
      <c r="A73" t="str">
        <f>IF(COUNTBLANK(B73:R73)&lt;&gt;COLUMNS(B73:R73),72,"")</f>
        <v/>
      </c>
      <c r="D73" s="1" t="str">
        <f t="shared" si="12"/>
        <v/>
      </c>
      <c r="E73" s="2" t="str">
        <f t="shared" si="13"/>
        <v/>
      </c>
      <c r="F73" s="1" t="str">
        <f t="shared" si="14"/>
        <v/>
      </c>
      <c r="G73" s="1" t="str">
        <f t="shared" si="15"/>
        <v/>
      </c>
      <c r="H73" s="1" t="str">
        <f t="shared" si="16"/>
        <v/>
      </c>
      <c r="K73" s="1" t="str">
        <f t="shared" si="17"/>
        <v/>
      </c>
      <c r="L73" s="1" t="str">
        <f t="shared" si="18"/>
        <v/>
      </c>
      <c r="M73" s="1" t="str">
        <f t="shared" si="19"/>
        <v/>
      </c>
      <c r="N73" s="1" t="str">
        <f t="shared" si="20"/>
        <v/>
      </c>
      <c r="O73" s="1" t="str">
        <f t="shared" si="21"/>
        <v/>
      </c>
      <c r="P73" s="1" t="str">
        <f t="shared" si="22"/>
        <v/>
      </c>
      <c r="R73" s="1" t="str">
        <f t="shared" si="23"/>
        <v/>
      </c>
    </row>
    <row r="74" spans="1:18" x14ac:dyDescent="0.2">
      <c r="A74" t="str">
        <f>IF(COUNTBLANK(B74:R74)&lt;&gt;COLUMNS(B74:R74),73,"")</f>
        <v/>
      </c>
      <c r="D74" s="1" t="str">
        <f t="shared" si="12"/>
        <v/>
      </c>
      <c r="E74" s="2" t="str">
        <f t="shared" si="13"/>
        <v/>
      </c>
      <c r="F74" s="1" t="str">
        <f t="shared" si="14"/>
        <v/>
      </c>
      <c r="G74" s="1" t="str">
        <f t="shared" si="15"/>
        <v/>
      </c>
      <c r="H74" s="1" t="str">
        <f t="shared" si="16"/>
        <v/>
      </c>
      <c r="K74" s="1" t="str">
        <f t="shared" si="17"/>
        <v/>
      </c>
      <c r="L74" s="1" t="str">
        <f t="shared" si="18"/>
        <v/>
      </c>
      <c r="M74" s="1" t="str">
        <f t="shared" si="19"/>
        <v/>
      </c>
      <c r="N74" s="1" t="str">
        <f t="shared" si="20"/>
        <v/>
      </c>
      <c r="O74" s="1" t="str">
        <f t="shared" si="21"/>
        <v/>
      </c>
      <c r="P74" s="1" t="str">
        <f t="shared" si="22"/>
        <v/>
      </c>
      <c r="R74" s="1" t="str">
        <f t="shared" si="23"/>
        <v/>
      </c>
    </row>
    <row r="75" spans="1:18" x14ac:dyDescent="0.2">
      <c r="A75" t="str">
        <f>IF(COUNTBLANK(B75:R75)&lt;&gt;COLUMNS(B75:R75),74,"")</f>
        <v/>
      </c>
      <c r="D75" s="1" t="str">
        <f t="shared" si="12"/>
        <v/>
      </c>
      <c r="E75" s="2" t="str">
        <f t="shared" si="13"/>
        <v/>
      </c>
      <c r="F75" s="1" t="str">
        <f t="shared" si="14"/>
        <v/>
      </c>
      <c r="G75" s="1" t="str">
        <f t="shared" si="15"/>
        <v/>
      </c>
      <c r="H75" s="1" t="str">
        <f t="shared" si="16"/>
        <v/>
      </c>
      <c r="K75" s="1" t="str">
        <f t="shared" si="17"/>
        <v/>
      </c>
      <c r="L75" s="1" t="str">
        <f t="shared" si="18"/>
        <v/>
      </c>
      <c r="M75" s="1" t="str">
        <f t="shared" si="19"/>
        <v/>
      </c>
      <c r="N75" s="1" t="str">
        <f t="shared" si="20"/>
        <v/>
      </c>
      <c r="O75" s="1" t="str">
        <f t="shared" si="21"/>
        <v/>
      </c>
      <c r="P75" s="1" t="str">
        <f t="shared" si="22"/>
        <v/>
      </c>
      <c r="R75" s="1" t="str">
        <f t="shared" si="23"/>
        <v/>
      </c>
    </row>
    <row r="76" spans="1:18" x14ac:dyDescent="0.2">
      <c r="A76" t="str">
        <f>IF(COUNTBLANK(B76:R76)&lt;&gt;COLUMNS(B76:R76),75,"")</f>
        <v/>
      </c>
      <c r="D76" s="1" t="str">
        <f t="shared" si="12"/>
        <v/>
      </c>
      <c r="E76" s="2" t="str">
        <f t="shared" si="13"/>
        <v/>
      </c>
      <c r="F76" s="1" t="str">
        <f t="shared" si="14"/>
        <v/>
      </c>
      <c r="G76" s="1" t="str">
        <f t="shared" si="15"/>
        <v/>
      </c>
      <c r="H76" s="1" t="str">
        <f t="shared" si="16"/>
        <v/>
      </c>
      <c r="K76" s="1" t="str">
        <f t="shared" si="17"/>
        <v/>
      </c>
      <c r="L76" s="1" t="str">
        <f t="shared" si="18"/>
        <v/>
      </c>
      <c r="M76" s="1" t="str">
        <f t="shared" si="19"/>
        <v/>
      </c>
      <c r="N76" s="1" t="str">
        <f t="shared" si="20"/>
        <v/>
      </c>
      <c r="O76" s="1" t="str">
        <f t="shared" si="21"/>
        <v/>
      </c>
      <c r="P76" s="1" t="str">
        <f t="shared" si="22"/>
        <v/>
      </c>
      <c r="R76" s="1" t="str">
        <f t="shared" si="23"/>
        <v/>
      </c>
    </row>
    <row r="77" spans="1:18" x14ac:dyDescent="0.2">
      <c r="A77" t="str">
        <f>IF(COUNTBLANK(B77:R77)&lt;&gt;COLUMNS(B77:R77),76,"")</f>
        <v/>
      </c>
      <c r="D77" s="1" t="str">
        <f t="shared" si="12"/>
        <v/>
      </c>
      <c r="E77" s="2" t="str">
        <f t="shared" si="13"/>
        <v/>
      </c>
      <c r="F77" s="1" t="str">
        <f t="shared" si="14"/>
        <v/>
      </c>
      <c r="G77" s="1" t="str">
        <f t="shared" si="15"/>
        <v/>
      </c>
      <c r="H77" s="1" t="str">
        <f t="shared" si="16"/>
        <v/>
      </c>
      <c r="K77" s="1" t="str">
        <f t="shared" si="17"/>
        <v/>
      </c>
      <c r="L77" s="1" t="str">
        <f t="shared" si="18"/>
        <v/>
      </c>
      <c r="M77" s="1" t="str">
        <f t="shared" si="19"/>
        <v/>
      </c>
      <c r="N77" s="1" t="str">
        <f t="shared" si="20"/>
        <v/>
      </c>
      <c r="O77" s="1" t="str">
        <f t="shared" si="21"/>
        <v/>
      </c>
      <c r="P77" s="1" t="str">
        <f t="shared" si="22"/>
        <v/>
      </c>
      <c r="R77" s="1" t="str">
        <f t="shared" si="23"/>
        <v/>
      </c>
    </row>
    <row r="78" spans="1:18" x14ac:dyDescent="0.2">
      <c r="A78" t="str">
        <f>IF(COUNTBLANK(B78:R78)&lt;&gt;COLUMNS(B78:R78),77,"")</f>
        <v/>
      </c>
      <c r="D78" s="1" t="str">
        <f t="shared" si="12"/>
        <v/>
      </c>
      <c r="E78" s="2" t="str">
        <f t="shared" si="13"/>
        <v/>
      </c>
      <c r="F78" s="1" t="str">
        <f t="shared" si="14"/>
        <v/>
      </c>
      <c r="G78" s="1" t="str">
        <f t="shared" si="15"/>
        <v/>
      </c>
      <c r="H78" s="1" t="str">
        <f t="shared" si="16"/>
        <v/>
      </c>
      <c r="K78" s="1" t="str">
        <f t="shared" si="17"/>
        <v/>
      </c>
      <c r="L78" s="1" t="str">
        <f t="shared" si="18"/>
        <v/>
      </c>
      <c r="M78" s="1" t="str">
        <f t="shared" si="19"/>
        <v/>
      </c>
      <c r="N78" s="1" t="str">
        <f t="shared" si="20"/>
        <v/>
      </c>
      <c r="O78" s="1" t="str">
        <f t="shared" si="21"/>
        <v/>
      </c>
      <c r="P78" s="1" t="str">
        <f t="shared" si="22"/>
        <v/>
      </c>
      <c r="R78" s="1" t="str">
        <f t="shared" si="23"/>
        <v/>
      </c>
    </row>
    <row r="79" spans="1:18" x14ac:dyDescent="0.2">
      <c r="A79" t="str">
        <f>IF(COUNTBLANK(B79:R79)&lt;&gt;COLUMNS(B79:R79),78,"")</f>
        <v/>
      </c>
      <c r="D79" s="1" t="str">
        <f t="shared" si="12"/>
        <v/>
      </c>
      <c r="E79" s="2" t="str">
        <f t="shared" si="13"/>
        <v/>
      </c>
      <c r="F79" s="1" t="str">
        <f t="shared" si="14"/>
        <v/>
      </c>
      <c r="G79" s="1" t="str">
        <f t="shared" si="15"/>
        <v/>
      </c>
      <c r="H79" s="1" t="str">
        <f t="shared" si="16"/>
        <v/>
      </c>
      <c r="K79" s="1" t="str">
        <f t="shared" si="17"/>
        <v/>
      </c>
      <c r="L79" s="1" t="str">
        <f t="shared" si="18"/>
        <v/>
      </c>
      <c r="M79" s="1" t="str">
        <f t="shared" si="19"/>
        <v/>
      </c>
      <c r="N79" s="1" t="str">
        <f t="shared" si="20"/>
        <v/>
      </c>
      <c r="O79" s="1" t="str">
        <f t="shared" si="21"/>
        <v/>
      </c>
      <c r="P79" s="1" t="str">
        <f t="shared" si="22"/>
        <v/>
      </c>
      <c r="R79" s="1" t="str">
        <f t="shared" si="23"/>
        <v/>
      </c>
    </row>
    <row r="80" spans="1:18" x14ac:dyDescent="0.2">
      <c r="A80" t="str">
        <f>IF(COUNTBLANK(B80:R80)&lt;&gt;COLUMNS(B80:R80),79,"")</f>
        <v/>
      </c>
      <c r="D80" s="1" t="str">
        <f t="shared" si="12"/>
        <v/>
      </c>
      <c r="E80" s="2" t="str">
        <f t="shared" si="13"/>
        <v/>
      </c>
      <c r="F80" s="1" t="str">
        <f t="shared" si="14"/>
        <v/>
      </c>
      <c r="G80" s="1" t="str">
        <f t="shared" si="15"/>
        <v/>
      </c>
      <c r="H80" s="1" t="str">
        <f t="shared" si="16"/>
        <v/>
      </c>
      <c r="K80" s="1" t="str">
        <f t="shared" si="17"/>
        <v/>
      </c>
      <c r="L80" s="1" t="str">
        <f t="shared" si="18"/>
        <v/>
      </c>
      <c r="M80" s="1" t="str">
        <f t="shared" si="19"/>
        <v/>
      </c>
      <c r="N80" s="1" t="str">
        <f t="shared" si="20"/>
        <v/>
      </c>
      <c r="O80" s="1" t="str">
        <f t="shared" si="21"/>
        <v/>
      </c>
      <c r="P80" s="1" t="str">
        <f t="shared" si="22"/>
        <v/>
      </c>
      <c r="R80" s="1" t="str">
        <f t="shared" si="23"/>
        <v/>
      </c>
    </row>
    <row r="81" spans="1:18" x14ac:dyDescent="0.2">
      <c r="A81" t="str">
        <f>IF(COUNTBLANK(B81:R81)&lt;&gt;COLUMNS(B81:R81),80,"")</f>
        <v/>
      </c>
      <c r="D81" s="1" t="str">
        <f t="shared" si="12"/>
        <v/>
      </c>
      <c r="E81" s="2" t="str">
        <f t="shared" si="13"/>
        <v/>
      </c>
      <c r="F81" s="1" t="str">
        <f t="shared" si="14"/>
        <v/>
      </c>
      <c r="G81" s="1" t="str">
        <f t="shared" si="15"/>
        <v/>
      </c>
      <c r="H81" s="1" t="str">
        <f t="shared" si="16"/>
        <v/>
      </c>
      <c r="K81" s="1" t="str">
        <f t="shared" si="17"/>
        <v/>
      </c>
      <c r="L81" s="1" t="str">
        <f t="shared" si="18"/>
        <v/>
      </c>
      <c r="M81" s="1" t="str">
        <f t="shared" si="19"/>
        <v/>
      </c>
      <c r="N81" s="1" t="str">
        <f t="shared" si="20"/>
        <v/>
      </c>
      <c r="O81" s="1" t="str">
        <f t="shared" si="21"/>
        <v/>
      </c>
      <c r="P81" s="1" t="str">
        <f t="shared" si="22"/>
        <v/>
      </c>
      <c r="R81" s="1" t="str">
        <f t="shared" si="23"/>
        <v/>
      </c>
    </row>
    <row r="82" spans="1:18" x14ac:dyDescent="0.2">
      <c r="A82" t="str">
        <f>IF(COUNTBLANK(B82:R82)&lt;&gt;COLUMNS(B82:R82),81,"")</f>
        <v/>
      </c>
      <c r="D82" s="1" t="str">
        <f t="shared" si="12"/>
        <v/>
      </c>
      <c r="E82" s="2" t="str">
        <f t="shared" si="13"/>
        <v/>
      </c>
      <c r="F82" s="1" t="str">
        <f t="shared" si="14"/>
        <v/>
      </c>
      <c r="G82" s="1" t="str">
        <f t="shared" si="15"/>
        <v/>
      </c>
      <c r="H82" s="1" t="str">
        <f t="shared" si="16"/>
        <v/>
      </c>
      <c r="K82" s="1" t="str">
        <f t="shared" si="17"/>
        <v/>
      </c>
      <c r="L82" s="1" t="str">
        <f t="shared" si="18"/>
        <v/>
      </c>
      <c r="M82" s="1" t="str">
        <f t="shared" si="19"/>
        <v/>
      </c>
      <c r="N82" s="1" t="str">
        <f t="shared" si="20"/>
        <v/>
      </c>
      <c r="O82" s="1" t="str">
        <f t="shared" si="21"/>
        <v/>
      </c>
      <c r="P82" s="1" t="str">
        <f t="shared" si="22"/>
        <v/>
      </c>
      <c r="R82" s="1" t="str">
        <f t="shared" si="23"/>
        <v/>
      </c>
    </row>
    <row r="83" spans="1:18" x14ac:dyDescent="0.2">
      <c r="A83" t="str">
        <f>IF(COUNTBLANK(B83:R83)&lt;&gt;COLUMNS(B83:R83),82,"")</f>
        <v/>
      </c>
      <c r="D83" s="1" t="str">
        <f t="shared" si="12"/>
        <v/>
      </c>
      <c r="E83" s="2" t="str">
        <f t="shared" si="13"/>
        <v/>
      </c>
      <c r="F83" s="1" t="str">
        <f t="shared" si="14"/>
        <v/>
      </c>
      <c r="G83" s="1" t="str">
        <f t="shared" si="15"/>
        <v/>
      </c>
      <c r="H83" s="1" t="str">
        <f t="shared" si="16"/>
        <v/>
      </c>
      <c r="K83" s="1" t="str">
        <f t="shared" si="17"/>
        <v/>
      </c>
      <c r="L83" s="1" t="str">
        <f t="shared" si="18"/>
        <v/>
      </c>
      <c r="M83" s="1" t="str">
        <f t="shared" si="19"/>
        <v/>
      </c>
      <c r="N83" s="1" t="str">
        <f t="shared" si="20"/>
        <v/>
      </c>
      <c r="O83" s="1" t="str">
        <f t="shared" si="21"/>
        <v/>
      </c>
      <c r="P83" s="1" t="str">
        <f t="shared" si="22"/>
        <v/>
      </c>
      <c r="R83" s="1" t="str">
        <f t="shared" si="23"/>
        <v/>
      </c>
    </row>
    <row r="84" spans="1:18" x14ac:dyDescent="0.2">
      <c r="A84" t="str">
        <f>IF(COUNTBLANK(B84:R84)&lt;&gt;COLUMNS(B84:R84),83,"")</f>
        <v/>
      </c>
      <c r="D84" s="1" t="str">
        <f t="shared" si="12"/>
        <v/>
      </c>
      <c r="E84" s="2" t="str">
        <f t="shared" si="13"/>
        <v/>
      </c>
      <c r="F84" s="1" t="str">
        <f t="shared" si="14"/>
        <v/>
      </c>
      <c r="G84" s="1" t="str">
        <f t="shared" si="15"/>
        <v/>
      </c>
      <c r="H84" s="1" t="str">
        <f t="shared" si="16"/>
        <v/>
      </c>
      <c r="K84" s="1" t="str">
        <f t="shared" si="17"/>
        <v/>
      </c>
      <c r="L84" s="1" t="str">
        <f t="shared" si="18"/>
        <v/>
      </c>
      <c r="M84" s="1" t="str">
        <f t="shared" si="19"/>
        <v/>
      </c>
      <c r="N84" s="1" t="str">
        <f t="shared" si="20"/>
        <v/>
      </c>
      <c r="O84" s="1" t="str">
        <f t="shared" si="21"/>
        <v/>
      </c>
      <c r="P84" s="1" t="str">
        <f t="shared" si="22"/>
        <v/>
      </c>
      <c r="R84" s="1" t="str">
        <f t="shared" si="23"/>
        <v/>
      </c>
    </row>
    <row r="85" spans="1:18" x14ac:dyDescent="0.2">
      <c r="A85" t="str">
        <f>IF(COUNTBLANK(B85:R85)&lt;&gt;COLUMNS(B85:R85),84,"")</f>
        <v/>
      </c>
      <c r="D85" s="1" t="str">
        <f t="shared" si="12"/>
        <v/>
      </c>
      <c r="E85" s="2" t="str">
        <f t="shared" si="13"/>
        <v/>
      </c>
      <c r="F85" s="1" t="str">
        <f t="shared" si="14"/>
        <v/>
      </c>
      <c r="G85" s="1" t="str">
        <f t="shared" si="15"/>
        <v/>
      </c>
      <c r="H85" s="1" t="str">
        <f t="shared" si="16"/>
        <v/>
      </c>
      <c r="K85" s="1" t="str">
        <f t="shared" si="17"/>
        <v/>
      </c>
      <c r="L85" s="1" t="str">
        <f t="shared" si="18"/>
        <v/>
      </c>
      <c r="M85" s="1" t="str">
        <f t="shared" si="19"/>
        <v/>
      </c>
      <c r="N85" s="1" t="str">
        <f t="shared" si="20"/>
        <v/>
      </c>
      <c r="O85" s="1" t="str">
        <f t="shared" si="21"/>
        <v/>
      </c>
      <c r="P85" s="1" t="str">
        <f t="shared" si="22"/>
        <v/>
      </c>
      <c r="R85" s="1" t="str">
        <f t="shared" si="23"/>
        <v/>
      </c>
    </row>
    <row r="86" spans="1:18" x14ac:dyDescent="0.2">
      <c r="A86" t="str">
        <f>IF(COUNTBLANK(B86:R86)&lt;&gt;COLUMNS(B86:R86),85,"")</f>
        <v/>
      </c>
      <c r="D86" s="1" t="str">
        <f t="shared" si="12"/>
        <v/>
      </c>
      <c r="E86" s="2" t="str">
        <f t="shared" si="13"/>
        <v/>
      </c>
      <c r="F86" s="1" t="str">
        <f t="shared" si="14"/>
        <v/>
      </c>
      <c r="G86" s="1" t="str">
        <f t="shared" si="15"/>
        <v/>
      </c>
      <c r="H86" s="1" t="str">
        <f t="shared" si="16"/>
        <v/>
      </c>
      <c r="K86" s="1" t="str">
        <f t="shared" si="17"/>
        <v/>
      </c>
      <c r="L86" s="1" t="str">
        <f t="shared" si="18"/>
        <v/>
      </c>
      <c r="M86" s="1" t="str">
        <f t="shared" si="19"/>
        <v/>
      </c>
      <c r="N86" s="1" t="str">
        <f t="shared" si="20"/>
        <v/>
      </c>
      <c r="O86" s="1" t="str">
        <f t="shared" si="21"/>
        <v/>
      </c>
      <c r="P86" s="1" t="str">
        <f t="shared" si="22"/>
        <v/>
      </c>
      <c r="R86" s="1" t="str">
        <f t="shared" si="23"/>
        <v/>
      </c>
    </row>
    <row r="87" spans="1:18" x14ac:dyDescent="0.2">
      <c r="A87" t="str">
        <f>IF(COUNTBLANK(B87:R87)&lt;&gt;COLUMNS(B87:R87),86,"")</f>
        <v/>
      </c>
      <c r="D87" s="1" t="str">
        <f t="shared" si="12"/>
        <v/>
      </c>
      <c r="E87" s="2" t="str">
        <f t="shared" si="13"/>
        <v/>
      </c>
      <c r="F87" s="1" t="str">
        <f t="shared" si="14"/>
        <v/>
      </c>
      <c r="G87" s="1" t="str">
        <f t="shared" si="15"/>
        <v/>
      </c>
      <c r="H87" s="1" t="str">
        <f t="shared" si="16"/>
        <v/>
      </c>
      <c r="K87" s="1" t="str">
        <f t="shared" si="17"/>
        <v/>
      </c>
      <c r="L87" s="1" t="str">
        <f t="shared" si="18"/>
        <v/>
      </c>
      <c r="M87" s="1" t="str">
        <f t="shared" si="19"/>
        <v/>
      </c>
      <c r="N87" s="1" t="str">
        <f t="shared" si="20"/>
        <v/>
      </c>
      <c r="O87" s="1" t="str">
        <f t="shared" si="21"/>
        <v/>
      </c>
      <c r="P87" s="1" t="str">
        <f t="shared" si="22"/>
        <v/>
      </c>
      <c r="R87" s="1" t="str">
        <f t="shared" si="23"/>
        <v/>
      </c>
    </row>
    <row r="88" spans="1:18" x14ac:dyDescent="0.2">
      <c r="A88" t="str">
        <f>IF(COUNTBLANK(B88:R88)&lt;&gt;COLUMNS(B88:R88),87,"")</f>
        <v/>
      </c>
      <c r="D88" s="1" t="str">
        <f t="shared" si="12"/>
        <v/>
      </c>
      <c r="E88" s="2" t="str">
        <f t="shared" si="13"/>
        <v/>
      </c>
      <c r="F88" s="1" t="str">
        <f t="shared" si="14"/>
        <v/>
      </c>
      <c r="G88" s="1" t="str">
        <f t="shared" si="15"/>
        <v/>
      </c>
      <c r="H88" s="1" t="str">
        <f t="shared" si="16"/>
        <v/>
      </c>
      <c r="K88" s="1" t="str">
        <f t="shared" si="17"/>
        <v/>
      </c>
      <c r="L88" s="1" t="str">
        <f t="shared" si="18"/>
        <v/>
      </c>
      <c r="M88" s="1" t="str">
        <f t="shared" si="19"/>
        <v/>
      </c>
      <c r="N88" s="1" t="str">
        <f t="shared" si="20"/>
        <v/>
      </c>
      <c r="O88" s="1" t="str">
        <f t="shared" si="21"/>
        <v/>
      </c>
      <c r="P88" s="1" t="str">
        <f t="shared" si="22"/>
        <v/>
      </c>
      <c r="R88" s="1" t="str">
        <f t="shared" si="23"/>
        <v/>
      </c>
    </row>
    <row r="89" spans="1:18" x14ac:dyDescent="0.2">
      <c r="A89" t="str">
        <f>IF(COUNTBLANK(B89:R89)&lt;&gt;COLUMNS(B89:R89),88,"")</f>
        <v/>
      </c>
      <c r="D89" s="1" t="str">
        <f t="shared" si="12"/>
        <v/>
      </c>
      <c r="E89" s="2" t="str">
        <f t="shared" si="13"/>
        <v/>
      </c>
      <c r="F89" s="1" t="str">
        <f t="shared" si="14"/>
        <v/>
      </c>
      <c r="G89" s="1" t="str">
        <f t="shared" si="15"/>
        <v/>
      </c>
      <c r="H89" s="1" t="str">
        <f t="shared" si="16"/>
        <v/>
      </c>
      <c r="K89" s="1" t="str">
        <f t="shared" si="17"/>
        <v/>
      </c>
      <c r="L89" s="1" t="str">
        <f t="shared" si="18"/>
        <v/>
      </c>
      <c r="M89" s="1" t="str">
        <f t="shared" si="19"/>
        <v/>
      </c>
      <c r="N89" s="1" t="str">
        <f t="shared" si="20"/>
        <v/>
      </c>
      <c r="O89" s="1" t="str">
        <f t="shared" si="21"/>
        <v/>
      </c>
      <c r="P89" s="1" t="str">
        <f t="shared" si="22"/>
        <v/>
      </c>
      <c r="R89" s="1" t="str">
        <f t="shared" si="23"/>
        <v/>
      </c>
    </row>
    <row r="90" spans="1:18" x14ac:dyDescent="0.2">
      <c r="A90" t="str">
        <f>IF(COUNTBLANK(B90:R90)&lt;&gt;COLUMNS(B90:R90),89,"")</f>
        <v/>
      </c>
      <c r="D90" s="1" t="str">
        <f t="shared" si="12"/>
        <v/>
      </c>
      <c r="E90" s="2" t="str">
        <f t="shared" si="13"/>
        <v/>
      </c>
      <c r="F90" s="1" t="str">
        <f t="shared" si="14"/>
        <v/>
      </c>
      <c r="G90" s="1" t="str">
        <f t="shared" si="15"/>
        <v/>
      </c>
      <c r="H90" s="1" t="str">
        <f t="shared" si="16"/>
        <v/>
      </c>
      <c r="K90" s="1" t="str">
        <f t="shared" si="17"/>
        <v/>
      </c>
      <c r="L90" s="1" t="str">
        <f t="shared" si="18"/>
        <v/>
      </c>
      <c r="M90" s="1" t="str">
        <f t="shared" si="19"/>
        <v/>
      </c>
      <c r="N90" s="1" t="str">
        <f t="shared" si="20"/>
        <v/>
      </c>
      <c r="O90" s="1" t="str">
        <f t="shared" si="21"/>
        <v/>
      </c>
      <c r="P90" s="1" t="str">
        <f t="shared" si="22"/>
        <v/>
      </c>
      <c r="R90" s="1" t="str">
        <f t="shared" si="23"/>
        <v/>
      </c>
    </row>
    <row r="91" spans="1:18" x14ac:dyDescent="0.2">
      <c r="A91" t="str">
        <f>IF(COUNTBLANK(B91:R91)&lt;&gt;COLUMNS(B91:R91),90,"")</f>
        <v/>
      </c>
      <c r="D91" s="1" t="str">
        <f t="shared" si="12"/>
        <v/>
      </c>
      <c r="E91" s="2" t="str">
        <f t="shared" si="13"/>
        <v/>
      </c>
      <c r="F91" s="1" t="str">
        <f t="shared" si="14"/>
        <v/>
      </c>
      <c r="G91" s="1" t="str">
        <f t="shared" si="15"/>
        <v/>
      </c>
      <c r="H91" s="1" t="str">
        <f t="shared" si="16"/>
        <v/>
      </c>
      <c r="K91" s="1" t="str">
        <f t="shared" si="17"/>
        <v/>
      </c>
      <c r="L91" s="1" t="str">
        <f t="shared" si="18"/>
        <v/>
      </c>
      <c r="M91" s="1" t="str">
        <f t="shared" si="19"/>
        <v/>
      </c>
      <c r="N91" s="1" t="str">
        <f t="shared" si="20"/>
        <v/>
      </c>
      <c r="O91" s="1" t="str">
        <f t="shared" si="21"/>
        <v/>
      </c>
      <c r="P91" s="1" t="str">
        <f t="shared" si="22"/>
        <v/>
      </c>
      <c r="R91" s="1" t="str">
        <f t="shared" si="23"/>
        <v/>
      </c>
    </row>
    <row r="92" spans="1:18" x14ac:dyDescent="0.2">
      <c r="A92" t="str">
        <f>IF(COUNTBLANK(B92:R92)&lt;&gt;COLUMNS(B92:R92),91,"")</f>
        <v/>
      </c>
      <c r="D92" s="1" t="str">
        <f t="shared" si="12"/>
        <v/>
      </c>
      <c r="E92" s="2" t="str">
        <f t="shared" si="13"/>
        <v/>
      </c>
      <c r="F92" s="1" t="str">
        <f t="shared" si="14"/>
        <v/>
      </c>
      <c r="G92" s="1" t="str">
        <f t="shared" si="15"/>
        <v/>
      </c>
      <c r="H92" s="1" t="str">
        <f t="shared" si="16"/>
        <v/>
      </c>
      <c r="K92" s="1" t="str">
        <f t="shared" si="17"/>
        <v/>
      </c>
      <c r="L92" s="1" t="str">
        <f t="shared" si="18"/>
        <v/>
      </c>
      <c r="M92" s="1" t="str">
        <f t="shared" si="19"/>
        <v/>
      </c>
      <c r="N92" s="1" t="str">
        <f t="shared" si="20"/>
        <v/>
      </c>
      <c r="O92" s="1" t="str">
        <f t="shared" si="21"/>
        <v/>
      </c>
      <c r="P92" s="1" t="str">
        <f t="shared" si="22"/>
        <v/>
      </c>
      <c r="R92" s="1" t="str">
        <f t="shared" si="23"/>
        <v/>
      </c>
    </row>
    <row r="93" spans="1:18" x14ac:dyDescent="0.2">
      <c r="A93" t="str">
        <f>IF(COUNTBLANK(B93:R93)&lt;&gt;COLUMNS(B93:R93),92,"")</f>
        <v/>
      </c>
      <c r="D93" s="1" t="str">
        <f t="shared" si="12"/>
        <v/>
      </c>
      <c r="E93" s="2" t="str">
        <f t="shared" si="13"/>
        <v/>
      </c>
      <c r="F93" s="1" t="str">
        <f t="shared" si="14"/>
        <v/>
      </c>
      <c r="G93" s="1" t="str">
        <f t="shared" si="15"/>
        <v/>
      </c>
      <c r="H93" s="1" t="str">
        <f t="shared" si="16"/>
        <v/>
      </c>
      <c r="K93" s="1" t="str">
        <f t="shared" si="17"/>
        <v/>
      </c>
      <c r="L93" s="1" t="str">
        <f t="shared" si="18"/>
        <v/>
      </c>
      <c r="M93" s="1" t="str">
        <f t="shared" si="19"/>
        <v/>
      </c>
      <c r="N93" s="1" t="str">
        <f t="shared" si="20"/>
        <v/>
      </c>
      <c r="O93" s="1" t="str">
        <f t="shared" si="21"/>
        <v/>
      </c>
      <c r="P93" s="1" t="str">
        <f t="shared" si="22"/>
        <v/>
      </c>
      <c r="R93" s="1" t="str">
        <f t="shared" si="23"/>
        <v/>
      </c>
    </row>
    <row r="94" spans="1:18" x14ac:dyDescent="0.2">
      <c r="A94" t="str">
        <f>IF(COUNTBLANK(B94:R94)&lt;&gt;COLUMNS(B94:R94),93,"")</f>
        <v/>
      </c>
      <c r="D94" s="1" t="str">
        <f t="shared" si="12"/>
        <v/>
      </c>
      <c r="E94" s="2" t="str">
        <f t="shared" si="13"/>
        <v/>
      </c>
      <c r="F94" s="1" t="str">
        <f t="shared" si="14"/>
        <v/>
      </c>
      <c r="G94" s="1" t="str">
        <f t="shared" si="15"/>
        <v/>
      </c>
      <c r="H94" s="1" t="str">
        <f t="shared" si="16"/>
        <v/>
      </c>
      <c r="K94" s="1" t="str">
        <f t="shared" si="17"/>
        <v/>
      </c>
      <c r="L94" s="1" t="str">
        <f t="shared" si="18"/>
        <v/>
      </c>
      <c r="M94" s="1" t="str">
        <f t="shared" si="19"/>
        <v/>
      </c>
      <c r="N94" s="1" t="str">
        <f t="shared" si="20"/>
        <v/>
      </c>
      <c r="O94" s="1" t="str">
        <f t="shared" si="21"/>
        <v/>
      </c>
      <c r="P94" s="1" t="str">
        <f t="shared" si="22"/>
        <v/>
      </c>
      <c r="R94" s="1" t="str">
        <f t="shared" si="23"/>
        <v/>
      </c>
    </row>
    <row r="95" spans="1:18" x14ac:dyDescent="0.2">
      <c r="A95" t="str">
        <f>IF(COUNTBLANK(B95:R95)&lt;&gt;COLUMNS(B95:R95),94,"")</f>
        <v/>
      </c>
      <c r="D95" s="1" t="str">
        <f t="shared" si="12"/>
        <v/>
      </c>
      <c r="E95" s="2" t="str">
        <f t="shared" si="13"/>
        <v/>
      </c>
      <c r="F95" s="1" t="str">
        <f t="shared" si="14"/>
        <v/>
      </c>
      <c r="G95" s="1" t="str">
        <f t="shared" si="15"/>
        <v/>
      </c>
      <c r="H95" s="1" t="str">
        <f t="shared" si="16"/>
        <v/>
      </c>
      <c r="K95" s="1" t="str">
        <f t="shared" si="17"/>
        <v/>
      </c>
      <c r="L95" s="1" t="str">
        <f t="shared" si="18"/>
        <v/>
      </c>
      <c r="M95" s="1" t="str">
        <f t="shared" si="19"/>
        <v/>
      </c>
      <c r="N95" s="1" t="str">
        <f t="shared" si="20"/>
        <v/>
      </c>
      <c r="O95" s="1" t="str">
        <f t="shared" si="21"/>
        <v/>
      </c>
      <c r="P95" s="1" t="str">
        <f t="shared" si="22"/>
        <v/>
      </c>
      <c r="R95" s="1" t="str">
        <f t="shared" si="23"/>
        <v/>
      </c>
    </row>
    <row r="96" spans="1:18" x14ac:dyDescent="0.2">
      <c r="A96" t="str">
        <f>IF(COUNTBLANK(B96:R96)&lt;&gt;COLUMNS(B96:R96),95,"")</f>
        <v/>
      </c>
      <c r="D96" s="1" t="str">
        <f t="shared" si="12"/>
        <v/>
      </c>
      <c r="E96" s="2" t="str">
        <f t="shared" si="13"/>
        <v/>
      </c>
      <c r="F96" s="1" t="str">
        <f t="shared" si="14"/>
        <v/>
      </c>
      <c r="G96" s="1" t="str">
        <f t="shared" si="15"/>
        <v/>
      </c>
      <c r="H96" s="1" t="str">
        <f t="shared" si="16"/>
        <v/>
      </c>
      <c r="K96" s="1" t="str">
        <f t="shared" si="17"/>
        <v/>
      </c>
      <c r="L96" s="1" t="str">
        <f t="shared" si="18"/>
        <v/>
      </c>
      <c r="M96" s="1" t="str">
        <f t="shared" si="19"/>
        <v/>
      </c>
      <c r="N96" s="1" t="str">
        <f t="shared" si="20"/>
        <v/>
      </c>
      <c r="O96" s="1" t="str">
        <f t="shared" si="21"/>
        <v/>
      </c>
      <c r="P96" s="1" t="str">
        <f t="shared" si="22"/>
        <v/>
      </c>
      <c r="R96" s="1" t="str">
        <f t="shared" si="23"/>
        <v/>
      </c>
    </row>
    <row r="97" spans="1:18" x14ac:dyDescent="0.2">
      <c r="A97" t="str">
        <f>IF(COUNTBLANK(B97:R97)&lt;&gt;COLUMNS(B97:R97),96,"")</f>
        <v/>
      </c>
      <c r="D97" s="1" t="str">
        <f t="shared" si="12"/>
        <v/>
      </c>
      <c r="E97" s="2" t="str">
        <f t="shared" si="13"/>
        <v/>
      </c>
      <c r="F97" s="1" t="str">
        <f t="shared" si="14"/>
        <v/>
      </c>
      <c r="G97" s="1" t="str">
        <f t="shared" si="15"/>
        <v/>
      </c>
      <c r="H97" s="1" t="str">
        <f t="shared" si="16"/>
        <v/>
      </c>
      <c r="K97" s="1" t="str">
        <f t="shared" si="17"/>
        <v/>
      </c>
      <c r="L97" s="1" t="str">
        <f t="shared" si="18"/>
        <v/>
      </c>
      <c r="M97" s="1" t="str">
        <f t="shared" si="19"/>
        <v/>
      </c>
      <c r="N97" s="1" t="str">
        <f t="shared" si="20"/>
        <v/>
      </c>
      <c r="O97" s="1" t="str">
        <f t="shared" si="21"/>
        <v/>
      </c>
      <c r="P97" s="1" t="str">
        <f t="shared" si="22"/>
        <v/>
      </c>
      <c r="R97" s="1" t="str">
        <f t="shared" si="23"/>
        <v/>
      </c>
    </row>
    <row r="98" spans="1:18" x14ac:dyDescent="0.2">
      <c r="A98" t="str">
        <f>IF(COUNTBLANK(B98:R98)&lt;&gt;COLUMNS(B98:R98),97,"")</f>
        <v/>
      </c>
      <c r="D98" s="1" t="str">
        <f t="shared" si="12"/>
        <v/>
      </c>
      <c r="E98" s="2" t="str">
        <f t="shared" si="13"/>
        <v/>
      </c>
      <c r="F98" s="1" t="str">
        <f t="shared" si="14"/>
        <v/>
      </c>
      <c r="G98" s="1" t="str">
        <f t="shared" si="15"/>
        <v/>
      </c>
      <c r="H98" s="1" t="str">
        <f t="shared" si="16"/>
        <v/>
      </c>
      <c r="K98" s="1" t="str">
        <f t="shared" si="17"/>
        <v/>
      </c>
      <c r="L98" s="1" t="str">
        <f t="shared" si="18"/>
        <v/>
      </c>
      <c r="M98" s="1" t="str">
        <f t="shared" si="19"/>
        <v/>
      </c>
      <c r="N98" s="1" t="str">
        <f t="shared" si="20"/>
        <v/>
      </c>
      <c r="O98" s="1" t="str">
        <f t="shared" si="21"/>
        <v/>
      </c>
      <c r="P98" s="1" t="str">
        <f t="shared" si="22"/>
        <v/>
      </c>
      <c r="R98" s="1" t="str">
        <f t="shared" si="23"/>
        <v/>
      </c>
    </row>
    <row r="99" spans="1:18" x14ac:dyDescent="0.2">
      <c r="A99" t="str">
        <f>IF(COUNTBLANK(B99:R99)&lt;&gt;COLUMNS(B99:R99),98,"")</f>
        <v/>
      </c>
      <c r="D99" s="1" t="str">
        <f t="shared" si="12"/>
        <v/>
      </c>
      <c r="E99" s="2" t="str">
        <f t="shared" si="13"/>
        <v/>
      </c>
      <c r="F99" s="1" t="str">
        <f t="shared" si="14"/>
        <v/>
      </c>
      <c r="G99" s="1" t="str">
        <f t="shared" si="15"/>
        <v/>
      </c>
      <c r="H99" s="1" t="str">
        <f t="shared" si="16"/>
        <v/>
      </c>
      <c r="K99" s="1" t="str">
        <f t="shared" si="17"/>
        <v/>
      </c>
      <c r="L99" s="1" t="str">
        <f t="shared" si="18"/>
        <v/>
      </c>
      <c r="M99" s="1" t="str">
        <f t="shared" si="19"/>
        <v/>
      </c>
      <c r="N99" s="1" t="str">
        <f t="shared" si="20"/>
        <v/>
      </c>
      <c r="O99" s="1" t="str">
        <f t="shared" si="21"/>
        <v/>
      </c>
      <c r="P99" s="1" t="str">
        <f t="shared" si="22"/>
        <v/>
      </c>
      <c r="R99" s="1" t="str">
        <f t="shared" si="23"/>
        <v/>
      </c>
    </row>
    <row r="100" spans="1:18" x14ac:dyDescent="0.2">
      <c r="A100" t="str">
        <f>IF(COUNTBLANK(B100:R100)&lt;&gt;COLUMNS(B100:R100),99,"")</f>
        <v/>
      </c>
      <c r="D100" s="1" t="str">
        <f t="shared" si="12"/>
        <v/>
      </c>
      <c r="E100" s="2" t="str">
        <f t="shared" si="13"/>
        <v/>
      </c>
      <c r="F100" s="1" t="str">
        <f t="shared" si="14"/>
        <v/>
      </c>
      <c r="G100" s="1" t="str">
        <f t="shared" si="15"/>
        <v/>
      </c>
      <c r="H100" s="1" t="str">
        <f t="shared" si="16"/>
        <v/>
      </c>
      <c r="K100" s="1" t="str">
        <f t="shared" si="17"/>
        <v/>
      </c>
      <c r="L100" s="1" t="str">
        <f t="shared" si="18"/>
        <v/>
      </c>
      <c r="M100" s="1" t="str">
        <f t="shared" si="19"/>
        <v/>
      </c>
      <c r="N100" s="1" t="str">
        <f t="shared" si="20"/>
        <v/>
      </c>
      <c r="O100" s="1" t="str">
        <f t="shared" si="21"/>
        <v/>
      </c>
      <c r="P100" s="1" t="str">
        <f t="shared" si="22"/>
        <v/>
      </c>
      <c r="R100" s="1" t="str">
        <f t="shared" si="23"/>
        <v/>
      </c>
    </row>
    <row r="101" spans="1:18" x14ac:dyDescent="0.2">
      <c r="A101" t="str">
        <f>IF(COUNTBLANK(B101:R101)&lt;&gt;COLUMNS(B101:R101),100,"")</f>
        <v/>
      </c>
      <c r="D101" s="1" t="str">
        <f t="shared" si="12"/>
        <v/>
      </c>
      <c r="E101" s="2" t="str">
        <f t="shared" si="13"/>
        <v/>
      </c>
      <c r="F101" s="1" t="str">
        <f t="shared" si="14"/>
        <v/>
      </c>
      <c r="G101" s="1" t="str">
        <f t="shared" si="15"/>
        <v/>
      </c>
      <c r="H101" s="1" t="str">
        <f t="shared" si="16"/>
        <v/>
      </c>
      <c r="K101" s="1" t="str">
        <f t="shared" si="17"/>
        <v/>
      </c>
      <c r="L101" s="1" t="str">
        <f t="shared" si="18"/>
        <v/>
      </c>
      <c r="M101" s="1" t="str">
        <f t="shared" si="19"/>
        <v/>
      </c>
      <c r="N101" s="1" t="str">
        <f t="shared" si="20"/>
        <v/>
      </c>
      <c r="O101" s="1" t="str">
        <f t="shared" si="21"/>
        <v/>
      </c>
      <c r="P101" s="1" t="str">
        <f t="shared" si="22"/>
        <v/>
      </c>
      <c r="R101" s="1" t="str">
        <f t="shared" si="23"/>
        <v/>
      </c>
    </row>
    <row r="102" spans="1:18" x14ac:dyDescent="0.2">
      <c r="A102" t="str">
        <f>IF(COUNTBLANK(B102:R102)&lt;&gt;COLUMNS(B102:R102),101,"")</f>
        <v/>
      </c>
      <c r="D102" s="1" t="str">
        <f t="shared" si="12"/>
        <v/>
      </c>
      <c r="E102" s="2" t="str">
        <f t="shared" si="13"/>
        <v/>
      </c>
      <c r="F102" s="1" t="str">
        <f t="shared" si="14"/>
        <v/>
      </c>
      <c r="G102" s="1" t="str">
        <f t="shared" si="15"/>
        <v/>
      </c>
      <c r="H102" s="1" t="str">
        <f t="shared" si="16"/>
        <v/>
      </c>
      <c r="K102" s="1" t="str">
        <f t="shared" si="17"/>
        <v/>
      </c>
      <c r="L102" s="1" t="str">
        <f t="shared" si="18"/>
        <v/>
      </c>
      <c r="M102" s="1" t="str">
        <f t="shared" si="19"/>
        <v/>
      </c>
      <c r="N102" s="1" t="str">
        <f t="shared" si="20"/>
        <v/>
      </c>
      <c r="O102" s="1" t="str">
        <f t="shared" si="21"/>
        <v/>
      </c>
      <c r="P102" s="1" t="str">
        <f t="shared" si="22"/>
        <v/>
      </c>
      <c r="R102" s="1" t="str">
        <f t="shared" si="23"/>
        <v/>
      </c>
    </row>
    <row r="103" spans="1:18" x14ac:dyDescent="0.2">
      <c r="A103" t="str">
        <f>IF(COUNTBLANK(B103:R103)&lt;&gt;COLUMNS(B103:R103),102,"")</f>
        <v/>
      </c>
      <c r="D103" s="1" t="str">
        <f t="shared" si="12"/>
        <v/>
      </c>
      <c r="E103" s="2" t="str">
        <f t="shared" si="13"/>
        <v/>
      </c>
      <c r="F103" s="1" t="str">
        <f t="shared" si="14"/>
        <v/>
      </c>
      <c r="G103" s="1" t="str">
        <f t="shared" si="15"/>
        <v/>
      </c>
      <c r="H103" s="1" t="str">
        <f t="shared" si="16"/>
        <v/>
      </c>
      <c r="K103" s="1" t="str">
        <f t="shared" si="17"/>
        <v/>
      </c>
      <c r="L103" s="1" t="str">
        <f t="shared" si="18"/>
        <v/>
      </c>
      <c r="M103" s="1" t="str">
        <f t="shared" si="19"/>
        <v/>
      </c>
      <c r="N103" s="1" t="str">
        <f t="shared" si="20"/>
        <v/>
      </c>
      <c r="O103" s="1" t="str">
        <f t="shared" si="21"/>
        <v/>
      </c>
      <c r="P103" s="1" t="str">
        <f t="shared" si="22"/>
        <v/>
      </c>
      <c r="R103" s="1" t="str">
        <f t="shared" si="23"/>
        <v/>
      </c>
    </row>
    <row r="104" spans="1:18" x14ac:dyDescent="0.2">
      <c r="A104" t="str">
        <f>IF(COUNTBLANK(B104:R104)&lt;&gt;COLUMNS(B104:R104),103,"")</f>
        <v/>
      </c>
      <c r="D104" s="1" t="str">
        <f t="shared" si="12"/>
        <v/>
      </c>
      <c r="E104" s="2" t="str">
        <f t="shared" si="13"/>
        <v/>
      </c>
      <c r="F104" s="1" t="str">
        <f t="shared" si="14"/>
        <v/>
      </c>
      <c r="G104" s="1" t="str">
        <f t="shared" si="15"/>
        <v/>
      </c>
      <c r="H104" s="1" t="str">
        <f t="shared" si="16"/>
        <v/>
      </c>
      <c r="K104" s="1" t="str">
        <f t="shared" si="17"/>
        <v/>
      </c>
      <c r="L104" s="1" t="str">
        <f t="shared" si="18"/>
        <v/>
      </c>
      <c r="M104" s="1" t="str">
        <f t="shared" si="19"/>
        <v/>
      </c>
      <c r="N104" s="1" t="str">
        <f t="shared" si="20"/>
        <v/>
      </c>
      <c r="O104" s="1" t="str">
        <f t="shared" si="21"/>
        <v/>
      </c>
      <c r="P104" s="1" t="str">
        <f t="shared" si="22"/>
        <v/>
      </c>
      <c r="R104" s="1" t="str">
        <f t="shared" si="23"/>
        <v/>
      </c>
    </row>
    <row r="105" spans="1:18" x14ac:dyDescent="0.2">
      <c r="A105" t="str">
        <f>IF(COUNTBLANK(B105:R105)&lt;&gt;COLUMNS(B105:R105),104,"")</f>
        <v/>
      </c>
      <c r="D105" s="1" t="str">
        <f t="shared" si="12"/>
        <v/>
      </c>
      <c r="E105" s="2" t="str">
        <f t="shared" si="13"/>
        <v/>
      </c>
      <c r="F105" s="1" t="str">
        <f t="shared" si="14"/>
        <v/>
      </c>
      <c r="G105" s="1" t="str">
        <f t="shared" si="15"/>
        <v/>
      </c>
      <c r="H105" s="1" t="str">
        <f t="shared" si="16"/>
        <v/>
      </c>
      <c r="K105" s="1" t="str">
        <f t="shared" si="17"/>
        <v/>
      </c>
      <c r="L105" s="1" t="str">
        <f t="shared" si="18"/>
        <v/>
      </c>
      <c r="M105" s="1" t="str">
        <f t="shared" si="19"/>
        <v/>
      </c>
      <c r="N105" s="1" t="str">
        <f t="shared" si="20"/>
        <v/>
      </c>
      <c r="O105" s="1" t="str">
        <f t="shared" si="21"/>
        <v/>
      </c>
      <c r="P105" s="1" t="str">
        <f t="shared" si="22"/>
        <v/>
      </c>
      <c r="R105" s="1" t="str">
        <f t="shared" si="23"/>
        <v/>
      </c>
    </row>
    <row r="106" spans="1:18" x14ac:dyDescent="0.2">
      <c r="A106" t="str">
        <f>IF(COUNTBLANK(B106:R106)&lt;&gt;COLUMNS(B106:R106),105,"")</f>
        <v/>
      </c>
      <c r="D106" s="1" t="str">
        <f t="shared" si="12"/>
        <v/>
      </c>
      <c r="E106" s="2" t="str">
        <f t="shared" si="13"/>
        <v/>
      </c>
      <c r="F106" s="1" t="str">
        <f t="shared" si="14"/>
        <v/>
      </c>
      <c r="G106" s="1" t="str">
        <f t="shared" si="15"/>
        <v/>
      </c>
      <c r="H106" s="1" t="str">
        <f t="shared" si="16"/>
        <v/>
      </c>
      <c r="K106" s="1" t="str">
        <f t="shared" si="17"/>
        <v/>
      </c>
      <c r="L106" s="1" t="str">
        <f t="shared" si="18"/>
        <v/>
      </c>
      <c r="M106" s="1" t="str">
        <f t="shared" si="19"/>
        <v/>
      </c>
      <c r="N106" s="1" t="str">
        <f t="shared" si="20"/>
        <v/>
      </c>
      <c r="O106" s="1" t="str">
        <f t="shared" si="21"/>
        <v/>
      </c>
      <c r="P106" s="1" t="str">
        <f t="shared" si="22"/>
        <v/>
      </c>
      <c r="R106" s="1" t="str">
        <f t="shared" si="23"/>
        <v/>
      </c>
    </row>
    <row r="107" spans="1:18" x14ac:dyDescent="0.2">
      <c r="A107" t="str">
        <f>IF(COUNTBLANK(B107:R107)&lt;&gt;COLUMNS(B107:R107),106,"")</f>
        <v/>
      </c>
      <c r="D107" s="1" t="str">
        <f t="shared" si="12"/>
        <v/>
      </c>
      <c r="E107" s="2" t="str">
        <f t="shared" si="13"/>
        <v/>
      </c>
      <c r="F107" s="1" t="str">
        <f t="shared" si="14"/>
        <v/>
      </c>
      <c r="G107" s="1" t="str">
        <f t="shared" si="15"/>
        <v/>
      </c>
      <c r="H107" s="1" t="str">
        <f t="shared" si="16"/>
        <v/>
      </c>
      <c r="K107" s="1" t="str">
        <f t="shared" si="17"/>
        <v/>
      </c>
      <c r="L107" s="1" t="str">
        <f t="shared" si="18"/>
        <v/>
      </c>
      <c r="M107" s="1" t="str">
        <f t="shared" si="19"/>
        <v/>
      </c>
      <c r="N107" s="1" t="str">
        <f t="shared" si="20"/>
        <v/>
      </c>
      <c r="O107" s="1" t="str">
        <f t="shared" si="21"/>
        <v/>
      </c>
      <c r="P107" s="1" t="str">
        <f t="shared" si="22"/>
        <v/>
      </c>
      <c r="R107" s="1" t="str">
        <f t="shared" si="23"/>
        <v/>
      </c>
    </row>
    <row r="108" spans="1:18" x14ac:dyDescent="0.2">
      <c r="A108" t="str">
        <f>IF(COUNTBLANK(B108:R108)&lt;&gt;COLUMNS(B108:R108),107,"")</f>
        <v/>
      </c>
      <c r="D108" s="1" t="str">
        <f t="shared" si="12"/>
        <v/>
      </c>
      <c r="E108" s="2" t="str">
        <f t="shared" si="13"/>
        <v/>
      </c>
      <c r="F108" s="1" t="str">
        <f t="shared" si="14"/>
        <v/>
      </c>
      <c r="G108" s="1" t="str">
        <f t="shared" si="15"/>
        <v/>
      </c>
      <c r="H108" s="1" t="str">
        <f t="shared" si="16"/>
        <v/>
      </c>
      <c r="K108" s="1" t="str">
        <f t="shared" si="17"/>
        <v/>
      </c>
      <c r="L108" s="1" t="str">
        <f t="shared" si="18"/>
        <v/>
      </c>
      <c r="M108" s="1" t="str">
        <f t="shared" si="19"/>
        <v/>
      </c>
      <c r="N108" s="1" t="str">
        <f t="shared" si="20"/>
        <v/>
      </c>
      <c r="O108" s="1" t="str">
        <f t="shared" si="21"/>
        <v/>
      </c>
      <c r="P108" s="1" t="str">
        <f t="shared" si="22"/>
        <v/>
      </c>
      <c r="R108" s="1" t="str">
        <f t="shared" si="23"/>
        <v/>
      </c>
    </row>
    <row r="109" spans="1:18" x14ac:dyDescent="0.2">
      <c r="A109" t="str">
        <f>IF(COUNTBLANK(B109:R109)&lt;&gt;COLUMNS(B109:R109),108,"")</f>
        <v/>
      </c>
      <c r="D109" s="1" t="str">
        <f t="shared" si="12"/>
        <v/>
      </c>
      <c r="E109" s="2" t="str">
        <f t="shared" si="13"/>
        <v/>
      </c>
      <c r="F109" s="1" t="str">
        <f t="shared" si="14"/>
        <v/>
      </c>
      <c r="G109" s="1" t="str">
        <f t="shared" si="15"/>
        <v/>
      </c>
      <c r="H109" s="1" t="str">
        <f t="shared" si="16"/>
        <v/>
      </c>
      <c r="K109" s="1" t="str">
        <f t="shared" si="17"/>
        <v/>
      </c>
      <c r="L109" s="1" t="str">
        <f t="shared" si="18"/>
        <v/>
      </c>
      <c r="M109" s="1" t="str">
        <f t="shared" si="19"/>
        <v/>
      </c>
      <c r="N109" s="1" t="str">
        <f t="shared" si="20"/>
        <v/>
      </c>
      <c r="O109" s="1" t="str">
        <f t="shared" si="21"/>
        <v/>
      </c>
      <c r="P109" s="1" t="str">
        <f t="shared" si="22"/>
        <v/>
      </c>
      <c r="R109" s="1" t="str">
        <f t="shared" si="23"/>
        <v/>
      </c>
    </row>
    <row r="110" spans="1:18" x14ac:dyDescent="0.2">
      <c r="A110" t="str">
        <f>IF(COUNTBLANK(B110:R110)&lt;&gt;COLUMNS(B110:R110),109,"")</f>
        <v/>
      </c>
      <c r="D110" s="1" t="str">
        <f t="shared" si="12"/>
        <v/>
      </c>
      <c r="E110" s="2" t="str">
        <f t="shared" si="13"/>
        <v/>
      </c>
      <c r="F110" s="1" t="str">
        <f t="shared" si="14"/>
        <v/>
      </c>
      <c r="G110" s="1" t="str">
        <f t="shared" si="15"/>
        <v/>
      </c>
      <c r="H110" s="1" t="str">
        <f t="shared" si="16"/>
        <v/>
      </c>
      <c r="K110" s="1" t="str">
        <f t="shared" si="17"/>
        <v/>
      </c>
      <c r="L110" s="1" t="str">
        <f t="shared" si="18"/>
        <v/>
      </c>
      <c r="M110" s="1" t="str">
        <f t="shared" si="19"/>
        <v/>
      </c>
      <c r="N110" s="1" t="str">
        <f t="shared" si="20"/>
        <v/>
      </c>
      <c r="O110" s="1" t="str">
        <f t="shared" si="21"/>
        <v/>
      </c>
      <c r="P110" s="1" t="str">
        <f t="shared" si="22"/>
        <v/>
      </c>
      <c r="R110" s="1" t="str">
        <f t="shared" si="23"/>
        <v/>
      </c>
    </row>
    <row r="111" spans="1:18" x14ac:dyDescent="0.2">
      <c r="A111" t="str">
        <f>IF(COUNTBLANK(B111:R111)&lt;&gt;COLUMNS(B111:R111),110,"")</f>
        <v/>
      </c>
      <c r="D111" s="1" t="str">
        <f t="shared" si="12"/>
        <v/>
      </c>
      <c r="E111" s="2" t="str">
        <f t="shared" si="13"/>
        <v/>
      </c>
      <c r="F111" s="1" t="str">
        <f t="shared" si="14"/>
        <v/>
      </c>
      <c r="G111" s="1" t="str">
        <f t="shared" si="15"/>
        <v/>
      </c>
      <c r="H111" s="1" t="str">
        <f t="shared" si="16"/>
        <v/>
      </c>
      <c r="K111" s="1" t="str">
        <f t="shared" si="17"/>
        <v/>
      </c>
      <c r="L111" s="1" t="str">
        <f t="shared" si="18"/>
        <v/>
      </c>
      <c r="M111" s="1" t="str">
        <f t="shared" si="19"/>
        <v/>
      </c>
      <c r="N111" s="1" t="str">
        <f t="shared" si="20"/>
        <v/>
      </c>
      <c r="O111" s="1" t="str">
        <f t="shared" si="21"/>
        <v/>
      </c>
      <c r="P111" s="1" t="str">
        <f t="shared" si="22"/>
        <v/>
      </c>
      <c r="R111" s="1" t="str">
        <f t="shared" si="23"/>
        <v/>
      </c>
    </row>
    <row r="112" spans="1:18" x14ac:dyDescent="0.2">
      <c r="A112" t="str">
        <f>IF(COUNTBLANK(B112:R112)&lt;&gt;COLUMNS(B112:R112),111,"")</f>
        <v/>
      </c>
      <c r="D112" s="1" t="str">
        <f t="shared" si="12"/>
        <v/>
      </c>
      <c r="E112" s="2" t="str">
        <f t="shared" si="13"/>
        <v/>
      </c>
      <c r="F112" s="1" t="str">
        <f t="shared" si="14"/>
        <v/>
      </c>
      <c r="G112" s="1" t="str">
        <f t="shared" si="15"/>
        <v/>
      </c>
      <c r="H112" s="1" t="str">
        <f t="shared" si="16"/>
        <v/>
      </c>
      <c r="K112" s="1" t="str">
        <f t="shared" si="17"/>
        <v/>
      </c>
      <c r="L112" s="1" t="str">
        <f t="shared" si="18"/>
        <v/>
      </c>
      <c r="M112" s="1" t="str">
        <f t="shared" si="19"/>
        <v/>
      </c>
      <c r="N112" s="1" t="str">
        <f t="shared" si="20"/>
        <v/>
      </c>
      <c r="O112" s="1" t="str">
        <f t="shared" si="21"/>
        <v/>
      </c>
      <c r="P112" s="1" t="str">
        <f t="shared" si="22"/>
        <v/>
      </c>
      <c r="R112" s="1" t="str">
        <f t="shared" si="23"/>
        <v/>
      </c>
    </row>
    <row r="113" spans="1:18" x14ac:dyDescent="0.2">
      <c r="A113" t="str">
        <f>IF(COUNTBLANK(B113:R113)&lt;&gt;COLUMNS(B113:R113),112,"")</f>
        <v/>
      </c>
      <c r="D113" s="1" t="str">
        <f t="shared" si="12"/>
        <v/>
      </c>
      <c r="E113" s="2" t="str">
        <f t="shared" si="13"/>
        <v/>
      </c>
      <c r="F113" s="1" t="str">
        <f t="shared" si="14"/>
        <v/>
      </c>
      <c r="G113" s="1" t="str">
        <f t="shared" si="15"/>
        <v/>
      </c>
      <c r="H113" s="1" t="str">
        <f t="shared" si="16"/>
        <v/>
      </c>
      <c r="K113" s="1" t="str">
        <f t="shared" si="17"/>
        <v/>
      </c>
      <c r="L113" s="1" t="str">
        <f t="shared" si="18"/>
        <v/>
      </c>
      <c r="M113" s="1" t="str">
        <f t="shared" si="19"/>
        <v/>
      </c>
      <c r="N113" s="1" t="str">
        <f t="shared" si="20"/>
        <v/>
      </c>
      <c r="O113" s="1" t="str">
        <f t="shared" si="21"/>
        <v/>
      </c>
      <c r="P113" s="1" t="str">
        <f t="shared" si="22"/>
        <v/>
      </c>
      <c r="R113" s="1" t="str">
        <f t="shared" si="23"/>
        <v/>
      </c>
    </row>
    <row r="114" spans="1:18" x14ac:dyDescent="0.2">
      <c r="A114" t="str">
        <f>IF(COUNTBLANK(B114:R114)&lt;&gt;COLUMNS(B114:R114),113,"")</f>
        <v/>
      </c>
      <c r="D114" s="1" t="str">
        <f t="shared" si="12"/>
        <v/>
      </c>
      <c r="E114" s="2" t="str">
        <f t="shared" si="13"/>
        <v/>
      </c>
      <c r="F114" s="1" t="str">
        <f t="shared" si="14"/>
        <v/>
      </c>
      <c r="G114" s="1" t="str">
        <f t="shared" si="15"/>
        <v/>
      </c>
      <c r="H114" s="1" t="str">
        <f t="shared" si="16"/>
        <v/>
      </c>
      <c r="K114" s="1" t="str">
        <f t="shared" si="17"/>
        <v/>
      </c>
      <c r="L114" s="1" t="str">
        <f t="shared" si="18"/>
        <v/>
      </c>
      <c r="M114" s="1" t="str">
        <f t="shared" si="19"/>
        <v/>
      </c>
      <c r="N114" s="1" t="str">
        <f t="shared" si="20"/>
        <v/>
      </c>
      <c r="O114" s="1" t="str">
        <f t="shared" si="21"/>
        <v/>
      </c>
      <c r="P114" s="1" t="str">
        <f t="shared" si="22"/>
        <v/>
      </c>
      <c r="R114" s="1" t="str">
        <f t="shared" si="23"/>
        <v/>
      </c>
    </row>
    <row r="115" spans="1:18" x14ac:dyDescent="0.2">
      <c r="A115" t="str">
        <f>IF(COUNTBLANK(B115:R115)&lt;&gt;COLUMNS(B115:R115),114,"")</f>
        <v/>
      </c>
      <c r="D115" s="1" t="str">
        <f t="shared" si="12"/>
        <v/>
      </c>
      <c r="E115" s="2" t="str">
        <f t="shared" si="13"/>
        <v/>
      </c>
      <c r="F115" s="1" t="str">
        <f t="shared" si="14"/>
        <v/>
      </c>
      <c r="G115" s="1" t="str">
        <f t="shared" si="15"/>
        <v/>
      </c>
      <c r="H115" s="1" t="str">
        <f t="shared" si="16"/>
        <v/>
      </c>
      <c r="K115" s="1" t="str">
        <f t="shared" si="17"/>
        <v/>
      </c>
      <c r="L115" s="1" t="str">
        <f t="shared" si="18"/>
        <v/>
      </c>
      <c r="M115" s="1" t="str">
        <f t="shared" si="19"/>
        <v/>
      </c>
      <c r="N115" s="1" t="str">
        <f t="shared" si="20"/>
        <v/>
      </c>
      <c r="O115" s="1" t="str">
        <f t="shared" si="21"/>
        <v/>
      </c>
      <c r="P115" s="1" t="str">
        <f t="shared" si="22"/>
        <v/>
      </c>
      <c r="R115" s="1" t="str">
        <f t="shared" si="23"/>
        <v/>
      </c>
    </row>
    <row r="116" spans="1:18" x14ac:dyDescent="0.2">
      <c r="A116" t="str">
        <f>IF(COUNTBLANK(B116:R116)&lt;&gt;COLUMNS(B116:R116),115,"")</f>
        <v/>
      </c>
      <c r="D116" s="1" t="str">
        <f t="shared" si="12"/>
        <v/>
      </c>
      <c r="E116" s="2" t="str">
        <f t="shared" si="13"/>
        <v/>
      </c>
      <c r="F116" s="1" t="str">
        <f t="shared" si="14"/>
        <v/>
      </c>
      <c r="G116" s="1" t="str">
        <f t="shared" si="15"/>
        <v/>
      </c>
      <c r="H116" s="1" t="str">
        <f t="shared" si="16"/>
        <v/>
      </c>
      <c r="K116" s="1" t="str">
        <f t="shared" si="17"/>
        <v/>
      </c>
      <c r="L116" s="1" t="str">
        <f t="shared" si="18"/>
        <v/>
      </c>
      <c r="M116" s="1" t="str">
        <f t="shared" si="19"/>
        <v/>
      </c>
      <c r="N116" s="1" t="str">
        <f t="shared" si="20"/>
        <v/>
      </c>
      <c r="O116" s="1" t="str">
        <f t="shared" si="21"/>
        <v/>
      </c>
      <c r="P116" s="1" t="str">
        <f t="shared" si="22"/>
        <v/>
      </c>
      <c r="R116" s="1" t="str">
        <f t="shared" si="23"/>
        <v/>
      </c>
    </row>
    <row r="117" spans="1:18" x14ac:dyDescent="0.2">
      <c r="A117" t="str">
        <f>IF(COUNTBLANK(B117:R117)&lt;&gt;COLUMNS(B117:R117),116,"")</f>
        <v/>
      </c>
      <c r="D117" s="1" t="str">
        <f t="shared" si="12"/>
        <v/>
      </c>
      <c r="E117" s="2" t="str">
        <f t="shared" si="13"/>
        <v/>
      </c>
      <c r="F117" s="1" t="str">
        <f t="shared" si="14"/>
        <v/>
      </c>
      <c r="G117" s="1" t="str">
        <f t="shared" si="15"/>
        <v/>
      </c>
      <c r="H117" s="1" t="str">
        <f t="shared" si="16"/>
        <v/>
      </c>
      <c r="K117" s="1" t="str">
        <f t="shared" si="17"/>
        <v/>
      </c>
      <c r="L117" s="1" t="str">
        <f t="shared" si="18"/>
        <v/>
      </c>
      <c r="M117" s="1" t="str">
        <f t="shared" si="19"/>
        <v/>
      </c>
      <c r="N117" s="1" t="str">
        <f t="shared" si="20"/>
        <v/>
      </c>
      <c r="O117" s="1" t="str">
        <f t="shared" si="21"/>
        <v/>
      </c>
      <c r="P117" s="1" t="str">
        <f t="shared" si="22"/>
        <v/>
      </c>
      <c r="R117" s="1" t="str">
        <f t="shared" si="23"/>
        <v/>
      </c>
    </row>
    <row r="118" spans="1:18" x14ac:dyDescent="0.2">
      <c r="A118" t="str">
        <f>IF(COUNTBLANK(B118:R118)&lt;&gt;COLUMNS(B118:R118),117,"")</f>
        <v/>
      </c>
      <c r="D118" s="1" t="str">
        <f t="shared" si="12"/>
        <v/>
      </c>
      <c r="E118" s="2" t="str">
        <f t="shared" si="13"/>
        <v/>
      </c>
      <c r="F118" s="1" t="str">
        <f t="shared" si="14"/>
        <v/>
      </c>
      <c r="G118" s="1" t="str">
        <f t="shared" si="15"/>
        <v/>
      </c>
      <c r="H118" s="1" t="str">
        <f t="shared" si="16"/>
        <v/>
      </c>
      <c r="K118" s="1" t="str">
        <f t="shared" si="17"/>
        <v/>
      </c>
      <c r="L118" s="1" t="str">
        <f t="shared" si="18"/>
        <v/>
      </c>
      <c r="M118" s="1" t="str">
        <f t="shared" si="19"/>
        <v/>
      </c>
      <c r="N118" s="1" t="str">
        <f t="shared" si="20"/>
        <v/>
      </c>
      <c r="O118" s="1" t="str">
        <f t="shared" si="21"/>
        <v/>
      </c>
      <c r="P118" s="1" t="str">
        <f t="shared" si="22"/>
        <v/>
      </c>
      <c r="R118" s="1" t="str">
        <f t="shared" si="23"/>
        <v/>
      </c>
    </row>
    <row r="119" spans="1:18" x14ac:dyDescent="0.2">
      <c r="A119" t="str">
        <f>IF(COUNTBLANK(B119:R119)&lt;&gt;COLUMNS(B119:R119),118,"")</f>
        <v/>
      </c>
      <c r="D119" s="1" t="str">
        <f t="shared" si="12"/>
        <v/>
      </c>
      <c r="E119" s="2" t="str">
        <f t="shared" si="13"/>
        <v/>
      </c>
      <c r="F119" s="1" t="str">
        <f t="shared" si="14"/>
        <v/>
      </c>
      <c r="G119" s="1" t="str">
        <f t="shared" si="15"/>
        <v/>
      </c>
      <c r="H119" s="1" t="str">
        <f t="shared" si="16"/>
        <v/>
      </c>
      <c r="K119" s="1" t="str">
        <f t="shared" si="17"/>
        <v/>
      </c>
      <c r="L119" s="1" t="str">
        <f t="shared" si="18"/>
        <v/>
      </c>
      <c r="M119" s="1" t="str">
        <f t="shared" si="19"/>
        <v/>
      </c>
      <c r="N119" s="1" t="str">
        <f t="shared" si="20"/>
        <v/>
      </c>
      <c r="O119" s="1" t="str">
        <f t="shared" si="21"/>
        <v/>
      </c>
      <c r="P119" s="1" t="str">
        <f t="shared" si="22"/>
        <v/>
      </c>
      <c r="R119" s="1" t="str">
        <f t="shared" si="23"/>
        <v/>
      </c>
    </row>
    <row r="120" spans="1:18" x14ac:dyDescent="0.2">
      <c r="A120" t="str">
        <f>IF(COUNTBLANK(B120:R120)&lt;&gt;COLUMNS(B120:R120),119,"")</f>
        <v/>
      </c>
      <c r="D120" s="1" t="str">
        <f t="shared" si="12"/>
        <v/>
      </c>
      <c r="E120" s="2" t="str">
        <f t="shared" si="13"/>
        <v/>
      </c>
      <c r="F120" s="1" t="str">
        <f t="shared" si="14"/>
        <v/>
      </c>
      <c r="G120" s="1" t="str">
        <f t="shared" si="15"/>
        <v/>
      </c>
      <c r="H120" s="1" t="str">
        <f t="shared" si="16"/>
        <v/>
      </c>
      <c r="K120" s="1" t="str">
        <f t="shared" si="17"/>
        <v/>
      </c>
      <c r="L120" s="1" t="str">
        <f t="shared" si="18"/>
        <v/>
      </c>
      <c r="M120" s="1" t="str">
        <f t="shared" si="19"/>
        <v/>
      </c>
      <c r="N120" s="1" t="str">
        <f t="shared" si="20"/>
        <v/>
      </c>
      <c r="O120" s="1" t="str">
        <f t="shared" si="21"/>
        <v/>
      </c>
      <c r="P120" s="1" t="str">
        <f t="shared" si="22"/>
        <v/>
      </c>
      <c r="R120" s="1" t="str">
        <f t="shared" si="23"/>
        <v/>
      </c>
    </row>
    <row r="121" spans="1:18" x14ac:dyDescent="0.2">
      <c r="A121" t="str">
        <f>IF(COUNTBLANK(B121:R121)&lt;&gt;COLUMNS(B121:R121),120,"")</f>
        <v/>
      </c>
      <c r="D121" s="1" t="str">
        <f t="shared" si="12"/>
        <v/>
      </c>
      <c r="E121" s="2" t="str">
        <f t="shared" si="13"/>
        <v/>
      </c>
      <c r="F121" s="1" t="str">
        <f t="shared" si="14"/>
        <v/>
      </c>
      <c r="G121" s="1" t="str">
        <f t="shared" si="15"/>
        <v/>
      </c>
      <c r="H121" s="1" t="str">
        <f t="shared" si="16"/>
        <v/>
      </c>
      <c r="K121" s="1" t="str">
        <f t="shared" si="17"/>
        <v/>
      </c>
      <c r="L121" s="1" t="str">
        <f t="shared" si="18"/>
        <v/>
      </c>
      <c r="M121" s="1" t="str">
        <f t="shared" si="19"/>
        <v/>
      </c>
      <c r="N121" s="1" t="str">
        <f t="shared" si="20"/>
        <v/>
      </c>
      <c r="O121" s="1" t="str">
        <f t="shared" si="21"/>
        <v/>
      </c>
      <c r="P121" s="1" t="str">
        <f t="shared" si="22"/>
        <v/>
      </c>
      <c r="R121" s="1" t="str">
        <f t="shared" si="23"/>
        <v/>
      </c>
    </row>
    <row r="122" spans="1:18" x14ac:dyDescent="0.2">
      <c r="A122" t="str">
        <f>IF(COUNTBLANK(B122:R122)&lt;&gt;COLUMNS(B122:R122),121,"")</f>
        <v/>
      </c>
      <c r="D122" s="1" t="str">
        <f t="shared" si="12"/>
        <v/>
      </c>
      <c r="E122" s="2" t="str">
        <f t="shared" si="13"/>
        <v/>
      </c>
      <c r="F122" s="1" t="str">
        <f t="shared" si="14"/>
        <v/>
      </c>
      <c r="G122" s="1" t="str">
        <f t="shared" si="15"/>
        <v/>
      </c>
      <c r="H122" s="1" t="str">
        <f t="shared" si="16"/>
        <v/>
      </c>
      <c r="K122" s="1" t="str">
        <f t="shared" si="17"/>
        <v/>
      </c>
      <c r="L122" s="1" t="str">
        <f t="shared" si="18"/>
        <v/>
      </c>
      <c r="M122" s="1" t="str">
        <f t="shared" si="19"/>
        <v/>
      </c>
      <c r="N122" s="1" t="str">
        <f t="shared" si="20"/>
        <v/>
      </c>
      <c r="O122" s="1" t="str">
        <f t="shared" si="21"/>
        <v/>
      </c>
      <c r="P122" s="1" t="str">
        <f t="shared" si="22"/>
        <v/>
      </c>
      <c r="R122" s="1" t="str">
        <f t="shared" si="23"/>
        <v/>
      </c>
    </row>
    <row r="123" spans="1:18" x14ac:dyDescent="0.2">
      <c r="A123" t="str">
        <f>IF(COUNTBLANK(B123:R123)&lt;&gt;COLUMNS(B123:R123),122,"")</f>
        <v/>
      </c>
      <c r="D123" s="1" t="str">
        <f t="shared" si="12"/>
        <v/>
      </c>
      <c r="E123" s="2" t="str">
        <f t="shared" si="13"/>
        <v/>
      </c>
      <c r="F123" s="1" t="str">
        <f t="shared" si="14"/>
        <v/>
      </c>
      <c r="G123" s="1" t="str">
        <f t="shared" si="15"/>
        <v/>
      </c>
      <c r="H123" s="1" t="str">
        <f t="shared" si="16"/>
        <v/>
      </c>
      <c r="K123" s="1" t="str">
        <f t="shared" si="17"/>
        <v/>
      </c>
      <c r="L123" s="1" t="str">
        <f t="shared" si="18"/>
        <v/>
      </c>
      <c r="M123" s="1" t="str">
        <f t="shared" si="19"/>
        <v/>
      </c>
      <c r="N123" s="1" t="str">
        <f t="shared" si="20"/>
        <v/>
      </c>
      <c r="O123" s="1" t="str">
        <f t="shared" si="21"/>
        <v/>
      </c>
      <c r="P123" s="1" t="str">
        <f t="shared" si="22"/>
        <v/>
      </c>
      <c r="R123" s="1" t="str">
        <f t="shared" si="23"/>
        <v/>
      </c>
    </row>
    <row r="124" spans="1:18" x14ac:dyDescent="0.2">
      <c r="A124" t="str">
        <f>IF(COUNTBLANK(B124:R124)&lt;&gt;COLUMNS(B124:R124),123,"")</f>
        <v/>
      </c>
      <c r="D124" s="1" t="str">
        <f t="shared" si="12"/>
        <v/>
      </c>
      <c r="E124" s="2" t="str">
        <f t="shared" si="13"/>
        <v/>
      </c>
      <c r="F124" s="1" t="str">
        <f t="shared" si="14"/>
        <v/>
      </c>
      <c r="G124" s="1" t="str">
        <f t="shared" si="15"/>
        <v/>
      </c>
      <c r="H124" s="1" t="str">
        <f t="shared" si="16"/>
        <v/>
      </c>
      <c r="K124" s="1" t="str">
        <f t="shared" si="17"/>
        <v/>
      </c>
      <c r="L124" s="1" t="str">
        <f t="shared" si="18"/>
        <v/>
      </c>
      <c r="M124" s="1" t="str">
        <f t="shared" si="19"/>
        <v/>
      </c>
      <c r="N124" s="1" t="str">
        <f t="shared" si="20"/>
        <v/>
      </c>
      <c r="O124" s="1" t="str">
        <f t="shared" si="21"/>
        <v/>
      </c>
      <c r="P124" s="1" t="str">
        <f t="shared" si="22"/>
        <v/>
      </c>
      <c r="R124" s="1" t="str">
        <f t="shared" si="23"/>
        <v/>
      </c>
    </row>
    <row r="125" spans="1:18" x14ac:dyDescent="0.2">
      <c r="A125" t="str">
        <f>IF(COUNTBLANK(B125:R125)&lt;&gt;COLUMNS(B125:R125),124,"")</f>
        <v/>
      </c>
      <c r="D125" s="1" t="str">
        <f t="shared" si="12"/>
        <v/>
      </c>
      <c r="E125" s="2" t="str">
        <f t="shared" si="13"/>
        <v/>
      </c>
      <c r="F125" s="1" t="str">
        <f t="shared" si="14"/>
        <v/>
      </c>
      <c r="G125" s="1" t="str">
        <f t="shared" si="15"/>
        <v/>
      </c>
      <c r="H125" s="1" t="str">
        <f t="shared" si="16"/>
        <v/>
      </c>
      <c r="K125" s="1" t="str">
        <f t="shared" si="17"/>
        <v/>
      </c>
      <c r="L125" s="1" t="str">
        <f t="shared" si="18"/>
        <v/>
      </c>
      <c r="M125" s="1" t="str">
        <f t="shared" si="19"/>
        <v/>
      </c>
      <c r="N125" s="1" t="str">
        <f t="shared" si="20"/>
        <v/>
      </c>
      <c r="O125" s="1" t="str">
        <f t="shared" si="21"/>
        <v/>
      </c>
      <c r="P125" s="1" t="str">
        <f t="shared" si="22"/>
        <v/>
      </c>
      <c r="R125" s="1" t="str">
        <f t="shared" si="23"/>
        <v/>
      </c>
    </row>
    <row r="126" spans="1:18" x14ac:dyDescent="0.2">
      <c r="A126" t="str">
        <f>IF(COUNTBLANK(B126:R126)&lt;&gt;COLUMNS(B126:R126),125,"")</f>
        <v/>
      </c>
      <c r="D126" s="1" t="str">
        <f t="shared" si="12"/>
        <v/>
      </c>
      <c r="E126" s="2" t="str">
        <f t="shared" si="13"/>
        <v/>
      </c>
      <c r="F126" s="1" t="str">
        <f t="shared" si="14"/>
        <v/>
      </c>
      <c r="G126" s="1" t="str">
        <f t="shared" si="15"/>
        <v/>
      </c>
      <c r="H126" s="1" t="str">
        <f t="shared" si="16"/>
        <v/>
      </c>
      <c r="K126" s="1" t="str">
        <f t="shared" si="17"/>
        <v/>
      </c>
      <c r="L126" s="1" t="str">
        <f t="shared" si="18"/>
        <v/>
      </c>
      <c r="M126" s="1" t="str">
        <f t="shared" si="19"/>
        <v/>
      </c>
      <c r="N126" s="1" t="str">
        <f t="shared" si="20"/>
        <v/>
      </c>
      <c r="O126" s="1" t="str">
        <f t="shared" si="21"/>
        <v/>
      </c>
      <c r="P126" s="1" t="str">
        <f t="shared" si="22"/>
        <v/>
      </c>
      <c r="R126" s="1" t="str">
        <f t="shared" si="23"/>
        <v/>
      </c>
    </row>
    <row r="127" spans="1:18" x14ac:dyDescent="0.2">
      <c r="A127" t="str">
        <f>IF(COUNTBLANK(B127:R127)&lt;&gt;COLUMNS(B127:R127),126,"")</f>
        <v/>
      </c>
      <c r="D127" s="1" t="str">
        <f t="shared" si="12"/>
        <v/>
      </c>
      <c r="E127" s="2" t="str">
        <f t="shared" si="13"/>
        <v/>
      </c>
      <c r="F127" s="1" t="str">
        <f t="shared" si="14"/>
        <v/>
      </c>
      <c r="G127" s="1" t="str">
        <f t="shared" si="15"/>
        <v/>
      </c>
      <c r="H127" s="1" t="str">
        <f t="shared" si="16"/>
        <v/>
      </c>
      <c r="K127" s="1" t="str">
        <f t="shared" si="17"/>
        <v/>
      </c>
      <c r="L127" s="1" t="str">
        <f t="shared" si="18"/>
        <v/>
      </c>
      <c r="M127" s="1" t="str">
        <f t="shared" si="19"/>
        <v/>
      </c>
      <c r="N127" s="1" t="str">
        <f t="shared" si="20"/>
        <v/>
      </c>
      <c r="O127" s="1" t="str">
        <f t="shared" si="21"/>
        <v/>
      </c>
      <c r="P127" s="1" t="str">
        <f t="shared" si="22"/>
        <v/>
      </c>
      <c r="R127" s="1" t="str">
        <f t="shared" si="23"/>
        <v/>
      </c>
    </row>
    <row r="128" spans="1:18" x14ac:dyDescent="0.2">
      <c r="A128" t="str">
        <f>IF(COUNTBLANK(B128:R128)&lt;&gt;COLUMNS(B128:R128),127,"")</f>
        <v/>
      </c>
      <c r="D128" s="1" t="str">
        <f t="shared" si="12"/>
        <v/>
      </c>
      <c r="E128" s="2" t="str">
        <f t="shared" si="13"/>
        <v/>
      </c>
      <c r="F128" s="1" t="str">
        <f t="shared" si="14"/>
        <v/>
      </c>
      <c r="G128" s="1" t="str">
        <f t="shared" si="15"/>
        <v/>
      </c>
      <c r="H128" s="1" t="str">
        <f t="shared" si="16"/>
        <v/>
      </c>
      <c r="K128" s="1" t="str">
        <f t="shared" si="17"/>
        <v/>
      </c>
      <c r="L128" s="1" t="str">
        <f t="shared" si="18"/>
        <v/>
      </c>
      <c r="M128" s="1" t="str">
        <f t="shared" si="19"/>
        <v/>
      </c>
      <c r="N128" s="1" t="str">
        <f t="shared" si="20"/>
        <v/>
      </c>
      <c r="O128" s="1" t="str">
        <f t="shared" si="21"/>
        <v/>
      </c>
      <c r="P128" s="1" t="str">
        <f t="shared" si="22"/>
        <v/>
      </c>
      <c r="R128" s="1" t="str">
        <f t="shared" si="23"/>
        <v/>
      </c>
    </row>
    <row r="129" spans="1:18" x14ac:dyDescent="0.2">
      <c r="A129" t="str">
        <f>IF(COUNTBLANK(B129:R129)&lt;&gt;COLUMNS(B129:R129),128,"")</f>
        <v/>
      </c>
      <c r="D129" s="1" t="str">
        <f t="shared" si="12"/>
        <v/>
      </c>
      <c r="E129" s="2" t="str">
        <f t="shared" si="13"/>
        <v/>
      </c>
      <c r="F129" s="1" t="str">
        <f t="shared" si="14"/>
        <v/>
      </c>
      <c r="G129" s="1" t="str">
        <f t="shared" si="15"/>
        <v/>
      </c>
      <c r="H129" s="1" t="str">
        <f t="shared" si="16"/>
        <v/>
      </c>
      <c r="K129" s="1" t="str">
        <f t="shared" si="17"/>
        <v/>
      </c>
      <c r="L129" s="1" t="str">
        <f t="shared" si="18"/>
        <v/>
      </c>
      <c r="M129" s="1" t="str">
        <f t="shared" si="19"/>
        <v/>
      </c>
      <c r="N129" s="1" t="str">
        <f t="shared" si="20"/>
        <v/>
      </c>
      <c r="O129" s="1" t="str">
        <f t="shared" si="21"/>
        <v/>
      </c>
      <c r="P129" s="1" t="str">
        <f t="shared" si="22"/>
        <v/>
      </c>
      <c r="R129" s="1" t="str">
        <f t="shared" si="23"/>
        <v/>
      </c>
    </row>
    <row r="130" spans="1:18" x14ac:dyDescent="0.2">
      <c r="A130" t="str">
        <f>IF(COUNTBLANK(B130:R130)&lt;&gt;COLUMNS(B130:R130),129,"")</f>
        <v/>
      </c>
      <c r="D130" s="1" t="str">
        <f t="shared" ref="D130:D193" si="24">IF(B130="", "", "years")</f>
        <v/>
      </c>
      <c r="E130" s="2" t="str">
        <f t="shared" ref="E130:E193" si="25">IF(B130="", "", "missing: not provided")</f>
        <v/>
      </c>
      <c r="F130" s="1" t="str">
        <f t="shared" ref="F130:F193" si="26">IF(B130="", "", "Not applicable")</f>
        <v/>
      </c>
      <c r="G130" s="1" t="str">
        <f t="shared" ref="G130:G193" si="27">IF(B130="", "", "urban biome")</f>
        <v/>
      </c>
      <c r="H130" s="1" t="str">
        <f t="shared" ref="H130:H193" si="28">IF(B130="", "", "human-associated habitat")</f>
        <v/>
      </c>
      <c r="K130" s="1" t="str">
        <f t="shared" ref="K130:K193" si="29">IF(B130="", "", "cm")</f>
        <v/>
      </c>
      <c r="L130" s="1" t="str">
        <f t="shared" ref="L130:L193" si="30">IF(B130="", "", "human")</f>
        <v/>
      </c>
      <c r="M130" s="1" t="str">
        <f t="shared" ref="M130:M193" si="31">IF(B130="", "", "Homo sapiens")</f>
        <v/>
      </c>
      <c r="N130" s="1" t="str">
        <f t="shared" ref="N130:N193" si="32">IF(B130="", "", "9606")</f>
        <v/>
      </c>
      <c r="O130" s="1" t="str">
        <f t="shared" ref="O130:O193" si="33">IF(B130="", "", "missing: not provided")</f>
        <v/>
      </c>
      <c r="P130" s="1" t="str">
        <f t="shared" ref="P130:P193" si="34">IF(B130="", "", "missing: not provided")</f>
        <v/>
      </c>
      <c r="R130" s="1" t="str">
        <f t="shared" ref="R130:R193" si="35">IF(B130="", "", "kg")</f>
        <v/>
      </c>
    </row>
    <row r="131" spans="1:18" x14ac:dyDescent="0.2">
      <c r="A131" t="str">
        <f>IF(COUNTBLANK(B131:R131)&lt;&gt;COLUMNS(B131:R131),130,"")</f>
        <v/>
      </c>
      <c r="D131" s="1" t="str">
        <f t="shared" si="24"/>
        <v/>
      </c>
      <c r="E131" s="2" t="str">
        <f t="shared" si="25"/>
        <v/>
      </c>
      <c r="F131" s="1" t="str">
        <f t="shared" si="26"/>
        <v/>
      </c>
      <c r="G131" s="1" t="str">
        <f t="shared" si="27"/>
        <v/>
      </c>
      <c r="H131" s="1" t="str">
        <f t="shared" si="28"/>
        <v/>
      </c>
      <c r="K131" s="1" t="str">
        <f t="shared" si="29"/>
        <v/>
      </c>
      <c r="L131" s="1" t="str">
        <f t="shared" si="30"/>
        <v/>
      </c>
      <c r="M131" s="1" t="str">
        <f t="shared" si="31"/>
        <v/>
      </c>
      <c r="N131" s="1" t="str">
        <f t="shared" si="32"/>
        <v/>
      </c>
      <c r="O131" s="1" t="str">
        <f t="shared" si="33"/>
        <v/>
      </c>
      <c r="P131" s="1" t="str">
        <f t="shared" si="34"/>
        <v/>
      </c>
      <c r="R131" s="1" t="str">
        <f t="shared" si="35"/>
        <v/>
      </c>
    </row>
    <row r="132" spans="1:18" x14ac:dyDescent="0.2">
      <c r="A132" t="str">
        <f>IF(COUNTBLANK(B132:R132)&lt;&gt;COLUMNS(B132:R132),131,"")</f>
        <v/>
      </c>
      <c r="D132" s="1" t="str">
        <f t="shared" si="24"/>
        <v/>
      </c>
      <c r="E132" s="2" t="str">
        <f t="shared" si="25"/>
        <v/>
      </c>
      <c r="F132" s="1" t="str">
        <f t="shared" si="26"/>
        <v/>
      </c>
      <c r="G132" s="1" t="str">
        <f t="shared" si="27"/>
        <v/>
      </c>
      <c r="H132" s="1" t="str">
        <f t="shared" si="28"/>
        <v/>
      </c>
      <c r="K132" s="1" t="str">
        <f t="shared" si="29"/>
        <v/>
      </c>
      <c r="L132" s="1" t="str">
        <f t="shared" si="30"/>
        <v/>
      </c>
      <c r="M132" s="1" t="str">
        <f t="shared" si="31"/>
        <v/>
      </c>
      <c r="N132" s="1" t="str">
        <f t="shared" si="32"/>
        <v/>
      </c>
      <c r="O132" s="1" t="str">
        <f t="shared" si="33"/>
        <v/>
      </c>
      <c r="P132" s="1" t="str">
        <f t="shared" si="34"/>
        <v/>
      </c>
      <c r="R132" s="1" t="str">
        <f t="shared" si="35"/>
        <v/>
      </c>
    </row>
    <row r="133" spans="1:18" x14ac:dyDescent="0.2">
      <c r="A133" t="str">
        <f>IF(COUNTBLANK(B133:R133)&lt;&gt;COLUMNS(B133:R133),132,"")</f>
        <v/>
      </c>
      <c r="D133" s="1" t="str">
        <f t="shared" si="24"/>
        <v/>
      </c>
      <c r="E133" s="2" t="str">
        <f t="shared" si="25"/>
        <v/>
      </c>
      <c r="F133" s="1" t="str">
        <f t="shared" si="26"/>
        <v/>
      </c>
      <c r="G133" s="1" t="str">
        <f t="shared" si="27"/>
        <v/>
      </c>
      <c r="H133" s="1" t="str">
        <f t="shared" si="28"/>
        <v/>
      </c>
      <c r="K133" s="1" t="str">
        <f t="shared" si="29"/>
        <v/>
      </c>
      <c r="L133" s="1" t="str">
        <f t="shared" si="30"/>
        <v/>
      </c>
      <c r="M133" s="1" t="str">
        <f t="shared" si="31"/>
        <v/>
      </c>
      <c r="N133" s="1" t="str">
        <f t="shared" si="32"/>
        <v/>
      </c>
      <c r="O133" s="1" t="str">
        <f t="shared" si="33"/>
        <v/>
      </c>
      <c r="P133" s="1" t="str">
        <f t="shared" si="34"/>
        <v/>
      </c>
      <c r="R133" s="1" t="str">
        <f t="shared" si="35"/>
        <v/>
      </c>
    </row>
    <row r="134" spans="1:18" x14ac:dyDescent="0.2">
      <c r="A134" t="str">
        <f>IF(COUNTBLANK(B134:R134)&lt;&gt;COLUMNS(B134:R134),133,"")</f>
        <v/>
      </c>
      <c r="D134" s="1" t="str">
        <f t="shared" si="24"/>
        <v/>
      </c>
      <c r="E134" s="2" t="str">
        <f t="shared" si="25"/>
        <v/>
      </c>
      <c r="F134" s="1" t="str">
        <f t="shared" si="26"/>
        <v/>
      </c>
      <c r="G134" s="1" t="str">
        <f t="shared" si="27"/>
        <v/>
      </c>
      <c r="H134" s="1" t="str">
        <f t="shared" si="28"/>
        <v/>
      </c>
      <c r="K134" s="1" t="str">
        <f t="shared" si="29"/>
        <v/>
      </c>
      <c r="L134" s="1" t="str">
        <f t="shared" si="30"/>
        <v/>
      </c>
      <c r="M134" s="1" t="str">
        <f t="shared" si="31"/>
        <v/>
      </c>
      <c r="N134" s="1" t="str">
        <f t="shared" si="32"/>
        <v/>
      </c>
      <c r="O134" s="1" t="str">
        <f t="shared" si="33"/>
        <v/>
      </c>
      <c r="P134" s="1" t="str">
        <f t="shared" si="34"/>
        <v/>
      </c>
      <c r="R134" s="1" t="str">
        <f t="shared" si="35"/>
        <v/>
      </c>
    </row>
    <row r="135" spans="1:18" x14ac:dyDescent="0.2">
      <c r="A135" t="str">
        <f>IF(COUNTBLANK(B135:R135)&lt;&gt;COLUMNS(B135:R135),134,"")</f>
        <v/>
      </c>
      <c r="D135" s="1" t="str">
        <f t="shared" si="24"/>
        <v/>
      </c>
      <c r="E135" s="2" t="str">
        <f t="shared" si="25"/>
        <v/>
      </c>
      <c r="F135" s="1" t="str">
        <f t="shared" si="26"/>
        <v/>
      </c>
      <c r="G135" s="1" t="str">
        <f t="shared" si="27"/>
        <v/>
      </c>
      <c r="H135" s="1" t="str">
        <f t="shared" si="28"/>
        <v/>
      </c>
      <c r="K135" s="1" t="str">
        <f t="shared" si="29"/>
        <v/>
      </c>
      <c r="L135" s="1" t="str">
        <f t="shared" si="30"/>
        <v/>
      </c>
      <c r="M135" s="1" t="str">
        <f t="shared" si="31"/>
        <v/>
      </c>
      <c r="N135" s="1" t="str">
        <f t="shared" si="32"/>
        <v/>
      </c>
      <c r="O135" s="1" t="str">
        <f t="shared" si="33"/>
        <v/>
      </c>
      <c r="P135" s="1" t="str">
        <f t="shared" si="34"/>
        <v/>
      </c>
      <c r="R135" s="1" t="str">
        <f t="shared" si="35"/>
        <v/>
      </c>
    </row>
    <row r="136" spans="1:18" x14ac:dyDescent="0.2">
      <c r="A136" t="str">
        <f>IF(COUNTBLANK(B136:R136)&lt;&gt;COLUMNS(B136:R136),135,"")</f>
        <v/>
      </c>
      <c r="D136" s="1" t="str">
        <f t="shared" si="24"/>
        <v/>
      </c>
      <c r="E136" s="2" t="str">
        <f t="shared" si="25"/>
        <v/>
      </c>
      <c r="F136" s="1" t="str">
        <f t="shared" si="26"/>
        <v/>
      </c>
      <c r="G136" s="1" t="str">
        <f t="shared" si="27"/>
        <v/>
      </c>
      <c r="H136" s="1" t="str">
        <f t="shared" si="28"/>
        <v/>
      </c>
      <c r="K136" s="1" t="str">
        <f t="shared" si="29"/>
        <v/>
      </c>
      <c r="L136" s="1" t="str">
        <f t="shared" si="30"/>
        <v/>
      </c>
      <c r="M136" s="1" t="str">
        <f t="shared" si="31"/>
        <v/>
      </c>
      <c r="N136" s="1" t="str">
        <f t="shared" si="32"/>
        <v/>
      </c>
      <c r="O136" s="1" t="str">
        <f t="shared" si="33"/>
        <v/>
      </c>
      <c r="P136" s="1" t="str">
        <f t="shared" si="34"/>
        <v/>
      </c>
      <c r="R136" s="1" t="str">
        <f t="shared" si="35"/>
        <v/>
      </c>
    </row>
    <row r="137" spans="1:18" x14ac:dyDescent="0.2">
      <c r="A137" t="str">
        <f>IF(COUNTBLANK(B137:R137)&lt;&gt;COLUMNS(B137:R137),136,"")</f>
        <v/>
      </c>
      <c r="D137" s="1" t="str">
        <f t="shared" si="24"/>
        <v/>
      </c>
      <c r="E137" s="2" t="str">
        <f t="shared" si="25"/>
        <v/>
      </c>
      <c r="F137" s="1" t="str">
        <f t="shared" si="26"/>
        <v/>
      </c>
      <c r="G137" s="1" t="str">
        <f t="shared" si="27"/>
        <v/>
      </c>
      <c r="H137" s="1" t="str">
        <f t="shared" si="28"/>
        <v/>
      </c>
      <c r="K137" s="1" t="str">
        <f t="shared" si="29"/>
        <v/>
      </c>
      <c r="L137" s="1" t="str">
        <f t="shared" si="30"/>
        <v/>
      </c>
      <c r="M137" s="1" t="str">
        <f t="shared" si="31"/>
        <v/>
      </c>
      <c r="N137" s="1" t="str">
        <f t="shared" si="32"/>
        <v/>
      </c>
      <c r="O137" s="1" t="str">
        <f t="shared" si="33"/>
        <v/>
      </c>
      <c r="P137" s="1" t="str">
        <f t="shared" si="34"/>
        <v/>
      </c>
      <c r="R137" s="1" t="str">
        <f t="shared" si="35"/>
        <v/>
      </c>
    </row>
    <row r="138" spans="1:18" x14ac:dyDescent="0.2">
      <c r="A138" t="str">
        <f>IF(COUNTBLANK(B138:R138)&lt;&gt;COLUMNS(B138:R138),137,"")</f>
        <v/>
      </c>
      <c r="D138" s="1" t="str">
        <f t="shared" si="24"/>
        <v/>
      </c>
      <c r="E138" s="2" t="str">
        <f t="shared" si="25"/>
        <v/>
      </c>
      <c r="F138" s="1" t="str">
        <f t="shared" si="26"/>
        <v/>
      </c>
      <c r="G138" s="1" t="str">
        <f t="shared" si="27"/>
        <v/>
      </c>
      <c r="H138" s="1" t="str">
        <f t="shared" si="28"/>
        <v/>
      </c>
      <c r="K138" s="1" t="str">
        <f t="shared" si="29"/>
        <v/>
      </c>
      <c r="L138" s="1" t="str">
        <f t="shared" si="30"/>
        <v/>
      </c>
      <c r="M138" s="1" t="str">
        <f t="shared" si="31"/>
        <v/>
      </c>
      <c r="N138" s="1" t="str">
        <f t="shared" si="32"/>
        <v/>
      </c>
      <c r="O138" s="1" t="str">
        <f t="shared" si="33"/>
        <v/>
      </c>
      <c r="P138" s="1" t="str">
        <f t="shared" si="34"/>
        <v/>
      </c>
      <c r="R138" s="1" t="str">
        <f t="shared" si="35"/>
        <v/>
      </c>
    </row>
    <row r="139" spans="1:18" x14ac:dyDescent="0.2">
      <c r="A139" t="str">
        <f>IF(COUNTBLANK(B139:R139)&lt;&gt;COLUMNS(B139:R139),138,"")</f>
        <v/>
      </c>
      <c r="D139" s="1" t="str">
        <f t="shared" si="24"/>
        <v/>
      </c>
      <c r="E139" s="2" t="str">
        <f t="shared" si="25"/>
        <v/>
      </c>
      <c r="F139" s="1" t="str">
        <f t="shared" si="26"/>
        <v/>
      </c>
      <c r="G139" s="1" t="str">
        <f t="shared" si="27"/>
        <v/>
      </c>
      <c r="H139" s="1" t="str">
        <f t="shared" si="28"/>
        <v/>
      </c>
      <c r="K139" s="1" t="str">
        <f t="shared" si="29"/>
        <v/>
      </c>
      <c r="L139" s="1" t="str">
        <f t="shared" si="30"/>
        <v/>
      </c>
      <c r="M139" s="1" t="str">
        <f t="shared" si="31"/>
        <v/>
      </c>
      <c r="N139" s="1" t="str">
        <f t="shared" si="32"/>
        <v/>
      </c>
      <c r="O139" s="1" t="str">
        <f t="shared" si="33"/>
        <v/>
      </c>
      <c r="P139" s="1" t="str">
        <f t="shared" si="34"/>
        <v/>
      </c>
      <c r="R139" s="1" t="str">
        <f t="shared" si="35"/>
        <v/>
      </c>
    </row>
    <row r="140" spans="1:18" x14ac:dyDescent="0.2">
      <c r="A140" t="str">
        <f>IF(COUNTBLANK(B140:R140)&lt;&gt;COLUMNS(B140:R140),139,"")</f>
        <v/>
      </c>
      <c r="D140" s="1" t="str">
        <f t="shared" si="24"/>
        <v/>
      </c>
      <c r="E140" s="2" t="str">
        <f t="shared" si="25"/>
        <v/>
      </c>
      <c r="F140" s="1" t="str">
        <f t="shared" si="26"/>
        <v/>
      </c>
      <c r="G140" s="1" t="str">
        <f t="shared" si="27"/>
        <v/>
      </c>
      <c r="H140" s="1" t="str">
        <f t="shared" si="28"/>
        <v/>
      </c>
      <c r="K140" s="1" t="str">
        <f t="shared" si="29"/>
        <v/>
      </c>
      <c r="L140" s="1" t="str">
        <f t="shared" si="30"/>
        <v/>
      </c>
      <c r="M140" s="1" t="str">
        <f t="shared" si="31"/>
        <v/>
      </c>
      <c r="N140" s="1" t="str">
        <f t="shared" si="32"/>
        <v/>
      </c>
      <c r="O140" s="1" t="str">
        <f t="shared" si="33"/>
        <v/>
      </c>
      <c r="P140" s="1" t="str">
        <f t="shared" si="34"/>
        <v/>
      </c>
      <c r="R140" s="1" t="str">
        <f t="shared" si="35"/>
        <v/>
      </c>
    </row>
    <row r="141" spans="1:18" x14ac:dyDescent="0.2">
      <c r="A141" t="str">
        <f>IF(COUNTBLANK(B141:R141)&lt;&gt;COLUMNS(B141:R141),140,"")</f>
        <v/>
      </c>
      <c r="D141" s="1" t="str">
        <f t="shared" si="24"/>
        <v/>
      </c>
      <c r="E141" s="2" t="str">
        <f t="shared" si="25"/>
        <v/>
      </c>
      <c r="F141" s="1" t="str">
        <f t="shared" si="26"/>
        <v/>
      </c>
      <c r="G141" s="1" t="str">
        <f t="shared" si="27"/>
        <v/>
      </c>
      <c r="H141" s="1" t="str">
        <f t="shared" si="28"/>
        <v/>
      </c>
      <c r="K141" s="1" t="str">
        <f t="shared" si="29"/>
        <v/>
      </c>
      <c r="L141" s="1" t="str">
        <f t="shared" si="30"/>
        <v/>
      </c>
      <c r="M141" s="1" t="str">
        <f t="shared" si="31"/>
        <v/>
      </c>
      <c r="N141" s="1" t="str">
        <f t="shared" si="32"/>
        <v/>
      </c>
      <c r="O141" s="1" t="str">
        <f t="shared" si="33"/>
        <v/>
      </c>
      <c r="P141" s="1" t="str">
        <f t="shared" si="34"/>
        <v/>
      </c>
      <c r="R141" s="1" t="str">
        <f t="shared" si="35"/>
        <v/>
      </c>
    </row>
    <row r="142" spans="1:18" x14ac:dyDescent="0.2">
      <c r="A142" t="str">
        <f>IF(COUNTBLANK(B142:R142)&lt;&gt;COLUMNS(B142:R142),141,"")</f>
        <v/>
      </c>
      <c r="D142" s="1" t="str">
        <f t="shared" si="24"/>
        <v/>
      </c>
      <c r="E142" s="2" t="str">
        <f t="shared" si="25"/>
        <v/>
      </c>
      <c r="F142" s="1" t="str">
        <f t="shared" si="26"/>
        <v/>
      </c>
      <c r="G142" s="1" t="str">
        <f t="shared" si="27"/>
        <v/>
      </c>
      <c r="H142" s="1" t="str">
        <f t="shared" si="28"/>
        <v/>
      </c>
      <c r="K142" s="1" t="str">
        <f t="shared" si="29"/>
        <v/>
      </c>
      <c r="L142" s="1" t="str">
        <f t="shared" si="30"/>
        <v/>
      </c>
      <c r="M142" s="1" t="str">
        <f t="shared" si="31"/>
        <v/>
      </c>
      <c r="N142" s="1" t="str">
        <f t="shared" si="32"/>
        <v/>
      </c>
      <c r="O142" s="1" t="str">
        <f t="shared" si="33"/>
        <v/>
      </c>
      <c r="P142" s="1" t="str">
        <f t="shared" si="34"/>
        <v/>
      </c>
      <c r="R142" s="1" t="str">
        <f t="shared" si="35"/>
        <v/>
      </c>
    </row>
    <row r="143" spans="1:18" x14ac:dyDescent="0.2">
      <c r="A143" t="str">
        <f>IF(COUNTBLANK(B143:R143)&lt;&gt;COLUMNS(B143:R143),142,"")</f>
        <v/>
      </c>
      <c r="D143" s="1" t="str">
        <f t="shared" si="24"/>
        <v/>
      </c>
      <c r="E143" s="2" t="str">
        <f t="shared" si="25"/>
        <v/>
      </c>
      <c r="F143" s="1" t="str">
        <f t="shared" si="26"/>
        <v/>
      </c>
      <c r="G143" s="1" t="str">
        <f t="shared" si="27"/>
        <v/>
      </c>
      <c r="H143" s="1" t="str">
        <f t="shared" si="28"/>
        <v/>
      </c>
      <c r="K143" s="1" t="str">
        <f t="shared" si="29"/>
        <v/>
      </c>
      <c r="L143" s="1" t="str">
        <f t="shared" si="30"/>
        <v/>
      </c>
      <c r="M143" s="1" t="str">
        <f t="shared" si="31"/>
        <v/>
      </c>
      <c r="N143" s="1" t="str">
        <f t="shared" si="32"/>
        <v/>
      </c>
      <c r="O143" s="1" t="str">
        <f t="shared" si="33"/>
        <v/>
      </c>
      <c r="P143" s="1" t="str">
        <f t="shared" si="34"/>
        <v/>
      </c>
      <c r="R143" s="1" t="str">
        <f t="shared" si="35"/>
        <v/>
      </c>
    </row>
    <row r="144" spans="1:18" x14ac:dyDescent="0.2">
      <c r="A144" t="str">
        <f>IF(COUNTBLANK(B144:R144)&lt;&gt;COLUMNS(B144:R144),143,"")</f>
        <v/>
      </c>
      <c r="D144" s="1" t="str">
        <f t="shared" si="24"/>
        <v/>
      </c>
      <c r="E144" s="2" t="str">
        <f t="shared" si="25"/>
        <v/>
      </c>
      <c r="F144" s="1" t="str">
        <f t="shared" si="26"/>
        <v/>
      </c>
      <c r="G144" s="1" t="str">
        <f t="shared" si="27"/>
        <v/>
      </c>
      <c r="H144" s="1" t="str">
        <f t="shared" si="28"/>
        <v/>
      </c>
      <c r="K144" s="1" t="str">
        <f t="shared" si="29"/>
        <v/>
      </c>
      <c r="L144" s="1" t="str">
        <f t="shared" si="30"/>
        <v/>
      </c>
      <c r="M144" s="1" t="str">
        <f t="shared" si="31"/>
        <v/>
      </c>
      <c r="N144" s="1" t="str">
        <f t="shared" si="32"/>
        <v/>
      </c>
      <c r="O144" s="1" t="str">
        <f t="shared" si="33"/>
        <v/>
      </c>
      <c r="P144" s="1" t="str">
        <f t="shared" si="34"/>
        <v/>
      </c>
      <c r="R144" s="1" t="str">
        <f t="shared" si="35"/>
        <v/>
      </c>
    </row>
    <row r="145" spans="1:18" x14ac:dyDescent="0.2">
      <c r="A145" t="str">
        <f>IF(COUNTBLANK(B145:R145)&lt;&gt;COLUMNS(B145:R145),144,"")</f>
        <v/>
      </c>
      <c r="D145" s="1" t="str">
        <f t="shared" si="24"/>
        <v/>
      </c>
      <c r="E145" s="2" t="str">
        <f t="shared" si="25"/>
        <v/>
      </c>
      <c r="F145" s="1" t="str">
        <f t="shared" si="26"/>
        <v/>
      </c>
      <c r="G145" s="1" t="str">
        <f t="shared" si="27"/>
        <v/>
      </c>
      <c r="H145" s="1" t="str">
        <f t="shared" si="28"/>
        <v/>
      </c>
      <c r="K145" s="1" t="str">
        <f t="shared" si="29"/>
        <v/>
      </c>
      <c r="L145" s="1" t="str">
        <f t="shared" si="30"/>
        <v/>
      </c>
      <c r="M145" s="1" t="str">
        <f t="shared" si="31"/>
        <v/>
      </c>
      <c r="N145" s="1" t="str">
        <f t="shared" si="32"/>
        <v/>
      </c>
      <c r="O145" s="1" t="str">
        <f t="shared" si="33"/>
        <v/>
      </c>
      <c r="P145" s="1" t="str">
        <f t="shared" si="34"/>
        <v/>
      </c>
      <c r="R145" s="1" t="str">
        <f t="shared" si="35"/>
        <v/>
      </c>
    </row>
    <row r="146" spans="1:18" x14ac:dyDescent="0.2">
      <c r="A146" t="str">
        <f>IF(COUNTBLANK(B146:R146)&lt;&gt;COLUMNS(B146:R146),145,"")</f>
        <v/>
      </c>
      <c r="D146" s="1" t="str">
        <f t="shared" si="24"/>
        <v/>
      </c>
      <c r="E146" s="2" t="str">
        <f t="shared" si="25"/>
        <v/>
      </c>
      <c r="F146" s="1" t="str">
        <f t="shared" si="26"/>
        <v/>
      </c>
      <c r="G146" s="1" t="str">
        <f t="shared" si="27"/>
        <v/>
      </c>
      <c r="H146" s="1" t="str">
        <f t="shared" si="28"/>
        <v/>
      </c>
      <c r="K146" s="1" t="str">
        <f t="shared" si="29"/>
        <v/>
      </c>
      <c r="L146" s="1" t="str">
        <f t="shared" si="30"/>
        <v/>
      </c>
      <c r="M146" s="1" t="str">
        <f t="shared" si="31"/>
        <v/>
      </c>
      <c r="N146" s="1" t="str">
        <f t="shared" si="32"/>
        <v/>
      </c>
      <c r="O146" s="1" t="str">
        <f t="shared" si="33"/>
        <v/>
      </c>
      <c r="P146" s="1" t="str">
        <f t="shared" si="34"/>
        <v/>
      </c>
      <c r="R146" s="1" t="str">
        <f t="shared" si="35"/>
        <v/>
      </c>
    </row>
    <row r="147" spans="1:18" x14ac:dyDescent="0.2">
      <c r="A147" t="str">
        <f>IF(COUNTBLANK(B147:R147)&lt;&gt;COLUMNS(B147:R147),146,"")</f>
        <v/>
      </c>
      <c r="D147" s="1" t="str">
        <f t="shared" si="24"/>
        <v/>
      </c>
      <c r="E147" s="2" t="str">
        <f t="shared" si="25"/>
        <v/>
      </c>
      <c r="F147" s="1" t="str">
        <f t="shared" si="26"/>
        <v/>
      </c>
      <c r="G147" s="1" t="str">
        <f t="shared" si="27"/>
        <v/>
      </c>
      <c r="H147" s="1" t="str">
        <f t="shared" si="28"/>
        <v/>
      </c>
      <c r="K147" s="1" t="str">
        <f t="shared" si="29"/>
        <v/>
      </c>
      <c r="L147" s="1" t="str">
        <f t="shared" si="30"/>
        <v/>
      </c>
      <c r="M147" s="1" t="str">
        <f t="shared" si="31"/>
        <v/>
      </c>
      <c r="N147" s="1" t="str">
        <f t="shared" si="32"/>
        <v/>
      </c>
      <c r="O147" s="1" t="str">
        <f t="shared" si="33"/>
        <v/>
      </c>
      <c r="P147" s="1" t="str">
        <f t="shared" si="34"/>
        <v/>
      </c>
      <c r="R147" s="1" t="str">
        <f t="shared" si="35"/>
        <v/>
      </c>
    </row>
    <row r="148" spans="1:18" x14ac:dyDescent="0.2">
      <c r="A148" t="str">
        <f>IF(COUNTBLANK(B148:R148)&lt;&gt;COLUMNS(B148:R148),147,"")</f>
        <v/>
      </c>
      <c r="D148" s="1" t="str">
        <f t="shared" si="24"/>
        <v/>
      </c>
      <c r="E148" s="2" t="str">
        <f t="shared" si="25"/>
        <v/>
      </c>
      <c r="F148" s="1" t="str">
        <f t="shared" si="26"/>
        <v/>
      </c>
      <c r="G148" s="1" t="str">
        <f t="shared" si="27"/>
        <v/>
      </c>
      <c r="H148" s="1" t="str">
        <f t="shared" si="28"/>
        <v/>
      </c>
      <c r="K148" s="1" t="str">
        <f t="shared" si="29"/>
        <v/>
      </c>
      <c r="L148" s="1" t="str">
        <f t="shared" si="30"/>
        <v/>
      </c>
      <c r="M148" s="1" t="str">
        <f t="shared" si="31"/>
        <v/>
      </c>
      <c r="N148" s="1" t="str">
        <f t="shared" si="32"/>
        <v/>
      </c>
      <c r="O148" s="1" t="str">
        <f t="shared" si="33"/>
        <v/>
      </c>
      <c r="P148" s="1" t="str">
        <f t="shared" si="34"/>
        <v/>
      </c>
      <c r="R148" s="1" t="str">
        <f t="shared" si="35"/>
        <v/>
      </c>
    </row>
    <row r="149" spans="1:18" x14ac:dyDescent="0.2">
      <c r="A149" t="str">
        <f>IF(COUNTBLANK(B149:R149)&lt;&gt;COLUMNS(B149:R149),148,"")</f>
        <v/>
      </c>
      <c r="D149" s="1" t="str">
        <f t="shared" si="24"/>
        <v/>
      </c>
      <c r="E149" s="2" t="str">
        <f t="shared" si="25"/>
        <v/>
      </c>
      <c r="F149" s="1" t="str">
        <f t="shared" si="26"/>
        <v/>
      </c>
      <c r="G149" s="1" t="str">
        <f t="shared" si="27"/>
        <v/>
      </c>
      <c r="H149" s="1" t="str">
        <f t="shared" si="28"/>
        <v/>
      </c>
      <c r="K149" s="1" t="str">
        <f t="shared" si="29"/>
        <v/>
      </c>
      <c r="L149" s="1" t="str">
        <f t="shared" si="30"/>
        <v/>
      </c>
      <c r="M149" s="1" t="str">
        <f t="shared" si="31"/>
        <v/>
      </c>
      <c r="N149" s="1" t="str">
        <f t="shared" si="32"/>
        <v/>
      </c>
      <c r="O149" s="1" t="str">
        <f t="shared" si="33"/>
        <v/>
      </c>
      <c r="P149" s="1" t="str">
        <f t="shared" si="34"/>
        <v/>
      </c>
      <c r="R149" s="1" t="str">
        <f t="shared" si="35"/>
        <v/>
      </c>
    </row>
    <row r="150" spans="1:18" x14ac:dyDescent="0.2">
      <c r="A150" t="str">
        <f>IF(COUNTBLANK(B150:R150)&lt;&gt;COLUMNS(B150:R150),149,"")</f>
        <v/>
      </c>
      <c r="D150" s="1" t="str">
        <f t="shared" si="24"/>
        <v/>
      </c>
      <c r="E150" s="2" t="str">
        <f t="shared" si="25"/>
        <v/>
      </c>
      <c r="F150" s="1" t="str">
        <f t="shared" si="26"/>
        <v/>
      </c>
      <c r="G150" s="1" t="str">
        <f t="shared" si="27"/>
        <v/>
      </c>
      <c r="H150" s="1" t="str">
        <f t="shared" si="28"/>
        <v/>
      </c>
      <c r="K150" s="1" t="str">
        <f t="shared" si="29"/>
        <v/>
      </c>
      <c r="L150" s="1" t="str">
        <f t="shared" si="30"/>
        <v/>
      </c>
      <c r="M150" s="1" t="str">
        <f t="shared" si="31"/>
        <v/>
      </c>
      <c r="N150" s="1" t="str">
        <f t="shared" si="32"/>
        <v/>
      </c>
      <c r="O150" s="1" t="str">
        <f t="shared" si="33"/>
        <v/>
      </c>
      <c r="P150" s="1" t="str">
        <f t="shared" si="34"/>
        <v/>
      </c>
      <c r="R150" s="1" t="str">
        <f t="shared" si="35"/>
        <v/>
      </c>
    </row>
    <row r="151" spans="1:18" x14ac:dyDescent="0.2">
      <c r="A151" t="str">
        <f>IF(COUNTBLANK(B151:R151)&lt;&gt;COLUMNS(B151:R151),150,"")</f>
        <v/>
      </c>
      <c r="D151" s="1" t="str">
        <f t="shared" si="24"/>
        <v/>
      </c>
      <c r="E151" s="2" t="str">
        <f t="shared" si="25"/>
        <v/>
      </c>
      <c r="F151" s="1" t="str">
        <f t="shared" si="26"/>
        <v/>
      </c>
      <c r="G151" s="1" t="str">
        <f t="shared" si="27"/>
        <v/>
      </c>
      <c r="H151" s="1" t="str">
        <f t="shared" si="28"/>
        <v/>
      </c>
      <c r="K151" s="1" t="str">
        <f t="shared" si="29"/>
        <v/>
      </c>
      <c r="L151" s="1" t="str">
        <f t="shared" si="30"/>
        <v/>
      </c>
      <c r="M151" s="1" t="str">
        <f t="shared" si="31"/>
        <v/>
      </c>
      <c r="N151" s="1" t="str">
        <f t="shared" si="32"/>
        <v/>
      </c>
      <c r="O151" s="1" t="str">
        <f t="shared" si="33"/>
        <v/>
      </c>
      <c r="P151" s="1" t="str">
        <f t="shared" si="34"/>
        <v/>
      </c>
      <c r="R151" s="1" t="str">
        <f t="shared" si="35"/>
        <v/>
      </c>
    </row>
    <row r="152" spans="1:18" x14ac:dyDescent="0.2">
      <c r="A152" t="str">
        <f>IF(COUNTBLANK(B152:R152)&lt;&gt;COLUMNS(B152:R152),151,"")</f>
        <v/>
      </c>
      <c r="D152" s="1" t="str">
        <f t="shared" si="24"/>
        <v/>
      </c>
      <c r="E152" s="2" t="str">
        <f t="shared" si="25"/>
        <v/>
      </c>
      <c r="F152" s="1" t="str">
        <f t="shared" si="26"/>
        <v/>
      </c>
      <c r="G152" s="1" t="str">
        <f t="shared" si="27"/>
        <v/>
      </c>
      <c r="H152" s="1" t="str">
        <f t="shared" si="28"/>
        <v/>
      </c>
      <c r="K152" s="1" t="str">
        <f t="shared" si="29"/>
        <v/>
      </c>
      <c r="L152" s="1" t="str">
        <f t="shared" si="30"/>
        <v/>
      </c>
      <c r="M152" s="1" t="str">
        <f t="shared" si="31"/>
        <v/>
      </c>
      <c r="N152" s="1" t="str">
        <f t="shared" si="32"/>
        <v/>
      </c>
      <c r="O152" s="1" t="str">
        <f t="shared" si="33"/>
        <v/>
      </c>
      <c r="P152" s="1" t="str">
        <f t="shared" si="34"/>
        <v/>
      </c>
      <c r="R152" s="1" t="str">
        <f t="shared" si="35"/>
        <v/>
      </c>
    </row>
    <row r="153" spans="1:18" x14ac:dyDescent="0.2">
      <c r="A153" t="str">
        <f>IF(COUNTBLANK(B153:R153)&lt;&gt;COLUMNS(B153:R153),152,"")</f>
        <v/>
      </c>
      <c r="D153" s="1" t="str">
        <f t="shared" si="24"/>
        <v/>
      </c>
      <c r="E153" s="2" t="str">
        <f t="shared" si="25"/>
        <v/>
      </c>
      <c r="F153" s="1" t="str">
        <f t="shared" si="26"/>
        <v/>
      </c>
      <c r="G153" s="1" t="str">
        <f t="shared" si="27"/>
        <v/>
      </c>
      <c r="H153" s="1" t="str">
        <f t="shared" si="28"/>
        <v/>
      </c>
      <c r="K153" s="1" t="str">
        <f t="shared" si="29"/>
        <v/>
      </c>
      <c r="L153" s="1" t="str">
        <f t="shared" si="30"/>
        <v/>
      </c>
      <c r="M153" s="1" t="str">
        <f t="shared" si="31"/>
        <v/>
      </c>
      <c r="N153" s="1" t="str">
        <f t="shared" si="32"/>
        <v/>
      </c>
      <c r="O153" s="1" t="str">
        <f t="shared" si="33"/>
        <v/>
      </c>
      <c r="P153" s="1" t="str">
        <f t="shared" si="34"/>
        <v/>
      </c>
      <c r="R153" s="1" t="str">
        <f t="shared" si="35"/>
        <v/>
      </c>
    </row>
    <row r="154" spans="1:18" x14ac:dyDescent="0.2">
      <c r="A154" t="str">
        <f>IF(COUNTBLANK(B154:R154)&lt;&gt;COLUMNS(B154:R154),153,"")</f>
        <v/>
      </c>
      <c r="D154" s="1" t="str">
        <f t="shared" si="24"/>
        <v/>
      </c>
      <c r="E154" s="2" t="str">
        <f t="shared" si="25"/>
        <v/>
      </c>
      <c r="F154" s="1" t="str">
        <f t="shared" si="26"/>
        <v/>
      </c>
      <c r="G154" s="1" t="str">
        <f t="shared" si="27"/>
        <v/>
      </c>
      <c r="H154" s="1" t="str">
        <f t="shared" si="28"/>
        <v/>
      </c>
      <c r="K154" s="1" t="str">
        <f t="shared" si="29"/>
        <v/>
      </c>
      <c r="L154" s="1" t="str">
        <f t="shared" si="30"/>
        <v/>
      </c>
      <c r="M154" s="1" t="str">
        <f t="shared" si="31"/>
        <v/>
      </c>
      <c r="N154" s="1" t="str">
        <f t="shared" si="32"/>
        <v/>
      </c>
      <c r="O154" s="1" t="str">
        <f t="shared" si="33"/>
        <v/>
      </c>
      <c r="P154" s="1" t="str">
        <f t="shared" si="34"/>
        <v/>
      </c>
      <c r="R154" s="1" t="str">
        <f t="shared" si="35"/>
        <v/>
      </c>
    </row>
    <row r="155" spans="1:18" x14ac:dyDescent="0.2">
      <c r="A155" t="str">
        <f>IF(COUNTBLANK(B155:R155)&lt;&gt;COLUMNS(B155:R155),154,"")</f>
        <v/>
      </c>
      <c r="D155" s="1" t="str">
        <f t="shared" si="24"/>
        <v/>
      </c>
      <c r="E155" s="2" t="str">
        <f t="shared" si="25"/>
        <v/>
      </c>
      <c r="F155" s="1" t="str">
        <f t="shared" si="26"/>
        <v/>
      </c>
      <c r="G155" s="1" t="str">
        <f t="shared" si="27"/>
        <v/>
      </c>
      <c r="H155" s="1" t="str">
        <f t="shared" si="28"/>
        <v/>
      </c>
      <c r="K155" s="1" t="str">
        <f t="shared" si="29"/>
        <v/>
      </c>
      <c r="L155" s="1" t="str">
        <f t="shared" si="30"/>
        <v/>
      </c>
      <c r="M155" s="1" t="str">
        <f t="shared" si="31"/>
        <v/>
      </c>
      <c r="N155" s="1" t="str">
        <f t="shared" si="32"/>
        <v/>
      </c>
      <c r="O155" s="1" t="str">
        <f t="shared" si="33"/>
        <v/>
      </c>
      <c r="P155" s="1" t="str">
        <f t="shared" si="34"/>
        <v/>
      </c>
      <c r="R155" s="1" t="str">
        <f t="shared" si="35"/>
        <v/>
      </c>
    </row>
    <row r="156" spans="1:18" x14ac:dyDescent="0.2">
      <c r="A156" t="str">
        <f>IF(COUNTBLANK(B156:R156)&lt;&gt;COLUMNS(B156:R156),155,"")</f>
        <v/>
      </c>
      <c r="D156" s="1" t="str">
        <f t="shared" si="24"/>
        <v/>
      </c>
      <c r="E156" s="2" t="str">
        <f t="shared" si="25"/>
        <v/>
      </c>
      <c r="F156" s="1" t="str">
        <f t="shared" si="26"/>
        <v/>
      </c>
      <c r="G156" s="1" t="str">
        <f t="shared" si="27"/>
        <v/>
      </c>
      <c r="H156" s="1" t="str">
        <f t="shared" si="28"/>
        <v/>
      </c>
      <c r="K156" s="1" t="str">
        <f t="shared" si="29"/>
        <v/>
      </c>
      <c r="L156" s="1" t="str">
        <f t="shared" si="30"/>
        <v/>
      </c>
      <c r="M156" s="1" t="str">
        <f t="shared" si="31"/>
        <v/>
      </c>
      <c r="N156" s="1" t="str">
        <f t="shared" si="32"/>
        <v/>
      </c>
      <c r="O156" s="1" t="str">
        <f t="shared" si="33"/>
        <v/>
      </c>
      <c r="P156" s="1" t="str">
        <f t="shared" si="34"/>
        <v/>
      </c>
      <c r="R156" s="1" t="str">
        <f t="shared" si="35"/>
        <v/>
      </c>
    </row>
    <row r="157" spans="1:18" x14ac:dyDescent="0.2">
      <c r="A157" t="str">
        <f>IF(COUNTBLANK(B157:R157)&lt;&gt;COLUMNS(B157:R157),156,"")</f>
        <v/>
      </c>
      <c r="D157" s="1" t="str">
        <f t="shared" si="24"/>
        <v/>
      </c>
      <c r="E157" s="2" t="str">
        <f t="shared" si="25"/>
        <v/>
      </c>
      <c r="F157" s="1" t="str">
        <f t="shared" si="26"/>
        <v/>
      </c>
      <c r="G157" s="1" t="str">
        <f t="shared" si="27"/>
        <v/>
      </c>
      <c r="H157" s="1" t="str">
        <f t="shared" si="28"/>
        <v/>
      </c>
      <c r="K157" s="1" t="str">
        <f t="shared" si="29"/>
        <v/>
      </c>
      <c r="L157" s="1" t="str">
        <f t="shared" si="30"/>
        <v/>
      </c>
      <c r="M157" s="1" t="str">
        <f t="shared" si="31"/>
        <v/>
      </c>
      <c r="N157" s="1" t="str">
        <f t="shared" si="32"/>
        <v/>
      </c>
      <c r="O157" s="1" t="str">
        <f t="shared" si="33"/>
        <v/>
      </c>
      <c r="P157" s="1" t="str">
        <f t="shared" si="34"/>
        <v/>
      </c>
      <c r="R157" s="1" t="str">
        <f t="shared" si="35"/>
        <v/>
      </c>
    </row>
    <row r="158" spans="1:18" x14ac:dyDescent="0.2">
      <c r="A158" t="str">
        <f>IF(COUNTBLANK(B158:R158)&lt;&gt;COLUMNS(B158:R158),157,"")</f>
        <v/>
      </c>
      <c r="D158" s="1" t="str">
        <f t="shared" si="24"/>
        <v/>
      </c>
      <c r="E158" s="2" t="str">
        <f t="shared" si="25"/>
        <v/>
      </c>
      <c r="F158" s="1" t="str">
        <f t="shared" si="26"/>
        <v/>
      </c>
      <c r="G158" s="1" t="str">
        <f t="shared" si="27"/>
        <v/>
      </c>
      <c r="H158" s="1" t="str">
        <f t="shared" si="28"/>
        <v/>
      </c>
      <c r="K158" s="1" t="str">
        <f t="shared" si="29"/>
        <v/>
      </c>
      <c r="L158" s="1" t="str">
        <f t="shared" si="30"/>
        <v/>
      </c>
      <c r="M158" s="1" t="str">
        <f t="shared" si="31"/>
        <v/>
      </c>
      <c r="N158" s="1" t="str">
        <f t="shared" si="32"/>
        <v/>
      </c>
      <c r="O158" s="1" t="str">
        <f t="shared" si="33"/>
        <v/>
      </c>
      <c r="P158" s="1" t="str">
        <f t="shared" si="34"/>
        <v/>
      </c>
      <c r="R158" s="1" t="str">
        <f t="shared" si="35"/>
        <v/>
      </c>
    </row>
    <row r="159" spans="1:18" x14ac:dyDescent="0.2">
      <c r="A159" t="str">
        <f>IF(COUNTBLANK(B159:R159)&lt;&gt;COLUMNS(B159:R159),158,"")</f>
        <v/>
      </c>
      <c r="D159" s="1" t="str">
        <f t="shared" si="24"/>
        <v/>
      </c>
      <c r="E159" s="2" t="str">
        <f t="shared" si="25"/>
        <v/>
      </c>
      <c r="F159" s="1" t="str">
        <f t="shared" si="26"/>
        <v/>
      </c>
      <c r="G159" s="1" t="str">
        <f t="shared" si="27"/>
        <v/>
      </c>
      <c r="H159" s="1" t="str">
        <f t="shared" si="28"/>
        <v/>
      </c>
      <c r="K159" s="1" t="str">
        <f t="shared" si="29"/>
        <v/>
      </c>
      <c r="L159" s="1" t="str">
        <f t="shared" si="30"/>
        <v/>
      </c>
      <c r="M159" s="1" t="str">
        <f t="shared" si="31"/>
        <v/>
      </c>
      <c r="N159" s="1" t="str">
        <f t="shared" si="32"/>
        <v/>
      </c>
      <c r="O159" s="1" t="str">
        <f t="shared" si="33"/>
        <v/>
      </c>
      <c r="P159" s="1" t="str">
        <f t="shared" si="34"/>
        <v/>
      </c>
      <c r="R159" s="1" t="str">
        <f t="shared" si="35"/>
        <v/>
      </c>
    </row>
    <row r="160" spans="1:18" x14ac:dyDescent="0.2">
      <c r="A160" t="str">
        <f>IF(COUNTBLANK(B160:R160)&lt;&gt;COLUMNS(B160:R160),159,"")</f>
        <v/>
      </c>
      <c r="D160" s="1" t="str">
        <f t="shared" si="24"/>
        <v/>
      </c>
      <c r="E160" s="2" t="str">
        <f t="shared" si="25"/>
        <v/>
      </c>
      <c r="F160" s="1" t="str">
        <f t="shared" si="26"/>
        <v/>
      </c>
      <c r="G160" s="1" t="str">
        <f t="shared" si="27"/>
        <v/>
      </c>
      <c r="H160" s="1" t="str">
        <f t="shared" si="28"/>
        <v/>
      </c>
      <c r="K160" s="1" t="str">
        <f t="shared" si="29"/>
        <v/>
      </c>
      <c r="L160" s="1" t="str">
        <f t="shared" si="30"/>
        <v/>
      </c>
      <c r="M160" s="1" t="str">
        <f t="shared" si="31"/>
        <v/>
      </c>
      <c r="N160" s="1" t="str">
        <f t="shared" si="32"/>
        <v/>
      </c>
      <c r="O160" s="1" t="str">
        <f t="shared" si="33"/>
        <v/>
      </c>
      <c r="P160" s="1" t="str">
        <f t="shared" si="34"/>
        <v/>
      </c>
      <c r="R160" s="1" t="str">
        <f t="shared" si="35"/>
        <v/>
      </c>
    </row>
    <row r="161" spans="1:18" x14ac:dyDescent="0.2">
      <c r="A161" t="str">
        <f>IF(COUNTBLANK(B161:R161)&lt;&gt;COLUMNS(B161:R161),160,"")</f>
        <v/>
      </c>
      <c r="D161" s="1" t="str">
        <f t="shared" si="24"/>
        <v/>
      </c>
      <c r="E161" s="2" t="str">
        <f t="shared" si="25"/>
        <v/>
      </c>
      <c r="F161" s="1" t="str">
        <f t="shared" si="26"/>
        <v/>
      </c>
      <c r="G161" s="1" t="str">
        <f t="shared" si="27"/>
        <v/>
      </c>
      <c r="H161" s="1" t="str">
        <f t="shared" si="28"/>
        <v/>
      </c>
      <c r="K161" s="1" t="str">
        <f t="shared" si="29"/>
        <v/>
      </c>
      <c r="L161" s="1" t="str">
        <f t="shared" si="30"/>
        <v/>
      </c>
      <c r="M161" s="1" t="str">
        <f t="shared" si="31"/>
        <v/>
      </c>
      <c r="N161" s="1" t="str">
        <f t="shared" si="32"/>
        <v/>
      </c>
      <c r="O161" s="1" t="str">
        <f t="shared" si="33"/>
        <v/>
      </c>
      <c r="P161" s="1" t="str">
        <f t="shared" si="34"/>
        <v/>
      </c>
      <c r="R161" s="1" t="str">
        <f t="shared" si="35"/>
        <v/>
      </c>
    </row>
    <row r="162" spans="1:18" x14ac:dyDescent="0.2">
      <c r="A162" t="str">
        <f>IF(COUNTBLANK(B162:R162)&lt;&gt;COLUMNS(B162:R162),161,"")</f>
        <v/>
      </c>
      <c r="D162" s="1" t="str">
        <f t="shared" si="24"/>
        <v/>
      </c>
      <c r="E162" s="2" t="str">
        <f t="shared" si="25"/>
        <v/>
      </c>
      <c r="F162" s="1" t="str">
        <f t="shared" si="26"/>
        <v/>
      </c>
      <c r="G162" s="1" t="str">
        <f t="shared" si="27"/>
        <v/>
      </c>
      <c r="H162" s="1" t="str">
        <f t="shared" si="28"/>
        <v/>
      </c>
      <c r="K162" s="1" t="str">
        <f t="shared" si="29"/>
        <v/>
      </c>
      <c r="L162" s="1" t="str">
        <f t="shared" si="30"/>
        <v/>
      </c>
      <c r="M162" s="1" t="str">
        <f t="shared" si="31"/>
        <v/>
      </c>
      <c r="N162" s="1" t="str">
        <f t="shared" si="32"/>
        <v/>
      </c>
      <c r="O162" s="1" t="str">
        <f t="shared" si="33"/>
        <v/>
      </c>
      <c r="P162" s="1" t="str">
        <f t="shared" si="34"/>
        <v/>
      </c>
      <c r="R162" s="1" t="str">
        <f t="shared" si="35"/>
        <v/>
      </c>
    </row>
    <row r="163" spans="1:18" x14ac:dyDescent="0.2">
      <c r="A163" t="str">
        <f>IF(COUNTBLANK(B163:R163)&lt;&gt;COLUMNS(B163:R163),162,"")</f>
        <v/>
      </c>
      <c r="D163" s="1" t="str">
        <f t="shared" si="24"/>
        <v/>
      </c>
      <c r="E163" s="2" t="str">
        <f t="shared" si="25"/>
        <v/>
      </c>
      <c r="F163" s="1" t="str">
        <f t="shared" si="26"/>
        <v/>
      </c>
      <c r="G163" s="1" t="str">
        <f t="shared" si="27"/>
        <v/>
      </c>
      <c r="H163" s="1" t="str">
        <f t="shared" si="28"/>
        <v/>
      </c>
      <c r="K163" s="1" t="str">
        <f t="shared" si="29"/>
        <v/>
      </c>
      <c r="L163" s="1" t="str">
        <f t="shared" si="30"/>
        <v/>
      </c>
      <c r="M163" s="1" t="str">
        <f t="shared" si="31"/>
        <v/>
      </c>
      <c r="N163" s="1" t="str">
        <f t="shared" si="32"/>
        <v/>
      </c>
      <c r="O163" s="1" t="str">
        <f t="shared" si="33"/>
        <v/>
      </c>
      <c r="P163" s="1" t="str">
        <f t="shared" si="34"/>
        <v/>
      </c>
      <c r="R163" s="1" t="str">
        <f t="shared" si="35"/>
        <v/>
      </c>
    </row>
    <row r="164" spans="1:18" x14ac:dyDescent="0.2">
      <c r="A164" t="str">
        <f>IF(COUNTBLANK(B164:R164)&lt;&gt;COLUMNS(B164:R164),163,"")</f>
        <v/>
      </c>
      <c r="D164" s="1" t="str">
        <f t="shared" si="24"/>
        <v/>
      </c>
      <c r="E164" s="2" t="str">
        <f t="shared" si="25"/>
        <v/>
      </c>
      <c r="F164" s="1" t="str">
        <f t="shared" si="26"/>
        <v/>
      </c>
      <c r="G164" s="1" t="str">
        <f t="shared" si="27"/>
        <v/>
      </c>
      <c r="H164" s="1" t="str">
        <f t="shared" si="28"/>
        <v/>
      </c>
      <c r="K164" s="1" t="str">
        <f t="shared" si="29"/>
        <v/>
      </c>
      <c r="L164" s="1" t="str">
        <f t="shared" si="30"/>
        <v/>
      </c>
      <c r="M164" s="1" t="str">
        <f t="shared" si="31"/>
        <v/>
      </c>
      <c r="N164" s="1" t="str">
        <f t="shared" si="32"/>
        <v/>
      </c>
      <c r="O164" s="1" t="str">
        <f t="shared" si="33"/>
        <v/>
      </c>
      <c r="P164" s="1" t="str">
        <f t="shared" si="34"/>
        <v/>
      </c>
      <c r="R164" s="1" t="str">
        <f t="shared" si="35"/>
        <v/>
      </c>
    </row>
    <row r="165" spans="1:18" x14ac:dyDescent="0.2">
      <c r="A165" t="str">
        <f>IF(COUNTBLANK(B165:R165)&lt;&gt;COLUMNS(B165:R165),164,"")</f>
        <v/>
      </c>
      <c r="D165" s="1" t="str">
        <f t="shared" si="24"/>
        <v/>
      </c>
      <c r="E165" s="2" t="str">
        <f t="shared" si="25"/>
        <v/>
      </c>
      <c r="F165" s="1" t="str">
        <f t="shared" si="26"/>
        <v/>
      </c>
      <c r="G165" s="1" t="str">
        <f t="shared" si="27"/>
        <v/>
      </c>
      <c r="H165" s="1" t="str">
        <f t="shared" si="28"/>
        <v/>
      </c>
      <c r="K165" s="1" t="str">
        <f t="shared" si="29"/>
        <v/>
      </c>
      <c r="L165" s="1" t="str">
        <f t="shared" si="30"/>
        <v/>
      </c>
      <c r="M165" s="1" t="str">
        <f t="shared" si="31"/>
        <v/>
      </c>
      <c r="N165" s="1" t="str">
        <f t="shared" si="32"/>
        <v/>
      </c>
      <c r="O165" s="1" t="str">
        <f t="shared" si="33"/>
        <v/>
      </c>
      <c r="P165" s="1" t="str">
        <f t="shared" si="34"/>
        <v/>
      </c>
      <c r="R165" s="1" t="str">
        <f t="shared" si="35"/>
        <v/>
      </c>
    </row>
    <row r="166" spans="1:18" x14ac:dyDescent="0.2">
      <c r="A166" t="str">
        <f>IF(COUNTBLANK(B166:R166)&lt;&gt;COLUMNS(B166:R166),165,"")</f>
        <v/>
      </c>
      <c r="D166" s="1" t="str">
        <f t="shared" si="24"/>
        <v/>
      </c>
      <c r="E166" s="2" t="str">
        <f t="shared" si="25"/>
        <v/>
      </c>
      <c r="F166" s="1" t="str">
        <f t="shared" si="26"/>
        <v/>
      </c>
      <c r="G166" s="1" t="str">
        <f t="shared" si="27"/>
        <v/>
      </c>
      <c r="H166" s="1" t="str">
        <f t="shared" si="28"/>
        <v/>
      </c>
      <c r="K166" s="1" t="str">
        <f t="shared" si="29"/>
        <v/>
      </c>
      <c r="L166" s="1" t="str">
        <f t="shared" si="30"/>
        <v/>
      </c>
      <c r="M166" s="1" t="str">
        <f t="shared" si="31"/>
        <v/>
      </c>
      <c r="N166" s="1" t="str">
        <f t="shared" si="32"/>
        <v/>
      </c>
      <c r="O166" s="1" t="str">
        <f t="shared" si="33"/>
        <v/>
      </c>
      <c r="P166" s="1" t="str">
        <f t="shared" si="34"/>
        <v/>
      </c>
      <c r="R166" s="1" t="str">
        <f t="shared" si="35"/>
        <v/>
      </c>
    </row>
    <row r="167" spans="1:18" x14ac:dyDescent="0.2">
      <c r="A167" t="str">
        <f>IF(COUNTBLANK(B167:R167)&lt;&gt;COLUMNS(B167:R167),166,"")</f>
        <v/>
      </c>
      <c r="D167" s="1" t="str">
        <f t="shared" si="24"/>
        <v/>
      </c>
      <c r="E167" s="2" t="str">
        <f t="shared" si="25"/>
        <v/>
      </c>
      <c r="F167" s="1" t="str">
        <f t="shared" si="26"/>
        <v/>
      </c>
      <c r="G167" s="1" t="str">
        <f t="shared" si="27"/>
        <v/>
      </c>
      <c r="H167" s="1" t="str">
        <f t="shared" si="28"/>
        <v/>
      </c>
      <c r="K167" s="1" t="str">
        <f t="shared" si="29"/>
        <v/>
      </c>
      <c r="L167" s="1" t="str">
        <f t="shared" si="30"/>
        <v/>
      </c>
      <c r="M167" s="1" t="str">
        <f t="shared" si="31"/>
        <v/>
      </c>
      <c r="N167" s="1" t="str">
        <f t="shared" si="32"/>
        <v/>
      </c>
      <c r="O167" s="1" t="str">
        <f t="shared" si="33"/>
        <v/>
      </c>
      <c r="P167" s="1" t="str">
        <f t="shared" si="34"/>
        <v/>
      </c>
      <c r="R167" s="1" t="str">
        <f t="shared" si="35"/>
        <v/>
      </c>
    </row>
    <row r="168" spans="1:18" x14ac:dyDescent="0.2">
      <c r="A168" t="str">
        <f>IF(COUNTBLANK(B168:R168)&lt;&gt;COLUMNS(B168:R168),167,"")</f>
        <v/>
      </c>
      <c r="D168" s="1" t="str">
        <f t="shared" si="24"/>
        <v/>
      </c>
      <c r="E168" s="2" t="str">
        <f t="shared" si="25"/>
        <v/>
      </c>
      <c r="F168" s="1" t="str">
        <f t="shared" si="26"/>
        <v/>
      </c>
      <c r="G168" s="1" t="str">
        <f t="shared" si="27"/>
        <v/>
      </c>
      <c r="H168" s="1" t="str">
        <f t="shared" si="28"/>
        <v/>
      </c>
      <c r="K168" s="1" t="str">
        <f t="shared" si="29"/>
        <v/>
      </c>
      <c r="L168" s="1" t="str">
        <f t="shared" si="30"/>
        <v/>
      </c>
      <c r="M168" s="1" t="str">
        <f t="shared" si="31"/>
        <v/>
      </c>
      <c r="N168" s="1" t="str">
        <f t="shared" si="32"/>
        <v/>
      </c>
      <c r="O168" s="1" t="str">
        <f t="shared" si="33"/>
        <v/>
      </c>
      <c r="P168" s="1" t="str">
        <f t="shared" si="34"/>
        <v/>
      </c>
      <c r="R168" s="1" t="str">
        <f t="shared" si="35"/>
        <v/>
      </c>
    </row>
    <row r="169" spans="1:18" x14ac:dyDescent="0.2">
      <c r="A169" t="str">
        <f>IF(COUNTBLANK(B169:R169)&lt;&gt;COLUMNS(B169:R169),168,"")</f>
        <v/>
      </c>
      <c r="D169" s="1" t="str">
        <f t="shared" si="24"/>
        <v/>
      </c>
      <c r="E169" s="2" t="str">
        <f t="shared" si="25"/>
        <v/>
      </c>
      <c r="F169" s="1" t="str">
        <f t="shared" si="26"/>
        <v/>
      </c>
      <c r="G169" s="1" t="str">
        <f t="shared" si="27"/>
        <v/>
      </c>
      <c r="H169" s="1" t="str">
        <f t="shared" si="28"/>
        <v/>
      </c>
      <c r="K169" s="1" t="str">
        <f t="shared" si="29"/>
        <v/>
      </c>
      <c r="L169" s="1" t="str">
        <f t="shared" si="30"/>
        <v/>
      </c>
      <c r="M169" s="1" t="str">
        <f t="shared" si="31"/>
        <v/>
      </c>
      <c r="N169" s="1" t="str">
        <f t="shared" si="32"/>
        <v/>
      </c>
      <c r="O169" s="1" t="str">
        <f t="shared" si="33"/>
        <v/>
      </c>
      <c r="P169" s="1" t="str">
        <f t="shared" si="34"/>
        <v/>
      </c>
      <c r="R169" s="1" t="str">
        <f t="shared" si="35"/>
        <v/>
      </c>
    </row>
    <row r="170" spans="1:18" x14ac:dyDescent="0.2">
      <c r="A170" t="str">
        <f>IF(COUNTBLANK(B170:R170)&lt;&gt;COLUMNS(B170:R170),169,"")</f>
        <v/>
      </c>
      <c r="D170" s="1" t="str">
        <f t="shared" si="24"/>
        <v/>
      </c>
      <c r="E170" s="2" t="str">
        <f t="shared" si="25"/>
        <v/>
      </c>
      <c r="F170" s="1" t="str">
        <f t="shared" si="26"/>
        <v/>
      </c>
      <c r="G170" s="1" t="str">
        <f t="shared" si="27"/>
        <v/>
      </c>
      <c r="H170" s="1" t="str">
        <f t="shared" si="28"/>
        <v/>
      </c>
      <c r="K170" s="1" t="str">
        <f t="shared" si="29"/>
        <v/>
      </c>
      <c r="L170" s="1" t="str">
        <f t="shared" si="30"/>
        <v/>
      </c>
      <c r="M170" s="1" t="str">
        <f t="shared" si="31"/>
        <v/>
      </c>
      <c r="N170" s="1" t="str">
        <f t="shared" si="32"/>
        <v/>
      </c>
      <c r="O170" s="1" t="str">
        <f t="shared" si="33"/>
        <v/>
      </c>
      <c r="P170" s="1" t="str">
        <f t="shared" si="34"/>
        <v/>
      </c>
      <c r="R170" s="1" t="str">
        <f t="shared" si="35"/>
        <v/>
      </c>
    </row>
    <row r="171" spans="1:18" x14ac:dyDescent="0.2">
      <c r="A171" t="str">
        <f>IF(COUNTBLANK(B171:R171)&lt;&gt;COLUMNS(B171:R171),170,"")</f>
        <v/>
      </c>
      <c r="D171" s="1" t="str">
        <f t="shared" si="24"/>
        <v/>
      </c>
      <c r="E171" s="2" t="str">
        <f t="shared" si="25"/>
        <v/>
      </c>
      <c r="F171" s="1" t="str">
        <f t="shared" si="26"/>
        <v/>
      </c>
      <c r="G171" s="1" t="str">
        <f t="shared" si="27"/>
        <v/>
      </c>
      <c r="H171" s="1" t="str">
        <f t="shared" si="28"/>
        <v/>
      </c>
      <c r="K171" s="1" t="str">
        <f t="shared" si="29"/>
        <v/>
      </c>
      <c r="L171" s="1" t="str">
        <f t="shared" si="30"/>
        <v/>
      </c>
      <c r="M171" s="1" t="str">
        <f t="shared" si="31"/>
        <v/>
      </c>
      <c r="N171" s="1" t="str">
        <f t="shared" si="32"/>
        <v/>
      </c>
      <c r="O171" s="1" t="str">
        <f t="shared" si="33"/>
        <v/>
      </c>
      <c r="P171" s="1" t="str">
        <f t="shared" si="34"/>
        <v/>
      </c>
      <c r="R171" s="1" t="str">
        <f t="shared" si="35"/>
        <v/>
      </c>
    </row>
    <row r="172" spans="1:18" x14ac:dyDescent="0.2">
      <c r="A172" t="str">
        <f>IF(COUNTBLANK(B172:R172)&lt;&gt;COLUMNS(B172:R172),171,"")</f>
        <v/>
      </c>
      <c r="D172" s="1" t="str">
        <f t="shared" si="24"/>
        <v/>
      </c>
      <c r="E172" s="2" t="str">
        <f t="shared" si="25"/>
        <v/>
      </c>
      <c r="F172" s="1" t="str">
        <f t="shared" si="26"/>
        <v/>
      </c>
      <c r="G172" s="1" t="str">
        <f t="shared" si="27"/>
        <v/>
      </c>
      <c r="H172" s="1" t="str">
        <f t="shared" si="28"/>
        <v/>
      </c>
      <c r="K172" s="1" t="str">
        <f t="shared" si="29"/>
        <v/>
      </c>
      <c r="L172" s="1" t="str">
        <f t="shared" si="30"/>
        <v/>
      </c>
      <c r="M172" s="1" t="str">
        <f t="shared" si="31"/>
        <v/>
      </c>
      <c r="N172" s="1" t="str">
        <f t="shared" si="32"/>
        <v/>
      </c>
      <c r="O172" s="1" t="str">
        <f t="shared" si="33"/>
        <v/>
      </c>
      <c r="P172" s="1" t="str">
        <f t="shared" si="34"/>
        <v/>
      </c>
      <c r="R172" s="1" t="str">
        <f t="shared" si="35"/>
        <v/>
      </c>
    </row>
    <row r="173" spans="1:18" x14ac:dyDescent="0.2">
      <c r="A173" t="str">
        <f>IF(COUNTBLANK(B173:R173)&lt;&gt;COLUMNS(B173:R173),172,"")</f>
        <v/>
      </c>
      <c r="D173" s="1" t="str">
        <f t="shared" si="24"/>
        <v/>
      </c>
      <c r="E173" s="2" t="str">
        <f t="shared" si="25"/>
        <v/>
      </c>
      <c r="F173" s="1" t="str">
        <f t="shared" si="26"/>
        <v/>
      </c>
      <c r="G173" s="1" t="str">
        <f t="shared" si="27"/>
        <v/>
      </c>
      <c r="H173" s="1" t="str">
        <f t="shared" si="28"/>
        <v/>
      </c>
      <c r="K173" s="1" t="str">
        <f t="shared" si="29"/>
        <v/>
      </c>
      <c r="L173" s="1" t="str">
        <f t="shared" si="30"/>
        <v/>
      </c>
      <c r="M173" s="1" t="str">
        <f t="shared" si="31"/>
        <v/>
      </c>
      <c r="N173" s="1" t="str">
        <f t="shared" si="32"/>
        <v/>
      </c>
      <c r="O173" s="1" t="str">
        <f t="shared" si="33"/>
        <v/>
      </c>
      <c r="P173" s="1" t="str">
        <f t="shared" si="34"/>
        <v/>
      </c>
      <c r="R173" s="1" t="str">
        <f t="shared" si="35"/>
        <v/>
      </c>
    </row>
    <row r="174" spans="1:18" x14ac:dyDescent="0.2">
      <c r="A174" t="str">
        <f>IF(COUNTBLANK(B174:R174)&lt;&gt;COLUMNS(B174:R174),173,"")</f>
        <v/>
      </c>
      <c r="D174" s="1" t="str">
        <f t="shared" si="24"/>
        <v/>
      </c>
      <c r="E174" s="2" t="str">
        <f t="shared" si="25"/>
        <v/>
      </c>
      <c r="F174" s="1" t="str">
        <f t="shared" si="26"/>
        <v/>
      </c>
      <c r="G174" s="1" t="str">
        <f t="shared" si="27"/>
        <v/>
      </c>
      <c r="H174" s="1" t="str">
        <f t="shared" si="28"/>
        <v/>
      </c>
      <c r="K174" s="1" t="str">
        <f t="shared" si="29"/>
        <v/>
      </c>
      <c r="L174" s="1" t="str">
        <f t="shared" si="30"/>
        <v/>
      </c>
      <c r="M174" s="1" t="str">
        <f t="shared" si="31"/>
        <v/>
      </c>
      <c r="N174" s="1" t="str">
        <f t="shared" si="32"/>
        <v/>
      </c>
      <c r="O174" s="1" t="str">
        <f t="shared" si="33"/>
        <v/>
      </c>
      <c r="P174" s="1" t="str">
        <f t="shared" si="34"/>
        <v/>
      </c>
      <c r="R174" s="1" t="str">
        <f t="shared" si="35"/>
        <v/>
      </c>
    </row>
    <row r="175" spans="1:18" x14ac:dyDescent="0.2">
      <c r="A175" t="str">
        <f>IF(COUNTBLANK(B175:R175)&lt;&gt;COLUMNS(B175:R175),174,"")</f>
        <v/>
      </c>
      <c r="D175" s="1" t="str">
        <f t="shared" si="24"/>
        <v/>
      </c>
      <c r="E175" s="2" t="str">
        <f t="shared" si="25"/>
        <v/>
      </c>
      <c r="F175" s="1" t="str">
        <f t="shared" si="26"/>
        <v/>
      </c>
      <c r="G175" s="1" t="str">
        <f t="shared" si="27"/>
        <v/>
      </c>
      <c r="H175" s="1" t="str">
        <f t="shared" si="28"/>
        <v/>
      </c>
      <c r="K175" s="1" t="str">
        <f t="shared" si="29"/>
        <v/>
      </c>
      <c r="L175" s="1" t="str">
        <f t="shared" si="30"/>
        <v/>
      </c>
      <c r="M175" s="1" t="str">
        <f t="shared" si="31"/>
        <v/>
      </c>
      <c r="N175" s="1" t="str">
        <f t="shared" si="32"/>
        <v/>
      </c>
      <c r="O175" s="1" t="str">
        <f t="shared" si="33"/>
        <v/>
      </c>
      <c r="P175" s="1" t="str">
        <f t="shared" si="34"/>
        <v/>
      </c>
      <c r="R175" s="1" t="str">
        <f t="shared" si="35"/>
        <v/>
      </c>
    </row>
    <row r="176" spans="1:18" x14ac:dyDescent="0.2">
      <c r="A176" t="str">
        <f>IF(COUNTBLANK(B176:R176)&lt;&gt;COLUMNS(B176:R176),175,"")</f>
        <v/>
      </c>
      <c r="D176" s="1" t="str">
        <f t="shared" si="24"/>
        <v/>
      </c>
      <c r="E176" s="2" t="str">
        <f t="shared" si="25"/>
        <v/>
      </c>
      <c r="F176" s="1" t="str">
        <f t="shared" si="26"/>
        <v/>
      </c>
      <c r="G176" s="1" t="str">
        <f t="shared" si="27"/>
        <v/>
      </c>
      <c r="H176" s="1" t="str">
        <f t="shared" si="28"/>
        <v/>
      </c>
      <c r="K176" s="1" t="str">
        <f t="shared" si="29"/>
        <v/>
      </c>
      <c r="L176" s="1" t="str">
        <f t="shared" si="30"/>
        <v/>
      </c>
      <c r="M176" s="1" t="str">
        <f t="shared" si="31"/>
        <v/>
      </c>
      <c r="N176" s="1" t="str">
        <f t="shared" si="32"/>
        <v/>
      </c>
      <c r="O176" s="1" t="str">
        <f t="shared" si="33"/>
        <v/>
      </c>
      <c r="P176" s="1" t="str">
        <f t="shared" si="34"/>
        <v/>
      </c>
      <c r="R176" s="1" t="str">
        <f t="shared" si="35"/>
        <v/>
      </c>
    </row>
    <row r="177" spans="1:18" x14ac:dyDescent="0.2">
      <c r="A177" t="str">
        <f>IF(COUNTBLANK(B177:R177)&lt;&gt;COLUMNS(B177:R177),176,"")</f>
        <v/>
      </c>
      <c r="D177" s="1" t="str">
        <f t="shared" si="24"/>
        <v/>
      </c>
      <c r="E177" s="2" t="str">
        <f t="shared" si="25"/>
        <v/>
      </c>
      <c r="F177" s="1" t="str">
        <f t="shared" si="26"/>
        <v/>
      </c>
      <c r="G177" s="1" t="str">
        <f t="shared" si="27"/>
        <v/>
      </c>
      <c r="H177" s="1" t="str">
        <f t="shared" si="28"/>
        <v/>
      </c>
      <c r="K177" s="1" t="str">
        <f t="shared" si="29"/>
        <v/>
      </c>
      <c r="L177" s="1" t="str">
        <f t="shared" si="30"/>
        <v/>
      </c>
      <c r="M177" s="1" t="str">
        <f t="shared" si="31"/>
        <v/>
      </c>
      <c r="N177" s="1" t="str">
        <f t="shared" si="32"/>
        <v/>
      </c>
      <c r="O177" s="1" t="str">
        <f t="shared" si="33"/>
        <v/>
      </c>
      <c r="P177" s="1" t="str">
        <f t="shared" si="34"/>
        <v/>
      </c>
      <c r="R177" s="1" t="str">
        <f t="shared" si="35"/>
        <v/>
      </c>
    </row>
    <row r="178" spans="1:18" x14ac:dyDescent="0.2">
      <c r="A178" t="str">
        <f>IF(COUNTBLANK(B178:R178)&lt;&gt;COLUMNS(B178:R178),177,"")</f>
        <v/>
      </c>
      <c r="D178" s="1" t="str">
        <f t="shared" si="24"/>
        <v/>
      </c>
      <c r="E178" s="2" t="str">
        <f t="shared" si="25"/>
        <v/>
      </c>
      <c r="F178" s="1" t="str">
        <f t="shared" si="26"/>
        <v/>
      </c>
      <c r="G178" s="1" t="str">
        <f t="shared" si="27"/>
        <v/>
      </c>
      <c r="H178" s="1" t="str">
        <f t="shared" si="28"/>
        <v/>
      </c>
      <c r="K178" s="1" t="str">
        <f t="shared" si="29"/>
        <v/>
      </c>
      <c r="L178" s="1" t="str">
        <f t="shared" si="30"/>
        <v/>
      </c>
      <c r="M178" s="1" t="str">
        <f t="shared" si="31"/>
        <v/>
      </c>
      <c r="N178" s="1" t="str">
        <f t="shared" si="32"/>
        <v/>
      </c>
      <c r="O178" s="1" t="str">
        <f t="shared" si="33"/>
        <v/>
      </c>
      <c r="P178" s="1" t="str">
        <f t="shared" si="34"/>
        <v/>
      </c>
      <c r="R178" s="1" t="str">
        <f t="shared" si="35"/>
        <v/>
      </c>
    </row>
    <row r="179" spans="1:18" x14ac:dyDescent="0.2">
      <c r="A179" t="str">
        <f>IF(COUNTBLANK(B179:R179)&lt;&gt;COLUMNS(B179:R179),178,"")</f>
        <v/>
      </c>
      <c r="D179" s="1" t="str">
        <f t="shared" si="24"/>
        <v/>
      </c>
      <c r="E179" s="2" t="str">
        <f t="shared" si="25"/>
        <v/>
      </c>
      <c r="F179" s="1" t="str">
        <f t="shared" si="26"/>
        <v/>
      </c>
      <c r="G179" s="1" t="str">
        <f t="shared" si="27"/>
        <v/>
      </c>
      <c r="H179" s="1" t="str">
        <f t="shared" si="28"/>
        <v/>
      </c>
      <c r="K179" s="1" t="str">
        <f t="shared" si="29"/>
        <v/>
      </c>
      <c r="L179" s="1" t="str">
        <f t="shared" si="30"/>
        <v/>
      </c>
      <c r="M179" s="1" t="str">
        <f t="shared" si="31"/>
        <v/>
      </c>
      <c r="N179" s="1" t="str">
        <f t="shared" si="32"/>
        <v/>
      </c>
      <c r="O179" s="1" t="str">
        <f t="shared" si="33"/>
        <v/>
      </c>
      <c r="P179" s="1" t="str">
        <f t="shared" si="34"/>
        <v/>
      </c>
      <c r="R179" s="1" t="str">
        <f t="shared" si="35"/>
        <v/>
      </c>
    </row>
    <row r="180" spans="1:18" x14ac:dyDescent="0.2">
      <c r="A180" t="str">
        <f>IF(COUNTBLANK(B180:R180)&lt;&gt;COLUMNS(B180:R180),179,"")</f>
        <v/>
      </c>
      <c r="D180" s="1" t="str">
        <f t="shared" si="24"/>
        <v/>
      </c>
      <c r="E180" s="2" t="str">
        <f t="shared" si="25"/>
        <v/>
      </c>
      <c r="F180" s="1" t="str">
        <f t="shared" si="26"/>
        <v/>
      </c>
      <c r="G180" s="1" t="str">
        <f t="shared" si="27"/>
        <v/>
      </c>
      <c r="H180" s="1" t="str">
        <f t="shared" si="28"/>
        <v/>
      </c>
      <c r="K180" s="1" t="str">
        <f t="shared" si="29"/>
        <v/>
      </c>
      <c r="L180" s="1" t="str">
        <f t="shared" si="30"/>
        <v/>
      </c>
      <c r="M180" s="1" t="str">
        <f t="shared" si="31"/>
        <v/>
      </c>
      <c r="N180" s="1" t="str">
        <f t="shared" si="32"/>
        <v/>
      </c>
      <c r="O180" s="1" t="str">
        <f t="shared" si="33"/>
        <v/>
      </c>
      <c r="P180" s="1" t="str">
        <f t="shared" si="34"/>
        <v/>
      </c>
      <c r="R180" s="1" t="str">
        <f t="shared" si="35"/>
        <v/>
      </c>
    </row>
    <row r="181" spans="1:18" x14ac:dyDescent="0.2">
      <c r="A181" t="str">
        <f>IF(COUNTBLANK(B181:R181)&lt;&gt;COLUMNS(B181:R181),180,"")</f>
        <v/>
      </c>
      <c r="D181" s="1" t="str">
        <f t="shared" si="24"/>
        <v/>
      </c>
      <c r="E181" s="2" t="str">
        <f t="shared" si="25"/>
        <v/>
      </c>
      <c r="F181" s="1" t="str">
        <f t="shared" si="26"/>
        <v/>
      </c>
      <c r="G181" s="1" t="str">
        <f t="shared" si="27"/>
        <v/>
      </c>
      <c r="H181" s="1" t="str">
        <f t="shared" si="28"/>
        <v/>
      </c>
      <c r="K181" s="1" t="str">
        <f t="shared" si="29"/>
        <v/>
      </c>
      <c r="L181" s="1" t="str">
        <f t="shared" si="30"/>
        <v/>
      </c>
      <c r="M181" s="1" t="str">
        <f t="shared" si="31"/>
        <v/>
      </c>
      <c r="N181" s="1" t="str">
        <f t="shared" si="32"/>
        <v/>
      </c>
      <c r="O181" s="1" t="str">
        <f t="shared" si="33"/>
        <v/>
      </c>
      <c r="P181" s="1" t="str">
        <f t="shared" si="34"/>
        <v/>
      </c>
      <c r="R181" s="1" t="str">
        <f t="shared" si="35"/>
        <v/>
      </c>
    </row>
    <row r="182" spans="1:18" x14ac:dyDescent="0.2">
      <c r="A182" t="str">
        <f>IF(COUNTBLANK(B182:R182)&lt;&gt;COLUMNS(B182:R182),181,"")</f>
        <v/>
      </c>
      <c r="D182" s="1" t="str">
        <f t="shared" si="24"/>
        <v/>
      </c>
      <c r="E182" s="2" t="str">
        <f t="shared" si="25"/>
        <v/>
      </c>
      <c r="F182" s="1" t="str">
        <f t="shared" si="26"/>
        <v/>
      </c>
      <c r="G182" s="1" t="str">
        <f t="shared" si="27"/>
        <v/>
      </c>
      <c r="H182" s="1" t="str">
        <f t="shared" si="28"/>
        <v/>
      </c>
      <c r="K182" s="1" t="str">
        <f t="shared" si="29"/>
        <v/>
      </c>
      <c r="L182" s="1" t="str">
        <f t="shared" si="30"/>
        <v/>
      </c>
      <c r="M182" s="1" t="str">
        <f t="shared" si="31"/>
        <v/>
      </c>
      <c r="N182" s="1" t="str">
        <f t="shared" si="32"/>
        <v/>
      </c>
      <c r="O182" s="1" t="str">
        <f t="shared" si="33"/>
        <v/>
      </c>
      <c r="P182" s="1" t="str">
        <f t="shared" si="34"/>
        <v/>
      </c>
      <c r="R182" s="1" t="str">
        <f t="shared" si="35"/>
        <v/>
      </c>
    </row>
    <row r="183" spans="1:18" x14ac:dyDescent="0.2">
      <c r="A183" t="str">
        <f>IF(COUNTBLANK(B183:R183)&lt;&gt;COLUMNS(B183:R183),182,"")</f>
        <v/>
      </c>
      <c r="D183" s="1" t="str">
        <f t="shared" si="24"/>
        <v/>
      </c>
      <c r="E183" s="2" t="str">
        <f t="shared" si="25"/>
        <v/>
      </c>
      <c r="F183" s="1" t="str">
        <f t="shared" si="26"/>
        <v/>
      </c>
      <c r="G183" s="1" t="str">
        <f t="shared" si="27"/>
        <v/>
      </c>
      <c r="H183" s="1" t="str">
        <f t="shared" si="28"/>
        <v/>
      </c>
      <c r="K183" s="1" t="str">
        <f t="shared" si="29"/>
        <v/>
      </c>
      <c r="L183" s="1" t="str">
        <f t="shared" si="30"/>
        <v/>
      </c>
      <c r="M183" s="1" t="str">
        <f t="shared" si="31"/>
        <v/>
      </c>
      <c r="N183" s="1" t="str">
        <f t="shared" si="32"/>
        <v/>
      </c>
      <c r="O183" s="1" t="str">
        <f t="shared" si="33"/>
        <v/>
      </c>
      <c r="P183" s="1" t="str">
        <f t="shared" si="34"/>
        <v/>
      </c>
      <c r="R183" s="1" t="str">
        <f t="shared" si="35"/>
        <v/>
      </c>
    </row>
    <row r="184" spans="1:18" x14ac:dyDescent="0.2">
      <c r="A184" t="str">
        <f>IF(COUNTBLANK(B184:R184)&lt;&gt;COLUMNS(B184:R184),183,"")</f>
        <v/>
      </c>
      <c r="D184" s="1" t="str">
        <f t="shared" si="24"/>
        <v/>
      </c>
      <c r="E184" s="2" t="str">
        <f t="shared" si="25"/>
        <v/>
      </c>
      <c r="F184" s="1" t="str">
        <f t="shared" si="26"/>
        <v/>
      </c>
      <c r="G184" s="1" t="str">
        <f t="shared" si="27"/>
        <v/>
      </c>
      <c r="H184" s="1" t="str">
        <f t="shared" si="28"/>
        <v/>
      </c>
      <c r="K184" s="1" t="str">
        <f t="shared" si="29"/>
        <v/>
      </c>
      <c r="L184" s="1" t="str">
        <f t="shared" si="30"/>
        <v/>
      </c>
      <c r="M184" s="1" t="str">
        <f t="shared" si="31"/>
        <v/>
      </c>
      <c r="N184" s="1" t="str">
        <f t="shared" si="32"/>
        <v/>
      </c>
      <c r="O184" s="1" t="str">
        <f t="shared" si="33"/>
        <v/>
      </c>
      <c r="P184" s="1" t="str">
        <f t="shared" si="34"/>
        <v/>
      </c>
      <c r="R184" s="1" t="str">
        <f t="shared" si="35"/>
        <v/>
      </c>
    </row>
    <row r="185" spans="1:18" x14ac:dyDescent="0.2">
      <c r="A185" t="str">
        <f>IF(COUNTBLANK(B185:R185)&lt;&gt;COLUMNS(B185:R185),184,"")</f>
        <v/>
      </c>
      <c r="D185" s="1" t="str">
        <f t="shared" si="24"/>
        <v/>
      </c>
      <c r="E185" s="2" t="str">
        <f t="shared" si="25"/>
        <v/>
      </c>
      <c r="F185" s="1" t="str">
        <f t="shared" si="26"/>
        <v/>
      </c>
      <c r="G185" s="1" t="str">
        <f t="shared" si="27"/>
        <v/>
      </c>
      <c r="H185" s="1" t="str">
        <f t="shared" si="28"/>
        <v/>
      </c>
      <c r="K185" s="1" t="str">
        <f t="shared" si="29"/>
        <v/>
      </c>
      <c r="L185" s="1" t="str">
        <f t="shared" si="30"/>
        <v/>
      </c>
      <c r="M185" s="1" t="str">
        <f t="shared" si="31"/>
        <v/>
      </c>
      <c r="N185" s="1" t="str">
        <f t="shared" si="32"/>
        <v/>
      </c>
      <c r="O185" s="1" t="str">
        <f t="shared" si="33"/>
        <v/>
      </c>
      <c r="P185" s="1" t="str">
        <f t="shared" si="34"/>
        <v/>
      </c>
      <c r="R185" s="1" t="str">
        <f t="shared" si="35"/>
        <v/>
      </c>
    </row>
    <row r="186" spans="1:18" x14ac:dyDescent="0.2">
      <c r="A186" t="str">
        <f>IF(COUNTBLANK(B186:R186)&lt;&gt;COLUMNS(B186:R186),185,"")</f>
        <v/>
      </c>
      <c r="D186" s="1" t="str">
        <f t="shared" si="24"/>
        <v/>
      </c>
      <c r="E186" s="2" t="str">
        <f t="shared" si="25"/>
        <v/>
      </c>
      <c r="F186" s="1" t="str">
        <f t="shared" si="26"/>
        <v/>
      </c>
      <c r="G186" s="1" t="str">
        <f t="shared" si="27"/>
        <v/>
      </c>
      <c r="H186" s="1" t="str">
        <f t="shared" si="28"/>
        <v/>
      </c>
      <c r="K186" s="1" t="str">
        <f t="shared" si="29"/>
        <v/>
      </c>
      <c r="L186" s="1" t="str">
        <f t="shared" si="30"/>
        <v/>
      </c>
      <c r="M186" s="1" t="str">
        <f t="shared" si="31"/>
        <v/>
      </c>
      <c r="N186" s="1" t="str">
        <f t="shared" si="32"/>
        <v/>
      </c>
      <c r="O186" s="1" t="str">
        <f t="shared" si="33"/>
        <v/>
      </c>
      <c r="P186" s="1" t="str">
        <f t="shared" si="34"/>
        <v/>
      </c>
      <c r="R186" s="1" t="str">
        <f t="shared" si="35"/>
        <v/>
      </c>
    </row>
    <row r="187" spans="1:18" x14ac:dyDescent="0.2">
      <c r="A187" t="str">
        <f>IF(COUNTBLANK(B187:R187)&lt;&gt;COLUMNS(B187:R187),186,"")</f>
        <v/>
      </c>
      <c r="D187" s="1" t="str">
        <f t="shared" si="24"/>
        <v/>
      </c>
      <c r="E187" s="2" t="str">
        <f t="shared" si="25"/>
        <v/>
      </c>
      <c r="F187" s="1" t="str">
        <f t="shared" si="26"/>
        <v/>
      </c>
      <c r="G187" s="1" t="str">
        <f t="shared" si="27"/>
        <v/>
      </c>
      <c r="H187" s="1" t="str">
        <f t="shared" si="28"/>
        <v/>
      </c>
      <c r="K187" s="1" t="str">
        <f t="shared" si="29"/>
        <v/>
      </c>
      <c r="L187" s="1" t="str">
        <f t="shared" si="30"/>
        <v/>
      </c>
      <c r="M187" s="1" t="str">
        <f t="shared" si="31"/>
        <v/>
      </c>
      <c r="N187" s="1" t="str">
        <f t="shared" si="32"/>
        <v/>
      </c>
      <c r="O187" s="1" t="str">
        <f t="shared" si="33"/>
        <v/>
      </c>
      <c r="P187" s="1" t="str">
        <f t="shared" si="34"/>
        <v/>
      </c>
      <c r="R187" s="1" t="str">
        <f t="shared" si="35"/>
        <v/>
      </c>
    </row>
    <row r="188" spans="1:18" x14ac:dyDescent="0.2">
      <c r="A188" t="str">
        <f>IF(COUNTBLANK(B188:R188)&lt;&gt;COLUMNS(B188:R188),187,"")</f>
        <v/>
      </c>
      <c r="D188" s="1" t="str">
        <f t="shared" si="24"/>
        <v/>
      </c>
      <c r="E188" s="2" t="str">
        <f t="shared" si="25"/>
        <v/>
      </c>
      <c r="F188" s="1" t="str">
        <f t="shared" si="26"/>
        <v/>
      </c>
      <c r="G188" s="1" t="str">
        <f t="shared" si="27"/>
        <v/>
      </c>
      <c r="H188" s="1" t="str">
        <f t="shared" si="28"/>
        <v/>
      </c>
      <c r="K188" s="1" t="str">
        <f t="shared" si="29"/>
        <v/>
      </c>
      <c r="L188" s="1" t="str">
        <f t="shared" si="30"/>
        <v/>
      </c>
      <c r="M188" s="1" t="str">
        <f t="shared" si="31"/>
        <v/>
      </c>
      <c r="N188" s="1" t="str">
        <f t="shared" si="32"/>
        <v/>
      </c>
      <c r="O188" s="1" t="str">
        <f t="shared" si="33"/>
        <v/>
      </c>
      <c r="P188" s="1" t="str">
        <f t="shared" si="34"/>
        <v/>
      </c>
      <c r="R188" s="1" t="str">
        <f t="shared" si="35"/>
        <v/>
      </c>
    </row>
    <row r="189" spans="1:18" x14ac:dyDescent="0.2">
      <c r="A189" t="str">
        <f>IF(COUNTBLANK(B189:R189)&lt;&gt;COLUMNS(B189:R189),188,"")</f>
        <v/>
      </c>
      <c r="D189" s="1" t="str">
        <f t="shared" si="24"/>
        <v/>
      </c>
      <c r="E189" s="2" t="str">
        <f t="shared" si="25"/>
        <v/>
      </c>
      <c r="F189" s="1" t="str">
        <f t="shared" si="26"/>
        <v/>
      </c>
      <c r="G189" s="1" t="str">
        <f t="shared" si="27"/>
        <v/>
      </c>
      <c r="H189" s="1" t="str">
        <f t="shared" si="28"/>
        <v/>
      </c>
      <c r="K189" s="1" t="str">
        <f t="shared" si="29"/>
        <v/>
      </c>
      <c r="L189" s="1" t="str">
        <f t="shared" si="30"/>
        <v/>
      </c>
      <c r="M189" s="1" t="str">
        <f t="shared" si="31"/>
        <v/>
      </c>
      <c r="N189" s="1" t="str">
        <f t="shared" si="32"/>
        <v/>
      </c>
      <c r="O189" s="1" t="str">
        <f t="shared" si="33"/>
        <v/>
      </c>
      <c r="P189" s="1" t="str">
        <f t="shared" si="34"/>
        <v/>
      </c>
      <c r="R189" s="1" t="str">
        <f t="shared" si="35"/>
        <v/>
      </c>
    </row>
    <row r="190" spans="1:18" x14ac:dyDescent="0.2">
      <c r="A190" t="str">
        <f>IF(COUNTBLANK(B190:R190)&lt;&gt;COLUMNS(B190:R190),189,"")</f>
        <v/>
      </c>
      <c r="D190" s="1" t="str">
        <f t="shared" si="24"/>
        <v/>
      </c>
      <c r="E190" s="2" t="str">
        <f t="shared" si="25"/>
        <v/>
      </c>
      <c r="F190" s="1" t="str">
        <f t="shared" si="26"/>
        <v/>
      </c>
      <c r="G190" s="1" t="str">
        <f t="shared" si="27"/>
        <v/>
      </c>
      <c r="H190" s="1" t="str">
        <f t="shared" si="28"/>
        <v/>
      </c>
      <c r="K190" s="1" t="str">
        <f t="shared" si="29"/>
        <v/>
      </c>
      <c r="L190" s="1" t="str">
        <f t="shared" si="30"/>
        <v/>
      </c>
      <c r="M190" s="1" t="str">
        <f t="shared" si="31"/>
        <v/>
      </c>
      <c r="N190" s="1" t="str">
        <f t="shared" si="32"/>
        <v/>
      </c>
      <c r="O190" s="1" t="str">
        <f t="shared" si="33"/>
        <v/>
      </c>
      <c r="P190" s="1" t="str">
        <f t="shared" si="34"/>
        <v/>
      </c>
      <c r="R190" s="1" t="str">
        <f t="shared" si="35"/>
        <v/>
      </c>
    </row>
    <row r="191" spans="1:18" x14ac:dyDescent="0.2">
      <c r="A191" t="str">
        <f>IF(COUNTBLANK(B191:R191)&lt;&gt;COLUMNS(B191:R191),190,"")</f>
        <v/>
      </c>
      <c r="D191" s="1" t="str">
        <f t="shared" si="24"/>
        <v/>
      </c>
      <c r="E191" s="2" t="str">
        <f t="shared" si="25"/>
        <v/>
      </c>
      <c r="F191" s="1" t="str">
        <f t="shared" si="26"/>
        <v/>
      </c>
      <c r="G191" s="1" t="str">
        <f t="shared" si="27"/>
        <v/>
      </c>
      <c r="H191" s="1" t="str">
        <f t="shared" si="28"/>
        <v/>
      </c>
      <c r="K191" s="1" t="str">
        <f t="shared" si="29"/>
        <v/>
      </c>
      <c r="L191" s="1" t="str">
        <f t="shared" si="30"/>
        <v/>
      </c>
      <c r="M191" s="1" t="str">
        <f t="shared" si="31"/>
        <v/>
      </c>
      <c r="N191" s="1" t="str">
        <f t="shared" si="32"/>
        <v/>
      </c>
      <c r="O191" s="1" t="str">
        <f t="shared" si="33"/>
        <v/>
      </c>
      <c r="P191" s="1" t="str">
        <f t="shared" si="34"/>
        <v/>
      </c>
      <c r="R191" s="1" t="str">
        <f t="shared" si="35"/>
        <v/>
      </c>
    </row>
    <row r="192" spans="1:18" x14ac:dyDescent="0.2">
      <c r="A192" t="str">
        <f>IF(COUNTBLANK(B192:R192)&lt;&gt;COLUMNS(B192:R192),191,"")</f>
        <v/>
      </c>
      <c r="D192" s="1" t="str">
        <f t="shared" si="24"/>
        <v/>
      </c>
      <c r="E192" s="2" t="str">
        <f t="shared" si="25"/>
        <v/>
      </c>
      <c r="F192" s="1" t="str">
        <f t="shared" si="26"/>
        <v/>
      </c>
      <c r="G192" s="1" t="str">
        <f t="shared" si="27"/>
        <v/>
      </c>
      <c r="H192" s="1" t="str">
        <f t="shared" si="28"/>
        <v/>
      </c>
      <c r="K192" s="1" t="str">
        <f t="shared" si="29"/>
        <v/>
      </c>
      <c r="L192" s="1" t="str">
        <f t="shared" si="30"/>
        <v/>
      </c>
      <c r="M192" s="1" t="str">
        <f t="shared" si="31"/>
        <v/>
      </c>
      <c r="N192" s="1" t="str">
        <f t="shared" si="32"/>
        <v/>
      </c>
      <c r="O192" s="1" t="str">
        <f t="shared" si="33"/>
        <v/>
      </c>
      <c r="P192" s="1" t="str">
        <f t="shared" si="34"/>
        <v/>
      </c>
      <c r="R192" s="1" t="str">
        <f t="shared" si="35"/>
        <v/>
      </c>
    </row>
    <row r="193" spans="1:18" x14ac:dyDescent="0.2">
      <c r="A193" t="str">
        <f>IF(COUNTBLANK(B193:R193)&lt;&gt;COLUMNS(B193:R193),192,"")</f>
        <v/>
      </c>
      <c r="D193" s="1" t="str">
        <f t="shared" si="24"/>
        <v/>
      </c>
      <c r="E193" s="2" t="str">
        <f t="shared" si="25"/>
        <v/>
      </c>
      <c r="F193" s="1" t="str">
        <f t="shared" si="26"/>
        <v/>
      </c>
      <c r="G193" s="1" t="str">
        <f t="shared" si="27"/>
        <v/>
      </c>
      <c r="H193" s="1" t="str">
        <f t="shared" si="28"/>
        <v/>
      </c>
      <c r="K193" s="1" t="str">
        <f t="shared" si="29"/>
        <v/>
      </c>
      <c r="L193" s="1" t="str">
        <f t="shared" si="30"/>
        <v/>
      </c>
      <c r="M193" s="1" t="str">
        <f t="shared" si="31"/>
        <v/>
      </c>
      <c r="N193" s="1" t="str">
        <f t="shared" si="32"/>
        <v/>
      </c>
      <c r="O193" s="1" t="str">
        <f t="shared" si="33"/>
        <v/>
      </c>
      <c r="P193" s="1" t="str">
        <f t="shared" si="34"/>
        <v/>
      </c>
      <c r="R193" s="1" t="str">
        <f t="shared" si="35"/>
        <v/>
      </c>
    </row>
    <row r="194" spans="1:18" x14ac:dyDescent="0.2">
      <c r="A194" t="str">
        <f>IF(COUNTBLANK(B194:R194)&lt;&gt;COLUMNS(B194:R194),193,"")</f>
        <v/>
      </c>
      <c r="D194" s="1" t="str">
        <f t="shared" ref="D194:D257" si="36">IF(B194="", "", "years")</f>
        <v/>
      </c>
      <c r="E194" s="2" t="str">
        <f t="shared" ref="E194:E257" si="37">IF(B194="", "", "missing: not provided")</f>
        <v/>
      </c>
      <c r="F194" s="1" t="str">
        <f t="shared" ref="F194:F257" si="38">IF(B194="", "", "Not applicable")</f>
        <v/>
      </c>
      <c r="G194" s="1" t="str">
        <f t="shared" ref="G194:G257" si="39">IF(B194="", "", "urban biome")</f>
        <v/>
      </c>
      <c r="H194" s="1" t="str">
        <f t="shared" ref="H194:H257" si="40">IF(B194="", "", "human-associated habitat")</f>
        <v/>
      </c>
      <c r="K194" s="1" t="str">
        <f t="shared" ref="K194:K257" si="41">IF(B194="", "", "cm")</f>
        <v/>
      </c>
      <c r="L194" s="1" t="str">
        <f t="shared" ref="L194:L257" si="42">IF(B194="", "", "human")</f>
        <v/>
      </c>
      <c r="M194" s="1" t="str">
        <f t="shared" ref="M194:M257" si="43">IF(B194="", "", "Homo sapiens")</f>
        <v/>
      </c>
      <c r="N194" s="1" t="str">
        <f t="shared" ref="N194:N257" si="44">IF(B194="", "", "9606")</f>
        <v/>
      </c>
      <c r="O194" s="1" t="str">
        <f t="shared" ref="O194:O257" si="45">IF(B194="", "", "missing: not provided")</f>
        <v/>
      </c>
      <c r="P194" s="1" t="str">
        <f t="shared" ref="P194:P257" si="46">IF(B194="", "", "missing: not provided")</f>
        <v/>
      </c>
      <c r="R194" s="1" t="str">
        <f t="shared" ref="R194:R257" si="47">IF(B194="", "", "kg")</f>
        <v/>
      </c>
    </row>
    <row r="195" spans="1:18" x14ac:dyDescent="0.2">
      <c r="A195" t="str">
        <f>IF(COUNTBLANK(B195:R195)&lt;&gt;COLUMNS(B195:R195),194,"")</f>
        <v/>
      </c>
      <c r="D195" s="1" t="str">
        <f t="shared" si="36"/>
        <v/>
      </c>
      <c r="E195" s="2" t="str">
        <f t="shared" si="37"/>
        <v/>
      </c>
      <c r="F195" s="1" t="str">
        <f t="shared" si="38"/>
        <v/>
      </c>
      <c r="G195" s="1" t="str">
        <f t="shared" si="39"/>
        <v/>
      </c>
      <c r="H195" s="1" t="str">
        <f t="shared" si="40"/>
        <v/>
      </c>
      <c r="K195" s="1" t="str">
        <f t="shared" si="41"/>
        <v/>
      </c>
      <c r="L195" s="1" t="str">
        <f t="shared" si="42"/>
        <v/>
      </c>
      <c r="M195" s="1" t="str">
        <f t="shared" si="43"/>
        <v/>
      </c>
      <c r="N195" s="1" t="str">
        <f t="shared" si="44"/>
        <v/>
      </c>
      <c r="O195" s="1" t="str">
        <f t="shared" si="45"/>
        <v/>
      </c>
      <c r="P195" s="1" t="str">
        <f t="shared" si="46"/>
        <v/>
      </c>
      <c r="R195" s="1" t="str">
        <f t="shared" si="47"/>
        <v/>
      </c>
    </row>
    <row r="196" spans="1:18" x14ac:dyDescent="0.2">
      <c r="A196" t="str">
        <f>IF(COUNTBLANK(B196:R196)&lt;&gt;COLUMNS(B196:R196),195,"")</f>
        <v/>
      </c>
      <c r="D196" s="1" t="str">
        <f t="shared" si="36"/>
        <v/>
      </c>
      <c r="E196" s="2" t="str">
        <f t="shared" si="37"/>
        <v/>
      </c>
      <c r="F196" s="1" t="str">
        <f t="shared" si="38"/>
        <v/>
      </c>
      <c r="G196" s="1" t="str">
        <f t="shared" si="39"/>
        <v/>
      </c>
      <c r="H196" s="1" t="str">
        <f t="shared" si="40"/>
        <v/>
      </c>
      <c r="K196" s="1" t="str">
        <f t="shared" si="41"/>
        <v/>
      </c>
      <c r="L196" s="1" t="str">
        <f t="shared" si="42"/>
        <v/>
      </c>
      <c r="M196" s="1" t="str">
        <f t="shared" si="43"/>
        <v/>
      </c>
      <c r="N196" s="1" t="str">
        <f t="shared" si="44"/>
        <v/>
      </c>
      <c r="O196" s="1" t="str">
        <f t="shared" si="45"/>
        <v/>
      </c>
      <c r="P196" s="1" t="str">
        <f t="shared" si="46"/>
        <v/>
      </c>
      <c r="R196" s="1" t="str">
        <f t="shared" si="47"/>
        <v/>
      </c>
    </row>
    <row r="197" spans="1:18" x14ac:dyDescent="0.2">
      <c r="A197" t="str">
        <f>IF(COUNTBLANK(B197:R197)&lt;&gt;COLUMNS(B197:R197),196,"")</f>
        <v/>
      </c>
      <c r="D197" s="1" t="str">
        <f t="shared" si="36"/>
        <v/>
      </c>
      <c r="E197" s="2" t="str">
        <f t="shared" si="37"/>
        <v/>
      </c>
      <c r="F197" s="1" t="str">
        <f t="shared" si="38"/>
        <v/>
      </c>
      <c r="G197" s="1" t="str">
        <f t="shared" si="39"/>
        <v/>
      </c>
      <c r="H197" s="1" t="str">
        <f t="shared" si="40"/>
        <v/>
      </c>
      <c r="K197" s="1" t="str">
        <f t="shared" si="41"/>
        <v/>
      </c>
      <c r="L197" s="1" t="str">
        <f t="shared" si="42"/>
        <v/>
      </c>
      <c r="M197" s="1" t="str">
        <f t="shared" si="43"/>
        <v/>
      </c>
      <c r="N197" s="1" t="str">
        <f t="shared" si="44"/>
        <v/>
      </c>
      <c r="O197" s="1" t="str">
        <f t="shared" si="45"/>
        <v/>
      </c>
      <c r="P197" s="1" t="str">
        <f t="shared" si="46"/>
        <v/>
      </c>
      <c r="R197" s="1" t="str">
        <f t="shared" si="47"/>
        <v/>
      </c>
    </row>
    <row r="198" spans="1:18" x14ac:dyDescent="0.2">
      <c r="A198" t="str">
        <f>IF(COUNTBLANK(B198:R198)&lt;&gt;COLUMNS(B198:R198),197,"")</f>
        <v/>
      </c>
      <c r="D198" s="1" t="str">
        <f t="shared" si="36"/>
        <v/>
      </c>
      <c r="E198" s="2" t="str">
        <f t="shared" si="37"/>
        <v/>
      </c>
      <c r="F198" s="1" t="str">
        <f t="shared" si="38"/>
        <v/>
      </c>
      <c r="G198" s="1" t="str">
        <f t="shared" si="39"/>
        <v/>
      </c>
      <c r="H198" s="1" t="str">
        <f t="shared" si="40"/>
        <v/>
      </c>
      <c r="K198" s="1" t="str">
        <f t="shared" si="41"/>
        <v/>
      </c>
      <c r="L198" s="1" t="str">
        <f t="shared" si="42"/>
        <v/>
      </c>
      <c r="M198" s="1" t="str">
        <f t="shared" si="43"/>
        <v/>
      </c>
      <c r="N198" s="1" t="str">
        <f t="shared" si="44"/>
        <v/>
      </c>
      <c r="O198" s="1" t="str">
        <f t="shared" si="45"/>
        <v/>
      </c>
      <c r="P198" s="1" t="str">
        <f t="shared" si="46"/>
        <v/>
      </c>
      <c r="R198" s="1" t="str">
        <f t="shared" si="47"/>
        <v/>
      </c>
    </row>
    <row r="199" spans="1:18" x14ac:dyDescent="0.2">
      <c r="A199" t="str">
        <f>IF(COUNTBLANK(B199:R199)&lt;&gt;COLUMNS(B199:R199),198,"")</f>
        <v/>
      </c>
      <c r="D199" s="1" t="str">
        <f t="shared" si="36"/>
        <v/>
      </c>
      <c r="E199" s="2" t="str">
        <f t="shared" si="37"/>
        <v/>
      </c>
      <c r="F199" s="1" t="str">
        <f t="shared" si="38"/>
        <v/>
      </c>
      <c r="G199" s="1" t="str">
        <f t="shared" si="39"/>
        <v/>
      </c>
      <c r="H199" s="1" t="str">
        <f t="shared" si="40"/>
        <v/>
      </c>
      <c r="K199" s="1" t="str">
        <f t="shared" si="41"/>
        <v/>
      </c>
      <c r="L199" s="1" t="str">
        <f t="shared" si="42"/>
        <v/>
      </c>
      <c r="M199" s="1" t="str">
        <f t="shared" si="43"/>
        <v/>
      </c>
      <c r="N199" s="1" t="str">
        <f t="shared" si="44"/>
        <v/>
      </c>
      <c r="O199" s="1" t="str">
        <f t="shared" si="45"/>
        <v/>
      </c>
      <c r="P199" s="1" t="str">
        <f t="shared" si="46"/>
        <v/>
      </c>
      <c r="R199" s="1" t="str">
        <f t="shared" si="47"/>
        <v/>
      </c>
    </row>
    <row r="200" spans="1:18" x14ac:dyDescent="0.2">
      <c r="A200" t="str">
        <f>IF(COUNTBLANK(B200:R200)&lt;&gt;COLUMNS(B200:R200),199,"")</f>
        <v/>
      </c>
      <c r="D200" s="1" t="str">
        <f t="shared" si="36"/>
        <v/>
      </c>
      <c r="E200" s="2" t="str">
        <f t="shared" si="37"/>
        <v/>
      </c>
      <c r="F200" s="1" t="str">
        <f t="shared" si="38"/>
        <v/>
      </c>
      <c r="G200" s="1" t="str">
        <f t="shared" si="39"/>
        <v/>
      </c>
      <c r="H200" s="1" t="str">
        <f t="shared" si="40"/>
        <v/>
      </c>
      <c r="K200" s="1" t="str">
        <f t="shared" si="41"/>
        <v/>
      </c>
      <c r="L200" s="1" t="str">
        <f t="shared" si="42"/>
        <v/>
      </c>
      <c r="M200" s="1" t="str">
        <f t="shared" si="43"/>
        <v/>
      </c>
      <c r="N200" s="1" t="str">
        <f t="shared" si="44"/>
        <v/>
      </c>
      <c r="O200" s="1" t="str">
        <f t="shared" si="45"/>
        <v/>
      </c>
      <c r="P200" s="1" t="str">
        <f t="shared" si="46"/>
        <v/>
      </c>
      <c r="R200" s="1" t="str">
        <f t="shared" si="47"/>
        <v/>
      </c>
    </row>
    <row r="201" spans="1:18" x14ac:dyDescent="0.2">
      <c r="A201" t="str">
        <f>IF(COUNTBLANK(B201:R201)&lt;&gt;COLUMNS(B201:R201),200,"")</f>
        <v/>
      </c>
      <c r="D201" s="1" t="str">
        <f t="shared" si="36"/>
        <v/>
      </c>
      <c r="E201" s="2" t="str">
        <f t="shared" si="37"/>
        <v/>
      </c>
      <c r="F201" s="1" t="str">
        <f t="shared" si="38"/>
        <v/>
      </c>
      <c r="G201" s="1" t="str">
        <f t="shared" si="39"/>
        <v/>
      </c>
      <c r="H201" s="1" t="str">
        <f t="shared" si="40"/>
        <v/>
      </c>
      <c r="K201" s="1" t="str">
        <f t="shared" si="41"/>
        <v/>
      </c>
      <c r="L201" s="1" t="str">
        <f t="shared" si="42"/>
        <v/>
      </c>
      <c r="M201" s="1" t="str">
        <f t="shared" si="43"/>
        <v/>
      </c>
      <c r="N201" s="1" t="str">
        <f t="shared" si="44"/>
        <v/>
      </c>
      <c r="O201" s="1" t="str">
        <f t="shared" si="45"/>
        <v/>
      </c>
      <c r="P201" s="1" t="str">
        <f t="shared" si="46"/>
        <v/>
      </c>
      <c r="R201" s="1" t="str">
        <f t="shared" si="47"/>
        <v/>
      </c>
    </row>
    <row r="202" spans="1:18" x14ac:dyDescent="0.2">
      <c r="A202" t="str">
        <f>IF(COUNTBLANK(B202:R202)&lt;&gt;COLUMNS(B202:R202),201,"")</f>
        <v/>
      </c>
      <c r="D202" s="1" t="str">
        <f t="shared" si="36"/>
        <v/>
      </c>
      <c r="E202" s="2" t="str">
        <f t="shared" si="37"/>
        <v/>
      </c>
      <c r="F202" s="1" t="str">
        <f t="shared" si="38"/>
        <v/>
      </c>
      <c r="G202" s="1" t="str">
        <f t="shared" si="39"/>
        <v/>
      </c>
      <c r="H202" s="1" t="str">
        <f t="shared" si="40"/>
        <v/>
      </c>
      <c r="K202" s="1" t="str">
        <f t="shared" si="41"/>
        <v/>
      </c>
      <c r="L202" s="1" t="str">
        <f t="shared" si="42"/>
        <v/>
      </c>
      <c r="M202" s="1" t="str">
        <f t="shared" si="43"/>
        <v/>
      </c>
      <c r="N202" s="1" t="str">
        <f t="shared" si="44"/>
        <v/>
      </c>
      <c r="O202" s="1" t="str">
        <f t="shared" si="45"/>
        <v/>
      </c>
      <c r="P202" s="1" t="str">
        <f t="shared" si="46"/>
        <v/>
      </c>
      <c r="R202" s="1" t="str">
        <f t="shared" si="47"/>
        <v/>
      </c>
    </row>
    <row r="203" spans="1:18" x14ac:dyDescent="0.2">
      <c r="A203" t="str">
        <f>IF(COUNTBLANK(B203:R203)&lt;&gt;COLUMNS(B203:R203),202,"")</f>
        <v/>
      </c>
      <c r="D203" s="1" t="str">
        <f t="shared" si="36"/>
        <v/>
      </c>
      <c r="E203" s="2" t="str">
        <f t="shared" si="37"/>
        <v/>
      </c>
      <c r="F203" s="1" t="str">
        <f t="shared" si="38"/>
        <v/>
      </c>
      <c r="G203" s="1" t="str">
        <f t="shared" si="39"/>
        <v/>
      </c>
      <c r="H203" s="1" t="str">
        <f t="shared" si="40"/>
        <v/>
      </c>
      <c r="K203" s="1" t="str">
        <f t="shared" si="41"/>
        <v/>
      </c>
      <c r="L203" s="1" t="str">
        <f t="shared" si="42"/>
        <v/>
      </c>
      <c r="M203" s="1" t="str">
        <f t="shared" si="43"/>
        <v/>
      </c>
      <c r="N203" s="1" t="str">
        <f t="shared" si="44"/>
        <v/>
      </c>
      <c r="O203" s="1" t="str">
        <f t="shared" si="45"/>
        <v/>
      </c>
      <c r="P203" s="1" t="str">
        <f t="shared" si="46"/>
        <v/>
      </c>
      <c r="R203" s="1" t="str">
        <f t="shared" si="47"/>
        <v/>
      </c>
    </row>
    <row r="204" spans="1:18" x14ac:dyDescent="0.2">
      <c r="A204" t="str">
        <f>IF(COUNTBLANK(B204:R204)&lt;&gt;COLUMNS(B204:R204),203,"")</f>
        <v/>
      </c>
      <c r="D204" s="1" t="str">
        <f t="shared" si="36"/>
        <v/>
      </c>
      <c r="E204" s="2" t="str">
        <f t="shared" si="37"/>
        <v/>
      </c>
      <c r="F204" s="1" t="str">
        <f t="shared" si="38"/>
        <v/>
      </c>
      <c r="G204" s="1" t="str">
        <f t="shared" si="39"/>
        <v/>
      </c>
      <c r="H204" s="1" t="str">
        <f t="shared" si="40"/>
        <v/>
      </c>
      <c r="K204" s="1" t="str">
        <f t="shared" si="41"/>
        <v/>
      </c>
      <c r="L204" s="1" t="str">
        <f t="shared" si="42"/>
        <v/>
      </c>
      <c r="M204" s="1" t="str">
        <f t="shared" si="43"/>
        <v/>
      </c>
      <c r="N204" s="1" t="str">
        <f t="shared" si="44"/>
        <v/>
      </c>
      <c r="O204" s="1" t="str">
        <f t="shared" si="45"/>
        <v/>
      </c>
      <c r="P204" s="1" t="str">
        <f t="shared" si="46"/>
        <v/>
      </c>
      <c r="R204" s="1" t="str">
        <f t="shared" si="47"/>
        <v/>
      </c>
    </row>
    <row r="205" spans="1:18" x14ac:dyDescent="0.2">
      <c r="A205" t="str">
        <f>IF(COUNTBLANK(B205:R205)&lt;&gt;COLUMNS(B205:R205),204,"")</f>
        <v/>
      </c>
      <c r="D205" s="1" t="str">
        <f t="shared" si="36"/>
        <v/>
      </c>
      <c r="E205" s="2" t="str">
        <f t="shared" si="37"/>
        <v/>
      </c>
      <c r="F205" s="1" t="str">
        <f t="shared" si="38"/>
        <v/>
      </c>
      <c r="G205" s="1" t="str">
        <f t="shared" si="39"/>
        <v/>
      </c>
      <c r="H205" s="1" t="str">
        <f t="shared" si="40"/>
        <v/>
      </c>
      <c r="K205" s="1" t="str">
        <f t="shared" si="41"/>
        <v/>
      </c>
      <c r="L205" s="1" t="str">
        <f t="shared" si="42"/>
        <v/>
      </c>
      <c r="M205" s="1" t="str">
        <f t="shared" si="43"/>
        <v/>
      </c>
      <c r="N205" s="1" t="str">
        <f t="shared" si="44"/>
        <v/>
      </c>
      <c r="O205" s="1" t="str">
        <f t="shared" si="45"/>
        <v/>
      </c>
      <c r="P205" s="1" t="str">
        <f t="shared" si="46"/>
        <v/>
      </c>
      <c r="R205" s="1" t="str">
        <f t="shared" si="47"/>
        <v/>
      </c>
    </row>
    <row r="206" spans="1:18" x14ac:dyDescent="0.2">
      <c r="A206" t="str">
        <f>IF(COUNTBLANK(B206:R206)&lt;&gt;COLUMNS(B206:R206),205,"")</f>
        <v/>
      </c>
      <c r="D206" s="1" t="str">
        <f t="shared" si="36"/>
        <v/>
      </c>
      <c r="E206" s="2" t="str">
        <f t="shared" si="37"/>
        <v/>
      </c>
      <c r="F206" s="1" t="str">
        <f t="shared" si="38"/>
        <v/>
      </c>
      <c r="G206" s="1" t="str">
        <f t="shared" si="39"/>
        <v/>
      </c>
      <c r="H206" s="1" t="str">
        <f t="shared" si="40"/>
        <v/>
      </c>
      <c r="K206" s="1" t="str">
        <f t="shared" si="41"/>
        <v/>
      </c>
      <c r="L206" s="1" t="str">
        <f t="shared" si="42"/>
        <v/>
      </c>
      <c r="M206" s="1" t="str">
        <f t="shared" si="43"/>
        <v/>
      </c>
      <c r="N206" s="1" t="str">
        <f t="shared" si="44"/>
        <v/>
      </c>
      <c r="O206" s="1" t="str">
        <f t="shared" si="45"/>
        <v/>
      </c>
      <c r="P206" s="1" t="str">
        <f t="shared" si="46"/>
        <v/>
      </c>
      <c r="R206" s="1" t="str">
        <f t="shared" si="47"/>
        <v/>
      </c>
    </row>
    <row r="207" spans="1:18" x14ac:dyDescent="0.2">
      <c r="A207" t="str">
        <f>IF(COUNTBLANK(B207:R207)&lt;&gt;COLUMNS(B207:R207),206,"")</f>
        <v/>
      </c>
      <c r="D207" s="1" t="str">
        <f t="shared" si="36"/>
        <v/>
      </c>
      <c r="E207" s="2" t="str">
        <f t="shared" si="37"/>
        <v/>
      </c>
      <c r="F207" s="1" t="str">
        <f t="shared" si="38"/>
        <v/>
      </c>
      <c r="G207" s="1" t="str">
        <f t="shared" si="39"/>
        <v/>
      </c>
      <c r="H207" s="1" t="str">
        <f t="shared" si="40"/>
        <v/>
      </c>
      <c r="K207" s="1" t="str">
        <f t="shared" si="41"/>
        <v/>
      </c>
      <c r="L207" s="1" t="str">
        <f t="shared" si="42"/>
        <v/>
      </c>
      <c r="M207" s="1" t="str">
        <f t="shared" si="43"/>
        <v/>
      </c>
      <c r="N207" s="1" t="str">
        <f t="shared" si="44"/>
        <v/>
      </c>
      <c r="O207" s="1" t="str">
        <f t="shared" si="45"/>
        <v/>
      </c>
      <c r="P207" s="1" t="str">
        <f t="shared" si="46"/>
        <v/>
      </c>
      <c r="R207" s="1" t="str">
        <f t="shared" si="47"/>
        <v/>
      </c>
    </row>
    <row r="208" spans="1:18" x14ac:dyDescent="0.2">
      <c r="A208" t="str">
        <f>IF(COUNTBLANK(B208:R208)&lt;&gt;COLUMNS(B208:R208),207,"")</f>
        <v/>
      </c>
      <c r="D208" s="1" t="str">
        <f t="shared" si="36"/>
        <v/>
      </c>
      <c r="E208" s="2" t="str">
        <f t="shared" si="37"/>
        <v/>
      </c>
      <c r="F208" s="1" t="str">
        <f t="shared" si="38"/>
        <v/>
      </c>
      <c r="G208" s="1" t="str">
        <f t="shared" si="39"/>
        <v/>
      </c>
      <c r="H208" s="1" t="str">
        <f t="shared" si="40"/>
        <v/>
      </c>
      <c r="K208" s="1" t="str">
        <f t="shared" si="41"/>
        <v/>
      </c>
      <c r="L208" s="1" t="str">
        <f t="shared" si="42"/>
        <v/>
      </c>
      <c r="M208" s="1" t="str">
        <f t="shared" si="43"/>
        <v/>
      </c>
      <c r="N208" s="1" t="str">
        <f t="shared" si="44"/>
        <v/>
      </c>
      <c r="O208" s="1" t="str">
        <f t="shared" si="45"/>
        <v/>
      </c>
      <c r="P208" s="1" t="str">
        <f t="shared" si="46"/>
        <v/>
      </c>
      <c r="R208" s="1" t="str">
        <f t="shared" si="47"/>
        <v/>
      </c>
    </row>
    <row r="209" spans="1:18" x14ac:dyDescent="0.2">
      <c r="A209" t="str">
        <f>IF(COUNTBLANK(B209:R209)&lt;&gt;COLUMNS(B209:R209),208,"")</f>
        <v/>
      </c>
      <c r="D209" s="1" t="str">
        <f t="shared" si="36"/>
        <v/>
      </c>
      <c r="E209" s="2" t="str">
        <f t="shared" si="37"/>
        <v/>
      </c>
      <c r="F209" s="1" t="str">
        <f t="shared" si="38"/>
        <v/>
      </c>
      <c r="G209" s="1" t="str">
        <f t="shared" si="39"/>
        <v/>
      </c>
      <c r="H209" s="1" t="str">
        <f t="shared" si="40"/>
        <v/>
      </c>
      <c r="K209" s="1" t="str">
        <f t="shared" si="41"/>
        <v/>
      </c>
      <c r="L209" s="1" t="str">
        <f t="shared" si="42"/>
        <v/>
      </c>
      <c r="M209" s="1" t="str">
        <f t="shared" si="43"/>
        <v/>
      </c>
      <c r="N209" s="1" t="str">
        <f t="shared" si="44"/>
        <v/>
      </c>
      <c r="O209" s="1" t="str">
        <f t="shared" si="45"/>
        <v/>
      </c>
      <c r="P209" s="1" t="str">
        <f t="shared" si="46"/>
        <v/>
      </c>
      <c r="R209" s="1" t="str">
        <f t="shared" si="47"/>
        <v/>
      </c>
    </row>
    <row r="210" spans="1:18" x14ac:dyDescent="0.2">
      <c r="A210" t="str">
        <f>IF(COUNTBLANK(B210:R210)&lt;&gt;COLUMNS(B210:R210),209,"")</f>
        <v/>
      </c>
      <c r="D210" s="1" t="str">
        <f t="shared" si="36"/>
        <v/>
      </c>
      <c r="E210" s="2" t="str">
        <f t="shared" si="37"/>
        <v/>
      </c>
      <c r="F210" s="1" t="str">
        <f t="shared" si="38"/>
        <v/>
      </c>
      <c r="G210" s="1" t="str">
        <f t="shared" si="39"/>
        <v/>
      </c>
      <c r="H210" s="1" t="str">
        <f t="shared" si="40"/>
        <v/>
      </c>
      <c r="K210" s="1" t="str">
        <f t="shared" si="41"/>
        <v/>
      </c>
      <c r="L210" s="1" t="str">
        <f t="shared" si="42"/>
        <v/>
      </c>
      <c r="M210" s="1" t="str">
        <f t="shared" si="43"/>
        <v/>
      </c>
      <c r="N210" s="1" t="str">
        <f t="shared" si="44"/>
        <v/>
      </c>
      <c r="O210" s="1" t="str">
        <f t="shared" si="45"/>
        <v/>
      </c>
      <c r="P210" s="1" t="str">
        <f t="shared" si="46"/>
        <v/>
      </c>
      <c r="R210" s="1" t="str">
        <f t="shared" si="47"/>
        <v/>
      </c>
    </row>
    <row r="211" spans="1:18" x14ac:dyDescent="0.2">
      <c r="A211" t="str">
        <f>IF(COUNTBLANK(B211:R211)&lt;&gt;COLUMNS(B211:R211),210,"")</f>
        <v/>
      </c>
      <c r="D211" s="1" t="str">
        <f t="shared" si="36"/>
        <v/>
      </c>
      <c r="E211" s="2" t="str">
        <f t="shared" si="37"/>
        <v/>
      </c>
      <c r="F211" s="1" t="str">
        <f t="shared" si="38"/>
        <v/>
      </c>
      <c r="G211" s="1" t="str">
        <f t="shared" si="39"/>
        <v/>
      </c>
      <c r="H211" s="1" t="str">
        <f t="shared" si="40"/>
        <v/>
      </c>
      <c r="K211" s="1" t="str">
        <f t="shared" si="41"/>
        <v/>
      </c>
      <c r="L211" s="1" t="str">
        <f t="shared" si="42"/>
        <v/>
      </c>
      <c r="M211" s="1" t="str">
        <f t="shared" si="43"/>
        <v/>
      </c>
      <c r="N211" s="1" t="str">
        <f t="shared" si="44"/>
        <v/>
      </c>
      <c r="O211" s="1" t="str">
        <f t="shared" si="45"/>
        <v/>
      </c>
      <c r="P211" s="1" t="str">
        <f t="shared" si="46"/>
        <v/>
      </c>
      <c r="R211" s="1" t="str">
        <f t="shared" si="47"/>
        <v/>
      </c>
    </row>
    <row r="212" spans="1:18" x14ac:dyDescent="0.2">
      <c r="A212" t="str">
        <f>IF(COUNTBLANK(B212:R212)&lt;&gt;COLUMNS(B212:R212),211,"")</f>
        <v/>
      </c>
      <c r="D212" s="1" t="str">
        <f t="shared" si="36"/>
        <v/>
      </c>
      <c r="E212" s="2" t="str">
        <f t="shared" si="37"/>
        <v/>
      </c>
      <c r="F212" s="1" t="str">
        <f t="shared" si="38"/>
        <v/>
      </c>
      <c r="G212" s="1" t="str">
        <f t="shared" si="39"/>
        <v/>
      </c>
      <c r="H212" s="1" t="str">
        <f t="shared" si="40"/>
        <v/>
      </c>
      <c r="K212" s="1" t="str">
        <f t="shared" si="41"/>
        <v/>
      </c>
      <c r="L212" s="1" t="str">
        <f t="shared" si="42"/>
        <v/>
      </c>
      <c r="M212" s="1" t="str">
        <f t="shared" si="43"/>
        <v/>
      </c>
      <c r="N212" s="1" t="str">
        <f t="shared" si="44"/>
        <v/>
      </c>
      <c r="O212" s="1" t="str">
        <f t="shared" si="45"/>
        <v/>
      </c>
      <c r="P212" s="1" t="str">
        <f t="shared" si="46"/>
        <v/>
      </c>
      <c r="R212" s="1" t="str">
        <f t="shared" si="47"/>
        <v/>
      </c>
    </row>
    <row r="213" spans="1:18" x14ac:dyDescent="0.2">
      <c r="A213" t="str">
        <f>IF(COUNTBLANK(B213:R213)&lt;&gt;COLUMNS(B213:R213),212,"")</f>
        <v/>
      </c>
      <c r="D213" s="1" t="str">
        <f t="shared" si="36"/>
        <v/>
      </c>
      <c r="E213" s="2" t="str">
        <f t="shared" si="37"/>
        <v/>
      </c>
      <c r="F213" s="1" t="str">
        <f t="shared" si="38"/>
        <v/>
      </c>
      <c r="G213" s="1" t="str">
        <f t="shared" si="39"/>
        <v/>
      </c>
      <c r="H213" s="1" t="str">
        <f t="shared" si="40"/>
        <v/>
      </c>
      <c r="K213" s="1" t="str">
        <f t="shared" si="41"/>
        <v/>
      </c>
      <c r="L213" s="1" t="str">
        <f t="shared" si="42"/>
        <v/>
      </c>
      <c r="M213" s="1" t="str">
        <f t="shared" si="43"/>
        <v/>
      </c>
      <c r="N213" s="1" t="str">
        <f t="shared" si="44"/>
        <v/>
      </c>
      <c r="O213" s="1" t="str">
        <f t="shared" si="45"/>
        <v/>
      </c>
      <c r="P213" s="1" t="str">
        <f t="shared" si="46"/>
        <v/>
      </c>
      <c r="R213" s="1" t="str">
        <f t="shared" si="47"/>
        <v/>
      </c>
    </row>
    <row r="214" spans="1:18" x14ac:dyDescent="0.2">
      <c r="A214" t="str">
        <f>IF(COUNTBLANK(B214:R214)&lt;&gt;COLUMNS(B214:R214),213,"")</f>
        <v/>
      </c>
      <c r="D214" s="1" t="str">
        <f t="shared" si="36"/>
        <v/>
      </c>
      <c r="E214" s="2" t="str">
        <f t="shared" si="37"/>
        <v/>
      </c>
      <c r="F214" s="1" t="str">
        <f t="shared" si="38"/>
        <v/>
      </c>
      <c r="G214" s="1" t="str">
        <f t="shared" si="39"/>
        <v/>
      </c>
      <c r="H214" s="1" t="str">
        <f t="shared" si="40"/>
        <v/>
      </c>
      <c r="K214" s="1" t="str">
        <f t="shared" si="41"/>
        <v/>
      </c>
      <c r="L214" s="1" t="str">
        <f t="shared" si="42"/>
        <v/>
      </c>
      <c r="M214" s="1" t="str">
        <f t="shared" si="43"/>
        <v/>
      </c>
      <c r="N214" s="1" t="str">
        <f t="shared" si="44"/>
        <v/>
      </c>
      <c r="O214" s="1" t="str">
        <f t="shared" si="45"/>
        <v/>
      </c>
      <c r="P214" s="1" t="str">
        <f t="shared" si="46"/>
        <v/>
      </c>
      <c r="R214" s="1" t="str">
        <f t="shared" si="47"/>
        <v/>
      </c>
    </row>
    <row r="215" spans="1:18" x14ac:dyDescent="0.2">
      <c r="A215" t="str">
        <f>IF(COUNTBLANK(B215:R215)&lt;&gt;COLUMNS(B215:R215),214,"")</f>
        <v/>
      </c>
      <c r="D215" s="1" t="str">
        <f t="shared" si="36"/>
        <v/>
      </c>
      <c r="E215" s="2" t="str">
        <f t="shared" si="37"/>
        <v/>
      </c>
      <c r="F215" s="1" t="str">
        <f t="shared" si="38"/>
        <v/>
      </c>
      <c r="G215" s="1" t="str">
        <f t="shared" si="39"/>
        <v/>
      </c>
      <c r="H215" s="1" t="str">
        <f t="shared" si="40"/>
        <v/>
      </c>
      <c r="K215" s="1" t="str">
        <f t="shared" si="41"/>
        <v/>
      </c>
      <c r="L215" s="1" t="str">
        <f t="shared" si="42"/>
        <v/>
      </c>
      <c r="M215" s="1" t="str">
        <f t="shared" si="43"/>
        <v/>
      </c>
      <c r="N215" s="1" t="str">
        <f t="shared" si="44"/>
        <v/>
      </c>
      <c r="O215" s="1" t="str">
        <f t="shared" si="45"/>
        <v/>
      </c>
      <c r="P215" s="1" t="str">
        <f t="shared" si="46"/>
        <v/>
      </c>
      <c r="R215" s="1" t="str">
        <f t="shared" si="47"/>
        <v/>
      </c>
    </row>
    <row r="216" spans="1:18" x14ac:dyDescent="0.2">
      <c r="A216" t="str">
        <f>IF(COUNTBLANK(B216:R216)&lt;&gt;COLUMNS(B216:R216),215,"")</f>
        <v/>
      </c>
      <c r="D216" s="1" t="str">
        <f t="shared" si="36"/>
        <v/>
      </c>
      <c r="E216" s="2" t="str">
        <f t="shared" si="37"/>
        <v/>
      </c>
      <c r="F216" s="1" t="str">
        <f t="shared" si="38"/>
        <v/>
      </c>
      <c r="G216" s="1" t="str">
        <f t="shared" si="39"/>
        <v/>
      </c>
      <c r="H216" s="1" t="str">
        <f t="shared" si="40"/>
        <v/>
      </c>
      <c r="K216" s="1" t="str">
        <f t="shared" si="41"/>
        <v/>
      </c>
      <c r="L216" s="1" t="str">
        <f t="shared" si="42"/>
        <v/>
      </c>
      <c r="M216" s="1" t="str">
        <f t="shared" si="43"/>
        <v/>
      </c>
      <c r="N216" s="1" t="str">
        <f t="shared" si="44"/>
        <v/>
      </c>
      <c r="O216" s="1" t="str">
        <f t="shared" si="45"/>
        <v/>
      </c>
      <c r="P216" s="1" t="str">
        <f t="shared" si="46"/>
        <v/>
      </c>
      <c r="R216" s="1" t="str">
        <f t="shared" si="47"/>
        <v/>
      </c>
    </row>
    <row r="217" spans="1:18" x14ac:dyDescent="0.2">
      <c r="A217" t="str">
        <f>IF(COUNTBLANK(B217:R217)&lt;&gt;COLUMNS(B217:R217),216,"")</f>
        <v/>
      </c>
      <c r="D217" s="1" t="str">
        <f t="shared" si="36"/>
        <v/>
      </c>
      <c r="E217" s="2" t="str">
        <f t="shared" si="37"/>
        <v/>
      </c>
      <c r="F217" s="1" t="str">
        <f t="shared" si="38"/>
        <v/>
      </c>
      <c r="G217" s="1" t="str">
        <f t="shared" si="39"/>
        <v/>
      </c>
      <c r="H217" s="1" t="str">
        <f t="shared" si="40"/>
        <v/>
      </c>
      <c r="K217" s="1" t="str">
        <f t="shared" si="41"/>
        <v/>
      </c>
      <c r="L217" s="1" t="str">
        <f t="shared" si="42"/>
        <v/>
      </c>
      <c r="M217" s="1" t="str">
        <f t="shared" si="43"/>
        <v/>
      </c>
      <c r="N217" s="1" t="str">
        <f t="shared" si="44"/>
        <v/>
      </c>
      <c r="O217" s="1" t="str">
        <f t="shared" si="45"/>
        <v/>
      </c>
      <c r="P217" s="1" t="str">
        <f t="shared" si="46"/>
        <v/>
      </c>
      <c r="R217" s="1" t="str">
        <f t="shared" si="47"/>
        <v/>
      </c>
    </row>
    <row r="218" spans="1:18" x14ac:dyDescent="0.2">
      <c r="A218" t="str">
        <f>IF(COUNTBLANK(B218:R218)&lt;&gt;COLUMNS(B218:R218),217,"")</f>
        <v/>
      </c>
      <c r="D218" s="1" t="str">
        <f t="shared" si="36"/>
        <v/>
      </c>
      <c r="E218" s="2" t="str">
        <f t="shared" si="37"/>
        <v/>
      </c>
      <c r="F218" s="1" t="str">
        <f t="shared" si="38"/>
        <v/>
      </c>
      <c r="G218" s="1" t="str">
        <f t="shared" si="39"/>
        <v/>
      </c>
      <c r="H218" s="1" t="str">
        <f t="shared" si="40"/>
        <v/>
      </c>
      <c r="K218" s="1" t="str">
        <f t="shared" si="41"/>
        <v/>
      </c>
      <c r="L218" s="1" t="str">
        <f t="shared" si="42"/>
        <v/>
      </c>
      <c r="M218" s="1" t="str">
        <f t="shared" si="43"/>
        <v/>
      </c>
      <c r="N218" s="1" t="str">
        <f t="shared" si="44"/>
        <v/>
      </c>
      <c r="O218" s="1" t="str">
        <f t="shared" si="45"/>
        <v/>
      </c>
      <c r="P218" s="1" t="str">
        <f t="shared" si="46"/>
        <v/>
      </c>
      <c r="R218" s="1" t="str">
        <f t="shared" si="47"/>
        <v/>
      </c>
    </row>
    <row r="219" spans="1:18" x14ac:dyDescent="0.2">
      <c r="A219" t="str">
        <f>IF(COUNTBLANK(B219:R219)&lt;&gt;COLUMNS(B219:R219),218,"")</f>
        <v/>
      </c>
      <c r="D219" s="1" t="str">
        <f t="shared" si="36"/>
        <v/>
      </c>
      <c r="E219" s="2" t="str">
        <f t="shared" si="37"/>
        <v/>
      </c>
      <c r="F219" s="1" t="str">
        <f t="shared" si="38"/>
        <v/>
      </c>
      <c r="G219" s="1" t="str">
        <f t="shared" si="39"/>
        <v/>
      </c>
      <c r="H219" s="1" t="str">
        <f t="shared" si="40"/>
        <v/>
      </c>
      <c r="K219" s="1" t="str">
        <f t="shared" si="41"/>
        <v/>
      </c>
      <c r="L219" s="1" t="str">
        <f t="shared" si="42"/>
        <v/>
      </c>
      <c r="M219" s="1" t="str">
        <f t="shared" si="43"/>
        <v/>
      </c>
      <c r="N219" s="1" t="str">
        <f t="shared" si="44"/>
        <v/>
      </c>
      <c r="O219" s="1" t="str">
        <f t="shared" si="45"/>
        <v/>
      </c>
      <c r="P219" s="1" t="str">
        <f t="shared" si="46"/>
        <v/>
      </c>
      <c r="R219" s="1" t="str">
        <f t="shared" si="47"/>
        <v/>
      </c>
    </row>
    <row r="220" spans="1:18" x14ac:dyDescent="0.2">
      <c r="A220" t="str">
        <f>IF(COUNTBLANK(B220:R220)&lt;&gt;COLUMNS(B220:R220),219,"")</f>
        <v/>
      </c>
      <c r="D220" s="1" t="str">
        <f t="shared" si="36"/>
        <v/>
      </c>
      <c r="E220" s="2" t="str">
        <f t="shared" si="37"/>
        <v/>
      </c>
      <c r="F220" s="1" t="str">
        <f t="shared" si="38"/>
        <v/>
      </c>
      <c r="G220" s="1" t="str">
        <f t="shared" si="39"/>
        <v/>
      </c>
      <c r="H220" s="1" t="str">
        <f t="shared" si="40"/>
        <v/>
      </c>
      <c r="K220" s="1" t="str">
        <f t="shared" si="41"/>
        <v/>
      </c>
      <c r="L220" s="1" t="str">
        <f t="shared" si="42"/>
        <v/>
      </c>
      <c r="M220" s="1" t="str">
        <f t="shared" si="43"/>
        <v/>
      </c>
      <c r="N220" s="1" t="str">
        <f t="shared" si="44"/>
        <v/>
      </c>
      <c r="O220" s="1" t="str">
        <f t="shared" si="45"/>
        <v/>
      </c>
      <c r="P220" s="1" t="str">
        <f t="shared" si="46"/>
        <v/>
      </c>
      <c r="R220" s="1" t="str">
        <f t="shared" si="47"/>
        <v/>
      </c>
    </row>
    <row r="221" spans="1:18" x14ac:dyDescent="0.2">
      <c r="A221" t="str">
        <f>IF(COUNTBLANK(B221:R221)&lt;&gt;COLUMNS(B221:R221),220,"")</f>
        <v/>
      </c>
      <c r="D221" s="1" t="str">
        <f t="shared" si="36"/>
        <v/>
      </c>
      <c r="E221" s="2" t="str">
        <f t="shared" si="37"/>
        <v/>
      </c>
      <c r="F221" s="1" t="str">
        <f t="shared" si="38"/>
        <v/>
      </c>
      <c r="G221" s="1" t="str">
        <f t="shared" si="39"/>
        <v/>
      </c>
      <c r="H221" s="1" t="str">
        <f t="shared" si="40"/>
        <v/>
      </c>
      <c r="K221" s="1" t="str">
        <f t="shared" si="41"/>
        <v/>
      </c>
      <c r="L221" s="1" t="str">
        <f t="shared" si="42"/>
        <v/>
      </c>
      <c r="M221" s="1" t="str">
        <f t="shared" si="43"/>
        <v/>
      </c>
      <c r="N221" s="1" t="str">
        <f t="shared" si="44"/>
        <v/>
      </c>
      <c r="O221" s="1" t="str">
        <f t="shared" si="45"/>
        <v/>
      </c>
      <c r="P221" s="1" t="str">
        <f t="shared" si="46"/>
        <v/>
      </c>
      <c r="R221" s="1" t="str">
        <f t="shared" si="47"/>
        <v/>
      </c>
    </row>
    <row r="222" spans="1:18" x14ac:dyDescent="0.2">
      <c r="A222" t="str">
        <f>IF(COUNTBLANK(B222:R222)&lt;&gt;COLUMNS(B222:R222),221,"")</f>
        <v/>
      </c>
      <c r="D222" s="1" t="str">
        <f t="shared" si="36"/>
        <v/>
      </c>
      <c r="E222" s="2" t="str">
        <f t="shared" si="37"/>
        <v/>
      </c>
      <c r="F222" s="1" t="str">
        <f t="shared" si="38"/>
        <v/>
      </c>
      <c r="G222" s="1" t="str">
        <f t="shared" si="39"/>
        <v/>
      </c>
      <c r="H222" s="1" t="str">
        <f t="shared" si="40"/>
        <v/>
      </c>
      <c r="K222" s="1" t="str">
        <f t="shared" si="41"/>
        <v/>
      </c>
      <c r="L222" s="1" t="str">
        <f t="shared" si="42"/>
        <v/>
      </c>
      <c r="M222" s="1" t="str">
        <f t="shared" si="43"/>
        <v/>
      </c>
      <c r="N222" s="1" t="str">
        <f t="shared" si="44"/>
        <v/>
      </c>
      <c r="O222" s="1" t="str">
        <f t="shared" si="45"/>
        <v/>
      </c>
      <c r="P222" s="1" t="str">
        <f t="shared" si="46"/>
        <v/>
      </c>
      <c r="R222" s="1" t="str">
        <f t="shared" si="47"/>
        <v/>
      </c>
    </row>
    <row r="223" spans="1:18" x14ac:dyDescent="0.2">
      <c r="A223" t="str">
        <f>IF(COUNTBLANK(B223:R223)&lt;&gt;COLUMNS(B223:R223),222,"")</f>
        <v/>
      </c>
      <c r="D223" s="1" t="str">
        <f t="shared" si="36"/>
        <v/>
      </c>
      <c r="E223" s="2" t="str">
        <f t="shared" si="37"/>
        <v/>
      </c>
      <c r="F223" s="1" t="str">
        <f t="shared" si="38"/>
        <v/>
      </c>
      <c r="G223" s="1" t="str">
        <f t="shared" si="39"/>
        <v/>
      </c>
      <c r="H223" s="1" t="str">
        <f t="shared" si="40"/>
        <v/>
      </c>
      <c r="K223" s="1" t="str">
        <f t="shared" si="41"/>
        <v/>
      </c>
      <c r="L223" s="1" t="str">
        <f t="shared" si="42"/>
        <v/>
      </c>
      <c r="M223" s="1" t="str">
        <f t="shared" si="43"/>
        <v/>
      </c>
      <c r="N223" s="1" t="str">
        <f t="shared" si="44"/>
        <v/>
      </c>
      <c r="O223" s="1" t="str">
        <f t="shared" si="45"/>
        <v/>
      </c>
      <c r="P223" s="1" t="str">
        <f t="shared" si="46"/>
        <v/>
      </c>
      <c r="R223" s="1" t="str">
        <f t="shared" si="47"/>
        <v/>
      </c>
    </row>
    <row r="224" spans="1:18" x14ac:dyDescent="0.2">
      <c r="A224" t="str">
        <f>IF(COUNTBLANK(B224:R224)&lt;&gt;COLUMNS(B224:R224),223,"")</f>
        <v/>
      </c>
      <c r="D224" s="1" t="str">
        <f t="shared" si="36"/>
        <v/>
      </c>
      <c r="E224" s="2" t="str">
        <f t="shared" si="37"/>
        <v/>
      </c>
      <c r="F224" s="1" t="str">
        <f t="shared" si="38"/>
        <v/>
      </c>
      <c r="G224" s="1" t="str">
        <f t="shared" si="39"/>
        <v/>
      </c>
      <c r="H224" s="1" t="str">
        <f t="shared" si="40"/>
        <v/>
      </c>
      <c r="K224" s="1" t="str">
        <f t="shared" si="41"/>
        <v/>
      </c>
      <c r="L224" s="1" t="str">
        <f t="shared" si="42"/>
        <v/>
      </c>
      <c r="M224" s="1" t="str">
        <f t="shared" si="43"/>
        <v/>
      </c>
      <c r="N224" s="1" t="str">
        <f t="shared" si="44"/>
        <v/>
      </c>
      <c r="O224" s="1" t="str">
        <f t="shared" si="45"/>
        <v/>
      </c>
      <c r="P224" s="1" t="str">
        <f t="shared" si="46"/>
        <v/>
      </c>
      <c r="R224" s="1" t="str">
        <f t="shared" si="47"/>
        <v/>
      </c>
    </row>
    <row r="225" spans="1:18" x14ac:dyDescent="0.2">
      <c r="A225" t="str">
        <f>IF(COUNTBLANK(B225:R225)&lt;&gt;COLUMNS(B225:R225),224,"")</f>
        <v/>
      </c>
      <c r="D225" s="1" t="str">
        <f t="shared" si="36"/>
        <v/>
      </c>
      <c r="E225" s="2" t="str">
        <f t="shared" si="37"/>
        <v/>
      </c>
      <c r="F225" s="1" t="str">
        <f t="shared" si="38"/>
        <v/>
      </c>
      <c r="G225" s="1" t="str">
        <f t="shared" si="39"/>
        <v/>
      </c>
      <c r="H225" s="1" t="str">
        <f t="shared" si="40"/>
        <v/>
      </c>
      <c r="K225" s="1" t="str">
        <f t="shared" si="41"/>
        <v/>
      </c>
      <c r="L225" s="1" t="str">
        <f t="shared" si="42"/>
        <v/>
      </c>
      <c r="M225" s="1" t="str">
        <f t="shared" si="43"/>
        <v/>
      </c>
      <c r="N225" s="1" t="str">
        <f t="shared" si="44"/>
        <v/>
      </c>
      <c r="O225" s="1" t="str">
        <f t="shared" si="45"/>
        <v/>
      </c>
      <c r="P225" s="1" t="str">
        <f t="shared" si="46"/>
        <v/>
      </c>
      <c r="R225" s="1" t="str">
        <f t="shared" si="47"/>
        <v/>
      </c>
    </row>
    <row r="226" spans="1:18" x14ac:dyDescent="0.2">
      <c r="A226" t="str">
        <f>IF(COUNTBLANK(B226:R226)&lt;&gt;COLUMNS(B226:R226),225,"")</f>
        <v/>
      </c>
      <c r="D226" s="1" t="str">
        <f t="shared" si="36"/>
        <v/>
      </c>
      <c r="E226" s="2" t="str">
        <f t="shared" si="37"/>
        <v/>
      </c>
      <c r="F226" s="1" t="str">
        <f t="shared" si="38"/>
        <v/>
      </c>
      <c r="G226" s="1" t="str">
        <f t="shared" si="39"/>
        <v/>
      </c>
      <c r="H226" s="1" t="str">
        <f t="shared" si="40"/>
        <v/>
      </c>
      <c r="K226" s="1" t="str">
        <f t="shared" si="41"/>
        <v/>
      </c>
      <c r="L226" s="1" t="str">
        <f t="shared" si="42"/>
        <v/>
      </c>
      <c r="M226" s="1" t="str">
        <f t="shared" si="43"/>
        <v/>
      </c>
      <c r="N226" s="1" t="str">
        <f t="shared" si="44"/>
        <v/>
      </c>
      <c r="O226" s="1" t="str">
        <f t="shared" si="45"/>
        <v/>
      </c>
      <c r="P226" s="1" t="str">
        <f t="shared" si="46"/>
        <v/>
      </c>
      <c r="R226" s="1" t="str">
        <f t="shared" si="47"/>
        <v/>
      </c>
    </row>
    <row r="227" spans="1:18" x14ac:dyDescent="0.2">
      <c r="A227" t="str">
        <f>IF(COUNTBLANK(B227:R227)&lt;&gt;COLUMNS(B227:R227),226,"")</f>
        <v/>
      </c>
      <c r="D227" s="1" t="str">
        <f t="shared" si="36"/>
        <v/>
      </c>
      <c r="E227" s="2" t="str">
        <f t="shared" si="37"/>
        <v/>
      </c>
      <c r="F227" s="1" t="str">
        <f t="shared" si="38"/>
        <v/>
      </c>
      <c r="G227" s="1" t="str">
        <f t="shared" si="39"/>
        <v/>
      </c>
      <c r="H227" s="1" t="str">
        <f t="shared" si="40"/>
        <v/>
      </c>
      <c r="K227" s="1" t="str">
        <f t="shared" si="41"/>
        <v/>
      </c>
      <c r="L227" s="1" t="str">
        <f t="shared" si="42"/>
        <v/>
      </c>
      <c r="M227" s="1" t="str">
        <f t="shared" si="43"/>
        <v/>
      </c>
      <c r="N227" s="1" t="str">
        <f t="shared" si="44"/>
        <v/>
      </c>
      <c r="O227" s="1" t="str">
        <f t="shared" si="45"/>
        <v/>
      </c>
      <c r="P227" s="1" t="str">
        <f t="shared" si="46"/>
        <v/>
      </c>
      <c r="R227" s="1" t="str">
        <f t="shared" si="47"/>
        <v/>
      </c>
    </row>
    <row r="228" spans="1:18" x14ac:dyDescent="0.2">
      <c r="A228" t="str">
        <f>IF(COUNTBLANK(B228:R228)&lt;&gt;COLUMNS(B228:R228),227,"")</f>
        <v/>
      </c>
      <c r="D228" s="1" t="str">
        <f t="shared" si="36"/>
        <v/>
      </c>
      <c r="E228" s="2" t="str">
        <f t="shared" si="37"/>
        <v/>
      </c>
      <c r="F228" s="1" t="str">
        <f t="shared" si="38"/>
        <v/>
      </c>
      <c r="G228" s="1" t="str">
        <f t="shared" si="39"/>
        <v/>
      </c>
      <c r="H228" s="1" t="str">
        <f t="shared" si="40"/>
        <v/>
      </c>
      <c r="K228" s="1" t="str">
        <f t="shared" si="41"/>
        <v/>
      </c>
      <c r="L228" s="1" t="str">
        <f t="shared" si="42"/>
        <v/>
      </c>
      <c r="M228" s="1" t="str">
        <f t="shared" si="43"/>
        <v/>
      </c>
      <c r="N228" s="1" t="str">
        <f t="shared" si="44"/>
        <v/>
      </c>
      <c r="O228" s="1" t="str">
        <f t="shared" si="45"/>
        <v/>
      </c>
      <c r="P228" s="1" t="str">
        <f t="shared" si="46"/>
        <v/>
      </c>
      <c r="R228" s="1" t="str">
        <f t="shared" si="47"/>
        <v/>
      </c>
    </row>
    <row r="229" spans="1:18" x14ac:dyDescent="0.2">
      <c r="A229" t="str">
        <f>IF(COUNTBLANK(B229:R229)&lt;&gt;COLUMNS(B229:R229),228,"")</f>
        <v/>
      </c>
      <c r="D229" s="1" t="str">
        <f t="shared" si="36"/>
        <v/>
      </c>
      <c r="E229" s="2" t="str">
        <f t="shared" si="37"/>
        <v/>
      </c>
      <c r="F229" s="1" t="str">
        <f t="shared" si="38"/>
        <v/>
      </c>
      <c r="G229" s="1" t="str">
        <f t="shared" si="39"/>
        <v/>
      </c>
      <c r="H229" s="1" t="str">
        <f t="shared" si="40"/>
        <v/>
      </c>
      <c r="K229" s="1" t="str">
        <f t="shared" si="41"/>
        <v/>
      </c>
      <c r="L229" s="1" t="str">
        <f t="shared" si="42"/>
        <v/>
      </c>
      <c r="M229" s="1" t="str">
        <f t="shared" si="43"/>
        <v/>
      </c>
      <c r="N229" s="1" t="str">
        <f t="shared" si="44"/>
        <v/>
      </c>
      <c r="O229" s="1" t="str">
        <f t="shared" si="45"/>
        <v/>
      </c>
      <c r="P229" s="1" t="str">
        <f t="shared" si="46"/>
        <v/>
      </c>
      <c r="R229" s="1" t="str">
        <f t="shared" si="47"/>
        <v/>
      </c>
    </row>
    <row r="230" spans="1:18" x14ac:dyDescent="0.2">
      <c r="A230" t="str">
        <f>IF(COUNTBLANK(B230:R230)&lt;&gt;COLUMNS(B230:R230),229,"")</f>
        <v/>
      </c>
      <c r="D230" s="1" t="str">
        <f t="shared" si="36"/>
        <v/>
      </c>
      <c r="E230" s="2" t="str">
        <f t="shared" si="37"/>
        <v/>
      </c>
      <c r="F230" s="1" t="str">
        <f t="shared" si="38"/>
        <v/>
      </c>
      <c r="G230" s="1" t="str">
        <f t="shared" si="39"/>
        <v/>
      </c>
      <c r="H230" s="1" t="str">
        <f t="shared" si="40"/>
        <v/>
      </c>
      <c r="K230" s="1" t="str">
        <f t="shared" si="41"/>
        <v/>
      </c>
      <c r="L230" s="1" t="str">
        <f t="shared" si="42"/>
        <v/>
      </c>
      <c r="M230" s="1" t="str">
        <f t="shared" si="43"/>
        <v/>
      </c>
      <c r="N230" s="1" t="str">
        <f t="shared" si="44"/>
        <v/>
      </c>
      <c r="O230" s="1" t="str">
        <f t="shared" si="45"/>
        <v/>
      </c>
      <c r="P230" s="1" t="str">
        <f t="shared" si="46"/>
        <v/>
      </c>
      <c r="R230" s="1" t="str">
        <f t="shared" si="47"/>
        <v/>
      </c>
    </row>
    <row r="231" spans="1:18" x14ac:dyDescent="0.2">
      <c r="A231" t="str">
        <f>IF(COUNTBLANK(B231:R231)&lt;&gt;COLUMNS(B231:R231),230,"")</f>
        <v/>
      </c>
      <c r="D231" s="1" t="str">
        <f t="shared" si="36"/>
        <v/>
      </c>
      <c r="E231" s="2" t="str">
        <f t="shared" si="37"/>
        <v/>
      </c>
      <c r="F231" s="1" t="str">
        <f t="shared" si="38"/>
        <v/>
      </c>
      <c r="G231" s="1" t="str">
        <f t="shared" si="39"/>
        <v/>
      </c>
      <c r="H231" s="1" t="str">
        <f t="shared" si="40"/>
        <v/>
      </c>
      <c r="K231" s="1" t="str">
        <f t="shared" si="41"/>
        <v/>
      </c>
      <c r="L231" s="1" t="str">
        <f t="shared" si="42"/>
        <v/>
      </c>
      <c r="M231" s="1" t="str">
        <f t="shared" si="43"/>
        <v/>
      </c>
      <c r="N231" s="1" t="str">
        <f t="shared" si="44"/>
        <v/>
      </c>
      <c r="O231" s="1" t="str">
        <f t="shared" si="45"/>
        <v/>
      </c>
      <c r="P231" s="1" t="str">
        <f t="shared" si="46"/>
        <v/>
      </c>
      <c r="R231" s="1" t="str">
        <f t="shared" si="47"/>
        <v/>
      </c>
    </row>
    <row r="232" spans="1:18" x14ac:dyDescent="0.2">
      <c r="A232" t="str">
        <f>IF(COUNTBLANK(B232:R232)&lt;&gt;COLUMNS(B232:R232),231,"")</f>
        <v/>
      </c>
      <c r="D232" s="1" t="str">
        <f t="shared" si="36"/>
        <v/>
      </c>
      <c r="E232" s="2" t="str">
        <f t="shared" si="37"/>
        <v/>
      </c>
      <c r="F232" s="1" t="str">
        <f t="shared" si="38"/>
        <v/>
      </c>
      <c r="G232" s="1" t="str">
        <f t="shared" si="39"/>
        <v/>
      </c>
      <c r="H232" s="1" t="str">
        <f t="shared" si="40"/>
        <v/>
      </c>
      <c r="K232" s="1" t="str">
        <f t="shared" si="41"/>
        <v/>
      </c>
      <c r="L232" s="1" t="str">
        <f t="shared" si="42"/>
        <v/>
      </c>
      <c r="M232" s="1" t="str">
        <f t="shared" si="43"/>
        <v/>
      </c>
      <c r="N232" s="1" t="str">
        <f t="shared" si="44"/>
        <v/>
      </c>
      <c r="O232" s="1" t="str">
        <f t="shared" si="45"/>
        <v/>
      </c>
      <c r="P232" s="1" t="str">
        <f t="shared" si="46"/>
        <v/>
      </c>
      <c r="R232" s="1" t="str">
        <f t="shared" si="47"/>
        <v/>
      </c>
    </row>
    <row r="233" spans="1:18" x14ac:dyDescent="0.2">
      <c r="A233" t="str">
        <f>IF(COUNTBLANK(B233:R233)&lt;&gt;COLUMNS(B233:R233),232,"")</f>
        <v/>
      </c>
      <c r="D233" s="1" t="str">
        <f t="shared" si="36"/>
        <v/>
      </c>
      <c r="E233" s="2" t="str">
        <f t="shared" si="37"/>
        <v/>
      </c>
      <c r="F233" s="1" t="str">
        <f t="shared" si="38"/>
        <v/>
      </c>
      <c r="G233" s="1" t="str">
        <f t="shared" si="39"/>
        <v/>
      </c>
      <c r="H233" s="1" t="str">
        <f t="shared" si="40"/>
        <v/>
      </c>
      <c r="K233" s="1" t="str">
        <f t="shared" si="41"/>
        <v/>
      </c>
      <c r="L233" s="1" t="str">
        <f t="shared" si="42"/>
        <v/>
      </c>
      <c r="M233" s="1" t="str">
        <f t="shared" si="43"/>
        <v/>
      </c>
      <c r="N233" s="1" t="str">
        <f t="shared" si="44"/>
        <v/>
      </c>
      <c r="O233" s="1" t="str">
        <f t="shared" si="45"/>
        <v/>
      </c>
      <c r="P233" s="1" t="str">
        <f t="shared" si="46"/>
        <v/>
      </c>
      <c r="R233" s="1" t="str">
        <f t="shared" si="47"/>
        <v/>
      </c>
    </row>
    <row r="234" spans="1:18" x14ac:dyDescent="0.2">
      <c r="A234" t="str">
        <f>IF(COUNTBLANK(B234:R234)&lt;&gt;COLUMNS(B234:R234),233,"")</f>
        <v/>
      </c>
      <c r="D234" s="1" t="str">
        <f t="shared" si="36"/>
        <v/>
      </c>
      <c r="E234" s="2" t="str">
        <f t="shared" si="37"/>
        <v/>
      </c>
      <c r="F234" s="1" t="str">
        <f t="shared" si="38"/>
        <v/>
      </c>
      <c r="G234" s="1" t="str">
        <f t="shared" si="39"/>
        <v/>
      </c>
      <c r="H234" s="1" t="str">
        <f t="shared" si="40"/>
        <v/>
      </c>
      <c r="K234" s="1" t="str">
        <f t="shared" si="41"/>
        <v/>
      </c>
      <c r="L234" s="1" t="str">
        <f t="shared" si="42"/>
        <v/>
      </c>
      <c r="M234" s="1" t="str">
        <f t="shared" si="43"/>
        <v/>
      </c>
      <c r="N234" s="1" t="str">
        <f t="shared" si="44"/>
        <v/>
      </c>
      <c r="O234" s="1" t="str">
        <f t="shared" si="45"/>
        <v/>
      </c>
      <c r="P234" s="1" t="str">
        <f t="shared" si="46"/>
        <v/>
      </c>
      <c r="R234" s="1" t="str">
        <f t="shared" si="47"/>
        <v/>
      </c>
    </row>
    <row r="235" spans="1:18" x14ac:dyDescent="0.2">
      <c r="A235" t="str">
        <f>IF(COUNTBLANK(B235:R235)&lt;&gt;COLUMNS(B235:R235),234,"")</f>
        <v/>
      </c>
      <c r="D235" s="1" t="str">
        <f t="shared" si="36"/>
        <v/>
      </c>
      <c r="E235" s="2" t="str">
        <f t="shared" si="37"/>
        <v/>
      </c>
      <c r="F235" s="1" t="str">
        <f t="shared" si="38"/>
        <v/>
      </c>
      <c r="G235" s="1" t="str">
        <f t="shared" si="39"/>
        <v/>
      </c>
      <c r="H235" s="1" t="str">
        <f t="shared" si="40"/>
        <v/>
      </c>
      <c r="K235" s="1" t="str">
        <f t="shared" si="41"/>
        <v/>
      </c>
      <c r="L235" s="1" t="str">
        <f t="shared" si="42"/>
        <v/>
      </c>
      <c r="M235" s="1" t="str">
        <f t="shared" si="43"/>
        <v/>
      </c>
      <c r="N235" s="1" t="str">
        <f t="shared" si="44"/>
        <v/>
      </c>
      <c r="O235" s="1" t="str">
        <f t="shared" si="45"/>
        <v/>
      </c>
      <c r="P235" s="1" t="str">
        <f t="shared" si="46"/>
        <v/>
      </c>
      <c r="R235" s="1" t="str">
        <f t="shared" si="47"/>
        <v/>
      </c>
    </row>
    <row r="236" spans="1:18" x14ac:dyDescent="0.2">
      <c r="A236" t="str">
        <f>IF(COUNTBLANK(B236:R236)&lt;&gt;COLUMNS(B236:R236),235,"")</f>
        <v/>
      </c>
      <c r="D236" s="1" t="str">
        <f t="shared" si="36"/>
        <v/>
      </c>
      <c r="E236" s="2" t="str">
        <f t="shared" si="37"/>
        <v/>
      </c>
      <c r="F236" s="1" t="str">
        <f t="shared" si="38"/>
        <v/>
      </c>
      <c r="G236" s="1" t="str">
        <f t="shared" si="39"/>
        <v/>
      </c>
      <c r="H236" s="1" t="str">
        <f t="shared" si="40"/>
        <v/>
      </c>
      <c r="K236" s="1" t="str">
        <f t="shared" si="41"/>
        <v/>
      </c>
      <c r="L236" s="1" t="str">
        <f t="shared" si="42"/>
        <v/>
      </c>
      <c r="M236" s="1" t="str">
        <f t="shared" si="43"/>
        <v/>
      </c>
      <c r="N236" s="1" t="str">
        <f t="shared" si="44"/>
        <v/>
      </c>
      <c r="O236" s="1" t="str">
        <f t="shared" si="45"/>
        <v/>
      </c>
      <c r="P236" s="1" t="str">
        <f t="shared" si="46"/>
        <v/>
      </c>
      <c r="R236" s="1" t="str">
        <f t="shared" si="47"/>
        <v/>
      </c>
    </row>
    <row r="237" spans="1:18" x14ac:dyDescent="0.2">
      <c r="A237" t="str">
        <f>IF(COUNTBLANK(B237:R237)&lt;&gt;COLUMNS(B237:R237),236,"")</f>
        <v/>
      </c>
      <c r="D237" s="1" t="str">
        <f t="shared" si="36"/>
        <v/>
      </c>
      <c r="E237" s="2" t="str">
        <f t="shared" si="37"/>
        <v/>
      </c>
      <c r="F237" s="1" t="str">
        <f t="shared" si="38"/>
        <v/>
      </c>
      <c r="G237" s="1" t="str">
        <f t="shared" si="39"/>
        <v/>
      </c>
      <c r="H237" s="1" t="str">
        <f t="shared" si="40"/>
        <v/>
      </c>
      <c r="K237" s="1" t="str">
        <f t="shared" si="41"/>
        <v/>
      </c>
      <c r="L237" s="1" t="str">
        <f t="shared" si="42"/>
        <v/>
      </c>
      <c r="M237" s="1" t="str">
        <f t="shared" si="43"/>
        <v/>
      </c>
      <c r="N237" s="1" t="str">
        <f t="shared" si="44"/>
        <v/>
      </c>
      <c r="O237" s="1" t="str">
        <f t="shared" si="45"/>
        <v/>
      </c>
      <c r="P237" s="1" t="str">
        <f t="shared" si="46"/>
        <v/>
      </c>
      <c r="R237" s="1" t="str">
        <f t="shared" si="47"/>
        <v/>
      </c>
    </row>
    <row r="238" spans="1:18" x14ac:dyDescent="0.2">
      <c r="A238" t="str">
        <f>IF(COUNTBLANK(B238:R238)&lt;&gt;COLUMNS(B238:R238),237,"")</f>
        <v/>
      </c>
      <c r="D238" s="1" t="str">
        <f t="shared" si="36"/>
        <v/>
      </c>
      <c r="E238" s="2" t="str">
        <f t="shared" si="37"/>
        <v/>
      </c>
      <c r="F238" s="1" t="str">
        <f t="shared" si="38"/>
        <v/>
      </c>
      <c r="G238" s="1" t="str">
        <f t="shared" si="39"/>
        <v/>
      </c>
      <c r="H238" s="1" t="str">
        <f t="shared" si="40"/>
        <v/>
      </c>
      <c r="K238" s="1" t="str">
        <f t="shared" si="41"/>
        <v/>
      </c>
      <c r="L238" s="1" t="str">
        <f t="shared" si="42"/>
        <v/>
      </c>
      <c r="M238" s="1" t="str">
        <f t="shared" si="43"/>
        <v/>
      </c>
      <c r="N238" s="1" t="str">
        <f t="shared" si="44"/>
        <v/>
      </c>
      <c r="O238" s="1" t="str">
        <f t="shared" si="45"/>
        <v/>
      </c>
      <c r="P238" s="1" t="str">
        <f t="shared" si="46"/>
        <v/>
      </c>
      <c r="R238" s="1" t="str">
        <f t="shared" si="47"/>
        <v/>
      </c>
    </row>
    <row r="239" spans="1:18" x14ac:dyDescent="0.2">
      <c r="A239" t="str">
        <f>IF(COUNTBLANK(B239:R239)&lt;&gt;COLUMNS(B239:R239),238,"")</f>
        <v/>
      </c>
      <c r="D239" s="1" t="str">
        <f t="shared" si="36"/>
        <v/>
      </c>
      <c r="E239" s="2" t="str">
        <f t="shared" si="37"/>
        <v/>
      </c>
      <c r="F239" s="1" t="str">
        <f t="shared" si="38"/>
        <v/>
      </c>
      <c r="G239" s="1" t="str">
        <f t="shared" si="39"/>
        <v/>
      </c>
      <c r="H239" s="1" t="str">
        <f t="shared" si="40"/>
        <v/>
      </c>
      <c r="K239" s="1" t="str">
        <f t="shared" si="41"/>
        <v/>
      </c>
      <c r="L239" s="1" t="str">
        <f t="shared" si="42"/>
        <v/>
      </c>
      <c r="M239" s="1" t="str">
        <f t="shared" si="43"/>
        <v/>
      </c>
      <c r="N239" s="1" t="str">
        <f t="shared" si="44"/>
        <v/>
      </c>
      <c r="O239" s="1" t="str">
        <f t="shared" si="45"/>
        <v/>
      </c>
      <c r="P239" s="1" t="str">
        <f t="shared" si="46"/>
        <v/>
      </c>
      <c r="R239" s="1" t="str">
        <f t="shared" si="47"/>
        <v/>
      </c>
    </row>
    <row r="240" spans="1:18" x14ac:dyDescent="0.2">
      <c r="A240" t="str">
        <f>IF(COUNTBLANK(B240:R240)&lt;&gt;COLUMNS(B240:R240),239,"")</f>
        <v/>
      </c>
      <c r="D240" s="1" t="str">
        <f t="shared" si="36"/>
        <v/>
      </c>
      <c r="E240" s="2" t="str">
        <f t="shared" si="37"/>
        <v/>
      </c>
      <c r="F240" s="1" t="str">
        <f t="shared" si="38"/>
        <v/>
      </c>
      <c r="G240" s="1" t="str">
        <f t="shared" si="39"/>
        <v/>
      </c>
      <c r="H240" s="1" t="str">
        <f t="shared" si="40"/>
        <v/>
      </c>
      <c r="K240" s="1" t="str">
        <f t="shared" si="41"/>
        <v/>
      </c>
      <c r="L240" s="1" t="str">
        <f t="shared" si="42"/>
        <v/>
      </c>
      <c r="M240" s="1" t="str">
        <f t="shared" si="43"/>
        <v/>
      </c>
      <c r="N240" s="1" t="str">
        <f t="shared" si="44"/>
        <v/>
      </c>
      <c r="O240" s="1" t="str">
        <f t="shared" si="45"/>
        <v/>
      </c>
      <c r="P240" s="1" t="str">
        <f t="shared" si="46"/>
        <v/>
      </c>
      <c r="R240" s="1" t="str">
        <f t="shared" si="47"/>
        <v/>
      </c>
    </row>
    <row r="241" spans="1:18" x14ac:dyDescent="0.2">
      <c r="A241" t="str">
        <f>IF(COUNTBLANK(B241:R241)&lt;&gt;COLUMNS(B241:R241),240,"")</f>
        <v/>
      </c>
      <c r="D241" s="1" t="str">
        <f t="shared" si="36"/>
        <v/>
      </c>
      <c r="E241" s="2" t="str">
        <f t="shared" si="37"/>
        <v/>
      </c>
      <c r="F241" s="1" t="str">
        <f t="shared" si="38"/>
        <v/>
      </c>
      <c r="G241" s="1" t="str">
        <f t="shared" si="39"/>
        <v/>
      </c>
      <c r="H241" s="1" t="str">
        <f t="shared" si="40"/>
        <v/>
      </c>
      <c r="K241" s="1" t="str">
        <f t="shared" si="41"/>
        <v/>
      </c>
      <c r="L241" s="1" t="str">
        <f t="shared" si="42"/>
        <v/>
      </c>
      <c r="M241" s="1" t="str">
        <f t="shared" si="43"/>
        <v/>
      </c>
      <c r="N241" s="1" t="str">
        <f t="shared" si="44"/>
        <v/>
      </c>
      <c r="O241" s="1" t="str">
        <f t="shared" si="45"/>
        <v/>
      </c>
      <c r="P241" s="1" t="str">
        <f t="shared" si="46"/>
        <v/>
      </c>
      <c r="R241" s="1" t="str">
        <f t="shared" si="47"/>
        <v/>
      </c>
    </row>
    <row r="242" spans="1:18" x14ac:dyDescent="0.2">
      <c r="A242" t="str">
        <f>IF(COUNTBLANK(B242:R242)&lt;&gt;COLUMNS(B242:R242),241,"")</f>
        <v/>
      </c>
      <c r="D242" s="1" t="str">
        <f t="shared" si="36"/>
        <v/>
      </c>
      <c r="E242" s="2" t="str">
        <f t="shared" si="37"/>
        <v/>
      </c>
      <c r="F242" s="1" t="str">
        <f t="shared" si="38"/>
        <v/>
      </c>
      <c r="G242" s="1" t="str">
        <f t="shared" si="39"/>
        <v/>
      </c>
      <c r="H242" s="1" t="str">
        <f t="shared" si="40"/>
        <v/>
      </c>
      <c r="K242" s="1" t="str">
        <f t="shared" si="41"/>
        <v/>
      </c>
      <c r="L242" s="1" t="str">
        <f t="shared" si="42"/>
        <v/>
      </c>
      <c r="M242" s="1" t="str">
        <f t="shared" si="43"/>
        <v/>
      </c>
      <c r="N242" s="1" t="str">
        <f t="shared" si="44"/>
        <v/>
      </c>
      <c r="O242" s="1" t="str">
        <f t="shared" si="45"/>
        <v/>
      </c>
      <c r="P242" s="1" t="str">
        <f t="shared" si="46"/>
        <v/>
      </c>
      <c r="R242" s="1" t="str">
        <f t="shared" si="47"/>
        <v/>
      </c>
    </row>
    <row r="243" spans="1:18" x14ac:dyDescent="0.2">
      <c r="A243" t="str">
        <f>IF(COUNTBLANK(B243:R243)&lt;&gt;COLUMNS(B243:R243),242,"")</f>
        <v/>
      </c>
      <c r="D243" s="1" t="str">
        <f t="shared" si="36"/>
        <v/>
      </c>
      <c r="E243" s="2" t="str">
        <f t="shared" si="37"/>
        <v/>
      </c>
      <c r="F243" s="1" t="str">
        <f t="shared" si="38"/>
        <v/>
      </c>
      <c r="G243" s="1" t="str">
        <f t="shared" si="39"/>
        <v/>
      </c>
      <c r="H243" s="1" t="str">
        <f t="shared" si="40"/>
        <v/>
      </c>
      <c r="K243" s="1" t="str">
        <f t="shared" si="41"/>
        <v/>
      </c>
      <c r="L243" s="1" t="str">
        <f t="shared" si="42"/>
        <v/>
      </c>
      <c r="M243" s="1" t="str">
        <f t="shared" si="43"/>
        <v/>
      </c>
      <c r="N243" s="1" t="str">
        <f t="shared" si="44"/>
        <v/>
      </c>
      <c r="O243" s="1" t="str">
        <f t="shared" si="45"/>
        <v/>
      </c>
      <c r="P243" s="1" t="str">
        <f t="shared" si="46"/>
        <v/>
      </c>
      <c r="R243" s="1" t="str">
        <f t="shared" si="47"/>
        <v/>
      </c>
    </row>
    <row r="244" spans="1:18" x14ac:dyDescent="0.2">
      <c r="A244" t="str">
        <f>IF(COUNTBLANK(B244:R244)&lt;&gt;COLUMNS(B244:R244),243,"")</f>
        <v/>
      </c>
      <c r="D244" s="1" t="str">
        <f t="shared" si="36"/>
        <v/>
      </c>
      <c r="E244" s="2" t="str">
        <f t="shared" si="37"/>
        <v/>
      </c>
      <c r="F244" s="1" t="str">
        <f t="shared" si="38"/>
        <v/>
      </c>
      <c r="G244" s="1" t="str">
        <f t="shared" si="39"/>
        <v/>
      </c>
      <c r="H244" s="1" t="str">
        <f t="shared" si="40"/>
        <v/>
      </c>
      <c r="K244" s="1" t="str">
        <f t="shared" si="41"/>
        <v/>
      </c>
      <c r="L244" s="1" t="str">
        <f t="shared" si="42"/>
        <v/>
      </c>
      <c r="M244" s="1" t="str">
        <f t="shared" si="43"/>
        <v/>
      </c>
      <c r="N244" s="1" t="str">
        <f t="shared" si="44"/>
        <v/>
      </c>
      <c r="O244" s="1" t="str">
        <f t="shared" si="45"/>
        <v/>
      </c>
      <c r="P244" s="1" t="str">
        <f t="shared" si="46"/>
        <v/>
      </c>
      <c r="R244" s="1" t="str">
        <f t="shared" si="47"/>
        <v/>
      </c>
    </row>
    <row r="245" spans="1:18" x14ac:dyDescent="0.2">
      <c r="A245" t="str">
        <f>IF(COUNTBLANK(B245:R245)&lt;&gt;COLUMNS(B245:R245),244,"")</f>
        <v/>
      </c>
      <c r="D245" s="1" t="str">
        <f t="shared" si="36"/>
        <v/>
      </c>
      <c r="E245" s="2" t="str">
        <f t="shared" si="37"/>
        <v/>
      </c>
      <c r="F245" s="1" t="str">
        <f t="shared" si="38"/>
        <v/>
      </c>
      <c r="G245" s="1" t="str">
        <f t="shared" si="39"/>
        <v/>
      </c>
      <c r="H245" s="1" t="str">
        <f t="shared" si="40"/>
        <v/>
      </c>
      <c r="K245" s="1" t="str">
        <f t="shared" si="41"/>
        <v/>
      </c>
      <c r="L245" s="1" t="str">
        <f t="shared" si="42"/>
        <v/>
      </c>
      <c r="M245" s="1" t="str">
        <f t="shared" si="43"/>
        <v/>
      </c>
      <c r="N245" s="1" t="str">
        <f t="shared" si="44"/>
        <v/>
      </c>
      <c r="O245" s="1" t="str">
        <f t="shared" si="45"/>
        <v/>
      </c>
      <c r="P245" s="1" t="str">
        <f t="shared" si="46"/>
        <v/>
      </c>
      <c r="R245" s="1" t="str">
        <f t="shared" si="47"/>
        <v/>
      </c>
    </row>
    <row r="246" spans="1:18" x14ac:dyDescent="0.2">
      <c r="A246" t="str">
        <f>IF(COUNTBLANK(B246:R246)&lt;&gt;COLUMNS(B246:R246),245,"")</f>
        <v/>
      </c>
      <c r="D246" s="1" t="str">
        <f t="shared" si="36"/>
        <v/>
      </c>
      <c r="E246" s="2" t="str">
        <f t="shared" si="37"/>
        <v/>
      </c>
      <c r="F246" s="1" t="str">
        <f t="shared" si="38"/>
        <v/>
      </c>
      <c r="G246" s="1" t="str">
        <f t="shared" si="39"/>
        <v/>
      </c>
      <c r="H246" s="1" t="str">
        <f t="shared" si="40"/>
        <v/>
      </c>
      <c r="K246" s="1" t="str">
        <f t="shared" si="41"/>
        <v/>
      </c>
      <c r="L246" s="1" t="str">
        <f t="shared" si="42"/>
        <v/>
      </c>
      <c r="M246" s="1" t="str">
        <f t="shared" si="43"/>
        <v/>
      </c>
      <c r="N246" s="1" t="str">
        <f t="shared" si="44"/>
        <v/>
      </c>
      <c r="O246" s="1" t="str">
        <f t="shared" si="45"/>
        <v/>
      </c>
      <c r="P246" s="1" t="str">
        <f t="shared" si="46"/>
        <v/>
      </c>
      <c r="R246" s="1" t="str">
        <f t="shared" si="47"/>
        <v/>
      </c>
    </row>
    <row r="247" spans="1:18" x14ac:dyDescent="0.2">
      <c r="A247" t="str">
        <f>IF(COUNTBLANK(B247:R247)&lt;&gt;COLUMNS(B247:R247),246,"")</f>
        <v/>
      </c>
      <c r="D247" s="1" t="str">
        <f t="shared" si="36"/>
        <v/>
      </c>
      <c r="E247" s="2" t="str">
        <f t="shared" si="37"/>
        <v/>
      </c>
      <c r="F247" s="1" t="str">
        <f t="shared" si="38"/>
        <v/>
      </c>
      <c r="G247" s="1" t="str">
        <f t="shared" si="39"/>
        <v/>
      </c>
      <c r="H247" s="1" t="str">
        <f t="shared" si="40"/>
        <v/>
      </c>
      <c r="K247" s="1" t="str">
        <f t="shared" si="41"/>
        <v/>
      </c>
      <c r="L247" s="1" t="str">
        <f t="shared" si="42"/>
        <v/>
      </c>
      <c r="M247" s="1" t="str">
        <f t="shared" si="43"/>
        <v/>
      </c>
      <c r="N247" s="1" t="str">
        <f t="shared" si="44"/>
        <v/>
      </c>
      <c r="O247" s="1" t="str">
        <f t="shared" si="45"/>
        <v/>
      </c>
      <c r="P247" s="1" t="str">
        <f t="shared" si="46"/>
        <v/>
      </c>
      <c r="R247" s="1" t="str">
        <f t="shared" si="47"/>
        <v/>
      </c>
    </row>
    <row r="248" spans="1:18" x14ac:dyDescent="0.2">
      <c r="A248" t="str">
        <f>IF(COUNTBLANK(B248:R248)&lt;&gt;COLUMNS(B248:R248),247,"")</f>
        <v/>
      </c>
      <c r="D248" s="1" t="str">
        <f t="shared" si="36"/>
        <v/>
      </c>
      <c r="E248" s="2" t="str">
        <f t="shared" si="37"/>
        <v/>
      </c>
      <c r="F248" s="1" t="str">
        <f t="shared" si="38"/>
        <v/>
      </c>
      <c r="G248" s="1" t="str">
        <f t="shared" si="39"/>
        <v/>
      </c>
      <c r="H248" s="1" t="str">
        <f t="shared" si="40"/>
        <v/>
      </c>
      <c r="K248" s="1" t="str">
        <f t="shared" si="41"/>
        <v/>
      </c>
      <c r="L248" s="1" t="str">
        <f t="shared" si="42"/>
        <v/>
      </c>
      <c r="M248" s="1" t="str">
        <f t="shared" si="43"/>
        <v/>
      </c>
      <c r="N248" s="1" t="str">
        <f t="shared" si="44"/>
        <v/>
      </c>
      <c r="O248" s="1" t="str">
        <f t="shared" si="45"/>
        <v/>
      </c>
      <c r="P248" s="1" t="str">
        <f t="shared" si="46"/>
        <v/>
      </c>
      <c r="R248" s="1" t="str">
        <f t="shared" si="47"/>
        <v/>
      </c>
    </row>
    <row r="249" spans="1:18" x14ac:dyDescent="0.2">
      <c r="A249" t="str">
        <f>IF(COUNTBLANK(B249:R249)&lt;&gt;COLUMNS(B249:R249),248,"")</f>
        <v/>
      </c>
      <c r="D249" s="1" t="str">
        <f t="shared" si="36"/>
        <v/>
      </c>
      <c r="E249" s="2" t="str">
        <f t="shared" si="37"/>
        <v/>
      </c>
      <c r="F249" s="1" t="str">
        <f t="shared" si="38"/>
        <v/>
      </c>
      <c r="G249" s="1" t="str">
        <f t="shared" si="39"/>
        <v/>
      </c>
      <c r="H249" s="1" t="str">
        <f t="shared" si="40"/>
        <v/>
      </c>
      <c r="K249" s="1" t="str">
        <f t="shared" si="41"/>
        <v/>
      </c>
      <c r="L249" s="1" t="str">
        <f t="shared" si="42"/>
        <v/>
      </c>
      <c r="M249" s="1" t="str">
        <f t="shared" si="43"/>
        <v/>
      </c>
      <c r="N249" s="1" t="str">
        <f t="shared" si="44"/>
        <v/>
      </c>
      <c r="O249" s="1" t="str">
        <f t="shared" si="45"/>
        <v/>
      </c>
      <c r="P249" s="1" t="str">
        <f t="shared" si="46"/>
        <v/>
      </c>
      <c r="R249" s="1" t="str">
        <f t="shared" si="47"/>
        <v/>
      </c>
    </row>
    <row r="250" spans="1:18" x14ac:dyDescent="0.2">
      <c r="A250" t="str">
        <f>IF(COUNTBLANK(B250:R250)&lt;&gt;COLUMNS(B250:R250),249,"")</f>
        <v/>
      </c>
      <c r="D250" s="1" t="str">
        <f t="shared" si="36"/>
        <v/>
      </c>
      <c r="E250" s="2" t="str">
        <f t="shared" si="37"/>
        <v/>
      </c>
      <c r="F250" s="1" t="str">
        <f t="shared" si="38"/>
        <v/>
      </c>
      <c r="G250" s="1" t="str">
        <f t="shared" si="39"/>
        <v/>
      </c>
      <c r="H250" s="1" t="str">
        <f t="shared" si="40"/>
        <v/>
      </c>
      <c r="K250" s="1" t="str">
        <f t="shared" si="41"/>
        <v/>
      </c>
      <c r="L250" s="1" t="str">
        <f t="shared" si="42"/>
        <v/>
      </c>
      <c r="M250" s="1" t="str">
        <f t="shared" si="43"/>
        <v/>
      </c>
      <c r="N250" s="1" t="str">
        <f t="shared" si="44"/>
        <v/>
      </c>
      <c r="O250" s="1" t="str">
        <f t="shared" si="45"/>
        <v/>
      </c>
      <c r="P250" s="1" t="str">
        <f t="shared" si="46"/>
        <v/>
      </c>
      <c r="R250" s="1" t="str">
        <f t="shared" si="47"/>
        <v/>
      </c>
    </row>
    <row r="251" spans="1:18" x14ac:dyDescent="0.2">
      <c r="A251" t="str">
        <f>IF(COUNTBLANK(B251:R251)&lt;&gt;COLUMNS(B251:R251),250,"")</f>
        <v/>
      </c>
      <c r="D251" s="1" t="str">
        <f t="shared" si="36"/>
        <v/>
      </c>
      <c r="E251" s="2" t="str">
        <f t="shared" si="37"/>
        <v/>
      </c>
      <c r="F251" s="1" t="str">
        <f t="shared" si="38"/>
        <v/>
      </c>
      <c r="G251" s="1" t="str">
        <f t="shared" si="39"/>
        <v/>
      </c>
      <c r="H251" s="1" t="str">
        <f t="shared" si="40"/>
        <v/>
      </c>
      <c r="K251" s="1" t="str">
        <f t="shared" si="41"/>
        <v/>
      </c>
      <c r="L251" s="1" t="str">
        <f t="shared" si="42"/>
        <v/>
      </c>
      <c r="M251" s="1" t="str">
        <f t="shared" si="43"/>
        <v/>
      </c>
      <c r="N251" s="1" t="str">
        <f t="shared" si="44"/>
        <v/>
      </c>
      <c r="O251" s="1" t="str">
        <f t="shared" si="45"/>
        <v/>
      </c>
      <c r="P251" s="1" t="str">
        <f t="shared" si="46"/>
        <v/>
      </c>
      <c r="R251" s="1" t="str">
        <f t="shared" si="47"/>
        <v/>
      </c>
    </row>
    <row r="252" spans="1:18" x14ac:dyDescent="0.2">
      <c r="A252" t="str">
        <f>IF(COUNTBLANK(B252:R252)&lt;&gt;COLUMNS(B252:R252),251,"")</f>
        <v/>
      </c>
      <c r="D252" s="1" t="str">
        <f t="shared" si="36"/>
        <v/>
      </c>
      <c r="E252" s="2" t="str">
        <f t="shared" si="37"/>
        <v/>
      </c>
      <c r="F252" s="1" t="str">
        <f t="shared" si="38"/>
        <v/>
      </c>
      <c r="G252" s="1" t="str">
        <f t="shared" si="39"/>
        <v/>
      </c>
      <c r="H252" s="1" t="str">
        <f t="shared" si="40"/>
        <v/>
      </c>
      <c r="K252" s="1" t="str">
        <f t="shared" si="41"/>
        <v/>
      </c>
      <c r="L252" s="1" t="str">
        <f t="shared" si="42"/>
        <v/>
      </c>
      <c r="M252" s="1" t="str">
        <f t="shared" si="43"/>
        <v/>
      </c>
      <c r="N252" s="1" t="str">
        <f t="shared" si="44"/>
        <v/>
      </c>
      <c r="O252" s="1" t="str">
        <f t="shared" si="45"/>
        <v/>
      </c>
      <c r="P252" s="1" t="str">
        <f t="shared" si="46"/>
        <v/>
      </c>
      <c r="R252" s="1" t="str">
        <f t="shared" si="47"/>
        <v/>
      </c>
    </row>
    <row r="253" spans="1:18" x14ac:dyDescent="0.2">
      <c r="A253" t="str">
        <f>IF(COUNTBLANK(B253:R253)&lt;&gt;COLUMNS(B253:R253),252,"")</f>
        <v/>
      </c>
      <c r="D253" s="1" t="str">
        <f t="shared" si="36"/>
        <v/>
      </c>
      <c r="E253" s="2" t="str">
        <f t="shared" si="37"/>
        <v/>
      </c>
      <c r="F253" s="1" t="str">
        <f t="shared" si="38"/>
        <v/>
      </c>
      <c r="G253" s="1" t="str">
        <f t="shared" si="39"/>
        <v/>
      </c>
      <c r="H253" s="1" t="str">
        <f t="shared" si="40"/>
        <v/>
      </c>
      <c r="K253" s="1" t="str">
        <f t="shared" si="41"/>
        <v/>
      </c>
      <c r="L253" s="1" t="str">
        <f t="shared" si="42"/>
        <v/>
      </c>
      <c r="M253" s="1" t="str">
        <f t="shared" si="43"/>
        <v/>
      </c>
      <c r="N253" s="1" t="str">
        <f t="shared" si="44"/>
        <v/>
      </c>
      <c r="O253" s="1" t="str">
        <f t="shared" si="45"/>
        <v/>
      </c>
      <c r="P253" s="1" t="str">
        <f t="shared" si="46"/>
        <v/>
      </c>
      <c r="R253" s="1" t="str">
        <f t="shared" si="47"/>
        <v/>
      </c>
    </row>
    <row r="254" spans="1:18" x14ac:dyDescent="0.2">
      <c r="A254" t="str">
        <f>IF(COUNTBLANK(B254:R254)&lt;&gt;COLUMNS(B254:R254),253,"")</f>
        <v/>
      </c>
      <c r="D254" s="1" t="str">
        <f t="shared" si="36"/>
        <v/>
      </c>
      <c r="E254" s="2" t="str">
        <f t="shared" si="37"/>
        <v/>
      </c>
      <c r="F254" s="1" t="str">
        <f t="shared" si="38"/>
        <v/>
      </c>
      <c r="G254" s="1" t="str">
        <f t="shared" si="39"/>
        <v/>
      </c>
      <c r="H254" s="1" t="str">
        <f t="shared" si="40"/>
        <v/>
      </c>
      <c r="K254" s="1" t="str">
        <f t="shared" si="41"/>
        <v/>
      </c>
      <c r="L254" s="1" t="str">
        <f t="shared" si="42"/>
        <v/>
      </c>
      <c r="M254" s="1" t="str">
        <f t="shared" si="43"/>
        <v/>
      </c>
      <c r="N254" s="1" t="str">
        <f t="shared" si="44"/>
        <v/>
      </c>
      <c r="O254" s="1" t="str">
        <f t="shared" si="45"/>
        <v/>
      </c>
      <c r="P254" s="1" t="str">
        <f t="shared" si="46"/>
        <v/>
      </c>
      <c r="R254" s="1" t="str">
        <f t="shared" si="47"/>
        <v/>
      </c>
    </row>
    <row r="255" spans="1:18" x14ac:dyDescent="0.2">
      <c r="A255" t="str">
        <f>IF(COUNTBLANK(B255:R255)&lt;&gt;COLUMNS(B255:R255),254,"")</f>
        <v/>
      </c>
      <c r="D255" s="1" t="str">
        <f t="shared" si="36"/>
        <v/>
      </c>
      <c r="E255" s="2" t="str">
        <f t="shared" si="37"/>
        <v/>
      </c>
      <c r="F255" s="1" t="str">
        <f t="shared" si="38"/>
        <v/>
      </c>
      <c r="G255" s="1" t="str">
        <f t="shared" si="39"/>
        <v/>
      </c>
      <c r="H255" s="1" t="str">
        <f t="shared" si="40"/>
        <v/>
      </c>
      <c r="K255" s="1" t="str">
        <f t="shared" si="41"/>
        <v/>
      </c>
      <c r="L255" s="1" t="str">
        <f t="shared" si="42"/>
        <v/>
      </c>
      <c r="M255" s="1" t="str">
        <f t="shared" si="43"/>
        <v/>
      </c>
      <c r="N255" s="1" t="str">
        <f t="shared" si="44"/>
        <v/>
      </c>
      <c r="O255" s="1" t="str">
        <f t="shared" si="45"/>
        <v/>
      </c>
      <c r="P255" s="1" t="str">
        <f t="shared" si="46"/>
        <v/>
      </c>
      <c r="R255" s="1" t="str">
        <f t="shared" si="47"/>
        <v/>
      </c>
    </row>
    <row r="256" spans="1:18" x14ac:dyDescent="0.2">
      <c r="A256" t="str">
        <f>IF(COUNTBLANK(B256:R256)&lt;&gt;COLUMNS(B256:R256),255,"")</f>
        <v/>
      </c>
      <c r="D256" s="1" t="str">
        <f t="shared" si="36"/>
        <v/>
      </c>
      <c r="E256" s="2" t="str">
        <f t="shared" si="37"/>
        <v/>
      </c>
      <c r="F256" s="1" t="str">
        <f t="shared" si="38"/>
        <v/>
      </c>
      <c r="G256" s="1" t="str">
        <f t="shared" si="39"/>
        <v/>
      </c>
      <c r="H256" s="1" t="str">
        <f t="shared" si="40"/>
        <v/>
      </c>
      <c r="K256" s="1" t="str">
        <f t="shared" si="41"/>
        <v/>
      </c>
      <c r="L256" s="1" t="str">
        <f t="shared" si="42"/>
        <v/>
      </c>
      <c r="M256" s="1" t="str">
        <f t="shared" si="43"/>
        <v/>
      </c>
      <c r="N256" s="1" t="str">
        <f t="shared" si="44"/>
        <v/>
      </c>
      <c r="O256" s="1" t="str">
        <f t="shared" si="45"/>
        <v/>
      </c>
      <c r="P256" s="1" t="str">
        <f t="shared" si="46"/>
        <v/>
      </c>
      <c r="R256" s="1" t="str">
        <f t="shared" si="47"/>
        <v/>
      </c>
    </row>
    <row r="257" spans="1:18" x14ac:dyDescent="0.2">
      <c r="A257" t="str">
        <f>IF(COUNTBLANK(B257:R257)&lt;&gt;COLUMNS(B257:R257),256,"")</f>
        <v/>
      </c>
      <c r="D257" s="1" t="str">
        <f t="shared" si="36"/>
        <v/>
      </c>
      <c r="E257" s="2" t="str">
        <f t="shared" si="37"/>
        <v/>
      </c>
      <c r="F257" s="1" t="str">
        <f t="shared" si="38"/>
        <v/>
      </c>
      <c r="G257" s="1" t="str">
        <f t="shared" si="39"/>
        <v/>
      </c>
      <c r="H257" s="1" t="str">
        <f t="shared" si="40"/>
        <v/>
      </c>
      <c r="K257" s="1" t="str">
        <f t="shared" si="41"/>
        <v/>
      </c>
      <c r="L257" s="1" t="str">
        <f t="shared" si="42"/>
        <v/>
      </c>
      <c r="M257" s="1" t="str">
        <f t="shared" si="43"/>
        <v/>
      </c>
      <c r="N257" s="1" t="str">
        <f t="shared" si="44"/>
        <v/>
      </c>
      <c r="O257" s="1" t="str">
        <f t="shared" si="45"/>
        <v/>
      </c>
      <c r="P257" s="1" t="str">
        <f t="shared" si="46"/>
        <v/>
      </c>
      <c r="R257" s="1" t="str">
        <f t="shared" si="47"/>
        <v/>
      </c>
    </row>
    <row r="258" spans="1:18" x14ac:dyDescent="0.2">
      <c r="A258" t="str">
        <f>IF(COUNTBLANK(B258:R258)&lt;&gt;COLUMNS(B258:R258),257,"")</f>
        <v/>
      </c>
      <c r="D258" s="1" t="str">
        <f t="shared" ref="D258:D321" si="48">IF(B258="", "", "years")</f>
        <v/>
      </c>
      <c r="E258" s="2" t="str">
        <f t="shared" ref="E258:E321" si="49">IF(B258="", "", "missing: not provided")</f>
        <v/>
      </c>
      <c r="F258" s="1" t="str">
        <f t="shared" ref="F258:F321" si="50">IF(B258="", "", "Not applicable")</f>
        <v/>
      </c>
      <c r="G258" s="1" t="str">
        <f t="shared" ref="G258:G321" si="51">IF(B258="", "", "urban biome")</f>
        <v/>
      </c>
      <c r="H258" s="1" t="str">
        <f t="shared" ref="H258:H321" si="52">IF(B258="", "", "human-associated habitat")</f>
        <v/>
      </c>
      <c r="K258" s="1" t="str">
        <f t="shared" ref="K258:K321" si="53">IF(B258="", "", "cm")</f>
        <v/>
      </c>
      <c r="L258" s="1" t="str">
        <f t="shared" ref="L258:L321" si="54">IF(B258="", "", "human")</f>
        <v/>
      </c>
      <c r="M258" s="1" t="str">
        <f t="shared" ref="M258:M321" si="55">IF(B258="", "", "Homo sapiens")</f>
        <v/>
      </c>
      <c r="N258" s="1" t="str">
        <f t="shared" ref="N258:N321" si="56">IF(B258="", "", "9606")</f>
        <v/>
      </c>
      <c r="O258" s="1" t="str">
        <f t="shared" ref="O258:O321" si="57">IF(B258="", "", "missing: not provided")</f>
        <v/>
      </c>
      <c r="P258" s="1" t="str">
        <f t="shared" ref="P258:P321" si="58">IF(B258="", "", "missing: not provided")</f>
        <v/>
      </c>
      <c r="R258" s="1" t="str">
        <f t="shared" ref="R258:R321" si="59">IF(B258="", "", "kg")</f>
        <v/>
      </c>
    </row>
    <row r="259" spans="1:18" x14ac:dyDescent="0.2">
      <c r="A259" t="str">
        <f>IF(COUNTBLANK(B259:R259)&lt;&gt;COLUMNS(B259:R259),258,"")</f>
        <v/>
      </c>
      <c r="D259" s="1" t="str">
        <f t="shared" si="48"/>
        <v/>
      </c>
      <c r="E259" s="2" t="str">
        <f t="shared" si="49"/>
        <v/>
      </c>
      <c r="F259" s="1" t="str">
        <f t="shared" si="50"/>
        <v/>
      </c>
      <c r="G259" s="1" t="str">
        <f t="shared" si="51"/>
        <v/>
      </c>
      <c r="H259" s="1" t="str">
        <f t="shared" si="52"/>
        <v/>
      </c>
      <c r="K259" s="1" t="str">
        <f t="shared" si="53"/>
        <v/>
      </c>
      <c r="L259" s="1" t="str">
        <f t="shared" si="54"/>
        <v/>
      </c>
      <c r="M259" s="1" t="str">
        <f t="shared" si="55"/>
        <v/>
      </c>
      <c r="N259" s="1" t="str">
        <f t="shared" si="56"/>
        <v/>
      </c>
      <c r="O259" s="1" t="str">
        <f t="shared" si="57"/>
        <v/>
      </c>
      <c r="P259" s="1" t="str">
        <f t="shared" si="58"/>
        <v/>
      </c>
      <c r="R259" s="1" t="str">
        <f t="shared" si="59"/>
        <v/>
      </c>
    </row>
    <row r="260" spans="1:18" x14ac:dyDescent="0.2">
      <c r="A260" t="str">
        <f>IF(COUNTBLANK(B260:R260)&lt;&gt;COLUMNS(B260:R260),259,"")</f>
        <v/>
      </c>
      <c r="D260" s="1" t="str">
        <f t="shared" si="48"/>
        <v/>
      </c>
      <c r="E260" s="2" t="str">
        <f t="shared" si="49"/>
        <v/>
      </c>
      <c r="F260" s="1" t="str">
        <f t="shared" si="50"/>
        <v/>
      </c>
      <c r="G260" s="1" t="str">
        <f t="shared" si="51"/>
        <v/>
      </c>
      <c r="H260" s="1" t="str">
        <f t="shared" si="52"/>
        <v/>
      </c>
      <c r="K260" s="1" t="str">
        <f t="shared" si="53"/>
        <v/>
      </c>
      <c r="L260" s="1" t="str">
        <f t="shared" si="54"/>
        <v/>
      </c>
      <c r="M260" s="1" t="str">
        <f t="shared" si="55"/>
        <v/>
      </c>
      <c r="N260" s="1" t="str">
        <f t="shared" si="56"/>
        <v/>
      </c>
      <c r="O260" s="1" t="str">
        <f t="shared" si="57"/>
        <v/>
      </c>
      <c r="P260" s="1" t="str">
        <f t="shared" si="58"/>
        <v/>
      </c>
      <c r="R260" s="1" t="str">
        <f t="shared" si="59"/>
        <v/>
      </c>
    </row>
    <row r="261" spans="1:18" x14ac:dyDescent="0.2">
      <c r="A261" t="str">
        <f>IF(COUNTBLANK(B261:R261)&lt;&gt;COLUMNS(B261:R261),260,"")</f>
        <v/>
      </c>
      <c r="D261" s="1" t="str">
        <f t="shared" si="48"/>
        <v/>
      </c>
      <c r="E261" s="2" t="str">
        <f t="shared" si="49"/>
        <v/>
      </c>
      <c r="F261" s="1" t="str">
        <f t="shared" si="50"/>
        <v/>
      </c>
      <c r="G261" s="1" t="str">
        <f t="shared" si="51"/>
        <v/>
      </c>
      <c r="H261" s="1" t="str">
        <f t="shared" si="52"/>
        <v/>
      </c>
      <c r="K261" s="1" t="str">
        <f t="shared" si="53"/>
        <v/>
      </c>
      <c r="L261" s="1" t="str">
        <f t="shared" si="54"/>
        <v/>
      </c>
      <c r="M261" s="1" t="str">
        <f t="shared" si="55"/>
        <v/>
      </c>
      <c r="N261" s="1" t="str">
        <f t="shared" si="56"/>
        <v/>
      </c>
      <c r="O261" s="1" t="str">
        <f t="shared" si="57"/>
        <v/>
      </c>
      <c r="P261" s="1" t="str">
        <f t="shared" si="58"/>
        <v/>
      </c>
      <c r="R261" s="1" t="str">
        <f t="shared" si="59"/>
        <v/>
      </c>
    </row>
    <row r="262" spans="1:18" x14ac:dyDescent="0.2">
      <c r="A262" t="str">
        <f>IF(COUNTBLANK(B262:R262)&lt;&gt;COLUMNS(B262:R262),261,"")</f>
        <v/>
      </c>
      <c r="D262" s="1" t="str">
        <f t="shared" si="48"/>
        <v/>
      </c>
      <c r="E262" s="2" t="str">
        <f t="shared" si="49"/>
        <v/>
      </c>
      <c r="F262" s="1" t="str">
        <f t="shared" si="50"/>
        <v/>
      </c>
      <c r="G262" s="1" t="str">
        <f t="shared" si="51"/>
        <v/>
      </c>
      <c r="H262" s="1" t="str">
        <f t="shared" si="52"/>
        <v/>
      </c>
      <c r="K262" s="1" t="str">
        <f t="shared" si="53"/>
        <v/>
      </c>
      <c r="L262" s="1" t="str">
        <f t="shared" si="54"/>
        <v/>
      </c>
      <c r="M262" s="1" t="str">
        <f t="shared" si="55"/>
        <v/>
      </c>
      <c r="N262" s="1" t="str">
        <f t="shared" si="56"/>
        <v/>
      </c>
      <c r="O262" s="1" t="str">
        <f t="shared" si="57"/>
        <v/>
      </c>
      <c r="P262" s="1" t="str">
        <f t="shared" si="58"/>
        <v/>
      </c>
      <c r="R262" s="1" t="str">
        <f t="shared" si="59"/>
        <v/>
      </c>
    </row>
    <row r="263" spans="1:18" x14ac:dyDescent="0.2">
      <c r="A263" t="str">
        <f>IF(COUNTBLANK(B263:R263)&lt;&gt;COLUMNS(B263:R263),262,"")</f>
        <v/>
      </c>
      <c r="D263" s="1" t="str">
        <f t="shared" si="48"/>
        <v/>
      </c>
      <c r="E263" s="2" t="str">
        <f t="shared" si="49"/>
        <v/>
      </c>
      <c r="F263" s="1" t="str">
        <f t="shared" si="50"/>
        <v/>
      </c>
      <c r="G263" s="1" t="str">
        <f t="shared" si="51"/>
        <v/>
      </c>
      <c r="H263" s="1" t="str">
        <f t="shared" si="52"/>
        <v/>
      </c>
      <c r="K263" s="1" t="str">
        <f t="shared" si="53"/>
        <v/>
      </c>
      <c r="L263" s="1" t="str">
        <f t="shared" si="54"/>
        <v/>
      </c>
      <c r="M263" s="1" t="str">
        <f t="shared" si="55"/>
        <v/>
      </c>
      <c r="N263" s="1" t="str">
        <f t="shared" si="56"/>
        <v/>
      </c>
      <c r="O263" s="1" t="str">
        <f t="shared" si="57"/>
        <v/>
      </c>
      <c r="P263" s="1" t="str">
        <f t="shared" si="58"/>
        <v/>
      </c>
      <c r="R263" s="1" t="str">
        <f t="shared" si="59"/>
        <v/>
      </c>
    </row>
    <row r="264" spans="1:18" x14ac:dyDescent="0.2">
      <c r="A264" t="str">
        <f>IF(COUNTBLANK(B264:R264)&lt;&gt;COLUMNS(B264:R264),263,"")</f>
        <v/>
      </c>
      <c r="D264" s="1" t="str">
        <f t="shared" si="48"/>
        <v/>
      </c>
      <c r="E264" s="2" t="str">
        <f t="shared" si="49"/>
        <v/>
      </c>
      <c r="F264" s="1" t="str">
        <f t="shared" si="50"/>
        <v/>
      </c>
      <c r="G264" s="1" t="str">
        <f t="shared" si="51"/>
        <v/>
      </c>
      <c r="H264" s="1" t="str">
        <f t="shared" si="52"/>
        <v/>
      </c>
      <c r="K264" s="1" t="str">
        <f t="shared" si="53"/>
        <v/>
      </c>
      <c r="L264" s="1" t="str">
        <f t="shared" si="54"/>
        <v/>
      </c>
      <c r="M264" s="1" t="str">
        <f t="shared" si="55"/>
        <v/>
      </c>
      <c r="N264" s="1" t="str">
        <f t="shared" si="56"/>
        <v/>
      </c>
      <c r="O264" s="1" t="str">
        <f t="shared" si="57"/>
        <v/>
      </c>
      <c r="P264" s="1" t="str">
        <f t="shared" si="58"/>
        <v/>
      </c>
      <c r="R264" s="1" t="str">
        <f t="shared" si="59"/>
        <v/>
      </c>
    </row>
    <row r="265" spans="1:18" x14ac:dyDescent="0.2">
      <c r="A265" t="str">
        <f>IF(COUNTBLANK(B265:R265)&lt;&gt;COLUMNS(B265:R265),264,"")</f>
        <v/>
      </c>
      <c r="D265" s="1" t="str">
        <f t="shared" si="48"/>
        <v/>
      </c>
      <c r="E265" s="2" t="str">
        <f t="shared" si="49"/>
        <v/>
      </c>
      <c r="F265" s="1" t="str">
        <f t="shared" si="50"/>
        <v/>
      </c>
      <c r="G265" s="1" t="str">
        <f t="shared" si="51"/>
        <v/>
      </c>
      <c r="H265" s="1" t="str">
        <f t="shared" si="52"/>
        <v/>
      </c>
      <c r="K265" s="1" t="str">
        <f t="shared" si="53"/>
        <v/>
      </c>
      <c r="L265" s="1" t="str">
        <f t="shared" si="54"/>
        <v/>
      </c>
      <c r="M265" s="1" t="str">
        <f t="shared" si="55"/>
        <v/>
      </c>
      <c r="N265" s="1" t="str">
        <f t="shared" si="56"/>
        <v/>
      </c>
      <c r="O265" s="1" t="str">
        <f t="shared" si="57"/>
        <v/>
      </c>
      <c r="P265" s="1" t="str">
        <f t="shared" si="58"/>
        <v/>
      </c>
      <c r="R265" s="1" t="str">
        <f t="shared" si="59"/>
        <v/>
      </c>
    </row>
    <row r="266" spans="1:18" x14ac:dyDescent="0.2">
      <c r="A266" t="str">
        <f>IF(COUNTBLANK(B266:R266)&lt;&gt;COLUMNS(B266:R266),265,"")</f>
        <v/>
      </c>
      <c r="D266" s="1" t="str">
        <f t="shared" si="48"/>
        <v/>
      </c>
      <c r="E266" s="2" t="str">
        <f t="shared" si="49"/>
        <v/>
      </c>
      <c r="F266" s="1" t="str">
        <f t="shared" si="50"/>
        <v/>
      </c>
      <c r="G266" s="1" t="str">
        <f t="shared" si="51"/>
        <v/>
      </c>
      <c r="H266" s="1" t="str">
        <f t="shared" si="52"/>
        <v/>
      </c>
      <c r="K266" s="1" t="str">
        <f t="shared" si="53"/>
        <v/>
      </c>
      <c r="L266" s="1" t="str">
        <f t="shared" si="54"/>
        <v/>
      </c>
      <c r="M266" s="1" t="str">
        <f t="shared" si="55"/>
        <v/>
      </c>
      <c r="N266" s="1" t="str">
        <f t="shared" si="56"/>
        <v/>
      </c>
      <c r="O266" s="1" t="str">
        <f t="shared" si="57"/>
        <v/>
      </c>
      <c r="P266" s="1" t="str">
        <f t="shared" si="58"/>
        <v/>
      </c>
      <c r="R266" s="1" t="str">
        <f t="shared" si="59"/>
        <v/>
      </c>
    </row>
    <row r="267" spans="1:18" x14ac:dyDescent="0.2">
      <c r="A267" t="str">
        <f>IF(COUNTBLANK(B267:R267)&lt;&gt;COLUMNS(B267:R267),266,"")</f>
        <v/>
      </c>
      <c r="D267" s="1" t="str">
        <f t="shared" si="48"/>
        <v/>
      </c>
      <c r="E267" s="2" t="str">
        <f t="shared" si="49"/>
        <v/>
      </c>
      <c r="F267" s="1" t="str">
        <f t="shared" si="50"/>
        <v/>
      </c>
      <c r="G267" s="1" t="str">
        <f t="shared" si="51"/>
        <v/>
      </c>
      <c r="H267" s="1" t="str">
        <f t="shared" si="52"/>
        <v/>
      </c>
      <c r="K267" s="1" t="str">
        <f t="shared" si="53"/>
        <v/>
      </c>
      <c r="L267" s="1" t="str">
        <f t="shared" si="54"/>
        <v/>
      </c>
      <c r="M267" s="1" t="str">
        <f t="shared" si="55"/>
        <v/>
      </c>
      <c r="N267" s="1" t="str">
        <f t="shared" si="56"/>
        <v/>
      </c>
      <c r="O267" s="1" t="str">
        <f t="shared" si="57"/>
        <v/>
      </c>
      <c r="P267" s="1" t="str">
        <f t="shared" si="58"/>
        <v/>
      </c>
      <c r="R267" s="1" t="str">
        <f t="shared" si="59"/>
        <v/>
      </c>
    </row>
    <row r="268" spans="1:18" x14ac:dyDescent="0.2">
      <c r="A268" t="str">
        <f>IF(COUNTBLANK(B268:R268)&lt;&gt;COLUMNS(B268:R268),267,"")</f>
        <v/>
      </c>
      <c r="D268" s="1" t="str">
        <f t="shared" si="48"/>
        <v/>
      </c>
      <c r="E268" s="2" t="str">
        <f t="shared" si="49"/>
        <v/>
      </c>
      <c r="F268" s="1" t="str">
        <f t="shared" si="50"/>
        <v/>
      </c>
      <c r="G268" s="1" t="str">
        <f t="shared" si="51"/>
        <v/>
      </c>
      <c r="H268" s="1" t="str">
        <f t="shared" si="52"/>
        <v/>
      </c>
      <c r="K268" s="1" t="str">
        <f t="shared" si="53"/>
        <v/>
      </c>
      <c r="L268" s="1" t="str">
        <f t="shared" si="54"/>
        <v/>
      </c>
      <c r="M268" s="1" t="str">
        <f t="shared" si="55"/>
        <v/>
      </c>
      <c r="N268" s="1" t="str">
        <f t="shared" si="56"/>
        <v/>
      </c>
      <c r="O268" s="1" t="str">
        <f t="shared" si="57"/>
        <v/>
      </c>
      <c r="P268" s="1" t="str">
        <f t="shared" si="58"/>
        <v/>
      </c>
      <c r="R268" s="1" t="str">
        <f t="shared" si="59"/>
        <v/>
      </c>
    </row>
    <row r="269" spans="1:18" x14ac:dyDescent="0.2">
      <c r="A269" t="str">
        <f>IF(COUNTBLANK(B269:R269)&lt;&gt;COLUMNS(B269:R269),268,"")</f>
        <v/>
      </c>
      <c r="D269" s="1" t="str">
        <f t="shared" si="48"/>
        <v/>
      </c>
      <c r="E269" s="2" t="str">
        <f t="shared" si="49"/>
        <v/>
      </c>
      <c r="F269" s="1" t="str">
        <f t="shared" si="50"/>
        <v/>
      </c>
      <c r="G269" s="1" t="str">
        <f t="shared" si="51"/>
        <v/>
      </c>
      <c r="H269" s="1" t="str">
        <f t="shared" si="52"/>
        <v/>
      </c>
      <c r="K269" s="1" t="str">
        <f t="shared" si="53"/>
        <v/>
      </c>
      <c r="L269" s="1" t="str">
        <f t="shared" si="54"/>
        <v/>
      </c>
      <c r="M269" s="1" t="str">
        <f t="shared" si="55"/>
        <v/>
      </c>
      <c r="N269" s="1" t="str">
        <f t="shared" si="56"/>
        <v/>
      </c>
      <c r="O269" s="1" t="str">
        <f t="shared" si="57"/>
        <v/>
      </c>
      <c r="P269" s="1" t="str">
        <f t="shared" si="58"/>
        <v/>
      </c>
      <c r="R269" s="1" t="str">
        <f t="shared" si="59"/>
        <v/>
      </c>
    </row>
    <row r="270" spans="1:18" x14ac:dyDescent="0.2">
      <c r="A270" t="str">
        <f>IF(COUNTBLANK(B270:R270)&lt;&gt;COLUMNS(B270:R270),269,"")</f>
        <v/>
      </c>
      <c r="D270" s="1" t="str">
        <f t="shared" si="48"/>
        <v/>
      </c>
      <c r="E270" s="2" t="str">
        <f t="shared" si="49"/>
        <v/>
      </c>
      <c r="F270" s="1" t="str">
        <f t="shared" si="50"/>
        <v/>
      </c>
      <c r="G270" s="1" t="str">
        <f t="shared" si="51"/>
        <v/>
      </c>
      <c r="H270" s="1" t="str">
        <f t="shared" si="52"/>
        <v/>
      </c>
      <c r="K270" s="1" t="str">
        <f t="shared" si="53"/>
        <v/>
      </c>
      <c r="L270" s="1" t="str">
        <f t="shared" si="54"/>
        <v/>
      </c>
      <c r="M270" s="1" t="str">
        <f t="shared" si="55"/>
        <v/>
      </c>
      <c r="N270" s="1" t="str">
        <f t="shared" si="56"/>
        <v/>
      </c>
      <c r="O270" s="1" t="str">
        <f t="shared" si="57"/>
        <v/>
      </c>
      <c r="P270" s="1" t="str">
        <f t="shared" si="58"/>
        <v/>
      </c>
      <c r="R270" s="1" t="str">
        <f t="shared" si="59"/>
        <v/>
      </c>
    </row>
    <row r="271" spans="1:18" x14ac:dyDescent="0.2">
      <c r="A271" t="str">
        <f>IF(COUNTBLANK(B271:R271)&lt;&gt;COLUMNS(B271:R271),270,"")</f>
        <v/>
      </c>
      <c r="D271" s="1" t="str">
        <f t="shared" si="48"/>
        <v/>
      </c>
      <c r="E271" s="2" t="str">
        <f t="shared" si="49"/>
        <v/>
      </c>
      <c r="F271" s="1" t="str">
        <f t="shared" si="50"/>
        <v/>
      </c>
      <c r="G271" s="1" t="str">
        <f t="shared" si="51"/>
        <v/>
      </c>
      <c r="H271" s="1" t="str">
        <f t="shared" si="52"/>
        <v/>
      </c>
      <c r="K271" s="1" t="str">
        <f t="shared" si="53"/>
        <v/>
      </c>
      <c r="L271" s="1" t="str">
        <f t="shared" si="54"/>
        <v/>
      </c>
      <c r="M271" s="1" t="str">
        <f t="shared" si="55"/>
        <v/>
      </c>
      <c r="N271" s="1" t="str">
        <f t="shared" si="56"/>
        <v/>
      </c>
      <c r="O271" s="1" t="str">
        <f t="shared" si="57"/>
        <v/>
      </c>
      <c r="P271" s="1" t="str">
        <f t="shared" si="58"/>
        <v/>
      </c>
      <c r="R271" s="1" t="str">
        <f t="shared" si="59"/>
        <v/>
      </c>
    </row>
    <row r="272" spans="1:18" x14ac:dyDescent="0.2">
      <c r="A272" t="str">
        <f>IF(COUNTBLANK(B272:R272)&lt;&gt;COLUMNS(B272:R272),271,"")</f>
        <v/>
      </c>
      <c r="D272" s="1" t="str">
        <f t="shared" si="48"/>
        <v/>
      </c>
      <c r="E272" s="2" t="str">
        <f t="shared" si="49"/>
        <v/>
      </c>
      <c r="F272" s="1" t="str">
        <f t="shared" si="50"/>
        <v/>
      </c>
      <c r="G272" s="1" t="str">
        <f t="shared" si="51"/>
        <v/>
      </c>
      <c r="H272" s="1" t="str">
        <f t="shared" si="52"/>
        <v/>
      </c>
      <c r="K272" s="1" t="str">
        <f t="shared" si="53"/>
        <v/>
      </c>
      <c r="L272" s="1" t="str">
        <f t="shared" si="54"/>
        <v/>
      </c>
      <c r="M272" s="1" t="str">
        <f t="shared" si="55"/>
        <v/>
      </c>
      <c r="N272" s="1" t="str">
        <f t="shared" si="56"/>
        <v/>
      </c>
      <c r="O272" s="1" t="str">
        <f t="shared" si="57"/>
        <v/>
      </c>
      <c r="P272" s="1" t="str">
        <f t="shared" si="58"/>
        <v/>
      </c>
      <c r="R272" s="1" t="str">
        <f t="shared" si="59"/>
        <v/>
      </c>
    </row>
    <row r="273" spans="1:18" x14ac:dyDescent="0.2">
      <c r="A273" t="str">
        <f>IF(COUNTBLANK(B273:R273)&lt;&gt;COLUMNS(B273:R273),272,"")</f>
        <v/>
      </c>
      <c r="D273" s="1" t="str">
        <f t="shared" si="48"/>
        <v/>
      </c>
      <c r="E273" s="2" t="str">
        <f t="shared" si="49"/>
        <v/>
      </c>
      <c r="F273" s="1" t="str">
        <f t="shared" si="50"/>
        <v/>
      </c>
      <c r="G273" s="1" t="str">
        <f t="shared" si="51"/>
        <v/>
      </c>
      <c r="H273" s="1" t="str">
        <f t="shared" si="52"/>
        <v/>
      </c>
      <c r="K273" s="1" t="str">
        <f t="shared" si="53"/>
        <v/>
      </c>
      <c r="L273" s="1" t="str">
        <f t="shared" si="54"/>
        <v/>
      </c>
      <c r="M273" s="1" t="str">
        <f t="shared" si="55"/>
        <v/>
      </c>
      <c r="N273" s="1" t="str">
        <f t="shared" si="56"/>
        <v/>
      </c>
      <c r="O273" s="1" t="str">
        <f t="shared" si="57"/>
        <v/>
      </c>
      <c r="P273" s="1" t="str">
        <f t="shared" si="58"/>
        <v/>
      </c>
      <c r="R273" s="1" t="str">
        <f t="shared" si="59"/>
        <v/>
      </c>
    </row>
    <row r="274" spans="1:18" x14ac:dyDescent="0.2">
      <c r="A274" t="str">
        <f>IF(COUNTBLANK(B274:R274)&lt;&gt;COLUMNS(B274:R274),273,"")</f>
        <v/>
      </c>
      <c r="D274" s="1" t="str">
        <f t="shared" si="48"/>
        <v/>
      </c>
      <c r="E274" s="2" t="str">
        <f t="shared" si="49"/>
        <v/>
      </c>
      <c r="F274" s="1" t="str">
        <f t="shared" si="50"/>
        <v/>
      </c>
      <c r="G274" s="1" t="str">
        <f t="shared" si="51"/>
        <v/>
      </c>
      <c r="H274" s="1" t="str">
        <f t="shared" si="52"/>
        <v/>
      </c>
      <c r="K274" s="1" t="str">
        <f t="shared" si="53"/>
        <v/>
      </c>
      <c r="L274" s="1" t="str">
        <f t="shared" si="54"/>
        <v/>
      </c>
      <c r="M274" s="1" t="str">
        <f t="shared" si="55"/>
        <v/>
      </c>
      <c r="N274" s="1" t="str">
        <f t="shared" si="56"/>
        <v/>
      </c>
      <c r="O274" s="1" t="str">
        <f t="shared" si="57"/>
        <v/>
      </c>
      <c r="P274" s="1" t="str">
        <f t="shared" si="58"/>
        <v/>
      </c>
      <c r="R274" s="1" t="str">
        <f t="shared" si="59"/>
        <v/>
      </c>
    </row>
    <row r="275" spans="1:18" x14ac:dyDescent="0.2">
      <c r="A275" t="str">
        <f>IF(COUNTBLANK(B275:R275)&lt;&gt;COLUMNS(B275:R275),274,"")</f>
        <v/>
      </c>
      <c r="D275" s="1" t="str">
        <f t="shared" si="48"/>
        <v/>
      </c>
      <c r="E275" s="2" t="str">
        <f t="shared" si="49"/>
        <v/>
      </c>
      <c r="F275" s="1" t="str">
        <f t="shared" si="50"/>
        <v/>
      </c>
      <c r="G275" s="1" t="str">
        <f t="shared" si="51"/>
        <v/>
      </c>
      <c r="H275" s="1" t="str">
        <f t="shared" si="52"/>
        <v/>
      </c>
      <c r="K275" s="1" t="str">
        <f t="shared" si="53"/>
        <v/>
      </c>
      <c r="L275" s="1" t="str">
        <f t="shared" si="54"/>
        <v/>
      </c>
      <c r="M275" s="1" t="str">
        <f t="shared" si="55"/>
        <v/>
      </c>
      <c r="N275" s="1" t="str">
        <f t="shared" si="56"/>
        <v/>
      </c>
      <c r="O275" s="1" t="str">
        <f t="shared" si="57"/>
        <v/>
      </c>
      <c r="P275" s="1" t="str">
        <f t="shared" si="58"/>
        <v/>
      </c>
      <c r="R275" s="1" t="str">
        <f t="shared" si="59"/>
        <v/>
      </c>
    </row>
    <row r="276" spans="1:18" x14ac:dyDescent="0.2">
      <c r="A276" t="str">
        <f>IF(COUNTBLANK(B276:R276)&lt;&gt;COLUMNS(B276:R276),275,"")</f>
        <v/>
      </c>
      <c r="D276" s="1" t="str">
        <f t="shared" si="48"/>
        <v/>
      </c>
      <c r="E276" s="2" t="str">
        <f t="shared" si="49"/>
        <v/>
      </c>
      <c r="F276" s="1" t="str">
        <f t="shared" si="50"/>
        <v/>
      </c>
      <c r="G276" s="1" t="str">
        <f t="shared" si="51"/>
        <v/>
      </c>
      <c r="H276" s="1" t="str">
        <f t="shared" si="52"/>
        <v/>
      </c>
      <c r="K276" s="1" t="str">
        <f t="shared" si="53"/>
        <v/>
      </c>
      <c r="L276" s="1" t="str">
        <f t="shared" si="54"/>
        <v/>
      </c>
      <c r="M276" s="1" t="str">
        <f t="shared" si="55"/>
        <v/>
      </c>
      <c r="N276" s="1" t="str">
        <f t="shared" si="56"/>
        <v/>
      </c>
      <c r="O276" s="1" t="str">
        <f t="shared" si="57"/>
        <v/>
      </c>
      <c r="P276" s="1" t="str">
        <f t="shared" si="58"/>
        <v/>
      </c>
      <c r="R276" s="1" t="str">
        <f t="shared" si="59"/>
        <v/>
      </c>
    </row>
    <row r="277" spans="1:18" x14ac:dyDescent="0.2">
      <c r="A277" t="str">
        <f>IF(COUNTBLANK(B277:R277)&lt;&gt;COLUMNS(B277:R277),276,"")</f>
        <v/>
      </c>
      <c r="D277" s="1" t="str">
        <f t="shared" si="48"/>
        <v/>
      </c>
      <c r="E277" s="2" t="str">
        <f t="shared" si="49"/>
        <v/>
      </c>
      <c r="F277" s="1" t="str">
        <f t="shared" si="50"/>
        <v/>
      </c>
      <c r="G277" s="1" t="str">
        <f t="shared" si="51"/>
        <v/>
      </c>
      <c r="H277" s="1" t="str">
        <f t="shared" si="52"/>
        <v/>
      </c>
      <c r="K277" s="1" t="str">
        <f t="shared" si="53"/>
        <v/>
      </c>
      <c r="L277" s="1" t="str">
        <f t="shared" si="54"/>
        <v/>
      </c>
      <c r="M277" s="1" t="str">
        <f t="shared" si="55"/>
        <v/>
      </c>
      <c r="N277" s="1" t="str">
        <f t="shared" si="56"/>
        <v/>
      </c>
      <c r="O277" s="1" t="str">
        <f t="shared" si="57"/>
        <v/>
      </c>
      <c r="P277" s="1" t="str">
        <f t="shared" si="58"/>
        <v/>
      </c>
      <c r="R277" s="1" t="str">
        <f t="shared" si="59"/>
        <v/>
      </c>
    </row>
    <row r="278" spans="1:18" x14ac:dyDescent="0.2">
      <c r="A278" t="str">
        <f>IF(COUNTBLANK(B278:R278)&lt;&gt;COLUMNS(B278:R278),277,"")</f>
        <v/>
      </c>
      <c r="D278" s="1" t="str">
        <f t="shared" si="48"/>
        <v/>
      </c>
      <c r="E278" s="2" t="str">
        <f t="shared" si="49"/>
        <v/>
      </c>
      <c r="F278" s="1" t="str">
        <f t="shared" si="50"/>
        <v/>
      </c>
      <c r="G278" s="1" t="str">
        <f t="shared" si="51"/>
        <v/>
      </c>
      <c r="H278" s="1" t="str">
        <f t="shared" si="52"/>
        <v/>
      </c>
      <c r="K278" s="1" t="str">
        <f t="shared" si="53"/>
        <v/>
      </c>
      <c r="L278" s="1" t="str">
        <f t="shared" si="54"/>
        <v/>
      </c>
      <c r="M278" s="1" t="str">
        <f t="shared" si="55"/>
        <v/>
      </c>
      <c r="N278" s="1" t="str">
        <f t="shared" si="56"/>
        <v/>
      </c>
      <c r="O278" s="1" t="str">
        <f t="shared" si="57"/>
        <v/>
      </c>
      <c r="P278" s="1" t="str">
        <f t="shared" si="58"/>
        <v/>
      </c>
      <c r="R278" s="1" t="str">
        <f t="shared" si="59"/>
        <v/>
      </c>
    </row>
    <row r="279" spans="1:18" x14ac:dyDescent="0.2">
      <c r="A279" t="str">
        <f>IF(COUNTBLANK(B279:R279)&lt;&gt;COLUMNS(B279:R279),278,"")</f>
        <v/>
      </c>
      <c r="D279" s="1" t="str">
        <f t="shared" si="48"/>
        <v/>
      </c>
      <c r="E279" s="2" t="str">
        <f t="shared" si="49"/>
        <v/>
      </c>
      <c r="F279" s="1" t="str">
        <f t="shared" si="50"/>
        <v/>
      </c>
      <c r="G279" s="1" t="str">
        <f t="shared" si="51"/>
        <v/>
      </c>
      <c r="H279" s="1" t="str">
        <f t="shared" si="52"/>
        <v/>
      </c>
      <c r="K279" s="1" t="str">
        <f t="shared" si="53"/>
        <v/>
      </c>
      <c r="L279" s="1" t="str">
        <f t="shared" si="54"/>
        <v/>
      </c>
      <c r="M279" s="1" t="str">
        <f t="shared" si="55"/>
        <v/>
      </c>
      <c r="N279" s="1" t="str">
        <f t="shared" si="56"/>
        <v/>
      </c>
      <c r="O279" s="1" t="str">
        <f t="shared" si="57"/>
        <v/>
      </c>
      <c r="P279" s="1" t="str">
        <f t="shared" si="58"/>
        <v/>
      </c>
      <c r="R279" s="1" t="str">
        <f t="shared" si="59"/>
        <v/>
      </c>
    </row>
    <row r="280" spans="1:18" x14ac:dyDescent="0.2">
      <c r="A280" t="str">
        <f>IF(COUNTBLANK(B280:R280)&lt;&gt;COLUMNS(B280:R280),279,"")</f>
        <v/>
      </c>
      <c r="D280" s="1" t="str">
        <f t="shared" si="48"/>
        <v/>
      </c>
      <c r="E280" s="2" t="str">
        <f t="shared" si="49"/>
        <v/>
      </c>
      <c r="F280" s="1" t="str">
        <f t="shared" si="50"/>
        <v/>
      </c>
      <c r="G280" s="1" t="str">
        <f t="shared" si="51"/>
        <v/>
      </c>
      <c r="H280" s="1" t="str">
        <f t="shared" si="52"/>
        <v/>
      </c>
      <c r="K280" s="1" t="str">
        <f t="shared" si="53"/>
        <v/>
      </c>
      <c r="L280" s="1" t="str">
        <f t="shared" si="54"/>
        <v/>
      </c>
      <c r="M280" s="1" t="str">
        <f t="shared" si="55"/>
        <v/>
      </c>
      <c r="N280" s="1" t="str">
        <f t="shared" si="56"/>
        <v/>
      </c>
      <c r="O280" s="1" t="str">
        <f t="shared" si="57"/>
        <v/>
      </c>
      <c r="P280" s="1" t="str">
        <f t="shared" si="58"/>
        <v/>
      </c>
      <c r="R280" s="1" t="str">
        <f t="shared" si="59"/>
        <v/>
      </c>
    </row>
    <row r="281" spans="1:18" x14ac:dyDescent="0.2">
      <c r="A281" t="str">
        <f>IF(COUNTBLANK(B281:R281)&lt;&gt;COLUMNS(B281:R281),280,"")</f>
        <v/>
      </c>
      <c r="D281" s="1" t="str">
        <f t="shared" si="48"/>
        <v/>
      </c>
      <c r="E281" s="2" t="str">
        <f t="shared" si="49"/>
        <v/>
      </c>
      <c r="F281" s="1" t="str">
        <f t="shared" si="50"/>
        <v/>
      </c>
      <c r="G281" s="1" t="str">
        <f t="shared" si="51"/>
        <v/>
      </c>
      <c r="H281" s="1" t="str">
        <f t="shared" si="52"/>
        <v/>
      </c>
      <c r="K281" s="1" t="str">
        <f t="shared" si="53"/>
        <v/>
      </c>
      <c r="L281" s="1" t="str">
        <f t="shared" si="54"/>
        <v/>
      </c>
      <c r="M281" s="1" t="str">
        <f t="shared" si="55"/>
        <v/>
      </c>
      <c r="N281" s="1" t="str">
        <f t="shared" si="56"/>
        <v/>
      </c>
      <c r="O281" s="1" t="str">
        <f t="shared" si="57"/>
        <v/>
      </c>
      <c r="P281" s="1" t="str">
        <f t="shared" si="58"/>
        <v/>
      </c>
      <c r="R281" s="1" t="str">
        <f t="shared" si="59"/>
        <v/>
      </c>
    </row>
    <row r="282" spans="1:18" x14ac:dyDescent="0.2">
      <c r="A282" t="str">
        <f>IF(COUNTBLANK(B282:R282)&lt;&gt;COLUMNS(B282:R282),281,"")</f>
        <v/>
      </c>
      <c r="D282" s="1" t="str">
        <f t="shared" si="48"/>
        <v/>
      </c>
      <c r="E282" s="2" t="str">
        <f t="shared" si="49"/>
        <v/>
      </c>
      <c r="F282" s="1" t="str">
        <f t="shared" si="50"/>
        <v/>
      </c>
      <c r="G282" s="1" t="str">
        <f t="shared" si="51"/>
        <v/>
      </c>
      <c r="H282" s="1" t="str">
        <f t="shared" si="52"/>
        <v/>
      </c>
      <c r="K282" s="1" t="str">
        <f t="shared" si="53"/>
        <v/>
      </c>
      <c r="L282" s="1" t="str">
        <f t="shared" si="54"/>
        <v/>
      </c>
      <c r="M282" s="1" t="str">
        <f t="shared" si="55"/>
        <v/>
      </c>
      <c r="N282" s="1" t="str">
        <f t="shared" si="56"/>
        <v/>
      </c>
      <c r="O282" s="1" t="str">
        <f t="shared" si="57"/>
        <v/>
      </c>
      <c r="P282" s="1" t="str">
        <f t="shared" si="58"/>
        <v/>
      </c>
      <c r="R282" s="1" t="str">
        <f t="shared" si="59"/>
        <v/>
      </c>
    </row>
    <row r="283" spans="1:18" x14ac:dyDescent="0.2">
      <c r="A283" t="str">
        <f>IF(COUNTBLANK(B283:R283)&lt;&gt;COLUMNS(B283:R283),282,"")</f>
        <v/>
      </c>
      <c r="D283" s="1" t="str">
        <f t="shared" si="48"/>
        <v/>
      </c>
      <c r="E283" s="2" t="str">
        <f t="shared" si="49"/>
        <v/>
      </c>
      <c r="F283" s="1" t="str">
        <f t="shared" si="50"/>
        <v/>
      </c>
      <c r="G283" s="1" t="str">
        <f t="shared" si="51"/>
        <v/>
      </c>
      <c r="H283" s="1" t="str">
        <f t="shared" si="52"/>
        <v/>
      </c>
      <c r="K283" s="1" t="str">
        <f t="shared" si="53"/>
        <v/>
      </c>
      <c r="L283" s="1" t="str">
        <f t="shared" si="54"/>
        <v/>
      </c>
      <c r="M283" s="1" t="str">
        <f t="shared" si="55"/>
        <v/>
      </c>
      <c r="N283" s="1" t="str">
        <f t="shared" si="56"/>
        <v/>
      </c>
      <c r="O283" s="1" t="str">
        <f t="shared" si="57"/>
        <v/>
      </c>
      <c r="P283" s="1" t="str">
        <f t="shared" si="58"/>
        <v/>
      </c>
      <c r="R283" s="1" t="str">
        <f t="shared" si="59"/>
        <v/>
      </c>
    </row>
    <row r="284" spans="1:18" x14ac:dyDescent="0.2">
      <c r="A284" t="str">
        <f>IF(COUNTBLANK(B284:R284)&lt;&gt;COLUMNS(B284:R284),283,"")</f>
        <v/>
      </c>
      <c r="D284" s="1" t="str">
        <f t="shared" si="48"/>
        <v/>
      </c>
      <c r="E284" s="2" t="str">
        <f t="shared" si="49"/>
        <v/>
      </c>
      <c r="F284" s="1" t="str">
        <f t="shared" si="50"/>
        <v/>
      </c>
      <c r="G284" s="1" t="str">
        <f t="shared" si="51"/>
        <v/>
      </c>
      <c r="H284" s="1" t="str">
        <f t="shared" si="52"/>
        <v/>
      </c>
      <c r="K284" s="1" t="str">
        <f t="shared" si="53"/>
        <v/>
      </c>
      <c r="L284" s="1" t="str">
        <f t="shared" si="54"/>
        <v/>
      </c>
      <c r="M284" s="1" t="str">
        <f t="shared" si="55"/>
        <v/>
      </c>
      <c r="N284" s="1" t="str">
        <f t="shared" si="56"/>
        <v/>
      </c>
      <c r="O284" s="1" t="str">
        <f t="shared" si="57"/>
        <v/>
      </c>
      <c r="P284" s="1" t="str">
        <f t="shared" si="58"/>
        <v/>
      </c>
      <c r="R284" s="1" t="str">
        <f t="shared" si="59"/>
        <v/>
      </c>
    </row>
    <row r="285" spans="1:18" x14ac:dyDescent="0.2">
      <c r="A285" t="str">
        <f>IF(COUNTBLANK(B285:R285)&lt;&gt;COLUMNS(B285:R285),284,"")</f>
        <v/>
      </c>
      <c r="D285" s="1" t="str">
        <f t="shared" si="48"/>
        <v/>
      </c>
      <c r="E285" s="2" t="str">
        <f t="shared" si="49"/>
        <v/>
      </c>
      <c r="F285" s="1" t="str">
        <f t="shared" si="50"/>
        <v/>
      </c>
      <c r="G285" s="1" t="str">
        <f t="shared" si="51"/>
        <v/>
      </c>
      <c r="H285" s="1" t="str">
        <f t="shared" si="52"/>
        <v/>
      </c>
      <c r="K285" s="1" t="str">
        <f t="shared" si="53"/>
        <v/>
      </c>
      <c r="L285" s="1" t="str">
        <f t="shared" si="54"/>
        <v/>
      </c>
      <c r="M285" s="1" t="str">
        <f t="shared" si="55"/>
        <v/>
      </c>
      <c r="N285" s="1" t="str">
        <f t="shared" si="56"/>
        <v/>
      </c>
      <c r="O285" s="1" t="str">
        <f t="shared" si="57"/>
        <v/>
      </c>
      <c r="P285" s="1" t="str">
        <f t="shared" si="58"/>
        <v/>
      </c>
      <c r="R285" s="1" t="str">
        <f t="shared" si="59"/>
        <v/>
      </c>
    </row>
    <row r="286" spans="1:18" x14ac:dyDescent="0.2">
      <c r="A286" t="str">
        <f>IF(COUNTBLANK(B286:R286)&lt;&gt;COLUMNS(B286:R286),285,"")</f>
        <v/>
      </c>
      <c r="D286" s="1" t="str">
        <f t="shared" si="48"/>
        <v/>
      </c>
      <c r="E286" s="2" t="str">
        <f t="shared" si="49"/>
        <v/>
      </c>
      <c r="F286" s="1" t="str">
        <f t="shared" si="50"/>
        <v/>
      </c>
      <c r="G286" s="1" t="str">
        <f t="shared" si="51"/>
        <v/>
      </c>
      <c r="H286" s="1" t="str">
        <f t="shared" si="52"/>
        <v/>
      </c>
      <c r="K286" s="1" t="str">
        <f t="shared" si="53"/>
        <v/>
      </c>
      <c r="L286" s="1" t="str">
        <f t="shared" si="54"/>
        <v/>
      </c>
      <c r="M286" s="1" t="str">
        <f t="shared" si="55"/>
        <v/>
      </c>
      <c r="N286" s="1" t="str">
        <f t="shared" si="56"/>
        <v/>
      </c>
      <c r="O286" s="1" t="str">
        <f t="shared" si="57"/>
        <v/>
      </c>
      <c r="P286" s="1" t="str">
        <f t="shared" si="58"/>
        <v/>
      </c>
      <c r="R286" s="1" t="str">
        <f t="shared" si="59"/>
        <v/>
      </c>
    </row>
    <row r="287" spans="1:18" x14ac:dyDescent="0.2">
      <c r="A287" t="str">
        <f>IF(COUNTBLANK(B287:R287)&lt;&gt;COLUMNS(B287:R287),286,"")</f>
        <v/>
      </c>
      <c r="D287" s="1" t="str">
        <f t="shared" si="48"/>
        <v/>
      </c>
      <c r="E287" s="2" t="str">
        <f t="shared" si="49"/>
        <v/>
      </c>
      <c r="F287" s="1" t="str">
        <f t="shared" si="50"/>
        <v/>
      </c>
      <c r="G287" s="1" t="str">
        <f t="shared" si="51"/>
        <v/>
      </c>
      <c r="H287" s="1" t="str">
        <f t="shared" si="52"/>
        <v/>
      </c>
      <c r="K287" s="1" t="str">
        <f t="shared" si="53"/>
        <v/>
      </c>
      <c r="L287" s="1" t="str">
        <f t="shared" si="54"/>
        <v/>
      </c>
      <c r="M287" s="1" t="str">
        <f t="shared" si="55"/>
        <v/>
      </c>
      <c r="N287" s="1" t="str">
        <f t="shared" si="56"/>
        <v/>
      </c>
      <c r="O287" s="1" t="str">
        <f t="shared" si="57"/>
        <v/>
      </c>
      <c r="P287" s="1" t="str">
        <f t="shared" si="58"/>
        <v/>
      </c>
      <c r="R287" s="1" t="str">
        <f t="shared" si="59"/>
        <v/>
      </c>
    </row>
    <row r="288" spans="1:18" x14ac:dyDescent="0.2">
      <c r="A288" t="str">
        <f>IF(COUNTBLANK(B288:R288)&lt;&gt;COLUMNS(B288:R288),287,"")</f>
        <v/>
      </c>
      <c r="D288" s="1" t="str">
        <f t="shared" si="48"/>
        <v/>
      </c>
      <c r="E288" s="2" t="str">
        <f t="shared" si="49"/>
        <v/>
      </c>
      <c r="F288" s="1" t="str">
        <f t="shared" si="50"/>
        <v/>
      </c>
      <c r="G288" s="1" t="str">
        <f t="shared" si="51"/>
        <v/>
      </c>
      <c r="H288" s="1" t="str">
        <f t="shared" si="52"/>
        <v/>
      </c>
      <c r="K288" s="1" t="str">
        <f t="shared" si="53"/>
        <v/>
      </c>
      <c r="L288" s="1" t="str">
        <f t="shared" si="54"/>
        <v/>
      </c>
      <c r="M288" s="1" t="str">
        <f t="shared" si="55"/>
        <v/>
      </c>
      <c r="N288" s="1" t="str">
        <f t="shared" si="56"/>
        <v/>
      </c>
      <c r="O288" s="1" t="str">
        <f t="shared" si="57"/>
        <v/>
      </c>
      <c r="P288" s="1" t="str">
        <f t="shared" si="58"/>
        <v/>
      </c>
      <c r="R288" s="1" t="str">
        <f t="shared" si="59"/>
        <v/>
      </c>
    </row>
    <row r="289" spans="1:18" x14ac:dyDescent="0.2">
      <c r="A289" t="str">
        <f>IF(COUNTBLANK(B289:R289)&lt;&gt;COLUMNS(B289:R289),288,"")</f>
        <v/>
      </c>
      <c r="D289" s="1" t="str">
        <f t="shared" si="48"/>
        <v/>
      </c>
      <c r="E289" s="2" t="str">
        <f t="shared" si="49"/>
        <v/>
      </c>
      <c r="F289" s="1" t="str">
        <f t="shared" si="50"/>
        <v/>
      </c>
      <c r="G289" s="1" t="str">
        <f t="shared" si="51"/>
        <v/>
      </c>
      <c r="H289" s="1" t="str">
        <f t="shared" si="52"/>
        <v/>
      </c>
      <c r="K289" s="1" t="str">
        <f t="shared" si="53"/>
        <v/>
      </c>
      <c r="L289" s="1" t="str">
        <f t="shared" si="54"/>
        <v/>
      </c>
      <c r="M289" s="1" t="str">
        <f t="shared" si="55"/>
        <v/>
      </c>
      <c r="N289" s="1" t="str">
        <f t="shared" si="56"/>
        <v/>
      </c>
      <c r="O289" s="1" t="str">
        <f t="shared" si="57"/>
        <v/>
      </c>
      <c r="P289" s="1" t="str">
        <f t="shared" si="58"/>
        <v/>
      </c>
      <c r="R289" s="1" t="str">
        <f t="shared" si="59"/>
        <v/>
      </c>
    </row>
    <row r="290" spans="1:18" x14ac:dyDescent="0.2">
      <c r="A290" t="str">
        <f>IF(COUNTBLANK(B290:R290)&lt;&gt;COLUMNS(B290:R290),289,"")</f>
        <v/>
      </c>
      <c r="D290" s="1" t="str">
        <f t="shared" si="48"/>
        <v/>
      </c>
      <c r="E290" s="2" t="str">
        <f t="shared" si="49"/>
        <v/>
      </c>
      <c r="F290" s="1" t="str">
        <f t="shared" si="50"/>
        <v/>
      </c>
      <c r="G290" s="1" t="str">
        <f t="shared" si="51"/>
        <v/>
      </c>
      <c r="H290" s="1" t="str">
        <f t="shared" si="52"/>
        <v/>
      </c>
      <c r="K290" s="1" t="str">
        <f t="shared" si="53"/>
        <v/>
      </c>
      <c r="L290" s="1" t="str">
        <f t="shared" si="54"/>
        <v/>
      </c>
      <c r="M290" s="1" t="str">
        <f t="shared" si="55"/>
        <v/>
      </c>
      <c r="N290" s="1" t="str">
        <f t="shared" si="56"/>
        <v/>
      </c>
      <c r="O290" s="1" t="str">
        <f t="shared" si="57"/>
        <v/>
      </c>
      <c r="P290" s="1" t="str">
        <f t="shared" si="58"/>
        <v/>
      </c>
      <c r="R290" s="1" t="str">
        <f t="shared" si="59"/>
        <v/>
      </c>
    </row>
    <row r="291" spans="1:18" x14ac:dyDescent="0.2">
      <c r="A291" t="str">
        <f>IF(COUNTBLANK(B291:R291)&lt;&gt;COLUMNS(B291:R291),290,"")</f>
        <v/>
      </c>
      <c r="D291" s="1" t="str">
        <f t="shared" si="48"/>
        <v/>
      </c>
      <c r="E291" s="2" t="str">
        <f t="shared" si="49"/>
        <v/>
      </c>
      <c r="F291" s="1" t="str">
        <f t="shared" si="50"/>
        <v/>
      </c>
      <c r="G291" s="1" t="str">
        <f t="shared" si="51"/>
        <v/>
      </c>
      <c r="H291" s="1" t="str">
        <f t="shared" si="52"/>
        <v/>
      </c>
      <c r="K291" s="1" t="str">
        <f t="shared" si="53"/>
        <v/>
      </c>
      <c r="L291" s="1" t="str">
        <f t="shared" si="54"/>
        <v/>
      </c>
      <c r="M291" s="1" t="str">
        <f t="shared" si="55"/>
        <v/>
      </c>
      <c r="N291" s="1" t="str">
        <f t="shared" si="56"/>
        <v/>
      </c>
      <c r="O291" s="1" t="str">
        <f t="shared" si="57"/>
        <v/>
      </c>
      <c r="P291" s="1" t="str">
        <f t="shared" si="58"/>
        <v/>
      </c>
      <c r="R291" s="1" t="str">
        <f t="shared" si="59"/>
        <v/>
      </c>
    </row>
    <row r="292" spans="1:18" x14ac:dyDescent="0.2">
      <c r="A292" t="str">
        <f>IF(COUNTBLANK(B292:R292)&lt;&gt;COLUMNS(B292:R292),291,"")</f>
        <v/>
      </c>
      <c r="D292" s="1" t="str">
        <f t="shared" si="48"/>
        <v/>
      </c>
      <c r="E292" s="2" t="str">
        <f t="shared" si="49"/>
        <v/>
      </c>
      <c r="F292" s="1" t="str">
        <f t="shared" si="50"/>
        <v/>
      </c>
      <c r="G292" s="1" t="str">
        <f t="shared" si="51"/>
        <v/>
      </c>
      <c r="H292" s="1" t="str">
        <f t="shared" si="52"/>
        <v/>
      </c>
      <c r="K292" s="1" t="str">
        <f t="shared" si="53"/>
        <v/>
      </c>
      <c r="L292" s="1" t="str">
        <f t="shared" si="54"/>
        <v/>
      </c>
      <c r="M292" s="1" t="str">
        <f t="shared" si="55"/>
        <v/>
      </c>
      <c r="N292" s="1" t="str">
        <f t="shared" si="56"/>
        <v/>
      </c>
      <c r="O292" s="1" t="str">
        <f t="shared" si="57"/>
        <v/>
      </c>
      <c r="P292" s="1" t="str">
        <f t="shared" si="58"/>
        <v/>
      </c>
      <c r="R292" s="1" t="str">
        <f t="shared" si="59"/>
        <v/>
      </c>
    </row>
    <row r="293" spans="1:18" x14ac:dyDescent="0.2">
      <c r="A293" t="str">
        <f>IF(COUNTBLANK(B293:R293)&lt;&gt;COLUMNS(B293:R293),292,"")</f>
        <v/>
      </c>
      <c r="D293" s="1" t="str">
        <f t="shared" si="48"/>
        <v/>
      </c>
      <c r="E293" s="2" t="str">
        <f t="shared" si="49"/>
        <v/>
      </c>
      <c r="F293" s="1" t="str">
        <f t="shared" si="50"/>
        <v/>
      </c>
      <c r="G293" s="1" t="str">
        <f t="shared" si="51"/>
        <v/>
      </c>
      <c r="H293" s="1" t="str">
        <f t="shared" si="52"/>
        <v/>
      </c>
      <c r="K293" s="1" t="str">
        <f t="shared" si="53"/>
        <v/>
      </c>
      <c r="L293" s="1" t="str">
        <f t="shared" si="54"/>
        <v/>
      </c>
      <c r="M293" s="1" t="str">
        <f t="shared" si="55"/>
        <v/>
      </c>
      <c r="N293" s="1" t="str">
        <f t="shared" si="56"/>
        <v/>
      </c>
      <c r="O293" s="1" t="str">
        <f t="shared" si="57"/>
        <v/>
      </c>
      <c r="P293" s="1" t="str">
        <f t="shared" si="58"/>
        <v/>
      </c>
      <c r="R293" s="1" t="str">
        <f t="shared" si="59"/>
        <v/>
      </c>
    </row>
    <row r="294" spans="1:18" x14ac:dyDescent="0.2">
      <c r="A294" t="str">
        <f>IF(COUNTBLANK(B294:R294)&lt;&gt;COLUMNS(B294:R294),293,"")</f>
        <v/>
      </c>
      <c r="D294" s="1" t="str">
        <f t="shared" si="48"/>
        <v/>
      </c>
      <c r="E294" s="2" t="str">
        <f t="shared" si="49"/>
        <v/>
      </c>
      <c r="F294" s="1" t="str">
        <f t="shared" si="50"/>
        <v/>
      </c>
      <c r="G294" s="1" t="str">
        <f t="shared" si="51"/>
        <v/>
      </c>
      <c r="H294" s="1" t="str">
        <f t="shared" si="52"/>
        <v/>
      </c>
      <c r="K294" s="1" t="str">
        <f t="shared" si="53"/>
        <v/>
      </c>
      <c r="L294" s="1" t="str">
        <f t="shared" si="54"/>
        <v/>
      </c>
      <c r="M294" s="1" t="str">
        <f t="shared" si="55"/>
        <v/>
      </c>
      <c r="N294" s="1" t="str">
        <f t="shared" si="56"/>
        <v/>
      </c>
      <c r="O294" s="1" t="str">
        <f t="shared" si="57"/>
        <v/>
      </c>
      <c r="P294" s="1" t="str">
        <f t="shared" si="58"/>
        <v/>
      </c>
      <c r="R294" s="1" t="str">
        <f t="shared" si="59"/>
        <v/>
      </c>
    </row>
    <row r="295" spans="1:18" x14ac:dyDescent="0.2">
      <c r="A295" t="str">
        <f>IF(COUNTBLANK(B295:R295)&lt;&gt;COLUMNS(B295:R295),294,"")</f>
        <v/>
      </c>
      <c r="D295" s="1" t="str">
        <f t="shared" si="48"/>
        <v/>
      </c>
      <c r="E295" s="2" t="str">
        <f t="shared" si="49"/>
        <v/>
      </c>
      <c r="F295" s="1" t="str">
        <f t="shared" si="50"/>
        <v/>
      </c>
      <c r="G295" s="1" t="str">
        <f t="shared" si="51"/>
        <v/>
      </c>
      <c r="H295" s="1" t="str">
        <f t="shared" si="52"/>
        <v/>
      </c>
      <c r="K295" s="1" t="str">
        <f t="shared" si="53"/>
        <v/>
      </c>
      <c r="L295" s="1" t="str">
        <f t="shared" si="54"/>
        <v/>
      </c>
      <c r="M295" s="1" t="str">
        <f t="shared" si="55"/>
        <v/>
      </c>
      <c r="N295" s="1" t="str">
        <f t="shared" si="56"/>
        <v/>
      </c>
      <c r="O295" s="1" t="str">
        <f t="shared" si="57"/>
        <v/>
      </c>
      <c r="P295" s="1" t="str">
        <f t="shared" si="58"/>
        <v/>
      </c>
      <c r="R295" s="1" t="str">
        <f t="shared" si="59"/>
        <v/>
      </c>
    </row>
    <row r="296" spans="1:18" x14ac:dyDescent="0.2">
      <c r="A296" t="str">
        <f>IF(COUNTBLANK(B296:R296)&lt;&gt;COLUMNS(B296:R296),295,"")</f>
        <v/>
      </c>
      <c r="D296" s="1" t="str">
        <f t="shared" si="48"/>
        <v/>
      </c>
      <c r="E296" s="2" t="str">
        <f t="shared" si="49"/>
        <v/>
      </c>
      <c r="F296" s="1" t="str">
        <f t="shared" si="50"/>
        <v/>
      </c>
      <c r="G296" s="1" t="str">
        <f t="shared" si="51"/>
        <v/>
      </c>
      <c r="H296" s="1" t="str">
        <f t="shared" si="52"/>
        <v/>
      </c>
      <c r="K296" s="1" t="str">
        <f t="shared" si="53"/>
        <v/>
      </c>
      <c r="L296" s="1" t="str">
        <f t="shared" si="54"/>
        <v/>
      </c>
      <c r="M296" s="1" t="str">
        <f t="shared" si="55"/>
        <v/>
      </c>
      <c r="N296" s="1" t="str">
        <f t="shared" si="56"/>
        <v/>
      </c>
      <c r="O296" s="1" t="str">
        <f t="shared" si="57"/>
        <v/>
      </c>
      <c r="P296" s="1" t="str">
        <f t="shared" si="58"/>
        <v/>
      </c>
      <c r="R296" s="1" t="str">
        <f t="shared" si="59"/>
        <v/>
      </c>
    </row>
    <row r="297" spans="1:18" x14ac:dyDescent="0.2">
      <c r="A297" t="str">
        <f>IF(COUNTBLANK(B297:R297)&lt;&gt;COLUMNS(B297:R297),296,"")</f>
        <v/>
      </c>
      <c r="D297" s="1" t="str">
        <f t="shared" si="48"/>
        <v/>
      </c>
      <c r="E297" s="2" t="str">
        <f t="shared" si="49"/>
        <v/>
      </c>
      <c r="F297" s="1" t="str">
        <f t="shared" si="50"/>
        <v/>
      </c>
      <c r="G297" s="1" t="str">
        <f t="shared" si="51"/>
        <v/>
      </c>
      <c r="H297" s="1" t="str">
        <f t="shared" si="52"/>
        <v/>
      </c>
      <c r="K297" s="1" t="str">
        <f t="shared" si="53"/>
        <v/>
      </c>
      <c r="L297" s="1" t="str">
        <f t="shared" si="54"/>
        <v/>
      </c>
      <c r="M297" s="1" t="str">
        <f t="shared" si="55"/>
        <v/>
      </c>
      <c r="N297" s="1" t="str">
        <f t="shared" si="56"/>
        <v/>
      </c>
      <c r="O297" s="1" t="str">
        <f t="shared" si="57"/>
        <v/>
      </c>
      <c r="P297" s="1" t="str">
        <f t="shared" si="58"/>
        <v/>
      </c>
      <c r="R297" s="1" t="str">
        <f t="shared" si="59"/>
        <v/>
      </c>
    </row>
    <row r="298" spans="1:18" x14ac:dyDescent="0.2">
      <c r="A298" t="str">
        <f>IF(COUNTBLANK(B298:R298)&lt;&gt;COLUMNS(B298:R298),297,"")</f>
        <v/>
      </c>
      <c r="D298" s="1" t="str">
        <f t="shared" si="48"/>
        <v/>
      </c>
      <c r="E298" s="2" t="str">
        <f t="shared" si="49"/>
        <v/>
      </c>
      <c r="F298" s="1" t="str">
        <f t="shared" si="50"/>
        <v/>
      </c>
      <c r="G298" s="1" t="str">
        <f t="shared" si="51"/>
        <v/>
      </c>
      <c r="H298" s="1" t="str">
        <f t="shared" si="52"/>
        <v/>
      </c>
      <c r="K298" s="1" t="str">
        <f t="shared" si="53"/>
        <v/>
      </c>
      <c r="L298" s="1" t="str">
        <f t="shared" si="54"/>
        <v/>
      </c>
      <c r="M298" s="1" t="str">
        <f t="shared" si="55"/>
        <v/>
      </c>
      <c r="N298" s="1" t="str">
        <f t="shared" si="56"/>
        <v/>
      </c>
      <c r="O298" s="1" t="str">
        <f t="shared" si="57"/>
        <v/>
      </c>
      <c r="P298" s="1" t="str">
        <f t="shared" si="58"/>
        <v/>
      </c>
      <c r="R298" s="1" t="str">
        <f t="shared" si="59"/>
        <v/>
      </c>
    </row>
    <row r="299" spans="1:18" x14ac:dyDescent="0.2">
      <c r="A299" t="str">
        <f>IF(COUNTBLANK(B299:R299)&lt;&gt;COLUMNS(B299:R299),298,"")</f>
        <v/>
      </c>
      <c r="D299" s="1" t="str">
        <f t="shared" si="48"/>
        <v/>
      </c>
      <c r="E299" s="2" t="str">
        <f t="shared" si="49"/>
        <v/>
      </c>
      <c r="F299" s="1" t="str">
        <f t="shared" si="50"/>
        <v/>
      </c>
      <c r="G299" s="1" t="str">
        <f t="shared" si="51"/>
        <v/>
      </c>
      <c r="H299" s="1" t="str">
        <f t="shared" si="52"/>
        <v/>
      </c>
      <c r="K299" s="1" t="str">
        <f t="shared" si="53"/>
        <v/>
      </c>
      <c r="L299" s="1" t="str">
        <f t="shared" si="54"/>
        <v/>
      </c>
      <c r="M299" s="1" t="str">
        <f t="shared" si="55"/>
        <v/>
      </c>
      <c r="N299" s="1" t="str">
        <f t="shared" si="56"/>
        <v/>
      </c>
      <c r="O299" s="1" t="str">
        <f t="shared" si="57"/>
        <v/>
      </c>
      <c r="P299" s="1" t="str">
        <f t="shared" si="58"/>
        <v/>
      </c>
      <c r="R299" s="1" t="str">
        <f t="shared" si="59"/>
        <v/>
      </c>
    </row>
    <row r="300" spans="1:18" x14ac:dyDescent="0.2">
      <c r="A300" t="str">
        <f>IF(COUNTBLANK(B300:R300)&lt;&gt;COLUMNS(B300:R300),299,"")</f>
        <v/>
      </c>
      <c r="D300" s="1" t="str">
        <f t="shared" si="48"/>
        <v/>
      </c>
      <c r="E300" s="2" t="str">
        <f t="shared" si="49"/>
        <v/>
      </c>
      <c r="F300" s="1" t="str">
        <f t="shared" si="50"/>
        <v/>
      </c>
      <c r="G300" s="1" t="str">
        <f t="shared" si="51"/>
        <v/>
      </c>
      <c r="H300" s="1" t="str">
        <f t="shared" si="52"/>
        <v/>
      </c>
      <c r="K300" s="1" t="str">
        <f t="shared" si="53"/>
        <v/>
      </c>
      <c r="L300" s="1" t="str">
        <f t="shared" si="54"/>
        <v/>
      </c>
      <c r="M300" s="1" t="str">
        <f t="shared" si="55"/>
        <v/>
      </c>
      <c r="N300" s="1" t="str">
        <f t="shared" si="56"/>
        <v/>
      </c>
      <c r="O300" s="1" t="str">
        <f t="shared" si="57"/>
        <v/>
      </c>
      <c r="P300" s="1" t="str">
        <f t="shared" si="58"/>
        <v/>
      </c>
      <c r="R300" s="1" t="str">
        <f t="shared" si="59"/>
        <v/>
      </c>
    </row>
    <row r="301" spans="1:18" x14ac:dyDescent="0.2">
      <c r="A301" t="str">
        <f>IF(COUNTBLANK(B301:R301)&lt;&gt;COLUMNS(B301:R301),300,"")</f>
        <v/>
      </c>
      <c r="D301" s="1" t="str">
        <f t="shared" si="48"/>
        <v/>
      </c>
      <c r="E301" s="2" t="str">
        <f t="shared" si="49"/>
        <v/>
      </c>
      <c r="F301" s="1" t="str">
        <f t="shared" si="50"/>
        <v/>
      </c>
      <c r="G301" s="1" t="str">
        <f t="shared" si="51"/>
        <v/>
      </c>
      <c r="H301" s="1" t="str">
        <f t="shared" si="52"/>
        <v/>
      </c>
      <c r="K301" s="1" t="str">
        <f t="shared" si="53"/>
        <v/>
      </c>
      <c r="L301" s="1" t="str">
        <f t="shared" si="54"/>
        <v/>
      </c>
      <c r="M301" s="1" t="str">
        <f t="shared" si="55"/>
        <v/>
      </c>
      <c r="N301" s="1" t="str">
        <f t="shared" si="56"/>
        <v/>
      </c>
      <c r="O301" s="1" t="str">
        <f t="shared" si="57"/>
        <v/>
      </c>
      <c r="P301" s="1" t="str">
        <f t="shared" si="58"/>
        <v/>
      </c>
      <c r="R301" s="1" t="str">
        <f t="shared" si="59"/>
        <v/>
      </c>
    </row>
    <row r="302" spans="1:18" x14ac:dyDescent="0.2">
      <c r="A302" t="str">
        <f>IF(COUNTBLANK(B302:R302)&lt;&gt;COLUMNS(B302:R302),301,"")</f>
        <v/>
      </c>
      <c r="D302" s="1" t="str">
        <f t="shared" si="48"/>
        <v/>
      </c>
      <c r="E302" s="2" t="str">
        <f t="shared" si="49"/>
        <v/>
      </c>
      <c r="F302" s="1" t="str">
        <f t="shared" si="50"/>
        <v/>
      </c>
      <c r="G302" s="1" t="str">
        <f t="shared" si="51"/>
        <v/>
      </c>
      <c r="H302" s="1" t="str">
        <f t="shared" si="52"/>
        <v/>
      </c>
      <c r="K302" s="1" t="str">
        <f t="shared" si="53"/>
        <v/>
      </c>
      <c r="L302" s="1" t="str">
        <f t="shared" si="54"/>
        <v/>
      </c>
      <c r="M302" s="1" t="str">
        <f t="shared" si="55"/>
        <v/>
      </c>
      <c r="N302" s="1" t="str">
        <f t="shared" si="56"/>
        <v/>
      </c>
      <c r="O302" s="1" t="str">
        <f t="shared" si="57"/>
        <v/>
      </c>
      <c r="P302" s="1" t="str">
        <f t="shared" si="58"/>
        <v/>
      </c>
      <c r="R302" s="1" t="str">
        <f t="shared" si="59"/>
        <v/>
      </c>
    </row>
    <row r="303" spans="1:18" x14ac:dyDescent="0.2">
      <c r="A303" t="str">
        <f>IF(COUNTBLANK(B303:R303)&lt;&gt;COLUMNS(B303:R303),302,"")</f>
        <v/>
      </c>
      <c r="D303" s="1" t="str">
        <f t="shared" si="48"/>
        <v/>
      </c>
      <c r="E303" s="2" t="str">
        <f t="shared" si="49"/>
        <v/>
      </c>
      <c r="F303" s="1" t="str">
        <f t="shared" si="50"/>
        <v/>
      </c>
      <c r="G303" s="1" t="str">
        <f t="shared" si="51"/>
        <v/>
      </c>
      <c r="H303" s="1" t="str">
        <f t="shared" si="52"/>
        <v/>
      </c>
      <c r="K303" s="1" t="str">
        <f t="shared" si="53"/>
        <v/>
      </c>
      <c r="L303" s="1" t="str">
        <f t="shared" si="54"/>
        <v/>
      </c>
      <c r="M303" s="1" t="str">
        <f t="shared" si="55"/>
        <v/>
      </c>
      <c r="N303" s="1" t="str">
        <f t="shared" si="56"/>
        <v/>
      </c>
      <c r="O303" s="1" t="str">
        <f t="shared" si="57"/>
        <v/>
      </c>
      <c r="P303" s="1" t="str">
        <f t="shared" si="58"/>
        <v/>
      </c>
      <c r="R303" s="1" t="str">
        <f t="shared" si="59"/>
        <v/>
      </c>
    </row>
    <row r="304" spans="1:18" x14ac:dyDescent="0.2">
      <c r="A304" t="str">
        <f>IF(COUNTBLANK(B304:R304)&lt;&gt;COLUMNS(B304:R304),303,"")</f>
        <v/>
      </c>
      <c r="D304" s="1" t="str">
        <f t="shared" si="48"/>
        <v/>
      </c>
      <c r="E304" s="2" t="str">
        <f t="shared" si="49"/>
        <v/>
      </c>
      <c r="F304" s="1" t="str">
        <f t="shared" si="50"/>
        <v/>
      </c>
      <c r="G304" s="1" t="str">
        <f t="shared" si="51"/>
        <v/>
      </c>
      <c r="H304" s="1" t="str">
        <f t="shared" si="52"/>
        <v/>
      </c>
      <c r="K304" s="1" t="str">
        <f t="shared" si="53"/>
        <v/>
      </c>
      <c r="L304" s="1" t="str">
        <f t="shared" si="54"/>
        <v/>
      </c>
      <c r="M304" s="1" t="str">
        <f t="shared" si="55"/>
        <v/>
      </c>
      <c r="N304" s="1" t="str">
        <f t="shared" si="56"/>
        <v/>
      </c>
      <c r="O304" s="1" t="str">
        <f t="shared" si="57"/>
        <v/>
      </c>
      <c r="P304" s="1" t="str">
        <f t="shared" si="58"/>
        <v/>
      </c>
      <c r="R304" s="1" t="str">
        <f t="shared" si="59"/>
        <v/>
      </c>
    </row>
    <row r="305" spans="1:18" x14ac:dyDescent="0.2">
      <c r="A305" t="str">
        <f>IF(COUNTBLANK(B305:R305)&lt;&gt;COLUMNS(B305:R305),304,"")</f>
        <v/>
      </c>
      <c r="D305" s="1" t="str">
        <f t="shared" si="48"/>
        <v/>
      </c>
      <c r="E305" s="2" t="str">
        <f t="shared" si="49"/>
        <v/>
      </c>
      <c r="F305" s="1" t="str">
        <f t="shared" si="50"/>
        <v/>
      </c>
      <c r="G305" s="1" t="str">
        <f t="shared" si="51"/>
        <v/>
      </c>
      <c r="H305" s="1" t="str">
        <f t="shared" si="52"/>
        <v/>
      </c>
      <c r="K305" s="1" t="str">
        <f t="shared" si="53"/>
        <v/>
      </c>
      <c r="L305" s="1" t="str">
        <f t="shared" si="54"/>
        <v/>
      </c>
      <c r="M305" s="1" t="str">
        <f t="shared" si="55"/>
        <v/>
      </c>
      <c r="N305" s="1" t="str">
        <f t="shared" si="56"/>
        <v/>
      </c>
      <c r="O305" s="1" t="str">
        <f t="shared" si="57"/>
        <v/>
      </c>
      <c r="P305" s="1" t="str">
        <f t="shared" si="58"/>
        <v/>
      </c>
      <c r="R305" s="1" t="str">
        <f t="shared" si="59"/>
        <v/>
      </c>
    </row>
    <row r="306" spans="1:18" x14ac:dyDescent="0.2">
      <c r="A306" t="str">
        <f>IF(COUNTBLANK(B306:R306)&lt;&gt;COLUMNS(B306:R306),305,"")</f>
        <v/>
      </c>
      <c r="D306" s="1" t="str">
        <f t="shared" si="48"/>
        <v/>
      </c>
      <c r="E306" s="2" t="str">
        <f t="shared" si="49"/>
        <v/>
      </c>
      <c r="F306" s="1" t="str">
        <f t="shared" si="50"/>
        <v/>
      </c>
      <c r="G306" s="1" t="str">
        <f t="shared" si="51"/>
        <v/>
      </c>
      <c r="H306" s="1" t="str">
        <f t="shared" si="52"/>
        <v/>
      </c>
      <c r="K306" s="1" t="str">
        <f t="shared" si="53"/>
        <v/>
      </c>
      <c r="L306" s="1" t="str">
        <f t="shared" si="54"/>
        <v/>
      </c>
      <c r="M306" s="1" t="str">
        <f t="shared" si="55"/>
        <v/>
      </c>
      <c r="N306" s="1" t="str">
        <f t="shared" si="56"/>
        <v/>
      </c>
      <c r="O306" s="1" t="str">
        <f t="shared" si="57"/>
        <v/>
      </c>
      <c r="P306" s="1" t="str">
        <f t="shared" si="58"/>
        <v/>
      </c>
      <c r="R306" s="1" t="str">
        <f t="shared" si="59"/>
        <v/>
      </c>
    </row>
    <row r="307" spans="1:18" x14ac:dyDescent="0.2">
      <c r="A307" t="str">
        <f>IF(COUNTBLANK(B307:R307)&lt;&gt;COLUMNS(B307:R307),306,"")</f>
        <v/>
      </c>
      <c r="D307" s="1" t="str">
        <f t="shared" si="48"/>
        <v/>
      </c>
      <c r="E307" s="2" t="str">
        <f t="shared" si="49"/>
        <v/>
      </c>
      <c r="F307" s="1" t="str">
        <f t="shared" si="50"/>
        <v/>
      </c>
      <c r="G307" s="1" t="str">
        <f t="shared" si="51"/>
        <v/>
      </c>
      <c r="H307" s="1" t="str">
        <f t="shared" si="52"/>
        <v/>
      </c>
      <c r="K307" s="1" t="str">
        <f t="shared" si="53"/>
        <v/>
      </c>
      <c r="L307" s="1" t="str">
        <f t="shared" si="54"/>
        <v/>
      </c>
      <c r="M307" s="1" t="str">
        <f t="shared" si="55"/>
        <v/>
      </c>
      <c r="N307" s="1" t="str">
        <f t="shared" si="56"/>
        <v/>
      </c>
      <c r="O307" s="1" t="str">
        <f t="shared" si="57"/>
        <v/>
      </c>
      <c r="P307" s="1" t="str">
        <f t="shared" si="58"/>
        <v/>
      </c>
      <c r="R307" s="1" t="str">
        <f t="shared" si="59"/>
        <v/>
      </c>
    </row>
    <row r="308" spans="1:18" x14ac:dyDescent="0.2">
      <c r="A308" t="str">
        <f>IF(COUNTBLANK(B308:R308)&lt;&gt;COLUMNS(B308:R308),307,"")</f>
        <v/>
      </c>
      <c r="D308" s="1" t="str">
        <f t="shared" si="48"/>
        <v/>
      </c>
      <c r="E308" s="2" t="str">
        <f t="shared" si="49"/>
        <v/>
      </c>
      <c r="F308" s="1" t="str">
        <f t="shared" si="50"/>
        <v/>
      </c>
      <c r="G308" s="1" t="str">
        <f t="shared" si="51"/>
        <v/>
      </c>
      <c r="H308" s="1" t="str">
        <f t="shared" si="52"/>
        <v/>
      </c>
      <c r="K308" s="1" t="str">
        <f t="shared" si="53"/>
        <v/>
      </c>
      <c r="L308" s="1" t="str">
        <f t="shared" si="54"/>
        <v/>
      </c>
      <c r="M308" s="1" t="str">
        <f t="shared" si="55"/>
        <v/>
      </c>
      <c r="N308" s="1" t="str">
        <f t="shared" si="56"/>
        <v/>
      </c>
      <c r="O308" s="1" t="str">
        <f t="shared" si="57"/>
        <v/>
      </c>
      <c r="P308" s="1" t="str">
        <f t="shared" si="58"/>
        <v/>
      </c>
      <c r="R308" s="1" t="str">
        <f t="shared" si="59"/>
        <v/>
      </c>
    </row>
    <row r="309" spans="1:18" x14ac:dyDescent="0.2">
      <c r="A309" t="str">
        <f>IF(COUNTBLANK(B309:R309)&lt;&gt;COLUMNS(B309:R309),308,"")</f>
        <v/>
      </c>
      <c r="D309" s="1" t="str">
        <f t="shared" si="48"/>
        <v/>
      </c>
      <c r="E309" s="2" t="str">
        <f t="shared" si="49"/>
        <v/>
      </c>
      <c r="F309" s="1" t="str">
        <f t="shared" si="50"/>
        <v/>
      </c>
      <c r="G309" s="1" t="str">
        <f t="shared" si="51"/>
        <v/>
      </c>
      <c r="H309" s="1" t="str">
        <f t="shared" si="52"/>
        <v/>
      </c>
      <c r="K309" s="1" t="str">
        <f t="shared" si="53"/>
        <v/>
      </c>
      <c r="L309" s="1" t="str">
        <f t="shared" si="54"/>
        <v/>
      </c>
      <c r="M309" s="1" t="str">
        <f t="shared" si="55"/>
        <v/>
      </c>
      <c r="N309" s="1" t="str">
        <f t="shared" si="56"/>
        <v/>
      </c>
      <c r="O309" s="1" t="str">
        <f t="shared" si="57"/>
        <v/>
      </c>
      <c r="P309" s="1" t="str">
        <f t="shared" si="58"/>
        <v/>
      </c>
      <c r="R309" s="1" t="str">
        <f t="shared" si="59"/>
        <v/>
      </c>
    </row>
    <row r="310" spans="1:18" x14ac:dyDescent="0.2">
      <c r="A310" t="str">
        <f>IF(COUNTBLANK(B310:R310)&lt;&gt;COLUMNS(B310:R310),309,"")</f>
        <v/>
      </c>
      <c r="D310" s="1" t="str">
        <f t="shared" si="48"/>
        <v/>
      </c>
      <c r="E310" s="2" t="str">
        <f t="shared" si="49"/>
        <v/>
      </c>
      <c r="F310" s="1" t="str">
        <f t="shared" si="50"/>
        <v/>
      </c>
      <c r="G310" s="1" t="str">
        <f t="shared" si="51"/>
        <v/>
      </c>
      <c r="H310" s="1" t="str">
        <f t="shared" si="52"/>
        <v/>
      </c>
      <c r="K310" s="1" t="str">
        <f t="shared" si="53"/>
        <v/>
      </c>
      <c r="L310" s="1" t="str">
        <f t="shared" si="54"/>
        <v/>
      </c>
      <c r="M310" s="1" t="str">
        <f t="shared" si="55"/>
        <v/>
      </c>
      <c r="N310" s="1" t="str">
        <f t="shared" si="56"/>
        <v/>
      </c>
      <c r="O310" s="1" t="str">
        <f t="shared" si="57"/>
        <v/>
      </c>
      <c r="P310" s="1" t="str">
        <f t="shared" si="58"/>
        <v/>
      </c>
      <c r="R310" s="1" t="str">
        <f t="shared" si="59"/>
        <v/>
      </c>
    </row>
    <row r="311" spans="1:18" x14ac:dyDescent="0.2">
      <c r="A311" t="str">
        <f>IF(COUNTBLANK(B311:R311)&lt;&gt;COLUMNS(B311:R311),310,"")</f>
        <v/>
      </c>
      <c r="D311" s="1" t="str">
        <f t="shared" si="48"/>
        <v/>
      </c>
      <c r="E311" s="2" t="str">
        <f t="shared" si="49"/>
        <v/>
      </c>
      <c r="F311" s="1" t="str">
        <f t="shared" si="50"/>
        <v/>
      </c>
      <c r="G311" s="1" t="str">
        <f t="shared" si="51"/>
        <v/>
      </c>
      <c r="H311" s="1" t="str">
        <f t="shared" si="52"/>
        <v/>
      </c>
      <c r="K311" s="1" t="str">
        <f t="shared" si="53"/>
        <v/>
      </c>
      <c r="L311" s="1" t="str">
        <f t="shared" si="54"/>
        <v/>
      </c>
      <c r="M311" s="1" t="str">
        <f t="shared" si="55"/>
        <v/>
      </c>
      <c r="N311" s="1" t="str">
        <f t="shared" si="56"/>
        <v/>
      </c>
      <c r="O311" s="1" t="str">
        <f t="shared" si="57"/>
        <v/>
      </c>
      <c r="P311" s="1" t="str">
        <f t="shared" si="58"/>
        <v/>
      </c>
      <c r="R311" s="1" t="str">
        <f t="shared" si="59"/>
        <v/>
      </c>
    </row>
    <row r="312" spans="1:18" x14ac:dyDescent="0.2">
      <c r="A312" t="str">
        <f>IF(COUNTBLANK(B312:R312)&lt;&gt;COLUMNS(B312:R312),311,"")</f>
        <v/>
      </c>
      <c r="D312" s="1" t="str">
        <f t="shared" si="48"/>
        <v/>
      </c>
      <c r="E312" s="2" t="str">
        <f t="shared" si="49"/>
        <v/>
      </c>
      <c r="F312" s="1" t="str">
        <f t="shared" si="50"/>
        <v/>
      </c>
      <c r="G312" s="1" t="str">
        <f t="shared" si="51"/>
        <v/>
      </c>
      <c r="H312" s="1" t="str">
        <f t="shared" si="52"/>
        <v/>
      </c>
      <c r="K312" s="1" t="str">
        <f t="shared" si="53"/>
        <v/>
      </c>
      <c r="L312" s="1" t="str">
        <f t="shared" si="54"/>
        <v/>
      </c>
      <c r="M312" s="1" t="str">
        <f t="shared" si="55"/>
        <v/>
      </c>
      <c r="N312" s="1" t="str">
        <f t="shared" si="56"/>
        <v/>
      </c>
      <c r="O312" s="1" t="str">
        <f t="shared" si="57"/>
        <v/>
      </c>
      <c r="P312" s="1" t="str">
        <f t="shared" si="58"/>
        <v/>
      </c>
      <c r="R312" s="1" t="str">
        <f t="shared" si="59"/>
        <v/>
      </c>
    </row>
    <row r="313" spans="1:18" x14ac:dyDescent="0.2">
      <c r="A313" t="str">
        <f>IF(COUNTBLANK(B313:R313)&lt;&gt;COLUMNS(B313:R313),312,"")</f>
        <v/>
      </c>
      <c r="D313" s="1" t="str">
        <f t="shared" si="48"/>
        <v/>
      </c>
      <c r="E313" s="2" t="str">
        <f t="shared" si="49"/>
        <v/>
      </c>
      <c r="F313" s="1" t="str">
        <f t="shared" si="50"/>
        <v/>
      </c>
      <c r="G313" s="1" t="str">
        <f t="shared" si="51"/>
        <v/>
      </c>
      <c r="H313" s="1" t="str">
        <f t="shared" si="52"/>
        <v/>
      </c>
      <c r="K313" s="1" t="str">
        <f t="shared" si="53"/>
        <v/>
      </c>
      <c r="L313" s="1" t="str">
        <f t="shared" si="54"/>
        <v/>
      </c>
      <c r="M313" s="1" t="str">
        <f t="shared" si="55"/>
        <v/>
      </c>
      <c r="N313" s="1" t="str">
        <f t="shared" si="56"/>
        <v/>
      </c>
      <c r="O313" s="1" t="str">
        <f t="shared" si="57"/>
        <v/>
      </c>
      <c r="P313" s="1" t="str">
        <f t="shared" si="58"/>
        <v/>
      </c>
      <c r="R313" s="1" t="str">
        <f t="shared" si="59"/>
        <v/>
      </c>
    </row>
    <row r="314" spans="1:18" x14ac:dyDescent="0.2">
      <c r="A314" t="str">
        <f>IF(COUNTBLANK(B314:R314)&lt;&gt;COLUMNS(B314:R314),313,"")</f>
        <v/>
      </c>
      <c r="D314" s="1" t="str">
        <f t="shared" si="48"/>
        <v/>
      </c>
      <c r="E314" s="2" t="str">
        <f t="shared" si="49"/>
        <v/>
      </c>
      <c r="F314" s="1" t="str">
        <f t="shared" si="50"/>
        <v/>
      </c>
      <c r="G314" s="1" t="str">
        <f t="shared" si="51"/>
        <v/>
      </c>
      <c r="H314" s="1" t="str">
        <f t="shared" si="52"/>
        <v/>
      </c>
      <c r="K314" s="1" t="str">
        <f t="shared" si="53"/>
        <v/>
      </c>
      <c r="L314" s="1" t="str">
        <f t="shared" si="54"/>
        <v/>
      </c>
      <c r="M314" s="1" t="str">
        <f t="shared" si="55"/>
        <v/>
      </c>
      <c r="N314" s="1" t="str">
        <f t="shared" si="56"/>
        <v/>
      </c>
      <c r="O314" s="1" t="str">
        <f t="shared" si="57"/>
        <v/>
      </c>
      <c r="P314" s="1" t="str">
        <f t="shared" si="58"/>
        <v/>
      </c>
      <c r="R314" s="1" t="str">
        <f t="shared" si="59"/>
        <v/>
      </c>
    </row>
    <row r="315" spans="1:18" x14ac:dyDescent="0.2">
      <c r="A315" t="str">
        <f>IF(COUNTBLANK(B315:R315)&lt;&gt;COLUMNS(B315:R315),314,"")</f>
        <v/>
      </c>
      <c r="D315" s="1" t="str">
        <f t="shared" si="48"/>
        <v/>
      </c>
      <c r="E315" s="2" t="str">
        <f t="shared" si="49"/>
        <v/>
      </c>
      <c r="F315" s="1" t="str">
        <f t="shared" si="50"/>
        <v/>
      </c>
      <c r="G315" s="1" t="str">
        <f t="shared" si="51"/>
        <v/>
      </c>
      <c r="H315" s="1" t="str">
        <f t="shared" si="52"/>
        <v/>
      </c>
      <c r="K315" s="1" t="str">
        <f t="shared" si="53"/>
        <v/>
      </c>
      <c r="L315" s="1" t="str">
        <f t="shared" si="54"/>
        <v/>
      </c>
      <c r="M315" s="1" t="str">
        <f t="shared" si="55"/>
        <v/>
      </c>
      <c r="N315" s="1" t="str">
        <f t="shared" si="56"/>
        <v/>
      </c>
      <c r="O315" s="1" t="str">
        <f t="shared" si="57"/>
        <v/>
      </c>
      <c r="P315" s="1" t="str">
        <f t="shared" si="58"/>
        <v/>
      </c>
      <c r="R315" s="1" t="str">
        <f t="shared" si="59"/>
        <v/>
      </c>
    </row>
    <row r="316" spans="1:18" x14ac:dyDescent="0.2">
      <c r="A316" t="str">
        <f>IF(COUNTBLANK(B316:R316)&lt;&gt;COLUMNS(B316:R316),315,"")</f>
        <v/>
      </c>
      <c r="D316" s="1" t="str">
        <f t="shared" si="48"/>
        <v/>
      </c>
      <c r="E316" s="2" t="str">
        <f t="shared" si="49"/>
        <v/>
      </c>
      <c r="F316" s="1" t="str">
        <f t="shared" si="50"/>
        <v/>
      </c>
      <c r="G316" s="1" t="str">
        <f t="shared" si="51"/>
        <v/>
      </c>
      <c r="H316" s="1" t="str">
        <f t="shared" si="52"/>
        <v/>
      </c>
      <c r="K316" s="1" t="str">
        <f t="shared" si="53"/>
        <v/>
      </c>
      <c r="L316" s="1" t="str">
        <f t="shared" si="54"/>
        <v/>
      </c>
      <c r="M316" s="1" t="str">
        <f t="shared" si="55"/>
        <v/>
      </c>
      <c r="N316" s="1" t="str">
        <f t="shared" si="56"/>
        <v/>
      </c>
      <c r="O316" s="1" t="str">
        <f t="shared" si="57"/>
        <v/>
      </c>
      <c r="P316" s="1" t="str">
        <f t="shared" si="58"/>
        <v/>
      </c>
      <c r="R316" s="1" t="str">
        <f t="shared" si="59"/>
        <v/>
      </c>
    </row>
    <row r="317" spans="1:18" x14ac:dyDescent="0.2">
      <c r="A317" t="str">
        <f>IF(COUNTBLANK(B317:R317)&lt;&gt;COLUMNS(B317:R317),316,"")</f>
        <v/>
      </c>
      <c r="D317" s="1" t="str">
        <f t="shared" si="48"/>
        <v/>
      </c>
      <c r="E317" s="2" t="str">
        <f t="shared" si="49"/>
        <v/>
      </c>
      <c r="F317" s="1" t="str">
        <f t="shared" si="50"/>
        <v/>
      </c>
      <c r="G317" s="1" t="str">
        <f t="shared" si="51"/>
        <v/>
      </c>
      <c r="H317" s="1" t="str">
        <f t="shared" si="52"/>
        <v/>
      </c>
      <c r="K317" s="1" t="str">
        <f t="shared" si="53"/>
        <v/>
      </c>
      <c r="L317" s="1" t="str">
        <f t="shared" si="54"/>
        <v/>
      </c>
      <c r="M317" s="1" t="str">
        <f t="shared" si="55"/>
        <v/>
      </c>
      <c r="N317" s="1" t="str">
        <f t="shared" si="56"/>
        <v/>
      </c>
      <c r="O317" s="1" t="str">
        <f t="shared" si="57"/>
        <v/>
      </c>
      <c r="P317" s="1" t="str">
        <f t="shared" si="58"/>
        <v/>
      </c>
      <c r="R317" s="1" t="str">
        <f t="shared" si="59"/>
        <v/>
      </c>
    </row>
    <row r="318" spans="1:18" x14ac:dyDescent="0.2">
      <c r="A318" t="str">
        <f>IF(COUNTBLANK(B318:R318)&lt;&gt;COLUMNS(B318:R318),317,"")</f>
        <v/>
      </c>
      <c r="D318" s="1" t="str">
        <f t="shared" si="48"/>
        <v/>
      </c>
      <c r="E318" s="2" t="str">
        <f t="shared" si="49"/>
        <v/>
      </c>
      <c r="F318" s="1" t="str">
        <f t="shared" si="50"/>
        <v/>
      </c>
      <c r="G318" s="1" t="str">
        <f t="shared" si="51"/>
        <v/>
      </c>
      <c r="H318" s="1" t="str">
        <f t="shared" si="52"/>
        <v/>
      </c>
      <c r="K318" s="1" t="str">
        <f t="shared" si="53"/>
        <v/>
      </c>
      <c r="L318" s="1" t="str">
        <f t="shared" si="54"/>
        <v/>
      </c>
      <c r="M318" s="1" t="str">
        <f t="shared" si="55"/>
        <v/>
      </c>
      <c r="N318" s="1" t="str">
        <f t="shared" si="56"/>
        <v/>
      </c>
      <c r="O318" s="1" t="str">
        <f t="shared" si="57"/>
        <v/>
      </c>
      <c r="P318" s="1" t="str">
        <f t="shared" si="58"/>
        <v/>
      </c>
      <c r="R318" s="1" t="str">
        <f t="shared" si="59"/>
        <v/>
      </c>
    </row>
    <row r="319" spans="1:18" x14ac:dyDescent="0.2">
      <c r="A319" t="str">
        <f>IF(COUNTBLANK(B319:R319)&lt;&gt;COLUMNS(B319:R319),318,"")</f>
        <v/>
      </c>
      <c r="D319" s="1" t="str">
        <f t="shared" si="48"/>
        <v/>
      </c>
      <c r="E319" s="2" t="str">
        <f t="shared" si="49"/>
        <v/>
      </c>
      <c r="F319" s="1" t="str">
        <f t="shared" si="50"/>
        <v/>
      </c>
      <c r="G319" s="1" t="str">
        <f t="shared" si="51"/>
        <v/>
      </c>
      <c r="H319" s="1" t="str">
        <f t="shared" si="52"/>
        <v/>
      </c>
      <c r="K319" s="1" t="str">
        <f t="shared" si="53"/>
        <v/>
      </c>
      <c r="L319" s="1" t="str">
        <f t="shared" si="54"/>
        <v/>
      </c>
      <c r="M319" s="1" t="str">
        <f t="shared" si="55"/>
        <v/>
      </c>
      <c r="N319" s="1" t="str">
        <f t="shared" si="56"/>
        <v/>
      </c>
      <c r="O319" s="1" t="str">
        <f t="shared" si="57"/>
        <v/>
      </c>
      <c r="P319" s="1" t="str">
        <f t="shared" si="58"/>
        <v/>
      </c>
      <c r="R319" s="1" t="str">
        <f t="shared" si="59"/>
        <v/>
      </c>
    </row>
    <row r="320" spans="1:18" x14ac:dyDescent="0.2">
      <c r="A320" t="str">
        <f>IF(COUNTBLANK(B320:R320)&lt;&gt;COLUMNS(B320:R320),319,"")</f>
        <v/>
      </c>
      <c r="D320" s="1" t="str">
        <f t="shared" si="48"/>
        <v/>
      </c>
      <c r="E320" s="2" t="str">
        <f t="shared" si="49"/>
        <v/>
      </c>
      <c r="F320" s="1" t="str">
        <f t="shared" si="50"/>
        <v/>
      </c>
      <c r="G320" s="1" t="str">
        <f t="shared" si="51"/>
        <v/>
      </c>
      <c r="H320" s="1" t="str">
        <f t="shared" si="52"/>
        <v/>
      </c>
      <c r="K320" s="1" t="str">
        <f t="shared" si="53"/>
        <v/>
      </c>
      <c r="L320" s="1" t="str">
        <f t="shared" si="54"/>
        <v/>
      </c>
      <c r="M320" s="1" t="str">
        <f t="shared" si="55"/>
        <v/>
      </c>
      <c r="N320" s="1" t="str">
        <f t="shared" si="56"/>
        <v/>
      </c>
      <c r="O320" s="1" t="str">
        <f t="shared" si="57"/>
        <v/>
      </c>
      <c r="P320" s="1" t="str">
        <f t="shared" si="58"/>
        <v/>
      </c>
      <c r="R320" s="1" t="str">
        <f t="shared" si="59"/>
        <v/>
      </c>
    </row>
    <row r="321" spans="1:18" x14ac:dyDescent="0.2">
      <c r="A321" t="str">
        <f>IF(COUNTBLANK(B321:R321)&lt;&gt;COLUMNS(B321:R321),320,"")</f>
        <v/>
      </c>
      <c r="D321" s="1" t="str">
        <f t="shared" si="48"/>
        <v/>
      </c>
      <c r="E321" s="2" t="str">
        <f t="shared" si="49"/>
        <v/>
      </c>
      <c r="F321" s="1" t="str">
        <f t="shared" si="50"/>
        <v/>
      </c>
      <c r="G321" s="1" t="str">
        <f t="shared" si="51"/>
        <v/>
      </c>
      <c r="H321" s="1" t="str">
        <f t="shared" si="52"/>
        <v/>
      </c>
      <c r="K321" s="1" t="str">
        <f t="shared" si="53"/>
        <v/>
      </c>
      <c r="L321" s="1" t="str">
        <f t="shared" si="54"/>
        <v/>
      </c>
      <c r="M321" s="1" t="str">
        <f t="shared" si="55"/>
        <v/>
      </c>
      <c r="N321" s="1" t="str">
        <f t="shared" si="56"/>
        <v/>
      </c>
      <c r="O321" s="1" t="str">
        <f t="shared" si="57"/>
        <v/>
      </c>
      <c r="P321" s="1" t="str">
        <f t="shared" si="58"/>
        <v/>
      </c>
      <c r="R321" s="1" t="str">
        <f t="shared" si="59"/>
        <v/>
      </c>
    </row>
    <row r="322" spans="1:18" x14ac:dyDescent="0.2">
      <c r="A322" t="str">
        <f>IF(COUNTBLANK(B322:R322)&lt;&gt;COLUMNS(B322:R322),321,"")</f>
        <v/>
      </c>
      <c r="D322" s="1" t="str">
        <f t="shared" ref="D322:D385" si="60">IF(B322="", "", "years")</f>
        <v/>
      </c>
      <c r="E322" s="2" t="str">
        <f t="shared" ref="E322:E385" si="61">IF(B322="", "", "missing: not provided")</f>
        <v/>
      </c>
      <c r="F322" s="1" t="str">
        <f t="shared" ref="F322:F385" si="62">IF(B322="", "", "Not applicable")</f>
        <v/>
      </c>
      <c r="G322" s="1" t="str">
        <f t="shared" ref="G322:G385" si="63">IF(B322="", "", "urban biome")</f>
        <v/>
      </c>
      <c r="H322" s="1" t="str">
        <f t="shared" ref="H322:H385" si="64">IF(B322="", "", "human-associated habitat")</f>
        <v/>
      </c>
      <c r="K322" s="1" t="str">
        <f t="shared" ref="K322:K385" si="65">IF(B322="", "", "cm")</f>
        <v/>
      </c>
      <c r="L322" s="1" t="str">
        <f t="shared" ref="L322:L385" si="66">IF(B322="", "", "human")</f>
        <v/>
      </c>
      <c r="M322" s="1" t="str">
        <f t="shared" ref="M322:M385" si="67">IF(B322="", "", "Homo sapiens")</f>
        <v/>
      </c>
      <c r="N322" s="1" t="str">
        <f t="shared" ref="N322:N385" si="68">IF(B322="", "", "9606")</f>
        <v/>
      </c>
      <c r="O322" s="1" t="str">
        <f t="shared" ref="O322:O385" si="69">IF(B322="", "", "missing: not provided")</f>
        <v/>
      </c>
      <c r="P322" s="1" t="str">
        <f t="shared" ref="P322:P385" si="70">IF(B322="", "", "missing: not provided")</f>
        <v/>
      </c>
      <c r="R322" s="1" t="str">
        <f t="shared" ref="R322:R385" si="71">IF(B322="", "", "kg")</f>
        <v/>
      </c>
    </row>
    <row r="323" spans="1:18" x14ac:dyDescent="0.2">
      <c r="A323" t="str">
        <f>IF(COUNTBLANK(B323:R323)&lt;&gt;COLUMNS(B323:R323),322,"")</f>
        <v/>
      </c>
      <c r="D323" s="1" t="str">
        <f t="shared" si="60"/>
        <v/>
      </c>
      <c r="E323" s="2" t="str">
        <f t="shared" si="61"/>
        <v/>
      </c>
      <c r="F323" s="1" t="str">
        <f t="shared" si="62"/>
        <v/>
      </c>
      <c r="G323" s="1" t="str">
        <f t="shared" si="63"/>
        <v/>
      </c>
      <c r="H323" s="1" t="str">
        <f t="shared" si="64"/>
        <v/>
      </c>
      <c r="K323" s="1" t="str">
        <f t="shared" si="65"/>
        <v/>
      </c>
      <c r="L323" s="1" t="str">
        <f t="shared" si="66"/>
        <v/>
      </c>
      <c r="M323" s="1" t="str">
        <f t="shared" si="67"/>
        <v/>
      </c>
      <c r="N323" s="1" t="str">
        <f t="shared" si="68"/>
        <v/>
      </c>
      <c r="O323" s="1" t="str">
        <f t="shared" si="69"/>
        <v/>
      </c>
      <c r="P323" s="1" t="str">
        <f t="shared" si="70"/>
        <v/>
      </c>
      <c r="R323" s="1" t="str">
        <f t="shared" si="71"/>
        <v/>
      </c>
    </row>
    <row r="324" spans="1:18" x14ac:dyDescent="0.2">
      <c r="A324" t="str">
        <f>IF(COUNTBLANK(B324:R324)&lt;&gt;COLUMNS(B324:R324),323,"")</f>
        <v/>
      </c>
      <c r="D324" s="1" t="str">
        <f t="shared" si="60"/>
        <v/>
      </c>
      <c r="E324" s="2" t="str">
        <f t="shared" si="61"/>
        <v/>
      </c>
      <c r="F324" s="1" t="str">
        <f t="shared" si="62"/>
        <v/>
      </c>
      <c r="G324" s="1" t="str">
        <f t="shared" si="63"/>
        <v/>
      </c>
      <c r="H324" s="1" t="str">
        <f t="shared" si="64"/>
        <v/>
      </c>
      <c r="K324" s="1" t="str">
        <f t="shared" si="65"/>
        <v/>
      </c>
      <c r="L324" s="1" t="str">
        <f t="shared" si="66"/>
        <v/>
      </c>
      <c r="M324" s="1" t="str">
        <f t="shared" si="67"/>
        <v/>
      </c>
      <c r="N324" s="1" t="str">
        <f t="shared" si="68"/>
        <v/>
      </c>
      <c r="O324" s="1" t="str">
        <f t="shared" si="69"/>
        <v/>
      </c>
      <c r="P324" s="1" t="str">
        <f t="shared" si="70"/>
        <v/>
      </c>
      <c r="R324" s="1" t="str">
        <f t="shared" si="71"/>
        <v/>
      </c>
    </row>
    <row r="325" spans="1:18" x14ac:dyDescent="0.2">
      <c r="A325" t="str">
        <f>IF(COUNTBLANK(B325:R325)&lt;&gt;COLUMNS(B325:R325),324,"")</f>
        <v/>
      </c>
      <c r="D325" s="1" t="str">
        <f t="shared" si="60"/>
        <v/>
      </c>
      <c r="E325" s="2" t="str">
        <f t="shared" si="61"/>
        <v/>
      </c>
      <c r="F325" s="1" t="str">
        <f t="shared" si="62"/>
        <v/>
      </c>
      <c r="G325" s="1" t="str">
        <f t="shared" si="63"/>
        <v/>
      </c>
      <c r="H325" s="1" t="str">
        <f t="shared" si="64"/>
        <v/>
      </c>
      <c r="K325" s="1" t="str">
        <f t="shared" si="65"/>
        <v/>
      </c>
      <c r="L325" s="1" t="str">
        <f t="shared" si="66"/>
        <v/>
      </c>
      <c r="M325" s="1" t="str">
        <f t="shared" si="67"/>
        <v/>
      </c>
      <c r="N325" s="1" t="str">
        <f t="shared" si="68"/>
        <v/>
      </c>
      <c r="O325" s="1" t="str">
        <f t="shared" si="69"/>
        <v/>
      </c>
      <c r="P325" s="1" t="str">
        <f t="shared" si="70"/>
        <v/>
      </c>
      <c r="R325" s="1" t="str">
        <f t="shared" si="71"/>
        <v/>
      </c>
    </row>
    <row r="326" spans="1:18" x14ac:dyDescent="0.2">
      <c r="A326" t="str">
        <f>IF(COUNTBLANK(B326:R326)&lt;&gt;COLUMNS(B326:R326),325,"")</f>
        <v/>
      </c>
      <c r="D326" s="1" t="str">
        <f t="shared" si="60"/>
        <v/>
      </c>
      <c r="E326" s="2" t="str">
        <f t="shared" si="61"/>
        <v/>
      </c>
      <c r="F326" s="1" t="str">
        <f t="shared" si="62"/>
        <v/>
      </c>
      <c r="G326" s="1" t="str">
        <f t="shared" si="63"/>
        <v/>
      </c>
      <c r="H326" s="1" t="str">
        <f t="shared" si="64"/>
        <v/>
      </c>
      <c r="K326" s="1" t="str">
        <f t="shared" si="65"/>
        <v/>
      </c>
      <c r="L326" s="1" t="str">
        <f t="shared" si="66"/>
        <v/>
      </c>
      <c r="M326" s="1" t="str">
        <f t="shared" si="67"/>
        <v/>
      </c>
      <c r="N326" s="1" t="str">
        <f t="shared" si="68"/>
        <v/>
      </c>
      <c r="O326" s="1" t="str">
        <f t="shared" si="69"/>
        <v/>
      </c>
      <c r="P326" s="1" t="str">
        <f t="shared" si="70"/>
        <v/>
      </c>
      <c r="R326" s="1" t="str">
        <f t="shared" si="71"/>
        <v/>
      </c>
    </row>
    <row r="327" spans="1:18" x14ac:dyDescent="0.2">
      <c r="A327" t="str">
        <f>IF(COUNTBLANK(B327:R327)&lt;&gt;COLUMNS(B327:R327),326,"")</f>
        <v/>
      </c>
      <c r="D327" s="1" t="str">
        <f t="shared" si="60"/>
        <v/>
      </c>
      <c r="E327" s="2" t="str">
        <f t="shared" si="61"/>
        <v/>
      </c>
      <c r="F327" s="1" t="str">
        <f t="shared" si="62"/>
        <v/>
      </c>
      <c r="G327" s="1" t="str">
        <f t="shared" si="63"/>
        <v/>
      </c>
      <c r="H327" s="1" t="str">
        <f t="shared" si="64"/>
        <v/>
      </c>
      <c r="K327" s="1" t="str">
        <f t="shared" si="65"/>
        <v/>
      </c>
      <c r="L327" s="1" t="str">
        <f t="shared" si="66"/>
        <v/>
      </c>
      <c r="M327" s="1" t="str">
        <f t="shared" si="67"/>
        <v/>
      </c>
      <c r="N327" s="1" t="str">
        <f t="shared" si="68"/>
        <v/>
      </c>
      <c r="O327" s="1" t="str">
        <f t="shared" si="69"/>
        <v/>
      </c>
      <c r="P327" s="1" t="str">
        <f t="shared" si="70"/>
        <v/>
      </c>
      <c r="R327" s="1" t="str">
        <f t="shared" si="71"/>
        <v/>
      </c>
    </row>
    <row r="328" spans="1:18" x14ac:dyDescent="0.2">
      <c r="A328" t="str">
        <f>IF(COUNTBLANK(B328:R328)&lt;&gt;COLUMNS(B328:R328),327,"")</f>
        <v/>
      </c>
      <c r="D328" s="1" t="str">
        <f t="shared" si="60"/>
        <v/>
      </c>
      <c r="E328" s="2" t="str">
        <f t="shared" si="61"/>
        <v/>
      </c>
      <c r="F328" s="1" t="str">
        <f t="shared" si="62"/>
        <v/>
      </c>
      <c r="G328" s="1" t="str">
        <f t="shared" si="63"/>
        <v/>
      </c>
      <c r="H328" s="1" t="str">
        <f t="shared" si="64"/>
        <v/>
      </c>
      <c r="K328" s="1" t="str">
        <f t="shared" si="65"/>
        <v/>
      </c>
      <c r="L328" s="1" t="str">
        <f t="shared" si="66"/>
        <v/>
      </c>
      <c r="M328" s="1" t="str">
        <f t="shared" si="67"/>
        <v/>
      </c>
      <c r="N328" s="1" t="str">
        <f t="shared" si="68"/>
        <v/>
      </c>
      <c r="O328" s="1" t="str">
        <f t="shared" si="69"/>
        <v/>
      </c>
      <c r="P328" s="1" t="str">
        <f t="shared" si="70"/>
        <v/>
      </c>
      <c r="R328" s="1" t="str">
        <f t="shared" si="71"/>
        <v/>
      </c>
    </row>
    <row r="329" spans="1:18" x14ac:dyDescent="0.2">
      <c r="A329" t="str">
        <f>IF(COUNTBLANK(B329:R329)&lt;&gt;COLUMNS(B329:R329),328,"")</f>
        <v/>
      </c>
      <c r="D329" s="1" t="str">
        <f t="shared" si="60"/>
        <v/>
      </c>
      <c r="E329" s="2" t="str">
        <f t="shared" si="61"/>
        <v/>
      </c>
      <c r="F329" s="1" t="str">
        <f t="shared" si="62"/>
        <v/>
      </c>
      <c r="G329" s="1" t="str">
        <f t="shared" si="63"/>
        <v/>
      </c>
      <c r="H329" s="1" t="str">
        <f t="shared" si="64"/>
        <v/>
      </c>
      <c r="K329" s="1" t="str">
        <f t="shared" si="65"/>
        <v/>
      </c>
      <c r="L329" s="1" t="str">
        <f t="shared" si="66"/>
        <v/>
      </c>
      <c r="M329" s="1" t="str">
        <f t="shared" si="67"/>
        <v/>
      </c>
      <c r="N329" s="1" t="str">
        <f t="shared" si="68"/>
        <v/>
      </c>
      <c r="O329" s="1" t="str">
        <f t="shared" si="69"/>
        <v/>
      </c>
      <c r="P329" s="1" t="str">
        <f t="shared" si="70"/>
        <v/>
      </c>
      <c r="R329" s="1" t="str">
        <f t="shared" si="71"/>
        <v/>
      </c>
    </row>
    <row r="330" spans="1:18" x14ac:dyDescent="0.2">
      <c r="A330" t="str">
        <f>IF(COUNTBLANK(B330:R330)&lt;&gt;COLUMNS(B330:R330),329,"")</f>
        <v/>
      </c>
      <c r="D330" s="1" t="str">
        <f t="shared" si="60"/>
        <v/>
      </c>
      <c r="E330" s="2" t="str">
        <f t="shared" si="61"/>
        <v/>
      </c>
      <c r="F330" s="1" t="str">
        <f t="shared" si="62"/>
        <v/>
      </c>
      <c r="G330" s="1" t="str">
        <f t="shared" si="63"/>
        <v/>
      </c>
      <c r="H330" s="1" t="str">
        <f t="shared" si="64"/>
        <v/>
      </c>
      <c r="K330" s="1" t="str">
        <f t="shared" si="65"/>
        <v/>
      </c>
      <c r="L330" s="1" t="str">
        <f t="shared" si="66"/>
        <v/>
      </c>
      <c r="M330" s="1" t="str">
        <f t="shared" si="67"/>
        <v/>
      </c>
      <c r="N330" s="1" t="str">
        <f t="shared" si="68"/>
        <v/>
      </c>
      <c r="O330" s="1" t="str">
        <f t="shared" si="69"/>
        <v/>
      </c>
      <c r="P330" s="1" t="str">
        <f t="shared" si="70"/>
        <v/>
      </c>
      <c r="R330" s="1" t="str">
        <f t="shared" si="71"/>
        <v/>
      </c>
    </row>
    <row r="331" spans="1:18" x14ac:dyDescent="0.2">
      <c r="A331" t="str">
        <f>IF(COUNTBLANK(B331:R331)&lt;&gt;COLUMNS(B331:R331),330,"")</f>
        <v/>
      </c>
      <c r="D331" s="1" t="str">
        <f t="shared" si="60"/>
        <v/>
      </c>
      <c r="E331" s="2" t="str">
        <f t="shared" si="61"/>
        <v/>
      </c>
      <c r="F331" s="1" t="str">
        <f t="shared" si="62"/>
        <v/>
      </c>
      <c r="G331" s="1" t="str">
        <f t="shared" si="63"/>
        <v/>
      </c>
      <c r="H331" s="1" t="str">
        <f t="shared" si="64"/>
        <v/>
      </c>
      <c r="K331" s="1" t="str">
        <f t="shared" si="65"/>
        <v/>
      </c>
      <c r="L331" s="1" t="str">
        <f t="shared" si="66"/>
        <v/>
      </c>
      <c r="M331" s="1" t="str">
        <f t="shared" si="67"/>
        <v/>
      </c>
      <c r="N331" s="1" t="str">
        <f t="shared" si="68"/>
        <v/>
      </c>
      <c r="O331" s="1" t="str">
        <f t="shared" si="69"/>
        <v/>
      </c>
      <c r="P331" s="1" t="str">
        <f t="shared" si="70"/>
        <v/>
      </c>
      <c r="R331" s="1" t="str">
        <f t="shared" si="71"/>
        <v/>
      </c>
    </row>
    <row r="332" spans="1:18" x14ac:dyDescent="0.2">
      <c r="A332" t="str">
        <f>IF(COUNTBLANK(B332:R332)&lt;&gt;COLUMNS(B332:R332),331,"")</f>
        <v/>
      </c>
      <c r="D332" s="1" t="str">
        <f t="shared" si="60"/>
        <v/>
      </c>
      <c r="E332" s="2" t="str">
        <f t="shared" si="61"/>
        <v/>
      </c>
      <c r="F332" s="1" t="str">
        <f t="shared" si="62"/>
        <v/>
      </c>
      <c r="G332" s="1" t="str">
        <f t="shared" si="63"/>
        <v/>
      </c>
      <c r="H332" s="1" t="str">
        <f t="shared" si="64"/>
        <v/>
      </c>
      <c r="K332" s="1" t="str">
        <f t="shared" si="65"/>
        <v/>
      </c>
      <c r="L332" s="1" t="str">
        <f t="shared" si="66"/>
        <v/>
      </c>
      <c r="M332" s="1" t="str">
        <f t="shared" si="67"/>
        <v/>
      </c>
      <c r="N332" s="1" t="str">
        <f t="shared" si="68"/>
        <v/>
      </c>
      <c r="O332" s="1" t="str">
        <f t="shared" si="69"/>
        <v/>
      </c>
      <c r="P332" s="1" t="str">
        <f t="shared" si="70"/>
        <v/>
      </c>
      <c r="R332" s="1" t="str">
        <f t="shared" si="71"/>
        <v/>
      </c>
    </row>
    <row r="333" spans="1:18" x14ac:dyDescent="0.2">
      <c r="A333" t="str">
        <f>IF(COUNTBLANK(B333:R333)&lt;&gt;COLUMNS(B333:R333),332,"")</f>
        <v/>
      </c>
      <c r="D333" s="1" t="str">
        <f t="shared" si="60"/>
        <v/>
      </c>
      <c r="E333" s="2" t="str">
        <f t="shared" si="61"/>
        <v/>
      </c>
      <c r="F333" s="1" t="str">
        <f t="shared" si="62"/>
        <v/>
      </c>
      <c r="G333" s="1" t="str">
        <f t="shared" si="63"/>
        <v/>
      </c>
      <c r="H333" s="1" t="str">
        <f t="shared" si="64"/>
        <v/>
      </c>
      <c r="K333" s="1" t="str">
        <f t="shared" si="65"/>
        <v/>
      </c>
      <c r="L333" s="1" t="str">
        <f t="shared" si="66"/>
        <v/>
      </c>
      <c r="M333" s="1" t="str">
        <f t="shared" si="67"/>
        <v/>
      </c>
      <c r="N333" s="1" t="str">
        <f t="shared" si="68"/>
        <v/>
      </c>
      <c r="O333" s="1" t="str">
        <f t="shared" si="69"/>
        <v/>
      </c>
      <c r="P333" s="1" t="str">
        <f t="shared" si="70"/>
        <v/>
      </c>
      <c r="R333" s="1" t="str">
        <f t="shared" si="71"/>
        <v/>
      </c>
    </row>
    <row r="334" spans="1:18" x14ac:dyDescent="0.2">
      <c r="A334" t="str">
        <f>IF(COUNTBLANK(B334:R334)&lt;&gt;COLUMNS(B334:R334),333,"")</f>
        <v/>
      </c>
      <c r="D334" s="1" t="str">
        <f t="shared" si="60"/>
        <v/>
      </c>
      <c r="E334" s="2" t="str">
        <f t="shared" si="61"/>
        <v/>
      </c>
      <c r="F334" s="1" t="str">
        <f t="shared" si="62"/>
        <v/>
      </c>
      <c r="G334" s="1" t="str">
        <f t="shared" si="63"/>
        <v/>
      </c>
      <c r="H334" s="1" t="str">
        <f t="shared" si="64"/>
        <v/>
      </c>
      <c r="K334" s="1" t="str">
        <f t="shared" si="65"/>
        <v/>
      </c>
      <c r="L334" s="1" t="str">
        <f t="shared" si="66"/>
        <v/>
      </c>
      <c r="M334" s="1" t="str">
        <f t="shared" si="67"/>
        <v/>
      </c>
      <c r="N334" s="1" t="str">
        <f t="shared" si="68"/>
        <v/>
      </c>
      <c r="O334" s="1" t="str">
        <f t="shared" si="69"/>
        <v/>
      </c>
      <c r="P334" s="1" t="str">
        <f t="shared" si="70"/>
        <v/>
      </c>
      <c r="R334" s="1" t="str">
        <f t="shared" si="71"/>
        <v/>
      </c>
    </row>
    <row r="335" spans="1:18" x14ac:dyDescent="0.2">
      <c r="A335" t="str">
        <f>IF(COUNTBLANK(B335:R335)&lt;&gt;COLUMNS(B335:R335),334,"")</f>
        <v/>
      </c>
      <c r="D335" s="1" t="str">
        <f t="shared" si="60"/>
        <v/>
      </c>
      <c r="E335" s="2" t="str">
        <f t="shared" si="61"/>
        <v/>
      </c>
      <c r="F335" s="1" t="str">
        <f t="shared" si="62"/>
        <v/>
      </c>
      <c r="G335" s="1" t="str">
        <f t="shared" si="63"/>
        <v/>
      </c>
      <c r="H335" s="1" t="str">
        <f t="shared" si="64"/>
        <v/>
      </c>
      <c r="K335" s="1" t="str">
        <f t="shared" si="65"/>
        <v/>
      </c>
      <c r="L335" s="1" t="str">
        <f t="shared" si="66"/>
        <v/>
      </c>
      <c r="M335" s="1" t="str">
        <f t="shared" si="67"/>
        <v/>
      </c>
      <c r="N335" s="1" t="str">
        <f t="shared" si="68"/>
        <v/>
      </c>
      <c r="O335" s="1" t="str">
        <f t="shared" si="69"/>
        <v/>
      </c>
      <c r="P335" s="1" t="str">
        <f t="shared" si="70"/>
        <v/>
      </c>
      <c r="R335" s="1" t="str">
        <f t="shared" si="71"/>
        <v/>
      </c>
    </row>
    <row r="336" spans="1:18" x14ac:dyDescent="0.2">
      <c r="A336" t="str">
        <f>IF(COUNTBLANK(B336:R336)&lt;&gt;COLUMNS(B336:R336),335,"")</f>
        <v/>
      </c>
      <c r="D336" s="1" t="str">
        <f t="shared" si="60"/>
        <v/>
      </c>
      <c r="E336" s="2" t="str">
        <f t="shared" si="61"/>
        <v/>
      </c>
      <c r="F336" s="1" t="str">
        <f t="shared" si="62"/>
        <v/>
      </c>
      <c r="G336" s="1" t="str">
        <f t="shared" si="63"/>
        <v/>
      </c>
      <c r="H336" s="1" t="str">
        <f t="shared" si="64"/>
        <v/>
      </c>
      <c r="K336" s="1" t="str">
        <f t="shared" si="65"/>
        <v/>
      </c>
      <c r="L336" s="1" t="str">
        <f t="shared" si="66"/>
        <v/>
      </c>
      <c r="M336" s="1" t="str">
        <f t="shared" si="67"/>
        <v/>
      </c>
      <c r="N336" s="1" t="str">
        <f t="shared" si="68"/>
        <v/>
      </c>
      <c r="O336" s="1" t="str">
        <f t="shared" si="69"/>
        <v/>
      </c>
      <c r="P336" s="1" t="str">
        <f t="shared" si="70"/>
        <v/>
      </c>
      <c r="R336" s="1" t="str">
        <f t="shared" si="71"/>
        <v/>
      </c>
    </row>
    <row r="337" spans="1:18" x14ac:dyDescent="0.2">
      <c r="A337" t="str">
        <f>IF(COUNTBLANK(B337:R337)&lt;&gt;COLUMNS(B337:R337),336,"")</f>
        <v/>
      </c>
      <c r="D337" s="1" t="str">
        <f t="shared" si="60"/>
        <v/>
      </c>
      <c r="E337" s="2" t="str">
        <f t="shared" si="61"/>
        <v/>
      </c>
      <c r="F337" s="1" t="str">
        <f t="shared" si="62"/>
        <v/>
      </c>
      <c r="G337" s="1" t="str">
        <f t="shared" si="63"/>
        <v/>
      </c>
      <c r="H337" s="1" t="str">
        <f t="shared" si="64"/>
        <v/>
      </c>
      <c r="K337" s="1" t="str">
        <f t="shared" si="65"/>
        <v/>
      </c>
      <c r="L337" s="1" t="str">
        <f t="shared" si="66"/>
        <v/>
      </c>
      <c r="M337" s="1" t="str">
        <f t="shared" si="67"/>
        <v/>
      </c>
      <c r="N337" s="1" t="str">
        <f t="shared" si="68"/>
        <v/>
      </c>
      <c r="O337" s="1" t="str">
        <f t="shared" si="69"/>
        <v/>
      </c>
      <c r="P337" s="1" t="str">
        <f t="shared" si="70"/>
        <v/>
      </c>
      <c r="R337" s="1" t="str">
        <f t="shared" si="71"/>
        <v/>
      </c>
    </row>
    <row r="338" spans="1:18" x14ac:dyDescent="0.2">
      <c r="A338" t="str">
        <f>IF(COUNTBLANK(B338:R338)&lt;&gt;COLUMNS(B338:R338),337,"")</f>
        <v/>
      </c>
      <c r="D338" s="1" t="str">
        <f t="shared" si="60"/>
        <v/>
      </c>
      <c r="E338" s="2" t="str">
        <f t="shared" si="61"/>
        <v/>
      </c>
      <c r="F338" s="1" t="str">
        <f t="shared" si="62"/>
        <v/>
      </c>
      <c r="G338" s="1" t="str">
        <f t="shared" si="63"/>
        <v/>
      </c>
      <c r="H338" s="1" t="str">
        <f t="shared" si="64"/>
        <v/>
      </c>
      <c r="K338" s="1" t="str">
        <f t="shared" si="65"/>
        <v/>
      </c>
      <c r="L338" s="1" t="str">
        <f t="shared" si="66"/>
        <v/>
      </c>
      <c r="M338" s="1" t="str">
        <f t="shared" si="67"/>
        <v/>
      </c>
      <c r="N338" s="1" t="str">
        <f t="shared" si="68"/>
        <v/>
      </c>
      <c r="O338" s="1" t="str">
        <f t="shared" si="69"/>
        <v/>
      </c>
      <c r="P338" s="1" t="str">
        <f t="shared" si="70"/>
        <v/>
      </c>
      <c r="R338" s="1" t="str">
        <f t="shared" si="71"/>
        <v/>
      </c>
    </row>
    <row r="339" spans="1:18" x14ac:dyDescent="0.2">
      <c r="A339" t="str">
        <f>IF(COUNTBLANK(B339:R339)&lt;&gt;COLUMNS(B339:R339),338,"")</f>
        <v/>
      </c>
      <c r="D339" s="1" t="str">
        <f t="shared" si="60"/>
        <v/>
      </c>
      <c r="E339" s="2" t="str">
        <f t="shared" si="61"/>
        <v/>
      </c>
      <c r="F339" s="1" t="str">
        <f t="shared" si="62"/>
        <v/>
      </c>
      <c r="G339" s="1" t="str">
        <f t="shared" si="63"/>
        <v/>
      </c>
      <c r="H339" s="1" t="str">
        <f t="shared" si="64"/>
        <v/>
      </c>
      <c r="K339" s="1" t="str">
        <f t="shared" si="65"/>
        <v/>
      </c>
      <c r="L339" s="1" t="str">
        <f t="shared" si="66"/>
        <v/>
      </c>
      <c r="M339" s="1" t="str">
        <f t="shared" si="67"/>
        <v/>
      </c>
      <c r="N339" s="1" t="str">
        <f t="shared" si="68"/>
        <v/>
      </c>
      <c r="O339" s="1" t="str">
        <f t="shared" si="69"/>
        <v/>
      </c>
      <c r="P339" s="1" t="str">
        <f t="shared" si="70"/>
        <v/>
      </c>
      <c r="R339" s="1" t="str">
        <f t="shared" si="71"/>
        <v/>
      </c>
    </row>
    <row r="340" spans="1:18" x14ac:dyDescent="0.2">
      <c r="A340" t="str">
        <f>IF(COUNTBLANK(B340:R340)&lt;&gt;COLUMNS(B340:R340),339,"")</f>
        <v/>
      </c>
      <c r="D340" s="1" t="str">
        <f t="shared" si="60"/>
        <v/>
      </c>
      <c r="E340" s="2" t="str">
        <f t="shared" si="61"/>
        <v/>
      </c>
      <c r="F340" s="1" t="str">
        <f t="shared" si="62"/>
        <v/>
      </c>
      <c r="G340" s="1" t="str">
        <f t="shared" si="63"/>
        <v/>
      </c>
      <c r="H340" s="1" t="str">
        <f t="shared" si="64"/>
        <v/>
      </c>
      <c r="K340" s="1" t="str">
        <f t="shared" si="65"/>
        <v/>
      </c>
      <c r="L340" s="1" t="str">
        <f t="shared" si="66"/>
        <v/>
      </c>
      <c r="M340" s="1" t="str">
        <f t="shared" si="67"/>
        <v/>
      </c>
      <c r="N340" s="1" t="str">
        <f t="shared" si="68"/>
        <v/>
      </c>
      <c r="O340" s="1" t="str">
        <f t="shared" si="69"/>
        <v/>
      </c>
      <c r="P340" s="1" t="str">
        <f t="shared" si="70"/>
        <v/>
      </c>
      <c r="R340" s="1" t="str">
        <f t="shared" si="71"/>
        <v/>
      </c>
    </row>
    <row r="341" spans="1:18" x14ac:dyDescent="0.2">
      <c r="A341" t="str">
        <f>IF(COUNTBLANK(B341:R341)&lt;&gt;COLUMNS(B341:R341),340,"")</f>
        <v/>
      </c>
      <c r="D341" s="1" t="str">
        <f t="shared" si="60"/>
        <v/>
      </c>
      <c r="E341" s="2" t="str">
        <f t="shared" si="61"/>
        <v/>
      </c>
      <c r="F341" s="1" t="str">
        <f t="shared" si="62"/>
        <v/>
      </c>
      <c r="G341" s="1" t="str">
        <f t="shared" si="63"/>
        <v/>
      </c>
      <c r="H341" s="1" t="str">
        <f t="shared" si="64"/>
        <v/>
      </c>
      <c r="K341" s="1" t="str">
        <f t="shared" si="65"/>
        <v/>
      </c>
      <c r="L341" s="1" t="str">
        <f t="shared" si="66"/>
        <v/>
      </c>
      <c r="M341" s="1" t="str">
        <f t="shared" si="67"/>
        <v/>
      </c>
      <c r="N341" s="1" t="str">
        <f t="shared" si="68"/>
        <v/>
      </c>
      <c r="O341" s="1" t="str">
        <f t="shared" si="69"/>
        <v/>
      </c>
      <c r="P341" s="1" t="str">
        <f t="shared" si="70"/>
        <v/>
      </c>
      <c r="R341" s="1" t="str">
        <f t="shared" si="71"/>
        <v/>
      </c>
    </row>
    <row r="342" spans="1:18" x14ac:dyDescent="0.2">
      <c r="A342" t="str">
        <f>IF(COUNTBLANK(B342:R342)&lt;&gt;COLUMNS(B342:R342),341,"")</f>
        <v/>
      </c>
      <c r="D342" s="1" t="str">
        <f t="shared" si="60"/>
        <v/>
      </c>
      <c r="E342" s="2" t="str">
        <f t="shared" si="61"/>
        <v/>
      </c>
      <c r="F342" s="1" t="str">
        <f t="shared" si="62"/>
        <v/>
      </c>
      <c r="G342" s="1" t="str">
        <f t="shared" si="63"/>
        <v/>
      </c>
      <c r="H342" s="1" t="str">
        <f t="shared" si="64"/>
        <v/>
      </c>
      <c r="K342" s="1" t="str">
        <f t="shared" si="65"/>
        <v/>
      </c>
      <c r="L342" s="1" t="str">
        <f t="shared" si="66"/>
        <v/>
      </c>
      <c r="M342" s="1" t="str">
        <f t="shared" si="67"/>
        <v/>
      </c>
      <c r="N342" s="1" t="str">
        <f t="shared" si="68"/>
        <v/>
      </c>
      <c r="O342" s="1" t="str">
        <f t="shared" si="69"/>
        <v/>
      </c>
      <c r="P342" s="1" t="str">
        <f t="shared" si="70"/>
        <v/>
      </c>
      <c r="R342" s="1" t="str">
        <f t="shared" si="71"/>
        <v/>
      </c>
    </row>
    <row r="343" spans="1:18" x14ac:dyDescent="0.2">
      <c r="A343" t="str">
        <f>IF(COUNTBLANK(B343:R343)&lt;&gt;COLUMNS(B343:R343),342,"")</f>
        <v/>
      </c>
      <c r="D343" s="1" t="str">
        <f t="shared" si="60"/>
        <v/>
      </c>
      <c r="E343" s="2" t="str">
        <f t="shared" si="61"/>
        <v/>
      </c>
      <c r="F343" s="1" t="str">
        <f t="shared" si="62"/>
        <v/>
      </c>
      <c r="G343" s="1" t="str">
        <f t="shared" si="63"/>
        <v/>
      </c>
      <c r="H343" s="1" t="str">
        <f t="shared" si="64"/>
        <v/>
      </c>
      <c r="K343" s="1" t="str">
        <f t="shared" si="65"/>
        <v/>
      </c>
      <c r="L343" s="1" t="str">
        <f t="shared" si="66"/>
        <v/>
      </c>
      <c r="M343" s="1" t="str">
        <f t="shared" si="67"/>
        <v/>
      </c>
      <c r="N343" s="1" t="str">
        <f t="shared" si="68"/>
        <v/>
      </c>
      <c r="O343" s="1" t="str">
        <f t="shared" si="69"/>
        <v/>
      </c>
      <c r="P343" s="1" t="str">
        <f t="shared" si="70"/>
        <v/>
      </c>
      <c r="R343" s="1" t="str">
        <f t="shared" si="71"/>
        <v/>
      </c>
    </row>
    <row r="344" spans="1:18" x14ac:dyDescent="0.2">
      <c r="A344" t="str">
        <f>IF(COUNTBLANK(B344:R344)&lt;&gt;COLUMNS(B344:R344),343,"")</f>
        <v/>
      </c>
      <c r="D344" s="1" t="str">
        <f t="shared" si="60"/>
        <v/>
      </c>
      <c r="E344" s="2" t="str">
        <f t="shared" si="61"/>
        <v/>
      </c>
      <c r="F344" s="1" t="str">
        <f t="shared" si="62"/>
        <v/>
      </c>
      <c r="G344" s="1" t="str">
        <f t="shared" si="63"/>
        <v/>
      </c>
      <c r="H344" s="1" t="str">
        <f t="shared" si="64"/>
        <v/>
      </c>
      <c r="K344" s="1" t="str">
        <f t="shared" si="65"/>
        <v/>
      </c>
      <c r="L344" s="1" t="str">
        <f t="shared" si="66"/>
        <v/>
      </c>
      <c r="M344" s="1" t="str">
        <f t="shared" si="67"/>
        <v/>
      </c>
      <c r="N344" s="1" t="str">
        <f t="shared" si="68"/>
        <v/>
      </c>
      <c r="O344" s="1" t="str">
        <f t="shared" si="69"/>
        <v/>
      </c>
      <c r="P344" s="1" t="str">
        <f t="shared" si="70"/>
        <v/>
      </c>
      <c r="R344" s="1" t="str">
        <f t="shared" si="71"/>
        <v/>
      </c>
    </row>
    <row r="345" spans="1:18" x14ac:dyDescent="0.2">
      <c r="A345" t="str">
        <f>IF(COUNTBLANK(B345:R345)&lt;&gt;COLUMNS(B345:R345),344,"")</f>
        <v/>
      </c>
      <c r="D345" s="1" t="str">
        <f t="shared" si="60"/>
        <v/>
      </c>
      <c r="E345" s="2" t="str">
        <f t="shared" si="61"/>
        <v/>
      </c>
      <c r="F345" s="1" t="str">
        <f t="shared" si="62"/>
        <v/>
      </c>
      <c r="G345" s="1" t="str">
        <f t="shared" si="63"/>
        <v/>
      </c>
      <c r="H345" s="1" t="str">
        <f t="shared" si="64"/>
        <v/>
      </c>
      <c r="K345" s="1" t="str">
        <f t="shared" si="65"/>
        <v/>
      </c>
      <c r="L345" s="1" t="str">
        <f t="shared" si="66"/>
        <v/>
      </c>
      <c r="M345" s="1" t="str">
        <f t="shared" si="67"/>
        <v/>
      </c>
      <c r="N345" s="1" t="str">
        <f t="shared" si="68"/>
        <v/>
      </c>
      <c r="O345" s="1" t="str">
        <f t="shared" si="69"/>
        <v/>
      </c>
      <c r="P345" s="1" t="str">
        <f t="shared" si="70"/>
        <v/>
      </c>
      <c r="R345" s="1" t="str">
        <f t="shared" si="71"/>
        <v/>
      </c>
    </row>
    <row r="346" spans="1:18" x14ac:dyDescent="0.2">
      <c r="A346" t="str">
        <f>IF(COUNTBLANK(B346:R346)&lt;&gt;COLUMNS(B346:R346),345,"")</f>
        <v/>
      </c>
      <c r="D346" s="1" t="str">
        <f t="shared" si="60"/>
        <v/>
      </c>
      <c r="E346" s="2" t="str">
        <f t="shared" si="61"/>
        <v/>
      </c>
      <c r="F346" s="1" t="str">
        <f t="shared" si="62"/>
        <v/>
      </c>
      <c r="G346" s="1" t="str">
        <f t="shared" si="63"/>
        <v/>
      </c>
      <c r="H346" s="1" t="str">
        <f t="shared" si="64"/>
        <v/>
      </c>
      <c r="K346" s="1" t="str">
        <f t="shared" si="65"/>
        <v/>
      </c>
      <c r="L346" s="1" t="str">
        <f t="shared" si="66"/>
        <v/>
      </c>
      <c r="M346" s="1" t="str">
        <f t="shared" si="67"/>
        <v/>
      </c>
      <c r="N346" s="1" t="str">
        <f t="shared" si="68"/>
        <v/>
      </c>
      <c r="O346" s="1" t="str">
        <f t="shared" si="69"/>
        <v/>
      </c>
      <c r="P346" s="1" t="str">
        <f t="shared" si="70"/>
        <v/>
      </c>
      <c r="R346" s="1" t="str">
        <f t="shared" si="71"/>
        <v/>
      </c>
    </row>
    <row r="347" spans="1:18" x14ac:dyDescent="0.2">
      <c r="A347" t="str">
        <f>IF(COUNTBLANK(B347:R347)&lt;&gt;COLUMNS(B347:R347),346,"")</f>
        <v/>
      </c>
      <c r="D347" s="1" t="str">
        <f t="shared" si="60"/>
        <v/>
      </c>
      <c r="E347" s="2" t="str">
        <f t="shared" si="61"/>
        <v/>
      </c>
      <c r="F347" s="1" t="str">
        <f t="shared" si="62"/>
        <v/>
      </c>
      <c r="G347" s="1" t="str">
        <f t="shared" si="63"/>
        <v/>
      </c>
      <c r="H347" s="1" t="str">
        <f t="shared" si="64"/>
        <v/>
      </c>
      <c r="K347" s="1" t="str">
        <f t="shared" si="65"/>
        <v/>
      </c>
      <c r="L347" s="1" t="str">
        <f t="shared" si="66"/>
        <v/>
      </c>
      <c r="M347" s="1" t="str">
        <f t="shared" si="67"/>
        <v/>
      </c>
      <c r="N347" s="1" t="str">
        <f t="shared" si="68"/>
        <v/>
      </c>
      <c r="O347" s="1" t="str">
        <f t="shared" si="69"/>
        <v/>
      </c>
      <c r="P347" s="1" t="str">
        <f t="shared" si="70"/>
        <v/>
      </c>
      <c r="R347" s="1" t="str">
        <f t="shared" si="71"/>
        <v/>
      </c>
    </row>
    <row r="348" spans="1:18" x14ac:dyDescent="0.2">
      <c r="A348" t="str">
        <f>IF(COUNTBLANK(B348:R348)&lt;&gt;COLUMNS(B348:R348),347,"")</f>
        <v/>
      </c>
      <c r="D348" s="1" t="str">
        <f t="shared" si="60"/>
        <v/>
      </c>
      <c r="E348" s="2" t="str">
        <f t="shared" si="61"/>
        <v/>
      </c>
      <c r="F348" s="1" t="str">
        <f t="shared" si="62"/>
        <v/>
      </c>
      <c r="G348" s="1" t="str">
        <f t="shared" si="63"/>
        <v/>
      </c>
      <c r="H348" s="1" t="str">
        <f t="shared" si="64"/>
        <v/>
      </c>
      <c r="K348" s="1" t="str">
        <f t="shared" si="65"/>
        <v/>
      </c>
      <c r="L348" s="1" t="str">
        <f t="shared" si="66"/>
        <v/>
      </c>
      <c r="M348" s="1" t="str">
        <f t="shared" si="67"/>
        <v/>
      </c>
      <c r="N348" s="1" t="str">
        <f t="shared" si="68"/>
        <v/>
      </c>
      <c r="O348" s="1" t="str">
        <f t="shared" si="69"/>
        <v/>
      </c>
      <c r="P348" s="1" t="str">
        <f t="shared" si="70"/>
        <v/>
      </c>
      <c r="R348" s="1" t="str">
        <f t="shared" si="71"/>
        <v/>
      </c>
    </row>
    <row r="349" spans="1:18" x14ac:dyDescent="0.2">
      <c r="A349" t="str">
        <f>IF(COUNTBLANK(B349:R349)&lt;&gt;COLUMNS(B349:R349),348,"")</f>
        <v/>
      </c>
      <c r="D349" s="1" t="str">
        <f t="shared" si="60"/>
        <v/>
      </c>
      <c r="E349" s="2" t="str">
        <f t="shared" si="61"/>
        <v/>
      </c>
      <c r="F349" s="1" t="str">
        <f t="shared" si="62"/>
        <v/>
      </c>
      <c r="G349" s="1" t="str">
        <f t="shared" si="63"/>
        <v/>
      </c>
      <c r="H349" s="1" t="str">
        <f t="shared" si="64"/>
        <v/>
      </c>
      <c r="K349" s="1" t="str">
        <f t="shared" si="65"/>
        <v/>
      </c>
      <c r="L349" s="1" t="str">
        <f t="shared" si="66"/>
        <v/>
      </c>
      <c r="M349" s="1" t="str">
        <f t="shared" si="67"/>
        <v/>
      </c>
      <c r="N349" s="1" t="str">
        <f t="shared" si="68"/>
        <v/>
      </c>
      <c r="O349" s="1" t="str">
        <f t="shared" si="69"/>
        <v/>
      </c>
      <c r="P349" s="1" t="str">
        <f t="shared" si="70"/>
        <v/>
      </c>
      <c r="R349" s="1" t="str">
        <f t="shared" si="71"/>
        <v/>
      </c>
    </row>
    <row r="350" spans="1:18" x14ac:dyDescent="0.2">
      <c r="A350" t="str">
        <f>IF(COUNTBLANK(B350:R350)&lt;&gt;COLUMNS(B350:R350),349,"")</f>
        <v/>
      </c>
      <c r="D350" s="1" t="str">
        <f t="shared" si="60"/>
        <v/>
      </c>
      <c r="E350" s="2" t="str">
        <f t="shared" si="61"/>
        <v/>
      </c>
      <c r="F350" s="1" t="str">
        <f t="shared" si="62"/>
        <v/>
      </c>
      <c r="G350" s="1" t="str">
        <f t="shared" si="63"/>
        <v/>
      </c>
      <c r="H350" s="1" t="str">
        <f t="shared" si="64"/>
        <v/>
      </c>
      <c r="K350" s="1" t="str">
        <f t="shared" si="65"/>
        <v/>
      </c>
      <c r="L350" s="1" t="str">
        <f t="shared" si="66"/>
        <v/>
      </c>
      <c r="M350" s="1" t="str">
        <f t="shared" si="67"/>
        <v/>
      </c>
      <c r="N350" s="1" t="str">
        <f t="shared" si="68"/>
        <v/>
      </c>
      <c r="O350" s="1" t="str">
        <f t="shared" si="69"/>
        <v/>
      </c>
      <c r="P350" s="1" t="str">
        <f t="shared" si="70"/>
        <v/>
      </c>
      <c r="R350" s="1" t="str">
        <f t="shared" si="71"/>
        <v/>
      </c>
    </row>
    <row r="351" spans="1:18" x14ac:dyDescent="0.2">
      <c r="A351" t="str">
        <f>IF(COUNTBLANK(B351:R351)&lt;&gt;COLUMNS(B351:R351),350,"")</f>
        <v/>
      </c>
      <c r="D351" s="1" t="str">
        <f t="shared" si="60"/>
        <v/>
      </c>
      <c r="E351" s="2" t="str">
        <f t="shared" si="61"/>
        <v/>
      </c>
      <c r="F351" s="1" t="str">
        <f t="shared" si="62"/>
        <v/>
      </c>
      <c r="G351" s="1" t="str">
        <f t="shared" si="63"/>
        <v/>
      </c>
      <c r="H351" s="1" t="str">
        <f t="shared" si="64"/>
        <v/>
      </c>
      <c r="K351" s="1" t="str">
        <f t="shared" si="65"/>
        <v/>
      </c>
      <c r="L351" s="1" t="str">
        <f t="shared" si="66"/>
        <v/>
      </c>
      <c r="M351" s="1" t="str">
        <f t="shared" si="67"/>
        <v/>
      </c>
      <c r="N351" s="1" t="str">
        <f t="shared" si="68"/>
        <v/>
      </c>
      <c r="O351" s="1" t="str">
        <f t="shared" si="69"/>
        <v/>
      </c>
      <c r="P351" s="1" t="str">
        <f t="shared" si="70"/>
        <v/>
      </c>
      <c r="R351" s="1" t="str">
        <f t="shared" si="71"/>
        <v/>
      </c>
    </row>
    <row r="352" spans="1:18" x14ac:dyDescent="0.2">
      <c r="A352" t="str">
        <f>IF(COUNTBLANK(B352:R352)&lt;&gt;COLUMNS(B352:R352),351,"")</f>
        <v/>
      </c>
      <c r="D352" s="1" t="str">
        <f t="shared" si="60"/>
        <v/>
      </c>
      <c r="E352" s="2" t="str">
        <f t="shared" si="61"/>
        <v/>
      </c>
      <c r="F352" s="1" t="str">
        <f t="shared" si="62"/>
        <v/>
      </c>
      <c r="G352" s="1" t="str">
        <f t="shared" si="63"/>
        <v/>
      </c>
      <c r="H352" s="1" t="str">
        <f t="shared" si="64"/>
        <v/>
      </c>
      <c r="K352" s="1" t="str">
        <f t="shared" si="65"/>
        <v/>
      </c>
      <c r="L352" s="1" t="str">
        <f t="shared" si="66"/>
        <v/>
      </c>
      <c r="M352" s="1" t="str">
        <f t="shared" si="67"/>
        <v/>
      </c>
      <c r="N352" s="1" t="str">
        <f t="shared" si="68"/>
        <v/>
      </c>
      <c r="O352" s="1" t="str">
        <f t="shared" si="69"/>
        <v/>
      </c>
      <c r="P352" s="1" t="str">
        <f t="shared" si="70"/>
        <v/>
      </c>
      <c r="R352" s="1" t="str">
        <f t="shared" si="71"/>
        <v/>
      </c>
    </row>
    <row r="353" spans="1:18" x14ac:dyDescent="0.2">
      <c r="A353" t="str">
        <f>IF(COUNTBLANK(B353:R353)&lt;&gt;COLUMNS(B353:R353),352,"")</f>
        <v/>
      </c>
      <c r="D353" s="1" t="str">
        <f t="shared" si="60"/>
        <v/>
      </c>
      <c r="E353" s="2" t="str">
        <f t="shared" si="61"/>
        <v/>
      </c>
      <c r="F353" s="1" t="str">
        <f t="shared" si="62"/>
        <v/>
      </c>
      <c r="G353" s="1" t="str">
        <f t="shared" si="63"/>
        <v/>
      </c>
      <c r="H353" s="1" t="str">
        <f t="shared" si="64"/>
        <v/>
      </c>
      <c r="K353" s="1" t="str">
        <f t="shared" si="65"/>
        <v/>
      </c>
      <c r="L353" s="1" t="str">
        <f t="shared" si="66"/>
        <v/>
      </c>
      <c r="M353" s="1" t="str">
        <f t="shared" si="67"/>
        <v/>
      </c>
      <c r="N353" s="1" t="str">
        <f t="shared" si="68"/>
        <v/>
      </c>
      <c r="O353" s="1" t="str">
        <f t="shared" si="69"/>
        <v/>
      </c>
      <c r="P353" s="1" t="str">
        <f t="shared" si="70"/>
        <v/>
      </c>
      <c r="R353" s="1" t="str">
        <f t="shared" si="71"/>
        <v/>
      </c>
    </row>
    <row r="354" spans="1:18" x14ac:dyDescent="0.2">
      <c r="A354" t="str">
        <f>IF(COUNTBLANK(B354:R354)&lt;&gt;COLUMNS(B354:R354),353,"")</f>
        <v/>
      </c>
      <c r="D354" s="1" t="str">
        <f t="shared" si="60"/>
        <v/>
      </c>
      <c r="E354" s="2" t="str">
        <f t="shared" si="61"/>
        <v/>
      </c>
      <c r="F354" s="1" t="str">
        <f t="shared" si="62"/>
        <v/>
      </c>
      <c r="G354" s="1" t="str">
        <f t="shared" si="63"/>
        <v/>
      </c>
      <c r="H354" s="1" t="str">
        <f t="shared" si="64"/>
        <v/>
      </c>
      <c r="K354" s="1" t="str">
        <f t="shared" si="65"/>
        <v/>
      </c>
      <c r="L354" s="1" t="str">
        <f t="shared" si="66"/>
        <v/>
      </c>
      <c r="M354" s="1" t="str">
        <f t="shared" si="67"/>
        <v/>
      </c>
      <c r="N354" s="1" t="str">
        <f t="shared" si="68"/>
        <v/>
      </c>
      <c r="O354" s="1" t="str">
        <f t="shared" si="69"/>
        <v/>
      </c>
      <c r="P354" s="1" t="str">
        <f t="shared" si="70"/>
        <v/>
      </c>
      <c r="R354" s="1" t="str">
        <f t="shared" si="71"/>
        <v/>
      </c>
    </row>
    <row r="355" spans="1:18" x14ac:dyDescent="0.2">
      <c r="A355" t="str">
        <f>IF(COUNTBLANK(B355:R355)&lt;&gt;COLUMNS(B355:R355),354,"")</f>
        <v/>
      </c>
      <c r="D355" s="1" t="str">
        <f t="shared" si="60"/>
        <v/>
      </c>
      <c r="E355" s="2" t="str">
        <f t="shared" si="61"/>
        <v/>
      </c>
      <c r="F355" s="1" t="str">
        <f t="shared" si="62"/>
        <v/>
      </c>
      <c r="G355" s="1" t="str">
        <f t="shared" si="63"/>
        <v/>
      </c>
      <c r="H355" s="1" t="str">
        <f t="shared" si="64"/>
        <v/>
      </c>
      <c r="K355" s="1" t="str">
        <f t="shared" si="65"/>
        <v/>
      </c>
      <c r="L355" s="1" t="str">
        <f t="shared" si="66"/>
        <v/>
      </c>
      <c r="M355" s="1" t="str">
        <f t="shared" si="67"/>
        <v/>
      </c>
      <c r="N355" s="1" t="str">
        <f t="shared" si="68"/>
        <v/>
      </c>
      <c r="O355" s="1" t="str">
        <f t="shared" si="69"/>
        <v/>
      </c>
      <c r="P355" s="1" t="str">
        <f t="shared" si="70"/>
        <v/>
      </c>
      <c r="R355" s="1" t="str">
        <f t="shared" si="71"/>
        <v/>
      </c>
    </row>
    <row r="356" spans="1:18" x14ac:dyDescent="0.2">
      <c r="A356" t="str">
        <f>IF(COUNTBLANK(B356:R356)&lt;&gt;COLUMNS(B356:R356),355,"")</f>
        <v/>
      </c>
      <c r="D356" s="1" t="str">
        <f t="shared" si="60"/>
        <v/>
      </c>
      <c r="E356" s="2" t="str">
        <f t="shared" si="61"/>
        <v/>
      </c>
      <c r="F356" s="1" t="str">
        <f t="shared" si="62"/>
        <v/>
      </c>
      <c r="G356" s="1" t="str">
        <f t="shared" si="63"/>
        <v/>
      </c>
      <c r="H356" s="1" t="str">
        <f t="shared" si="64"/>
        <v/>
      </c>
      <c r="K356" s="1" t="str">
        <f t="shared" si="65"/>
        <v/>
      </c>
      <c r="L356" s="1" t="str">
        <f t="shared" si="66"/>
        <v/>
      </c>
      <c r="M356" s="1" t="str">
        <f t="shared" si="67"/>
        <v/>
      </c>
      <c r="N356" s="1" t="str">
        <f t="shared" si="68"/>
        <v/>
      </c>
      <c r="O356" s="1" t="str">
        <f t="shared" si="69"/>
        <v/>
      </c>
      <c r="P356" s="1" t="str">
        <f t="shared" si="70"/>
        <v/>
      </c>
      <c r="R356" s="1" t="str">
        <f t="shared" si="71"/>
        <v/>
      </c>
    </row>
    <row r="357" spans="1:18" x14ac:dyDescent="0.2">
      <c r="A357" t="str">
        <f>IF(COUNTBLANK(B357:R357)&lt;&gt;COLUMNS(B357:R357),356,"")</f>
        <v/>
      </c>
      <c r="D357" s="1" t="str">
        <f t="shared" si="60"/>
        <v/>
      </c>
      <c r="E357" s="2" t="str">
        <f t="shared" si="61"/>
        <v/>
      </c>
      <c r="F357" s="1" t="str">
        <f t="shared" si="62"/>
        <v/>
      </c>
      <c r="G357" s="1" t="str">
        <f t="shared" si="63"/>
        <v/>
      </c>
      <c r="H357" s="1" t="str">
        <f t="shared" si="64"/>
        <v/>
      </c>
      <c r="K357" s="1" t="str">
        <f t="shared" si="65"/>
        <v/>
      </c>
      <c r="L357" s="1" t="str">
        <f t="shared" si="66"/>
        <v/>
      </c>
      <c r="M357" s="1" t="str">
        <f t="shared" si="67"/>
        <v/>
      </c>
      <c r="N357" s="1" t="str">
        <f t="shared" si="68"/>
        <v/>
      </c>
      <c r="O357" s="1" t="str">
        <f t="shared" si="69"/>
        <v/>
      </c>
      <c r="P357" s="1" t="str">
        <f t="shared" si="70"/>
        <v/>
      </c>
      <c r="R357" s="1" t="str">
        <f t="shared" si="71"/>
        <v/>
      </c>
    </row>
    <row r="358" spans="1:18" x14ac:dyDescent="0.2">
      <c r="A358" t="str">
        <f>IF(COUNTBLANK(B358:R358)&lt;&gt;COLUMNS(B358:R358),357,"")</f>
        <v/>
      </c>
      <c r="D358" s="1" t="str">
        <f t="shared" si="60"/>
        <v/>
      </c>
      <c r="E358" s="2" t="str">
        <f t="shared" si="61"/>
        <v/>
      </c>
      <c r="F358" s="1" t="str">
        <f t="shared" si="62"/>
        <v/>
      </c>
      <c r="G358" s="1" t="str">
        <f t="shared" si="63"/>
        <v/>
      </c>
      <c r="H358" s="1" t="str">
        <f t="shared" si="64"/>
        <v/>
      </c>
      <c r="K358" s="1" t="str">
        <f t="shared" si="65"/>
        <v/>
      </c>
      <c r="L358" s="1" t="str">
        <f t="shared" si="66"/>
        <v/>
      </c>
      <c r="M358" s="1" t="str">
        <f t="shared" si="67"/>
        <v/>
      </c>
      <c r="N358" s="1" t="str">
        <f t="shared" si="68"/>
        <v/>
      </c>
      <c r="O358" s="1" t="str">
        <f t="shared" si="69"/>
        <v/>
      </c>
      <c r="P358" s="1" t="str">
        <f t="shared" si="70"/>
        <v/>
      </c>
      <c r="R358" s="1" t="str">
        <f t="shared" si="71"/>
        <v/>
      </c>
    </row>
    <row r="359" spans="1:18" x14ac:dyDescent="0.2">
      <c r="A359" t="str">
        <f>IF(COUNTBLANK(B359:R359)&lt;&gt;COLUMNS(B359:R359),358,"")</f>
        <v/>
      </c>
      <c r="D359" s="1" t="str">
        <f t="shared" si="60"/>
        <v/>
      </c>
      <c r="E359" s="2" t="str">
        <f t="shared" si="61"/>
        <v/>
      </c>
      <c r="F359" s="1" t="str">
        <f t="shared" si="62"/>
        <v/>
      </c>
      <c r="G359" s="1" t="str">
        <f t="shared" si="63"/>
        <v/>
      </c>
      <c r="H359" s="1" t="str">
        <f t="shared" si="64"/>
        <v/>
      </c>
      <c r="K359" s="1" t="str">
        <f t="shared" si="65"/>
        <v/>
      </c>
      <c r="L359" s="1" t="str">
        <f t="shared" si="66"/>
        <v/>
      </c>
      <c r="M359" s="1" t="str">
        <f t="shared" si="67"/>
        <v/>
      </c>
      <c r="N359" s="1" t="str">
        <f t="shared" si="68"/>
        <v/>
      </c>
      <c r="O359" s="1" t="str">
        <f t="shared" si="69"/>
        <v/>
      </c>
      <c r="P359" s="1" t="str">
        <f t="shared" si="70"/>
        <v/>
      </c>
      <c r="R359" s="1" t="str">
        <f t="shared" si="71"/>
        <v/>
      </c>
    </row>
    <row r="360" spans="1:18" x14ac:dyDescent="0.2">
      <c r="A360" t="str">
        <f>IF(COUNTBLANK(B360:R360)&lt;&gt;COLUMNS(B360:R360),359,"")</f>
        <v/>
      </c>
      <c r="D360" s="1" t="str">
        <f t="shared" si="60"/>
        <v/>
      </c>
      <c r="E360" s="2" t="str">
        <f t="shared" si="61"/>
        <v/>
      </c>
      <c r="F360" s="1" t="str">
        <f t="shared" si="62"/>
        <v/>
      </c>
      <c r="G360" s="1" t="str">
        <f t="shared" si="63"/>
        <v/>
      </c>
      <c r="H360" s="1" t="str">
        <f t="shared" si="64"/>
        <v/>
      </c>
      <c r="K360" s="1" t="str">
        <f t="shared" si="65"/>
        <v/>
      </c>
      <c r="L360" s="1" t="str">
        <f t="shared" si="66"/>
        <v/>
      </c>
      <c r="M360" s="1" t="str">
        <f t="shared" si="67"/>
        <v/>
      </c>
      <c r="N360" s="1" t="str">
        <f t="shared" si="68"/>
        <v/>
      </c>
      <c r="O360" s="1" t="str">
        <f t="shared" si="69"/>
        <v/>
      </c>
      <c r="P360" s="1" t="str">
        <f t="shared" si="70"/>
        <v/>
      </c>
      <c r="R360" s="1" t="str">
        <f t="shared" si="71"/>
        <v/>
      </c>
    </row>
    <row r="361" spans="1:18" x14ac:dyDescent="0.2">
      <c r="A361" t="str">
        <f>IF(COUNTBLANK(B361:R361)&lt;&gt;COLUMNS(B361:R361),360,"")</f>
        <v/>
      </c>
      <c r="D361" s="1" t="str">
        <f t="shared" si="60"/>
        <v/>
      </c>
      <c r="E361" s="2" t="str">
        <f t="shared" si="61"/>
        <v/>
      </c>
      <c r="F361" s="1" t="str">
        <f t="shared" si="62"/>
        <v/>
      </c>
      <c r="G361" s="1" t="str">
        <f t="shared" si="63"/>
        <v/>
      </c>
      <c r="H361" s="1" t="str">
        <f t="shared" si="64"/>
        <v/>
      </c>
      <c r="K361" s="1" t="str">
        <f t="shared" si="65"/>
        <v/>
      </c>
      <c r="L361" s="1" t="str">
        <f t="shared" si="66"/>
        <v/>
      </c>
      <c r="M361" s="1" t="str">
        <f t="shared" si="67"/>
        <v/>
      </c>
      <c r="N361" s="1" t="str">
        <f t="shared" si="68"/>
        <v/>
      </c>
      <c r="O361" s="1" t="str">
        <f t="shared" si="69"/>
        <v/>
      </c>
      <c r="P361" s="1" t="str">
        <f t="shared" si="70"/>
        <v/>
      </c>
      <c r="R361" s="1" t="str">
        <f t="shared" si="71"/>
        <v/>
      </c>
    </row>
    <row r="362" spans="1:18" x14ac:dyDescent="0.2">
      <c r="A362" t="str">
        <f>IF(COUNTBLANK(B362:R362)&lt;&gt;COLUMNS(B362:R362),361,"")</f>
        <v/>
      </c>
      <c r="D362" s="1" t="str">
        <f t="shared" si="60"/>
        <v/>
      </c>
      <c r="E362" s="2" t="str">
        <f t="shared" si="61"/>
        <v/>
      </c>
      <c r="F362" s="1" t="str">
        <f t="shared" si="62"/>
        <v/>
      </c>
      <c r="G362" s="1" t="str">
        <f t="shared" si="63"/>
        <v/>
      </c>
      <c r="H362" s="1" t="str">
        <f t="shared" si="64"/>
        <v/>
      </c>
      <c r="K362" s="1" t="str">
        <f t="shared" si="65"/>
        <v/>
      </c>
      <c r="L362" s="1" t="str">
        <f t="shared" si="66"/>
        <v/>
      </c>
      <c r="M362" s="1" t="str">
        <f t="shared" si="67"/>
        <v/>
      </c>
      <c r="N362" s="1" t="str">
        <f t="shared" si="68"/>
        <v/>
      </c>
      <c r="O362" s="1" t="str">
        <f t="shared" si="69"/>
        <v/>
      </c>
      <c r="P362" s="1" t="str">
        <f t="shared" si="70"/>
        <v/>
      </c>
      <c r="R362" s="1" t="str">
        <f t="shared" si="71"/>
        <v/>
      </c>
    </row>
    <row r="363" spans="1:18" x14ac:dyDescent="0.2">
      <c r="A363" t="str">
        <f>IF(COUNTBLANK(B363:R363)&lt;&gt;COLUMNS(B363:R363),362,"")</f>
        <v/>
      </c>
      <c r="D363" s="1" t="str">
        <f t="shared" si="60"/>
        <v/>
      </c>
      <c r="E363" s="2" t="str">
        <f t="shared" si="61"/>
        <v/>
      </c>
      <c r="F363" s="1" t="str">
        <f t="shared" si="62"/>
        <v/>
      </c>
      <c r="G363" s="1" t="str">
        <f t="shared" si="63"/>
        <v/>
      </c>
      <c r="H363" s="1" t="str">
        <f t="shared" si="64"/>
        <v/>
      </c>
      <c r="K363" s="1" t="str">
        <f t="shared" si="65"/>
        <v/>
      </c>
      <c r="L363" s="1" t="str">
        <f t="shared" si="66"/>
        <v/>
      </c>
      <c r="M363" s="1" t="str">
        <f t="shared" si="67"/>
        <v/>
      </c>
      <c r="N363" s="1" t="str">
        <f t="shared" si="68"/>
        <v/>
      </c>
      <c r="O363" s="1" t="str">
        <f t="shared" si="69"/>
        <v/>
      </c>
      <c r="P363" s="1" t="str">
        <f t="shared" si="70"/>
        <v/>
      </c>
      <c r="R363" s="1" t="str">
        <f t="shared" si="71"/>
        <v/>
      </c>
    </row>
    <row r="364" spans="1:18" x14ac:dyDescent="0.2">
      <c r="A364" t="str">
        <f>IF(COUNTBLANK(B364:R364)&lt;&gt;COLUMNS(B364:R364),363,"")</f>
        <v/>
      </c>
      <c r="D364" s="1" t="str">
        <f t="shared" si="60"/>
        <v/>
      </c>
      <c r="E364" s="2" t="str">
        <f t="shared" si="61"/>
        <v/>
      </c>
      <c r="F364" s="1" t="str">
        <f t="shared" si="62"/>
        <v/>
      </c>
      <c r="G364" s="1" t="str">
        <f t="shared" si="63"/>
        <v/>
      </c>
      <c r="H364" s="1" t="str">
        <f t="shared" si="64"/>
        <v/>
      </c>
      <c r="K364" s="1" t="str">
        <f t="shared" si="65"/>
        <v/>
      </c>
      <c r="L364" s="1" t="str">
        <f t="shared" si="66"/>
        <v/>
      </c>
      <c r="M364" s="1" t="str">
        <f t="shared" si="67"/>
        <v/>
      </c>
      <c r="N364" s="1" t="str">
        <f t="shared" si="68"/>
        <v/>
      </c>
      <c r="O364" s="1" t="str">
        <f t="shared" si="69"/>
        <v/>
      </c>
      <c r="P364" s="1" t="str">
        <f t="shared" si="70"/>
        <v/>
      </c>
      <c r="R364" s="1" t="str">
        <f t="shared" si="71"/>
        <v/>
      </c>
    </row>
    <row r="365" spans="1:18" x14ac:dyDescent="0.2">
      <c r="A365" t="str">
        <f>IF(COUNTBLANK(B365:R365)&lt;&gt;COLUMNS(B365:R365),364,"")</f>
        <v/>
      </c>
      <c r="D365" s="1" t="str">
        <f t="shared" si="60"/>
        <v/>
      </c>
      <c r="E365" s="2" t="str">
        <f t="shared" si="61"/>
        <v/>
      </c>
      <c r="F365" s="1" t="str">
        <f t="shared" si="62"/>
        <v/>
      </c>
      <c r="G365" s="1" t="str">
        <f t="shared" si="63"/>
        <v/>
      </c>
      <c r="H365" s="1" t="str">
        <f t="shared" si="64"/>
        <v/>
      </c>
      <c r="K365" s="1" t="str">
        <f t="shared" si="65"/>
        <v/>
      </c>
      <c r="L365" s="1" t="str">
        <f t="shared" si="66"/>
        <v/>
      </c>
      <c r="M365" s="1" t="str">
        <f t="shared" si="67"/>
        <v/>
      </c>
      <c r="N365" s="1" t="str">
        <f t="shared" si="68"/>
        <v/>
      </c>
      <c r="O365" s="1" t="str">
        <f t="shared" si="69"/>
        <v/>
      </c>
      <c r="P365" s="1" t="str">
        <f t="shared" si="70"/>
        <v/>
      </c>
      <c r="R365" s="1" t="str">
        <f t="shared" si="71"/>
        <v/>
      </c>
    </row>
    <row r="366" spans="1:18" x14ac:dyDescent="0.2">
      <c r="A366" t="str">
        <f>IF(COUNTBLANK(B366:R366)&lt;&gt;COLUMNS(B366:R366),365,"")</f>
        <v/>
      </c>
      <c r="D366" s="1" t="str">
        <f t="shared" si="60"/>
        <v/>
      </c>
      <c r="E366" s="2" t="str">
        <f t="shared" si="61"/>
        <v/>
      </c>
      <c r="F366" s="1" t="str">
        <f t="shared" si="62"/>
        <v/>
      </c>
      <c r="G366" s="1" t="str">
        <f t="shared" si="63"/>
        <v/>
      </c>
      <c r="H366" s="1" t="str">
        <f t="shared" si="64"/>
        <v/>
      </c>
      <c r="K366" s="1" t="str">
        <f t="shared" si="65"/>
        <v/>
      </c>
      <c r="L366" s="1" t="str">
        <f t="shared" si="66"/>
        <v/>
      </c>
      <c r="M366" s="1" t="str">
        <f t="shared" si="67"/>
        <v/>
      </c>
      <c r="N366" s="1" t="str">
        <f t="shared" si="68"/>
        <v/>
      </c>
      <c r="O366" s="1" t="str">
        <f t="shared" si="69"/>
        <v/>
      </c>
      <c r="P366" s="1" t="str">
        <f t="shared" si="70"/>
        <v/>
      </c>
      <c r="R366" s="1" t="str">
        <f t="shared" si="71"/>
        <v/>
      </c>
    </row>
    <row r="367" spans="1:18" x14ac:dyDescent="0.2">
      <c r="A367" t="str">
        <f>IF(COUNTBLANK(B367:R367)&lt;&gt;COLUMNS(B367:R367),366,"")</f>
        <v/>
      </c>
      <c r="D367" s="1" t="str">
        <f t="shared" si="60"/>
        <v/>
      </c>
      <c r="E367" s="2" t="str">
        <f t="shared" si="61"/>
        <v/>
      </c>
      <c r="F367" s="1" t="str">
        <f t="shared" si="62"/>
        <v/>
      </c>
      <c r="G367" s="1" t="str">
        <f t="shared" si="63"/>
        <v/>
      </c>
      <c r="H367" s="1" t="str">
        <f t="shared" si="64"/>
        <v/>
      </c>
      <c r="K367" s="1" t="str">
        <f t="shared" si="65"/>
        <v/>
      </c>
      <c r="L367" s="1" t="str">
        <f t="shared" si="66"/>
        <v/>
      </c>
      <c r="M367" s="1" t="str">
        <f t="shared" si="67"/>
        <v/>
      </c>
      <c r="N367" s="1" t="str">
        <f t="shared" si="68"/>
        <v/>
      </c>
      <c r="O367" s="1" t="str">
        <f t="shared" si="69"/>
        <v/>
      </c>
      <c r="P367" s="1" t="str">
        <f t="shared" si="70"/>
        <v/>
      </c>
      <c r="R367" s="1" t="str">
        <f t="shared" si="71"/>
        <v/>
      </c>
    </row>
    <row r="368" spans="1:18" x14ac:dyDescent="0.2">
      <c r="A368" t="str">
        <f>IF(COUNTBLANK(B368:R368)&lt;&gt;COLUMNS(B368:R368),367,"")</f>
        <v/>
      </c>
      <c r="D368" s="1" t="str">
        <f t="shared" si="60"/>
        <v/>
      </c>
      <c r="E368" s="2" t="str">
        <f t="shared" si="61"/>
        <v/>
      </c>
      <c r="F368" s="1" t="str">
        <f t="shared" si="62"/>
        <v/>
      </c>
      <c r="G368" s="1" t="str">
        <f t="shared" si="63"/>
        <v/>
      </c>
      <c r="H368" s="1" t="str">
        <f t="shared" si="64"/>
        <v/>
      </c>
      <c r="K368" s="1" t="str">
        <f t="shared" si="65"/>
        <v/>
      </c>
      <c r="L368" s="1" t="str">
        <f t="shared" si="66"/>
        <v/>
      </c>
      <c r="M368" s="1" t="str">
        <f t="shared" si="67"/>
        <v/>
      </c>
      <c r="N368" s="1" t="str">
        <f t="shared" si="68"/>
        <v/>
      </c>
      <c r="O368" s="1" t="str">
        <f t="shared" si="69"/>
        <v/>
      </c>
      <c r="P368" s="1" t="str">
        <f t="shared" si="70"/>
        <v/>
      </c>
      <c r="R368" s="1" t="str">
        <f t="shared" si="71"/>
        <v/>
      </c>
    </row>
    <row r="369" spans="1:18" x14ac:dyDescent="0.2">
      <c r="A369" t="str">
        <f>IF(COUNTBLANK(B369:R369)&lt;&gt;COLUMNS(B369:R369),368,"")</f>
        <v/>
      </c>
      <c r="D369" s="1" t="str">
        <f t="shared" si="60"/>
        <v/>
      </c>
      <c r="E369" s="2" t="str">
        <f t="shared" si="61"/>
        <v/>
      </c>
      <c r="F369" s="1" t="str">
        <f t="shared" si="62"/>
        <v/>
      </c>
      <c r="G369" s="1" t="str">
        <f t="shared" si="63"/>
        <v/>
      </c>
      <c r="H369" s="1" t="str">
        <f t="shared" si="64"/>
        <v/>
      </c>
      <c r="K369" s="1" t="str">
        <f t="shared" si="65"/>
        <v/>
      </c>
      <c r="L369" s="1" t="str">
        <f t="shared" si="66"/>
        <v/>
      </c>
      <c r="M369" s="1" t="str">
        <f t="shared" si="67"/>
        <v/>
      </c>
      <c r="N369" s="1" t="str">
        <f t="shared" si="68"/>
        <v/>
      </c>
      <c r="O369" s="1" t="str">
        <f t="shared" si="69"/>
        <v/>
      </c>
      <c r="P369" s="1" t="str">
        <f t="shared" si="70"/>
        <v/>
      </c>
      <c r="R369" s="1" t="str">
        <f t="shared" si="71"/>
        <v/>
      </c>
    </row>
    <row r="370" spans="1:18" x14ac:dyDescent="0.2">
      <c r="A370" t="str">
        <f>IF(COUNTBLANK(B370:R370)&lt;&gt;COLUMNS(B370:R370),369,"")</f>
        <v/>
      </c>
      <c r="D370" s="1" t="str">
        <f t="shared" si="60"/>
        <v/>
      </c>
      <c r="E370" s="2" t="str">
        <f t="shared" si="61"/>
        <v/>
      </c>
      <c r="F370" s="1" t="str">
        <f t="shared" si="62"/>
        <v/>
      </c>
      <c r="G370" s="1" t="str">
        <f t="shared" si="63"/>
        <v/>
      </c>
      <c r="H370" s="1" t="str">
        <f t="shared" si="64"/>
        <v/>
      </c>
      <c r="K370" s="1" t="str">
        <f t="shared" si="65"/>
        <v/>
      </c>
      <c r="L370" s="1" t="str">
        <f t="shared" si="66"/>
        <v/>
      </c>
      <c r="M370" s="1" t="str">
        <f t="shared" si="67"/>
        <v/>
      </c>
      <c r="N370" s="1" t="str">
        <f t="shared" si="68"/>
        <v/>
      </c>
      <c r="O370" s="1" t="str">
        <f t="shared" si="69"/>
        <v/>
      </c>
      <c r="P370" s="1" t="str">
        <f t="shared" si="70"/>
        <v/>
      </c>
      <c r="R370" s="1" t="str">
        <f t="shared" si="71"/>
        <v/>
      </c>
    </row>
    <row r="371" spans="1:18" x14ac:dyDescent="0.2">
      <c r="A371" t="str">
        <f>IF(COUNTBLANK(B371:R371)&lt;&gt;COLUMNS(B371:R371),370,"")</f>
        <v/>
      </c>
      <c r="D371" s="1" t="str">
        <f t="shared" si="60"/>
        <v/>
      </c>
      <c r="E371" s="2" t="str">
        <f t="shared" si="61"/>
        <v/>
      </c>
      <c r="F371" s="1" t="str">
        <f t="shared" si="62"/>
        <v/>
      </c>
      <c r="G371" s="1" t="str">
        <f t="shared" si="63"/>
        <v/>
      </c>
      <c r="H371" s="1" t="str">
        <f t="shared" si="64"/>
        <v/>
      </c>
      <c r="K371" s="1" t="str">
        <f t="shared" si="65"/>
        <v/>
      </c>
      <c r="L371" s="1" t="str">
        <f t="shared" si="66"/>
        <v/>
      </c>
      <c r="M371" s="1" t="str">
        <f t="shared" si="67"/>
        <v/>
      </c>
      <c r="N371" s="1" t="str">
        <f t="shared" si="68"/>
        <v/>
      </c>
      <c r="O371" s="1" t="str">
        <f t="shared" si="69"/>
        <v/>
      </c>
      <c r="P371" s="1" t="str">
        <f t="shared" si="70"/>
        <v/>
      </c>
      <c r="R371" s="1" t="str">
        <f t="shared" si="71"/>
        <v/>
      </c>
    </row>
    <row r="372" spans="1:18" x14ac:dyDescent="0.2">
      <c r="A372" t="str">
        <f>IF(COUNTBLANK(B372:R372)&lt;&gt;COLUMNS(B372:R372),371,"")</f>
        <v/>
      </c>
      <c r="D372" s="1" t="str">
        <f t="shared" si="60"/>
        <v/>
      </c>
      <c r="E372" s="2" t="str">
        <f t="shared" si="61"/>
        <v/>
      </c>
      <c r="F372" s="1" t="str">
        <f t="shared" si="62"/>
        <v/>
      </c>
      <c r="G372" s="1" t="str">
        <f t="shared" si="63"/>
        <v/>
      </c>
      <c r="H372" s="1" t="str">
        <f t="shared" si="64"/>
        <v/>
      </c>
      <c r="K372" s="1" t="str">
        <f t="shared" si="65"/>
        <v/>
      </c>
      <c r="L372" s="1" t="str">
        <f t="shared" si="66"/>
        <v/>
      </c>
      <c r="M372" s="1" t="str">
        <f t="shared" si="67"/>
        <v/>
      </c>
      <c r="N372" s="1" t="str">
        <f t="shared" si="68"/>
        <v/>
      </c>
      <c r="O372" s="1" t="str">
        <f t="shared" si="69"/>
        <v/>
      </c>
      <c r="P372" s="1" t="str">
        <f t="shared" si="70"/>
        <v/>
      </c>
      <c r="R372" s="1" t="str">
        <f t="shared" si="71"/>
        <v/>
      </c>
    </row>
    <row r="373" spans="1:18" x14ac:dyDescent="0.2">
      <c r="A373" t="str">
        <f>IF(COUNTBLANK(B373:R373)&lt;&gt;COLUMNS(B373:R373),372,"")</f>
        <v/>
      </c>
      <c r="D373" s="1" t="str">
        <f t="shared" si="60"/>
        <v/>
      </c>
      <c r="E373" s="2" t="str">
        <f t="shared" si="61"/>
        <v/>
      </c>
      <c r="F373" s="1" t="str">
        <f t="shared" si="62"/>
        <v/>
      </c>
      <c r="G373" s="1" t="str">
        <f t="shared" si="63"/>
        <v/>
      </c>
      <c r="H373" s="1" t="str">
        <f t="shared" si="64"/>
        <v/>
      </c>
      <c r="K373" s="1" t="str">
        <f t="shared" si="65"/>
        <v/>
      </c>
      <c r="L373" s="1" t="str">
        <f t="shared" si="66"/>
        <v/>
      </c>
      <c r="M373" s="1" t="str">
        <f t="shared" si="67"/>
        <v/>
      </c>
      <c r="N373" s="1" t="str">
        <f t="shared" si="68"/>
        <v/>
      </c>
      <c r="O373" s="1" t="str">
        <f t="shared" si="69"/>
        <v/>
      </c>
      <c r="P373" s="1" t="str">
        <f t="shared" si="70"/>
        <v/>
      </c>
      <c r="R373" s="1" t="str">
        <f t="shared" si="71"/>
        <v/>
      </c>
    </row>
    <row r="374" spans="1:18" x14ac:dyDescent="0.2">
      <c r="A374" t="str">
        <f>IF(COUNTBLANK(B374:R374)&lt;&gt;COLUMNS(B374:R374),373,"")</f>
        <v/>
      </c>
      <c r="D374" s="1" t="str">
        <f t="shared" si="60"/>
        <v/>
      </c>
      <c r="E374" s="2" t="str">
        <f t="shared" si="61"/>
        <v/>
      </c>
      <c r="F374" s="1" t="str">
        <f t="shared" si="62"/>
        <v/>
      </c>
      <c r="G374" s="1" t="str">
        <f t="shared" si="63"/>
        <v/>
      </c>
      <c r="H374" s="1" t="str">
        <f t="shared" si="64"/>
        <v/>
      </c>
      <c r="K374" s="1" t="str">
        <f t="shared" si="65"/>
        <v/>
      </c>
      <c r="L374" s="1" t="str">
        <f t="shared" si="66"/>
        <v/>
      </c>
      <c r="M374" s="1" t="str">
        <f t="shared" si="67"/>
        <v/>
      </c>
      <c r="N374" s="1" t="str">
        <f t="shared" si="68"/>
        <v/>
      </c>
      <c r="O374" s="1" t="str">
        <f t="shared" si="69"/>
        <v/>
      </c>
      <c r="P374" s="1" t="str">
        <f t="shared" si="70"/>
        <v/>
      </c>
      <c r="R374" s="1" t="str">
        <f t="shared" si="71"/>
        <v/>
      </c>
    </row>
    <row r="375" spans="1:18" x14ac:dyDescent="0.2">
      <c r="A375" t="str">
        <f>IF(COUNTBLANK(B375:R375)&lt;&gt;COLUMNS(B375:R375),374,"")</f>
        <v/>
      </c>
      <c r="D375" s="1" t="str">
        <f t="shared" si="60"/>
        <v/>
      </c>
      <c r="E375" s="2" t="str">
        <f t="shared" si="61"/>
        <v/>
      </c>
      <c r="F375" s="1" t="str">
        <f t="shared" si="62"/>
        <v/>
      </c>
      <c r="G375" s="1" t="str">
        <f t="shared" si="63"/>
        <v/>
      </c>
      <c r="H375" s="1" t="str">
        <f t="shared" si="64"/>
        <v/>
      </c>
      <c r="K375" s="1" t="str">
        <f t="shared" si="65"/>
        <v/>
      </c>
      <c r="L375" s="1" t="str">
        <f t="shared" si="66"/>
        <v/>
      </c>
      <c r="M375" s="1" t="str">
        <f t="shared" si="67"/>
        <v/>
      </c>
      <c r="N375" s="1" t="str">
        <f t="shared" si="68"/>
        <v/>
      </c>
      <c r="O375" s="1" t="str">
        <f t="shared" si="69"/>
        <v/>
      </c>
      <c r="P375" s="1" t="str">
        <f t="shared" si="70"/>
        <v/>
      </c>
      <c r="R375" s="1" t="str">
        <f t="shared" si="71"/>
        <v/>
      </c>
    </row>
    <row r="376" spans="1:18" x14ac:dyDescent="0.2">
      <c r="A376" t="str">
        <f>IF(COUNTBLANK(B376:R376)&lt;&gt;COLUMNS(B376:R376),375,"")</f>
        <v/>
      </c>
      <c r="D376" s="1" t="str">
        <f t="shared" si="60"/>
        <v/>
      </c>
      <c r="E376" s="2" t="str">
        <f t="shared" si="61"/>
        <v/>
      </c>
      <c r="F376" s="1" t="str">
        <f t="shared" si="62"/>
        <v/>
      </c>
      <c r="G376" s="1" t="str">
        <f t="shared" si="63"/>
        <v/>
      </c>
      <c r="H376" s="1" t="str">
        <f t="shared" si="64"/>
        <v/>
      </c>
      <c r="K376" s="1" t="str">
        <f t="shared" si="65"/>
        <v/>
      </c>
      <c r="L376" s="1" t="str">
        <f t="shared" si="66"/>
        <v/>
      </c>
      <c r="M376" s="1" t="str">
        <f t="shared" si="67"/>
        <v/>
      </c>
      <c r="N376" s="1" t="str">
        <f t="shared" si="68"/>
        <v/>
      </c>
      <c r="O376" s="1" t="str">
        <f t="shared" si="69"/>
        <v/>
      </c>
      <c r="P376" s="1" t="str">
        <f t="shared" si="70"/>
        <v/>
      </c>
      <c r="R376" s="1" t="str">
        <f t="shared" si="71"/>
        <v/>
      </c>
    </row>
    <row r="377" spans="1:18" x14ac:dyDescent="0.2">
      <c r="A377" t="str">
        <f>IF(COUNTBLANK(B377:R377)&lt;&gt;COLUMNS(B377:R377),376,"")</f>
        <v/>
      </c>
      <c r="D377" s="1" t="str">
        <f t="shared" si="60"/>
        <v/>
      </c>
      <c r="E377" s="2" t="str">
        <f t="shared" si="61"/>
        <v/>
      </c>
      <c r="F377" s="1" t="str">
        <f t="shared" si="62"/>
        <v/>
      </c>
      <c r="G377" s="1" t="str">
        <f t="shared" si="63"/>
        <v/>
      </c>
      <c r="H377" s="1" t="str">
        <f t="shared" si="64"/>
        <v/>
      </c>
      <c r="K377" s="1" t="str">
        <f t="shared" si="65"/>
        <v/>
      </c>
      <c r="L377" s="1" t="str">
        <f t="shared" si="66"/>
        <v/>
      </c>
      <c r="M377" s="1" t="str">
        <f t="shared" si="67"/>
        <v/>
      </c>
      <c r="N377" s="1" t="str">
        <f t="shared" si="68"/>
        <v/>
      </c>
      <c r="O377" s="1" t="str">
        <f t="shared" si="69"/>
        <v/>
      </c>
      <c r="P377" s="1" t="str">
        <f t="shared" si="70"/>
        <v/>
      </c>
      <c r="R377" s="1" t="str">
        <f t="shared" si="71"/>
        <v/>
      </c>
    </row>
    <row r="378" spans="1:18" x14ac:dyDescent="0.2">
      <c r="A378" t="str">
        <f>IF(COUNTBLANK(B378:R378)&lt;&gt;COLUMNS(B378:R378),377,"")</f>
        <v/>
      </c>
      <c r="D378" s="1" t="str">
        <f t="shared" si="60"/>
        <v/>
      </c>
      <c r="E378" s="2" t="str">
        <f t="shared" si="61"/>
        <v/>
      </c>
      <c r="F378" s="1" t="str">
        <f t="shared" si="62"/>
        <v/>
      </c>
      <c r="G378" s="1" t="str">
        <f t="shared" si="63"/>
        <v/>
      </c>
      <c r="H378" s="1" t="str">
        <f t="shared" si="64"/>
        <v/>
      </c>
      <c r="K378" s="1" t="str">
        <f t="shared" si="65"/>
        <v/>
      </c>
      <c r="L378" s="1" t="str">
        <f t="shared" si="66"/>
        <v/>
      </c>
      <c r="M378" s="1" t="str">
        <f t="shared" si="67"/>
        <v/>
      </c>
      <c r="N378" s="1" t="str">
        <f t="shared" si="68"/>
        <v/>
      </c>
      <c r="O378" s="1" t="str">
        <f t="shared" si="69"/>
        <v/>
      </c>
      <c r="P378" s="1" t="str">
        <f t="shared" si="70"/>
        <v/>
      </c>
      <c r="R378" s="1" t="str">
        <f t="shared" si="71"/>
        <v/>
      </c>
    </row>
    <row r="379" spans="1:18" x14ac:dyDescent="0.2">
      <c r="A379" t="str">
        <f>IF(COUNTBLANK(B379:R379)&lt;&gt;COLUMNS(B379:R379),378,"")</f>
        <v/>
      </c>
      <c r="D379" s="1" t="str">
        <f t="shared" si="60"/>
        <v/>
      </c>
      <c r="E379" s="2" t="str">
        <f t="shared" si="61"/>
        <v/>
      </c>
      <c r="F379" s="1" t="str">
        <f t="shared" si="62"/>
        <v/>
      </c>
      <c r="G379" s="1" t="str">
        <f t="shared" si="63"/>
        <v/>
      </c>
      <c r="H379" s="1" t="str">
        <f t="shared" si="64"/>
        <v/>
      </c>
      <c r="K379" s="1" t="str">
        <f t="shared" si="65"/>
        <v/>
      </c>
      <c r="L379" s="1" t="str">
        <f t="shared" si="66"/>
        <v/>
      </c>
      <c r="M379" s="1" t="str">
        <f t="shared" si="67"/>
        <v/>
      </c>
      <c r="N379" s="1" t="str">
        <f t="shared" si="68"/>
        <v/>
      </c>
      <c r="O379" s="1" t="str">
        <f t="shared" si="69"/>
        <v/>
      </c>
      <c r="P379" s="1" t="str">
        <f t="shared" si="70"/>
        <v/>
      </c>
      <c r="R379" s="1" t="str">
        <f t="shared" si="71"/>
        <v/>
      </c>
    </row>
    <row r="380" spans="1:18" x14ac:dyDescent="0.2">
      <c r="A380" t="str">
        <f>IF(COUNTBLANK(B380:R380)&lt;&gt;COLUMNS(B380:R380),379,"")</f>
        <v/>
      </c>
      <c r="D380" s="1" t="str">
        <f t="shared" si="60"/>
        <v/>
      </c>
      <c r="E380" s="2" t="str">
        <f t="shared" si="61"/>
        <v/>
      </c>
      <c r="F380" s="1" t="str">
        <f t="shared" si="62"/>
        <v/>
      </c>
      <c r="G380" s="1" t="str">
        <f t="shared" si="63"/>
        <v/>
      </c>
      <c r="H380" s="1" t="str">
        <f t="shared" si="64"/>
        <v/>
      </c>
      <c r="K380" s="1" t="str">
        <f t="shared" si="65"/>
        <v/>
      </c>
      <c r="L380" s="1" t="str">
        <f t="shared" si="66"/>
        <v/>
      </c>
      <c r="M380" s="1" t="str">
        <f t="shared" si="67"/>
        <v/>
      </c>
      <c r="N380" s="1" t="str">
        <f t="shared" si="68"/>
        <v/>
      </c>
      <c r="O380" s="1" t="str">
        <f t="shared" si="69"/>
        <v/>
      </c>
      <c r="P380" s="1" t="str">
        <f t="shared" si="70"/>
        <v/>
      </c>
      <c r="R380" s="1" t="str">
        <f t="shared" si="71"/>
        <v/>
      </c>
    </row>
    <row r="381" spans="1:18" x14ac:dyDescent="0.2">
      <c r="A381" t="str">
        <f>IF(COUNTBLANK(B381:R381)&lt;&gt;COLUMNS(B381:R381),380,"")</f>
        <v/>
      </c>
      <c r="D381" s="1" t="str">
        <f t="shared" si="60"/>
        <v/>
      </c>
      <c r="E381" s="2" t="str">
        <f t="shared" si="61"/>
        <v/>
      </c>
      <c r="F381" s="1" t="str">
        <f t="shared" si="62"/>
        <v/>
      </c>
      <c r="G381" s="1" t="str">
        <f t="shared" si="63"/>
        <v/>
      </c>
      <c r="H381" s="1" t="str">
        <f t="shared" si="64"/>
        <v/>
      </c>
      <c r="K381" s="1" t="str">
        <f t="shared" si="65"/>
        <v/>
      </c>
      <c r="L381" s="1" t="str">
        <f t="shared" si="66"/>
        <v/>
      </c>
      <c r="M381" s="1" t="str">
        <f t="shared" si="67"/>
        <v/>
      </c>
      <c r="N381" s="1" t="str">
        <f t="shared" si="68"/>
        <v/>
      </c>
      <c r="O381" s="1" t="str">
        <f t="shared" si="69"/>
        <v/>
      </c>
      <c r="P381" s="1" t="str">
        <f t="shared" si="70"/>
        <v/>
      </c>
      <c r="R381" s="1" t="str">
        <f t="shared" si="71"/>
        <v/>
      </c>
    </row>
    <row r="382" spans="1:18" x14ac:dyDescent="0.2">
      <c r="A382" t="str">
        <f>IF(COUNTBLANK(B382:R382)&lt;&gt;COLUMNS(B382:R382),381,"")</f>
        <v/>
      </c>
      <c r="D382" s="1" t="str">
        <f t="shared" si="60"/>
        <v/>
      </c>
      <c r="E382" s="2" t="str">
        <f t="shared" si="61"/>
        <v/>
      </c>
      <c r="F382" s="1" t="str">
        <f t="shared" si="62"/>
        <v/>
      </c>
      <c r="G382" s="1" t="str">
        <f t="shared" si="63"/>
        <v/>
      </c>
      <c r="H382" s="1" t="str">
        <f t="shared" si="64"/>
        <v/>
      </c>
      <c r="K382" s="1" t="str">
        <f t="shared" si="65"/>
        <v/>
      </c>
      <c r="L382" s="1" t="str">
        <f t="shared" si="66"/>
        <v/>
      </c>
      <c r="M382" s="1" t="str">
        <f t="shared" si="67"/>
        <v/>
      </c>
      <c r="N382" s="1" t="str">
        <f t="shared" si="68"/>
        <v/>
      </c>
      <c r="O382" s="1" t="str">
        <f t="shared" si="69"/>
        <v/>
      </c>
      <c r="P382" s="1" t="str">
        <f t="shared" si="70"/>
        <v/>
      </c>
      <c r="R382" s="1" t="str">
        <f t="shared" si="71"/>
        <v/>
      </c>
    </row>
    <row r="383" spans="1:18" x14ac:dyDescent="0.2">
      <c r="A383" t="str">
        <f>IF(COUNTBLANK(B383:R383)&lt;&gt;COLUMNS(B383:R383),382,"")</f>
        <v/>
      </c>
      <c r="D383" s="1" t="str">
        <f t="shared" si="60"/>
        <v/>
      </c>
      <c r="E383" s="2" t="str">
        <f t="shared" si="61"/>
        <v/>
      </c>
      <c r="F383" s="1" t="str">
        <f t="shared" si="62"/>
        <v/>
      </c>
      <c r="G383" s="1" t="str">
        <f t="shared" si="63"/>
        <v/>
      </c>
      <c r="H383" s="1" t="str">
        <f t="shared" si="64"/>
        <v/>
      </c>
      <c r="K383" s="1" t="str">
        <f t="shared" si="65"/>
        <v/>
      </c>
      <c r="L383" s="1" t="str">
        <f t="shared" si="66"/>
        <v/>
      </c>
      <c r="M383" s="1" t="str">
        <f t="shared" si="67"/>
        <v/>
      </c>
      <c r="N383" s="1" t="str">
        <f t="shared" si="68"/>
        <v/>
      </c>
      <c r="O383" s="1" t="str">
        <f t="shared" si="69"/>
        <v/>
      </c>
      <c r="P383" s="1" t="str">
        <f t="shared" si="70"/>
        <v/>
      </c>
      <c r="R383" s="1" t="str">
        <f t="shared" si="71"/>
        <v/>
      </c>
    </row>
    <row r="384" spans="1:18" x14ac:dyDescent="0.2">
      <c r="A384" t="str">
        <f>IF(COUNTBLANK(B384:R384)&lt;&gt;COLUMNS(B384:R384),383,"")</f>
        <v/>
      </c>
      <c r="D384" s="1" t="str">
        <f t="shared" si="60"/>
        <v/>
      </c>
      <c r="E384" s="2" t="str">
        <f t="shared" si="61"/>
        <v/>
      </c>
      <c r="F384" s="1" t="str">
        <f t="shared" si="62"/>
        <v/>
      </c>
      <c r="G384" s="1" t="str">
        <f t="shared" si="63"/>
        <v/>
      </c>
      <c r="H384" s="1" t="str">
        <f t="shared" si="64"/>
        <v/>
      </c>
      <c r="K384" s="1" t="str">
        <f t="shared" si="65"/>
        <v/>
      </c>
      <c r="L384" s="1" t="str">
        <f t="shared" si="66"/>
        <v/>
      </c>
      <c r="M384" s="1" t="str">
        <f t="shared" si="67"/>
        <v/>
      </c>
      <c r="N384" s="1" t="str">
        <f t="shared" si="68"/>
        <v/>
      </c>
      <c r="O384" s="1" t="str">
        <f t="shared" si="69"/>
        <v/>
      </c>
      <c r="P384" s="1" t="str">
        <f t="shared" si="70"/>
        <v/>
      </c>
      <c r="R384" s="1" t="str">
        <f t="shared" si="71"/>
        <v/>
      </c>
    </row>
    <row r="385" spans="1:18" x14ac:dyDescent="0.2">
      <c r="A385" t="str">
        <f>IF(COUNTBLANK(B385:R385)&lt;&gt;COLUMNS(B385:R385),384,"")</f>
        <v/>
      </c>
      <c r="D385" s="1" t="str">
        <f t="shared" si="60"/>
        <v/>
      </c>
      <c r="E385" s="2" t="str">
        <f t="shared" si="61"/>
        <v/>
      </c>
      <c r="F385" s="1" t="str">
        <f t="shared" si="62"/>
        <v/>
      </c>
      <c r="G385" s="1" t="str">
        <f t="shared" si="63"/>
        <v/>
      </c>
      <c r="H385" s="1" t="str">
        <f t="shared" si="64"/>
        <v/>
      </c>
      <c r="K385" s="1" t="str">
        <f t="shared" si="65"/>
        <v/>
      </c>
      <c r="L385" s="1" t="str">
        <f t="shared" si="66"/>
        <v/>
      </c>
      <c r="M385" s="1" t="str">
        <f t="shared" si="67"/>
        <v/>
      </c>
      <c r="N385" s="1" t="str">
        <f t="shared" si="68"/>
        <v/>
      </c>
      <c r="O385" s="1" t="str">
        <f t="shared" si="69"/>
        <v/>
      </c>
      <c r="P385" s="1" t="str">
        <f t="shared" si="70"/>
        <v/>
      </c>
      <c r="R385" s="1" t="str">
        <f t="shared" si="71"/>
        <v/>
      </c>
    </row>
    <row r="386" spans="1:18" x14ac:dyDescent="0.2">
      <c r="A386" t="str">
        <f>IF(COUNTBLANK(B386:R386)&lt;&gt;COLUMNS(B386:R386),385,"")</f>
        <v/>
      </c>
      <c r="D386" s="1" t="str">
        <f t="shared" ref="D386:D449" si="72">IF(B386="", "", "years")</f>
        <v/>
      </c>
      <c r="E386" s="2" t="str">
        <f t="shared" ref="E386:E449" si="73">IF(B386="", "", "missing: not provided")</f>
        <v/>
      </c>
      <c r="F386" s="1" t="str">
        <f t="shared" ref="F386:F449" si="74">IF(B386="", "", "Not applicable")</f>
        <v/>
      </c>
      <c r="G386" s="1" t="str">
        <f t="shared" ref="G386:G449" si="75">IF(B386="", "", "urban biome")</f>
        <v/>
      </c>
      <c r="H386" s="1" t="str">
        <f t="shared" ref="H386:H449" si="76">IF(B386="", "", "human-associated habitat")</f>
        <v/>
      </c>
      <c r="K386" s="1" t="str">
        <f t="shared" ref="K386:K449" si="77">IF(B386="", "", "cm")</f>
        <v/>
      </c>
      <c r="L386" s="1" t="str">
        <f t="shared" ref="L386:L449" si="78">IF(B386="", "", "human")</f>
        <v/>
      </c>
      <c r="M386" s="1" t="str">
        <f t="shared" ref="M386:M449" si="79">IF(B386="", "", "Homo sapiens")</f>
        <v/>
      </c>
      <c r="N386" s="1" t="str">
        <f t="shared" ref="N386:N449" si="80">IF(B386="", "", "9606")</f>
        <v/>
      </c>
      <c r="O386" s="1" t="str">
        <f t="shared" ref="O386:O449" si="81">IF(B386="", "", "missing: not provided")</f>
        <v/>
      </c>
      <c r="P386" s="1" t="str">
        <f t="shared" ref="P386:P449" si="82">IF(B386="", "", "missing: not provided")</f>
        <v/>
      </c>
      <c r="R386" s="1" t="str">
        <f t="shared" ref="R386:R449" si="83">IF(B386="", "", "kg")</f>
        <v/>
      </c>
    </row>
    <row r="387" spans="1:18" x14ac:dyDescent="0.2">
      <c r="A387" t="str">
        <f>IF(COUNTBLANK(B387:R387)&lt;&gt;COLUMNS(B387:R387),386,"")</f>
        <v/>
      </c>
      <c r="D387" s="1" t="str">
        <f t="shared" si="72"/>
        <v/>
      </c>
      <c r="E387" s="2" t="str">
        <f t="shared" si="73"/>
        <v/>
      </c>
      <c r="F387" s="1" t="str">
        <f t="shared" si="74"/>
        <v/>
      </c>
      <c r="G387" s="1" t="str">
        <f t="shared" si="75"/>
        <v/>
      </c>
      <c r="H387" s="1" t="str">
        <f t="shared" si="76"/>
        <v/>
      </c>
      <c r="K387" s="1" t="str">
        <f t="shared" si="77"/>
        <v/>
      </c>
      <c r="L387" s="1" t="str">
        <f t="shared" si="78"/>
        <v/>
      </c>
      <c r="M387" s="1" t="str">
        <f t="shared" si="79"/>
        <v/>
      </c>
      <c r="N387" s="1" t="str">
        <f t="shared" si="80"/>
        <v/>
      </c>
      <c r="O387" s="1" t="str">
        <f t="shared" si="81"/>
        <v/>
      </c>
      <c r="P387" s="1" t="str">
        <f t="shared" si="82"/>
        <v/>
      </c>
      <c r="R387" s="1" t="str">
        <f t="shared" si="83"/>
        <v/>
      </c>
    </row>
    <row r="388" spans="1:18" x14ac:dyDescent="0.2">
      <c r="A388" t="str">
        <f>IF(COUNTBLANK(B388:R388)&lt;&gt;COLUMNS(B388:R388),387,"")</f>
        <v/>
      </c>
      <c r="D388" s="1" t="str">
        <f t="shared" si="72"/>
        <v/>
      </c>
      <c r="E388" s="2" t="str">
        <f t="shared" si="73"/>
        <v/>
      </c>
      <c r="F388" s="1" t="str">
        <f t="shared" si="74"/>
        <v/>
      </c>
      <c r="G388" s="1" t="str">
        <f t="shared" si="75"/>
        <v/>
      </c>
      <c r="H388" s="1" t="str">
        <f t="shared" si="76"/>
        <v/>
      </c>
      <c r="K388" s="1" t="str">
        <f t="shared" si="77"/>
        <v/>
      </c>
      <c r="L388" s="1" t="str">
        <f t="shared" si="78"/>
        <v/>
      </c>
      <c r="M388" s="1" t="str">
        <f t="shared" si="79"/>
        <v/>
      </c>
      <c r="N388" s="1" t="str">
        <f t="shared" si="80"/>
        <v/>
      </c>
      <c r="O388" s="1" t="str">
        <f t="shared" si="81"/>
        <v/>
      </c>
      <c r="P388" s="1" t="str">
        <f t="shared" si="82"/>
        <v/>
      </c>
      <c r="R388" s="1" t="str">
        <f t="shared" si="83"/>
        <v/>
      </c>
    </row>
    <row r="389" spans="1:18" x14ac:dyDescent="0.2">
      <c r="A389" t="str">
        <f>IF(COUNTBLANK(B389:R389)&lt;&gt;COLUMNS(B389:R389),388,"")</f>
        <v/>
      </c>
      <c r="D389" s="1" t="str">
        <f t="shared" si="72"/>
        <v/>
      </c>
      <c r="E389" s="2" t="str">
        <f t="shared" si="73"/>
        <v/>
      </c>
      <c r="F389" s="1" t="str">
        <f t="shared" si="74"/>
        <v/>
      </c>
      <c r="G389" s="1" t="str">
        <f t="shared" si="75"/>
        <v/>
      </c>
      <c r="H389" s="1" t="str">
        <f t="shared" si="76"/>
        <v/>
      </c>
      <c r="K389" s="1" t="str">
        <f t="shared" si="77"/>
        <v/>
      </c>
      <c r="L389" s="1" t="str">
        <f t="shared" si="78"/>
        <v/>
      </c>
      <c r="M389" s="1" t="str">
        <f t="shared" si="79"/>
        <v/>
      </c>
      <c r="N389" s="1" t="str">
        <f t="shared" si="80"/>
        <v/>
      </c>
      <c r="O389" s="1" t="str">
        <f t="shared" si="81"/>
        <v/>
      </c>
      <c r="P389" s="1" t="str">
        <f t="shared" si="82"/>
        <v/>
      </c>
      <c r="R389" s="1" t="str">
        <f t="shared" si="83"/>
        <v/>
      </c>
    </row>
    <row r="390" spans="1:18" x14ac:dyDescent="0.2">
      <c r="A390" t="str">
        <f>IF(COUNTBLANK(B390:R390)&lt;&gt;COLUMNS(B390:R390),389,"")</f>
        <v/>
      </c>
      <c r="D390" s="1" t="str">
        <f t="shared" si="72"/>
        <v/>
      </c>
      <c r="E390" s="2" t="str">
        <f t="shared" si="73"/>
        <v/>
      </c>
      <c r="F390" s="1" t="str">
        <f t="shared" si="74"/>
        <v/>
      </c>
      <c r="G390" s="1" t="str">
        <f t="shared" si="75"/>
        <v/>
      </c>
      <c r="H390" s="1" t="str">
        <f t="shared" si="76"/>
        <v/>
      </c>
      <c r="K390" s="1" t="str">
        <f t="shared" si="77"/>
        <v/>
      </c>
      <c r="L390" s="1" t="str">
        <f t="shared" si="78"/>
        <v/>
      </c>
      <c r="M390" s="1" t="str">
        <f t="shared" si="79"/>
        <v/>
      </c>
      <c r="N390" s="1" t="str">
        <f t="shared" si="80"/>
        <v/>
      </c>
      <c r="O390" s="1" t="str">
        <f t="shared" si="81"/>
        <v/>
      </c>
      <c r="P390" s="1" t="str">
        <f t="shared" si="82"/>
        <v/>
      </c>
      <c r="R390" s="1" t="str">
        <f t="shared" si="83"/>
        <v/>
      </c>
    </row>
    <row r="391" spans="1:18" x14ac:dyDescent="0.2">
      <c r="A391" t="str">
        <f>IF(COUNTBLANK(B391:R391)&lt;&gt;COLUMNS(B391:R391),390,"")</f>
        <v/>
      </c>
      <c r="D391" s="1" t="str">
        <f t="shared" si="72"/>
        <v/>
      </c>
      <c r="E391" s="2" t="str">
        <f t="shared" si="73"/>
        <v/>
      </c>
      <c r="F391" s="1" t="str">
        <f t="shared" si="74"/>
        <v/>
      </c>
      <c r="G391" s="1" t="str">
        <f t="shared" si="75"/>
        <v/>
      </c>
      <c r="H391" s="1" t="str">
        <f t="shared" si="76"/>
        <v/>
      </c>
      <c r="K391" s="1" t="str">
        <f t="shared" si="77"/>
        <v/>
      </c>
      <c r="L391" s="1" t="str">
        <f t="shared" si="78"/>
        <v/>
      </c>
      <c r="M391" s="1" t="str">
        <f t="shared" si="79"/>
        <v/>
      </c>
      <c r="N391" s="1" t="str">
        <f t="shared" si="80"/>
        <v/>
      </c>
      <c r="O391" s="1" t="str">
        <f t="shared" si="81"/>
        <v/>
      </c>
      <c r="P391" s="1" t="str">
        <f t="shared" si="82"/>
        <v/>
      </c>
      <c r="R391" s="1" t="str">
        <f t="shared" si="83"/>
        <v/>
      </c>
    </row>
    <row r="392" spans="1:18" x14ac:dyDescent="0.2">
      <c r="A392" t="str">
        <f>IF(COUNTBLANK(B392:R392)&lt;&gt;COLUMNS(B392:R392),391,"")</f>
        <v/>
      </c>
      <c r="D392" s="1" t="str">
        <f t="shared" si="72"/>
        <v/>
      </c>
      <c r="E392" s="2" t="str">
        <f t="shared" si="73"/>
        <v/>
      </c>
      <c r="F392" s="1" t="str">
        <f t="shared" si="74"/>
        <v/>
      </c>
      <c r="G392" s="1" t="str">
        <f t="shared" si="75"/>
        <v/>
      </c>
      <c r="H392" s="1" t="str">
        <f t="shared" si="76"/>
        <v/>
      </c>
      <c r="K392" s="1" t="str">
        <f t="shared" si="77"/>
        <v/>
      </c>
      <c r="L392" s="1" t="str">
        <f t="shared" si="78"/>
        <v/>
      </c>
      <c r="M392" s="1" t="str">
        <f t="shared" si="79"/>
        <v/>
      </c>
      <c r="N392" s="1" t="str">
        <f t="shared" si="80"/>
        <v/>
      </c>
      <c r="O392" s="1" t="str">
        <f t="shared" si="81"/>
        <v/>
      </c>
      <c r="P392" s="1" t="str">
        <f t="shared" si="82"/>
        <v/>
      </c>
      <c r="R392" s="1" t="str">
        <f t="shared" si="83"/>
        <v/>
      </c>
    </row>
    <row r="393" spans="1:18" x14ac:dyDescent="0.2">
      <c r="A393" t="str">
        <f>IF(COUNTBLANK(B393:R393)&lt;&gt;COLUMNS(B393:R393),392,"")</f>
        <v/>
      </c>
      <c r="D393" s="1" t="str">
        <f t="shared" si="72"/>
        <v/>
      </c>
      <c r="E393" s="2" t="str">
        <f t="shared" si="73"/>
        <v/>
      </c>
      <c r="F393" s="1" t="str">
        <f t="shared" si="74"/>
        <v/>
      </c>
      <c r="G393" s="1" t="str">
        <f t="shared" si="75"/>
        <v/>
      </c>
      <c r="H393" s="1" t="str">
        <f t="shared" si="76"/>
        <v/>
      </c>
      <c r="K393" s="1" t="str">
        <f t="shared" si="77"/>
        <v/>
      </c>
      <c r="L393" s="1" t="str">
        <f t="shared" si="78"/>
        <v/>
      </c>
      <c r="M393" s="1" t="str">
        <f t="shared" si="79"/>
        <v/>
      </c>
      <c r="N393" s="1" t="str">
        <f t="shared" si="80"/>
        <v/>
      </c>
      <c r="O393" s="1" t="str">
        <f t="shared" si="81"/>
        <v/>
      </c>
      <c r="P393" s="1" t="str">
        <f t="shared" si="82"/>
        <v/>
      </c>
      <c r="R393" s="1" t="str">
        <f t="shared" si="83"/>
        <v/>
      </c>
    </row>
    <row r="394" spans="1:18" x14ac:dyDescent="0.2">
      <c r="A394" t="str">
        <f>IF(COUNTBLANK(B394:R394)&lt;&gt;COLUMNS(B394:R394),393,"")</f>
        <v/>
      </c>
      <c r="D394" s="1" t="str">
        <f t="shared" si="72"/>
        <v/>
      </c>
      <c r="E394" s="2" t="str">
        <f t="shared" si="73"/>
        <v/>
      </c>
      <c r="F394" s="1" t="str">
        <f t="shared" si="74"/>
        <v/>
      </c>
      <c r="G394" s="1" t="str">
        <f t="shared" si="75"/>
        <v/>
      </c>
      <c r="H394" s="1" t="str">
        <f t="shared" si="76"/>
        <v/>
      </c>
      <c r="K394" s="1" t="str">
        <f t="shared" si="77"/>
        <v/>
      </c>
      <c r="L394" s="1" t="str">
        <f t="shared" si="78"/>
        <v/>
      </c>
      <c r="M394" s="1" t="str">
        <f t="shared" si="79"/>
        <v/>
      </c>
      <c r="N394" s="1" t="str">
        <f t="shared" si="80"/>
        <v/>
      </c>
      <c r="O394" s="1" t="str">
        <f t="shared" si="81"/>
        <v/>
      </c>
      <c r="P394" s="1" t="str">
        <f t="shared" si="82"/>
        <v/>
      </c>
      <c r="R394" s="1" t="str">
        <f t="shared" si="83"/>
        <v/>
      </c>
    </row>
    <row r="395" spans="1:18" x14ac:dyDescent="0.2">
      <c r="A395" t="str">
        <f>IF(COUNTBLANK(B395:R395)&lt;&gt;COLUMNS(B395:R395),394,"")</f>
        <v/>
      </c>
      <c r="D395" s="1" t="str">
        <f t="shared" si="72"/>
        <v/>
      </c>
      <c r="E395" s="2" t="str">
        <f t="shared" si="73"/>
        <v/>
      </c>
      <c r="F395" s="1" t="str">
        <f t="shared" si="74"/>
        <v/>
      </c>
      <c r="G395" s="1" t="str">
        <f t="shared" si="75"/>
        <v/>
      </c>
      <c r="H395" s="1" t="str">
        <f t="shared" si="76"/>
        <v/>
      </c>
      <c r="K395" s="1" t="str">
        <f t="shared" si="77"/>
        <v/>
      </c>
      <c r="L395" s="1" t="str">
        <f t="shared" si="78"/>
        <v/>
      </c>
      <c r="M395" s="1" t="str">
        <f t="shared" si="79"/>
        <v/>
      </c>
      <c r="N395" s="1" t="str">
        <f t="shared" si="80"/>
        <v/>
      </c>
      <c r="O395" s="1" t="str">
        <f t="shared" si="81"/>
        <v/>
      </c>
      <c r="P395" s="1" t="str">
        <f t="shared" si="82"/>
        <v/>
      </c>
      <c r="R395" s="1" t="str">
        <f t="shared" si="83"/>
        <v/>
      </c>
    </row>
    <row r="396" spans="1:18" x14ac:dyDescent="0.2">
      <c r="A396" t="str">
        <f>IF(COUNTBLANK(B396:R396)&lt;&gt;COLUMNS(B396:R396),395,"")</f>
        <v/>
      </c>
      <c r="D396" s="1" t="str">
        <f t="shared" si="72"/>
        <v/>
      </c>
      <c r="E396" s="2" t="str">
        <f t="shared" si="73"/>
        <v/>
      </c>
      <c r="F396" s="1" t="str">
        <f t="shared" si="74"/>
        <v/>
      </c>
      <c r="G396" s="1" t="str">
        <f t="shared" si="75"/>
        <v/>
      </c>
      <c r="H396" s="1" t="str">
        <f t="shared" si="76"/>
        <v/>
      </c>
      <c r="K396" s="1" t="str">
        <f t="shared" si="77"/>
        <v/>
      </c>
      <c r="L396" s="1" t="str">
        <f t="shared" si="78"/>
        <v/>
      </c>
      <c r="M396" s="1" t="str">
        <f t="shared" si="79"/>
        <v/>
      </c>
      <c r="N396" s="1" t="str">
        <f t="shared" si="80"/>
        <v/>
      </c>
      <c r="O396" s="1" t="str">
        <f t="shared" si="81"/>
        <v/>
      </c>
      <c r="P396" s="1" t="str">
        <f t="shared" si="82"/>
        <v/>
      </c>
      <c r="R396" s="1" t="str">
        <f t="shared" si="83"/>
        <v/>
      </c>
    </row>
    <row r="397" spans="1:18" x14ac:dyDescent="0.2">
      <c r="A397" t="str">
        <f>IF(COUNTBLANK(B397:R397)&lt;&gt;COLUMNS(B397:R397),396,"")</f>
        <v/>
      </c>
      <c r="D397" s="1" t="str">
        <f t="shared" si="72"/>
        <v/>
      </c>
      <c r="E397" s="2" t="str">
        <f t="shared" si="73"/>
        <v/>
      </c>
      <c r="F397" s="1" t="str">
        <f t="shared" si="74"/>
        <v/>
      </c>
      <c r="G397" s="1" t="str">
        <f t="shared" si="75"/>
        <v/>
      </c>
      <c r="H397" s="1" t="str">
        <f t="shared" si="76"/>
        <v/>
      </c>
      <c r="K397" s="1" t="str">
        <f t="shared" si="77"/>
        <v/>
      </c>
      <c r="L397" s="1" t="str">
        <f t="shared" si="78"/>
        <v/>
      </c>
      <c r="M397" s="1" t="str">
        <f t="shared" si="79"/>
        <v/>
      </c>
      <c r="N397" s="1" t="str">
        <f t="shared" si="80"/>
        <v/>
      </c>
      <c r="O397" s="1" t="str">
        <f t="shared" si="81"/>
        <v/>
      </c>
      <c r="P397" s="1" t="str">
        <f t="shared" si="82"/>
        <v/>
      </c>
      <c r="R397" s="1" t="str">
        <f t="shared" si="83"/>
        <v/>
      </c>
    </row>
    <row r="398" spans="1:18" x14ac:dyDescent="0.2">
      <c r="A398" t="str">
        <f>IF(COUNTBLANK(B398:R398)&lt;&gt;COLUMNS(B398:R398),397,"")</f>
        <v/>
      </c>
      <c r="D398" s="1" t="str">
        <f t="shared" si="72"/>
        <v/>
      </c>
      <c r="E398" s="2" t="str">
        <f t="shared" si="73"/>
        <v/>
      </c>
      <c r="F398" s="1" t="str">
        <f t="shared" si="74"/>
        <v/>
      </c>
      <c r="G398" s="1" t="str">
        <f t="shared" si="75"/>
        <v/>
      </c>
      <c r="H398" s="1" t="str">
        <f t="shared" si="76"/>
        <v/>
      </c>
      <c r="K398" s="1" t="str">
        <f t="shared" si="77"/>
        <v/>
      </c>
      <c r="L398" s="1" t="str">
        <f t="shared" si="78"/>
        <v/>
      </c>
      <c r="M398" s="1" t="str">
        <f t="shared" si="79"/>
        <v/>
      </c>
      <c r="N398" s="1" t="str">
        <f t="shared" si="80"/>
        <v/>
      </c>
      <c r="O398" s="1" t="str">
        <f t="shared" si="81"/>
        <v/>
      </c>
      <c r="P398" s="1" t="str">
        <f t="shared" si="82"/>
        <v/>
      </c>
      <c r="R398" s="1" t="str">
        <f t="shared" si="83"/>
        <v/>
      </c>
    </row>
    <row r="399" spans="1:18" x14ac:dyDescent="0.2">
      <c r="A399" t="str">
        <f>IF(COUNTBLANK(B399:R399)&lt;&gt;COLUMNS(B399:R399),398,"")</f>
        <v/>
      </c>
      <c r="D399" s="1" t="str">
        <f t="shared" si="72"/>
        <v/>
      </c>
      <c r="E399" s="2" t="str">
        <f t="shared" si="73"/>
        <v/>
      </c>
      <c r="F399" s="1" t="str">
        <f t="shared" si="74"/>
        <v/>
      </c>
      <c r="G399" s="1" t="str">
        <f t="shared" si="75"/>
        <v/>
      </c>
      <c r="H399" s="1" t="str">
        <f t="shared" si="76"/>
        <v/>
      </c>
      <c r="K399" s="1" t="str">
        <f t="shared" si="77"/>
        <v/>
      </c>
      <c r="L399" s="1" t="str">
        <f t="shared" si="78"/>
        <v/>
      </c>
      <c r="M399" s="1" t="str">
        <f t="shared" si="79"/>
        <v/>
      </c>
      <c r="N399" s="1" t="str">
        <f t="shared" si="80"/>
        <v/>
      </c>
      <c r="O399" s="1" t="str">
        <f t="shared" si="81"/>
        <v/>
      </c>
      <c r="P399" s="1" t="str">
        <f t="shared" si="82"/>
        <v/>
      </c>
      <c r="R399" s="1" t="str">
        <f t="shared" si="83"/>
        <v/>
      </c>
    </row>
    <row r="400" spans="1:18" x14ac:dyDescent="0.2">
      <c r="A400" t="str">
        <f>IF(COUNTBLANK(B400:R400)&lt;&gt;COLUMNS(B400:R400),399,"")</f>
        <v/>
      </c>
      <c r="D400" s="1" t="str">
        <f t="shared" si="72"/>
        <v/>
      </c>
      <c r="E400" s="2" t="str">
        <f t="shared" si="73"/>
        <v/>
      </c>
      <c r="F400" s="1" t="str">
        <f t="shared" si="74"/>
        <v/>
      </c>
      <c r="G400" s="1" t="str">
        <f t="shared" si="75"/>
        <v/>
      </c>
      <c r="H400" s="1" t="str">
        <f t="shared" si="76"/>
        <v/>
      </c>
      <c r="K400" s="1" t="str">
        <f t="shared" si="77"/>
        <v/>
      </c>
      <c r="L400" s="1" t="str">
        <f t="shared" si="78"/>
        <v/>
      </c>
      <c r="M400" s="1" t="str">
        <f t="shared" si="79"/>
        <v/>
      </c>
      <c r="N400" s="1" t="str">
        <f t="shared" si="80"/>
        <v/>
      </c>
      <c r="O400" s="1" t="str">
        <f t="shared" si="81"/>
        <v/>
      </c>
      <c r="P400" s="1" t="str">
        <f t="shared" si="82"/>
        <v/>
      </c>
      <c r="R400" s="1" t="str">
        <f t="shared" si="83"/>
        <v/>
      </c>
    </row>
    <row r="401" spans="1:18" x14ac:dyDescent="0.2">
      <c r="A401" t="str">
        <f>IF(COUNTBLANK(B401:R401)&lt;&gt;COLUMNS(B401:R401),400,"")</f>
        <v/>
      </c>
      <c r="D401" s="1" t="str">
        <f t="shared" si="72"/>
        <v/>
      </c>
      <c r="E401" s="2" t="str">
        <f t="shared" si="73"/>
        <v/>
      </c>
      <c r="F401" s="1" t="str">
        <f t="shared" si="74"/>
        <v/>
      </c>
      <c r="G401" s="1" t="str">
        <f t="shared" si="75"/>
        <v/>
      </c>
      <c r="H401" s="1" t="str">
        <f t="shared" si="76"/>
        <v/>
      </c>
      <c r="K401" s="1" t="str">
        <f t="shared" si="77"/>
        <v/>
      </c>
      <c r="L401" s="1" t="str">
        <f t="shared" si="78"/>
        <v/>
      </c>
      <c r="M401" s="1" t="str">
        <f t="shared" si="79"/>
        <v/>
      </c>
      <c r="N401" s="1" t="str">
        <f t="shared" si="80"/>
        <v/>
      </c>
      <c r="O401" s="1" t="str">
        <f t="shared" si="81"/>
        <v/>
      </c>
      <c r="P401" s="1" t="str">
        <f t="shared" si="82"/>
        <v/>
      </c>
      <c r="R401" s="1" t="str">
        <f t="shared" si="83"/>
        <v/>
      </c>
    </row>
    <row r="402" spans="1:18" x14ac:dyDescent="0.2">
      <c r="A402" t="str">
        <f>IF(COUNTBLANK(B402:R402)&lt;&gt;COLUMNS(B402:R402),401,"")</f>
        <v/>
      </c>
      <c r="D402" s="1" t="str">
        <f t="shared" si="72"/>
        <v/>
      </c>
      <c r="E402" s="2" t="str">
        <f t="shared" si="73"/>
        <v/>
      </c>
      <c r="F402" s="1" t="str">
        <f t="shared" si="74"/>
        <v/>
      </c>
      <c r="G402" s="1" t="str">
        <f t="shared" si="75"/>
        <v/>
      </c>
      <c r="H402" s="1" t="str">
        <f t="shared" si="76"/>
        <v/>
      </c>
      <c r="K402" s="1" t="str">
        <f t="shared" si="77"/>
        <v/>
      </c>
      <c r="L402" s="1" t="str">
        <f t="shared" si="78"/>
        <v/>
      </c>
      <c r="M402" s="1" t="str">
        <f t="shared" si="79"/>
        <v/>
      </c>
      <c r="N402" s="1" t="str">
        <f t="shared" si="80"/>
        <v/>
      </c>
      <c r="O402" s="1" t="str">
        <f t="shared" si="81"/>
        <v/>
      </c>
      <c r="P402" s="1" t="str">
        <f t="shared" si="82"/>
        <v/>
      </c>
      <c r="R402" s="1" t="str">
        <f t="shared" si="83"/>
        <v/>
      </c>
    </row>
    <row r="403" spans="1:18" x14ac:dyDescent="0.2">
      <c r="A403" t="str">
        <f>IF(COUNTBLANK(B403:R403)&lt;&gt;COLUMNS(B403:R403),402,"")</f>
        <v/>
      </c>
      <c r="D403" s="1" t="str">
        <f t="shared" si="72"/>
        <v/>
      </c>
      <c r="E403" s="2" t="str">
        <f t="shared" si="73"/>
        <v/>
      </c>
      <c r="F403" s="1" t="str">
        <f t="shared" si="74"/>
        <v/>
      </c>
      <c r="G403" s="1" t="str">
        <f t="shared" si="75"/>
        <v/>
      </c>
      <c r="H403" s="1" t="str">
        <f t="shared" si="76"/>
        <v/>
      </c>
      <c r="K403" s="1" t="str">
        <f t="shared" si="77"/>
        <v/>
      </c>
      <c r="L403" s="1" t="str">
        <f t="shared" si="78"/>
        <v/>
      </c>
      <c r="M403" s="1" t="str">
        <f t="shared" si="79"/>
        <v/>
      </c>
      <c r="N403" s="1" t="str">
        <f t="shared" si="80"/>
        <v/>
      </c>
      <c r="O403" s="1" t="str">
        <f t="shared" si="81"/>
        <v/>
      </c>
      <c r="P403" s="1" t="str">
        <f t="shared" si="82"/>
        <v/>
      </c>
      <c r="R403" s="1" t="str">
        <f t="shared" si="83"/>
        <v/>
      </c>
    </row>
    <row r="404" spans="1:18" x14ac:dyDescent="0.2">
      <c r="A404" t="str">
        <f>IF(COUNTBLANK(B404:R404)&lt;&gt;COLUMNS(B404:R404),403,"")</f>
        <v/>
      </c>
      <c r="D404" s="1" t="str">
        <f t="shared" si="72"/>
        <v/>
      </c>
      <c r="E404" s="2" t="str">
        <f t="shared" si="73"/>
        <v/>
      </c>
      <c r="F404" s="1" t="str">
        <f t="shared" si="74"/>
        <v/>
      </c>
      <c r="G404" s="1" t="str">
        <f t="shared" si="75"/>
        <v/>
      </c>
      <c r="H404" s="1" t="str">
        <f t="shared" si="76"/>
        <v/>
      </c>
      <c r="K404" s="1" t="str">
        <f t="shared" si="77"/>
        <v/>
      </c>
      <c r="L404" s="1" t="str">
        <f t="shared" si="78"/>
        <v/>
      </c>
      <c r="M404" s="1" t="str">
        <f t="shared" si="79"/>
        <v/>
      </c>
      <c r="N404" s="1" t="str">
        <f t="shared" si="80"/>
        <v/>
      </c>
      <c r="O404" s="1" t="str">
        <f t="shared" si="81"/>
        <v/>
      </c>
      <c r="P404" s="1" t="str">
        <f t="shared" si="82"/>
        <v/>
      </c>
      <c r="R404" s="1" t="str">
        <f t="shared" si="83"/>
        <v/>
      </c>
    </row>
    <row r="405" spans="1:18" x14ac:dyDescent="0.2">
      <c r="A405" t="str">
        <f>IF(COUNTBLANK(B405:R405)&lt;&gt;COLUMNS(B405:R405),404,"")</f>
        <v/>
      </c>
      <c r="D405" s="1" t="str">
        <f t="shared" si="72"/>
        <v/>
      </c>
      <c r="E405" s="2" t="str">
        <f t="shared" si="73"/>
        <v/>
      </c>
      <c r="F405" s="1" t="str">
        <f t="shared" si="74"/>
        <v/>
      </c>
      <c r="G405" s="1" t="str">
        <f t="shared" si="75"/>
        <v/>
      </c>
      <c r="H405" s="1" t="str">
        <f t="shared" si="76"/>
        <v/>
      </c>
      <c r="K405" s="1" t="str">
        <f t="shared" si="77"/>
        <v/>
      </c>
      <c r="L405" s="1" t="str">
        <f t="shared" si="78"/>
        <v/>
      </c>
      <c r="M405" s="1" t="str">
        <f t="shared" si="79"/>
        <v/>
      </c>
      <c r="N405" s="1" t="str">
        <f t="shared" si="80"/>
        <v/>
      </c>
      <c r="O405" s="1" t="str">
        <f t="shared" si="81"/>
        <v/>
      </c>
      <c r="P405" s="1" t="str">
        <f t="shared" si="82"/>
        <v/>
      </c>
      <c r="R405" s="1" t="str">
        <f t="shared" si="83"/>
        <v/>
      </c>
    </row>
    <row r="406" spans="1:18" x14ac:dyDescent="0.2">
      <c r="A406" t="str">
        <f>IF(COUNTBLANK(B406:R406)&lt;&gt;COLUMNS(B406:R406),405,"")</f>
        <v/>
      </c>
      <c r="D406" s="1" t="str">
        <f t="shared" si="72"/>
        <v/>
      </c>
      <c r="E406" s="2" t="str">
        <f t="shared" si="73"/>
        <v/>
      </c>
      <c r="F406" s="1" t="str">
        <f t="shared" si="74"/>
        <v/>
      </c>
      <c r="G406" s="1" t="str">
        <f t="shared" si="75"/>
        <v/>
      </c>
      <c r="H406" s="1" t="str">
        <f t="shared" si="76"/>
        <v/>
      </c>
      <c r="K406" s="1" t="str">
        <f t="shared" si="77"/>
        <v/>
      </c>
      <c r="L406" s="1" t="str">
        <f t="shared" si="78"/>
        <v/>
      </c>
      <c r="M406" s="1" t="str">
        <f t="shared" si="79"/>
        <v/>
      </c>
      <c r="N406" s="1" t="str">
        <f t="shared" si="80"/>
        <v/>
      </c>
      <c r="O406" s="1" t="str">
        <f t="shared" si="81"/>
        <v/>
      </c>
      <c r="P406" s="1" t="str">
        <f t="shared" si="82"/>
        <v/>
      </c>
      <c r="R406" s="1" t="str">
        <f t="shared" si="83"/>
        <v/>
      </c>
    </row>
    <row r="407" spans="1:18" x14ac:dyDescent="0.2">
      <c r="A407" t="str">
        <f>IF(COUNTBLANK(B407:R407)&lt;&gt;COLUMNS(B407:R407),406,"")</f>
        <v/>
      </c>
      <c r="D407" s="1" t="str">
        <f t="shared" si="72"/>
        <v/>
      </c>
      <c r="E407" s="2" t="str">
        <f t="shared" si="73"/>
        <v/>
      </c>
      <c r="F407" s="1" t="str">
        <f t="shared" si="74"/>
        <v/>
      </c>
      <c r="G407" s="1" t="str">
        <f t="shared" si="75"/>
        <v/>
      </c>
      <c r="H407" s="1" t="str">
        <f t="shared" si="76"/>
        <v/>
      </c>
      <c r="K407" s="1" t="str">
        <f t="shared" si="77"/>
        <v/>
      </c>
      <c r="L407" s="1" t="str">
        <f t="shared" si="78"/>
        <v/>
      </c>
      <c r="M407" s="1" t="str">
        <f t="shared" si="79"/>
        <v/>
      </c>
      <c r="N407" s="1" t="str">
        <f t="shared" si="80"/>
        <v/>
      </c>
      <c r="O407" s="1" t="str">
        <f t="shared" si="81"/>
        <v/>
      </c>
      <c r="P407" s="1" t="str">
        <f t="shared" si="82"/>
        <v/>
      </c>
      <c r="R407" s="1" t="str">
        <f t="shared" si="83"/>
        <v/>
      </c>
    </row>
    <row r="408" spans="1:18" x14ac:dyDescent="0.2">
      <c r="A408" t="str">
        <f>IF(COUNTBLANK(B408:R408)&lt;&gt;COLUMNS(B408:R408),407,"")</f>
        <v/>
      </c>
      <c r="D408" s="1" t="str">
        <f t="shared" si="72"/>
        <v/>
      </c>
      <c r="E408" s="2" t="str">
        <f t="shared" si="73"/>
        <v/>
      </c>
      <c r="F408" s="1" t="str">
        <f t="shared" si="74"/>
        <v/>
      </c>
      <c r="G408" s="1" t="str">
        <f t="shared" si="75"/>
        <v/>
      </c>
      <c r="H408" s="1" t="str">
        <f t="shared" si="76"/>
        <v/>
      </c>
      <c r="K408" s="1" t="str">
        <f t="shared" si="77"/>
        <v/>
      </c>
      <c r="L408" s="1" t="str">
        <f t="shared" si="78"/>
        <v/>
      </c>
      <c r="M408" s="1" t="str">
        <f t="shared" si="79"/>
        <v/>
      </c>
      <c r="N408" s="1" t="str">
        <f t="shared" si="80"/>
        <v/>
      </c>
      <c r="O408" s="1" t="str">
        <f t="shared" si="81"/>
        <v/>
      </c>
      <c r="P408" s="1" t="str">
        <f t="shared" si="82"/>
        <v/>
      </c>
      <c r="R408" s="1" t="str">
        <f t="shared" si="83"/>
        <v/>
      </c>
    </row>
    <row r="409" spans="1:18" x14ac:dyDescent="0.2">
      <c r="A409" t="str">
        <f>IF(COUNTBLANK(B409:R409)&lt;&gt;COLUMNS(B409:R409),408,"")</f>
        <v/>
      </c>
      <c r="D409" s="1" t="str">
        <f t="shared" si="72"/>
        <v/>
      </c>
      <c r="E409" s="2" t="str">
        <f t="shared" si="73"/>
        <v/>
      </c>
      <c r="F409" s="1" t="str">
        <f t="shared" si="74"/>
        <v/>
      </c>
      <c r="G409" s="1" t="str">
        <f t="shared" si="75"/>
        <v/>
      </c>
      <c r="H409" s="1" t="str">
        <f t="shared" si="76"/>
        <v/>
      </c>
      <c r="K409" s="1" t="str">
        <f t="shared" si="77"/>
        <v/>
      </c>
      <c r="L409" s="1" t="str">
        <f t="shared" si="78"/>
        <v/>
      </c>
      <c r="M409" s="1" t="str">
        <f t="shared" si="79"/>
        <v/>
      </c>
      <c r="N409" s="1" t="str">
        <f t="shared" si="80"/>
        <v/>
      </c>
      <c r="O409" s="1" t="str">
        <f t="shared" si="81"/>
        <v/>
      </c>
      <c r="P409" s="1" t="str">
        <f t="shared" si="82"/>
        <v/>
      </c>
      <c r="R409" s="1" t="str">
        <f t="shared" si="83"/>
        <v/>
      </c>
    </row>
    <row r="410" spans="1:18" x14ac:dyDescent="0.2">
      <c r="A410" t="str">
        <f>IF(COUNTBLANK(B410:R410)&lt;&gt;COLUMNS(B410:R410),409,"")</f>
        <v/>
      </c>
      <c r="D410" s="1" t="str">
        <f t="shared" si="72"/>
        <v/>
      </c>
      <c r="E410" s="2" t="str">
        <f t="shared" si="73"/>
        <v/>
      </c>
      <c r="F410" s="1" t="str">
        <f t="shared" si="74"/>
        <v/>
      </c>
      <c r="G410" s="1" t="str">
        <f t="shared" si="75"/>
        <v/>
      </c>
      <c r="H410" s="1" t="str">
        <f t="shared" si="76"/>
        <v/>
      </c>
      <c r="K410" s="1" t="str">
        <f t="shared" si="77"/>
        <v/>
      </c>
      <c r="L410" s="1" t="str">
        <f t="shared" si="78"/>
        <v/>
      </c>
      <c r="M410" s="1" t="str">
        <f t="shared" si="79"/>
        <v/>
      </c>
      <c r="N410" s="1" t="str">
        <f t="shared" si="80"/>
        <v/>
      </c>
      <c r="O410" s="1" t="str">
        <f t="shared" si="81"/>
        <v/>
      </c>
      <c r="P410" s="1" t="str">
        <f t="shared" si="82"/>
        <v/>
      </c>
      <c r="R410" s="1" t="str">
        <f t="shared" si="83"/>
        <v/>
      </c>
    </row>
    <row r="411" spans="1:18" x14ac:dyDescent="0.2">
      <c r="A411" t="str">
        <f>IF(COUNTBLANK(B411:R411)&lt;&gt;COLUMNS(B411:R411),410,"")</f>
        <v/>
      </c>
      <c r="D411" s="1" t="str">
        <f t="shared" si="72"/>
        <v/>
      </c>
      <c r="E411" s="2" t="str">
        <f t="shared" si="73"/>
        <v/>
      </c>
      <c r="F411" s="1" t="str">
        <f t="shared" si="74"/>
        <v/>
      </c>
      <c r="G411" s="1" t="str">
        <f t="shared" si="75"/>
        <v/>
      </c>
      <c r="H411" s="1" t="str">
        <f t="shared" si="76"/>
        <v/>
      </c>
      <c r="K411" s="1" t="str">
        <f t="shared" si="77"/>
        <v/>
      </c>
      <c r="L411" s="1" t="str">
        <f t="shared" si="78"/>
        <v/>
      </c>
      <c r="M411" s="1" t="str">
        <f t="shared" si="79"/>
        <v/>
      </c>
      <c r="N411" s="1" t="str">
        <f t="shared" si="80"/>
        <v/>
      </c>
      <c r="O411" s="1" t="str">
        <f t="shared" si="81"/>
        <v/>
      </c>
      <c r="P411" s="1" t="str">
        <f t="shared" si="82"/>
        <v/>
      </c>
      <c r="R411" s="1" t="str">
        <f t="shared" si="83"/>
        <v/>
      </c>
    </row>
    <row r="412" spans="1:18" x14ac:dyDescent="0.2">
      <c r="A412" t="str">
        <f>IF(COUNTBLANK(B412:R412)&lt;&gt;COLUMNS(B412:R412),411,"")</f>
        <v/>
      </c>
      <c r="D412" s="1" t="str">
        <f t="shared" si="72"/>
        <v/>
      </c>
      <c r="E412" s="2" t="str">
        <f t="shared" si="73"/>
        <v/>
      </c>
      <c r="F412" s="1" t="str">
        <f t="shared" si="74"/>
        <v/>
      </c>
      <c r="G412" s="1" t="str">
        <f t="shared" si="75"/>
        <v/>
      </c>
      <c r="H412" s="1" t="str">
        <f t="shared" si="76"/>
        <v/>
      </c>
      <c r="K412" s="1" t="str">
        <f t="shared" si="77"/>
        <v/>
      </c>
      <c r="L412" s="1" t="str">
        <f t="shared" si="78"/>
        <v/>
      </c>
      <c r="M412" s="1" t="str">
        <f t="shared" si="79"/>
        <v/>
      </c>
      <c r="N412" s="1" t="str">
        <f t="shared" si="80"/>
        <v/>
      </c>
      <c r="O412" s="1" t="str">
        <f t="shared" si="81"/>
        <v/>
      </c>
      <c r="P412" s="1" t="str">
        <f t="shared" si="82"/>
        <v/>
      </c>
      <c r="R412" s="1" t="str">
        <f t="shared" si="83"/>
        <v/>
      </c>
    </row>
    <row r="413" spans="1:18" x14ac:dyDescent="0.2">
      <c r="A413" t="str">
        <f>IF(COUNTBLANK(B413:R413)&lt;&gt;COLUMNS(B413:R413),412,"")</f>
        <v/>
      </c>
      <c r="D413" s="1" t="str">
        <f t="shared" si="72"/>
        <v/>
      </c>
      <c r="E413" s="2" t="str">
        <f t="shared" si="73"/>
        <v/>
      </c>
      <c r="F413" s="1" t="str">
        <f t="shared" si="74"/>
        <v/>
      </c>
      <c r="G413" s="1" t="str">
        <f t="shared" si="75"/>
        <v/>
      </c>
      <c r="H413" s="1" t="str">
        <f t="shared" si="76"/>
        <v/>
      </c>
      <c r="K413" s="1" t="str">
        <f t="shared" si="77"/>
        <v/>
      </c>
      <c r="L413" s="1" t="str">
        <f t="shared" si="78"/>
        <v/>
      </c>
      <c r="M413" s="1" t="str">
        <f t="shared" si="79"/>
        <v/>
      </c>
      <c r="N413" s="1" t="str">
        <f t="shared" si="80"/>
        <v/>
      </c>
      <c r="O413" s="1" t="str">
        <f t="shared" si="81"/>
        <v/>
      </c>
      <c r="P413" s="1" t="str">
        <f t="shared" si="82"/>
        <v/>
      </c>
      <c r="R413" s="1" t="str">
        <f t="shared" si="83"/>
        <v/>
      </c>
    </row>
    <row r="414" spans="1:18" x14ac:dyDescent="0.2">
      <c r="A414" t="str">
        <f>IF(COUNTBLANK(B414:R414)&lt;&gt;COLUMNS(B414:R414),413,"")</f>
        <v/>
      </c>
      <c r="D414" s="1" t="str">
        <f t="shared" si="72"/>
        <v/>
      </c>
      <c r="E414" s="2" t="str">
        <f t="shared" si="73"/>
        <v/>
      </c>
      <c r="F414" s="1" t="str">
        <f t="shared" si="74"/>
        <v/>
      </c>
      <c r="G414" s="1" t="str">
        <f t="shared" si="75"/>
        <v/>
      </c>
      <c r="H414" s="1" t="str">
        <f t="shared" si="76"/>
        <v/>
      </c>
      <c r="K414" s="1" t="str">
        <f t="shared" si="77"/>
        <v/>
      </c>
      <c r="L414" s="1" t="str">
        <f t="shared" si="78"/>
        <v/>
      </c>
      <c r="M414" s="1" t="str">
        <f t="shared" si="79"/>
        <v/>
      </c>
      <c r="N414" s="1" t="str">
        <f t="shared" si="80"/>
        <v/>
      </c>
      <c r="O414" s="1" t="str">
        <f t="shared" si="81"/>
        <v/>
      </c>
      <c r="P414" s="1" t="str">
        <f t="shared" si="82"/>
        <v/>
      </c>
      <c r="R414" s="1" t="str">
        <f t="shared" si="83"/>
        <v/>
      </c>
    </row>
    <row r="415" spans="1:18" x14ac:dyDescent="0.2">
      <c r="A415" t="str">
        <f>IF(COUNTBLANK(B415:R415)&lt;&gt;COLUMNS(B415:R415),414,"")</f>
        <v/>
      </c>
      <c r="D415" s="1" t="str">
        <f t="shared" si="72"/>
        <v/>
      </c>
      <c r="E415" s="2" t="str">
        <f t="shared" si="73"/>
        <v/>
      </c>
      <c r="F415" s="1" t="str">
        <f t="shared" si="74"/>
        <v/>
      </c>
      <c r="G415" s="1" t="str">
        <f t="shared" si="75"/>
        <v/>
      </c>
      <c r="H415" s="1" t="str">
        <f t="shared" si="76"/>
        <v/>
      </c>
      <c r="K415" s="1" t="str">
        <f t="shared" si="77"/>
        <v/>
      </c>
      <c r="L415" s="1" t="str">
        <f t="shared" si="78"/>
        <v/>
      </c>
      <c r="M415" s="1" t="str">
        <f t="shared" si="79"/>
        <v/>
      </c>
      <c r="N415" s="1" t="str">
        <f t="shared" si="80"/>
        <v/>
      </c>
      <c r="O415" s="1" t="str">
        <f t="shared" si="81"/>
        <v/>
      </c>
      <c r="P415" s="1" t="str">
        <f t="shared" si="82"/>
        <v/>
      </c>
      <c r="R415" s="1" t="str">
        <f t="shared" si="83"/>
        <v/>
      </c>
    </row>
    <row r="416" spans="1:18" x14ac:dyDescent="0.2">
      <c r="A416" t="str">
        <f>IF(COUNTBLANK(B416:R416)&lt;&gt;COLUMNS(B416:R416),415,"")</f>
        <v/>
      </c>
      <c r="D416" s="1" t="str">
        <f t="shared" si="72"/>
        <v/>
      </c>
      <c r="E416" s="2" t="str">
        <f t="shared" si="73"/>
        <v/>
      </c>
      <c r="F416" s="1" t="str">
        <f t="shared" si="74"/>
        <v/>
      </c>
      <c r="G416" s="1" t="str">
        <f t="shared" si="75"/>
        <v/>
      </c>
      <c r="H416" s="1" t="str">
        <f t="shared" si="76"/>
        <v/>
      </c>
      <c r="K416" s="1" t="str">
        <f t="shared" si="77"/>
        <v/>
      </c>
      <c r="L416" s="1" t="str">
        <f t="shared" si="78"/>
        <v/>
      </c>
      <c r="M416" s="1" t="str">
        <f t="shared" si="79"/>
        <v/>
      </c>
      <c r="N416" s="1" t="str">
        <f t="shared" si="80"/>
        <v/>
      </c>
      <c r="O416" s="1" t="str">
        <f t="shared" si="81"/>
        <v/>
      </c>
      <c r="P416" s="1" t="str">
        <f t="shared" si="82"/>
        <v/>
      </c>
      <c r="R416" s="1" t="str">
        <f t="shared" si="83"/>
        <v/>
      </c>
    </row>
    <row r="417" spans="1:18" x14ac:dyDescent="0.2">
      <c r="A417" t="str">
        <f>IF(COUNTBLANK(B417:R417)&lt;&gt;COLUMNS(B417:R417),416,"")</f>
        <v/>
      </c>
      <c r="D417" s="1" t="str">
        <f t="shared" si="72"/>
        <v/>
      </c>
      <c r="E417" s="2" t="str">
        <f t="shared" si="73"/>
        <v/>
      </c>
      <c r="F417" s="1" t="str">
        <f t="shared" si="74"/>
        <v/>
      </c>
      <c r="G417" s="1" t="str">
        <f t="shared" si="75"/>
        <v/>
      </c>
      <c r="H417" s="1" t="str">
        <f t="shared" si="76"/>
        <v/>
      </c>
      <c r="K417" s="1" t="str">
        <f t="shared" si="77"/>
        <v/>
      </c>
      <c r="L417" s="1" t="str">
        <f t="shared" si="78"/>
        <v/>
      </c>
      <c r="M417" s="1" t="str">
        <f t="shared" si="79"/>
        <v/>
      </c>
      <c r="N417" s="1" t="str">
        <f t="shared" si="80"/>
        <v/>
      </c>
      <c r="O417" s="1" t="str">
        <f t="shared" si="81"/>
        <v/>
      </c>
      <c r="P417" s="1" t="str">
        <f t="shared" si="82"/>
        <v/>
      </c>
      <c r="R417" s="1" t="str">
        <f t="shared" si="83"/>
        <v/>
      </c>
    </row>
    <row r="418" spans="1:18" x14ac:dyDescent="0.2">
      <c r="A418" t="str">
        <f>IF(COUNTBLANK(B418:R418)&lt;&gt;COLUMNS(B418:R418),417,"")</f>
        <v/>
      </c>
      <c r="D418" s="1" t="str">
        <f t="shared" si="72"/>
        <v/>
      </c>
      <c r="E418" s="2" t="str">
        <f t="shared" si="73"/>
        <v/>
      </c>
      <c r="F418" s="1" t="str">
        <f t="shared" si="74"/>
        <v/>
      </c>
      <c r="G418" s="1" t="str">
        <f t="shared" si="75"/>
        <v/>
      </c>
      <c r="H418" s="1" t="str">
        <f t="shared" si="76"/>
        <v/>
      </c>
      <c r="K418" s="1" t="str">
        <f t="shared" si="77"/>
        <v/>
      </c>
      <c r="L418" s="1" t="str">
        <f t="shared" si="78"/>
        <v/>
      </c>
      <c r="M418" s="1" t="str">
        <f t="shared" si="79"/>
        <v/>
      </c>
      <c r="N418" s="1" t="str">
        <f t="shared" si="80"/>
        <v/>
      </c>
      <c r="O418" s="1" t="str">
        <f t="shared" si="81"/>
        <v/>
      </c>
      <c r="P418" s="1" t="str">
        <f t="shared" si="82"/>
        <v/>
      </c>
      <c r="R418" s="1" t="str">
        <f t="shared" si="83"/>
        <v/>
      </c>
    </row>
    <row r="419" spans="1:18" x14ac:dyDescent="0.2">
      <c r="A419" t="str">
        <f>IF(COUNTBLANK(B419:R419)&lt;&gt;COLUMNS(B419:R419),418,"")</f>
        <v/>
      </c>
      <c r="D419" s="1" t="str">
        <f t="shared" si="72"/>
        <v/>
      </c>
      <c r="E419" s="2" t="str">
        <f t="shared" si="73"/>
        <v/>
      </c>
      <c r="F419" s="1" t="str">
        <f t="shared" si="74"/>
        <v/>
      </c>
      <c r="G419" s="1" t="str">
        <f t="shared" si="75"/>
        <v/>
      </c>
      <c r="H419" s="1" t="str">
        <f t="shared" si="76"/>
        <v/>
      </c>
      <c r="K419" s="1" t="str">
        <f t="shared" si="77"/>
        <v/>
      </c>
      <c r="L419" s="1" t="str">
        <f t="shared" si="78"/>
        <v/>
      </c>
      <c r="M419" s="1" t="str">
        <f t="shared" si="79"/>
        <v/>
      </c>
      <c r="N419" s="1" t="str">
        <f t="shared" si="80"/>
        <v/>
      </c>
      <c r="O419" s="1" t="str">
        <f t="shared" si="81"/>
        <v/>
      </c>
      <c r="P419" s="1" t="str">
        <f t="shared" si="82"/>
        <v/>
      </c>
      <c r="R419" s="1" t="str">
        <f t="shared" si="83"/>
        <v/>
      </c>
    </row>
    <row r="420" spans="1:18" x14ac:dyDescent="0.2">
      <c r="A420" t="str">
        <f>IF(COUNTBLANK(B420:R420)&lt;&gt;COLUMNS(B420:R420),419,"")</f>
        <v/>
      </c>
      <c r="D420" s="1" t="str">
        <f t="shared" si="72"/>
        <v/>
      </c>
      <c r="E420" s="2" t="str">
        <f t="shared" si="73"/>
        <v/>
      </c>
      <c r="F420" s="1" t="str">
        <f t="shared" si="74"/>
        <v/>
      </c>
      <c r="G420" s="1" t="str">
        <f t="shared" si="75"/>
        <v/>
      </c>
      <c r="H420" s="1" t="str">
        <f t="shared" si="76"/>
        <v/>
      </c>
      <c r="K420" s="1" t="str">
        <f t="shared" si="77"/>
        <v/>
      </c>
      <c r="L420" s="1" t="str">
        <f t="shared" si="78"/>
        <v/>
      </c>
      <c r="M420" s="1" t="str">
        <f t="shared" si="79"/>
        <v/>
      </c>
      <c r="N420" s="1" t="str">
        <f t="shared" si="80"/>
        <v/>
      </c>
      <c r="O420" s="1" t="str">
        <f t="shared" si="81"/>
        <v/>
      </c>
      <c r="P420" s="1" t="str">
        <f t="shared" si="82"/>
        <v/>
      </c>
      <c r="R420" s="1" t="str">
        <f t="shared" si="83"/>
        <v/>
      </c>
    </row>
    <row r="421" spans="1:18" x14ac:dyDescent="0.2">
      <c r="A421" t="str">
        <f>IF(COUNTBLANK(B421:R421)&lt;&gt;COLUMNS(B421:R421),420,"")</f>
        <v/>
      </c>
      <c r="D421" s="1" t="str">
        <f t="shared" si="72"/>
        <v/>
      </c>
      <c r="E421" s="2" t="str">
        <f t="shared" si="73"/>
        <v/>
      </c>
      <c r="F421" s="1" t="str">
        <f t="shared" si="74"/>
        <v/>
      </c>
      <c r="G421" s="1" t="str">
        <f t="shared" si="75"/>
        <v/>
      </c>
      <c r="H421" s="1" t="str">
        <f t="shared" si="76"/>
        <v/>
      </c>
      <c r="K421" s="1" t="str">
        <f t="shared" si="77"/>
        <v/>
      </c>
      <c r="L421" s="1" t="str">
        <f t="shared" si="78"/>
        <v/>
      </c>
      <c r="M421" s="1" t="str">
        <f t="shared" si="79"/>
        <v/>
      </c>
      <c r="N421" s="1" t="str">
        <f t="shared" si="80"/>
        <v/>
      </c>
      <c r="O421" s="1" t="str">
        <f t="shared" si="81"/>
        <v/>
      </c>
      <c r="P421" s="1" t="str">
        <f t="shared" si="82"/>
        <v/>
      </c>
      <c r="R421" s="1" t="str">
        <f t="shared" si="83"/>
        <v/>
      </c>
    </row>
    <row r="422" spans="1:18" x14ac:dyDescent="0.2">
      <c r="A422" t="str">
        <f>IF(COUNTBLANK(B422:R422)&lt;&gt;COLUMNS(B422:R422),421,"")</f>
        <v/>
      </c>
      <c r="D422" s="1" t="str">
        <f t="shared" si="72"/>
        <v/>
      </c>
      <c r="E422" s="2" t="str">
        <f t="shared" si="73"/>
        <v/>
      </c>
      <c r="F422" s="1" t="str">
        <f t="shared" si="74"/>
        <v/>
      </c>
      <c r="G422" s="1" t="str">
        <f t="shared" si="75"/>
        <v/>
      </c>
      <c r="H422" s="1" t="str">
        <f t="shared" si="76"/>
        <v/>
      </c>
      <c r="K422" s="1" t="str">
        <f t="shared" si="77"/>
        <v/>
      </c>
      <c r="L422" s="1" t="str">
        <f t="shared" si="78"/>
        <v/>
      </c>
      <c r="M422" s="1" t="str">
        <f t="shared" si="79"/>
        <v/>
      </c>
      <c r="N422" s="1" t="str">
        <f t="shared" si="80"/>
        <v/>
      </c>
      <c r="O422" s="1" t="str">
        <f t="shared" si="81"/>
        <v/>
      </c>
      <c r="P422" s="1" t="str">
        <f t="shared" si="82"/>
        <v/>
      </c>
      <c r="R422" s="1" t="str">
        <f t="shared" si="83"/>
        <v/>
      </c>
    </row>
    <row r="423" spans="1:18" x14ac:dyDescent="0.2">
      <c r="A423" t="str">
        <f>IF(COUNTBLANK(B423:R423)&lt;&gt;COLUMNS(B423:R423),422,"")</f>
        <v/>
      </c>
      <c r="D423" s="1" t="str">
        <f t="shared" si="72"/>
        <v/>
      </c>
      <c r="E423" s="2" t="str">
        <f t="shared" si="73"/>
        <v/>
      </c>
      <c r="F423" s="1" t="str">
        <f t="shared" si="74"/>
        <v/>
      </c>
      <c r="G423" s="1" t="str">
        <f t="shared" si="75"/>
        <v/>
      </c>
      <c r="H423" s="1" t="str">
        <f t="shared" si="76"/>
        <v/>
      </c>
      <c r="K423" s="1" t="str">
        <f t="shared" si="77"/>
        <v/>
      </c>
      <c r="L423" s="1" t="str">
        <f t="shared" si="78"/>
        <v/>
      </c>
      <c r="M423" s="1" t="str">
        <f t="shared" si="79"/>
        <v/>
      </c>
      <c r="N423" s="1" t="str">
        <f t="shared" si="80"/>
        <v/>
      </c>
      <c r="O423" s="1" t="str">
        <f t="shared" si="81"/>
        <v/>
      </c>
      <c r="P423" s="1" t="str">
        <f t="shared" si="82"/>
        <v/>
      </c>
      <c r="R423" s="1" t="str">
        <f t="shared" si="83"/>
        <v/>
      </c>
    </row>
    <row r="424" spans="1:18" x14ac:dyDescent="0.2">
      <c r="A424" t="str">
        <f>IF(COUNTBLANK(B424:R424)&lt;&gt;COLUMNS(B424:R424),423,"")</f>
        <v/>
      </c>
      <c r="D424" s="1" t="str">
        <f t="shared" si="72"/>
        <v/>
      </c>
      <c r="E424" s="2" t="str">
        <f t="shared" si="73"/>
        <v/>
      </c>
      <c r="F424" s="1" t="str">
        <f t="shared" si="74"/>
        <v/>
      </c>
      <c r="G424" s="1" t="str">
        <f t="shared" si="75"/>
        <v/>
      </c>
      <c r="H424" s="1" t="str">
        <f t="shared" si="76"/>
        <v/>
      </c>
      <c r="K424" s="1" t="str">
        <f t="shared" si="77"/>
        <v/>
      </c>
      <c r="L424" s="1" t="str">
        <f t="shared" si="78"/>
        <v/>
      </c>
      <c r="M424" s="1" t="str">
        <f t="shared" si="79"/>
        <v/>
      </c>
      <c r="N424" s="1" t="str">
        <f t="shared" si="80"/>
        <v/>
      </c>
      <c r="O424" s="1" t="str">
        <f t="shared" si="81"/>
        <v/>
      </c>
      <c r="P424" s="1" t="str">
        <f t="shared" si="82"/>
        <v/>
      </c>
      <c r="R424" s="1" t="str">
        <f t="shared" si="83"/>
        <v/>
      </c>
    </row>
    <row r="425" spans="1:18" x14ac:dyDescent="0.2">
      <c r="A425" t="str">
        <f>IF(COUNTBLANK(B425:R425)&lt;&gt;COLUMNS(B425:R425),424,"")</f>
        <v/>
      </c>
      <c r="D425" s="1" t="str">
        <f t="shared" si="72"/>
        <v/>
      </c>
      <c r="E425" s="2" t="str">
        <f t="shared" si="73"/>
        <v/>
      </c>
      <c r="F425" s="1" t="str">
        <f t="shared" si="74"/>
        <v/>
      </c>
      <c r="G425" s="1" t="str">
        <f t="shared" si="75"/>
        <v/>
      </c>
      <c r="H425" s="1" t="str">
        <f t="shared" si="76"/>
        <v/>
      </c>
      <c r="K425" s="1" t="str">
        <f t="shared" si="77"/>
        <v/>
      </c>
      <c r="L425" s="1" t="str">
        <f t="shared" si="78"/>
        <v/>
      </c>
      <c r="M425" s="1" t="str">
        <f t="shared" si="79"/>
        <v/>
      </c>
      <c r="N425" s="1" t="str">
        <f t="shared" si="80"/>
        <v/>
      </c>
      <c r="O425" s="1" t="str">
        <f t="shared" si="81"/>
        <v/>
      </c>
      <c r="P425" s="1" t="str">
        <f t="shared" si="82"/>
        <v/>
      </c>
      <c r="R425" s="1" t="str">
        <f t="shared" si="83"/>
        <v/>
      </c>
    </row>
    <row r="426" spans="1:18" x14ac:dyDescent="0.2">
      <c r="A426" t="str">
        <f>IF(COUNTBLANK(B426:R426)&lt;&gt;COLUMNS(B426:R426),425,"")</f>
        <v/>
      </c>
      <c r="D426" s="1" t="str">
        <f t="shared" si="72"/>
        <v/>
      </c>
      <c r="E426" s="2" t="str">
        <f t="shared" si="73"/>
        <v/>
      </c>
      <c r="F426" s="1" t="str">
        <f t="shared" si="74"/>
        <v/>
      </c>
      <c r="G426" s="1" t="str">
        <f t="shared" si="75"/>
        <v/>
      </c>
      <c r="H426" s="1" t="str">
        <f t="shared" si="76"/>
        <v/>
      </c>
      <c r="K426" s="1" t="str">
        <f t="shared" si="77"/>
        <v/>
      </c>
      <c r="L426" s="1" t="str">
        <f t="shared" si="78"/>
        <v/>
      </c>
      <c r="M426" s="1" t="str">
        <f t="shared" si="79"/>
        <v/>
      </c>
      <c r="N426" s="1" t="str">
        <f t="shared" si="80"/>
        <v/>
      </c>
      <c r="O426" s="1" t="str">
        <f t="shared" si="81"/>
        <v/>
      </c>
      <c r="P426" s="1" t="str">
        <f t="shared" si="82"/>
        <v/>
      </c>
      <c r="R426" s="1" t="str">
        <f t="shared" si="83"/>
        <v/>
      </c>
    </row>
    <row r="427" spans="1:18" x14ac:dyDescent="0.2">
      <c r="A427" t="str">
        <f>IF(COUNTBLANK(B427:R427)&lt;&gt;COLUMNS(B427:R427),426,"")</f>
        <v/>
      </c>
      <c r="D427" s="1" t="str">
        <f t="shared" si="72"/>
        <v/>
      </c>
      <c r="E427" s="2" t="str">
        <f t="shared" si="73"/>
        <v/>
      </c>
      <c r="F427" s="1" t="str">
        <f t="shared" si="74"/>
        <v/>
      </c>
      <c r="G427" s="1" t="str">
        <f t="shared" si="75"/>
        <v/>
      </c>
      <c r="H427" s="1" t="str">
        <f t="shared" si="76"/>
        <v/>
      </c>
      <c r="K427" s="1" t="str">
        <f t="shared" si="77"/>
        <v/>
      </c>
      <c r="L427" s="1" t="str">
        <f t="shared" si="78"/>
        <v/>
      </c>
      <c r="M427" s="1" t="str">
        <f t="shared" si="79"/>
        <v/>
      </c>
      <c r="N427" s="1" t="str">
        <f t="shared" si="80"/>
        <v/>
      </c>
      <c r="O427" s="1" t="str">
        <f t="shared" si="81"/>
        <v/>
      </c>
      <c r="P427" s="1" t="str">
        <f t="shared" si="82"/>
        <v/>
      </c>
      <c r="R427" s="1" t="str">
        <f t="shared" si="83"/>
        <v/>
      </c>
    </row>
    <row r="428" spans="1:18" x14ac:dyDescent="0.2">
      <c r="A428" t="str">
        <f>IF(COUNTBLANK(B428:R428)&lt;&gt;COLUMNS(B428:R428),427,"")</f>
        <v/>
      </c>
      <c r="D428" s="1" t="str">
        <f t="shared" si="72"/>
        <v/>
      </c>
      <c r="E428" s="2" t="str">
        <f t="shared" si="73"/>
        <v/>
      </c>
      <c r="F428" s="1" t="str">
        <f t="shared" si="74"/>
        <v/>
      </c>
      <c r="G428" s="1" t="str">
        <f t="shared" si="75"/>
        <v/>
      </c>
      <c r="H428" s="1" t="str">
        <f t="shared" si="76"/>
        <v/>
      </c>
      <c r="K428" s="1" t="str">
        <f t="shared" si="77"/>
        <v/>
      </c>
      <c r="L428" s="1" t="str">
        <f t="shared" si="78"/>
        <v/>
      </c>
      <c r="M428" s="1" t="str">
        <f t="shared" si="79"/>
        <v/>
      </c>
      <c r="N428" s="1" t="str">
        <f t="shared" si="80"/>
        <v/>
      </c>
      <c r="O428" s="1" t="str">
        <f t="shared" si="81"/>
        <v/>
      </c>
      <c r="P428" s="1" t="str">
        <f t="shared" si="82"/>
        <v/>
      </c>
      <c r="R428" s="1" t="str">
        <f t="shared" si="83"/>
        <v/>
      </c>
    </row>
    <row r="429" spans="1:18" x14ac:dyDescent="0.2">
      <c r="A429" t="str">
        <f>IF(COUNTBLANK(B429:R429)&lt;&gt;COLUMNS(B429:R429),428,"")</f>
        <v/>
      </c>
      <c r="D429" s="1" t="str">
        <f t="shared" si="72"/>
        <v/>
      </c>
      <c r="E429" s="2" t="str">
        <f t="shared" si="73"/>
        <v/>
      </c>
      <c r="F429" s="1" t="str">
        <f t="shared" si="74"/>
        <v/>
      </c>
      <c r="G429" s="1" t="str">
        <f t="shared" si="75"/>
        <v/>
      </c>
      <c r="H429" s="1" t="str">
        <f t="shared" si="76"/>
        <v/>
      </c>
      <c r="K429" s="1" t="str">
        <f t="shared" si="77"/>
        <v/>
      </c>
      <c r="L429" s="1" t="str">
        <f t="shared" si="78"/>
        <v/>
      </c>
      <c r="M429" s="1" t="str">
        <f t="shared" si="79"/>
        <v/>
      </c>
      <c r="N429" s="1" t="str">
        <f t="shared" si="80"/>
        <v/>
      </c>
      <c r="O429" s="1" t="str">
        <f t="shared" si="81"/>
        <v/>
      </c>
      <c r="P429" s="1" t="str">
        <f t="shared" si="82"/>
        <v/>
      </c>
      <c r="R429" s="1" t="str">
        <f t="shared" si="83"/>
        <v/>
      </c>
    </row>
    <row r="430" spans="1:18" x14ac:dyDescent="0.2">
      <c r="A430" t="str">
        <f>IF(COUNTBLANK(B430:R430)&lt;&gt;COLUMNS(B430:R430),429,"")</f>
        <v/>
      </c>
      <c r="D430" s="1" t="str">
        <f t="shared" si="72"/>
        <v/>
      </c>
      <c r="E430" s="2" t="str">
        <f t="shared" si="73"/>
        <v/>
      </c>
      <c r="F430" s="1" t="str">
        <f t="shared" si="74"/>
        <v/>
      </c>
      <c r="G430" s="1" t="str">
        <f t="shared" si="75"/>
        <v/>
      </c>
      <c r="H430" s="1" t="str">
        <f t="shared" si="76"/>
        <v/>
      </c>
      <c r="K430" s="1" t="str">
        <f t="shared" si="77"/>
        <v/>
      </c>
      <c r="L430" s="1" t="str">
        <f t="shared" si="78"/>
        <v/>
      </c>
      <c r="M430" s="1" t="str">
        <f t="shared" si="79"/>
        <v/>
      </c>
      <c r="N430" s="1" t="str">
        <f t="shared" si="80"/>
        <v/>
      </c>
      <c r="O430" s="1" t="str">
        <f t="shared" si="81"/>
        <v/>
      </c>
      <c r="P430" s="1" t="str">
        <f t="shared" si="82"/>
        <v/>
      </c>
      <c r="R430" s="1" t="str">
        <f t="shared" si="83"/>
        <v/>
      </c>
    </row>
    <row r="431" spans="1:18" x14ac:dyDescent="0.2">
      <c r="A431" t="str">
        <f>IF(COUNTBLANK(B431:R431)&lt;&gt;COLUMNS(B431:R431),430,"")</f>
        <v/>
      </c>
      <c r="D431" s="1" t="str">
        <f t="shared" si="72"/>
        <v/>
      </c>
      <c r="E431" s="2" t="str">
        <f t="shared" si="73"/>
        <v/>
      </c>
      <c r="F431" s="1" t="str">
        <f t="shared" si="74"/>
        <v/>
      </c>
      <c r="G431" s="1" t="str">
        <f t="shared" si="75"/>
        <v/>
      </c>
      <c r="H431" s="1" t="str">
        <f t="shared" si="76"/>
        <v/>
      </c>
      <c r="K431" s="1" t="str">
        <f t="shared" si="77"/>
        <v/>
      </c>
      <c r="L431" s="1" t="str">
        <f t="shared" si="78"/>
        <v/>
      </c>
      <c r="M431" s="1" t="str">
        <f t="shared" si="79"/>
        <v/>
      </c>
      <c r="N431" s="1" t="str">
        <f t="shared" si="80"/>
        <v/>
      </c>
      <c r="O431" s="1" t="str">
        <f t="shared" si="81"/>
        <v/>
      </c>
      <c r="P431" s="1" t="str">
        <f t="shared" si="82"/>
        <v/>
      </c>
      <c r="R431" s="1" t="str">
        <f t="shared" si="83"/>
        <v/>
      </c>
    </row>
    <row r="432" spans="1:18" x14ac:dyDescent="0.2">
      <c r="A432" t="str">
        <f>IF(COUNTBLANK(B432:R432)&lt;&gt;COLUMNS(B432:R432),431,"")</f>
        <v/>
      </c>
      <c r="D432" s="1" t="str">
        <f t="shared" si="72"/>
        <v/>
      </c>
      <c r="E432" s="2" t="str">
        <f t="shared" si="73"/>
        <v/>
      </c>
      <c r="F432" s="1" t="str">
        <f t="shared" si="74"/>
        <v/>
      </c>
      <c r="G432" s="1" t="str">
        <f t="shared" si="75"/>
        <v/>
      </c>
      <c r="H432" s="1" t="str">
        <f t="shared" si="76"/>
        <v/>
      </c>
      <c r="K432" s="1" t="str">
        <f t="shared" si="77"/>
        <v/>
      </c>
      <c r="L432" s="1" t="str">
        <f t="shared" si="78"/>
        <v/>
      </c>
      <c r="M432" s="1" t="str">
        <f t="shared" si="79"/>
        <v/>
      </c>
      <c r="N432" s="1" t="str">
        <f t="shared" si="80"/>
        <v/>
      </c>
      <c r="O432" s="1" t="str">
        <f t="shared" si="81"/>
        <v/>
      </c>
      <c r="P432" s="1" t="str">
        <f t="shared" si="82"/>
        <v/>
      </c>
      <c r="R432" s="1" t="str">
        <f t="shared" si="83"/>
        <v/>
      </c>
    </row>
    <row r="433" spans="1:18" x14ac:dyDescent="0.2">
      <c r="A433" t="str">
        <f>IF(COUNTBLANK(B433:R433)&lt;&gt;COLUMNS(B433:R433),432,"")</f>
        <v/>
      </c>
      <c r="D433" s="1" t="str">
        <f t="shared" si="72"/>
        <v/>
      </c>
      <c r="E433" s="2" t="str">
        <f t="shared" si="73"/>
        <v/>
      </c>
      <c r="F433" s="1" t="str">
        <f t="shared" si="74"/>
        <v/>
      </c>
      <c r="G433" s="1" t="str">
        <f t="shared" si="75"/>
        <v/>
      </c>
      <c r="H433" s="1" t="str">
        <f t="shared" si="76"/>
        <v/>
      </c>
      <c r="K433" s="1" t="str">
        <f t="shared" si="77"/>
        <v/>
      </c>
      <c r="L433" s="1" t="str">
        <f t="shared" si="78"/>
        <v/>
      </c>
      <c r="M433" s="1" t="str">
        <f t="shared" si="79"/>
        <v/>
      </c>
      <c r="N433" s="1" t="str">
        <f t="shared" si="80"/>
        <v/>
      </c>
      <c r="O433" s="1" t="str">
        <f t="shared" si="81"/>
        <v/>
      </c>
      <c r="P433" s="1" t="str">
        <f t="shared" si="82"/>
        <v/>
      </c>
      <c r="R433" s="1" t="str">
        <f t="shared" si="83"/>
        <v/>
      </c>
    </row>
    <row r="434" spans="1:18" x14ac:dyDescent="0.2">
      <c r="A434" t="str">
        <f>IF(COUNTBLANK(B434:R434)&lt;&gt;COLUMNS(B434:R434),433,"")</f>
        <v/>
      </c>
      <c r="D434" s="1" t="str">
        <f t="shared" si="72"/>
        <v/>
      </c>
      <c r="E434" s="2" t="str">
        <f t="shared" si="73"/>
        <v/>
      </c>
      <c r="F434" s="1" t="str">
        <f t="shared" si="74"/>
        <v/>
      </c>
      <c r="G434" s="1" t="str">
        <f t="shared" si="75"/>
        <v/>
      </c>
      <c r="H434" s="1" t="str">
        <f t="shared" si="76"/>
        <v/>
      </c>
      <c r="K434" s="1" t="str">
        <f t="shared" si="77"/>
        <v/>
      </c>
      <c r="L434" s="1" t="str">
        <f t="shared" si="78"/>
        <v/>
      </c>
      <c r="M434" s="1" t="str">
        <f t="shared" si="79"/>
        <v/>
      </c>
      <c r="N434" s="1" t="str">
        <f t="shared" si="80"/>
        <v/>
      </c>
      <c r="O434" s="1" t="str">
        <f t="shared" si="81"/>
        <v/>
      </c>
      <c r="P434" s="1" t="str">
        <f t="shared" si="82"/>
        <v/>
      </c>
      <c r="R434" s="1" t="str">
        <f t="shared" si="83"/>
        <v/>
      </c>
    </row>
    <row r="435" spans="1:18" x14ac:dyDescent="0.2">
      <c r="A435" t="str">
        <f>IF(COUNTBLANK(B435:R435)&lt;&gt;COLUMNS(B435:R435),434,"")</f>
        <v/>
      </c>
      <c r="D435" s="1" t="str">
        <f t="shared" si="72"/>
        <v/>
      </c>
      <c r="E435" s="2" t="str">
        <f t="shared" si="73"/>
        <v/>
      </c>
      <c r="F435" s="1" t="str">
        <f t="shared" si="74"/>
        <v/>
      </c>
      <c r="G435" s="1" t="str">
        <f t="shared" si="75"/>
        <v/>
      </c>
      <c r="H435" s="1" t="str">
        <f t="shared" si="76"/>
        <v/>
      </c>
      <c r="K435" s="1" t="str">
        <f t="shared" si="77"/>
        <v/>
      </c>
      <c r="L435" s="1" t="str">
        <f t="shared" si="78"/>
        <v/>
      </c>
      <c r="M435" s="1" t="str">
        <f t="shared" si="79"/>
        <v/>
      </c>
      <c r="N435" s="1" t="str">
        <f t="shared" si="80"/>
        <v/>
      </c>
      <c r="O435" s="1" t="str">
        <f t="shared" si="81"/>
        <v/>
      </c>
      <c r="P435" s="1" t="str">
        <f t="shared" si="82"/>
        <v/>
      </c>
      <c r="R435" s="1" t="str">
        <f t="shared" si="83"/>
        <v/>
      </c>
    </row>
    <row r="436" spans="1:18" x14ac:dyDescent="0.2">
      <c r="A436" t="str">
        <f>IF(COUNTBLANK(B436:R436)&lt;&gt;COLUMNS(B436:R436),435,"")</f>
        <v/>
      </c>
      <c r="D436" s="1" t="str">
        <f t="shared" si="72"/>
        <v/>
      </c>
      <c r="E436" s="2" t="str">
        <f t="shared" si="73"/>
        <v/>
      </c>
      <c r="F436" s="1" t="str">
        <f t="shared" si="74"/>
        <v/>
      </c>
      <c r="G436" s="1" t="str">
        <f t="shared" si="75"/>
        <v/>
      </c>
      <c r="H436" s="1" t="str">
        <f t="shared" si="76"/>
        <v/>
      </c>
      <c r="K436" s="1" t="str">
        <f t="shared" si="77"/>
        <v/>
      </c>
      <c r="L436" s="1" t="str">
        <f t="shared" si="78"/>
        <v/>
      </c>
      <c r="M436" s="1" t="str">
        <f t="shared" si="79"/>
        <v/>
      </c>
      <c r="N436" s="1" t="str">
        <f t="shared" si="80"/>
        <v/>
      </c>
      <c r="O436" s="1" t="str">
        <f t="shared" si="81"/>
        <v/>
      </c>
      <c r="P436" s="1" t="str">
        <f t="shared" si="82"/>
        <v/>
      </c>
      <c r="R436" s="1" t="str">
        <f t="shared" si="83"/>
        <v/>
      </c>
    </row>
    <row r="437" spans="1:18" x14ac:dyDescent="0.2">
      <c r="A437" t="str">
        <f>IF(COUNTBLANK(B437:R437)&lt;&gt;COLUMNS(B437:R437),436,"")</f>
        <v/>
      </c>
      <c r="D437" s="1" t="str">
        <f t="shared" si="72"/>
        <v/>
      </c>
      <c r="E437" s="2" t="str">
        <f t="shared" si="73"/>
        <v/>
      </c>
      <c r="F437" s="1" t="str">
        <f t="shared" si="74"/>
        <v/>
      </c>
      <c r="G437" s="1" t="str">
        <f t="shared" si="75"/>
        <v/>
      </c>
      <c r="H437" s="1" t="str">
        <f t="shared" si="76"/>
        <v/>
      </c>
      <c r="K437" s="1" t="str">
        <f t="shared" si="77"/>
        <v/>
      </c>
      <c r="L437" s="1" t="str">
        <f t="shared" si="78"/>
        <v/>
      </c>
      <c r="M437" s="1" t="str">
        <f t="shared" si="79"/>
        <v/>
      </c>
      <c r="N437" s="1" t="str">
        <f t="shared" si="80"/>
        <v/>
      </c>
      <c r="O437" s="1" t="str">
        <f t="shared" si="81"/>
        <v/>
      </c>
      <c r="P437" s="1" t="str">
        <f t="shared" si="82"/>
        <v/>
      </c>
      <c r="R437" s="1" t="str">
        <f t="shared" si="83"/>
        <v/>
      </c>
    </row>
    <row r="438" spans="1:18" x14ac:dyDescent="0.2">
      <c r="A438" t="str">
        <f>IF(COUNTBLANK(B438:R438)&lt;&gt;COLUMNS(B438:R438),437,"")</f>
        <v/>
      </c>
      <c r="D438" s="1" t="str">
        <f t="shared" si="72"/>
        <v/>
      </c>
      <c r="E438" s="2" t="str">
        <f t="shared" si="73"/>
        <v/>
      </c>
      <c r="F438" s="1" t="str">
        <f t="shared" si="74"/>
        <v/>
      </c>
      <c r="G438" s="1" t="str">
        <f t="shared" si="75"/>
        <v/>
      </c>
      <c r="H438" s="1" t="str">
        <f t="shared" si="76"/>
        <v/>
      </c>
      <c r="K438" s="1" t="str">
        <f t="shared" si="77"/>
        <v/>
      </c>
      <c r="L438" s="1" t="str">
        <f t="shared" si="78"/>
        <v/>
      </c>
      <c r="M438" s="1" t="str">
        <f t="shared" si="79"/>
        <v/>
      </c>
      <c r="N438" s="1" t="str">
        <f t="shared" si="80"/>
        <v/>
      </c>
      <c r="O438" s="1" t="str">
        <f t="shared" si="81"/>
        <v/>
      </c>
      <c r="P438" s="1" t="str">
        <f t="shared" si="82"/>
        <v/>
      </c>
      <c r="R438" s="1" t="str">
        <f t="shared" si="83"/>
        <v/>
      </c>
    </row>
    <row r="439" spans="1:18" x14ac:dyDescent="0.2">
      <c r="A439" t="str">
        <f>IF(COUNTBLANK(B439:R439)&lt;&gt;COLUMNS(B439:R439),438,"")</f>
        <v/>
      </c>
      <c r="D439" s="1" t="str">
        <f t="shared" si="72"/>
        <v/>
      </c>
      <c r="E439" s="2" t="str">
        <f t="shared" si="73"/>
        <v/>
      </c>
      <c r="F439" s="1" t="str">
        <f t="shared" si="74"/>
        <v/>
      </c>
      <c r="G439" s="1" t="str">
        <f t="shared" si="75"/>
        <v/>
      </c>
      <c r="H439" s="1" t="str">
        <f t="shared" si="76"/>
        <v/>
      </c>
      <c r="K439" s="1" t="str">
        <f t="shared" si="77"/>
        <v/>
      </c>
      <c r="L439" s="1" t="str">
        <f t="shared" si="78"/>
        <v/>
      </c>
      <c r="M439" s="1" t="str">
        <f t="shared" si="79"/>
        <v/>
      </c>
      <c r="N439" s="1" t="str">
        <f t="shared" si="80"/>
        <v/>
      </c>
      <c r="O439" s="1" t="str">
        <f t="shared" si="81"/>
        <v/>
      </c>
      <c r="P439" s="1" t="str">
        <f t="shared" si="82"/>
        <v/>
      </c>
      <c r="R439" s="1" t="str">
        <f t="shared" si="83"/>
        <v/>
      </c>
    </row>
    <row r="440" spans="1:18" x14ac:dyDescent="0.2">
      <c r="A440" t="str">
        <f>IF(COUNTBLANK(B440:R440)&lt;&gt;COLUMNS(B440:R440),439,"")</f>
        <v/>
      </c>
      <c r="D440" s="1" t="str">
        <f t="shared" si="72"/>
        <v/>
      </c>
      <c r="E440" s="2" t="str">
        <f t="shared" si="73"/>
        <v/>
      </c>
      <c r="F440" s="1" t="str">
        <f t="shared" si="74"/>
        <v/>
      </c>
      <c r="G440" s="1" t="str">
        <f t="shared" si="75"/>
        <v/>
      </c>
      <c r="H440" s="1" t="str">
        <f t="shared" si="76"/>
        <v/>
      </c>
      <c r="K440" s="1" t="str">
        <f t="shared" si="77"/>
        <v/>
      </c>
      <c r="L440" s="1" t="str">
        <f t="shared" si="78"/>
        <v/>
      </c>
      <c r="M440" s="1" t="str">
        <f t="shared" si="79"/>
        <v/>
      </c>
      <c r="N440" s="1" t="str">
        <f t="shared" si="80"/>
        <v/>
      </c>
      <c r="O440" s="1" t="str">
        <f t="shared" si="81"/>
        <v/>
      </c>
      <c r="P440" s="1" t="str">
        <f t="shared" si="82"/>
        <v/>
      </c>
      <c r="R440" s="1" t="str">
        <f t="shared" si="83"/>
        <v/>
      </c>
    </row>
    <row r="441" spans="1:18" x14ac:dyDescent="0.2">
      <c r="A441" t="str">
        <f>IF(COUNTBLANK(B441:R441)&lt;&gt;COLUMNS(B441:R441),440,"")</f>
        <v/>
      </c>
      <c r="D441" s="1" t="str">
        <f t="shared" si="72"/>
        <v/>
      </c>
      <c r="E441" s="2" t="str">
        <f t="shared" si="73"/>
        <v/>
      </c>
      <c r="F441" s="1" t="str">
        <f t="shared" si="74"/>
        <v/>
      </c>
      <c r="G441" s="1" t="str">
        <f t="shared" si="75"/>
        <v/>
      </c>
      <c r="H441" s="1" t="str">
        <f t="shared" si="76"/>
        <v/>
      </c>
      <c r="K441" s="1" t="str">
        <f t="shared" si="77"/>
        <v/>
      </c>
      <c r="L441" s="1" t="str">
        <f t="shared" si="78"/>
        <v/>
      </c>
      <c r="M441" s="1" t="str">
        <f t="shared" si="79"/>
        <v/>
      </c>
      <c r="N441" s="1" t="str">
        <f t="shared" si="80"/>
        <v/>
      </c>
      <c r="O441" s="1" t="str">
        <f t="shared" si="81"/>
        <v/>
      </c>
      <c r="P441" s="1" t="str">
        <f t="shared" si="82"/>
        <v/>
      </c>
      <c r="R441" s="1" t="str">
        <f t="shared" si="83"/>
        <v/>
      </c>
    </row>
    <row r="442" spans="1:18" x14ac:dyDescent="0.2">
      <c r="A442" t="str">
        <f>IF(COUNTBLANK(B442:R442)&lt;&gt;COLUMNS(B442:R442),441,"")</f>
        <v/>
      </c>
      <c r="D442" s="1" t="str">
        <f t="shared" si="72"/>
        <v/>
      </c>
      <c r="E442" s="2" t="str">
        <f t="shared" si="73"/>
        <v/>
      </c>
      <c r="F442" s="1" t="str">
        <f t="shared" si="74"/>
        <v/>
      </c>
      <c r="G442" s="1" t="str">
        <f t="shared" si="75"/>
        <v/>
      </c>
      <c r="H442" s="1" t="str">
        <f t="shared" si="76"/>
        <v/>
      </c>
      <c r="K442" s="1" t="str">
        <f t="shared" si="77"/>
        <v/>
      </c>
      <c r="L442" s="1" t="str">
        <f t="shared" si="78"/>
        <v/>
      </c>
      <c r="M442" s="1" t="str">
        <f t="shared" si="79"/>
        <v/>
      </c>
      <c r="N442" s="1" t="str">
        <f t="shared" si="80"/>
        <v/>
      </c>
      <c r="O442" s="1" t="str">
        <f t="shared" si="81"/>
        <v/>
      </c>
      <c r="P442" s="1" t="str">
        <f t="shared" si="82"/>
        <v/>
      </c>
      <c r="R442" s="1" t="str">
        <f t="shared" si="83"/>
        <v/>
      </c>
    </row>
    <row r="443" spans="1:18" x14ac:dyDescent="0.2">
      <c r="A443" t="str">
        <f>IF(COUNTBLANK(B443:R443)&lt;&gt;COLUMNS(B443:R443),442,"")</f>
        <v/>
      </c>
      <c r="D443" s="1" t="str">
        <f t="shared" si="72"/>
        <v/>
      </c>
      <c r="E443" s="2" t="str">
        <f t="shared" si="73"/>
        <v/>
      </c>
      <c r="F443" s="1" t="str">
        <f t="shared" si="74"/>
        <v/>
      </c>
      <c r="G443" s="1" t="str">
        <f t="shared" si="75"/>
        <v/>
      </c>
      <c r="H443" s="1" t="str">
        <f t="shared" si="76"/>
        <v/>
      </c>
      <c r="K443" s="1" t="str">
        <f t="shared" si="77"/>
        <v/>
      </c>
      <c r="L443" s="1" t="str">
        <f t="shared" si="78"/>
        <v/>
      </c>
      <c r="M443" s="1" t="str">
        <f t="shared" si="79"/>
        <v/>
      </c>
      <c r="N443" s="1" t="str">
        <f t="shared" si="80"/>
        <v/>
      </c>
      <c r="O443" s="1" t="str">
        <f t="shared" si="81"/>
        <v/>
      </c>
      <c r="P443" s="1" t="str">
        <f t="shared" si="82"/>
        <v/>
      </c>
      <c r="R443" s="1" t="str">
        <f t="shared" si="83"/>
        <v/>
      </c>
    </row>
    <row r="444" spans="1:18" x14ac:dyDescent="0.2">
      <c r="A444" t="str">
        <f>IF(COUNTBLANK(B444:R444)&lt;&gt;COLUMNS(B444:R444),443,"")</f>
        <v/>
      </c>
      <c r="D444" s="1" t="str">
        <f t="shared" si="72"/>
        <v/>
      </c>
      <c r="E444" s="2" t="str">
        <f t="shared" si="73"/>
        <v/>
      </c>
      <c r="F444" s="1" t="str">
        <f t="shared" si="74"/>
        <v/>
      </c>
      <c r="G444" s="1" t="str">
        <f t="shared" si="75"/>
        <v/>
      </c>
      <c r="H444" s="1" t="str">
        <f t="shared" si="76"/>
        <v/>
      </c>
      <c r="K444" s="1" t="str">
        <f t="shared" si="77"/>
        <v/>
      </c>
      <c r="L444" s="1" t="str">
        <f t="shared" si="78"/>
        <v/>
      </c>
      <c r="M444" s="1" t="str">
        <f t="shared" si="79"/>
        <v/>
      </c>
      <c r="N444" s="1" t="str">
        <f t="shared" si="80"/>
        <v/>
      </c>
      <c r="O444" s="1" t="str">
        <f t="shared" si="81"/>
        <v/>
      </c>
      <c r="P444" s="1" t="str">
        <f t="shared" si="82"/>
        <v/>
      </c>
      <c r="R444" s="1" t="str">
        <f t="shared" si="83"/>
        <v/>
      </c>
    </row>
    <row r="445" spans="1:18" x14ac:dyDescent="0.2">
      <c r="A445" t="str">
        <f>IF(COUNTBLANK(B445:R445)&lt;&gt;COLUMNS(B445:R445),444,"")</f>
        <v/>
      </c>
      <c r="D445" s="1" t="str">
        <f t="shared" si="72"/>
        <v/>
      </c>
      <c r="E445" s="2" t="str">
        <f t="shared" si="73"/>
        <v/>
      </c>
      <c r="F445" s="1" t="str">
        <f t="shared" si="74"/>
        <v/>
      </c>
      <c r="G445" s="1" t="str">
        <f t="shared" si="75"/>
        <v/>
      </c>
      <c r="H445" s="1" t="str">
        <f t="shared" si="76"/>
        <v/>
      </c>
      <c r="K445" s="1" t="str">
        <f t="shared" si="77"/>
        <v/>
      </c>
      <c r="L445" s="1" t="str">
        <f t="shared" si="78"/>
        <v/>
      </c>
      <c r="M445" s="1" t="str">
        <f t="shared" si="79"/>
        <v/>
      </c>
      <c r="N445" s="1" t="str">
        <f t="shared" si="80"/>
        <v/>
      </c>
      <c r="O445" s="1" t="str">
        <f t="shared" si="81"/>
        <v/>
      </c>
      <c r="P445" s="1" t="str">
        <f t="shared" si="82"/>
        <v/>
      </c>
      <c r="R445" s="1" t="str">
        <f t="shared" si="83"/>
        <v/>
      </c>
    </row>
    <row r="446" spans="1:18" x14ac:dyDescent="0.2">
      <c r="A446" t="str">
        <f>IF(COUNTBLANK(B446:R446)&lt;&gt;COLUMNS(B446:R446),445,"")</f>
        <v/>
      </c>
      <c r="D446" s="1" t="str">
        <f t="shared" si="72"/>
        <v/>
      </c>
      <c r="E446" s="2" t="str">
        <f t="shared" si="73"/>
        <v/>
      </c>
      <c r="F446" s="1" t="str">
        <f t="shared" si="74"/>
        <v/>
      </c>
      <c r="G446" s="1" t="str">
        <f t="shared" si="75"/>
        <v/>
      </c>
      <c r="H446" s="1" t="str">
        <f t="shared" si="76"/>
        <v/>
      </c>
      <c r="K446" s="1" t="str">
        <f t="shared" si="77"/>
        <v/>
      </c>
      <c r="L446" s="1" t="str">
        <f t="shared" si="78"/>
        <v/>
      </c>
      <c r="M446" s="1" t="str">
        <f t="shared" si="79"/>
        <v/>
      </c>
      <c r="N446" s="1" t="str">
        <f t="shared" si="80"/>
        <v/>
      </c>
      <c r="O446" s="1" t="str">
        <f t="shared" si="81"/>
        <v/>
      </c>
      <c r="P446" s="1" t="str">
        <f t="shared" si="82"/>
        <v/>
      </c>
      <c r="R446" s="1" t="str">
        <f t="shared" si="83"/>
        <v/>
      </c>
    </row>
    <row r="447" spans="1:18" x14ac:dyDescent="0.2">
      <c r="A447" t="str">
        <f>IF(COUNTBLANK(B447:R447)&lt;&gt;COLUMNS(B447:R447),446,"")</f>
        <v/>
      </c>
      <c r="D447" s="1" t="str">
        <f t="shared" si="72"/>
        <v/>
      </c>
      <c r="E447" s="2" t="str">
        <f t="shared" si="73"/>
        <v/>
      </c>
      <c r="F447" s="1" t="str">
        <f t="shared" si="74"/>
        <v/>
      </c>
      <c r="G447" s="1" t="str">
        <f t="shared" si="75"/>
        <v/>
      </c>
      <c r="H447" s="1" t="str">
        <f t="shared" si="76"/>
        <v/>
      </c>
      <c r="K447" s="1" t="str">
        <f t="shared" si="77"/>
        <v/>
      </c>
      <c r="L447" s="1" t="str">
        <f t="shared" si="78"/>
        <v/>
      </c>
      <c r="M447" s="1" t="str">
        <f t="shared" si="79"/>
        <v/>
      </c>
      <c r="N447" s="1" t="str">
        <f t="shared" si="80"/>
        <v/>
      </c>
      <c r="O447" s="1" t="str">
        <f t="shared" si="81"/>
        <v/>
      </c>
      <c r="P447" s="1" t="str">
        <f t="shared" si="82"/>
        <v/>
      </c>
      <c r="R447" s="1" t="str">
        <f t="shared" si="83"/>
        <v/>
      </c>
    </row>
    <row r="448" spans="1:18" x14ac:dyDescent="0.2">
      <c r="A448" t="str">
        <f>IF(COUNTBLANK(B448:R448)&lt;&gt;COLUMNS(B448:R448),447,"")</f>
        <v/>
      </c>
      <c r="D448" s="1" t="str">
        <f t="shared" si="72"/>
        <v/>
      </c>
      <c r="E448" s="2" t="str">
        <f t="shared" si="73"/>
        <v/>
      </c>
      <c r="F448" s="1" t="str">
        <f t="shared" si="74"/>
        <v/>
      </c>
      <c r="G448" s="1" t="str">
        <f t="shared" si="75"/>
        <v/>
      </c>
      <c r="H448" s="1" t="str">
        <f t="shared" si="76"/>
        <v/>
      </c>
      <c r="K448" s="1" t="str">
        <f t="shared" si="77"/>
        <v/>
      </c>
      <c r="L448" s="1" t="str">
        <f t="shared" si="78"/>
        <v/>
      </c>
      <c r="M448" s="1" t="str">
        <f t="shared" si="79"/>
        <v/>
      </c>
      <c r="N448" s="1" t="str">
        <f t="shared" si="80"/>
        <v/>
      </c>
      <c r="O448" s="1" t="str">
        <f t="shared" si="81"/>
        <v/>
      </c>
      <c r="P448" s="1" t="str">
        <f t="shared" si="82"/>
        <v/>
      </c>
      <c r="R448" s="1" t="str">
        <f t="shared" si="83"/>
        <v/>
      </c>
    </row>
    <row r="449" spans="1:18" x14ac:dyDescent="0.2">
      <c r="A449" t="str">
        <f>IF(COUNTBLANK(B449:R449)&lt;&gt;COLUMNS(B449:R449),448,"")</f>
        <v/>
      </c>
      <c r="D449" s="1" t="str">
        <f t="shared" si="72"/>
        <v/>
      </c>
      <c r="E449" s="2" t="str">
        <f t="shared" si="73"/>
        <v/>
      </c>
      <c r="F449" s="1" t="str">
        <f t="shared" si="74"/>
        <v/>
      </c>
      <c r="G449" s="1" t="str">
        <f t="shared" si="75"/>
        <v/>
      </c>
      <c r="H449" s="1" t="str">
        <f t="shared" si="76"/>
        <v/>
      </c>
      <c r="K449" s="1" t="str">
        <f t="shared" si="77"/>
        <v/>
      </c>
      <c r="L449" s="1" t="str">
        <f t="shared" si="78"/>
        <v/>
      </c>
      <c r="M449" s="1" t="str">
        <f t="shared" si="79"/>
        <v/>
      </c>
      <c r="N449" s="1" t="str">
        <f t="shared" si="80"/>
        <v/>
      </c>
      <c r="O449" s="1" t="str">
        <f t="shared" si="81"/>
        <v/>
      </c>
      <c r="P449" s="1" t="str">
        <f t="shared" si="82"/>
        <v/>
      </c>
      <c r="R449" s="1" t="str">
        <f t="shared" si="83"/>
        <v/>
      </c>
    </row>
    <row r="450" spans="1:18" x14ac:dyDescent="0.2">
      <c r="A450" t="str">
        <f>IF(COUNTBLANK(B450:R450)&lt;&gt;COLUMNS(B450:R450),449,"")</f>
        <v/>
      </c>
      <c r="D450" s="1" t="str">
        <f t="shared" ref="D450:D513" si="84">IF(B450="", "", "years")</f>
        <v/>
      </c>
      <c r="E450" s="2" t="str">
        <f t="shared" ref="E450:E513" si="85">IF(B450="", "", "missing: not provided")</f>
        <v/>
      </c>
      <c r="F450" s="1" t="str">
        <f t="shared" ref="F450:F513" si="86">IF(B450="", "", "Not applicable")</f>
        <v/>
      </c>
      <c r="G450" s="1" t="str">
        <f t="shared" ref="G450:G513" si="87">IF(B450="", "", "urban biome")</f>
        <v/>
      </c>
      <c r="H450" s="1" t="str">
        <f t="shared" ref="H450:H513" si="88">IF(B450="", "", "human-associated habitat")</f>
        <v/>
      </c>
      <c r="K450" s="1" t="str">
        <f t="shared" ref="K450:K513" si="89">IF(B450="", "", "cm")</f>
        <v/>
      </c>
      <c r="L450" s="1" t="str">
        <f t="shared" ref="L450:L513" si="90">IF(B450="", "", "human")</f>
        <v/>
      </c>
      <c r="M450" s="1" t="str">
        <f t="shared" ref="M450:M513" si="91">IF(B450="", "", "Homo sapiens")</f>
        <v/>
      </c>
      <c r="N450" s="1" t="str">
        <f t="shared" ref="N450:N513" si="92">IF(B450="", "", "9606")</f>
        <v/>
      </c>
      <c r="O450" s="1" t="str">
        <f t="shared" ref="O450:O513" si="93">IF(B450="", "", "missing: not provided")</f>
        <v/>
      </c>
      <c r="P450" s="1" t="str">
        <f t="shared" ref="P450:P513" si="94">IF(B450="", "", "missing: not provided")</f>
        <v/>
      </c>
      <c r="R450" s="1" t="str">
        <f t="shared" ref="R450:R513" si="95">IF(B450="", "", "kg")</f>
        <v/>
      </c>
    </row>
    <row r="451" spans="1:18" x14ac:dyDescent="0.2">
      <c r="A451" t="str">
        <f>IF(COUNTBLANK(B451:R451)&lt;&gt;COLUMNS(B451:R451),450,"")</f>
        <v/>
      </c>
      <c r="D451" s="1" t="str">
        <f t="shared" si="84"/>
        <v/>
      </c>
      <c r="E451" s="2" t="str">
        <f t="shared" si="85"/>
        <v/>
      </c>
      <c r="F451" s="1" t="str">
        <f t="shared" si="86"/>
        <v/>
      </c>
      <c r="G451" s="1" t="str">
        <f t="shared" si="87"/>
        <v/>
      </c>
      <c r="H451" s="1" t="str">
        <f t="shared" si="88"/>
        <v/>
      </c>
      <c r="K451" s="1" t="str">
        <f t="shared" si="89"/>
        <v/>
      </c>
      <c r="L451" s="1" t="str">
        <f t="shared" si="90"/>
        <v/>
      </c>
      <c r="M451" s="1" t="str">
        <f t="shared" si="91"/>
        <v/>
      </c>
      <c r="N451" s="1" t="str">
        <f t="shared" si="92"/>
        <v/>
      </c>
      <c r="O451" s="1" t="str">
        <f t="shared" si="93"/>
        <v/>
      </c>
      <c r="P451" s="1" t="str">
        <f t="shared" si="94"/>
        <v/>
      </c>
      <c r="R451" s="1" t="str">
        <f t="shared" si="95"/>
        <v/>
      </c>
    </row>
    <row r="452" spans="1:18" x14ac:dyDescent="0.2">
      <c r="A452" t="str">
        <f>IF(COUNTBLANK(B452:R452)&lt;&gt;COLUMNS(B452:R452),451,"")</f>
        <v/>
      </c>
      <c r="D452" s="1" t="str">
        <f t="shared" si="84"/>
        <v/>
      </c>
      <c r="E452" s="2" t="str">
        <f t="shared" si="85"/>
        <v/>
      </c>
      <c r="F452" s="1" t="str">
        <f t="shared" si="86"/>
        <v/>
      </c>
      <c r="G452" s="1" t="str">
        <f t="shared" si="87"/>
        <v/>
      </c>
      <c r="H452" s="1" t="str">
        <f t="shared" si="88"/>
        <v/>
      </c>
      <c r="K452" s="1" t="str">
        <f t="shared" si="89"/>
        <v/>
      </c>
      <c r="L452" s="1" t="str">
        <f t="shared" si="90"/>
        <v/>
      </c>
      <c r="M452" s="1" t="str">
        <f t="shared" si="91"/>
        <v/>
      </c>
      <c r="N452" s="1" t="str">
        <f t="shared" si="92"/>
        <v/>
      </c>
      <c r="O452" s="1" t="str">
        <f t="shared" si="93"/>
        <v/>
      </c>
      <c r="P452" s="1" t="str">
        <f t="shared" si="94"/>
        <v/>
      </c>
      <c r="R452" s="1" t="str">
        <f t="shared" si="95"/>
        <v/>
      </c>
    </row>
    <row r="453" spans="1:18" x14ac:dyDescent="0.2">
      <c r="A453" t="str">
        <f>IF(COUNTBLANK(B453:R453)&lt;&gt;COLUMNS(B453:R453),452,"")</f>
        <v/>
      </c>
      <c r="D453" s="1" t="str">
        <f t="shared" si="84"/>
        <v/>
      </c>
      <c r="E453" s="2" t="str">
        <f t="shared" si="85"/>
        <v/>
      </c>
      <c r="F453" s="1" t="str">
        <f t="shared" si="86"/>
        <v/>
      </c>
      <c r="G453" s="1" t="str">
        <f t="shared" si="87"/>
        <v/>
      </c>
      <c r="H453" s="1" t="str">
        <f t="shared" si="88"/>
        <v/>
      </c>
      <c r="K453" s="1" t="str">
        <f t="shared" si="89"/>
        <v/>
      </c>
      <c r="L453" s="1" t="str">
        <f t="shared" si="90"/>
        <v/>
      </c>
      <c r="M453" s="1" t="str">
        <f t="shared" si="91"/>
        <v/>
      </c>
      <c r="N453" s="1" t="str">
        <f t="shared" si="92"/>
        <v/>
      </c>
      <c r="O453" s="1" t="str">
        <f t="shared" si="93"/>
        <v/>
      </c>
      <c r="P453" s="1" t="str">
        <f t="shared" si="94"/>
        <v/>
      </c>
      <c r="R453" s="1" t="str">
        <f t="shared" si="95"/>
        <v/>
      </c>
    </row>
    <row r="454" spans="1:18" x14ac:dyDescent="0.2">
      <c r="A454" t="str">
        <f>IF(COUNTBLANK(B454:R454)&lt;&gt;COLUMNS(B454:R454),453,"")</f>
        <v/>
      </c>
      <c r="D454" s="1" t="str">
        <f t="shared" si="84"/>
        <v/>
      </c>
      <c r="E454" s="2" t="str">
        <f t="shared" si="85"/>
        <v/>
      </c>
      <c r="F454" s="1" t="str">
        <f t="shared" si="86"/>
        <v/>
      </c>
      <c r="G454" s="1" t="str">
        <f t="shared" si="87"/>
        <v/>
      </c>
      <c r="H454" s="1" t="str">
        <f t="shared" si="88"/>
        <v/>
      </c>
      <c r="K454" s="1" t="str">
        <f t="shared" si="89"/>
        <v/>
      </c>
      <c r="L454" s="1" t="str">
        <f t="shared" si="90"/>
        <v/>
      </c>
      <c r="M454" s="1" t="str">
        <f t="shared" si="91"/>
        <v/>
      </c>
      <c r="N454" s="1" t="str">
        <f t="shared" si="92"/>
        <v/>
      </c>
      <c r="O454" s="1" t="str">
        <f t="shared" si="93"/>
        <v/>
      </c>
      <c r="P454" s="1" t="str">
        <f t="shared" si="94"/>
        <v/>
      </c>
      <c r="R454" s="1" t="str">
        <f t="shared" si="95"/>
        <v/>
      </c>
    </row>
    <row r="455" spans="1:18" x14ac:dyDescent="0.2">
      <c r="A455" t="str">
        <f>IF(COUNTBLANK(B455:R455)&lt;&gt;COLUMNS(B455:R455),454,"")</f>
        <v/>
      </c>
      <c r="D455" s="1" t="str">
        <f t="shared" si="84"/>
        <v/>
      </c>
      <c r="E455" s="2" t="str">
        <f t="shared" si="85"/>
        <v/>
      </c>
      <c r="F455" s="1" t="str">
        <f t="shared" si="86"/>
        <v/>
      </c>
      <c r="G455" s="1" t="str">
        <f t="shared" si="87"/>
        <v/>
      </c>
      <c r="H455" s="1" t="str">
        <f t="shared" si="88"/>
        <v/>
      </c>
      <c r="K455" s="1" t="str">
        <f t="shared" si="89"/>
        <v/>
      </c>
      <c r="L455" s="1" t="str">
        <f t="shared" si="90"/>
        <v/>
      </c>
      <c r="M455" s="1" t="str">
        <f t="shared" si="91"/>
        <v/>
      </c>
      <c r="N455" s="1" t="str">
        <f t="shared" si="92"/>
        <v/>
      </c>
      <c r="O455" s="1" t="str">
        <f t="shared" si="93"/>
        <v/>
      </c>
      <c r="P455" s="1" t="str">
        <f t="shared" si="94"/>
        <v/>
      </c>
      <c r="R455" s="1" t="str">
        <f t="shared" si="95"/>
        <v/>
      </c>
    </row>
    <row r="456" spans="1:18" x14ac:dyDescent="0.2">
      <c r="A456" t="str">
        <f>IF(COUNTBLANK(B456:R456)&lt;&gt;COLUMNS(B456:R456),455,"")</f>
        <v/>
      </c>
      <c r="D456" s="1" t="str">
        <f t="shared" si="84"/>
        <v/>
      </c>
      <c r="E456" s="2" t="str">
        <f t="shared" si="85"/>
        <v/>
      </c>
      <c r="F456" s="1" t="str">
        <f t="shared" si="86"/>
        <v/>
      </c>
      <c r="G456" s="1" t="str">
        <f t="shared" si="87"/>
        <v/>
      </c>
      <c r="H456" s="1" t="str">
        <f t="shared" si="88"/>
        <v/>
      </c>
      <c r="K456" s="1" t="str">
        <f t="shared" si="89"/>
        <v/>
      </c>
      <c r="L456" s="1" t="str">
        <f t="shared" si="90"/>
        <v/>
      </c>
      <c r="M456" s="1" t="str">
        <f t="shared" si="91"/>
        <v/>
      </c>
      <c r="N456" s="1" t="str">
        <f t="shared" si="92"/>
        <v/>
      </c>
      <c r="O456" s="1" t="str">
        <f t="shared" si="93"/>
        <v/>
      </c>
      <c r="P456" s="1" t="str">
        <f t="shared" si="94"/>
        <v/>
      </c>
      <c r="R456" s="1" t="str">
        <f t="shared" si="95"/>
        <v/>
      </c>
    </row>
    <row r="457" spans="1:18" x14ac:dyDescent="0.2">
      <c r="A457" t="str">
        <f>IF(COUNTBLANK(B457:R457)&lt;&gt;COLUMNS(B457:R457),456,"")</f>
        <v/>
      </c>
      <c r="D457" s="1" t="str">
        <f t="shared" si="84"/>
        <v/>
      </c>
      <c r="E457" s="2" t="str">
        <f t="shared" si="85"/>
        <v/>
      </c>
      <c r="F457" s="1" t="str">
        <f t="shared" si="86"/>
        <v/>
      </c>
      <c r="G457" s="1" t="str">
        <f t="shared" si="87"/>
        <v/>
      </c>
      <c r="H457" s="1" t="str">
        <f t="shared" si="88"/>
        <v/>
      </c>
      <c r="K457" s="1" t="str">
        <f t="shared" si="89"/>
        <v/>
      </c>
      <c r="L457" s="1" t="str">
        <f t="shared" si="90"/>
        <v/>
      </c>
      <c r="M457" s="1" t="str">
        <f t="shared" si="91"/>
        <v/>
      </c>
      <c r="N457" s="1" t="str">
        <f t="shared" si="92"/>
        <v/>
      </c>
      <c r="O457" s="1" t="str">
        <f t="shared" si="93"/>
        <v/>
      </c>
      <c r="P457" s="1" t="str">
        <f t="shared" si="94"/>
        <v/>
      </c>
      <c r="R457" s="1" t="str">
        <f t="shared" si="95"/>
        <v/>
      </c>
    </row>
    <row r="458" spans="1:18" x14ac:dyDescent="0.2">
      <c r="A458" t="str">
        <f>IF(COUNTBLANK(B458:R458)&lt;&gt;COLUMNS(B458:R458),457,"")</f>
        <v/>
      </c>
      <c r="D458" s="1" t="str">
        <f t="shared" si="84"/>
        <v/>
      </c>
      <c r="E458" s="2" t="str">
        <f t="shared" si="85"/>
        <v/>
      </c>
      <c r="F458" s="1" t="str">
        <f t="shared" si="86"/>
        <v/>
      </c>
      <c r="G458" s="1" t="str">
        <f t="shared" si="87"/>
        <v/>
      </c>
      <c r="H458" s="1" t="str">
        <f t="shared" si="88"/>
        <v/>
      </c>
      <c r="K458" s="1" t="str">
        <f t="shared" si="89"/>
        <v/>
      </c>
      <c r="L458" s="1" t="str">
        <f t="shared" si="90"/>
        <v/>
      </c>
      <c r="M458" s="1" t="str">
        <f t="shared" si="91"/>
        <v/>
      </c>
      <c r="N458" s="1" t="str">
        <f t="shared" si="92"/>
        <v/>
      </c>
      <c r="O458" s="1" t="str">
        <f t="shared" si="93"/>
        <v/>
      </c>
      <c r="P458" s="1" t="str">
        <f t="shared" si="94"/>
        <v/>
      </c>
      <c r="R458" s="1" t="str">
        <f t="shared" si="95"/>
        <v/>
      </c>
    </row>
    <row r="459" spans="1:18" x14ac:dyDescent="0.2">
      <c r="A459" t="str">
        <f>IF(COUNTBLANK(B459:R459)&lt;&gt;COLUMNS(B459:R459),458,"")</f>
        <v/>
      </c>
      <c r="D459" s="1" t="str">
        <f t="shared" si="84"/>
        <v/>
      </c>
      <c r="E459" s="2" t="str">
        <f t="shared" si="85"/>
        <v/>
      </c>
      <c r="F459" s="1" t="str">
        <f t="shared" si="86"/>
        <v/>
      </c>
      <c r="G459" s="1" t="str">
        <f t="shared" si="87"/>
        <v/>
      </c>
      <c r="H459" s="1" t="str">
        <f t="shared" si="88"/>
        <v/>
      </c>
      <c r="K459" s="1" t="str">
        <f t="shared" si="89"/>
        <v/>
      </c>
      <c r="L459" s="1" t="str">
        <f t="shared" si="90"/>
        <v/>
      </c>
      <c r="M459" s="1" t="str">
        <f t="shared" si="91"/>
        <v/>
      </c>
      <c r="N459" s="1" t="str">
        <f t="shared" si="92"/>
        <v/>
      </c>
      <c r="O459" s="1" t="str">
        <f t="shared" si="93"/>
        <v/>
      </c>
      <c r="P459" s="1" t="str">
        <f t="shared" si="94"/>
        <v/>
      </c>
      <c r="R459" s="1" t="str">
        <f t="shared" si="95"/>
        <v/>
      </c>
    </row>
    <row r="460" spans="1:18" x14ac:dyDescent="0.2">
      <c r="A460" t="str">
        <f>IF(COUNTBLANK(B460:R460)&lt;&gt;COLUMNS(B460:R460),459,"")</f>
        <v/>
      </c>
      <c r="D460" s="1" t="str">
        <f t="shared" si="84"/>
        <v/>
      </c>
      <c r="E460" s="2" t="str">
        <f t="shared" si="85"/>
        <v/>
      </c>
      <c r="F460" s="1" t="str">
        <f t="shared" si="86"/>
        <v/>
      </c>
      <c r="G460" s="1" t="str">
        <f t="shared" si="87"/>
        <v/>
      </c>
      <c r="H460" s="1" t="str">
        <f t="shared" si="88"/>
        <v/>
      </c>
      <c r="K460" s="1" t="str">
        <f t="shared" si="89"/>
        <v/>
      </c>
      <c r="L460" s="1" t="str">
        <f t="shared" si="90"/>
        <v/>
      </c>
      <c r="M460" s="1" t="str">
        <f t="shared" si="91"/>
        <v/>
      </c>
      <c r="N460" s="1" t="str">
        <f t="shared" si="92"/>
        <v/>
      </c>
      <c r="O460" s="1" t="str">
        <f t="shared" si="93"/>
        <v/>
      </c>
      <c r="P460" s="1" t="str">
        <f t="shared" si="94"/>
        <v/>
      </c>
      <c r="R460" s="1" t="str">
        <f t="shared" si="95"/>
        <v/>
      </c>
    </row>
    <row r="461" spans="1:18" x14ac:dyDescent="0.2">
      <c r="A461" t="str">
        <f>IF(COUNTBLANK(B461:R461)&lt;&gt;COLUMNS(B461:R461),460,"")</f>
        <v/>
      </c>
      <c r="D461" s="1" t="str">
        <f t="shared" si="84"/>
        <v/>
      </c>
      <c r="E461" s="2" t="str">
        <f t="shared" si="85"/>
        <v/>
      </c>
      <c r="F461" s="1" t="str">
        <f t="shared" si="86"/>
        <v/>
      </c>
      <c r="G461" s="1" t="str">
        <f t="shared" si="87"/>
        <v/>
      </c>
      <c r="H461" s="1" t="str">
        <f t="shared" si="88"/>
        <v/>
      </c>
      <c r="K461" s="1" t="str">
        <f t="shared" si="89"/>
        <v/>
      </c>
      <c r="L461" s="1" t="str">
        <f t="shared" si="90"/>
        <v/>
      </c>
      <c r="M461" s="1" t="str">
        <f t="shared" si="91"/>
        <v/>
      </c>
      <c r="N461" s="1" t="str">
        <f t="shared" si="92"/>
        <v/>
      </c>
      <c r="O461" s="1" t="str">
        <f t="shared" si="93"/>
        <v/>
      </c>
      <c r="P461" s="1" t="str">
        <f t="shared" si="94"/>
        <v/>
      </c>
      <c r="R461" s="1" t="str">
        <f t="shared" si="95"/>
        <v/>
      </c>
    </row>
    <row r="462" spans="1:18" x14ac:dyDescent="0.2">
      <c r="A462" t="str">
        <f>IF(COUNTBLANK(B462:R462)&lt;&gt;COLUMNS(B462:R462),461,"")</f>
        <v/>
      </c>
      <c r="D462" s="1" t="str">
        <f t="shared" si="84"/>
        <v/>
      </c>
      <c r="E462" s="2" t="str">
        <f t="shared" si="85"/>
        <v/>
      </c>
      <c r="F462" s="1" t="str">
        <f t="shared" si="86"/>
        <v/>
      </c>
      <c r="G462" s="1" t="str">
        <f t="shared" si="87"/>
        <v/>
      </c>
      <c r="H462" s="1" t="str">
        <f t="shared" si="88"/>
        <v/>
      </c>
      <c r="K462" s="1" t="str">
        <f t="shared" si="89"/>
        <v/>
      </c>
      <c r="L462" s="1" t="str">
        <f t="shared" si="90"/>
        <v/>
      </c>
      <c r="M462" s="1" t="str">
        <f t="shared" si="91"/>
        <v/>
      </c>
      <c r="N462" s="1" t="str">
        <f t="shared" si="92"/>
        <v/>
      </c>
      <c r="O462" s="1" t="str">
        <f t="shared" si="93"/>
        <v/>
      </c>
      <c r="P462" s="1" t="str">
        <f t="shared" si="94"/>
        <v/>
      </c>
      <c r="R462" s="1" t="str">
        <f t="shared" si="95"/>
        <v/>
      </c>
    </row>
    <row r="463" spans="1:18" x14ac:dyDescent="0.2">
      <c r="A463" t="str">
        <f>IF(COUNTBLANK(B463:R463)&lt;&gt;COLUMNS(B463:R463),462,"")</f>
        <v/>
      </c>
      <c r="D463" s="1" t="str">
        <f t="shared" si="84"/>
        <v/>
      </c>
      <c r="E463" s="2" t="str">
        <f t="shared" si="85"/>
        <v/>
      </c>
      <c r="F463" s="1" t="str">
        <f t="shared" si="86"/>
        <v/>
      </c>
      <c r="G463" s="1" t="str">
        <f t="shared" si="87"/>
        <v/>
      </c>
      <c r="H463" s="1" t="str">
        <f t="shared" si="88"/>
        <v/>
      </c>
      <c r="K463" s="1" t="str">
        <f t="shared" si="89"/>
        <v/>
      </c>
      <c r="L463" s="1" t="str">
        <f t="shared" si="90"/>
        <v/>
      </c>
      <c r="M463" s="1" t="str">
        <f t="shared" si="91"/>
        <v/>
      </c>
      <c r="N463" s="1" t="str">
        <f t="shared" si="92"/>
        <v/>
      </c>
      <c r="O463" s="1" t="str">
        <f t="shared" si="93"/>
        <v/>
      </c>
      <c r="P463" s="1" t="str">
        <f t="shared" si="94"/>
        <v/>
      </c>
      <c r="R463" s="1" t="str">
        <f t="shared" si="95"/>
        <v/>
      </c>
    </row>
    <row r="464" spans="1:18" x14ac:dyDescent="0.2">
      <c r="A464" t="str">
        <f>IF(COUNTBLANK(B464:R464)&lt;&gt;COLUMNS(B464:R464),463,"")</f>
        <v/>
      </c>
      <c r="D464" s="1" t="str">
        <f t="shared" si="84"/>
        <v/>
      </c>
      <c r="E464" s="2" t="str">
        <f t="shared" si="85"/>
        <v/>
      </c>
      <c r="F464" s="1" t="str">
        <f t="shared" si="86"/>
        <v/>
      </c>
      <c r="G464" s="1" t="str">
        <f t="shared" si="87"/>
        <v/>
      </c>
      <c r="H464" s="1" t="str">
        <f t="shared" si="88"/>
        <v/>
      </c>
      <c r="K464" s="1" t="str">
        <f t="shared" si="89"/>
        <v/>
      </c>
      <c r="L464" s="1" t="str">
        <f t="shared" si="90"/>
        <v/>
      </c>
      <c r="M464" s="1" t="str">
        <f t="shared" si="91"/>
        <v/>
      </c>
      <c r="N464" s="1" t="str">
        <f t="shared" si="92"/>
        <v/>
      </c>
      <c r="O464" s="1" t="str">
        <f t="shared" si="93"/>
        <v/>
      </c>
      <c r="P464" s="1" t="str">
        <f t="shared" si="94"/>
        <v/>
      </c>
      <c r="R464" s="1" t="str">
        <f t="shared" si="95"/>
        <v/>
      </c>
    </row>
    <row r="465" spans="1:18" x14ac:dyDescent="0.2">
      <c r="A465" t="str">
        <f>IF(COUNTBLANK(B465:R465)&lt;&gt;COLUMNS(B465:R465),464,"")</f>
        <v/>
      </c>
      <c r="D465" s="1" t="str">
        <f t="shared" si="84"/>
        <v/>
      </c>
      <c r="E465" s="2" t="str">
        <f t="shared" si="85"/>
        <v/>
      </c>
      <c r="F465" s="1" t="str">
        <f t="shared" si="86"/>
        <v/>
      </c>
      <c r="G465" s="1" t="str">
        <f t="shared" si="87"/>
        <v/>
      </c>
      <c r="H465" s="1" t="str">
        <f t="shared" si="88"/>
        <v/>
      </c>
      <c r="K465" s="1" t="str">
        <f t="shared" si="89"/>
        <v/>
      </c>
      <c r="L465" s="1" t="str">
        <f t="shared" si="90"/>
        <v/>
      </c>
      <c r="M465" s="1" t="str">
        <f t="shared" si="91"/>
        <v/>
      </c>
      <c r="N465" s="1" t="str">
        <f t="shared" si="92"/>
        <v/>
      </c>
      <c r="O465" s="1" t="str">
        <f t="shared" si="93"/>
        <v/>
      </c>
      <c r="P465" s="1" t="str">
        <f t="shared" si="94"/>
        <v/>
      </c>
      <c r="R465" s="1" t="str">
        <f t="shared" si="95"/>
        <v/>
      </c>
    </row>
    <row r="466" spans="1:18" x14ac:dyDescent="0.2">
      <c r="A466" t="str">
        <f>IF(COUNTBLANK(B466:R466)&lt;&gt;COLUMNS(B466:R466),465,"")</f>
        <v/>
      </c>
      <c r="D466" s="1" t="str">
        <f t="shared" si="84"/>
        <v/>
      </c>
      <c r="E466" s="2" t="str">
        <f t="shared" si="85"/>
        <v/>
      </c>
      <c r="F466" s="1" t="str">
        <f t="shared" si="86"/>
        <v/>
      </c>
      <c r="G466" s="1" t="str">
        <f t="shared" si="87"/>
        <v/>
      </c>
      <c r="H466" s="1" t="str">
        <f t="shared" si="88"/>
        <v/>
      </c>
      <c r="K466" s="1" t="str">
        <f t="shared" si="89"/>
        <v/>
      </c>
      <c r="L466" s="1" t="str">
        <f t="shared" si="90"/>
        <v/>
      </c>
      <c r="M466" s="1" t="str">
        <f t="shared" si="91"/>
        <v/>
      </c>
      <c r="N466" s="1" t="str">
        <f t="shared" si="92"/>
        <v/>
      </c>
      <c r="O466" s="1" t="str">
        <f t="shared" si="93"/>
        <v/>
      </c>
      <c r="P466" s="1" t="str">
        <f t="shared" si="94"/>
        <v/>
      </c>
      <c r="R466" s="1" t="str">
        <f t="shared" si="95"/>
        <v/>
      </c>
    </row>
    <row r="467" spans="1:18" x14ac:dyDescent="0.2">
      <c r="A467" t="str">
        <f>IF(COUNTBLANK(B467:R467)&lt;&gt;COLUMNS(B467:R467),466,"")</f>
        <v/>
      </c>
      <c r="D467" s="1" t="str">
        <f t="shared" si="84"/>
        <v/>
      </c>
      <c r="E467" s="2" t="str">
        <f t="shared" si="85"/>
        <v/>
      </c>
      <c r="F467" s="1" t="str">
        <f t="shared" si="86"/>
        <v/>
      </c>
      <c r="G467" s="1" t="str">
        <f t="shared" si="87"/>
        <v/>
      </c>
      <c r="H467" s="1" t="str">
        <f t="shared" si="88"/>
        <v/>
      </c>
      <c r="K467" s="1" t="str">
        <f t="shared" si="89"/>
        <v/>
      </c>
      <c r="L467" s="1" t="str">
        <f t="shared" si="90"/>
        <v/>
      </c>
      <c r="M467" s="1" t="str">
        <f t="shared" si="91"/>
        <v/>
      </c>
      <c r="N467" s="1" t="str">
        <f t="shared" si="92"/>
        <v/>
      </c>
      <c r="O467" s="1" t="str">
        <f t="shared" si="93"/>
        <v/>
      </c>
      <c r="P467" s="1" t="str">
        <f t="shared" si="94"/>
        <v/>
      </c>
      <c r="R467" s="1" t="str">
        <f t="shared" si="95"/>
        <v/>
      </c>
    </row>
    <row r="468" spans="1:18" x14ac:dyDescent="0.2">
      <c r="A468" t="str">
        <f>IF(COUNTBLANK(B468:R468)&lt;&gt;COLUMNS(B468:R468),467,"")</f>
        <v/>
      </c>
      <c r="D468" s="1" t="str">
        <f t="shared" si="84"/>
        <v/>
      </c>
      <c r="E468" s="2" t="str">
        <f t="shared" si="85"/>
        <v/>
      </c>
      <c r="F468" s="1" t="str">
        <f t="shared" si="86"/>
        <v/>
      </c>
      <c r="G468" s="1" t="str">
        <f t="shared" si="87"/>
        <v/>
      </c>
      <c r="H468" s="1" t="str">
        <f t="shared" si="88"/>
        <v/>
      </c>
      <c r="K468" s="1" t="str">
        <f t="shared" si="89"/>
        <v/>
      </c>
      <c r="L468" s="1" t="str">
        <f t="shared" si="90"/>
        <v/>
      </c>
      <c r="M468" s="1" t="str">
        <f t="shared" si="91"/>
        <v/>
      </c>
      <c r="N468" s="1" t="str">
        <f t="shared" si="92"/>
        <v/>
      </c>
      <c r="O468" s="1" t="str">
        <f t="shared" si="93"/>
        <v/>
      </c>
      <c r="P468" s="1" t="str">
        <f t="shared" si="94"/>
        <v/>
      </c>
      <c r="R468" s="1" t="str">
        <f t="shared" si="95"/>
        <v/>
      </c>
    </row>
    <row r="469" spans="1:18" x14ac:dyDescent="0.2">
      <c r="A469" t="str">
        <f>IF(COUNTBLANK(B469:R469)&lt;&gt;COLUMNS(B469:R469),468,"")</f>
        <v/>
      </c>
      <c r="D469" s="1" t="str">
        <f t="shared" si="84"/>
        <v/>
      </c>
      <c r="E469" s="2" t="str">
        <f t="shared" si="85"/>
        <v/>
      </c>
      <c r="F469" s="1" t="str">
        <f t="shared" si="86"/>
        <v/>
      </c>
      <c r="G469" s="1" t="str">
        <f t="shared" si="87"/>
        <v/>
      </c>
      <c r="H469" s="1" t="str">
        <f t="shared" si="88"/>
        <v/>
      </c>
      <c r="K469" s="1" t="str">
        <f t="shared" si="89"/>
        <v/>
      </c>
      <c r="L469" s="1" t="str">
        <f t="shared" si="90"/>
        <v/>
      </c>
      <c r="M469" s="1" t="str">
        <f t="shared" si="91"/>
        <v/>
      </c>
      <c r="N469" s="1" t="str">
        <f t="shared" si="92"/>
        <v/>
      </c>
      <c r="O469" s="1" t="str">
        <f t="shared" si="93"/>
        <v/>
      </c>
      <c r="P469" s="1" t="str">
        <f t="shared" si="94"/>
        <v/>
      </c>
      <c r="R469" s="1" t="str">
        <f t="shared" si="95"/>
        <v/>
      </c>
    </row>
    <row r="470" spans="1:18" x14ac:dyDescent="0.2">
      <c r="A470" t="str">
        <f>IF(COUNTBLANK(B470:R470)&lt;&gt;COLUMNS(B470:R470),469,"")</f>
        <v/>
      </c>
      <c r="D470" s="1" t="str">
        <f t="shared" si="84"/>
        <v/>
      </c>
      <c r="E470" s="2" t="str">
        <f t="shared" si="85"/>
        <v/>
      </c>
      <c r="F470" s="1" t="str">
        <f t="shared" si="86"/>
        <v/>
      </c>
      <c r="G470" s="1" t="str">
        <f t="shared" si="87"/>
        <v/>
      </c>
      <c r="H470" s="1" t="str">
        <f t="shared" si="88"/>
        <v/>
      </c>
      <c r="K470" s="1" t="str">
        <f t="shared" si="89"/>
        <v/>
      </c>
      <c r="L470" s="1" t="str">
        <f t="shared" si="90"/>
        <v/>
      </c>
      <c r="M470" s="1" t="str">
        <f t="shared" si="91"/>
        <v/>
      </c>
      <c r="N470" s="1" t="str">
        <f t="shared" si="92"/>
        <v/>
      </c>
      <c r="O470" s="1" t="str">
        <f t="shared" si="93"/>
        <v/>
      </c>
      <c r="P470" s="1" t="str">
        <f t="shared" si="94"/>
        <v/>
      </c>
      <c r="R470" s="1" t="str">
        <f t="shared" si="95"/>
        <v/>
      </c>
    </row>
    <row r="471" spans="1:18" x14ac:dyDescent="0.2">
      <c r="A471" t="str">
        <f>IF(COUNTBLANK(B471:R471)&lt;&gt;COLUMNS(B471:R471),470,"")</f>
        <v/>
      </c>
      <c r="D471" s="1" t="str">
        <f t="shared" si="84"/>
        <v/>
      </c>
      <c r="E471" s="2" t="str">
        <f t="shared" si="85"/>
        <v/>
      </c>
      <c r="F471" s="1" t="str">
        <f t="shared" si="86"/>
        <v/>
      </c>
      <c r="G471" s="1" t="str">
        <f t="shared" si="87"/>
        <v/>
      </c>
      <c r="H471" s="1" t="str">
        <f t="shared" si="88"/>
        <v/>
      </c>
      <c r="K471" s="1" t="str">
        <f t="shared" si="89"/>
        <v/>
      </c>
      <c r="L471" s="1" t="str">
        <f t="shared" si="90"/>
        <v/>
      </c>
      <c r="M471" s="1" t="str">
        <f t="shared" si="91"/>
        <v/>
      </c>
      <c r="N471" s="1" t="str">
        <f t="shared" si="92"/>
        <v/>
      </c>
      <c r="O471" s="1" t="str">
        <f t="shared" si="93"/>
        <v/>
      </c>
      <c r="P471" s="1" t="str">
        <f t="shared" si="94"/>
        <v/>
      </c>
      <c r="R471" s="1" t="str">
        <f t="shared" si="95"/>
        <v/>
      </c>
    </row>
    <row r="472" spans="1:18" x14ac:dyDescent="0.2">
      <c r="A472" t="str">
        <f>IF(COUNTBLANK(B472:R472)&lt;&gt;COLUMNS(B472:R472),471,"")</f>
        <v/>
      </c>
      <c r="D472" s="1" t="str">
        <f t="shared" si="84"/>
        <v/>
      </c>
      <c r="E472" s="2" t="str">
        <f t="shared" si="85"/>
        <v/>
      </c>
      <c r="F472" s="1" t="str">
        <f t="shared" si="86"/>
        <v/>
      </c>
      <c r="G472" s="1" t="str">
        <f t="shared" si="87"/>
        <v/>
      </c>
      <c r="H472" s="1" t="str">
        <f t="shared" si="88"/>
        <v/>
      </c>
      <c r="K472" s="1" t="str">
        <f t="shared" si="89"/>
        <v/>
      </c>
      <c r="L472" s="1" t="str">
        <f t="shared" si="90"/>
        <v/>
      </c>
      <c r="M472" s="1" t="str">
        <f t="shared" si="91"/>
        <v/>
      </c>
      <c r="N472" s="1" t="str">
        <f t="shared" si="92"/>
        <v/>
      </c>
      <c r="O472" s="1" t="str">
        <f t="shared" si="93"/>
        <v/>
      </c>
      <c r="P472" s="1" t="str">
        <f t="shared" si="94"/>
        <v/>
      </c>
      <c r="R472" s="1" t="str">
        <f t="shared" si="95"/>
        <v/>
      </c>
    </row>
    <row r="473" spans="1:18" x14ac:dyDescent="0.2">
      <c r="A473" t="str">
        <f>IF(COUNTBLANK(B473:R473)&lt;&gt;COLUMNS(B473:R473),472,"")</f>
        <v/>
      </c>
      <c r="D473" s="1" t="str">
        <f t="shared" si="84"/>
        <v/>
      </c>
      <c r="E473" s="2" t="str">
        <f t="shared" si="85"/>
        <v/>
      </c>
      <c r="F473" s="1" t="str">
        <f t="shared" si="86"/>
        <v/>
      </c>
      <c r="G473" s="1" t="str">
        <f t="shared" si="87"/>
        <v/>
      </c>
      <c r="H473" s="1" t="str">
        <f t="shared" si="88"/>
        <v/>
      </c>
      <c r="K473" s="1" t="str">
        <f t="shared" si="89"/>
        <v/>
      </c>
      <c r="L473" s="1" t="str">
        <f t="shared" si="90"/>
        <v/>
      </c>
      <c r="M473" s="1" t="str">
        <f t="shared" si="91"/>
        <v/>
      </c>
      <c r="N473" s="1" t="str">
        <f t="shared" si="92"/>
        <v/>
      </c>
      <c r="O473" s="1" t="str">
        <f t="shared" si="93"/>
        <v/>
      </c>
      <c r="P473" s="1" t="str">
        <f t="shared" si="94"/>
        <v/>
      </c>
      <c r="R473" s="1" t="str">
        <f t="shared" si="95"/>
        <v/>
      </c>
    </row>
    <row r="474" spans="1:18" x14ac:dyDescent="0.2">
      <c r="A474" t="str">
        <f>IF(COUNTBLANK(B474:R474)&lt;&gt;COLUMNS(B474:R474),473,"")</f>
        <v/>
      </c>
      <c r="D474" s="1" t="str">
        <f t="shared" si="84"/>
        <v/>
      </c>
      <c r="E474" s="2" t="str">
        <f t="shared" si="85"/>
        <v/>
      </c>
      <c r="F474" s="1" t="str">
        <f t="shared" si="86"/>
        <v/>
      </c>
      <c r="G474" s="1" t="str">
        <f t="shared" si="87"/>
        <v/>
      </c>
      <c r="H474" s="1" t="str">
        <f t="shared" si="88"/>
        <v/>
      </c>
      <c r="K474" s="1" t="str">
        <f t="shared" si="89"/>
        <v/>
      </c>
      <c r="L474" s="1" t="str">
        <f t="shared" si="90"/>
        <v/>
      </c>
      <c r="M474" s="1" t="str">
        <f t="shared" si="91"/>
        <v/>
      </c>
      <c r="N474" s="1" t="str">
        <f t="shared" si="92"/>
        <v/>
      </c>
      <c r="O474" s="1" t="str">
        <f t="shared" si="93"/>
        <v/>
      </c>
      <c r="P474" s="1" t="str">
        <f t="shared" si="94"/>
        <v/>
      </c>
      <c r="R474" s="1" t="str">
        <f t="shared" si="95"/>
        <v/>
      </c>
    </row>
    <row r="475" spans="1:18" x14ac:dyDescent="0.2">
      <c r="A475" t="str">
        <f>IF(COUNTBLANK(B475:R475)&lt;&gt;COLUMNS(B475:R475),474,"")</f>
        <v/>
      </c>
      <c r="D475" s="1" t="str">
        <f t="shared" si="84"/>
        <v/>
      </c>
      <c r="E475" s="2" t="str">
        <f t="shared" si="85"/>
        <v/>
      </c>
      <c r="F475" s="1" t="str">
        <f t="shared" si="86"/>
        <v/>
      </c>
      <c r="G475" s="1" t="str">
        <f t="shared" si="87"/>
        <v/>
      </c>
      <c r="H475" s="1" t="str">
        <f t="shared" si="88"/>
        <v/>
      </c>
      <c r="K475" s="1" t="str">
        <f t="shared" si="89"/>
        <v/>
      </c>
      <c r="L475" s="1" t="str">
        <f t="shared" si="90"/>
        <v/>
      </c>
      <c r="M475" s="1" t="str">
        <f t="shared" si="91"/>
        <v/>
      </c>
      <c r="N475" s="1" t="str">
        <f t="shared" si="92"/>
        <v/>
      </c>
      <c r="O475" s="1" t="str">
        <f t="shared" si="93"/>
        <v/>
      </c>
      <c r="P475" s="1" t="str">
        <f t="shared" si="94"/>
        <v/>
      </c>
      <c r="R475" s="1" t="str">
        <f t="shared" si="95"/>
        <v/>
      </c>
    </row>
    <row r="476" spans="1:18" x14ac:dyDescent="0.2">
      <c r="A476" t="str">
        <f>IF(COUNTBLANK(B476:R476)&lt;&gt;COLUMNS(B476:R476),475,"")</f>
        <v/>
      </c>
      <c r="D476" s="1" t="str">
        <f t="shared" si="84"/>
        <v/>
      </c>
      <c r="E476" s="2" t="str">
        <f t="shared" si="85"/>
        <v/>
      </c>
      <c r="F476" s="1" t="str">
        <f t="shared" si="86"/>
        <v/>
      </c>
      <c r="G476" s="1" t="str">
        <f t="shared" si="87"/>
        <v/>
      </c>
      <c r="H476" s="1" t="str">
        <f t="shared" si="88"/>
        <v/>
      </c>
      <c r="K476" s="1" t="str">
        <f t="shared" si="89"/>
        <v/>
      </c>
      <c r="L476" s="1" t="str">
        <f t="shared" si="90"/>
        <v/>
      </c>
      <c r="M476" s="1" t="str">
        <f t="shared" si="91"/>
        <v/>
      </c>
      <c r="N476" s="1" t="str">
        <f t="shared" si="92"/>
        <v/>
      </c>
      <c r="O476" s="1" t="str">
        <f t="shared" si="93"/>
        <v/>
      </c>
      <c r="P476" s="1" t="str">
        <f t="shared" si="94"/>
        <v/>
      </c>
      <c r="R476" s="1" t="str">
        <f t="shared" si="95"/>
        <v/>
      </c>
    </row>
    <row r="477" spans="1:18" x14ac:dyDescent="0.2">
      <c r="A477" t="str">
        <f>IF(COUNTBLANK(B477:R477)&lt;&gt;COLUMNS(B477:R477),476,"")</f>
        <v/>
      </c>
      <c r="D477" s="1" t="str">
        <f t="shared" si="84"/>
        <v/>
      </c>
      <c r="E477" s="2" t="str">
        <f t="shared" si="85"/>
        <v/>
      </c>
      <c r="F477" s="1" t="str">
        <f t="shared" si="86"/>
        <v/>
      </c>
      <c r="G477" s="1" t="str">
        <f t="shared" si="87"/>
        <v/>
      </c>
      <c r="H477" s="1" t="str">
        <f t="shared" si="88"/>
        <v/>
      </c>
      <c r="K477" s="1" t="str">
        <f t="shared" si="89"/>
        <v/>
      </c>
      <c r="L477" s="1" t="str">
        <f t="shared" si="90"/>
        <v/>
      </c>
      <c r="M477" s="1" t="str">
        <f t="shared" si="91"/>
        <v/>
      </c>
      <c r="N477" s="1" t="str">
        <f t="shared" si="92"/>
        <v/>
      </c>
      <c r="O477" s="1" t="str">
        <f t="shared" si="93"/>
        <v/>
      </c>
      <c r="P477" s="1" t="str">
        <f t="shared" si="94"/>
        <v/>
      </c>
      <c r="R477" s="1" t="str">
        <f t="shared" si="95"/>
        <v/>
      </c>
    </row>
    <row r="478" spans="1:18" x14ac:dyDescent="0.2">
      <c r="A478" t="str">
        <f>IF(COUNTBLANK(B478:R478)&lt;&gt;COLUMNS(B478:R478),477,"")</f>
        <v/>
      </c>
      <c r="D478" s="1" t="str">
        <f t="shared" si="84"/>
        <v/>
      </c>
      <c r="E478" s="2" t="str">
        <f t="shared" si="85"/>
        <v/>
      </c>
      <c r="F478" s="1" t="str">
        <f t="shared" si="86"/>
        <v/>
      </c>
      <c r="G478" s="1" t="str">
        <f t="shared" si="87"/>
        <v/>
      </c>
      <c r="H478" s="1" t="str">
        <f t="shared" si="88"/>
        <v/>
      </c>
      <c r="K478" s="1" t="str">
        <f t="shared" si="89"/>
        <v/>
      </c>
      <c r="L478" s="1" t="str">
        <f t="shared" si="90"/>
        <v/>
      </c>
      <c r="M478" s="1" t="str">
        <f t="shared" si="91"/>
        <v/>
      </c>
      <c r="N478" s="1" t="str">
        <f t="shared" si="92"/>
        <v/>
      </c>
      <c r="O478" s="1" t="str">
        <f t="shared" si="93"/>
        <v/>
      </c>
      <c r="P478" s="1" t="str">
        <f t="shared" si="94"/>
        <v/>
      </c>
      <c r="R478" s="1" t="str">
        <f t="shared" si="95"/>
        <v/>
      </c>
    </row>
    <row r="479" spans="1:18" x14ac:dyDescent="0.2">
      <c r="A479" t="str">
        <f>IF(COUNTBLANK(B479:R479)&lt;&gt;COLUMNS(B479:R479),478,"")</f>
        <v/>
      </c>
      <c r="D479" s="1" t="str">
        <f t="shared" si="84"/>
        <v/>
      </c>
      <c r="E479" s="2" t="str">
        <f t="shared" si="85"/>
        <v/>
      </c>
      <c r="F479" s="1" t="str">
        <f t="shared" si="86"/>
        <v/>
      </c>
      <c r="G479" s="1" t="str">
        <f t="shared" si="87"/>
        <v/>
      </c>
      <c r="H479" s="1" t="str">
        <f t="shared" si="88"/>
        <v/>
      </c>
      <c r="K479" s="1" t="str">
        <f t="shared" si="89"/>
        <v/>
      </c>
      <c r="L479" s="1" t="str">
        <f t="shared" si="90"/>
        <v/>
      </c>
      <c r="M479" s="1" t="str">
        <f t="shared" si="91"/>
        <v/>
      </c>
      <c r="N479" s="1" t="str">
        <f t="shared" si="92"/>
        <v/>
      </c>
      <c r="O479" s="1" t="str">
        <f t="shared" si="93"/>
        <v/>
      </c>
      <c r="P479" s="1" t="str">
        <f t="shared" si="94"/>
        <v/>
      </c>
      <c r="R479" s="1" t="str">
        <f t="shared" si="95"/>
        <v/>
      </c>
    </row>
    <row r="480" spans="1:18" x14ac:dyDescent="0.2">
      <c r="A480" t="str">
        <f>IF(COUNTBLANK(B480:R480)&lt;&gt;COLUMNS(B480:R480),479,"")</f>
        <v/>
      </c>
      <c r="D480" s="1" t="str">
        <f t="shared" si="84"/>
        <v/>
      </c>
      <c r="E480" s="2" t="str">
        <f t="shared" si="85"/>
        <v/>
      </c>
      <c r="F480" s="1" t="str">
        <f t="shared" si="86"/>
        <v/>
      </c>
      <c r="G480" s="1" t="str">
        <f t="shared" si="87"/>
        <v/>
      </c>
      <c r="H480" s="1" t="str">
        <f t="shared" si="88"/>
        <v/>
      </c>
      <c r="K480" s="1" t="str">
        <f t="shared" si="89"/>
        <v/>
      </c>
      <c r="L480" s="1" t="str">
        <f t="shared" si="90"/>
        <v/>
      </c>
      <c r="M480" s="1" t="str">
        <f t="shared" si="91"/>
        <v/>
      </c>
      <c r="N480" s="1" t="str">
        <f t="shared" si="92"/>
        <v/>
      </c>
      <c r="O480" s="1" t="str">
        <f t="shared" si="93"/>
        <v/>
      </c>
      <c r="P480" s="1" t="str">
        <f t="shared" si="94"/>
        <v/>
      </c>
      <c r="R480" s="1" t="str">
        <f t="shared" si="95"/>
        <v/>
      </c>
    </row>
    <row r="481" spans="1:18" x14ac:dyDescent="0.2">
      <c r="A481" t="str">
        <f>IF(COUNTBLANK(B481:R481)&lt;&gt;COLUMNS(B481:R481),480,"")</f>
        <v/>
      </c>
      <c r="D481" s="1" t="str">
        <f t="shared" si="84"/>
        <v/>
      </c>
      <c r="E481" s="2" t="str">
        <f t="shared" si="85"/>
        <v/>
      </c>
      <c r="F481" s="1" t="str">
        <f t="shared" si="86"/>
        <v/>
      </c>
      <c r="G481" s="1" t="str">
        <f t="shared" si="87"/>
        <v/>
      </c>
      <c r="H481" s="1" t="str">
        <f t="shared" si="88"/>
        <v/>
      </c>
      <c r="K481" s="1" t="str">
        <f t="shared" si="89"/>
        <v/>
      </c>
      <c r="L481" s="1" t="str">
        <f t="shared" si="90"/>
        <v/>
      </c>
      <c r="M481" s="1" t="str">
        <f t="shared" si="91"/>
        <v/>
      </c>
      <c r="N481" s="1" t="str">
        <f t="shared" si="92"/>
        <v/>
      </c>
      <c r="O481" s="1" t="str">
        <f t="shared" si="93"/>
        <v/>
      </c>
      <c r="P481" s="1" t="str">
        <f t="shared" si="94"/>
        <v/>
      </c>
      <c r="R481" s="1" t="str">
        <f t="shared" si="95"/>
        <v/>
      </c>
    </row>
    <row r="482" spans="1:18" x14ac:dyDescent="0.2">
      <c r="A482" t="str">
        <f>IF(COUNTBLANK(B482:R482)&lt;&gt;COLUMNS(B482:R482),481,"")</f>
        <v/>
      </c>
      <c r="D482" s="1" t="str">
        <f t="shared" si="84"/>
        <v/>
      </c>
      <c r="E482" s="2" t="str">
        <f t="shared" si="85"/>
        <v/>
      </c>
      <c r="F482" s="1" t="str">
        <f t="shared" si="86"/>
        <v/>
      </c>
      <c r="G482" s="1" t="str">
        <f t="shared" si="87"/>
        <v/>
      </c>
      <c r="H482" s="1" t="str">
        <f t="shared" si="88"/>
        <v/>
      </c>
      <c r="K482" s="1" t="str">
        <f t="shared" si="89"/>
        <v/>
      </c>
      <c r="L482" s="1" t="str">
        <f t="shared" si="90"/>
        <v/>
      </c>
      <c r="M482" s="1" t="str">
        <f t="shared" si="91"/>
        <v/>
      </c>
      <c r="N482" s="1" t="str">
        <f t="shared" si="92"/>
        <v/>
      </c>
      <c r="O482" s="1" t="str">
        <f t="shared" si="93"/>
        <v/>
      </c>
      <c r="P482" s="1" t="str">
        <f t="shared" si="94"/>
        <v/>
      </c>
      <c r="R482" s="1" t="str">
        <f t="shared" si="95"/>
        <v/>
      </c>
    </row>
    <row r="483" spans="1:18" x14ac:dyDescent="0.2">
      <c r="A483" t="str">
        <f>IF(COUNTBLANK(B483:R483)&lt;&gt;COLUMNS(B483:R483),482,"")</f>
        <v/>
      </c>
      <c r="D483" s="1" t="str">
        <f t="shared" si="84"/>
        <v/>
      </c>
      <c r="E483" s="2" t="str">
        <f t="shared" si="85"/>
        <v/>
      </c>
      <c r="F483" s="1" t="str">
        <f t="shared" si="86"/>
        <v/>
      </c>
      <c r="G483" s="1" t="str">
        <f t="shared" si="87"/>
        <v/>
      </c>
      <c r="H483" s="1" t="str">
        <f t="shared" si="88"/>
        <v/>
      </c>
      <c r="K483" s="1" t="str">
        <f t="shared" si="89"/>
        <v/>
      </c>
      <c r="L483" s="1" t="str">
        <f t="shared" si="90"/>
        <v/>
      </c>
      <c r="M483" s="1" t="str">
        <f t="shared" si="91"/>
        <v/>
      </c>
      <c r="N483" s="1" t="str">
        <f t="shared" si="92"/>
        <v/>
      </c>
      <c r="O483" s="1" t="str">
        <f t="shared" si="93"/>
        <v/>
      </c>
      <c r="P483" s="1" t="str">
        <f t="shared" si="94"/>
        <v/>
      </c>
      <c r="R483" s="1" t="str">
        <f t="shared" si="95"/>
        <v/>
      </c>
    </row>
    <row r="484" spans="1:18" x14ac:dyDescent="0.2">
      <c r="A484" t="str">
        <f>IF(COUNTBLANK(B484:R484)&lt;&gt;COLUMNS(B484:R484),483,"")</f>
        <v/>
      </c>
      <c r="D484" s="1" t="str">
        <f t="shared" si="84"/>
        <v/>
      </c>
      <c r="E484" s="2" t="str">
        <f t="shared" si="85"/>
        <v/>
      </c>
      <c r="F484" s="1" t="str">
        <f t="shared" si="86"/>
        <v/>
      </c>
      <c r="G484" s="1" t="str">
        <f t="shared" si="87"/>
        <v/>
      </c>
      <c r="H484" s="1" t="str">
        <f t="shared" si="88"/>
        <v/>
      </c>
      <c r="K484" s="1" t="str">
        <f t="shared" si="89"/>
        <v/>
      </c>
      <c r="L484" s="1" t="str">
        <f t="shared" si="90"/>
        <v/>
      </c>
      <c r="M484" s="1" t="str">
        <f t="shared" si="91"/>
        <v/>
      </c>
      <c r="N484" s="1" t="str">
        <f t="shared" si="92"/>
        <v/>
      </c>
      <c r="O484" s="1" t="str">
        <f t="shared" si="93"/>
        <v/>
      </c>
      <c r="P484" s="1" t="str">
        <f t="shared" si="94"/>
        <v/>
      </c>
      <c r="R484" s="1" t="str">
        <f t="shared" si="95"/>
        <v/>
      </c>
    </row>
    <row r="485" spans="1:18" x14ac:dyDescent="0.2">
      <c r="A485" t="str">
        <f>IF(COUNTBLANK(B485:R485)&lt;&gt;COLUMNS(B485:R485),484,"")</f>
        <v/>
      </c>
      <c r="D485" s="1" t="str">
        <f t="shared" si="84"/>
        <v/>
      </c>
      <c r="E485" s="2" t="str">
        <f t="shared" si="85"/>
        <v/>
      </c>
      <c r="F485" s="1" t="str">
        <f t="shared" si="86"/>
        <v/>
      </c>
      <c r="G485" s="1" t="str">
        <f t="shared" si="87"/>
        <v/>
      </c>
      <c r="H485" s="1" t="str">
        <f t="shared" si="88"/>
        <v/>
      </c>
      <c r="K485" s="1" t="str">
        <f t="shared" si="89"/>
        <v/>
      </c>
      <c r="L485" s="1" t="str">
        <f t="shared" si="90"/>
        <v/>
      </c>
      <c r="M485" s="1" t="str">
        <f t="shared" si="91"/>
        <v/>
      </c>
      <c r="N485" s="1" t="str">
        <f t="shared" si="92"/>
        <v/>
      </c>
      <c r="O485" s="1" t="str">
        <f t="shared" si="93"/>
        <v/>
      </c>
      <c r="P485" s="1" t="str">
        <f t="shared" si="94"/>
        <v/>
      </c>
      <c r="R485" s="1" t="str">
        <f t="shared" si="95"/>
        <v/>
      </c>
    </row>
    <row r="486" spans="1:18" x14ac:dyDescent="0.2">
      <c r="A486" t="str">
        <f>IF(COUNTBLANK(B486:R486)&lt;&gt;COLUMNS(B486:R486),485,"")</f>
        <v/>
      </c>
      <c r="D486" s="1" t="str">
        <f t="shared" si="84"/>
        <v/>
      </c>
      <c r="E486" s="2" t="str">
        <f t="shared" si="85"/>
        <v/>
      </c>
      <c r="F486" s="1" t="str">
        <f t="shared" si="86"/>
        <v/>
      </c>
      <c r="G486" s="1" t="str">
        <f t="shared" si="87"/>
        <v/>
      </c>
      <c r="H486" s="1" t="str">
        <f t="shared" si="88"/>
        <v/>
      </c>
      <c r="K486" s="1" t="str">
        <f t="shared" si="89"/>
        <v/>
      </c>
      <c r="L486" s="1" t="str">
        <f t="shared" si="90"/>
        <v/>
      </c>
      <c r="M486" s="1" t="str">
        <f t="shared" si="91"/>
        <v/>
      </c>
      <c r="N486" s="1" t="str">
        <f t="shared" si="92"/>
        <v/>
      </c>
      <c r="O486" s="1" t="str">
        <f t="shared" si="93"/>
        <v/>
      </c>
      <c r="P486" s="1" t="str">
        <f t="shared" si="94"/>
        <v/>
      </c>
      <c r="R486" s="1" t="str">
        <f t="shared" si="95"/>
        <v/>
      </c>
    </row>
    <row r="487" spans="1:18" x14ac:dyDescent="0.2">
      <c r="A487" t="str">
        <f>IF(COUNTBLANK(B487:R487)&lt;&gt;COLUMNS(B487:R487),486,"")</f>
        <v/>
      </c>
      <c r="D487" s="1" t="str">
        <f t="shared" si="84"/>
        <v/>
      </c>
      <c r="E487" s="2" t="str">
        <f t="shared" si="85"/>
        <v/>
      </c>
      <c r="F487" s="1" t="str">
        <f t="shared" si="86"/>
        <v/>
      </c>
      <c r="G487" s="1" t="str">
        <f t="shared" si="87"/>
        <v/>
      </c>
      <c r="H487" s="1" t="str">
        <f t="shared" si="88"/>
        <v/>
      </c>
      <c r="K487" s="1" t="str">
        <f t="shared" si="89"/>
        <v/>
      </c>
      <c r="L487" s="1" t="str">
        <f t="shared" si="90"/>
        <v/>
      </c>
      <c r="M487" s="1" t="str">
        <f t="shared" si="91"/>
        <v/>
      </c>
      <c r="N487" s="1" t="str">
        <f t="shared" si="92"/>
        <v/>
      </c>
      <c r="O487" s="1" t="str">
        <f t="shared" si="93"/>
        <v/>
      </c>
      <c r="P487" s="1" t="str">
        <f t="shared" si="94"/>
        <v/>
      </c>
      <c r="R487" s="1" t="str">
        <f t="shared" si="95"/>
        <v/>
      </c>
    </row>
    <row r="488" spans="1:18" x14ac:dyDescent="0.2">
      <c r="A488" t="str">
        <f>IF(COUNTBLANK(B488:R488)&lt;&gt;COLUMNS(B488:R488),487,"")</f>
        <v/>
      </c>
      <c r="D488" s="1" t="str">
        <f t="shared" si="84"/>
        <v/>
      </c>
      <c r="E488" s="2" t="str">
        <f t="shared" si="85"/>
        <v/>
      </c>
      <c r="F488" s="1" t="str">
        <f t="shared" si="86"/>
        <v/>
      </c>
      <c r="G488" s="1" t="str">
        <f t="shared" si="87"/>
        <v/>
      </c>
      <c r="H488" s="1" t="str">
        <f t="shared" si="88"/>
        <v/>
      </c>
      <c r="K488" s="1" t="str">
        <f t="shared" si="89"/>
        <v/>
      </c>
      <c r="L488" s="1" t="str">
        <f t="shared" si="90"/>
        <v/>
      </c>
      <c r="M488" s="1" t="str">
        <f t="shared" si="91"/>
        <v/>
      </c>
      <c r="N488" s="1" t="str">
        <f t="shared" si="92"/>
        <v/>
      </c>
      <c r="O488" s="1" t="str">
        <f t="shared" si="93"/>
        <v/>
      </c>
      <c r="P488" s="1" t="str">
        <f t="shared" si="94"/>
        <v/>
      </c>
      <c r="R488" s="1" t="str">
        <f t="shared" si="95"/>
        <v/>
      </c>
    </row>
    <row r="489" spans="1:18" x14ac:dyDescent="0.2">
      <c r="A489" t="str">
        <f>IF(COUNTBLANK(B489:R489)&lt;&gt;COLUMNS(B489:R489),488,"")</f>
        <v/>
      </c>
      <c r="D489" s="1" t="str">
        <f t="shared" si="84"/>
        <v/>
      </c>
      <c r="E489" s="2" t="str">
        <f t="shared" si="85"/>
        <v/>
      </c>
      <c r="F489" s="1" t="str">
        <f t="shared" si="86"/>
        <v/>
      </c>
      <c r="G489" s="1" t="str">
        <f t="shared" si="87"/>
        <v/>
      </c>
      <c r="H489" s="1" t="str">
        <f t="shared" si="88"/>
        <v/>
      </c>
      <c r="K489" s="1" t="str">
        <f t="shared" si="89"/>
        <v/>
      </c>
      <c r="L489" s="1" t="str">
        <f t="shared" si="90"/>
        <v/>
      </c>
      <c r="M489" s="1" t="str">
        <f t="shared" si="91"/>
        <v/>
      </c>
      <c r="N489" s="1" t="str">
        <f t="shared" si="92"/>
        <v/>
      </c>
      <c r="O489" s="1" t="str">
        <f t="shared" si="93"/>
        <v/>
      </c>
      <c r="P489" s="1" t="str">
        <f t="shared" si="94"/>
        <v/>
      </c>
      <c r="R489" s="1" t="str">
        <f t="shared" si="95"/>
        <v/>
      </c>
    </row>
    <row r="490" spans="1:18" x14ac:dyDescent="0.2">
      <c r="A490" t="str">
        <f>IF(COUNTBLANK(B490:R490)&lt;&gt;COLUMNS(B490:R490),489,"")</f>
        <v/>
      </c>
      <c r="D490" s="1" t="str">
        <f t="shared" si="84"/>
        <v/>
      </c>
      <c r="E490" s="2" t="str">
        <f t="shared" si="85"/>
        <v/>
      </c>
      <c r="F490" s="1" t="str">
        <f t="shared" si="86"/>
        <v/>
      </c>
      <c r="G490" s="1" t="str">
        <f t="shared" si="87"/>
        <v/>
      </c>
      <c r="H490" s="1" t="str">
        <f t="shared" si="88"/>
        <v/>
      </c>
      <c r="K490" s="1" t="str">
        <f t="shared" si="89"/>
        <v/>
      </c>
      <c r="L490" s="1" t="str">
        <f t="shared" si="90"/>
        <v/>
      </c>
      <c r="M490" s="1" t="str">
        <f t="shared" si="91"/>
        <v/>
      </c>
      <c r="N490" s="1" t="str">
        <f t="shared" si="92"/>
        <v/>
      </c>
      <c r="O490" s="1" t="str">
        <f t="shared" si="93"/>
        <v/>
      </c>
      <c r="P490" s="1" t="str">
        <f t="shared" si="94"/>
        <v/>
      </c>
      <c r="R490" s="1" t="str">
        <f t="shared" si="95"/>
        <v/>
      </c>
    </row>
    <row r="491" spans="1:18" x14ac:dyDescent="0.2">
      <c r="A491" t="str">
        <f>IF(COUNTBLANK(B491:R491)&lt;&gt;COLUMNS(B491:R491),490,"")</f>
        <v/>
      </c>
      <c r="D491" s="1" t="str">
        <f t="shared" si="84"/>
        <v/>
      </c>
      <c r="E491" s="2" t="str">
        <f t="shared" si="85"/>
        <v/>
      </c>
      <c r="F491" s="1" t="str">
        <f t="shared" si="86"/>
        <v/>
      </c>
      <c r="G491" s="1" t="str">
        <f t="shared" si="87"/>
        <v/>
      </c>
      <c r="H491" s="1" t="str">
        <f t="shared" si="88"/>
        <v/>
      </c>
      <c r="K491" s="1" t="str">
        <f t="shared" si="89"/>
        <v/>
      </c>
      <c r="L491" s="1" t="str">
        <f t="shared" si="90"/>
        <v/>
      </c>
      <c r="M491" s="1" t="str">
        <f t="shared" si="91"/>
        <v/>
      </c>
      <c r="N491" s="1" t="str">
        <f t="shared" si="92"/>
        <v/>
      </c>
      <c r="O491" s="1" t="str">
        <f t="shared" si="93"/>
        <v/>
      </c>
      <c r="P491" s="1" t="str">
        <f t="shared" si="94"/>
        <v/>
      </c>
      <c r="R491" s="1" t="str">
        <f t="shared" si="95"/>
        <v/>
      </c>
    </row>
    <row r="492" spans="1:18" x14ac:dyDescent="0.2">
      <c r="A492" t="str">
        <f>IF(COUNTBLANK(B492:R492)&lt;&gt;COLUMNS(B492:R492),491,"")</f>
        <v/>
      </c>
      <c r="D492" s="1" t="str">
        <f t="shared" si="84"/>
        <v/>
      </c>
      <c r="E492" s="2" t="str">
        <f t="shared" si="85"/>
        <v/>
      </c>
      <c r="F492" s="1" t="str">
        <f t="shared" si="86"/>
        <v/>
      </c>
      <c r="G492" s="1" t="str">
        <f t="shared" si="87"/>
        <v/>
      </c>
      <c r="H492" s="1" t="str">
        <f t="shared" si="88"/>
        <v/>
      </c>
      <c r="K492" s="1" t="str">
        <f t="shared" si="89"/>
        <v/>
      </c>
      <c r="L492" s="1" t="str">
        <f t="shared" si="90"/>
        <v/>
      </c>
      <c r="M492" s="1" t="str">
        <f t="shared" si="91"/>
        <v/>
      </c>
      <c r="N492" s="1" t="str">
        <f t="shared" si="92"/>
        <v/>
      </c>
      <c r="O492" s="1" t="str">
        <f t="shared" si="93"/>
        <v/>
      </c>
      <c r="P492" s="1" t="str">
        <f t="shared" si="94"/>
        <v/>
      </c>
      <c r="R492" s="1" t="str">
        <f t="shared" si="95"/>
        <v/>
      </c>
    </row>
    <row r="493" spans="1:18" x14ac:dyDescent="0.2">
      <c r="A493" t="str">
        <f>IF(COUNTBLANK(B493:R493)&lt;&gt;COLUMNS(B493:R493),492,"")</f>
        <v/>
      </c>
      <c r="D493" s="1" t="str">
        <f t="shared" si="84"/>
        <v/>
      </c>
      <c r="E493" s="2" t="str">
        <f t="shared" si="85"/>
        <v/>
      </c>
      <c r="F493" s="1" t="str">
        <f t="shared" si="86"/>
        <v/>
      </c>
      <c r="G493" s="1" t="str">
        <f t="shared" si="87"/>
        <v/>
      </c>
      <c r="H493" s="1" t="str">
        <f t="shared" si="88"/>
        <v/>
      </c>
      <c r="K493" s="1" t="str">
        <f t="shared" si="89"/>
        <v/>
      </c>
      <c r="L493" s="1" t="str">
        <f t="shared" si="90"/>
        <v/>
      </c>
      <c r="M493" s="1" t="str">
        <f t="shared" si="91"/>
        <v/>
      </c>
      <c r="N493" s="1" t="str">
        <f t="shared" si="92"/>
        <v/>
      </c>
      <c r="O493" s="1" t="str">
        <f t="shared" si="93"/>
        <v/>
      </c>
      <c r="P493" s="1" t="str">
        <f t="shared" si="94"/>
        <v/>
      </c>
      <c r="R493" s="1" t="str">
        <f t="shared" si="95"/>
        <v/>
      </c>
    </row>
    <row r="494" spans="1:18" x14ac:dyDescent="0.2">
      <c r="A494" t="str">
        <f>IF(COUNTBLANK(B494:R494)&lt;&gt;COLUMNS(B494:R494),493,"")</f>
        <v/>
      </c>
      <c r="D494" s="1" t="str">
        <f t="shared" si="84"/>
        <v/>
      </c>
      <c r="E494" s="2" t="str">
        <f t="shared" si="85"/>
        <v/>
      </c>
      <c r="F494" s="1" t="str">
        <f t="shared" si="86"/>
        <v/>
      </c>
      <c r="G494" s="1" t="str">
        <f t="shared" si="87"/>
        <v/>
      </c>
      <c r="H494" s="1" t="str">
        <f t="shared" si="88"/>
        <v/>
      </c>
      <c r="K494" s="1" t="str">
        <f t="shared" si="89"/>
        <v/>
      </c>
      <c r="L494" s="1" t="str">
        <f t="shared" si="90"/>
        <v/>
      </c>
      <c r="M494" s="1" t="str">
        <f t="shared" si="91"/>
        <v/>
      </c>
      <c r="N494" s="1" t="str">
        <f t="shared" si="92"/>
        <v/>
      </c>
      <c r="O494" s="1" t="str">
        <f t="shared" si="93"/>
        <v/>
      </c>
      <c r="P494" s="1" t="str">
        <f t="shared" si="94"/>
        <v/>
      </c>
      <c r="R494" s="1" t="str">
        <f t="shared" si="95"/>
        <v/>
      </c>
    </row>
    <row r="495" spans="1:18" x14ac:dyDescent="0.2">
      <c r="A495" t="str">
        <f>IF(COUNTBLANK(B495:R495)&lt;&gt;COLUMNS(B495:R495),494,"")</f>
        <v/>
      </c>
      <c r="D495" s="1" t="str">
        <f t="shared" si="84"/>
        <v/>
      </c>
      <c r="E495" s="2" t="str">
        <f t="shared" si="85"/>
        <v/>
      </c>
      <c r="F495" s="1" t="str">
        <f t="shared" si="86"/>
        <v/>
      </c>
      <c r="G495" s="1" t="str">
        <f t="shared" si="87"/>
        <v/>
      </c>
      <c r="H495" s="1" t="str">
        <f t="shared" si="88"/>
        <v/>
      </c>
      <c r="K495" s="1" t="str">
        <f t="shared" si="89"/>
        <v/>
      </c>
      <c r="L495" s="1" t="str">
        <f t="shared" si="90"/>
        <v/>
      </c>
      <c r="M495" s="1" t="str">
        <f t="shared" si="91"/>
        <v/>
      </c>
      <c r="N495" s="1" t="str">
        <f t="shared" si="92"/>
        <v/>
      </c>
      <c r="O495" s="1" t="str">
        <f t="shared" si="93"/>
        <v/>
      </c>
      <c r="P495" s="1" t="str">
        <f t="shared" si="94"/>
        <v/>
      </c>
      <c r="R495" s="1" t="str">
        <f t="shared" si="95"/>
        <v/>
      </c>
    </row>
    <row r="496" spans="1:18" x14ac:dyDescent="0.2">
      <c r="A496" t="str">
        <f>IF(COUNTBLANK(B496:R496)&lt;&gt;COLUMNS(B496:R496),495,"")</f>
        <v/>
      </c>
      <c r="D496" s="1" t="str">
        <f t="shared" si="84"/>
        <v/>
      </c>
      <c r="E496" s="2" t="str">
        <f t="shared" si="85"/>
        <v/>
      </c>
      <c r="F496" s="1" t="str">
        <f t="shared" si="86"/>
        <v/>
      </c>
      <c r="G496" s="1" t="str">
        <f t="shared" si="87"/>
        <v/>
      </c>
      <c r="H496" s="1" t="str">
        <f t="shared" si="88"/>
        <v/>
      </c>
      <c r="K496" s="1" t="str">
        <f t="shared" si="89"/>
        <v/>
      </c>
      <c r="L496" s="1" t="str">
        <f t="shared" si="90"/>
        <v/>
      </c>
      <c r="M496" s="1" t="str">
        <f t="shared" si="91"/>
        <v/>
      </c>
      <c r="N496" s="1" t="str">
        <f t="shared" si="92"/>
        <v/>
      </c>
      <c r="O496" s="1" t="str">
        <f t="shared" si="93"/>
        <v/>
      </c>
      <c r="P496" s="1" t="str">
        <f t="shared" si="94"/>
        <v/>
      </c>
      <c r="R496" s="1" t="str">
        <f t="shared" si="95"/>
        <v/>
      </c>
    </row>
    <row r="497" spans="1:18" x14ac:dyDescent="0.2">
      <c r="A497" t="str">
        <f>IF(COUNTBLANK(B497:R497)&lt;&gt;COLUMNS(B497:R497),496,"")</f>
        <v/>
      </c>
      <c r="D497" s="1" t="str">
        <f t="shared" si="84"/>
        <v/>
      </c>
      <c r="E497" s="2" t="str">
        <f t="shared" si="85"/>
        <v/>
      </c>
      <c r="F497" s="1" t="str">
        <f t="shared" si="86"/>
        <v/>
      </c>
      <c r="G497" s="1" t="str">
        <f t="shared" si="87"/>
        <v/>
      </c>
      <c r="H497" s="1" t="str">
        <f t="shared" si="88"/>
        <v/>
      </c>
      <c r="K497" s="1" t="str">
        <f t="shared" si="89"/>
        <v/>
      </c>
      <c r="L497" s="1" t="str">
        <f t="shared" si="90"/>
        <v/>
      </c>
      <c r="M497" s="1" t="str">
        <f t="shared" si="91"/>
        <v/>
      </c>
      <c r="N497" s="1" t="str">
        <f t="shared" si="92"/>
        <v/>
      </c>
      <c r="O497" s="1" t="str">
        <f t="shared" si="93"/>
        <v/>
      </c>
      <c r="P497" s="1" t="str">
        <f t="shared" si="94"/>
        <v/>
      </c>
      <c r="R497" s="1" t="str">
        <f t="shared" si="95"/>
        <v/>
      </c>
    </row>
    <row r="498" spans="1:18" x14ac:dyDescent="0.2">
      <c r="A498" t="str">
        <f>IF(COUNTBLANK(B498:R498)&lt;&gt;COLUMNS(B498:R498),497,"")</f>
        <v/>
      </c>
      <c r="D498" s="1" t="str">
        <f t="shared" si="84"/>
        <v/>
      </c>
      <c r="E498" s="2" t="str">
        <f t="shared" si="85"/>
        <v/>
      </c>
      <c r="F498" s="1" t="str">
        <f t="shared" si="86"/>
        <v/>
      </c>
      <c r="G498" s="1" t="str">
        <f t="shared" si="87"/>
        <v/>
      </c>
      <c r="H498" s="1" t="str">
        <f t="shared" si="88"/>
        <v/>
      </c>
      <c r="K498" s="1" t="str">
        <f t="shared" si="89"/>
        <v/>
      </c>
      <c r="L498" s="1" t="str">
        <f t="shared" si="90"/>
        <v/>
      </c>
      <c r="M498" s="1" t="str">
        <f t="shared" si="91"/>
        <v/>
      </c>
      <c r="N498" s="1" t="str">
        <f t="shared" si="92"/>
        <v/>
      </c>
      <c r="O498" s="1" t="str">
        <f t="shared" si="93"/>
        <v/>
      </c>
      <c r="P498" s="1" t="str">
        <f t="shared" si="94"/>
        <v/>
      </c>
      <c r="R498" s="1" t="str">
        <f t="shared" si="95"/>
        <v/>
      </c>
    </row>
    <row r="499" spans="1:18" x14ac:dyDescent="0.2">
      <c r="A499" t="str">
        <f>IF(COUNTBLANK(B499:R499)&lt;&gt;COLUMNS(B499:R499),498,"")</f>
        <v/>
      </c>
      <c r="D499" s="1" t="str">
        <f t="shared" si="84"/>
        <v/>
      </c>
      <c r="E499" s="2" t="str">
        <f t="shared" si="85"/>
        <v/>
      </c>
      <c r="F499" s="1" t="str">
        <f t="shared" si="86"/>
        <v/>
      </c>
      <c r="G499" s="1" t="str">
        <f t="shared" si="87"/>
        <v/>
      </c>
      <c r="H499" s="1" t="str">
        <f t="shared" si="88"/>
        <v/>
      </c>
      <c r="K499" s="1" t="str">
        <f t="shared" si="89"/>
        <v/>
      </c>
      <c r="L499" s="1" t="str">
        <f t="shared" si="90"/>
        <v/>
      </c>
      <c r="M499" s="1" t="str">
        <f t="shared" si="91"/>
        <v/>
      </c>
      <c r="N499" s="1" t="str">
        <f t="shared" si="92"/>
        <v/>
      </c>
      <c r="O499" s="1" t="str">
        <f t="shared" si="93"/>
        <v/>
      </c>
      <c r="P499" s="1" t="str">
        <f t="shared" si="94"/>
        <v/>
      </c>
      <c r="R499" s="1" t="str">
        <f t="shared" si="95"/>
        <v/>
      </c>
    </row>
    <row r="500" spans="1:18" x14ac:dyDescent="0.2">
      <c r="A500" t="str">
        <f>IF(COUNTBLANK(B500:R500)&lt;&gt;COLUMNS(B500:R500),499,"")</f>
        <v/>
      </c>
      <c r="D500" s="1" t="str">
        <f t="shared" si="84"/>
        <v/>
      </c>
      <c r="E500" s="2" t="str">
        <f t="shared" si="85"/>
        <v/>
      </c>
      <c r="F500" s="1" t="str">
        <f t="shared" si="86"/>
        <v/>
      </c>
      <c r="G500" s="1" t="str">
        <f t="shared" si="87"/>
        <v/>
      </c>
      <c r="H500" s="1" t="str">
        <f t="shared" si="88"/>
        <v/>
      </c>
      <c r="K500" s="1" t="str">
        <f t="shared" si="89"/>
        <v/>
      </c>
      <c r="L500" s="1" t="str">
        <f t="shared" si="90"/>
        <v/>
      </c>
      <c r="M500" s="1" t="str">
        <f t="shared" si="91"/>
        <v/>
      </c>
      <c r="N500" s="1" t="str">
        <f t="shared" si="92"/>
        <v/>
      </c>
      <c r="O500" s="1" t="str">
        <f t="shared" si="93"/>
        <v/>
      </c>
      <c r="P500" s="1" t="str">
        <f t="shared" si="94"/>
        <v/>
      </c>
      <c r="R500" s="1" t="str">
        <f t="shared" si="95"/>
        <v/>
      </c>
    </row>
    <row r="501" spans="1:18" x14ac:dyDescent="0.2">
      <c r="A501" t="str">
        <f>IF(COUNTBLANK(B501:R501)&lt;&gt;COLUMNS(B501:R501),500,"")</f>
        <v/>
      </c>
      <c r="D501" s="1" t="str">
        <f t="shared" si="84"/>
        <v/>
      </c>
      <c r="E501" s="2" t="str">
        <f t="shared" si="85"/>
        <v/>
      </c>
      <c r="F501" s="1" t="str">
        <f t="shared" si="86"/>
        <v/>
      </c>
      <c r="G501" s="1" t="str">
        <f t="shared" si="87"/>
        <v/>
      </c>
      <c r="H501" s="1" t="str">
        <f t="shared" si="88"/>
        <v/>
      </c>
      <c r="K501" s="1" t="str">
        <f t="shared" si="89"/>
        <v/>
      </c>
      <c r="L501" s="1" t="str">
        <f t="shared" si="90"/>
        <v/>
      </c>
      <c r="M501" s="1" t="str">
        <f t="shared" si="91"/>
        <v/>
      </c>
      <c r="N501" s="1" t="str">
        <f t="shared" si="92"/>
        <v/>
      </c>
      <c r="O501" s="1" t="str">
        <f t="shared" si="93"/>
        <v/>
      </c>
      <c r="P501" s="1" t="str">
        <f t="shared" si="94"/>
        <v/>
      </c>
      <c r="R501" s="1" t="str">
        <f t="shared" si="95"/>
        <v/>
      </c>
    </row>
    <row r="502" spans="1:18" x14ac:dyDescent="0.2">
      <c r="A502" t="str">
        <f>IF(COUNTBLANK(B502:R502)&lt;&gt;COLUMNS(B502:R502),501,"")</f>
        <v/>
      </c>
      <c r="D502" s="1" t="str">
        <f t="shared" si="84"/>
        <v/>
      </c>
      <c r="E502" s="2" t="str">
        <f t="shared" si="85"/>
        <v/>
      </c>
      <c r="F502" s="1" t="str">
        <f t="shared" si="86"/>
        <v/>
      </c>
      <c r="G502" s="1" t="str">
        <f t="shared" si="87"/>
        <v/>
      </c>
      <c r="H502" s="1" t="str">
        <f t="shared" si="88"/>
        <v/>
      </c>
      <c r="K502" s="1" t="str">
        <f t="shared" si="89"/>
        <v/>
      </c>
      <c r="L502" s="1" t="str">
        <f t="shared" si="90"/>
        <v/>
      </c>
      <c r="M502" s="1" t="str">
        <f t="shared" si="91"/>
        <v/>
      </c>
      <c r="N502" s="1" t="str">
        <f t="shared" si="92"/>
        <v/>
      </c>
      <c r="O502" s="1" t="str">
        <f t="shared" si="93"/>
        <v/>
      </c>
      <c r="P502" s="1" t="str">
        <f t="shared" si="94"/>
        <v/>
      </c>
      <c r="R502" s="1" t="str">
        <f t="shared" si="95"/>
        <v/>
      </c>
    </row>
    <row r="503" spans="1:18" x14ac:dyDescent="0.2">
      <c r="A503" t="str">
        <f>IF(COUNTBLANK(B503:R503)&lt;&gt;COLUMNS(B503:R503),502,"")</f>
        <v/>
      </c>
      <c r="D503" s="1" t="str">
        <f t="shared" si="84"/>
        <v/>
      </c>
      <c r="E503" s="2" t="str">
        <f t="shared" si="85"/>
        <v/>
      </c>
      <c r="F503" s="1" t="str">
        <f t="shared" si="86"/>
        <v/>
      </c>
      <c r="G503" s="1" t="str">
        <f t="shared" si="87"/>
        <v/>
      </c>
      <c r="H503" s="1" t="str">
        <f t="shared" si="88"/>
        <v/>
      </c>
      <c r="K503" s="1" t="str">
        <f t="shared" si="89"/>
        <v/>
      </c>
      <c r="L503" s="1" t="str">
        <f t="shared" si="90"/>
        <v/>
      </c>
      <c r="M503" s="1" t="str">
        <f t="shared" si="91"/>
        <v/>
      </c>
      <c r="N503" s="1" t="str">
        <f t="shared" si="92"/>
        <v/>
      </c>
      <c r="O503" s="1" t="str">
        <f t="shared" si="93"/>
        <v/>
      </c>
      <c r="P503" s="1" t="str">
        <f t="shared" si="94"/>
        <v/>
      </c>
      <c r="R503" s="1" t="str">
        <f t="shared" si="95"/>
        <v/>
      </c>
    </row>
    <row r="504" spans="1:18" x14ac:dyDescent="0.2">
      <c r="A504" t="str">
        <f>IF(COUNTBLANK(B504:R504)&lt;&gt;COLUMNS(B504:R504),503,"")</f>
        <v/>
      </c>
      <c r="D504" s="1" t="str">
        <f t="shared" si="84"/>
        <v/>
      </c>
      <c r="E504" s="2" t="str">
        <f t="shared" si="85"/>
        <v/>
      </c>
      <c r="F504" s="1" t="str">
        <f t="shared" si="86"/>
        <v/>
      </c>
      <c r="G504" s="1" t="str">
        <f t="shared" si="87"/>
        <v/>
      </c>
      <c r="H504" s="1" t="str">
        <f t="shared" si="88"/>
        <v/>
      </c>
      <c r="K504" s="1" t="str">
        <f t="shared" si="89"/>
        <v/>
      </c>
      <c r="L504" s="1" t="str">
        <f t="shared" si="90"/>
        <v/>
      </c>
      <c r="M504" s="1" t="str">
        <f t="shared" si="91"/>
        <v/>
      </c>
      <c r="N504" s="1" t="str">
        <f t="shared" si="92"/>
        <v/>
      </c>
      <c r="O504" s="1" t="str">
        <f t="shared" si="93"/>
        <v/>
      </c>
      <c r="P504" s="1" t="str">
        <f t="shared" si="94"/>
        <v/>
      </c>
      <c r="R504" s="1" t="str">
        <f t="shared" si="95"/>
        <v/>
      </c>
    </row>
    <row r="505" spans="1:18" x14ac:dyDescent="0.2">
      <c r="A505" t="str">
        <f>IF(COUNTBLANK(B505:R505)&lt;&gt;COLUMNS(B505:R505),504,"")</f>
        <v/>
      </c>
      <c r="D505" s="1" t="str">
        <f t="shared" si="84"/>
        <v/>
      </c>
      <c r="E505" s="2" t="str">
        <f t="shared" si="85"/>
        <v/>
      </c>
      <c r="F505" s="1" t="str">
        <f t="shared" si="86"/>
        <v/>
      </c>
      <c r="G505" s="1" t="str">
        <f t="shared" si="87"/>
        <v/>
      </c>
      <c r="H505" s="1" t="str">
        <f t="shared" si="88"/>
        <v/>
      </c>
      <c r="K505" s="1" t="str">
        <f t="shared" si="89"/>
        <v/>
      </c>
      <c r="L505" s="1" t="str">
        <f t="shared" si="90"/>
        <v/>
      </c>
      <c r="M505" s="1" t="str">
        <f t="shared" si="91"/>
        <v/>
      </c>
      <c r="N505" s="1" t="str">
        <f t="shared" si="92"/>
        <v/>
      </c>
      <c r="O505" s="1" t="str">
        <f t="shared" si="93"/>
        <v/>
      </c>
      <c r="P505" s="1" t="str">
        <f t="shared" si="94"/>
        <v/>
      </c>
      <c r="R505" s="1" t="str">
        <f t="shared" si="95"/>
        <v/>
      </c>
    </row>
    <row r="506" spans="1:18" x14ac:dyDescent="0.2">
      <c r="A506" t="str">
        <f>IF(COUNTBLANK(B506:R506)&lt;&gt;COLUMNS(B506:R506),505,"")</f>
        <v/>
      </c>
      <c r="D506" s="1" t="str">
        <f t="shared" si="84"/>
        <v/>
      </c>
      <c r="E506" s="2" t="str">
        <f t="shared" si="85"/>
        <v/>
      </c>
      <c r="F506" s="1" t="str">
        <f t="shared" si="86"/>
        <v/>
      </c>
      <c r="G506" s="1" t="str">
        <f t="shared" si="87"/>
        <v/>
      </c>
      <c r="H506" s="1" t="str">
        <f t="shared" si="88"/>
        <v/>
      </c>
      <c r="K506" s="1" t="str">
        <f t="shared" si="89"/>
        <v/>
      </c>
      <c r="L506" s="1" t="str">
        <f t="shared" si="90"/>
        <v/>
      </c>
      <c r="M506" s="1" t="str">
        <f t="shared" si="91"/>
        <v/>
      </c>
      <c r="N506" s="1" t="str">
        <f t="shared" si="92"/>
        <v/>
      </c>
      <c r="O506" s="1" t="str">
        <f t="shared" si="93"/>
        <v/>
      </c>
      <c r="P506" s="1" t="str">
        <f t="shared" si="94"/>
        <v/>
      </c>
      <c r="R506" s="1" t="str">
        <f t="shared" si="95"/>
        <v/>
      </c>
    </row>
    <row r="507" spans="1:18" x14ac:dyDescent="0.2">
      <c r="A507" t="str">
        <f>IF(COUNTBLANK(B507:R507)&lt;&gt;COLUMNS(B507:R507),506,"")</f>
        <v/>
      </c>
      <c r="D507" s="1" t="str">
        <f t="shared" si="84"/>
        <v/>
      </c>
      <c r="E507" s="2" t="str">
        <f t="shared" si="85"/>
        <v/>
      </c>
      <c r="F507" s="1" t="str">
        <f t="shared" si="86"/>
        <v/>
      </c>
      <c r="G507" s="1" t="str">
        <f t="shared" si="87"/>
        <v/>
      </c>
      <c r="H507" s="1" t="str">
        <f t="shared" si="88"/>
        <v/>
      </c>
      <c r="K507" s="1" t="str">
        <f t="shared" si="89"/>
        <v/>
      </c>
      <c r="L507" s="1" t="str">
        <f t="shared" si="90"/>
        <v/>
      </c>
      <c r="M507" s="1" t="str">
        <f t="shared" si="91"/>
        <v/>
      </c>
      <c r="N507" s="1" t="str">
        <f t="shared" si="92"/>
        <v/>
      </c>
      <c r="O507" s="1" t="str">
        <f t="shared" si="93"/>
        <v/>
      </c>
      <c r="P507" s="1" t="str">
        <f t="shared" si="94"/>
        <v/>
      </c>
      <c r="R507" s="1" t="str">
        <f t="shared" si="95"/>
        <v/>
      </c>
    </row>
    <row r="508" spans="1:18" x14ac:dyDescent="0.2">
      <c r="A508" t="str">
        <f>IF(COUNTBLANK(B508:R508)&lt;&gt;COLUMNS(B508:R508),507,"")</f>
        <v/>
      </c>
      <c r="D508" s="1" t="str">
        <f t="shared" si="84"/>
        <v/>
      </c>
      <c r="E508" s="2" t="str">
        <f t="shared" si="85"/>
        <v/>
      </c>
      <c r="F508" s="1" t="str">
        <f t="shared" si="86"/>
        <v/>
      </c>
      <c r="G508" s="1" t="str">
        <f t="shared" si="87"/>
        <v/>
      </c>
      <c r="H508" s="1" t="str">
        <f t="shared" si="88"/>
        <v/>
      </c>
      <c r="K508" s="1" t="str">
        <f t="shared" si="89"/>
        <v/>
      </c>
      <c r="L508" s="1" t="str">
        <f t="shared" si="90"/>
        <v/>
      </c>
      <c r="M508" s="1" t="str">
        <f t="shared" si="91"/>
        <v/>
      </c>
      <c r="N508" s="1" t="str">
        <f t="shared" si="92"/>
        <v/>
      </c>
      <c r="O508" s="1" t="str">
        <f t="shared" si="93"/>
        <v/>
      </c>
      <c r="P508" s="1" t="str">
        <f t="shared" si="94"/>
        <v/>
      </c>
      <c r="R508" s="1" t="str">
        <f t="shared" si="95"/>
        <v/>
      </c>
    </row>
    <row r="509" spans="1:18" x14ac:dyDescent="0.2">
      <c r="A509" t="str">
        <f>IF(COUNTBLANK(B509:R509)&lt;&gt;COLUMNS(B509:R509),508,"")</f>
        <v/>
      </c>
      <c r="D509" s="1" t="str">
        <f t="shared" si="84"/>
        <v/>
      </c>
      <c r="E509" s="2" t="str">
        <f t="shared" si="85"/>
        <v/>
      </c>
      <c r="F509" s="1" t="str">
        <f t="shared" si="86"/>
        <v/>
      </c>
      <c r="G509" s="1" t="str">
        <f t="shared" si="87"/>
        <v/>
      </c>
      <c r="H509" s="1" t="str">
        <f t="shared" si="88"/>
        <v/>
      </c>
      <c r="K509" s="1" t="str">
        <f t="shared" si="89"/>
        <v/>
      </c>
      <c r="L509" s="1" t="str">
        <f t="shared" si="90"/>
        <v/>
      </c>
      <c r="M509" s="1" t="str">
        <f t="shared" si="91"/>
        <v/>
      </c>
      <c r="N509" s="1" t="str">
        <f t="shared" si="92"/>
        <v/>
      </c>
      <c r="O509" s="1" t="str">
        <f t="shared" si="93"/>
        <v/>
      </c>
      <c r="P509" s="1" t="str">
        <f t="shared" si="94"/>
        <v/>
      </c>
      <c r="R509" s="1" t="str">
        <f t="shared" si="95"/>
        <v/>
      </c>
    </row>
    <row r="510" spans="1:18" x14ac:dyDescent="0.2">
      <c r="A510" t="str">
        <f>IF(COUNTBLANK(B510:R510)&lt;&gt;COLUMNS(B510:R510),509,"")</f>
        <v/>
      </c>
      <c r="D510" s="1" t="str">
        <f t="shared" si="84"/>
        <v/>
      </c>
      <c r="E510" s="2" t="str">
        <f t="shared" si="85"/>
        <v/>
      </c>
      <c r="F510" s="1" t="str">
        <f t="shared" si="86"/>
        <v/>
      </c>
      <c r="G510" s="1" t="str">
        <f t="shared" si="87"/>
        <v/>
      </c>
      <c r="H510" s="1" t="str">
        <f t="shared" si="88"/>
        <v/>
      </c>
      <c r="K510" s="1" t="str">
        <f t="shared" si="89"/>
        <v/>
      </c>
      <c r="L510" s="1" t="str">
        <f t="shared" si="90"/>
        <v/>
      </c>
      <c r="M510" s="1" t="str">
        <f t="shared" si="91"/>
        <v/>
      </c>
      <c r="N510" s="1" t="str">
        <f t="shared" si="92"/>
        <v/>
      </c>
      <c r="O510" s="1" t="str">
        <f t="shared" si="93"/>
        <v/>
      </c>
      <c r="P510" s="1" t="str">
        <f t="shared" si="94"/>
        <v/>
      </c>
      <c r="R510" s="1" t="str">
        <f t="shared" si="95"/>
        <v/>
      </c>
    </row>
    <row r="511" spans="1:18" x14ac:dyDescent="0.2">
      <c r="A511" t="str">
        <f>IF(COUNTBLANK(B511:R511)&lt;&gt;COLUMNS(B511:R511),510,"")</f>
        <v/>
      </c>
      <c r="D511" s="1" t="str">
        <f t="shared" si="84"/>
        <v/>
      </c>
      <c r="E511" s="2" t="str">
        <f t="shared" si="85"/>
        <v/>
      </c>
      <c r="F511" s="1" t="str">
        <f t="shared" si="86"/>
        <v/>
      </c>
      <c r="G511" s="1" t="str">
        <f t="shared" si="87"/>
        <v/>
      </c>
      <c r="H511" s="1" t="str">
        <f t="shared" si="88"/>
        <v/>
      </c>
      <c r="K511" s="1" t="str">
        <f t="shared" si="89"/>
        <v/>
      </c>
      <c r="L511" s="1" t="str">
        <f t="shared" si="90"/>
        <v/>
      </c>
      <c r="M511" s="1" t="str">
        <f t="shared" si="91"/>
        <v/>
      </c>
      <c r="N511" s="1" t="str">
        <f t="shared" si="92"/>
        <v/>
      </c>
      <c r="O511" s="1" t="str">
        <f t="shared" si="93"/>
        <v/>
      </c>
      <c r="P511" s="1" t="str">
        <f t="shared" si="94"/>
        <v/>
      </c>
      <c r="R511" s="1" t="str">
        <f t="shared" si="95"/>
        <v/>
      </c>
    </row>
    <row r="512" spans="1:18" x14ac:dyDescent="0.2">
      <c r="A512" t="str">
        <f>IF(COUNTBLANK(B512:R512)&lt;&gt;COLUMNS(B512:R512),511,"")</f>
        <v/>
      </c>
      <c r="D512" s="1" t="str">
        <f t="shared" si="84"/>
        <v/>
      </c>
      <c r="E512" s="2" t="str">
        <f t="shared" si="85"/>
        <v/>
      </c>
      <c r="F512" s="1" t="str">
        <f t="shared" si="86"/>
        <v/>
      </c>
      <c r="G512" s="1" t="str">
        <f t="shared" si="87"/>
        <v/>
      </c>
      <c r="H512" s="1" t="str">
        <f t="shared" si="88"/>
        <v/>
      </c>
      <c r="K512" s="1" t="str">
        <f t="shared" si="89"/>
        <v/>
      </c>
      <c r="L512" s="1" t="str">
        <f t="shared" si="90"/>
        <v/>
      </c>
      <c r="M512" s="1" t="str">
        <f t="shared" si="91"/>
        <v/>
      </c>
      <c r="N512" s="1" t="str">
        <f t="shared" si="92"/>
        <v/>
      </c>
      <c r="O512" s="1" t="str">
        <f t="shared" si="93"/>
        <v/>
      </c>
      <c r="P512" s="1" t="str">
        <f t="shared" si="94"/>
        <v/>
      </c>
      <c r="R512" s="1" t="str">
        <f t="shared" si="95"/>
        <v/>
      </c>
    </row>
    <row r="513" spans="1:18" x14ac:dyDescent="0.2">
      <c r="A513" t="str">
        <f>IF(COUNTBLANK(B513:R513)&lt;&gt;COLUMNS(B513:R513),512,"")</f>
        <v/>
      </c>
      <c r="D513" s="1" t="str">
        <f t="shared" si="84"/>
        <v/>
      </c>
      <c r="E513" s="2" t="str">
        <f t="shared" si="85"/>
        <v/>
      </c>
      <c r="F513" s="1" t="str">
        <f t="shared" si="86"/>
        <v/>
      </c>
      <c r="G513" s="1" t="str">
        <f t="shared" si="87"/>
        <v/>
      </c>
      <c r="H513" s="1" t="str">
        <f t="shared" si="88"/>
        <v/>
      </c>
      <c r="K513" s="1" t="str">
        <f t="shared" si="89"/>
        <v/>
      </c>
      <c r="L513" s="1" t="str">
        <f t="shared" si="90"/>
        <v/>
      </c>
      <c r="M513" s="1" t="str">
        <f t="shared" si="91"/>
        <v/>
      </c>
      <c r="N513" s="1" t="str">
        <f t="shared" si="92"/>
        <v/>
      </c>
      <c r="O513" s="1" t="str">
        <f t="shared" si="93"/>
        <v/>
      </c>
      <c r="P513" s="1" t="str">
        <f t="shared" si="94"/>
        <v/>
      </c>
      <c r="R513" s="1" t="str">
        <f t="shared" si="95"/>
        <v/>
      </c>
    </row>
    <row r="514" spans="1:18" x14ac:dyDescent="0.2">
      <c r="A514" t="str">
        <f>IF(COUNTBLANK(B514:R514)&lt;&gt;COLUMNS(B514:R514),513,"")</f>
        <v/>
      </c>
      <c r="D514" s="1" t="str">
        <f t="shared" ref="D514:D577" si="96">IF(B514="", "", "years")</f>
        <v/>
      </c>
      <c r="E514" s="2" t="str">
        <f t="shared" ref="E514:E577" si="97">IF(B514="", "", "missing: not provided")</f>
        <v/>
      </c>
      <c r="F514" s="1" t="str">
        <f t="shared" ref="F514:F577" si="98">IF(B514="", "", "Not applicable")</f>
        <v/>
      </c>
      <c r="G514" s="1" t="str">
        <f t="shared" ref="G514:G577" si="99">IF(B514="", "", "urban biome")</f>
        <v/>
      </c>
      <c r="H514" s="1" t="str">
        <f t="shared" ref="H514:H577" si="100">IF(B514="", "", "human-associated habitat")</f>
        <v/>
      </c>
      <c r="K514" s="1" t="str">
        <f t="shared" ref="K514:K577" si="101">IF(B514="", "", "cm")</f>
        <v/>
      </c>
      <c r="L514" s="1" t="str">
        <f t="shared" ref="L514:L577" si="102">IF(B514="", "", "human")</f>
        <v/>
      </c>
      <c r="M514" s="1" t="str">
        <f t="shared" ref="M514:M577" si="103">IF(B514="", "", "Homo sapiens")</f>
        <v/>
      </c>
      <c r="N514" s="1" t="str">
        <f t="shared" ref="N514:N577" si="104">IF(B514="", "", "9606")</f>
        <v/>
      </c>
      <c r="O514" s="1" t="str">
        <f t="shared" ref="O514:O577" si="105">IF(B514="", "", "missing: not provided")</f>
        <v/>
      </c>
      <c r="P514" s="1" t="str">
        <f t="shared" ref="P514:P577" si="106">IF(B514="", "", "missing: not provided")</f>
        <v/>
      </c>
      <c r="R514" s="1" t="str">
        <f t="shared" ref="R514:R577" si="107">IF(B514="", "", "kg")</f>
        <v/>
      </c>
    </row>
    <row r="515" spans="1:18" x14ac:dyDescent="0.2">
      <c r="A515" t="str">
        <f>IF(COUNTBLANK(B515:R515)&lt;&gt;COLUMNS(B515:R515),514,"")</f>
        <v/>
      </c>
      <c r="D515" s="1" t="str">
        <f t="shared" si="96"/>
        <v/>
      </c>
      <c r="E515" s="2" t="str">
        <f t="shared" si="97"/>
        <v/>
      </c>
      <c r="F515" s="1" t="str">
        <f t="shared" si="98"/>
        <v/>
      </c>
      <c r="G515" s="1" t="str">
        <f t="shared" si="99"/>
        <v/>
      </c>
      <c r="H515" s="1" t="str">
        <f t="shared" si="100"/>
        <v/>
      </c>
      <c r="K515" s="1" t="str">
        <f t="shared" si="101"/>
        <v/>
      </c>
      <c r="L515" s="1" t="str">
        <f t="shared" si="102"/>
        <v/>
      </c>
      <c r="M515" s="1" t="str">
        <f t="shared" si="103"/>
        <v/>
      </c>
      <c r="N515" s="1" t="str">
        <f t="shared" si="104"/>
        <v/>
      </c>
      <c r="O515" s="1" t="str">
        <f t="shared" si="105"/>
        <v/>
      </c>
      <c r="P515" s="1" t="str">
        <f t="shared" si="106"/>
        <v/>
      </c>
      <c r="R515" s="1" t="str">
        <f t="shared" si="107"/>
        <v/>
      </c>
    </row>
    <row r="516" spans="1:18" x14ac:dyDescent="0.2">
      <c r="A516" t="str">
        <f>IF(COUNTBLANK(B516:R516)&lt;&gt;COLUMNS(B516:R516),515,"")</f>
        <v/>
      </c>
      <c r="D516" s="1" t="str">
        <f t="shared" si="96"/>
        <v/>
      </c>
      <c r="E516" s="2" t="str">
        <f t="shared" si="97"/>
        <v/>
      </c>
      <c r="F516" s="1" t="str">
        <f t="shared" si="98"/>
        <v/>
      </c>
      <c r="G516" s="1" t="str">
        <f t="shared" si="99"/>
        <v/>
      </c>
      <c r="H516" s="1" t="str">
        <f t="shared" si="100"/>
        <v/>
      </c>
      <c r="K516" s="1" t="str">
        <f t="shared" si="101"/>
        <v/>
      </c>
      <c r="L516" s="1" t="str">
        <f t="shared" si="102"/>
        <v/>
      </c>
      <c r="M516" s="1" t="str">
        <f t="shared" si="103"/>
        <v/>
      </c>
      <c r="N516" s="1" t="str">
        <f t="shared" si="104"/>
        <v/>
      </c>
      <c r="O516" s="1" t="str">
        <f t="shared" si="105"/>
        <v/>
      </c>
      <c r="P516" s="1" t="str">
        <f t="shared" si="106"/>
        <v/>
      </c>
      <c r="R516" s="1" t="str">
        <f t="shared" si="107"/>
        <v/>
      </c>
    </row>
    <row r="517" spans="1:18" x14ac:dyDescent="0.2">
      <c r="A517" t="str">
        <f>IF(COUNTBLANK(B517:R517)&lt;&gt;COLUMNS(B517:R517),516,"")</f>
        <v/>
      </c>
      <c r="D517" s="1" t="str">
        <f t="shared" si="96"/>
        <v/>
      </c>
      <c r="E517" s="2" t="str">
        <f t="shared" si="97"/>
        <v/>
      </c>
      <c r="F517" s="1" t="str">
        <f t="shared" si="98"/>
        <v/>
      </c>
      <c r="G517" s="1" t="str">
        <f t="shared" si="99"/>
        <v/>
      </c>
      <c r="H517" s="1" t="str">
        <f t="shared" si="100"/>
        <v/>
      </c>
      <c r="K517" s="1" t="str">
        <f t="shared" si="101"/>
        <v/>
      </c>
      <c r="L517" s="1" t="str">
        <f t="shared" si="102"/>
        <v/>
      </c>
      <c r="M517" s="1" t="str">
        <f t="shared" si="103"/>
        <v/>
      </c>
      <c r="N517" s="1" t="str">
        <f t="shared" si="104"/>
        <v/>
      </c>
      <c r="O517" s="1" t="str">
        <f t="shared" si="105"/>
        <v/>
      </c>
      <c r="P517" s="1" t="str">
        <f t="shared" si="106"/>
        <v/>
      </c>
      <c r="R517" s="1" t="str">
        <f t="shared" si="107"/>
        <v/>
      </c>
    </row>
    <row r="518" spans="1:18" x14ac:dyDescent="0.2">
      <c r="A518" t="str">
        <f>IF(COUNTBLANK(B518:R518)&lt;&gt;COLUMNS(B518:R518),517,"")</f>
        <v/>
      </c>
      <c r="D518" s="1" t="str">
        <f t="shared" si="96"/>
        <v/>
      </c>
      <c r="E518" s="2" t="str">
        <f t="shared" si="97"/>
        <v/>
      </c>
      <c r="F518" s="1" t="str">
        <f t="shared" si="98"/>
        <v/>
      </c>
      <c r="G518" s="1" t="str">
        <f t="shared" si="99"/>
        <v/>
      </c>
      <c r="H518" s="1" t="str">
        <f t="shared" si="100"/>
        <v/>
      </c>
      <c r="K518" s="1" t="str">
        <f t="shared" si="101"/>
        <v/>
      </c>
      <c r="L518" s="1" t="str">
        <f t="shared" si="102"/>
        <v/>
      </c>
      <c r="M518" s="1" t="str">
        <f t="shared" si="103"/>
        <v/>
      </c>
      <c r="N518" s="1" t="str">
        <f t="shared" si="104"/>
        <v/>
      </c>
      <c r="O518" s="1" t="str">
        <f t="shared" si="105"/>
        <v/>
      </c>
      <c r="P518" s="1" t="str">
        <f t="shared" si="106"/>
        <v/>
      </c>
      <c r="R518" s="1" t="str">
        <f t="shared" si="107"/>
        <v/>
      </c>
    </row>
    <row r="519" spans="1:18" x14ac:dyDescent="0.2">
      <c r="A519" t="str">
        <f>IF(COUNTBLANK(B519:R519)&lt;&gt;COLUMNS(B519:R519),518,"")</f>
        <v/>
      </c>
      <c r="D519" s="1" t="str">
        <f t="shared" si="96"/>
        <v/>
      </c>
      <c r="E519" s="2" t="str">
        <f t="shared" si="97"/>
        <v/>
      </c>
      <c r="F519" s="1" t="str">
        <f t="shared" si="98"/>
        <v/>
      </c>
      <c r="G519" s="1" t="str">
        <f t="shared" si="99"/>
        <v/>
      </c>
      <c r="H519" s="1" t="str">
        <f t="shared" si="100"/>
        <v/>
      </c>
      <c r="K519" s="1" t="str">
        <f t="shared" si="101"/>
        <v/>
      </c>
      <c r="L519" s="1" t="str">
        <f t="shared" si="102"/>
        <v/>
      </c>
      <c r="M519" s="1" t="str">
        <f t="shared" si="103"/>
        <v/>
      </c>
      <c r="N519" s="1" t="str">
        <f t="shared" si="104"/>
        <v/>
      </c>
      <c r="O519" s="1" t="str">
        <f t="shared" si="105"/>
        <v/>
      </c>
      <c r="P519" s="1" t="str">
        <f t="shared" si="106"/>
        <v/>
      </c>
      <c r="R519" s="1" t="str">
        <f t="shared" si="107"/>
        <v/>
      </c>
    </row>
    <row r="520" spans="1:18" x14ac:dyDescent="0.2">
      <c r="A520" t="str">
        <f>IF(COUNTBLANK(B520:R520)&lt;&gt;COLUMNS(B520:R520),519,"")</f>
        <v/>
      </c>
      <c r="D520" s="1" t="str">
        <f t="shared" si="96"/>
        <v/>
      </c>
      <c r="E520" s="2" t="str">
        <f t="shared" si="97"/>
        <v/>
      </c>
      <c r="F520" s="1" t="str">
        <f t="shared" si="98"/>
        <v/>
      </c>
      <c r="G520" s="1" t="str">
        <f t="shared" si="99"/>
        <v/>
      </c>
      <c r="H520" s="1" t="str">
        <f t="shared" si="100"/>
        <v/>
      </c>
      <c r="K520" s="1" t="str">
        <f t="shared" si="101"/>
        <v/>
      </c>
      <c r="L520" s="1" t="str">
        <f t="shared" si="102"/>
        <v/>
      </c>
      <c r="M520" s="1" t="str">
        <f t="shared" si="103"/>
        <v/>
      </c>
      <c r="N520" s="1" t="str">
        <f t="shared" si="104"/>
        <v/>
      </c>
      <c r="O520" s="1" t="str">
        <f t="shared" si="105"/>
        <v/>
      </c>
      <c r="P520" s="1" t="str">
        <f t="shared" si="106"/>
        <v/>
      </c>
      <c r="R520" s="1" t="str">
        <f t="shared" si="107"/>
        <v/>
      </c>
    </row>
    <row r="521" spans="1:18" x14ac:dyDescent="0.2">
      <c r="A521" t="str">
        <f>IF(COUNTBLANK(B521:R521)&lt;&gt;COLUMNS(B521:R521),520,"")</f>
        <v/>
      </c>
      <c r="D521" s="1" t="str">
        <f t="shared" si="96"/>
        <v/>
      </c>
      <c r="E521" s="2" t="str">
        <f t="shared" si="97"/>
        <v/>
      </c>
      <c r="F521" s="1" t="str">
        <f t="shared" si="98"/>
        <v/>
      </c>
      <c r="G521" s="1" t="str">
        <f t="shared" si="99"/>
        <v/>
      </c>
      <c r="H521" s="1" t="str">
        <f t="shared" si="100"/>
        <v/>
      </c>
      <c r="K521" s="1" t="str">
        <f t="shared" si="101"/>
        <v/>
      </c>
      <c r="L521" s="1" t="str">
        <f t="shared" si="102"/>
        <v/>
      </c>
      <c r="M521" s="1" t="str">
        <f t="shared" si="103"/>
        <v/>
      </c>
      <c r="N521" s="1" t="str">
        <f t="shared" si="104"/>
        <v/>
      </c>
      <c r="O521" s="1" t="str">
        <f t="shared" si="105"/>
        <v/>
      </c>
      <c r="P521" s="1" t="str">
        <f t="shared" si="106"/>
        <v/>
      </c>
      <c r="R521" s="1" t="str">
        <f t="shared" si="107"/>
        <v/>
      </c>
    </row>
    <row r="522" spans="1:18" x14ac:dyDescent="0.2">
      <c r="A522" t="str">
        <f>IF(COUNTBLANK(B522:R522)&lt;&gt;COLUMNS(B522:R522),521,"")</f>
        <v/>
      </c>
      <c r="D522" s="1" t="str">
        <f t="shared" si="96"/>
        <v/>
      </c>
      <c r="E522" s="2" t="str">
        <f t="shared" si="97"/>
        <v/>
      </c>
      <c r="F522" s="1" t="str">
        <f t="shared" si="98"/>
        <v/>
      </c>
      <c r="G522" s="1" t="str">
        <f t="shared" si="99"/>
        <v/>
      </c>
      <c r="H522" s="1" t="str">
        <f t="shared" si="100"/>
        <v/>
      </c>
      <c r="K522" s="1" t="str">
        <f t="shared" si="101"/>
        <v/>
      </c>
      <c r="L522" s="1" t="str">
        <f t="shared" si="102"/>
        <v/>
      </c>
      <c r="M522" s="1" t="str">
        <f t="shared" si="103"/>
        <v/>
      </c>
      <c r="N522" s="1" t="str">
        <f t="shared" si="104"/>
        <v/>
      </c>
      <c r="O522" s="1" t="str">
        <f t="shared" si="105"/>
        <v/>
      </c>
      <c r="P522" s="1" t="str">
        <f t="shared" si="106"/>
        <v/>
      </c>
      <c r="R522" s="1" t="str">
        <f t="shared" si="107"/>
        <v/>
      </c>
    </row>
    <row r="523" spans="1:18" x14ac:dyDescent="0.2">
      <c r="A523" t="str">
        <f>IF(COUNTBLANK(B523:R523)&lt;&gt;COLUMNS(B523:R523),522,"")</f>
        <v/>
      </c>
      <c r="D523" s="1" t="str">
        <f t="shared" si="96"/>
        <v/>
      </c>
      <c r="E523" s="2" t="str">
        <f t="shared" si="97"/>
        <v/>
      </c>
      <c r="F523" s="1" t="str">
        <f t="shared" si="98"/>
        <v/>
      </c>
      <c r="G523" s="1" t="str">
        <f t="shared" si="99"/>
        <v/>
      </c>
      <c r="H523" s="1" t="str">
        <f t="shared" si="100"/>
        <v/>
      </c>
      <c r="K523" s="1" t="str">
        <f t="shared" si="101"/>
        <v/>
      </c>
      <c r="L523" s="1" t="str">
        <f t="shared" si="102"/>
        <v/>
      </c>
      <c r="M523" s="1" t="str">
        <f t="shared" si="103"/>
        <v/>
      </c>
      <c r="N523" s="1" t="str">
        <f t="shared" si="104"/>
        <v/>
      </c>
      <c r="O523" s="1" t="str">
        <f t="shared" si="105"/>
        <v/>
      </c>
      <c r="P523" s="1" t="str">
        <f t="shared" si="106"/>
        <v/>
      </c>
      <c r="R523" s="1" t="str">
        <f t="shared" si="107"/>
        <v/>
      </c>
    </row>
    <row r="524" spans="1:18" x14ac:dyDescent="0.2">
      <c r="A524" t="str">
        <f>IF(COUNTBLANK(B524:R524)&lt;&gt;COLUMNS(B524:R524),523,"")</f>
        <v/>
      </c>
      <c r="D524" s="1" t="str">
        <f t="shared" si="96"/>
        <v/>
      </c>
      <c r="E524" s="2" t="str">
        <f t="shared" si="97"/>
        <v/>
      </c>
      <c r="F524" s="1" t="str">
        <f t="shared" si="98"/>
        <v/>
      </c>
      <c r="G524" s="1" t="str">
        <f t="shared" si="99"/>
        <v/>
      </c>
      <c r="H524" s="1" t="str">
        <f t="shared" si="100"/>
        <v/>
      </c>
      <c r="K524" s="1" t="str">
        <f t="shared" si="101"/>
        <v/>
      </c>
      <c r="L524" s="1" t="str">
        <f t="shared" si="102"/>
        <v/>
      </c>
      <c r="M524" s="1" t="str">
        <f t="shared" si="103"/>
        <v/>
      </c>
      <c r="N524" s="1" t="str">
        <f t="shared" si="104"/>
        <v/>
      </c>
      <c r="O524" s="1" t="str">
        <f t="shared" si="105"/>
        <v/>
      </c>
      <c r="P524" s="1" t="str">
        <f t="shared" si="106"/>
        <v/>
      </c>
      <c r="R524" s="1" t="str">
        <f t="shared" si="107"/>
        <v/>
      </c>
    </row>
    <row r="525" spans="1:18" x14ac:dyDescent="0.2">
      <c r="A525" t="str">
        <f>IF(COUNTBLANK(B525:R525)&lt;&gt;COLUMNS(B525:R525),524,"")</f>
        <v/>
      </c>
      <c r="D525" s="1" t="str">
        <f t="shared" si="96"/>
        <v/>
      </c>
      <c r="E525" s="2" t="str">
        <f t="shared" si="97"/>
        <v/>
      </c>
      <c r="F525" s="1" t="str">
        <f t="shared" si="98"/>
        <v/>
      </c>
      <c r="G525" s="1" t="str">
        <f t="shared" si="99"/>
        <v/>
      </c>
      <c r="H525" s="1" t="str">
        <f t="shared" si="100"/>
        <v/>
      </c>
      <c r="K525" s="1" t="str">
        <f t="shared" si="101"/>
        <v/>
      </c>
      <c r="L525" s="1" t="str">
        <f t="shared" si="102"/>
        <v/>
      </c>
      <c r="M525" s="1" t="str">
        <f t="shared" si="103"/>
        <v/>
      </c>
      <c r="N525" s="1" t="str">
        <f t="shared" si="104"/>
        <v/>
      </c>
      <c r="O525" s="1" t="str">
        <f t="shared" si="105"/>
        <v/>
      </c>
      <c r="P525" s="1" t="str">
        <f t="shared" si="106"/>
        <v/>
      </c>
      <c r="R525" s="1" t="str">
        <f t="shared" si="107"/>
        <v/>
      </c>
    </row>
    <row r="526" spans="1:18" x14ac:dyDescent="0.2">
      <c r="A526" t="str">
        <f>IF(COUNTBLANK(B526:R526)&lt;&gt;COLUMNS(B526:R526),525,"")</f>
        <v/>
      </c>
      <c r="D526" s="1" t="str">
        <f t="shared" si="96"/>
        <v/>
      </c>
      <c r="E526" s="2" t="str">
        <f t="shared" si="97"/>
        <v/>
      </c>
      <c r="F526" s="1" t="str">
        <f t="shared" si="98"/>
        <v/>
      </c>
      <c r="G526" s="1" t="str">
        <f t="shared" si="99"/>
        <v/>
      </c>
      <c r="H526" s="1" t="str">
        <f t="shared" si="100"/>
        <v/>
      </c>
      <c r="K526" s="1" t="str">
        <f t="shared" si="101"/>
        <v/>
      </c>
      <c r="L526" s="1" t="str">
        <f t="shared" si="102"/>
        <v/>
      </c>
      <c r="M526" s="1" t="str">
        <f t="shared" si="103"/>
        <v/>
      </c>
      <c r="N526" s="1" t="str">
        <f t="shared" si="104"/>
        <v/>
      </c>
      <c r="O526" s="1" t="str">
        <f t="shared" si="105"/>
        <v/>
      </c>
      <c r="P526" s="1" t="str">
        <f t="shared" si="106"/>
        <v/>
      </c>
      <c r="R526" s="1" t="str">
        <f t="shared" si="107"/>
        <v/>
      </c>
    </row>
    <row r="527" spans="1:18" x14ac:dyDescent="0.2">
      <c r="A527" t="str">
        <f>IF(COUNTBLANK(B527:R527)&lt;&gt;COLUMNS(B527:R527),526,"")</f>
        <v/>
      </c>
      <c r="D527" s="1" t="str">
        <f t="shared" si="96"/>
        <v/>
      </c>
      <c r="E527" s="2" t="str">
        <f t="shared" si="97"/>
        <v/>
      </c>
      <c r="F527" s="1" t="str">
        <f t="shared" si="98"/>
        <v/>
      </c>
      <c r="G527" s="1" t="str">
        <f t="shared" si="99"/>
        <v/>
      </c>
      <c r="H527" s="1" t="str">
        <f t="shared" si="100"/>
        <v/>
      </c>
      <c r="K527" s="1" t="str">
        <f t="shared" si="101"/>
        <v/>
      </c>
      <c r="L527" s="1" t="str">
        <f t="shared" si="102"/>
        <v/>
      </c>
      <c r="M527" s="1" t="str">
        <f t="shared" si="103"/>
        <v/>
      </c>
      <c r="N527" s="1" t="str">
        <f t="shared" si="104"/>
        <v/>
      </c>
      <c r="O527" s="1" t="str">
        <f t="shared" si="105"/>
        <v/>
      </c>
      <c r="P527" s="1" t="str">
        <f t="shared" si="106"/>
        <v/>
      </c>
      <c r="R527" s="1" t="str">
        <f t="shared" si="107"/>
        <v/>
      </c>
    </row>
    <row r="528" spans="1:18" x14ac:dyDescent="0.2">
      <c r="A528" t="str">
        <f>IF(COUNTBLANK(B528:R528)&lt;&gt;COLUMNS(B528:R528),527,"")</f>
        <v/>
      </c>
      <c r="D528" s="1" t="str">
        <f t="shared" si="96"/>
        <v/>
      </c>
      <c r="E528" s="2" t="str">
        <f t="shared" si="97"/>
        <v/>
      </c>
      <c r="F528" s="1" t="str">
        <f t="shared" si="98"/>
        <v/>
      </c>
      <c r="G528" s="1" t="str">
        <f t="shared" si="99"/>
        <v/>
      </c>
      <c r="H528" s="1" t="str">
        <f t="shared" si="100"/>
        <v/>
      </c>
      <c r="K528" s="1" t="str">
        <f t="shared" si="101"/>
        <v/>
      </c>
      <c r="L528" s="1" t="str">
        <f t="shared" si="102"/>
        <v/>
      </c>
      <c r="M528" s="1" t="str">
        <f t="shared" si="103"/>
        <v/>
      </c>
      <c r="N528" s="1" t="str">
        <f t="shared" si="104"/>
        <v/>
      </c>
      <c r="O528" s="1" t="str">
        <f t="shared" si="105"/>
        <v/>
      </c>
      <c r="P528" s="1" t="str">
        <f t="shared" si="106"/>
        <v/>
      </c>
      <c r="R528" s="1" t="str">
        <f t="shared" si="107"/>
        <v/>
      </c>
    </row>
    <row r="529" spans="1:18" x14ac:dyDescent="0.2">
      <c r="A529" t="str">
        <f>IF(COUNTBLANK(B529:R529)&lt;&gt;COLUMNS(B529:R529),528,"")</f>
        <v/>
      </c>
      <c r="D529" s="1" t="str">
        <f t="shared" si="96"/>
        <v/>
      </c>
      <c r="E529" s="2" t="str">
        <f t="shared" si="97"/>
        <v/>
      </c>
      <c r="F529" s="1" t="str">
        <f t="shared" si="98"/>
        <v/>
      </c>
      <c r="G529" s="1" t="str">
        <f t="shared" si="99"/>
        <v/>
      </c>
      <c r="H529" s="1" t="str">
        <f t="shared" si="100"/>
        <v/>
      </c>
      <c r="K529" s="1" t="str">
        <f t="shared" si="101"/>
        <v/>
      </c>
      <c r="L529" s="1" t="str">
        <f t="shared" si="102"/>
        <v/>
      </c>
      <c r="M529" s="1" t="str">
        <f t="shared" si="103"/>
        <v/>
      </c>
      <c r="N529" s="1" t="str">
        <f t="shared" si="104"/>
        <v/>
      </c>
      <c r="O529" s="1" t="str">
        <f t="shared" si="105"/>
        <v/>
      </c>
      <c r="P529" s="1" t="str">
        <f t="shared" si="106"/>
        <v/>
      </c>
      <c r="R529" s="1" t="str">
        <f t="shared" si="107"/>
        <v/>
      </c>
    </row>
    <row r="530" spans="1:18" x14ac:dyDescent="0.2">
      <c r="A530" t="str">
        <f>IF(COUNTBLANK(B530:R530)&lt;&gt;COLUMNS(B530:R530),529,"")</f>
        <v/>
      </c>
      <c r="D530" s="1" t="str">
        <f t="shared" si="96"/>
        <v/>
      </c>
      <c r="E530" s="2" t="str">
        <f t="shared" si="97"/>
        <v/>
      </c>
      <c r="F530" s="1" t="str">
        <f t="shared" si="98"/>
        <v/>
      </c>
      <c r="G530" s="1" t="str">
        <f t="shared" si="99"/>
        <v/>
      </c>
      <c r="H530" s="1" t="str">
        <f t="shared" si="100"/>
        <v/>
      </c>
      <c r="K530" s="1" t="str">
        <f t="shared" si="101"/>
        <v/>
      </c>
      <c r="L530" s="1" t="str">
        <f t="shared" si="102"/>
        <v/>
      </c>
      <c r="M530" s="1" t="str">
        <f t="shared" si="103"/>
        <v/>
      </c>
      <c r="N530" s="1" t="str">
        <f t="shared" si="104"/>
        <v/>
      </c>
      <c r="O530" s="1" t="str">
        <f t="shared" si="105"/>
        <v/>
      </c>
      <c r="P530" s="1" t="str">
        <f t="shared" si="106"/>
        <v/>
      </c>
      <c r="R530" s="1" t="str">
        <f t="shared" si="107"/>
        <v/>
      </c>
    </row>
    <row r="531" spans="1:18" x14ac:dyDescent="0.2">
      <c r="A531" t="str">
        <f>IF(COUNTBLANK(B531:R531)&lt;&gt;COLUMNS(B531:R531),530,"")</f>
        <v/>
      </c>
      <c r="D531" s="1" t="str">
        <f t="shared" si="96"/>
        <v/>
      </c>
      <c r="E531" s="2" t="str">
        <f t="shared" si="97"/>
        <v/>
      </c>
      <c r="F531" s="1" t="str">
        <f t="shared" si="98"/>
        <v/>
      </c>
      <c r="G531" s="1" t="str">
        <f t="shared" si="99"/>
        <v/>
      </c>
      <c r="H531" s="1" t="str">
        <f t="shared" si="100"/>
        <v/>
      </c>
      <c r="K531" s="1" t="str">
        <f t="shared" si="101"/>
        <v/>
      </c>
      <c r="L531" s="1" t="str">
        <f t="shared" si="102"/>
        <v/>
      </c>
      <c r="M531" s="1" t="str">
        <f t="shared" si="103"/>
        <v/>
      </c>
      <c r="N531" s="1" t="str">
        <f t="shared" si="104"/>
        <v/>
      </c>
      <c r="O531" s="1" t="str">
        <f t="shared" si="105"/>
        <v/>
      </c>
      <c r="P531" s="1" t="str">
        <f t="shared" si="106"/>
        <v/>
      </c>
      <c r="R531" s="1" t="str">
        <f t="shared" si="107"/>
        <v/>
      </c>
    </row>
    <row r="532" spans="1:18" x14ac:dyDescent="0.2">
      <c r="A532" t="str">
        <f>IF(COUNTBLANK(B532:R532)&lt;&gt;COLUMNS(B532:R532),531,"")</f>
        <v/>
      </c>
      <c r="D532" s="1" t="str">
        <f t="shared" si="96"/>
        <v/>
      </c>
      <c r="E532" s="2" t="str">
        <f t="shared" si="97"/>
        <v/>
      </c>
      <c r="F532" s="1" t="str">
        <f t="shared" si="98"/>
        <v/>
      </c>
      <c r="G532" s="1" t="str">
        <f t="shared" si="99"/>
        <v/>
      </c>
      <c r="H532" s="1" t="str">
        <f t="shared" si="100"/>
        <v/>
      </c>
      <c r="K532" s="1" t="str">
        <f t="shared" si="101"/>
        <v/>
      </c>
      <c r="L532" s="1" t="str">
        <f t="shared" si="102"/>
        <v/>
      </c>
      <c r="M532" s="1" t="str">
        <f t="shared" si="103"/>
        <v/>
      </c>
      <c r="N532" s="1" t="str">
        <f t="shared" si="104"/>
        <v/>
      </c>
      <c r="O532" s="1" t="str">
        <f t="shared" si="105"/>
        <v/>
      </c>
      <c r="P532" s="1" t="str">
        <f t="shared" si="106"/>
        <v/>
      </c>
      <c r="R532" s="1" t="str">
        <f t="shared" si="107"/>
        <v/>
      </c>
    </row>
    <row r="533" spans="1:18" x14ac:dyDescent="0.2">
      <c r="A533" t="str">
        <f>IF(COUNTBLANK(B533:R533)&lt;&gt;COLUMNS(B533:R533),532,"")</f>
        <v/>
      </c>
      <c r="D533" s="1" t="str">
        <f t="shared" si="96"/>
        <v/>
      </c>
      <c r="E533" s="2" t="str">
        <f t="shared" si="97"/>
        <v/>
      </c>
      <c r="F533" s="1" t="str">
        <f t="shared" si="98"/>
        <v/>
      </c>
      <c r="G533" s="1" t="str">
        <f t="shared" si="99"/>
        <v/>
      </c>
      <c r="H533" s="1" t="str">
        <f t="shared" si="100"/>
        <v/>
      </c>
      <c r="K533" s="1" t="str">
        <f t="shared" si="101"/>
        <v/>
      </c>
      <c r="L533" s="1" t="str">
        <f t="shared" si="102"/>
        <v/>
      </c>
      <c r="M533" s="1" t="str">
        <f t="shared" si="103"/>
        <v/>
      </c>
      <c r="N533" s="1" t="str">
        <f t="shared" si="104"/>
        <v/>
      </c>
      <c r="O533" s="1" t="str">
        <f t="shared" si="105"/>
        <v/>
      </c>
      <c r="P533" s="1" t="str">
        <f t="shared" si="106"/>
        <v/>
      </c>
      <c r="R533" s="1" t="str">
        <f t="shared" si="107"/>
        <v/>
      </c>
    </row>
    <row r="534" spans="1:18" x14ac:dyDescent="0.2">
      <c r="A534" t="str">
        <f>IF(COUNTBLANK(B534:R534)&lt;&gt;COLUMNS(B534:R534),533,"")</f>
        <v/>
      </c>
      <c r="D534" s="1" t="str">
        <f t="shared" si="96"/>
        <v/>
      </c>
      <c r="E534" s="2" t="str">
        <f t="shared" si="97"/>
        <v/>
      </c>
      <c r="F534" s="1" t="str">
        <f t="shared" si="98"/>
        <v/>
      </c>
      <c r="G534" s="1" t="str">
        <f t="shared" si="99"/>
        <v/>
      </c>
      <c r="H534" s="1" t="str">
        <f t="shared" si="100"/>
        <v/>
      </c>
      <c r="K534" s="1" t="str">
        <f t="shared" si="101"/>
        <v/>
      </c>
      <c r="L534" s="1" t="str">
        <f t="shared" si="102"/>
        <v/>
      </c>
      <c r="M534" s="1" t="str">
        <f t="shared" si="103"/>
        <v/>
      </c>
      <c r="N534" s="1" t="str">
        <f t="shared" si="104"/>
        <v/>
      </c>
      <c r="O534" s="1" t="str">
        <f t="shared" si="105"/>
        <v/>
      </c>
      <c r="P534" s="1" t="str">
        <f t="shared" si="106"/>
        <v/>
      </c>
      <c r="R534" s="1" t="str">
        <f t="shared" si="107"/>
        <v/>
      </c>
    </row>
    <row r="535" spans="1:18" x14ac:dyDescent="0.2">
      <c r="A535" t="str">
        <f>IF(COUNTBLANK(B535:R535)&lt;&gt;COLUMNS(B535:R535),534,"")</f>
        <v/>
      </c>
      <c r="D535" s="1" t="str">
        <f t="shared" si="96"/>
        <v/>
      </c>
      <c r="E535" s="2" t="str">
        <f t="shared" si="97"/>
        <v/>
      </c>
      <c r="F535" s="1" t="str">
        <f t="shared" si="98"/>
        <v/>
      </c>
      <c r="G535" s="1" t="str">
        <f t="shared" si="99"/>
        <v/>
      </c>
      <c r="H535" s="1" t="str">
        <f t="shared" si="100"/>
        <v/>
      </c>
      <c r="K535" s="1" t="str">
        <f t="shared" si="101"/>
        <v/>
      </c>
      <c r="L535" s="1" t="str">
        <f t="shared" si="102"/>
        <v/>
      </c>
      <c r="M535" s="1" t="str">
        <f t="shared" si="103"/>
        <v/>
      </c>
      <c r="N535" s="1" t="str">
        <f t="shared" si="104"/>
        <v/>
      </c>
      <c r="O535" s="1" t="str">
        <f t="shared" si="105"/>
        <v/>
      </c>
      <c r="P535" s="1" t="str">
        <f t="shared" si="106"/>
        <v/>
      </c>
      <c r="R535" s="1" t="str">
        <f t="shared" si="107"/>
        <v/>
      </c>
    </row>
    <row r="536" spans="1:18" x14ac:dyDescent="0.2">
      <c r="A536" t="str">
        <f>IF(COUNTBLANK(B536:R536)&lt;&gt;COLUMNS(B536:R536),535,"")</f>
        <v/>
      </c>
      <c r="D536" s="1" t="str">
        <f t="shared" si="96"/>
        <v/>
      </c>
      <c r="E536" s="2" t="str">
        <f t="shared" si="97"/>
        <v/>
      </c>
      <c r="F536" s="1" t="str">
        <f t="shared" si="98"/>
        <v/>
      </c>
      <c r="G536" s="1" t="str">
        <f t="shared" si="99"/>
        <v/>
      </c>
      <c r="H536" s="1" t="str">
        <f t="shared" si="100"/>
        <v/>
      </c>
      <c r="K536" s="1" t="str">
        <f t="shared" si="101"/>
        <v/>
      </c>
      <c r="L536" s="1" t="str">
        <f t="shared" si="102"/>
        <v/>
      </c>
      <c r="M536" s="1" t="str">
        <f t="shared" si="103"/>
        <v/>
      </c>
      <c r="N536" s="1" t="str">
        <f t="shared" si="104"/>
        <v/>
      </c>
      <c r="O536" s="1" t="str">
        <f t="shared" si="105"/>
        <v/>
      </c>
      <c r="P536" s="1" t="str">
        <f t="shared" si="106"/>
        <v/>
      </c>
      <c r="R536" s="1" t="str">
        <f t="shared" si="107"/>
        <v/>
      </c>
    </row>
    <row r="537" spans="1:18" x14ac:dyDescent="0.2">
      <c r="A537" t="str">
        <f>IF(COUNTBLANK(B537:R537)&lt;&gt;COLUMNS(B537:R537),536,"")</f>
        <v/>
      </c>
      <c r="D537" s="1" t="str">
        <f t="shared" si="96"/>
        <v/>
      </c>
      <c r="E537" s="2" t="str">
        <f t="shared" si="97"/>
        <v/>
      </c>
      <c r="F537" s="1" t="str">
        <f t="shared" si="98"/>
        <v/>
      </c>
      <c r="G537" s="1" t="str">
        <f t="shared" si="99"/>
        <v/>
      </c>
      <c r="H537" s="1" t="str">
        <f t="shared" si="100"/>
        <v/>
      </c>
      <c r="K537" s="1" t="str">
        <f t="shared" si="101"/>
        <v/>
      </c>
      <c r="L537" s="1" t="str">
        <f t="shared" si="102"/>
        <v/>
      </c>
      <c r="M537" s="1" t="str">
        <f t="shared" si="103"/>
        <v/>
      </c>
      <c r="N537" s="1" t="str">
        <f t="shared" si="104"/>
        <v/>
      </c>
      <c r="O537" s="1" t="str">
        <f t="shared" si="105"/>
        <v/>
      </c>
      <c r="P537" s="1" t="str">
        <f t="shared" si="106"/>
        <v/>
      </c>
      <c r="R537" s="1" t="str">
        <f t="shared" si="107"/>
        <v/>
      </c>
    </row>
    <row r="538" spans="1:18" x14ac:dyDescent="0.2">
      <c r="A538" t="str">
        <f>IF(COUNTBLANK(B538:R538)&lt;&gt;COLUMNS(B538:R538),537,"")</f>
        <v/>
      </c>
      <c r="D538" s="1" t="str">
        <f t="shared" si="96"/>
        <v/>
      </c>
      <c r="E538" s="2" t="str">
        <f t="shared" si="97"/>
        <v/>
      </c>
      <c r="F538" s="1" t="str">
        <f t="shared" si="98"/>
        <v/>
      </c>
      <c r="G538" s="1" t="str">
        <f t="shared" si="99"/>
        <v/>
      </c>
      <c r="H538" s="1" t="str">
        <f t="shared" si="100"/>
        <v/>
      </c>
      <c r="K538" s="1" t="str">
        <f t="shared" si="101"/>
        <v/>
      </c>
      <c r="L538" s="1" t="str">
        <f t="shared" si="102"/>
        <v/>
      </c>
      <c r="M538" s="1" t="str">
        <f t="shared" si="103"/>
        <v/>
      </c>
      <c r="N538" s="1" t="str">
        <f t="shared" si="104"/>
        <v/>
      </c>
      <c r="O538" s="1" t="str">
        <f t="shared" si="105"/>
        <v/>
      </c>
      <c r="P538" s="1" t="str">
        <f t="shared" si="106"/>
        <v/>
      </c>
      <c r="R538" s="1" t="str">
        <f t="shared" si="107"/>
        <v/>
      </c>
    </row>
    <row r="539" spans="1:18" x14ac:dyDescent="0.2">
      <c r="A539" t="str">
        <f>IF(COUNTBLANK(B539:R539)&lt;&gt;COLUMNS(B539:R539),538,"")</f>
        <v/>
      </c>
      <c r="D539" s="1" t="str">
        <f t="shared" si="96"/>
        <v/>
      </c>
      <c r="E539" s="2" t="str">
        <f t="shared" si="97"/>
        <v/>
      </c>
      <c r="F539" s="1" t="str">
        <f t="shared" si="98"/>
        <v/>
      </c>
      <c r="G539" s="1" t="str">
        <f t="shared" si="99"/>
        <v/>
      </c>
      <c r="H539" s="1" t="str">
        <f t="shared" si="100"/>
        <v/>
      </c>
      <c r="K539" s="1" t="str">
        <f t="shared" si="101"/>
        <v/>
      </c>
      <c r="L539" s="1" t="str">
        <f t="shared" si="102"/>
        <v/>
      </c>
      <c r="M539" s="1" t="str">
        <f t="shared" si="103"/>
        <v/>
      </c>
      <c r="N539" s="1" t="str">
        <f t="shared" si="104"/>
        <v/>
      </c>
      <c r="O539" s="1" t="str">
        <f t="shared" si="105"/>
        <v/>
      </c>
      <c r="P539" s="1" t="str">
        <f t="shared" si="106"/>
        <v/>
      </c>
      <c r="R539" s="1" t="str">
        <f t="shared" si="107"/>
        <v/>
      </c>
    </row>
    <row r="540" spans="1:18" x14ac:dyDescent="0.2">
      <c r="A540" t="str">
        <f>IF(COUNTBLANK(B540:R540)&lt;&gt;COLUMNS(B540:R540),539,"")</f>
        <v/>
      </c>
      <c r="D540" s="1" t="str">
        <f t="shared" si="96"/>
        <v/>
      </c>
      <c r="E540" s="2" t="str">
        <f t="shared" si="97"/>
        <v/>
      </c>
      <c r="F540" s="1" t="str">
        <f t="shared" si="98"/>
        <v/>
      </c>
      <c r="G540" s="1" t="str">
        <f t="shared" si="99"/>
        <v/>
      </c>
      <c r="H540" s="1" t="str">
        <f t="shared" si="100"/>
        <v/>
      </c>
      <c r="K540" s="1" t="str">
        <f t="shared" si="101"/>
        <v/>
      </c>
      <c r="L540" s="1" t="str">
        <f t="shared" si="102"/>
        <v/>
      </c>
      <c r="M540" s="1" t="str">
        <f t="shared" si="103"/>
        <v/>
      </c>
      <c r="N540" s="1" t="str">
        <f t="shared" si="104"/>
        <v/>
      </c>
      <c r="O540" s="1" t="str">
        <f t="shared" si="105"/>
        <v/>
      </c>
      <c r="P540" s="1" t="str">
        <f t="shared" si="106"/>
        <v/>
      </c>
      <c r="R540" s="1" t="str">
        <f t="shared" si="107"/>
        <v/>
      </c>
    </row>
    <row r="541" spans="1:18" x14ac:dyDescent="0.2">
      <c r="A541" t="str">
        <f>IF(COUNTBLANK(B541:R541)&lt;&gt;COLUMNS(B541:R541),540,"")</f>
        <v/>
      </c>
      <c r="D541" s="1" t="str">
        <f t="shared" si="96"/>
        <v/>
      </c>
      <c r="E541" s="2" t="str">
        <f t="shared" si="97"/>
        <v/>
      </c>
      <c r="F541" s="1" t="str">
        <f t="shared" si="98"/>
        <v/>
      </c>
      <c r="G541" s="1" t="str">
        <f t="shared" si="99"/>
        <v/>
      </c>
      <c r="H541" s="1" t="str">
        <f t="shared" si="100"/>
        <v/>
      </c>
      <c r="K541" s="1" t="str">
        <f t="shared" si="101"/>
        <v/>
      </c>
      <c r="L541" s="1" t="str">
        <f t="shared" si="102"/>
        <v/>
      </c>
      <c r="M541" s="1" t="str">
        <f t="shared" si="103"/>
        <v/>
      </c>
      <c r="N541" s="1" t="str">
        <f t="shared" si="104"/>
        <v/>
      </c>
      <c r="O541" s="1" t="str">
        <f t="shared" si="105"/>
        <v/>
      </c>
      <c r="P541" s="1" t="str">
        <f t="shared" si="106"/>
        <v/>
      </c>
      <c r="R541" s="1" t="str">
        <f t="shared" si="107"/>
        <v/>
      </c>
    </row>
    <row r="542" spans="1:18" x14ac:dyDescent="0.2">
      <c r="A542" t="str">
        <f>IF(COUNTBLANK(B542:R542)&lt;&gt;COLUMNS(B542:R542),541,"")</f>
        <v/>
      </c>
      <c r="D542" s="1" t="str">
        <f t="shared" si="96"/>
        <v/>
      </c>
      <c r="E542" s="2" t="str">
        <f t="shared" si="97"/>
        <v/>
      </c>
      <c r="F542" s="1" t="str">
        <f t="shared" si="98"/>
        <v/>
      </c>
      <c r="G542" s="1" t="str">
        <f t="shared" si="99"/>
        <v/>
      </c>
      <c r="H542" s="1" t="str">
        <f t="shared" si="100"/>
        <v/>
      </c>
      <c r="K542" s="1" t="str">
        <f t="shared" si="101"/>
        <v/>
      </c>
      <c r="L542" s="1" t="str">
        <f t="shared" si="102"/>
        <v/>
      </c>
      <c r="M542" s="1" t="str">
        <f t="shared" si="103"/>
        <v/>
      </c>
      <c r="N542" s="1" t="str">
        <f t="shared" si="104"/>
        <v/>
      </c>
      <c r="O542" s="1" t="str">
        <f t="shared" si="105"/>
        <v/>
      </c>
      <c r="P542" s="1" t="str">
        <f t="shared" si="106"/>
        <v/>
      </c>
      <c r="R542" s="1" t="str">
        <f t="shared" si="107"/>
        <v/>
      </c>
    </row>
    <row r="543" spans="1:18" x14ac:dyDescent="0.2">
      <c r="A543" t="str">
        <f>IF(COUNTBLANK(B543:R543)&lt;&gt;COLUMNS(B543:R543),542,"")</f>
        <v/>
      </c>
      <c r="D543" s="1" t="str">
        <f t="shared" si="96"/>
        <v/>
      </c>
      <c r="E543" s="2" t="str">
        <f t="shared" si="97"/>
        <v/>
      </c>
      <c r="F543" s="1" t="str">
        <f t="shared" si="98"/>
        <v/>
      </c>
      <c r="G543" s="1" t="str">
        <f t="shared" si="99"/>
        <v/>
      </c>
      <c r="H543" s="1" t="str">
        <f t="shared" si="100"/>
        <v/>
      </c>
      <c r="K543" s="1" t="str">
        <f t="shared" si="101"/>
        <v/>
      </c>
      <c r="L543" s="1" t="str">
        <f t="shared" si="102"/>
        <v/>
      </c>
      <c r="M543" s="1" t="str">
        <f t="shared" si="103"/>
        <v/>
      </c>
      <c r="N543" s="1" t="str">
        <f t="shared" si="104"/>
        <v/>
      </c>
      <c r="O543" s="1" t="str">
        <f t="shared" si="105"/>
        <v/>
      </c>
      <c r="P543" s="1" t="str">
        <f t="shared" si="106"/>
        <v/>
      </c>
      <c r="R543" s="1" t="str">
        <f t="shared" si="107"/>
        <v/>
      </c>
    </row>
    <row r="544" spans="1:18" x14ac:dyDescent="0.2">
      <c r="A544" t="str">
        <f>IF(COUNTBLANK(B544:R544)&lt;&gt;COLUMNS(B544:R544),543,"")</f>
        <v/>
      </c>
      <c r="D544" s="1" t="str">
        <f t="shared" si="96"/>
        <v/>
      </c>
      <c r="E544" s="2" t="str">
        <f t="shared" si="97"/>
        <v/>
      </c>
      <c r="F544" s="1" t="str">
        <f t="shared" si="98"/>
        <v/>
      </c>
      <c r="G544" s="1" t="str">
        <f t="shared" si="99"/>
        <v/>
      </c>
      <c r="H544" s="1" t="str">
        <f t="shared" si="100"/>
        <v/>
      </c>
      <c r="K544" s="1" t="str">
        <f t="shared" si="101"/>
        <v/>
      </c>
      <c r="L544" s="1" t="str">
        <f t="shared" si="102"/>
        <v/>
      </c>
      <c r="M544" s="1" t="str">
        <f t="shared" si="103"/>
        <v/>
      </c>
      <c r="N544" s="1" t="str">
        <f t="shared" si="104"/>
        <v/>
      </c>
      <c r="O544" s="1" t="str">
        <f t="shared" si="105"/>
        <v/>
      </c>
      <c r="P544" s="1" t="str">
        <f t="shared" si="106"/>
        <v/>
      </c>
      <c r="R544" s="1" t="str">
        <f t="shared" si="107"/>
        <v/>
      </c>
    </row>
    <row r="545" spans="1:18" x14ac:dyDescent="0.2">
      <c r="A545" t="str">
        <f>IF(COUNTBLANK(B545:R545)&lt;&gt;COLUMNS(B545:R545),544,"")</f>
        <v/>
      </c>
      <c r="D545" s="1" t="str">
        <f t="shared" si="96"/>
        <v/>
      </c>
      <c r="E545" s="2" t="str">
        <f t="shared" si="97"/>
        <v/>
      </c>
      <c r="F545" s="1" t="str">
        <f t="shared" si="98"/>
        <v/>
      </c>
      <c r="G545" s="1" t="str">
        <f t="shared" si="99"/>
        <v/>
      </c>
      <c r="H545" s="1" t="str">
        <f t="shared" si="100"/>
        <v/>
      </c>
      <c r="K545" s="1" t="str">
        <f t="shared" si="101"/>
        <v/>
      </c>
      <c r="L545" s="1" t="str">
        <f t="shared" si="102"/>
        <v/>
      </c>
      <c r="M545" s="1" t="str">
        <f t="shared" si="103"/>
        <v/>
      </c>
      <c r="N545" s="1" t="str">
        <f t="shared" si="104"/>
        <v/>
      </c>
      <c r="O545" s="1" t="str">
        <f t="shared" si="105"/>
        <v/>
      </c>
      <c r="P545" s="1" t="str">
        <f t="shared" si="106"/>
        <v/>
      </c>
      <c r="R545" s="1" t="str">
        <f t="shared" si="107"/>
        <v/>
      </c>
    </row>
    <row r="546" spans="1:18" x14ac:dyDescent="0.2">
      <c r="A546" t="str">
        <f>IF(COUNTBLANK(B546:R546)&lt;&gt;COLUMNS(B546:R546),545,"")</f>
        <v/>
      </c>
      <c r="D546" s="1" t="str">
        <f t="shared" si="96"/>
        <v/>
      </c>
      <c r="E546" s="2" t="str">
        <f t="shared" si="97"/>
        <v/>
      </c>
      <c r="F546" s="1" t="str">
        <f t="shared" si="98"/>
        <v/>
      </c>
      <c r="G546" s="1" t="str">
        <f t="shared" si="99"/>
        <v/>
      </c>
      <c r="H546" s="1" t="str">
        <f t="shared" si="100"/>
        <v/>
      </c>
      <c r="K546" s="1" t="str">
        <f t="shared" si="101"/>
        <v/>
      </c>
      <c r="L546" s="1" t="str">
        <f t="shared" si="102"/>
        <v/>
      </c>
      <c r="M546" s="1" t="str">
        <f t="shared" si="103"/>
        <v/>
      </c>
      <c r="N546" s="1" t="str">
        <f t="shared" si="104"/>
        <v/>
      </c>
      <c r="O546" s="1" t="str">
        <f t="shared" si="105"/>
        <v/>
      </c>
      <c r="P546" s="1" t="str">
        <f t="shared" si="106"/>
        <v/>
      </c>
      <c r="R546" s="1" t="str">
        <f t="shared" si="107"/>
        <v/>
      </c>
    </row>
    <row r="547" spans="1:18" x14ac:dyDescent="0.2">
      <c r="A547" t="str">
        <f>IF(COUNTBLANK(B547:R547)&lt;&gt;COLUMNS(B547:R547),546,"")</f>
        <v/>
      </c>
      <c r="D547" s="1" t="str">
        <f t="shared" si="96"/>
        <v/>
      </c>
      <c r="E547" s="2" t="str">
        <f t="shared" si="97"/>
        <v/>
      </c>
      <c r="F547" s="1" t="str">
        <f t="shared" si="98"/>
        <v/>
      </c>
      <c r="G547" s="1" t="str">
        <f t="shared" si="99"/>
        <v/>
      </c>
      <c r="H547" s="1" t="str">
        <f t="shared" si="100"/>
        <v/>
      </c>
      <c r="K547" s="1" t="str">
        <f t="shared" si="101"/>
        <v/>
      </c>
      <c r="L547" s="1" t="str">
        <f t="shared" si="102"/>
        <v/>
      </c>
      <c r="M547" s="1" t="str">
        <f t="shared" si="103"/>
        <v/>
      </c>
      <c r="N547" s="1" t="str">
        <f t="shared" si="104"/>
        <v/>
      </c>
      <c r="O547" s="1" t="str">
        <f t="shared" si="105"/>
        <v/>
      </c>
      <c r="P547" s="1" t="str">
        <f t="shared" si="106"/>
        <v/>
      </c>
      <c r="R547" s="1" t="str">
        <f t="shared" si="107"/>
        <v/>
      </c>
    </row>
    <row r="548" spans="1:18" x14ac:dyDescent="0.2">
      <c r="A548" t="str">
        <f>IF(COUNTBLANK(B548:R548)&lt;&gt;COLUMNS(B548:R548),547,"")</f>
        <v/>
      </c>
      <c r="D548" s="1" t="str">
        <f t="shared" si="96"/>
        <v/>
      </c>
      <c r="E548" s="2" t="str">
        <f t="shared" si="97"/>
        <v/>
      </c>
      <c r="F548" s="1" t="str">
        <f t="shared" si="98"/>
        <v/>
      </c>
      <c r="G548" s="1" t="str">
        <f t="shared" si="99"/>
        <v/>
      </c>
      <c r="H548" s="1" t="str">
        <f t="shared" si="100"/>
        <v/>
      </c>
      <c r="K548" s="1" t="str">
        <f t="shared" si="101"/>
        <v/>
      </c>
      <c r="L548" s="1" t="str">
        <f t="shared" si="102"/>
        <v/>
      </c>
      <c r="M548" s="1" t="str">
        <f t="shared" si="103"/>
        <v/>
      </c>
      <c r="N548" s="1" t="str">
        <f t="shared" si="104"/>
        <v/>
      </c>
      <c r="O548" s="1" t="str">
        <f t="shared" si="105"/>
        <v/>
      </c>
      <c r="P548" s="1" t="str">
        <f t="shared" si="106"/>
        <v/>
      </c>
      <c r="R548" s="1" t="str">
        <f t="shared" si="107"/>
        <v/>
      </c>
    </row>
    <row r="549" spans="1:18" x14ac:dyDescent="0.2">
      <c r="A549" t="str">
        <f>IF(COUNTBLANK(B549:R549)&lt;&gt;COLUMNS(B549:R549),548,"")</f>
        <v/>
      </c>
      <c r="D549" s="1" t="str">
        <f t="shared" si="96"/>
        <v/>
      </c>
      <c r="E549" s="2" t="str">
        <f t="shared" si="97"/>
        <v/>
      </c>
      <c r="F549" s="1" t="str">
        <f t="shared" si="98"/>
        <v/>
      </c>
      <c r="G549" s="1" t="str">
        <f t="shared" si="99"/>
        <v/>
      </c>
      <c r="H549" s="1" t="str">
        <f t="shared" si="100"/>
        <v/>
      </c>
      <c r="K549" s="1" t="str">
        <f t="shared" si="101"/>
        <v/>
      </c>
      <c r="L549" s="1" t="str">
        <f t="shared" si="102"/>
        <v/>
      </c>
      <c r="M549" s="1" t="str">
        <f t="shared" si="103"/>
        <v/>
      </c>
      <c r="N549" s="1" t="str">
        <f t="shared" si="104"/>
        <v/>
      </c>
      <c r="O549" s="1" t="str">
        <f t="shared" si="105"/>
        <v/>
      </c>
      <c r="P549" s="1" t="str">
        <f t="shared" si="106"/>
        <v/>
      </c>
      <c r="R549" s="1" t="str">
        <f t="shared" si="107"/>
        <v/>
      </c>
    </row>
    <row r="550" spans="1:18" x14ac:dyDescent="0.2">
      <c r="A550" t="str">
        <f>IF(COUNTBLANK(B550:R550)&lt;&gt;COLUMNS(B550:R550),549,"")</f>
        <v/>
      </c>
      <c r="D550" s="1" t="str">
        <f t="shared" si="96"/>
        <v/>
      </c>
      <c r="E550" s="2" t="str">
        <f t="shared" si="97"/>
        <v/>
      </c>
      <c r="F550" s="1" t="str">
        <f t="shared" si="98"/>
        <v/>
      </c>
      <c r="G550" s="1" t="str">
        <f t="shared" si="99"/>
        <v/>
      </c>
      <c r="H550" s="1" t="str">
        <f t="shared" si="100"/>
        <v/>
      </c>
      <c r="K550" s="1" t="str">
        <f t="shared" si="101"/>
        <v/>
      </c>
      <c r="L550" s="1" t="str">
        <f t="shared" si="102"/>
        <v/>
      </c>
      <c r="M550" s="1" t="str">
        <f t="shared" si="103"/>
        <v/>
      </c>
      <c r="N550" s="1" t="str">
        <f t="shared" si="104"/>
        <v/>
      </c>
      <c r="O550" s="1" t="str">
        <f t="shared" si="105"/>
        <v/>
      </c>
      <c r="P550" s="1" t="str">
        <f t="shared" si="106"/>
        <v/>
      </c>
      <c r="R550" s="1" t="str">
        <f t="shared" si="107"/>
        <v/>
      </c>
    </row>
    <row r="551" spans="1:18" x14ac:dyDescent="0.2">
      <c r="A551" t="str">
        <f>IF(COUNTBLANK(B551:R551)&lt;&gt;COLUMNS(B551:R551),550,"")</f>
        <v/>
      </c>
      <c r="D551" s="1" t="str">
        <f t="shared" si="96"/>
        <v/>
      </c>
      <c r="E551" s="2" t="str">
        <f t="shared" si="97"/>
        <v/>
      </c>
      <c r="F551" s="1" t="str">
        <f t="shared" si="98"/>
        <v/>
      </c>
      <c r="G551" s="1" t="str">
        <f t="shared" si="99"/>
        <v/>
      </c>
      <c r="H551" s="1" t="str">
        <f t="shared" si="100"/>
        <v/>
      </c>
      <c r="K551" s="1" t="str">
        <f t="shared" si="101"/>
        <v/>
      </c>
      <c r="L551" s="1" t="str">
        <f t="shared" si="102"/>
        <v/>
      </c>
      <c r="M551" s="1" t="str">
        <f t="shared" si="103"/>
        <v/>
      </c>
      <c r="N551" s="1" t="str">
        <f t="shared" si="104"/>
        <v/>
      </c>
      <c r="O551" s="1" t="str">
        <f t="shared" si="105"/>
        <v/>
      </c>
      <c r="P551" s="1" t="str">
        <f t="shared" si="106"/>
        <v/>
      </c>
      <c r="R551" s="1" t="str">
        <f t="shared" si="107"/>
        <v/>
      </c>
    </row>
    <row r="552" spans="1:18" x14ac:dyDescent="0.2">
      <c r="A552" t="str">
        <f>IF(COUNTBLANK(B552:R552)&lt;&gt;COLUMNS(B552:R552),551,"")</f>
        <v/>
      </c>
      <c r="D552" s="1" t="str">
        <f t="shared" si="96"/>
        <v/>
      </c>
      <c r="E552" s="2" t="str">
        <f t="shared" si="97"/>
        <v/>
      </c>
      <c r="F552" s="1" t="str">
        <f t="shared" si="98"/>
        <v/>
      </c>
      <c r="G552" s="1" t="str">
        <f t="shared" si="99"/>
        <v/>
      </c>
      <c r="H552" s="1" t="str">
        <f t="shared" si="100"/>
        <v/>
      </c>
      <c r="K552" s="1" t="str">
        <f t="shared" si="101"/>
        <v/>
      </c>
      <c r="L552" s="1" t="str">
        <f t="shared" si="102"/>
        <v/>
      </c>
      <c r="M552" s="1" t="str">
        <f t="shared" si="103"/>
        <v/>
      </c>
      <c r="N552" s="1" t="str">
        <f t="shared" si="104"/>
        <v/>
      </c>
      <c r="O552" s="1" t="str">
        <f t="shared" si="105"/>
        <v/>
      </c>
      <c r="P552" s="1" t="str">
        <f t="shared" si="106"/>
        <v/>
      </c>
      <c r="R552" s="1" t="str">
        <f t="shared" si="107"/>
        <v/>
      </c>
    </row>
    <row r="553" spans="1:18" x14ac:dyDescent="0.2">
      <c r="A553" t="str">
        <f>IF(COUNTBLANK(B553:R553)&lt;&gt;COLUMNS(B553:R553),552,"")</f>
        <v/>
      </c>
      <c r="D553" s="1" t="str">
        <f t="shared" si="96"/>
        <v/>
      </c>
      <c r="E553" s="2" t="str">
        <f t="shared" si="97"/>
        <v/>
      </c>
      <c r="F553" s="1" t="str">
        <f t="shared" si="98"/>
        <v/>
      </c>
      <c r="G553" s="1" t="str">
        <f t="shared" si="99"/>
        <v/>
      </c>
      <c r="H553" s="1" t="str">
        <f t="shared" si="100"/>
        <v/>
      </c>
      <c r="K553" s="1" t="str">
        <f t="shared" si="101"/>
        <v/>
      </c>
      <c r="L553" s="1" t="str">
        <f t="shared" si="102"/>
        <v/>
      </c>
      <c r="M553" s="1" t="str">
        <f t="shared" si="103"/>
        <v/>
      </c>
      <c r="N553" s="1" t="str">
        <f t="shared" si="104"/>
        <v/>
      </c>
      <c r="O553" s="1" t="str">
        <f t="shared" si="105"/>
        <v/>
      </c>
      <c r="P553" s="1" t="str">
        <f t="shared" si="106"/>
        <v/>
      </c>
      <c r="R553" s="1" t="str">
        <f t="shared" si="107"/>
        <v/>
      </c>
    </row>
    <row r="554" spans="1:18" x14ac:dyDescent="0.2">
      <c r="A554" t="str">
        <f>IF(COUNTBLANK(B554:R554)&lt;&gt;COLUMNS(B554:R554),553,"")</f>
        <v/>
      </c>
      <c r="D554" s="1" t="str">
        <f t="shared" si="96"/>
        <v/>
      </c>
      <c r="E554" s="2" t="str">
        <f t="shared" si="97"/>
        <v/>
      </c>
      <c r="F554" s="1" t="str">
        <f t="shared" si="98"/>
        <v/>
      </c>
      <c r="G554" s="1" t="str">
        <f t="shared" si="99"/>
        <v/>
      </c>
      <c r="H554" s="1" t="str">
        <f t="shared" si="100"/>
        <v/>
      </c>
      <c r="K554" s="1" t="str">
        <f t="shared" si="101"/>
        <v/>
      </c>
      <c r="L554" s="1" t="str">
        <f t="shared" si="102"/>
        <v/>
      </c>
      <c r="M554" s="1" t="str">
        <f t="shared" si="103"/>
        <v/>
      </c>
      <c r="N554" s="1" t="str">
        <f t="shared" si="104"/>
        <v/>
      </c>
      <c r="O554" s="1" t="str">
        <f t="shared" si="105"/>
        <v/>
      </c>
      <c r="P554" s="1" t="str">
        <f t="shared" si="106"/>
        <v/>
      </c>
      <c r="R554" s="1" t="str">
        <f t="shared" si="107"/>
        <v/>
      </c>
    </row>
    <row r="555" spans="1:18" x14ac:dyDescent="0.2">
      <c r="A555" t="str">
        <f>IF(COUNTBLANK(B555:R555)&lt;&gt;COLUMNS(B555:R555),554,"")</f>
        <v/>
      </c>
      <c r="D555" s="1" t="str">
        <f t="shared" si="96"/>
        <v/>
      </c>
      <c r="E555" s="2" t="str">
        <f t="shared" si="97"/>
        <v/>
      </c>
      <c r="F555" s="1" t="str">
        <f t="shared" si="98"/>
        <v/>
      </c>
      <c r="G555" s="1" t="str">
        <f t="shared" si="99"/>
        <v/>
      </c>
      <c r="H555" s="1" t="str">
        <f t="shared" si="100"/>
        <v/>
      </c>
      <c r="K555" s="1" t="str">
        <f t="shared" si="101"/>
        <v/>
      </c>
      <c r="L555" s="1" t="str">
        <f t="shared" si="102"/>
        <v/>
      </c>
      <c r="M555" s="1" t="str">
        <f t="shared" si="103"/>
        <v/>
      </c>
      <c r="N555" s="1" t="str">
        <f t="shared" si="104"/>
        <v/>
      </c>
      <c r="O555" s="1" t="str">
        <f t="shared" si="105"/>
        <v/>
      </c>
      <c r="P555" s="1" t="str">
        <f t="shared" si="106"/>
        <v/>
      </c>
      <c r="R555" s="1" t="str">
        <f t="shared" si="107"/>
        <v/>
      </c>
    </row>
    <row r="556" spans="1:18" x14ac:dyDescent="0.2">
      <c r="A556" t="str">
        <f>IF(COUNTBLANK(B556:R556)&lt;&gt;COLUMNS(B556:R556),555,"")</f>
        <v/>
      </c>
      <c r="D556" s="1" t="str">
        <f t="shared" si="96"/>
        <v/>
      </c>
      <c r="E556" s="2" t="str">
        <f t="shared" si="97"/>
        <v/>
      </c>
      <c r="F556" s="1" t="str">
        <f t="shared" si="98"/>
        <v/>
      </c>
      <c r="G556" s="1" t="str">
        <f t="shared" si="99"/>
        <v/>
      </c>
      <c r="H556" s="1" t="str">
        <f t="shared" si="100"/>
        <v/>
      </c>
      <c r="K556" s="1" t="str">
        <f t="shared" si="101"/>
        <v/>
      </c>
      <c r="L556" s="1" t="str">
        <f t="shared" si="102"/>
        <v/>
      </c>
      <c r="M556" s="1" t="str">
        <f t="shared" si="103"/>
        <v/>
      </c>
      <c r="N556" s="1" t="str">
        <f t="shared" si="104"/>
        <v/>
      </c>
      <c r="O556" s="1" t="str">
        <f t="shared" si="105"/>
        <v/>
      </c>
      <c r="P556" s="1" t="str">
        <f t="shared" si="106"/>
        <v/>
      </c>
      <c r="R556" s="1" t="str">
        <f t="shared" si="107"/>
        <v/>
      </c>
    </row>
    <row r="557" spans="1:18" x14ac:dyDescent="0.2">
      <c r="A557" t="str">
        <f>IF(COUNTBLANK(B557:R557)&lt;&gt;COLUMNS(B557:R557),556,"")</f>
        <v/>
      </c>
      <c r="D557" s="1" t="str">
        <f t="shared" si="96"/>
        <v/>
      </c>
      <c r="E557" s="2" t="str">
        <f t="shared" si="97"/>
        <v/>
      </c>
      <c r="F557" s="1" t="str">
        <f t="shared" si="98"/>
        <v/>
      </c>
      <c r="G557" s="1" t="str">
        <f t="shared" si="99"/>
        <v/>
      </c>
      <c r="H557" s="1" t="str">
        <f t="shared" si="100"/>
        <v/>
      </c>
      <c r="K557" s="1" t="str">
        <f t="shared" si="101"/>
        <v/>
      </c>
      <c r="L557" s="1" t="str">
        <f t="shared" si="102"/>
        <v/>
      </c>
      <c r="M557" s="1" t="str">
        <f t="shared" si="103"/>
        <v/>
      </c>
      <c r="N557" s="1" t="str">
        <f t="shared" si="104"/>
        <v/>
      </c>
      <c r="O557" s="1" t="str">
        <f t="shared" si="105"/>
        <v/>
      </c>
      <c r="P557" s="1" t="str">
        <f t="shared" si="106"/>
        <v/>
      </c>
      <c r="R557" s="1" t="str">
        <f t="shared" si="107"/>
        <v/>
      </c>
    </row>
    <row r="558" spans="1:18" x14ac:dyDescent="0.2">
      <c r="A558" t="str">
        <f>IF(COUNTBLANK(B558:R558)&lt;&gt;COLUMNS(B558:R558),557,"")</f>
        <v/>
      </c>
      <c r="D558" s="1" t="str">
        <f t="shared" si="96"/>
        <v/>
      </c>
      <c r="E558" s="2" t="str">
        <f t="shared" si="97"/>
        <v/>
      </c>
      <c r="F558" s="1" t="str">
        <f t="shared" si="98"/>
        <v/>
      </c>
      <c r="G558" s="1" t="str">
        <f t="shared" si="99"/>
        <v/>
      </c>
      <c r="H558" s="1" t="str">
        <f t="shared" si="100"/>
        <v/>
      </c>
      <c r="K558" s="1" t="str">
        <f t="shared" si="101"/>
        <v/>
      </c>
      <c r="L558" s="1" t="str">
        <f t="shared" si="102"/>
        <v/>
      </c>
      <c r="M558" s="1" t="str">
        <f t="shared" si="103"/>
        <v/>
      </c>
      <c r="N558" s="1" t="str">
        <f t="shared" si="104"/>
        <v/>
      </c>
      <c r="O558" s="1" t="str">
        <f t="shared" si="105"/>
        <v/>
      </c>
      <c r="P558" s="1" t="str">
        <f t="shared" si="106"/>
        <v/>
      </c>
      <c r="R558" s="1" t="str">
        <f t="shared" si="107"/>
        <v/>
      </c>
    </row>
    <row r="559" spans="1:18" x14ac:dyDescent="0.2">
      <c r="A559" t="str">
        <f>IF(COUNTBLANK(B559:R559)&lt;&gt;COLUMNS(B559:R559),558,"")</f>
        <v/>
      </c>
      <c r="D559" s="1" t="str">
        <f t="shared" si="96"/>
        <v/>
      </c>
      <c r="E559" s="2" t="str">
        <f t="shared" si="97"/>
        <v/>
      </c>
      <c r="F559" s="1" t="str">
        <f t="shared" si="98"/>
        <v/>
      </c>
      <c r="G559" s="1" t="str">
        <f t="shared" si="99"/>
        <v/>
      </c>
      <c r="H559" s="1" t="str">
        <f t="shared" si="100"/>
        <v/>
      </c>
      <c r="K559" s="1" t="str">
        <f t="shared" si="101"/>
        <v/>
      </c>
      <c r="L559" s="1" t="str">
        <f t="shared" si="102"/>
        <v/>
      </c>
      <c r="M559" s="1" t="str">
        <f t="shared" si="103"/>
        <v/>
      </c>
      <c r="N559" s="1" t="str">
        <f t="shared" si="104"/>
        <v/>
      </c>
      <c r="O559" s="1" t="str">
        <f t="shared" si="105"/>
        <v/>
      </c>
      <c r="P559" s="1" t="str">
        <f t="shared" si="106"/>
        <v/>
      </c>
      <c r="R559" s="1" t="str">
        <f t="shared" si="107"/>
        <v/>
      </c>
    </row>
    <row r="560" spans="1:18" x14ac:dyDescent="0.2">
      <c r="A560" t="str">
        <f>IF(COUNTBLANK(B560:R560)&lt;&gt;COLUMNS(B560:R560),559,"")</f>
        <v/>
      </c>
      <c r="D560" s="1" t="str">
        <f t="shared" si="96"/>
        <v/>
      </c>
      <c r="E560" s="2" t="str">
        <f t="shared" si="97"/>
        <v/>
      </c>
      <c r="F560" s="1" t="str">
        <f t="shared" si="98"/>
        <v/>
      </c>
      <c r="G560" s="1" t="str">
        <f t="shared" si="99"/>
        <v/>
      </c>
      <c r="H560" s="1" t="str">
        <f t="shared" si="100"/>
        <v/>
      </c>
      <c r="K560" s="1" t="str">
        <f t="shared" si="101"/>
        <v/>
      </c>
      <c r="L560" s="1" t="str">
        <f t="shared" si="102"/>
        <v/>
      </c>
      <c r="M560" s="1" t="str">
        <f t="shared" si="103"/>
        <v/>
      </c>
      <c r="N560" s="1" t="str">
        <f t="shared" si="104"/>
        <v/>
      </c>
      <c r="O560" s="1" t="str">
        <f t="shared" si="105"/>
        <v/>
      </c>
      <c r="P560" s="1" t="str">
        <f t="shared" si="106"/>
        <v/>
      </c>
      <c r="R560" s="1" t="str">
        <f t="shared" si="107"/>
        <v/>
      </c>
    </row>
    <row r="561" spans="1:18" x14ac:dyDescent="0.2">
      <c r="A561" t="str">
        <f>IF(COUNTBLANK(B561:R561)&lt;&gt;COLUMNS(B561:R561),560,"")</f>
        <v/>
      </c>
      <c r="D561" s="1" t="str">
        <f t="shared" si="96"/>
        <v/>
      </c>
      <c r="E561" s="2" t="str">
        <f t="shared" si="97"/>
        <v/>
      </c>
      <c r="F561" s="1" t="str">
        <f t="shared" si="98"/>
        <v/>
      </c>
      <c r="G561" s="1" t="str">
        <f t="shared" si="99"/>
        <v/>
      </c>
      <c r="H561" s="1" t="str">
        <f t="shared" si="100"/>
        <v/>
      </c>
      <c r="K561" s="1" t="str">
        <f t="shared" si="101"/>
        <v/>
      </c>
      <c r="L561" s="1" t="str">
        <f t="shared" si="102"/>
        <v/>
      </c>
      <c r="M561" s="1" t="str">
        <f t="shared" si="103"/>
        <v/>
      </c>
      <c r="N561" s="1" t="str">
        <f t="shared" si="104"/>
        <v/>
      </c>
      <c r="O561" s="1" t="str">
        <f t="shared" si="105"/>
        <v/>
      </c>
      <c r="P561" s="1" t="str">
        <f t="shared" si="106"/>
        <v/>
      </c>
      <c r="R561" s="1" t="str">
        <f t="shared" si="107"/>
        <v/>
      </c>
    </row>
    <row r="562" spans="1:18" x14ac:dyDescent="0.2">
      <c r="A562" t="str">
        <f>IF(COUNTBLANK(B562:R562)&lt;&gt;COLUMNS(B562:R562),561,"")</f>
        <v/>
      </c>
      <c r="D562" s="1" t="str">
        <f t="shared" si="96"/>
        <v/>
      </c>
      <c r="E562" s="2" t="str">
        <f t="shared" si="97"/>
        <v/>
      </c>
      <c r="F562" s="1" t="str">
        <f t="shared" si="98"/>
        <v/>
      </c>
      <c r="G562" s="1" t="str">
        <f t="shared" si="99"/>
        <v/>
      </c>
      <c r="H562" s="1" t="str">
        <f t="shared" si="100"/>
        <v/>
      </c>
      <c r="K562" s="1" t="str">
        <f t="shared" si="101"/>
        <v/>
      </c>
      <c r="L562" s="1" t="str">
        <f t="shared" si="102"/>
        <v/>
      </c>
      <c r="M562" s="1" t="str">
        <f t="shared" si="103"/>
        <v/>
      </c>
      <c r="N562" s="1" t="str">
        <f t="shared" si="104"/>
        <v/>
      </c>
      <c r="O562" s="1" t="str">
        <f t="shared" si="105"/>
        <v/>
      </c>
      <c r="P562" s="1" t="str">
        <f t="shared" si="106"/>
        <v/>
      </c>
      <c r="R562" s="1" t="str">
        <f t="shared" si="107"/>
        <v/>
      </c>
    </row>
    <row r="563" spans="1:18" x14ac:dyDescent="0.2">
      <c r="A563" t="str">
        <f>IF(COUNTBLANK(B563:R563)&lt;&gt;COLUMNS(B563:R563),562,"")</f>
        <v/>
      </c>
      <c r="D563" s="1" t="str">
        <f t="shared" si="96"/>
        <v/>
      </c>
      <c r="E563" s="2" t="str">
        <f t="shared" si="97"/>
        <v/>
      </c>
      <c r="F563" s="1" t="str">
        <f t="shared" si="98"/>
        <v/>
      </c>
      <c r="G563" s="1" t="str">
        <f t="shared" si="99"/>
        <v/>
      </c>
      <c r="H563" s="1" t="str">
        <f t="shared" si="100"/>
        <v/>
      </c>
      <c r="K563" s="1" t="str">
        <f t="shared" si="101"/>
        <v/>
      </c>
      <c r="L563" s="1" t="str">
        <f t="shared" si="102"/>
        <v/>
      </c>
      <c r="M563" s="1" t="str">
        <f t="shared" si="103"/>
        <v/>
      </c>
      <c r="N563" s="1" t="str">
        <f t="shared" si="104"/>
        <v/>
      </c>
      <c r="O563" s="1" t="str">
        <f t="shared" si="105"/>
        <v/>
      </c>
      <c r="P563" s="1" t="str">
        <f t="shared" si="106"/>
        <v/>
      </c>
      <c r="R563" s="1" t="str">
        <f t="shared" si="107"/>
        <v/>
      </c>
    </row>
    <row r="564" spans="1:18" x14ac:dyDescent="0.2">
      <c r="A564" t="str">
        <f>IF(COUNTBLANK(B564:R564)&lt;&gt;COLUMNS(B564:R564),563,"")</f>
        <v/>
      </c>
      <c r="D564" s="1" t="str">
        <f t="shared" si="96"/>
        <v/>
      </c>
      <c r="E564" s="2" t="str">
        <f t="shared" si="97"/>
        <v/>
      </c>
      <c r="F564" s="1" t="str">
        <f t="shared" si="98"/>
        <v/>
      </c>
      <c r="G564" s="1" t="str">
        <f t="shared" si="99"/>
        <v/>
      </c>
      <c r="H564" s="1" t="str">
        <f t="shared" si="100"/>
        <v/>
      </c>
      <c r="K564" s="1" t="str">
        <f t="shared" si="101"/>
        <v/>
      </c>
      <c r="L564" s="1" t="str">
        <f t="shared" si="102"/>
        <v/>
      </c>
      <c r="M564" s="1" t="str">
        <f t="shared" si="103"/>
        <v/>
      </c>
      <c r="N564" s="1" t="str">
        <f t="shared" si="104"/>
        <v/>
      </c>
      <c r="O564" s="1" t="str">
        <f t="shared" si="105"/>
        <v/>
      </c>
      <c r="P564" s="1" t="str">
        <f t="shared" si="106"/>
        <v/>
      </c>
      <c r="R564" s="1" t="str">
        <f t="shared" si="107"/>
        <v/>
      </c>
    </row>
    <row r="565" spans="1:18" x14ac:dyDescent="0.2">
      <c r="A565" t="str">
        <f>IF(COUNTBLANK(B565:R565)&lt;&gt;COLUMNS(B565:R565),564,"")</f>
        <v/>
      </c>
      <c r="D565" s="1" t="str">
        <f t="shared" si="96"/>
        <v/>
      </c>
      <c r="E565" s="2" t="str">
        <f t="shared" si="97"/>
        <v/>
      </c>
      <c r="F565" s="1" t="str">
        <f t="shared" si="98"/>
        <v/>
      </c>
      <c r="G565" s="1" t="str">
        <f t="shared" si="99"/>
        <v/>
      </c>
      <c r="H565" s="1" t="str">
        <f t="shared" si="100"/>
        <v/>
      </c>
      <c r="K565" s="1" t="str">
        <f t="shared" si="101"/>
        <v/>
      </c>
      <c r="L565" s="1" t="str">
        <f t="shared" si="102"/>
        <v/>
      </c>
      <c r="M565" s="1" t="str">
        <f t="shared" si="103"/>
        <v/>
      </c>
      <c r="N565" s="1" t="str">
        <f t="shared" si="104"/>
        <v/>
      </c>
      <c r="O565" s="1" t="str">
        <f t="shared" si="105"/>
        <v/>
      </c>
      <c r="P565" s="1" t="str">
        <f t="shared" si="106"/>
        <v/>
      </c>
      <c r="R565" s="1" t="str">
        <f t="shared" si="107"/>
        <v/>
      </c>
    </row>
    <row r="566" spans="1:18" x14ac:dyDescent="0.2">
      <c r="A566" t="str">
        <f>IF(COUNTBLANK(B566:R566)&lt;&gt;COLUMNS(B566:R566),565,"")</f>
        <v/>
      </c>
      <c r="D566" s="1" t="str">
        <f t="shared" si="96"/>
        <v/>
      </c>
      <c r="E566" s="2" t="str">
        <f t="shared" si="97"/>
        <v/>
      </c>
      <c r="F566" s="1" t="str">
        <f t="shared" si="98"/>
        <v/>
      </c>
      <c r="G566" s="1" t="str">
        <f t="shared" si="99"/>
        <v/>
      </c>
      <c r="H566" s="1" t="str">
        <f t="shared" si="100"/>
        <v/>
      </c>
      <c r="K566" s="1" t="str">
        <f t="shared" si="101"/>
        <v/>
      </c>
      <c r="L566" s="1" t="str">
        <f t="shared" si="102"/>
        <v/>
      </c>
      <c r="M566" s="1" t="str">
        <f t="shared" si="103"/>
        <v/>
      </c>
      <c r="N566" s="1" t="str">
        <f t="shared" si="104"/>
        <v/>
      </c>
      <c r="O566" s="1" t="str">
        <f t="shared" si="105"/>
        <v/>
      </c>
      <c r="P566" s="1" t="str">
        <f t="shared" si="106"/>
        <v/>
      </c>
      <c r="R566" s="1" t="str">
        <f t="shared" si="107"/>
        <v/>
      </c>
    </row>
    <row r="567" spans="1:18" x14ac:dyDescent="0.2">
      <c r="A567" t="str">
        <f>IF(COUNTBLANK(B567:R567)&lt;&gt;COLUMNS(B567:R567),566,"")</f>
        <v/>
      </c>
      <c r="D567" s="1" t="str">
        <f t="shared" si="96"/>
        <v/>
      </c>
      <c r="E567" s="2" t="str">
        <f t="shared" si="97"/>
        <v/>
      </c>
      <c r="F567" s="1" t="str">
        <f t="shared" si="98"/>
        <v/>
      </c>
      <c r="G567" s="1" t="str">
        <f t="shared" si="99"/>
        <v/>
      </c>
      <c r="H567" s="1" t="str">
        <f t="shared" si="100"/>
        <v/>
      </c>
      <c r="K567" s="1" t="str">
        <f t="shared" si="101"/>
        <v/>
      </c>
      <c r="L567" s="1" t="str">
        <f t="shared" si="102"/>
        <v/>
      </c>
      <c r="M567" s="1" t="str">
        <f t="shared" si="103"/>
        <v/>
      </c>
      <c r="N567" s="1" t="str">
        <f t="shared" si="104"/>
        <v/>
      </c>
      <c r="O567" s="1" t="str">
        <f t="shared" si="105"/>
        <v/>
      </c>
      <c r="P567" s="1" t="str">
        <f t="shared" si="106"/>
        <v/>
      </c>
      <c r="R567" s="1" t="str">
        <f t="shared" si="107"/>
        <v/>
      </c>
    </row>
    <row r="568" spans="1:18" x14ac:dyDescent="0.2">
      <c r="A568" t="str">
        <f>IF(COUNTBLANK(B568:R568)&lt;&gt;COLUMNS(B568:R568),567,"")</f>
        <v/>
      </c>
      <c r="D568" s="1" t="str">
        <f t="shared" si="96"/>
        <v/>
      </c>
      <c r="E568" s="2" t="str">
        <f t="shared" si="97"/>
        <v/>
      </c>
      <c r="F568" s="1" t="str">
        <f t="shared" si="98"/>
        <v/>
      </c>
      <c r="G568" s="1" t="str">
        <f t="shared" si="99"/>
        <v/>
      </c>
      <c r="H568" s="1" t="str">
        <f t="shared" si="100"/>
        <v/>
      </c>
      <c r="K568" s="1" t="str">
        <f t="shared" si="101"/>
        <v/>
      </c>
      <c r="L568" s="1" t="str">
        <f t="shared" si="102"/>
        <v/>
      </c>
      <c r="M568" s="1" t="str">
        <f t="shared" si="103"/>
        <v/>
      </c>
      <c r="N568" s="1" t="str">
        <f t="shared" si="104"/>
        <v/>
      </c>
      <c r="O568" s="1" t="str">
        <f t="shared" si="105"/>
        <v/>
      </c>
      <c r="P568" s="1" t="str">
        <f t="shared" si="106"/>
        <v/>
      </c>
      <c r="R568" s="1" t="str">
        <f t="shared" si="107"/>
        <v/>
      </c>
    </row>
    <row r="569" spans="1:18" x14ac:dyDescent="0.2">
      <c r="A569" t="str">
        <f>IF(COUNTBLANK(B569:R569)&lt;&gt;COLUMNS(B569:R569),568,"")</f>
        <v/>
      </c>
      <c r="D569" s="1" t="str">
        <f t="shared" si="96"/>
        <v/>
      </c>
      <c r="E569" s="2" t="str">
        <f t="shared" si="97"/>
        <v/>
      </c>
      <c r="F569" s="1" t="str">
        <f t="shared" si="98"/>
        <v/>
      </c>
      <c r="G569" s="1" t="str">
        <f t="shared" si="99"/>
        <v/>
      </c>
      <c r="H569" s="1" t="str">
        <f t="shared" si="100"/>
        <v/>
      </c>
      <c r="K569" s="1" t="str">
        <f t="shared" si="101"/>
        <v/>
      </c>
      <c r="L569" s="1" t="str">
        <f t="shared" si="102"/>
        <v/>
      </c>
      <c r="M569" s="1" t="str">
        <f t="shared" si="103"/>
        <v/>
      </c>
      <c r="N569" s="1" t="str">
        <f t="shared" si="104"/>
        <v/>
      </c>
      <c r="O569" s="1" t="str">
        <f t="shared" si="105"/>
        <v/>
      </c>
      <c r="P569" s="1" t="str">
        <f t="shared" si="106"/>
        <v/>
      </c>
      <c r="R569" s="1" t="str">
        <f t="shared" si="107"/>
        <v/>
      </c>
    </row>
    <row r="570" spans="1:18" x14ac:dyDescent="0.2">
      <c r="A570" t="str">
        <f>IF(COUNTBLANK(B570:R570)&lt;&gt;COLUMNS(B570:R570),569,"")</f>
        <v/>
      </c>
      <c r="D570" s="1" t="str">
        <f t="shared" si="96"/>
        <v/>
      </c>
      <c r="E570" s="2" t="str">
        <f t="shared" si="97"/>
        <v/>
      </c>
      <c r="F570" s="1" t="str">
        <f t="shared" si="98"/>
        <v/>
      </c>
      <c r="G570" s="1" t="str">
        <f t="shared" si="99"/>
        <v/>
      </c>
      <c r="H570" s="1" t="str">
        <f t="shared" si="100"/>
        <v/>
      </c>
      <c r="K570" s="1" t="str">
        <f t="shared" si="101"/>
        <v/>
      </c>
      <c r="L570" s="1" t="str">
        <f t="shared" si="102"/>
        <v/>
      </c>
      <c r="M570" s="1" t="str">
        <f t="shared" si="103"/>
        <v/>
      </c>
      <c r="N570" s="1" t="str">
        <f t="shared" si="104"/>
        <v/>
      </c>
      <c r="O570" s="1" t="str">
        <f t="shared" si="105"/>
        <v/>
      </c>
      <c r="P570" s="1" t="str">
        <f t="shared" si="106"/>
        <v/>
      </c>
      <c r="R570" s="1" t="str">
        <f t="shared" si="107"/>
        <v/>
      </c>
    </row>
    <row r="571" spans="1:18" x14ac:dyDescent="0.2">
      <c r="A571" t="str">
        <f>IF(COUNTBLANK(B571:R571)&lt;&gt;COLUMNS(B571:R571),570,"")</f>
        <v/>
      </c>
      <c r="D571" s="1" t="str">
        <f t="shared" si="96"/>
        <v/>
      </c>
      <c r="E571" s="2" t="str">
        <f t="shared" si="97"/>
        <v/>
      </c>
      <c r="F571" s="1" t="str">
        <f t="shared" si="98"/>
        <v/>
      </c>
      <c r="G571" s="1" t="str">
        <f t="shared" si="99"/>
        <v/>
      </c>
      <c r="H571" s="1" t="str">
        <f t="shared" si="100"/>
        <v/>
      </c>
      <c r="K571" s="1" t="str">
        <f t="shared" si="101"/>
        <v/>
      </c>
      <c r="L571" s="1" t="str">
        <f t="shared" si="102"/>
        <v/>
      </c>
      <c r="M571" s="1" t="str">
        <f t="shared" si="103"/>
        <v/>
      </c>
      <c r="N571" s="1" t="str">
        <f t="shared" si="104"/>
        <v/>
      </c>
      <c r="O571" s="1" t="str">
        <f t="shared" si="105"/>
        <v/>
      </c>
      <c r="P571" s="1" t="str">
        <f t="shared" si="106"/>
        <v/>
      </c>
      <c r="R571" s="1" t="str">
        <f t="shared" si="107"/>
        <v/>
      </c>
    </row>
    <row r="572" spans="1:18" x14ac:dyDescent="0.2">
      <c r="A572" t="str">
        <f>IF(COUNTBLANK(B572:R572)&lt;&gt;COLUMNS(B572:R572),571,"")</f>
        <v/>
      </c>
      <c r="D572" s="1" t="str">
        <f t="shared" si="96"/>
        <v/>
      </c>
      <c r="E572" s="2" t="str">
        <f t="shared" si="97"/>
        <v/>
      </c>
      <c r="F572" s="1" t="str">
        <f t="shared" si="98"/>
        <v/>
      </c>
      <c r="G572" s="1" t="str">
        <f t="shared" si="99"/>
        <v/>
      </c>
      <c r="H572" s="1" t="str">
        <f t="shared" si="100"/>
        <v/>
      </c>
      <c r="K572" s="1" t="str">
        <f t="shared" si="101"/>
        <v/>
      </c>
      <c r="L572" s="1" t="str">
        <f t="shared" si="102"/>
        <v/>
      </c>
      <c r="M572" s="1" t="str">
        <f t="shared" si="103"/>
        <v/>
      </c>
      <c r="N572" s="1" t="str">
        <f t="shared" si="104"/>
        <v/>
      </c>
      <c r="O572" s="1" t="str">
        <f t="shared" si="105"/>
        <v/>
      </c>
      <c r="P572" s="1" t="str">
        <f t="shared" si="106"/>
        <v/>
      </c>
      <c r="R572" s="1" t="str">
        <f t="shared" si="107"/>
        <v/>
      </c>
    </row>
    <row r="573" spans="1:18" x14ac:dyDescent="0.2">
      <c r="A573" t="str">
        <f>IF(COUNTBLANK(B573:R573)&lt;&gt;COLUMNS(B573:R573),572,"")</f>
        <v/>
      </c>
      <c r="D573" s="1" t="str">
        <f t="shared" si="96"/>
        <v/>
      </c>
      <c r="E573" s="2" t="str">
        <f t="shared" si="97"/>
        <v/>
      </c>
      <c r="F573" s="1" t="str">
        <f t="shared" si="98"/>
        <v/>
      </c>
      <c r="G573" s="1" t="str">
        <f t="shared" si="99"/>
        <v/>
      </c>
      <c r="H573" s="1" t="str">
        <f t="shared" si="100"/>
        <v/>
      </c>
      <c r="K573" s="1" t="str">
        <f t="shared" si="101"/>
        <v/>
      </c>
      <c r="L573" s="1" t="str">
        <f t="shared" si="102"/>
        <v/>
      </c>
      <c r="M573" s="1" t="str">
        <f t="shared" si="103"/>
        <v/>
      </c>
      <c r="N573" s="1" t="str">
        <f t="shared" si="104"/>
        <v/>
      </c>
      <c r="O573" s="1" t="str">
        <f t="shared" si="105"/>
        <v/>
      </c>
      <c r="P573" s="1" t="str">
        <f t="shared" si="106"/>
        <v/>
      </c>
      <c r="R573" s="1" t="str">
        <f t="shared" si="107"/>
        <v/>
      </c>
    </row>
    <row r="574" spans="1:18" x14ac:dyDescent="0.2">
      <c r="A574" t="str">
        <f>IF(COUNTBLANK(B574:R574)&lt;&gt;COLUMNS(B574:R574),573,"")</f>
        <v/>
      </c>
      <c r="D574" s="1" t="str">
        <f t="shared" si="96"/>
        <v/>
      </c>
      <c r="E574" s="2" t="str">
        <f t="shared" si="97"/>
        <v/>
      </c>
      <c r="F574" s="1" t="str">
        <f t="shared" si="98"/>
        <v/>
      </c>
      <c r="G574" s="1" t="str">
        <f t="shared" si="99"/>
        <v/>
      </c>
      <c r="H574" s="1" t="str">
        <f t="shared" si="100"/>
        <v/>
      </c>
      <c r="K574" s="1" t="str">
        <f t="shared" si="101"/>
        <v/>
      </c>
      <c r="L574" s="1" t="str">
        <f t="shared" si="102"/>
        <v/>
      </c>
      <c r="M574" s="1" t="str">
        <f t="shared" si="103"/>
        <v/>
      </c>
      <c r="N574" s="1" t="str">
        <f t="shared" si="104"/>
        <v/>
      </c>
      <c r="O574" s="1" t="str">
        <f t="shared" si="105"/>
        <v/>
      </c>
      <c r="P574" s="1" t="str">
        <f t="shared" si="106"/>
        <v/>
      </c>
      <c r="R574" s="1" t="str">
        <f t="shared" si="107"/>
        <v/>
      </c>
    </row>
    <row r="575" spans="1:18" x14ac:dyDescent="0.2">
      <c r="A575" t="str">
        <f>IF(COUNTBLANK(B575:R575)&lt;&gt;COLUMNS(B575:R575),574,"")</f>
        <v/>
      </c>
      <c r="D575" s="1" t="str">
        <f t="shared" si="96"/>
        <v/>
      </c>
      <c r="E575" s="2" t="str">
        <f t="shared" si="97"/>
        <v/>
      </c>
      <c r="F575" s="1" t="str">
        <f t="shared" si="98"/>
        <v/>
      </c>
      <c r="G575" s="1" t="str">
        <f t="shared" si="99"/>
        <v/>
      </c>
      <c r="H575" s="1" t="str">
        <f t="shared" si="100"/>
        <v/>
      </c>
      <c r="K575" s="1" t="str">
        <f t="shared" si="101"/>
        <v/>
      </c>
      <c r="L575" s="1" t="str">
        <f t="shared" si="102"/>
        <v/>
      </c>
      <c r="M575" s="1" t="str">
        <f t="shared" si="103"/>
        <v/>
      </c>
      <c r="N575" s="1" t="str">
        <f t="shared" si="104"/>
        <v/>
      </c>
      <c r="O575" s="1" t="str">
        <f t="shared" si="105"/>
        <v/>
      </c>
      <c r="P575" s="1" t="str">
        <f t="shared" si="106"/>
        <v/>
      </c>
      <c r="R575" s="1" t="str">
        <f t="shared" si="107"/>
        <v/>
      </c>
    </row>
    <row r="576" spans="1:18" x14ac:dyDescent="0.2">
      <c r="A576" t="str">
        <f>IF(COUNTBLANK(B576:R576)&lt;&gt;COLUMNS(B576:R576),575,"")</f>
        <v/>
      </c>
      <c r="D576" s="1" t="str">
        <f t="shared" si="96"/>
        <v/>
      </c>
      <c r="E576" s="2" t="str">
        <f t="shared" si="97"/>
        <v/>
      </c>
      <c r="F576" s="1" t="str">
        <f t="shared" si="98"/>
        <v/>
      </c>
      <c r="G576" s="1" t="str">
        <f t="shared" si="99"/>
        <v/>
      </c>
      <c r="H576" s="1" t="str">
        <f t="shared" si="100"/>
        <v/>
      </c>
      <c r="K576" s="1" t="str">
        <f t="shared" si="101"/>
        <v/>
      </c>
      <c r="L576" s="1" t="str">
        <f t="shared" si="102"/>
        <v/>
      </c>
      <c r="M576" s="1" t="str">
        <f t="shared" si="103"/>
        <v/>
      </c>
      <c r="N576" s="1" t="str">
        <f t="shared" si="104"/>
        <v/>
      </c>
      <c r="O576" s="1" t="str">
        <f t="shared" si="105"/>
        <v/>
      </c>
      <c r="P576" s="1" t="str">
        <f t="shared" si="106"/>
        <v/>
      </c>
      <c r="R576" s="1" t="str">
        <f t="shared" si="107"/>
        <v/>
      </c>
    </row>
    <row r="577" spans="1:18" x14ac:dyDescent="0.2">
      <c r="A577" t="str">
        <f>IF(COUNTBLANK(B577:R577)&lt;&gt;COLUMNS(B577:R577),576,"")</f>
        <v/>
      </c>
      <c r="D577" s="1" t="str">
        <f t="shared" si="96"/>
        <v/>
      </c>
      <c r="E577" s="2" t="str">
        <f t="shared" si="97"/>
        <v/>
      </c>
      <c r="F577" s="1" t="str">
        <f t="shared" si="98"/>
        <v/>
      </c>
      <c r="G577" s="1" t="str">
        <f t="shared" si="99"/>
        <v/>
      </c>
      <c r="H577" s="1" t="str">
        <f t="shared" si="100"/>
        <v/>
      </c>
      <c r="K577" s="1" t="str">
        <f t="shared" si="101"/>
        <v/>
      </c>
      <c r="L577" s="1" t="str">
        <f t="shared" si="102"/>
        <v/>
      </c>
      <c r="M577" s="1" t="str">
        <f t="shared" si="103"/>
        <v/>
      </c>
      <c r="N577" s="1" t="str">
        <f t="shared" si="104"/>
        <v/>
      </c>
      <c r="O577" s="1" t="str">
        <f t="shared" si="105"/>
        <v/>
      </c>
      <c r="P577" s="1" t="str">
        <f t="shared" si="106"/>
        <v/>
      </c>
      <c r="R577" s="1" t="str">
        <f t="shared" si="107"/>
        <v/>
      </c>
    </row>
    <row r="578" spans="1:18" x14ac:dyDescent="0.2">
      <c r="A578" t="str">
        <f>IF(COUNTBLANK(B578:R578)&lt;&gt;COLUMNS(B578:R578),577,"")</f>
        <v/>
      </c>
      <c r="D578" s="1" t="str">
        <f t="shared" ref="D578:D641" si="108">IF(B578="", "", "years")</f>
        <v/>
      </c>
      <c r="E578" s="2" t="str">
        <f t="shared" ref="E578:E641" si="109">IF(B578="", "", "missing: not provided")</f>
        <v/>
      </c>
      <c r="F578" s="1" t="str">
        <f t="shared" ref="F578:F641" si="110">IF(B578="", "", "Not applicable")</f>
        <v/>
      </c>
      <c r="G578" s="1" t="str">
        <f t="shared" ref="G578:G641" si="111">IF(B578="", "", "urban biome")</f>
        <v/>
      </c>
      <c r="H578" s="1" t="str">
        <f t="shared" ref="H578:H641" si="112">IF(B578="", "", "human-associated habitat")</f>
        <v/>
      </c>
      <c r="K578" s="1" t="str">
        <f t="shared" ref="K578:K641" si="113">IF(B578="", "", "cm")</f>
        <v/>
      </c>
      <c r="L578" s="1" t="str">
        <f t="shared" ref="L578:L641" si="114">IF(B578="", "", "human")</f>
        <v/>
      </c>
      <c r="M578" s="1" t="str">
        <f t="shared" ref="M578:M641" si="115">IF(B578="", "", "Homo sapiens")</f>
        <v/>
      </c>
      <c r="N578" s="1" t="str">
        <f t="shared" ref="N578:N641" si="116">IF(B578="", "", "9606")</f>
        <v/>
      </c>
      <c r="O578" s="1" t="str">
        <f t="shared" ref="O578:O641" si="117">IF(B578="", "", "missing: not provided")</f>
        <v/>
      </c>
      <c r="P578" s="1" t="str">
        <f t="shared" ref="P578:P641" si="118">IF(B578="", "", "missing: not provided")</f>
        <v/>
      </c>
      <c r="R578" s="1" t="str">
        <f t="shared" ref="R578:R641" si="119">IF(B578="", "", "kg")</f>
        <v/>
      </c>
    </row>
    <row r="579" spans="1:18" x14ac:dyDescent="0.2">
      <c r="A579" t="str">
        <f>IF(COUNTBLANK(B579:R579)&lt;&gt;COLUMNS(B579:R579),578,"")</f>
        <v/>
      </c>
      <c r="D579" s="1" t="str">
        <f t="shared" si="108"/>
        <v/>
      </c>
      <c r="E579" s="2" t="str">
        <f t="shared" si="109"/>
        <v/>
      </c>
      <c r="F579" s="1" t="str">
        <f t="shared" si="110"/>
        <v/>
      </c>
      <c r="G579" s="1" t="str">
        <f t="shared" si="111"/>
        <v/>
      </c>
      <c r="H579" s="1" t="str">
        <f t="shared" si="112"/>
        <v/>
      </c>
      <c r="K579" s="1" t="str">
        <f t="shared" si="113"/>
        <v/>
      </c>
      <c r="L579" s="1" t="str">
        <f t="shared" si="114"/>
        <v/>
      </c>
      <c r="M579" s="1" t="str">
        <f t="shared" si="115"/>
        <v/>
      </c>
      <c r="N579" s="1" t="str">
        <f t="shared" si="116"/>
        <v/>
      </c>
      <c r="O579" s="1" t="str">
        <f t="shared" si="117"/>
        <v/>
      </c>
      <c r="P579" s="1" t="str">
        <f t="shared" si="118"/>
        <v/>
      </c>
      <c r="R579" s="1" t="str">
        <f t="shared" si="119"/>
        <v/>
      </c>
    </row>
    <row r="580" spans="1:18" x14ac:dyDescent="0.2">
      <c r="A580" t="str">
        <f>IF(COUNTBLANK(B580:R580)&lt;&gt;COLUMNS(B580:R580),579,"")</f>
        <v/>
      </c>
      <c r="D580" s="1" t="str">
        <f t="shared" si="108"/>
        <v/>
      </c>
      <c r="E580" s="2" t="str">
        <f t="shared" si="109"/>
        <v/>
      </c>
      <c r="F580" s="1" t="str">
        <f t="shared" si="110"/>
        <v/>
      </c>
      <c r="G580" s="1" t="str">
        <f t="shared" si="111"/>
        <v/>
      </c>
      <c r="H580" s="1" t="str">
        <f t="shared" si="112"/>
        <v/>
      </c>
      <c r="K580" s="1" t="str">
        <f t="shared" si="113"/>
        <v/>
      </c>
      <c r="L580" s="1" t="str">
        <f t="shared" si="114"/>
        <v/>
      </c>
      <c r="M580" s="1" t="str">
        <f t="shared" si="115"/>
        <v/>
      </c>
      <c r="N580" s="1" t="str">
        <f t="shared" si="116"/>
        <v/>
      </c>
      <c r="O580" s="1" t="str">
        <f t="shared" si="117"/>
        <v/>
      </c>
      <c r="P580" s="1" t="str">
        <f t="shared" si="118"/>
        <v/>
      </c>
      <c r="R580" s="1" t="str">
        <f t="shared" si="119"/>
        <v/>
      </c>
    </row>
    <row r="581" spans="1:18" x14ac:dyDescent="0.2">
      <c r="A581" t="str">
        <f>IF(COUNTBLANK(B581:R581)&lt;&gt;COLUMNS(B581:R581),580,"")</f>
        <v/>
      </c>
      <c r="D581" s="1" t="str">
        <f t="shared" si="108"/>
        <v/>
      </c>
      <c r="E581" s="2" t="str">
        <f t="shared" si="109"/>
        <v/>
      </c>
      <c r="F581" s="1" t="str">
        <f t="shared" si="110"/>
        <v/>
      </c>
      <c r="G581" s="1" t="str">
        <f t="shared" si="111"/>
        <v/>
      </c>
      <c r="H581" s="1" t="str">
        <f t="shared" si="112"/>
        <v/>
      </c>
      <c r="K581" s="1" t="str">
        <f t="shared" si="113"/>
        <v/>
      </c>
      <c r="L581" s="1" t="str">
        <f t="shared" si="114"/>
        <v/>
      </c>
      <c r="M581" s="1" t="str">
        <f t="shared" si="115"/>
        <v/>
      </c>
      <c r="N581" s="1" t="str">
        <f t="shared" si="116"/>
        <v/>
      </c>
      <c r="O581" s="1" t="str">
        <f t="shared" si="117"/>
        <v/>
      </c>
      <c r="P581" s="1" t="str">
        <f t="shared" si="118"/>
        <v/>
      </c>
      <c r="R581" s="1" t="str">
        <f t="shared" si="119"/>
        <v/>
      </c>
    </row>
    <row r="582" spans="1:18" x14ac:dyDescent="0.2">
      <c r="A582" t="str">
        <f>IF(COUNTBLANK(B582:R582)&lt;&gt;COLUMNS(B582:R582),581,"")</f>
        <v/>
      </c>
      <c r="D582" s="1" t="str">
        <f t="shared" si="108"/>
        <v/>
      </c>
      <c r="E582" s="2" t="str">
        <f t="shared" si="109"/>
        <v/>
      </c>
      <c r="F582" s="1" t="str">
        <f t="shared" si="110"/>
        <v/>
      </c>
      <c r="G582" s="1" t="str">
        <f t="shared" si="111"/>
        <v/>
      </c>
      <c r="H582" s="1" t="str">
        <f t="shared" si="112"/>
        <v/>
      </c>
      <c r="K582" s="1" t="str">
        <f t="shared" si="113"/>
        <v/>
      </c>
      <c r="L582" s="1" t="str">
        <f t="shared" si="114"/>
        <v/>
      </c>
      <c r="M582" s="1" t="str">
        <f t="shared" si="115"/>
        <v/>
      </c>
      <c r="N582" s="1" t="str">
        <f t="shared" si="116"/>
        <v/>
      </c>
      <c r="O582" s="1" t="str">
        <f t="shared" si="117"/>
        <v/>
      </c>
      <c r="P582" s="1" t="str">
        <f t="shared" si="118"/>
        <v/>
      </c>
      <c r="R582" s="1" t="str">
        <f t="shared" si="119"/>
        <v/>
      </c>
    </row>
    <row r="583" spans="1:18" x14ac:dyDescent="0.2">
      <c r="A583" t="str">
        <f>IF(COUNTBLANK(B583:R583)&lt;&gt;COLUMNS(B583:R583),582,"")</f>
        <v/>
      </c>
      <c r="D583" s="1" t="str">
        <f t="shared" si="108"/>
        <v/>
      </c>
      <c r="E583" s="2" t="str">
        <f t="shared" si="109"/>
        <v/>
      </c>
      <c r="F583" s="1" t="str">
        <f t="shared" si="110"/>
        <v/>
      </c>
      <c r="G583" s="1" t="str">
        <f t="shared" si="111"/>
        <v/>
      </c>
      <c r="H583" s="1" t="str">
        <f t="shared" si="112"/>
        <v/>
      </c>
      <c r="K583" s="1" t="str">
        <f t="shared" si="113"/>
        <v/>
      </c>
      <c r="L583" s="1" t="str">
        <f t="shared" si="114"/>
        <v/>
      </c>
      <c r="M583" s="1" t="str">
        <f t="shared" si="115"/>
        <v/>
      </c>
      <c r="N583" s="1" t="str">
        <f t="shared" si="116"/>
        <v/>
      </c>
      <c r="O583" s="1" t="str">
        <f t="shared" si="117"/>
        <v/>
      </c>
      <c r="P583" s="1" t="str">
        <f t="shared" si="118"/>
        <v/>
      </c>
      <c r="R583" s="1" t="str">
        <f t="shared" si="119"/>
        <v/>
      </c>
    </row>
    <row r="584" spans="1:18" x14ac:dyDescent="0.2">
      <c r="A584" t="str">
        <f>IF(COUNTBLANK(B584:R584)&lt;&gt;COLUMNS(B584:R584),583,"")</f>
        <v/>
      </c>
      <c r="D584" s="1" t="str">
        <f t="shared" si="108"/>
        <v/>
      </c>
      <c r="E584" s="2" t="str">
        <f t="shared" si="109"/>
        <v/>
      </c>
      <c r="F584" s="1" t="str">
        <f t="shared" si="110"/>
        <v/>
      </c>
      <c r="G584" s="1" t="str">
        <f t="shared" si="111"/>
        <v/>
      </c>
      <c r="H584" s="1" t="str">
        <f t="shared" si="112"/>
        <v/>
      </c>
      <c r="K584" s="1" t="str">
        <f t="shared" si="113"/>
        <v/>
      </c>
      <c r="L584" s="1" t="str">
        <f t="shared" si="114"/>
        <v/>
      </c>
      <c r="M584" s="1" t="str">
        <f t="shared" si="115"/>
        <v/>
      </c>
      <c r="N584" s="1" t="str">
        <f t="shared" si="116"/>
        <v/>
      </c>
      <c r="O584" s="1" t="str">
        <f t="shared" si="117"/>
        <v/>
      </c>
      <c r="P584" s="1" t="str">
        <f t="shared" si="118"/>
        <v/>
      </c>
      <c r="R584" s="1" t="str">
        <f t="shared" si="119"/>
        <v/>
      </c>
    </row>
    <row r="585" spans="1:18" x14ac:dyDescent="0.2">
      <c r="A585" t="str">
        <f>IF(COUNTBLANK(B585:R585)&lt;&gt;COLUMNS(B585:R585),584,"")</f>
        <v/>
      </c>
      <c r="D585" s="1" t="str">
        <f t="shared" si="108"/>
        <v/>
      </c>
      <c r="E585" s="2" t="str">
        <f t="shared" si="109"/>
        <v/>
      </c>
      <c r="F585" s="1" t="str">
        <f t="shared" si="110"/>
        <v/>
      </c>
      <c r="G585" s="1" t="str">
        <f t="shared" si="111"/>
        <v/>
      </c>
      <c r="H585" s="1" t="str">
        <f t="shared" si="112"/>
        <v/>
      </c>
      <c r="K585" s="1" t="str">
        <f t="shared" si="113"/>
        <v/>
      </c>
      <c r="L585" s="1" t="str">
        <f t="shared" si="114"/>
        <v/>
      </c>
      <c r="M585" s="1" t="str">
        <f t="shared" si="115"/>
        <v/>
      </c>
      <c r="N585" s="1" t="str">
        <f t="shared" si="116"/>
        <v/>
      </c>
      <c r="O585" s="1" t="str">
        <f t="shared" si="117"/>
        <v/>
      </c>
      <c r="P585" s="1" t="str">
        <f t="shared" si="118"/>
        <v/>
      </c>
      <c r="R585" s="1" t="str">
        <f t="shared" si="119"/>
        <v/>
      </c>
    </row>
    <row r="586" spans="1:18" x14ac:dyDescent="0.2">
      <c r="A586" t="str">
        <f>IF(COUNTBLANK(B586:R586)&lt;&gt;COLUMNS(B586:R586),585,"")</f>
        <v/>
      </c>
      <c r="D586" s="1" t="str">
        <f t="shared" si="108"/>
        <v/>
      </c>
      <c r="E586" s="2" t="str">
        <f t="shared" si="109"/>
        <v/>
      </c>
      <c r="F586" s="1" t="str">
        <f t="shared" si="110"/>
        <v/>
      </c>
      <c r="G586" s="1" t="str">
        <f t="shared" si="111"/>
        <v/>
      </c>
      <c r="H586" s="1" t="str">
        <f t="shared" si="112"/>
        <v/>
      </c>
      <c r="K586" s="1" t="str">
        <f t="shared" si="113"/>
        <v/>
      </c>
      <c r="L586" s="1" t="str">
        <f t="shared" si="114"/>
        <v/>
      </c>
      <c r="M586" s="1" t="str">
        <f t="shared" si="115"/>
        <v/>
      </c>
      <c r="N586" s="1" t="str">
        <f t="shared" si="116"/>
        <v/>
      </c>
      <c r="O586" s="1" t="str">
        <f t="shared" si="117"/>
        <v/>
      </c>
      <c r="P586" s="1" t="str">
        <f t="shared" si="118"/>
        <v/>
      </c>
      <c r="R586" s="1" t="str">
        <f t="shared" si="119"/>
        <v/>
      </c>
    </row>
    <row r="587" spans="1:18" x14ac:dyDescent="0.2">
      <c r="A587" t="str">
        <f>IF(COUNTBLANK(B587:R587)&lt;&gt;COLUMNS(B587:R587),586,"")</f>
        <v/>
      </c>
      <c r="D587" s="1" t="str">
        <f t="shared" si="108"/>
        <v/>
      </c>
      <c r="E587" s="2" t="str">
        <f t="shared" si="109"/>
        <v/>
      </c>
      <c r="F587" s="1" t="str">
        <f t="shared" si="110"/>
        <v/>
      </c>
      <c r="G587" s="1" t="str">
        <f t="shared" si="111"/>
        <v/>
      </c>
      <c r="H587" s="1" t="str">
        <f t="shared" si="112"/>
        <v/>
      </c>
      <c r="K587" s="1" t="str">
        <f t="shared" si="113"/>
        <v/>
      </c>
      <c r="L587" s="1" t="str">
        <f t="shared" si="114"/>
        <v/>
      </c>
      <c r="M587" s="1" t="str">
        <f t="shared" si="115"/>
        <v/>
      </c>
      <c r="N587" s="1" t="str">
        <f t="shared" si="116"/>
        <v/>
      </c>
      <c r="O587" s="1" t="str">
        <f t="shared" si="117"/>
        <v/>
      </c>
      <c r="P587" s="1" t="str">
        <f t="shared" si="118"/>
        <v/>
      </c>
      <c r="R587" s="1" t="str">
        <f t="shared" si="119"/>
        <v/>
      </c>
    </row>
    <row r="588" spans="1:18" x14ac:dyDescent="0.2">
      <c r="A588" t="str">
        <f>IF(COUNTBLANK(B588:R588)&lt;&gt;COLUMNS(B588:R588),587,"")</f>
        <v/>
      </c>
      <c r="D588" s="1" t="str">
        <f t="shared" si="108"/>
        <v/>
      </c>
      <c r="E588" s="2" t="str">
        <f t="shared" si="109"/>
        <v/>
      </c>
      <c r="F588" s="1" t="str">
        <f t="shared" si="110"/>
        <v/>
      </c>
      <c r="G588" s="1" t="str">
        <f t="shared" si="111"/>
        <v/>
      </c>
      <c r="H588" s="1" t="str">
        <f t="shared" si="112"/>
        <v/>
      </c>
      <c r="K588" s="1" t="str">
        <f t="shared" si="113"/>
        <v/>
      </c>
      <c r="L588" s="1" t="str">
        <f t="shared" si="114"/>
        <v/>
      </c>
      <c r="M588" s="1" t="str">
        <f t="shared" si="115"/>
        <v/>
      </c>
      <c r="N588" s="1" t="str">
        <f t="shared" si="116"/>
        <v/>
      </c>
      <c r="O588" s="1" t="str">
        <f t="shared" si="117"/>
        <v/>
      </c>
      <c r="P588" s="1" t="str">
        <f t="shared" si="118"/>
        <v/>
      </c>
      <c r="R588" s="1" t="str">
        <f t="shared" si="119"/>
        <v/>
      </c>
    </row>
    <row r="589" spans="1:18" x14ac:dyDescent="0.2">
      <c r="A589" t="str">
        <f>IF(COUNTBLANK(B589:R589)&lt;&gt;COLUMNS(B589:R589),588,"")</f>
        <v/>
      </c>
      <c r="D589" s="1" t="str">
        <f t="shared" si="108"/>
        <v/>
      </c>
      <c r="E589" s="2" t="str">
        <f t="shared" si="109"/>
        <v/>
      </c>
      <c r="F589" s="1" t="str">
        <f t="shared" si="110"/>
        <v/>
      </c>
      <c r="G589" s="1" t="str">
        <f t="shared" si="111"/>
        <v/>
      </c>
      <c r="H589" s="1" t="str">
        <f t="shared" si="112"/>
        <v/>
      </c>
      <c r="K589" s="1" t="str">
        <f t="shared" si="113"/>
        <v/>
      </c>
      <c r="L589" s="1" t="str">
        <f t="shared" si="114"/>
        <v/>
      </c>
      <c r="M589" s="1" t="str">
        <f t="shared" si="115"/>
        <v/>
      </c>
      <c r="N589" s="1" t="str">
        <f t="shared" si="116"/>
        <v/>
      </c>
      <c r="O589" s="1" t="str">
        <f t="shared" si="117"/>
        <v/>
      </c>
      <c r="P589" s="1" t="str">
        <f t="shared" si="118"/>
        <v/>
      </c>
      <c r="R589" s="1" t="str">
        <f t="shared" si="119"/>
        <v/>
      </c>
    </row>
    <row r="590" spans="1:18" x14ac:dyDescent="0.2">
      <c r="A590" t="str">
        <f>IF(COUNTBLANK(B590:R590)&lt;&gt;COLUMNS(B590:R590),589,"")</f>
        <v/>
      </c>
      <c r="D590" s="1" t="str">
        <f t="shared" si="108"/>
        <v/>
      </c>
      <c r="E590" s="2" t="str">
        <f t="shared" si="109"/>
        <v/>
      </c>
      <c r="F590" s="1" t="str">
        <f t="shared" si="110"/>
        <v/>
      </c>
      <c r="G590" s="1" t="str">
        <f t="shared" si="111"/>
        <v/>
      </c>
      <c r="H590" s="1" t="str">
        <f t="shared" si="112"/>
        <v/>
      </c>
      <c r="K590" s="1" t="str">
        <f t="shared" si="113"/>
        <v/>
      </c>
      <c r="L590" s="1" t="str">
        <f t="shared" si="114"/>
        <v/>
      </c>
      <c r="M590" s="1" t="str">
        <f t="shared" si="115"/>
        <v/>
      </c>
      <c r="N590" s="1" t="str">
        <f t="shared" si="116"/>
        <v/>
      </c>
      <c r="O590" s="1" t="str">
        <f t="shared" si="117"/>
        <v/>
      </c>
      <c r="P590" s="1" t="str">
        <f t="shared" si="118"/>
        <v/>
      </c>
      <c r="R590" s="1" t="str">
        <f t="shared" si="119"/>
        <v/>
      </c>
    </row>
    <row r="591" spans="1:18" x14ac:dyDescent="0.2">
      <c r="A591" t="str">
        <f>IF(COUNTBLANK(B591:R591)&lt;&gt;COLUMNS(B591:R591),590,"")</f>
        <v/>
      </c>
      <c r="D591" s="1" t="str">
        <f t="shared" si="108"/>
        <v/>
      </c>
      <c r="E591" s="2" t="str">
        <f t="shared" si="109"/>
        <v/>
      </c>
      <c r="F591" s="1" t="str">
        <f t="shared" si="110"/>
        <v/>
      </c>
      <c r="G591" s="1" t="str">
        <f t="shared" si="111"/>
        <v/>
      </c>
      <c r="H591" s="1" t="str">
        <f t="shared" si="112"/>
        <v/>
      </c>
      <c r="K591" s="1" t="str">
        <f t="shared" si="113"/>
        <v/>
      </c>
      <c r="L591" s="1" t="str">
        <f t="shared" si="114"/>
        <v/>
      </c>
      <c r="M591" s="1" t="str">
        <f t="shared" si="115"/>
        <v/>
      </c>
      <c r="N591" s="1" t="str">
        <f t="shared" si="116"/>
        <v/>
      </c>
      <c r="O591" s="1" t="str">
        <f t="shared" si="117"/>
        <v/>
      </c>
      <c r="P591" s="1" t="str">
        <f t="shared" si="118"/>
        <v/>
      </c>
      <c r="R591" s="1" t="str">
        <f t="shared" si="119"/>
        <v/>
      </c>
    </row>
    <row r="592" spans="1:18" x14ac:dyDescent="0.2">
      <c r="A592" t="str">
        <f>IF(COUNTBLANK(B592:R592)&lt;&gt;COLUMNS(B592:R592),591,"")</f>
        <v/>
      </c>
      <c r="D592" s="1" t="str">
        <f t="shared" si="108"/>
        <v/>
      </c>
      <c r="E592" s="2" t="str">
        <f t="shared" si="109"/>
        <v/>
      </c>
      <c r="F592" s="1" t="str">
        <f t="shared" si="110"/>
        <v/>
      </c>
      <c r="G592" s="1" t="str">
        <f t="shared" si="111"/>
        <v/>
      </c>
      <c r="H592" s="1" t="str">
        <f t="shared" si="112"/>
        <v/>
      </c>
      <c r="K592" s="1" t="str">
        <f t="shared" si="113"/>
        <v/>
      </c>
      <c r="L592" s="1" t="str">
        <f t="shared" si="114"/>
        <v/>
      </c>
      <c r="M592" s="1" t="str">
        <f t="shared" si="115"/>
        <v/>
      </c>
      <c r="N592" s="1" t="str">
        <f t="shared" si="116"/>
        <v/>
      </c>
      <c r="O592" s="1" t="str">
        <f t="shared" si="117"/>
        <v/>
      </c>
      <c r="P592" s="1" t="str">
        <f t="shared" si="118"/>
        <v/>
      </c>
      <c r="R592" s="1" t="str">
        <f t="shared" si="119"/>
        <v/>
      </c>
    </row>
    <row r="593" spans="1:18" x14ac:dyDescent="0.2">
      <c r="A593" t="str">
        <f>IF(COUNTBLANK(B593:R593)&lt;&gt;COLUMNS(B593:R593),592,"")</f>
        <v/>
      </c>
      <c r="D593" s="1" t="str">
        <f t="shared" si="108"/>
        <v/>
      </c>
      <c r="E593" s="2" t="str">
        <f t="shared" si="109"/>
        <v/>
      </c>
      <c r="F593" s="1" t="str">
        <f t="shared" si="110"/>
        <v/>
      </c>
      <c r="G593" s="1" t="str">
        <f t="shared" si="111"/>
        <v/>
      </c>
      <c r="H593" s="1" t="str">
        <f t="shared" si="112"/>
        <v/>
      </c>
      <c r="K593" s="1" t="str">
        <f t="shared" si="113"/>
        <v/>
      </c>
      <c r="L593" s="1" t="str">
        <f t="shared" si="114"/>
        <v/>
      </c>
      <c r="M593" s="1" t="str">
        <f t="shared" si="115"/>
        <v/>
      </c>
      <c r="N593" s="1" t="str">
        <f t="shared" si="116"/>
        <v/>
      </c>
      <c r="O593" s="1" t="str">
        <f t="shared" si="117"/>
        <v/>
      </c>
      <c r="P593" s="1" t="str">
        <f t="shared" si="118"/>
        <v/>
      </c>
      <c r="R593" s="1" t="str">
        <f t="shared" si="119"/>
        <v/>
      </c>
    </row>
    <row r="594" spans="1:18" x14ac:dyDescent="0.2">
      <c r="A594" t="str">
        <f>IF(COUNTBLANK(B594:R594)&lt;&gt;COLUMNS(B594:R594),593,"")</f>
        <v/>
      </c>
      <c r="D594" s="1" t="str">
        <f t="shared" si="108"/>
        <v/>
      </c>
      <c r="E594" s="2" t="str">
        <f t="shared" si="109"/>
        <v/>
      </c>
      <c r="F594" s="1" t="str">
        <f t="shared" si="110"/>
        <v/>
      </c>
      <c r="G594" s="1" t="str">
        <f t="shared" si="111"/>
        <v/>
      </c>
      <c r="H594" s="1" t="str">
        <f t="shared" si="112"/>
        <v/>
      </c>
      <c r="K594" s="1" t="str">
        <f t="shared" si="113"/>
        <v/>
      </c>
      <c r="L594" s="1" t="str">
        <f t="shared" si="114"/>
        <v/>
      </c>
      <c r="M594" s="1" t="str">
        <f t="shared" si="115"/>
        <v/>
      </c>
      <c r="N594" s="1" t="str">
        <f t="shared" si="116"/>
        <v/>
      </c>
      <c r="O594" s="1" t="str">
        <f t="shared" si="117"/>
        <v/>
      </c>
      <c r="P594" s="1" t="str">
        <f t="shared" si="118"/>
        <v/>
      </c>
      <c r="R594" s="1" t="str">
        <f t="shared" si="119"/>
        <v/>
      </c>
    </row>
    <row r="595" spans="1:18" x14ac:dyDescent="0.2">
      <c r="A595" t="str">
        <f>IF(COUNTBLANK(B595:R595)&lt;&gt;COLUMNS(B595:R595),594,"")</f>
        <v/>
      </c>
      <c r="D595" s="1" t="str">
        <f t="shared" si="108"/>
        <v/>
      </c>
      <c r="E595" s="2" t="str">
        <f t="shared" si="109"/>
        <v/>
      </c>
      <c r="F595" s="1" t="str">
        <f t="shared" si="110"/>
        <v/>
      </c>
      <c r="G595" s="1" t="str">
        <f t="shared" si="111"/>
        <v/>
      </c>
      <c r="H595" s="1" t="str">
        <f t="shared" si="112"/>
        <v/>
      </c>
      <c r="K595" s="1" t="str">
        <f t="shared" si="113"/>
        <v/>
      </c>
      <c r="L595" s="1" t="str">
        <f t="shared" si="114"/>
        <v/>
      </c>
      <c r="M595" s="1" t="str">
        <f t="shared" si="115"/>
        <v/>
      </c>
      <c r="N595" s="1" t="str">
        <f t="shared" si="116"/>
        <v/>
      </c>
      <c r="O595" s="1" t="str">
        <f t="shared" si="117"/>
        <v/>
      </c>
      <c r="P595" s="1" t="str">
        <f t="shared" si="118"/>
        <v/>
      </c>
      <c r="R595" s="1" t="str">
        <f t="shared" si="119"/>
        <v/>
      </c>
    </row>
    <row r="596" spans="1:18" x14ac:dyDescent="0.2">
      <c r="A596" t="str">
        <f>IF(COUNTBLANK(B596:R596)&lt;&gt;COLUMNS(B596:R596),595,"")</f>
        <v/>
      </c>
      <c r="D596" s="1" t="str">
        <f t="shared" si="108"/>
        <v/>
      </c>
      <c r="E596" s="2" t="str">
        <f t="shared" si="109"/>
        <v/>
      </c>
      <c r="F596" s="1" t="str">
        <f t="shared" si="110"/>
        <v/>
      </c>
      <c r="G596" s="1" t="str">
        <f t="shared" si="111"/>
        <v/>
      </c>
      <c r="H596" s="1" t="str">
        <f t="shared" si="112"/>
        <v/>
      </c>
      <c r="K596" s="1" t="str">
        <f t="shared" si="113"/>
        <v/>
      </c>
      <c r="L596" s="1" t="str">
        <f t="shared" si="114"/>
        <v/>
      </c>
      <c r="M596" s="1" t="str">
        <f t="shared" si="115"/>
        <v/>
      </c>
      <c r="N596" s="1" t="str">
        <f t="shared" si="116"/>
        <v/>
      </c>
      <c r="O596" s="1" t="str">
        <f t="shared" si="117"/>
        <v/>
      </c>
      <c r="P596" s="1" t="str">
        <f t="shared" si="118"/>
        <v/>
      </c>
      <c r="R596" s="1" t="str">
        <f t="shared" si="119"/>
        <v/>
      </c>
    </row>
    <row r="597" spans="1:18" x14ac:dyDescent="0.2">
      <c r="A597" t="str">
        <f>IF(COUNTBLANK(B597:R597)&lt;&gt;COLUMNS(B597:R597),596,"")</f>
        <v/>
      </c>
      <c r="D597" s="1" t="str">
        <f t="shared" si="108"/>
        <v/>
      </c>
      <c r="E597" s="2" t="str">
        <f t="shared" si="109"/>
        <v/>
      </c>
      <c r="F597" s="1" t="str">
        <f t="shared" si="110"/>
        <v/>
      </c>
      <c r="G597" s="1" t="str">
        <f t="shared" si="111"/>
        <v/>
      </c>
      <c r="H597" s="1" t="str">
        <f t="shared" si="112"/>
        <v/>
      </c>
      <c r="K597" s="1" t="str">
        <f t="shared" si="113"/>
        <v/>
      </c>
      <c r="L597" s="1" t="str">
        <f t="shared" si="114"/>
        <v/>
      </c>
      <c r="M597" s="1" t="str">
        <f t="shared" si="115"/>
        <v/>
      </c>
      <c r="N597" s="1" t="str">
        <f t="shared" si="116"/>
        <v/>
      </c>
      <c r="O597" s="1" t="str">
        <f t="shared" si="117"/>
        <v/>
      </c>
      <c r="P597" s="1" t="str">
        <f t="shared" si="118"/>
        <v/>
      </c>
      <c r="R597" s="1" t="str">
        <f t="shared" si="119"/>
        <v/>
      </c>
    </row>
    <row r="598" spans="1:18" x14ac:dyDescent="0.2">
      <c r="A598" t="str">
        <f>IF(COUNTBLANK(B598:R598)&lt;&gt;COLUMNS(B598:R598),597,"")</f>
        <v/>
      </c>
      <c r="D598" s="1" t="str">
        <f t="shared" si="108"/>
        <v/>
      </c>
      <c r="E598" s="2" t="str">
        <f t="shared" si="109"/>
        <v/>
      </c>
      <c r="F598" s="1" t="str">
        <f t="shared" si="110"/>
        <v/>
      </c>
      <c r="G598" s="1" t="str">
        <f t="shared" si="111"/>
        <v/>
      </c>
      <c r="H598" s="1" t="str">
        <f t="shared" si="112"/>
        <v/>
      </c>
      <c r="K598" s="1" t="str">
        <f t="shared" si="113"/>
        <v/>
      </c>
      <c r="L598" s="1" t="str">
        <f t="shared" si="114"/>
        <v/>
      </c>
      <c r="M598" s="1" t="str">
        <f t="shared" si="115"/>
        <v/>
      </c>
      <c r="N598" s="1" t="str">
        <f t="shared" si="116"/>
        <v/>
      </c>
      <c r="O598" s="1" t="str">
        <f t="shared" si="117"/>
        <v/>
      </c>
      <c r="P598" s="1" t="str">
        <f t="shared" si="118"/>
        <v/>
      </c>
      <c r="R598" s="1" t="str">
        <f t="shared" si="119"/>
        <v/>
      </c>
    </row>
    <row r="599" spans="1:18" x14ac:dyDescent="0.2">
      <c r="A599" t="str">
        <f>IF(COUNTBLANK(B599:R599)&lt;&gt;COLUMNS(B599:R599),598,"")</f>
        <v/>
      </c>
      <c r="D599" s="1" t="str">
        <f t="shared" si="108"/>
        <v/>
      </c>
      <c r="E599" s="2" t="str">
        <f t="shared" si="109"/>
        <v/>
      </c>
      <c r="F599" s="1" t="str">
        <f t="shared" si="110"/>
        <v/>
      </c>
      <c r="G599" s="1" t="str">
        <f t="shared" si="111"/>
        <v/>
      </c>
      <c r="H599" s="1" t="str">
        <f t="shared" si="112"/>
        <v/>
      </c>
      <c r="K599" s="1" t="str">
        <f t="shared" si="113"/>
        <v/>
      </c>
      <c r="L599" s="1" t="str">
        <f t="shared" si="114"/>
        <v/>
      </c>
      <c r="M599" s="1" t="str">
        <f t="shared" si="115"/>
        <v/>
      </c>
      <c r="N599" s="1" t="str">
        <f t="shared" si="116"/>
        <v/>
      </c>
      <c r="O599" s="1" t="str">
        <f t="shared" si="117"/>
        <v/>
      </c>
      <c r="P599" s="1" t="str">
        <f t="shared" si="118"/>
        <v/>
      </c>
      <c r="R599" s="1" t="str">
        <f t="shared" si="119"/>
        <v/>
      </c>
    </row>
    <row r="600" spans="1:18" x14ac:dyDescent="0.2">
      <c r="A600" t="str">
        <f>IF(COUNTBLANK(B600:R600)&lt;&gt;COLUMNS(B600:R600),599,"")</f>
        <v/>
      </c>
      <c r="D600" s="1" t="str">
        <f t="shared" si="108"/>
        <v/>
      </c>
      <c r="E600" s="2" t="str">
        <f t="shared" si="109"/>
        <v/>
      </c>
      <c r="F600" s="1" t="str">
        <f t="shared" si="110"/>
        <v/>
      </c>
      <c r="G600" s="1" t="str">
        <f t="shared" si="111"/>
        <v/>
      </c>
      <c r="H600" s="1" t="str">
        <f t="shared" si="112"/>
        <v/>
      </c>
      <c r="K600" s="1" t="str">
        <f t="shared" si="113"/>
        <v/>
      </c>
      <c r="L600" s="1" t="str">
        <f t="shared" si="114"/>
        <v/>
      </c>
      <c r="M600" s="1" t="str">
        <f t="shared" si="115"/>
        <v/>
      </c>
      <c r="N600" s="1" t="str">
        <f t="shared" si="116"/>
        <v/>
      </c>
      <c r="O600" s="1" t="str">
        <f t="shared" si="117"/>
        <v/>
      </c>
      <c r="P600" s="1" t="str">
        <f t="shared" si="118"/>
        <v/>
      </c>
      <c r="R600" s="1" t="str">
        <f t="shared" si="119"/>
        <v/>
      </c>
    </row>
    <row r="601" spans="1:18" x14ac:dyDescent="0.2">
      <c r="A601" t="str">
        <f>IF(COUNTBLANK(B601:R601)&lt;&gt;COLUMNS(B601:R601),600,"")</f>
        <v/>
      </c>
      <c r="D601" s="1" t="str">
        <f t="shared" si="108"/>
        <v/>
      </c>
      <c r="E601" s="2" t="str">
        <f t="shared" si="109"/>
        <v/>
      </c>
      <c r="F601" s="1" t="str">
        <f t="shared" si="110"/>
        <v/>
      </c>
      <c r="G601" s="1" t="str">
        <f t="shared" si="111"/>
        <v/>
      </c>
      <c r="H601" s="1" t="str">
        <f t="shared" si="112"/>
        <v/>
      </c>
      <c r="K601" s="1" t="str">
        <f t="shared" si="113"/>
        <v/>
      </c>
      <c r="L601" s="1" t="str">
        <f t="shared" si="114"/>
        <v/>
      </c>
      <c r="M601" s="1" t="str">
        <f t="shared" si="115"/>
        <v/>
      </c>
      <c r="N601" s="1" t="str">
        <f t="shared" si="116"/>
        <v/>
      </c>
      <c r="O601" s="1" t="str">
        <f t="shared" si="117"/>
        <v/>
      </c>
      <c r="P601" s="1" t="str">
        <f t="shared" si="118"/>
        <v/>
      </c>
      <c r="R601" s="1" t="str">
        <f t="shared" si="119"/>
        <v/>
      </c>
    </row>
    <row r="602" spans="1:18" x14ac:dyDescent="0.2">
      <c r="A602" t="str">
        <f>IF(COUNTBLANK(B602:R602)&lt;&gt;COLUMNS(B602:R602),601,"")</f>
        <v/>
      </c>
      <c r="D602" s="1" t="str">
        <f t="shared" si="108"/>
        <v/>
      </c>
      <c r="E602" s="2" t="str">
        <f t="shared" si="109"/>
        <v/>
      </c>
      <c r="F602" s="1" t="str">
        <f t="shared" si="110"/>
        <v/>
      </c>
      <c r="G602" s="1" t="str">
        <f t="shared" si="111"/>
        <v/>
      </c>
      <c r="H602" s="1" t="str">
        <f t="shared" si="112"/>
        <v/>
      </c>
      <c r="K602" s="1" t="str">
        <f t="shared" si="113"/>
        <v/>
      </c>
      <c r="L602" s="1" t="str">
        <f t="shared" si="114"/>
        <v/>
      </c>
      <c r="M602" s="1" t="str">
        <f t="shared" si="115"/>
        <v/>
      </c>
      <c r="N602" s="1" t="str">
        <f t="shared" si="116"/>
        <v/>
      </c>
      <c r="O602" s="1" t="str">
        <f t="shared" si="117"/>
        <v/>
      </c>
      <c r="P602" s="1" t="str">
        <f t="shared" si="118"/>
        <v/>
      </c>
      <c r="R602" s="1" t="str">
        <f t="shared" si="119"/>
        <v/>
      </c>
    </row>
    <row r="603" spans="1:18" x14ac:dyDescent="0.2">
      <c r="A603" t="str">
        <f>IF(COUNTBLANK(B603:R603)&lt;&gt;COLUMNS(B603:R603),602,"")</f>
        <v/>
      </c>
      <c r="D603" s="1" t="str">
        <f t="shared" si="108"/>
        <v/>
      </c>
      <c r="E603" s="2" t="str">
        <f t="shared" si="109"/>
        <v/>
      </c>
      <c r="F603" s="1" t="str">
        <f t="shared" si="110"/>
        <v/>
      </c>
      <c r="G603" s="1" t="str">
        <f t="shared" si="111"/>
        <v/>
      </c>
      <c r="H603" s="1" t="str">
        <f t="shared" si="112"/>
        <v/>
      </c>
      <c r="K603" s="1" t="str">
        <f t="shared" si="113"/>
        <v/>
      </c>
      <c r="L603" s="1" t="str">
        <f t="shared" si="114"/>
        <v/>
      </c>
      <c r="M603" s="1" t="str">
        <f t="shared" si="115"/>
        <v/>
      </c>
      <c r="N603" s="1" t="str">
        <f t="shared" si="116"/>
        <v/>
      </c>
      <c r="O603" s="1" t="str">
        <f t="shared" si="117"/>
        <v/>
      </c>
      <c r="P603" s="1" t="str">
        <f t="shared" si="118"/>
        <v/>
      </c>
      <c r="R603" s="1" t="str">
        <f t="shared" si="119"/>
        <v/>
      </c>
    </row>
    <row r="604" spans="1:18" x14ac:dyDescent="0.2">
      <c r="A604" t="str">
        <f>IF(COUNTBLANK(B604:R604)&lt;&gt;COLUMNS(B604:R604),603,"")</f>
        <v/>
      </c>
      <c r="D604" s="1" t="str">
        <f t="shared" si="108"/>
        <v/>
      </c>
      <c r="E604" s="2" t="str">
        <f t="shared" si="109"/>
        <v/>
      </c>
      <c r="F604" s="1" t="str">
        <f t="shared" si="110"/>
        <v/>
      </c>
      <c r="G604" s="1" t="str">
        <f t="shared" si="111"/>
        <v/>
      </c>
      <c r="H604" s="1" t="str">
        <f t="shared" si="112"/>
        <v/>
      </c>
      <c r="K604" s="1" t="str">
        <f t="shared" si="113"/>
        <v/>
      </c>
      <c r="L604" s="1" t="str">
        <f t="shared" si="114"/>
        <v/>
      </c>
      <c r="M604" s="1" t="str">
        <f t="shared" si="115"/>
        <v/>
      </c>
      <c r="N604" s="1" t="str">
        <f t="shared" si="116"/>
        <v/>
      </c>
      <c r="O604" s="1" t="str">
        <f t="shared" si="117"/>
        <v/>
      </c>
      <c r="P604" s="1" t="str">
        <f t="shared" si="118"/>
        <v/>
      </c>
      <c r="R604" s="1" t="str">
        <f t="shared" si="119"/>
        <v/>
      </c>
    </row>
    <row r="605" spans="1:18" x14ac:dyDescent="0.2">
      <c r="A605" t="str">
        <f>IF(COUNTBLANK(B605:R605)&lt;&gt;COLUMNS(B605:R605),604,"")</f>
        <v/>
      </c>
      <c r="D605" s="1" t="str">
        <f t="shared" si="108"/>
        <v/>
      </c>
      <c r="E605" s="2" t="str">
        <f t="shared" si="109"/>
        <v/>
      </c>
      <c r="F605" s="1" t="str">
        <f t="shared" si="110"/>
        <v/>
      </c>
      <c r="G605" s="1" t="str">
        <f t="shared" si="111"/>
        <v/>
      </c>
      <c r="H605" s="1" t="str">
        <f t="shared" si="112"/>
        <v/>
      </c>
      <c r="K605" s="1" t="str">
        <f t="shared" si="113"/>
        <v/>
      </c>
      <c r="L605" s="1" t="str">
        <f t="shared" si="114"/>
        <v/>
      </c>
      <c r="M605" s="1" t="str">
        <f t="shared" si="115"/>
        <v/>
      </c>
      <c r="N605" s="1" t="str">
        <f t="shared" si="116"/>
        <v/>
      </c>
      <c r="O605" s="1" t="str">
        <f t="shared" si="117"/>
        <v/>
      </c>
      <c r="P605" s="1" t="str">
        <f t="shared" si="118"/>
        <v/>
      </c>
      <c r="R605" s="1" t="str">
        <f t="shared" si="119"/>
        <v/>
      </c>
    </row>
    <row r="606" spans="1:18" x14ac:dyDescent="0.2">
      <c r="A606" t="str">
        <f>IF(COUNTBLANK(B606:R606)&lt;&gt;COLUMNS(B606:R606),605,"")</f>
        <v/>
      </c>
      <c r="D606" s="1" t="str">
        <f t="shared" si="108"/>
        <v/>
      </c>
      <c r="E606" s="2" t="str">
        <f t="shared" si="109"/>
        <v/>
      </c>
      <c r="F606" s="1" t="str">
        <f t="shared" si="110"/>
        <v/>
      </c>
      <c r="G606" s="1" t="str">
        <f t="shared" si="111"/>
        <v/>
      </c>
      <c r="H606" s="1" t="str">
        <f t="shared" si="112"/>
        <v/>
      </c>
      <c r="K606" s="1" t="str">
        <f t="shared" si="113"/>
        <v/>
      </c>
      <c r="L606" s="1" t="str">
        <f t="shared" si="114"/>
        <v/>
      </c>
      <c r="M606" s="1" t="str">
        <f t="shared" si="115"/>
        <v/>
      </c>
      <c r="N606" s="1" t="str">
        <f t="shared" si="116"/>
        <v/>
      </c>
      <c r="O606" s="1" t="str">
        <f t="shared" si="117"/>
        <v/>
      </c>
      <c r="P606" s="1" t="str">
        <f t="shared" si="118"/>
        <v/>
      </c>
      <c r="R606" s="1" t="str">
        <f t="shared" si="119"/>
        <v/>
      </c>
    </row>
    <row r="607" spans="1:18" x14ac:dyDescent="0.2">
      <c r="A607" t="str">
        <f>IF(COUNTBLANK(B607:R607)&lt;&gt;COLUMNS(B607:R607),606,"")</f>
        <v/>
      </c>
      <c r="D607" s="1" t="str">
        <f t="shared" si="108"/>
        <v/>
      </c>
      <c r="E607" s="2" t="str">
        <f t="shared" si="109"/>
        <v/>
      </c>
      <c r="F607" s="1" t="str">
        <f t="shared" si="110"/>
        <v/>
      </c>
      <c r="G607" s="1" t="str">
        <f t="shared" si="111"/>
        <v/>
      </c>
      <c r="H607" s="1" t="str">
        <f t="shared" si="112"/>
        <v/>
      </c>
      <c r="K607" s="1" t="str">
        <f t="shared" si="113"/>
        <v/>
      </c>
      <c r="L607" s="1" t="str">
        <f t="shared" si="114"/>
        <v/>
      </c>
      <c r="M607" s="1" t="str">
        <f t="shared" si="115"/>
        <v/>
      </c>
      <c r="N607" s="1" t="str">
        <f t="shared" si="116"/>
        <v/>
      </c>
      <c r="O607" s="1" t="str">
        <f t="shared" si="117"/>
        <v/>
      </c>
      <c r="P607" s="1" t="str">
        <f t="shared" si="118"/>
        <v/>
      </c>
      <c r="R607" s="1" t="str">
        <f t="shared" si="119"/>
        <v/>
      </c>
    </row>
    <row r="608" spans="1:18" x14ac:dyDescent="0.2">
      <c r="A608" t="str">
        <f>IF(COUNTBLANK(B608:R608)&lt;&gt;COLUMNS(B608:R608),607,"")</f>
        <v/>
      </c>
      <c r="D608" s="1" t="str">
        <f t="shared" si="108"/>
        <v/>
      </c>
      <c r="E608" s="2" t="str">
        <f t="shared" si="109"/>
        <v/>
      </c>
      <c r="F608" s="1" t="str">
        <f t="shared" si="110"/>
        <v/>
      </c>
      <c r="G608" s="1" t="str">
        <f t="shared" si="111"/>
        <v/>
      </c>
      <c r="H608" s="1" t="str">
        <f t="shared" si="112"/>
        <v/>
      </c>
      <c r="K608" s="1" t="str">
        <f t="shared" si="113"/>
        <v/>
      </c>
      <c r="L608" s="1" t="str">
        <f t="shared" si="114"/>
        <v/>
      </c>
      <c r="M608" s="1" t="str">
        <f t="shared" si="115"/>
        <v/>
      </c>
      <c r="N608" s="1" t="str">
        <f t="shared" si="116"/>
        <v/>
      </c>
      <c r="O608" s="1" t="str">
        <f t="shared" si="117"/>
        <v/>
      </c>
      <c r="P608" s="1" t="str">
        <f t="shared" si="118"/>
        <v/>
      </c>
      <c r="R608" s="1" t="str">
        <f t="shared" si="119"/>
        <v/>
      </c>
    </row>
    <row r="609" spans="1:18" x14ac:dyDescent="0.2">
      <c r="A609" t="str">
        <f>IF(COUNTBLANK(B609:R609)&lt;&gt;COLUMNS(B609:R609),608,"")</f>
        <v/>
      </c>
      <c r="D609" s="1" t="str">
        <f t="shared" si="108"/>
        <v/>
      </c>
      <c r="E609" s="2" t="str">
        <f t="shared" si="109"/>
        <v/>
      </c>
      <c r="F609" s="1" t="str">
        <f t="shared" si="110"/>
        <v/>
      </c>
      <c r="G609" s="1" t="str">
        <f t="shared" si="111"/>
        <v/>
      </c>
      <c r="H609" s="1" t="str">
        <f t="shared" si="112"/>
        <v/>
      </c>
      <c r="K609" s="1" t="str">
        <f t="shared" si="113"/>
        <v/>
      </c>
      <c r="L609" s="1" t="str">
        <f t="shared" si="114"/>
        <v/>
      </c>
      <c r="M609" s="1" t="str">
        <f t="shared" si="115"/>
        <v/>
      </c>
      <c r="N609" s="1" t="str">
        <f t="shared" si="116"/>
        <v/>
      </c>
      <c r="O609" s="1" t="str">
        <f t="shared" si="117"/>
        <v/>
      </c>
      <c r="P609" s="1" t="str">
        <f t="shared" si="118"/>
        <v/>
      </c>
      <c r="R609" s="1" t="str">
        <f t="shared" si="119"/>
        <v/>
      </c>
    </row>
    <row r="610" spans="1:18" x14ac:dyDescent="0.2">
      <c r="A610" t="str">
        <f>IF(COUNTBLANK(B610:R610)&lt;&gt;COLUMNS(B610:R610),609,"")</f>
        <v/>
      </c>
      <c r="D610" s="1" t="str">
        <f t="shared" si="108"/>
        <v/>
      </c>
      <c r="E610" s="2" t="str">
        <f t="shared" si="109"/>
        <v/>
      </c>
      <c r="F610" s="1" t="str">
        <f t="shared" si="110"/>
        <v/>
      </c>
      <c r="G610" s="1" t="str">
        <f t="shared" si="111"/>
        <v/>
      </c>
      <c r="H610" s="1" t="str">
        <f t="shared" si="112"/>
        <v/>
      </c>
      <c r="K610" s="1" t="str">
        <f t="shared" si="113"/>
        <v/>
      </c>
      <c r="L610" s="1" t="str">
        <f t="shared" si="114"/>
        <v/>
      </c>
      <c r="M610" s="1" t="str">
        <f t="shared" si="115"/>
        <v/>
      </c>
      <c r="N610" s="1" t="str">
        <f t="shared" si="116"/>
        <v/>
      </c>
      <c r="O610" s="1" t="str">
        <f t="shared" si="117"/>
        <v/>
      </c>
      <c r="P610" s="1" t="str">
        <f t="shared" si="118"/>
        <v/>
      </c>
      <c r="R610" s="1" t="str">
        <f t="shared" si="119"/>
        <v/>
      </c>
    </row>
    <row r="611" spans="1:18" x14ac:dyDescent="0.2">
      <c r="A611" t="str">
        <f>IF(COUNTBLANK(B611:R611)&lt;&gt;COLUMNS(B611:R611),610,"")</f>
        <v/>
      </c>
      <c r="D611" s="1" t="str">
        <f t="shared" si="108"/>
        <v/>
      </c>
      <c r="E611" s="2" t="str">
        <f t="shared" si="109"/>
        <v/>
      </c>
      <c r="F611" s="1" t="str">
        <f t="shared" si="110"/>
        <v/>
      </c>
      <c r="G611" s="1" t="str">
        <f t="shared" si="111"/>
        <v/>
      </c>
      <c r="H611" s="1" t="str">
        <f t="shared" si="112"/>
        <v/>
      </c>
      <c r="K611" s="1" t="str">
        <f t="shared" si="113"/>
        <v/>
      </c>
      <c r="L611" s="1" t="str">
        <f t="shared" si="114"/>
        <v/>
      </c>
      <c r="M611" s="1" t="str">
        <f t="shared" si="115"/>
        <v/>
      </c>
      <c r="N611" s="1" t="str">
        <f t="shared" si="116"/>
        <v/>
      </c>
      <c r="O611" s="1" t="str">
        <f t="shared" si="117"/>
        <v/>
      </c>
      <c r="P611" s="1" t="str">
        <f t="shared" si="118"/>
        <v/>
      </c>
      <c r="R611" s="1" t="str">
        <f t="shared" si="119"/>
        <v/>
      </c>
    </row>
    <row r="612" spans="1:18" x14ac:dyDescent="0.2">
      <c r="A612" t="str">
        <f>IF(COUNTBLANK(B612:R612)&lt;&gt;COLUMNS(B612:R612),611,"")</f>
        <v/>
      </c>
      <c r="D612" s="1" t="str">
        <f t="shared" si="108"/>
        <v/>
      </c>
      <c r="E612" s="2" t="str">
        <f t="shared" si="109"/>
        <v/>
      </c>
      <c r="F612" s="1" t="str">
        <f t="shared" si="110"/>
        <v/>
      </c>
      <c r="G612" s="1" t="str">
        <f t="shared" si="111"/>
        <v/>
      </c>
      <c r="H612" s="1" t="str">
        <f t="shared" si="112"/>
        <v/>
      </c>
      <c r="K612" s="1" t="str">
        <f t="shared" si="113"/>
        <v/>
      </c>
      <c r="L612" s="1" t="str">
        <f t="shared" si="114"/>
        <v/>
      </c>
      <c r="M612" s="1" t="str">
        <f t="shared" si="115"/>
        <v/>
      </c>
      <c r="N612" s="1" t="str">
        <f t="shared" si="116"/>
        <v/>
      </c>
      <c r="O612" s="1" t="str">
        <f t="shared" si="117"/>
        <v/>
      </c>
      <c r="P612" s="1" t="str">
        <f t="shared" si="118"/>
        <v/>
      </c>
      <c r="R612" s="1" t="str">
        <f t="shared" si="119"/>
        <v/>
      </c>
    </row>
    <row r="613" spans="1:18" x14ac:dyDescent="0.2">
      <c r="A613" t="str">
        <f>IF(COUNTBLANK(B613:R613)&lt;&gt;COLUMNS(B613:R613),612,"")</f>
        <v/>
      </c>
      <c r="D613" s="1" t="str">
        <f t="shared" si="108"/>
        <v/>
      </c>
      <c r="E613" s="2" t="str">
        <f t="shared" si="109"/>
        <v/>
      </c>
      <c r="F613" s="1" t="str">
        <f t="shared" si="110"/>
        <v/>
      </c>
      <c r="G613" s="1" t="str">
        <f t="shared" si="111"/>
        <v/>
      </c>
      <c r="H613" s="1" t="str">
        <f t="shared" si="112"/>
        <v/>
      </c>
      <c r="K613" s="1" t="str">
        <f t="shared" si="113"/>
        <v/>
      </c>
      <c r="L613" s="1" t="str">
        <f t="shared" si="114"/>
        <v/>
      </c>
      <c r="M613" s="1" t="str">
        <f t="shared" si="115"/>
        <v/>
      </c>
      <c r="N613" s="1" t="str">
        <f t="shared" si="116"/>
        <v/>
      </c>
      <c r="O613" s="1" t="str">
        <f t="shared" si="117"/>
        <v/>
      </c>
      <c r="P613" s="1" t="str">
        <f t="shared" si="118"/>
        <v/>
      </c>
      <c r="R613" s="1" t="str">
        <f t="shared" si="119"/>
        <v/>
      </c>
    </row>
    <row r="614" spans="1:18" x14ac:dyDescent="0.2">
      <c r="A614" t="str">
        <f>IF(COUNTBLANK(B614:R614)&lt;&gt;COLUMNS(B614:R614),613,"")</f>
        <v/>
      </c>
      <c r="D614" s="1" t="str">
        <f t="shared" si="108"/>
        <v/>
      </c>
      <c r="E614" s="2" t="str">
        <f t="shared" si="109"/>
        <v/>
      </c>
      <c r="F614" s="1" t="str">
        <f t="shared" si="110"/>
        <v/>
      </c>
      <c r="G614" s="1" t="str">
        <f t="shared" si="111"/>
        <v/>
      </c>
      <c r="H614" s="1" t="str">
        <f t="shared" si="112"/>
        <v/>
      </c>
      <c r="K614" s="1" t="str">
        <f t="shared" si="113"/>
        <v/>
      </c>
      <c r="L614" s="1" t="str">
        <f t="shared" si="114"/>
        <v/>
      </c>
      <c r="M614" s="1" t="str">
        <f t="shared" si="115"/>
        <v/>
      </c>
      <c r="N614" s="1" t="str">
        <f t="shared" si="116"/>
        <v/>
      </c>
      <c r="O614" s="1" t="str">
        <f t="shared" si="117"/>
        <v/>
      </c>
      <c r="P614" s="1" t="str">
        <f t="shared" si="118"/>
        <v/>
      </c>
      <c r="R614" s="1" t="str">
        <f t="shared" si="119"/>
        <v/>
      </c>
    </row>
    <row r="615" spans="1:18" x14ac:dyDescent="0.2">
      <c r="A615" t="str">
        <f>IF(COUNTBLANK(B615:R615)&lt;&gt;COLUMNS(B615:R615),614,"")</f>
        <v/>
      </c>
      <c r="D615" s="1" t="str">
        <f t="shared" si="108"/>
        <v/>
      </c>
      <c r="E615" s="2" t="str">
        <f t="shared" si="109"/>
        <v/>
      </c>
      <c r="F615" s="1" t="str">
        <f t="shared" si="110"/>
        <v/>
      </c>
      <c r="G615" s="1" t="str">
        <f t="shared" si="111"/>
        <v/>
      </c>
      <c r="H615" s="1" t="str">
        <f t="shared" si="112"/>
        <v/>
      </c>
      <c r="K615" s="1" t="str">
        <f t="shared" si="113"/>
        <v/>
      </c>
      <c r="L615" s="1" t="str">
        <f t="shared" si="114"/>
        <v/>
      </c>
      <c r="M615" s="1" t="str">
        <f t="shared" si="115"/>
        <v/>
      </c>
      <c r="N615" s="1" t="str">
        <f t="shared" si="116"/>
        <v/>
      </c>
      <c r="O615" s="1" t="str">
        <f t="shared" si="117"/>
        <v/>
      </c>
      <c r="P615" s="1" t="str">
        <f t="shared" si="118"/>
        <v/>
      </c>
      <c r="R615" s="1" t="str">
        <f t="shared" si="119"/>
        <v/>
      </c>
    </row>
    <row r="616" spans="1:18" x14ac:dyDescent="0.2">
      <c r="A616" t="str">
        <f>IF(COUNTBLANK(B616:R616)&lt;&gt;COLUMNS(B616:R616),615,"")</f>
        <v/>
      </c>
      <c r="D616" s="1" t="str">
        <f t="shared" si="108"/>
        <v/>
      </c>
      <c r="E616" s="2" t="str">
        <f t="shared" si="109"/>
        <v/>
      </c>
      <c r="F616" s="1" t="str">
        <f t="shared" si="110"/>
        <v/>
      </c>
      <c r="G616" s="1" t="str">
        <f t="shared" si="111"/>
        <v/>
      </c>
      <c r="H616" s="1" t="str">
        <f t="shared" si="112"/>
        <v/>
      </c>
      <c r="K616" s="1" t="str">
        <f t="shared" si="113"/>
        <v/>
      </c>
      <c r="L616" s="1" t="str">
        <f t="shared" si="114"/>
        <v/>
      </c>
      <c r="M616" s="1" t="str">
        <f t="shared" si="115"/>
        <v/>
      </c>
      <c r="N616" s="1" t="str">
        <f t="shared" si="116"/>
        <v/>
      </c>
      <c r="O616" s="1" t="str">
        <f t="shared" si="117"/>
        <v/>
      </c>
      <c r="P616" s="1" t="str">
        <f t="shared" si="118"/>
        <v/>
      </c>
      <c r="R616" s="1" t="str">
        <f t="shared" si="119"/>
        <v/>
      </c>
    </row>
    <row r="617" spans="1:18" x14ac:dyDescent="0.2">
      <c r="A617" t="str">
        <f>IF(COUNTBLANK(B617:R617)&lt;&gt;COLUMNS(B617:R617),616,"")</f>
        <v/>
      </c>
      <c r="D617" s="1" t="str">
        <f t="shared" si="108"/>
        <v/>
      </c>
      <c r="E617" s="2" t="str">
        <f t="shared" si="109"/>
        <v/>
      </c>
      <c r="F617" s="1" t="str">
        <f t="shared" si="110"/>
        <v/>
      </c>
      <c r="G617" s="1" t="str">
        <f t="shared" si="111"/>
        <v/>
      </c>
      <c r="H617" s="1" t="str">
        <f t="shared" si="112"/>
        <v/>
      </c>
      <c r="K617" s="1" t="str">
        <f t="shared" si="113"/>
        <v/>
      </c>
      <c r="L617" s="1" t="str">
        <f t="shared" si="114"/>
        <v/>
      </c>
      <c r="M617" s="1" t="str">
        <f t="shared" si="115"/>
        <v/>
      </c>
      <c r="N617" s="1" t="str">
        <f t="shared" si="116"/>
        <v/>
      </c>
      <c r="O617" s="1" t="str">
        <f t="shared" si="117"/>
        <v/>
      </c>
      <c r="P617" s="1" t="str">
        <f t="shared" si="118"/>
        <v/>
      </c>
      <c r="R617" s="1" t="str">
        <f t="shared" si="119"/>
        <v/>
      </c>
    </row>
    <row r="618" spans="1:18" x14ac:dyDescent="0.2">
      <c r="A618" t="str">
        <f>IF(COUNTBLANK(B618:R618)&lt;&gt;COLUMNS(B618:R618),617,"")</f>
        <v/>
      </c>
      <c r="D618" s="1" t="str">
        <f t="shared" si="108"/>
        <v/>
      </c>
      <c r="E618" s="2" t="str">
        <f t="shared" si="109"/>
        <v/>
      </c>
      <c r="F618" s="1" t="str">
        <f t="shared" si="110"/>
        <v/>
      </c>
      <c r="G618" s="1" t="str">
        <f t="shared" si="111"/>
        <v/>
      </c>
      <c r="H618" s="1" t="str">
        <f t="shared" si="112"/>
        <v/>
      </c>
      <c r="K618" s="1" t="str">
        <f t="shared" si="113"/>
        <v/>
      </c>
      <c r="L618" s="1" t="str">
        <f t="shared" si="114"/>
        <v/>
      </c>
      <c r="M618" s="1" t="str">
        <f t="shared" si="115"/>
        <v/>
      </c>
      <c r="N618" s="1" t="str">
        <f t="shared" si="116"/>
        <v/>
      </c>
      <c r="O618" s="1" t="str">
        <f t="shared" si="117"/>
        <v/>
      </c>
      <c r="P618" s="1" t="str">
        <f t="shared" si="118"/>
        <v/>
      </c>
      <c r="R618" s="1" t="str">
        <f t="shared" si="119"/>
        <v/>
      </c>
    </row>
    <row r="619" spans="1:18" x14ac:dyDescent="0.2">
      <c r="A619" t="str">
        <f>IF(COUNTBLANK(B619:R619)&lt;&gt;COLUMNS(B619:R619),618,"")</f>
        <v/>
      </c>
      <c r="D619" s="1" t="str">
        <f t="shared" si="108"/>
        <v/>
      </c>
      <c r="E619" s="2" t="str">
        <f t="shared" si="109"/>
        <v/>
      </c>
      <c r="F619" s="1" t="str">
        <f t="shared" si="110"/>
        <v/>
      </c>
      <c r="G619" s="1" t="str">
        <f t="shared" si="111"/>
        <v/>
      </c>
      <c r="H619" s="1" t="str">
        <f t="shared" si="112"/>
        <v/>
      </c>
      <c r="K619" s="1" t="str">
        <f t="shared" si="113"/>
        <v/>
      </c>
      <c r="L619" s="1" t="str">
        <f t="shared" si="114"/>
        <v/>
      </c>
      <c r="M619" s="1" t="str">
        <f t="shared" si="115"/>
        <v/>
      </c>
      <c r="N619" s="1" t="str">
        <f t="shared" si="116"/>
        <v/>
      </c>
      <c r="O619" s="1" t="str">
        <f t="shared" si="117"/>
        <v/>
      </c>
      <c r="P619" s="1" t="str">
        <f t="shared" si="118"/>
        <v/>
      </c>
      <c r="R619" s="1" t="str">
        <f t="shared" si="119"/>
        <v/>
      </c>
    </row>
    <row r="620" spans="1:18" x14ac:dyDescent="0.2">
      <c r="A620" t="str">
        <f>IF(COUNTBLANK(B620:R620)&lt;&gt;COLUMNS(B620:R620),619,"")</f>
        <v/>
      </c>
      <c r="D620" s="1" t="str">
        <f t="shared" si="108"/>
        <v/>
      </c>
      <c r="E620" s="2" t="str">
        <f t="shared" si="109"/>
        <v/>
      </c>
      <c r="F620" s="1" t="str">
        <f t="shared" si="110"/>
        <v/>
      </c>
      <c r="G620" s="1" t="str">
        <f t="shared" si="111"/>
        <v/>
      </c>
      <c r="H620" s="1" t="str">
        <f t="shared" si="112"/>
        <v/>
      </c>
      <c r="K620" s="1" t="str">
        <f t="shared" si="113"/>
        <v/>
      </c>
      <c r="L620" s="1" t="str">
        <f t="shared" si="114"/>
        <v/>
      </c>
      <c r="M620" s="1" t="str">
        <f t="shared" si="115"/>
        <v/>
      </c>
      <c r="N620" s="1" t="str">
        <f t="shared" si="116"/>
        <v/>
      </c>
      <c r="O620" s="1" t="str">
        <f t="shared" si="117"/>
        <v/>
      </c>
      <c r="P620" s="1" t="str">
        <f t="shared" si="118"/>
        <v/>
      </c>
      <c r="R620" s="1" t="str">
        <f t="shared" si="119"/>
        <v/>
      </c>
    </row>
    <row r="621" spans="1:18" x14ac:dyDescent="0.2">
      <c r="A621" t="str">
        <f>IF(COUNTBLANK(B621:R621)&lt;&gt;COLUMNS(B621:R621),620,"")</f>
        <v/>
      </c>
      <c r="D621" s="1" t="str">
        <f t="shared" si="108"/>
        <v/>
      </c>
      <c r="E621" s="2" t="str">
        <f t="shared" si="109"/>
        <v/>
      </c>
      <c r="F621" s="1" t="str">
        <f t="shared" si="110"/>
        <v/>
      </c>
      <c r="G621" s="1" t="str">
        <f t="shared" si="111"/>
        <v/>
      </c>
      <c r="H621" s="1" t="str">
        <f t="shared" si="112"/>
        <v/>
      </c>
      <c r="K621" s="1" t="str">
        <f t="shared" si="113"/>
        <v/>
      </c>
      <c r="L621" s="1" t="str">
        <f t="shared" si="114"/>
        <v/>
      </c>
      <c r="M621" s="1" t="str">
        <f t="shared" si="115"/>
        <v/>
      </c>
      <c r="N621" s="1" t="str">
        <f t="shared" si="116"/>
        <v/>
      </c>
      <c r="O621" s="1" t="str">
        <f t="shared" si="117"/>
        <v/>
      </c>
      <c r="P621" s="1" t="str">
        <f t="shared" si="118"/>
        <v/>
      </c>
      <c r="R621" s="1" t="str">
        <f t="shared" si="119"/>
        <v/>
      </c>
    </row>
    <row r="622" spans="1:18" x14ac:dyDescent="0.2">
      <c r="A622" t="str">
        <f>IF(COUNTBLANK(B622:R622)&lt;&gt;COLUMNS(B622:R622),621,"")</f>
        <v/>
      </c>
      <c r="D622" s="1" t="str">
        <f t="shared" si="108"/>
        <v/>
      </c>
      <c r="E622" s="2" t="str">
        <f t="shared" si="109"/>
        <v/>
      </c>
      <c r="F622" s="1" t="str">
        <f t="shared" si="110"/>
        <v/>
      </c>
      <c r="G622" s="1" t="str">
        <f t="shared" si="111"/>
        <v/>
      </c>
      <c r="H622" s="1" t="str">
        <f t="shared" si="112"/>
        <v/>
      </c>
      <c r="K622" s="1" t="str">
        <f t="shared" si="113"/>
        <v/>
      </c>
      <c r="L622" s="1" t="str">
        <f t="shared" si="114"/>
        <v/>
      </c>
      <c r="M622" s="1" t="str">
        <f t="shared" si="115"/>
        <v/>
      </c>
      <c r="N622" s="1" t="str">
        <f t="shared" si="116"/>
        <v/>
      </c>
      <c r="O622" s="1" t="str">
        <f t="shared" si="117"/>
        <v/>
      </c>
      <c r="P622" s="1" t="str">
        <f t="shared" si="118"/>
        <v/>
      </c>
      <c r="R622" s="1" t="str">
        <f t="shared" si="119"/>
        <v/>
      </c>
    </row>
    <row r="623" spans="1:18" x14ac:dyDescent="0.2">
      <c r="A623" t="str">
        <f>IF(COUNTBLANK(B623:R623)&lt;&gt;COLUMNS(B623:R623),622,"")</f>
        <v/>
      </c>
      <c r="D623" s="1" t="str">
        <f t="shared" si="108"/>
        <v/>
      </c>
      <c r="E623" s="2" t="str">
        <f t="shared" si="109"/>
        <v/>
      </c>
      <c r="F623" s="1" t="str">
        <f t="shared" si="110"/>
        <v/>
      </c>
      <c r="G623" s="1" t="str">
        <f t="shared" si="111"/>
        <v/>
      </c>
      <c r="H623" s="1" t="str">
        <f t="shared" si="112"/>
        <v/>
      </c>
      <c r="K623" s="1" t="str">
        <f t="shared" si="113"/>
        <v/>
      </c>
      <c r="L623" s="1" t="str">
        <f t="shared" si="114"/>
        <v/>
      </c>
      <c r="M623" s="1" t="str">
        <f t="shared" si="115"/>
        <v/>
      </c>
      <c r="N623" s="1" t="str">
        <f t="shared" si="116"/>
        <v/>
      </c>
      <c r="O623" s="1" t="str">
        <f t="shared" si="117"/>
        <v/>
      </c>
      <c r="P623" s="1" t="str">
        <f t="shared" si="118"/>
        <v/>
      </c>
      <c r="R623" s="1" t="str">
        <f t="shared" si="119"/>
        <v/>
      </c>
    </row>
    <row r="624" spans="1:18" x14ac:dyDescent="0.2">
      <c r="A624" t="str">
        <f>IF(COUNTBLANK(B624:R624)&lt;&gt;COLUMNS(B624:R624),623,"")</f>
        <v/>
      </c>
      <c r="D624" s="1" t="str">
        <f t="shared" si="108"/>
        <v/>
      </c>
      <c r="E624" s="2" t="str">
        <f t="shared" si="109"/>
        <v/>
      </c>
      <c r="F624" s="1" t="str">
        <f t="shared" si="110"/>
        <v/>
      </c>
      <c r="G624" s="1" t="str">
        <f t="shared" si="111"/>
        <v/>
      </c>
      <c r="H624" s="1" t="str">
        <f t="shared" si="112"/>
        <v/>
      </c>
      <c r="K624" s="1" t="str">
        <f t="shared" si="113"/>
        <v/>
      </c>
      <c r="L624" s="1" t="str">
        <f t="shared" si="114"/>
        <v/>
      </c>
      <c r="M624" s="1" t="str">
        <f t="shared" si="115"/>
        <v/>
      </c>
      <c r="N624" s="1" t="str">
        <f t="shared" si="116"/>
        <v/>
      </c>
      <c r="O624" s="1" t="str">
        <f t="shared" si="117"/>
        <v/>
      </c>
      <c r="P624" s="1" t="str">
        <f t="shared" si="118"/>
        <v/>
      </c>
      <c r="R624" s="1" t="str">
        <f t="shared" si="119"/>
        <v/>
      </c>
    </row>
    <row r="625" spans="1:18" x14ac:dyDescent="0.2">
      <c r="A625" t="str">
        <f>IF(COUNTBLANK(B625:R625)&lt;&gt;COLUMNS(B625:R625),624,"")</f>
        <v/>
      </c>
      <c r="D625" s="1" t="str">
        <f t="shared" si="108"/>
        <v/>
      </c>
      <c r="E625" s="2" t="str">
        <f t="shared" si="109"/>
        <v/>
      </c>
      <c r="F625" s="1" t="str">
        <f t="shared" si="110"/>
        <v/>
      </c>
      <c r="G625" s="1" t="str">
        <f t="shared" si="111"/>
        <v/>
      </c>
      <c r="H625" s="1" t="str">
        <f t="shared" si="112"/>
        <v/>
      </c>
      <c r="K625" s="1" t="str">
        <f t="shared" si="113"/>
        <v/>
      </c>
      <c r="L625" s="1" t="str">
        <f t="shared" si="114"/>
        <v/>
      </c>
      <c r="M625" s="1" t="str">
        <f t="shared" si="115"/>
        <v/>
      </c>
      <c r="N625" s="1" t="str">
        <f t="shared" si="116"/>
        <v/>
      </c>
      <c r="O625" s="1" t="str">
        <f t="shared" si="117"/>
        <v/>
      </c>
      <c r="P625" s="1" t="str">
        <f t="shared" si="118"/>
        <v/>
      </c>
      <c r="R625" s="1" t="str">
        <f t="shared" si="119"/>
        <v/>
      </c>
    </row>
    <row r="626" spans="1:18" x14ac:dyDescent="0.2">
      <c r="A626" t="str">
        <f>IF(COUNTBLANK(B626:R626)&lt;&gt;COLUMNS(B626:R626),625,"")</f>
        <v/>
      </c>
      <c r="D626" s="1" t="str">
        <f t="shared" si="108"/>
        <v/>
      </c>
      <c r="E626" s="2" t="str">
        <f t="shared" si="109"/>
        <v/>
      </c>
      <c r="F626" s="1" t="str">
        <f t="shared" si="110"/>
        <v/>
      </c>
      <c r="G626" s="1" t="str">
        <f t="shared" si="111"/>
        <v/>
      </c>
      <c r="H626" s="1" t="str">
        <f t="shared" si="112"/>
        <v/>
      </c>
      <c r="K626" s="1" t="str">
        <f t="shared" si="113"/>
        <v/>
      </c>
      <c r="L626" s="1" t="str">
        <f t="shared" si="114"/>
        <v/>
      </c>
      <c r="M626" s="1" t="str">
        <f t="shared" si="115"/>
        <v/>
      </c>
      <c r="N626" s="1" t="str">
        <f t="shared" si="116"/>
        <v/>
      </c>
      <c r="O626" s="1" t="str">
        <f t="shared" si="117"/>
        <v/>
      </c>
      <c r="P626" s="1" t="str">
        <f t="shared" si="118"/>
        <v/>
      </c>
      <c r="R626" s="1" t="str">
        <f t="shared" si="119"/>
        <v/>
      </c>
    </row>
    <row r="627" spans="1:18" x14ac:dyDescent="0.2">
      <c r="A627" t="str">
        <f>IF(COUNTBLANK(B627:R627)&lt;&gt;COLUMNS(B627:R627),626,"")</f>
        <v/>
      </c>
      <c r="D627" s="1" t="str">
        <f t="shared" si="108"/>
        <v/>
      </c>
      <c r="E627" s="2" t="str">
        <f t="shared" si="109"/>
        <v/>
      </c>
      <c r="F627" s="1" t="str">
        <f t="shared" si="110"/>
        <v/>
      </c>
      <c r="G627" s="1" t="str">
        <f t="shared" si="111"/>
        <v/>
      </c>
      <c r="H627" s="1" t="str">
        <f t="shared" si="112"/>
        <v/>
      </c>
      <c r="K627" s="1" t="str">
        <f t="shared" si="113"/>
        <v/>
      </c>
      <c r="L627" s="1" t="str">
        <f t="shared" si="114"/>
        <v/>
      </c>
      <c r="M627" s="1" t="str">
        <f t="shared" si="115"/>
        <v/>
      </c>
      <c r="N627" s="1" t="str">
        <f t="shared" si="116"/>
        <v/>
      </c>
      <c r="O627" s="1" t="str">
        <f t="shared" si="117"/>
        <v/>
      </c>
      <c r="P627" s="1" t="str">
        <f t="shared" si="118"/>
        <v/>
      </c>
      <c r="R627" s="1" t="str">
        <f t="shared" si="119"/>
        <v/>
      </c>
    </row>
    <row r="628" spans="1:18" x14ac:dyDescent="0.2">
      <c r="A628" t="str">
        <f>IF(COUNTBLANK(B628:R628)&lt;&gt;COLUMNS(B628:R628),627,"")</f>
        <v/>
      </c>
      <c r="D628" s="1" t="str">
        <f t="shared" si="108"/>
        <v/>
      </c>
      <c r="E628" s="2" t="str">
        <f t="shared" si="109"/>
        <v/>
      </c>
      <c r="F628" s="1" t="str">
        <f t="shared" si="110"/>
        <v/>
      </c>
      <c r="G628" s="1" t="str">
        <f t="shared" si="111"/>
        <v/>
      </c>
      <c r="H628" s="1" t="str">
        <f t="shared" si="112"/>
        <v/>
      </c>
      <c r="K628" s="1" t="str">
        <f t="shared" si="113"/>
        <v/>
      </c>
      <c r="L628" s="1" t="str">
        <f t="shared" si="114"/>
        <v/>
      </c>
      <c r="M628" s="1" t="str">
        <f t="shared" si="115"/>
        <v/>
      </c>
      <c r="N628" s="1" t="str">
        <f t="shared" si="116"/>
        <v/>
      </c>
      <c r="O628" s="1" t="str">
        <f t="shared" si="117"/>
        <v/>
      </c>
      <c r="P628" s="1" t="str">
        <f t="shared" si="118"/>
        <v/>
      </c>
      <c r="R628" s="1" t="str">
        <f t="shared" si="119"/>
        <v/>
      </c>
    </row>
    <row r="629" spans="1:18" x14ac:dyDescent="0.2">
      <c r="A629" t="str">
        <f>IF(COUNTBLANK(B629:R629)&lt;&gt;COLUMNS(B629:R629),628,"")</f>
        <v/>
      </c>
      <c r="D629" s="1" t="str">
        <f t="shared" si="108"/>
        <v/>
      </c>
      <c r="E629" s="2" t="str">
        <f t="shared" si="109"/>
        <v/>
      </c>
      <c r="F629" s="1" t="str">
        <f t="shared" si="110"/>
        <v/>
      </c>
      <c r="G629" s="1" t="str">
        <f t="shared" si="111"/>
        <v/>
      </c>
      <c r="H629" s="1" t="str">
        <f t="shared" si="112"/>
        <v/>
      </c>
      <c r="K629" s="1" t="str">
        <f t="shared" si="113"/>
        <v/>
      </c>
      <c r="L629" s="1" t="str">
        <f t="shared" si="114"/>
        <v/>
      </c>
      <c r="M629" s="1" t="str">
        <f t="shared" si="115"/>
        <v/>
      </c>
      <c r="N629" s="1" t="str">
        <f t="shared" si="116"/>
        <v/>
      </c>
      <c r="O629" s="1" t="str">
        <f t="shared" si="117"/>
        <v/>
      </c>
      <c r="P629" s="1" t="str">
        <f t="shared" si="118"/>
        <v/>
      </c>
      <c r="R629" s="1" t="str">
        <f t="shared" si="119"/>
        <v/>
      </c>
    </row>
    <row r="630" spans="1:18" x14ac:dyDescent="0.2">
      <c r="A630" t="str">
        <f>IF(COUNTBLANK(B630:R630)&lt;&gt;COLUMNS(B630:R630),629,"")</f>
        <v/>
      </c>
      <c r="D630" s="1" t="str">
        <f t="shared" si="108"/>
        <v/>
      </c>
      <c r="E630" s="2" t="str">
        <f t="shared" si="109"/>
        <v/>
      </c>
      <c r="F630" s="1" t="str">
        <f t="shared" si="110"/>
        <v/>
      </c>
      <c r="G630" s="1" t="str">
        <f t="shared" si="111"/>
        <v/>
      </c>
      <c r="H630" s="1" t="str">
        <f t="shared" si="112"/>
        <v/>
      </c>
      <c r="K630" s="1" t="str">
        <f t="shared" si="113"/>
        <v/>
      </c>
      <c r="L630" s="1" t="str">
        <f t="shared" si="114"/>
        <v/>
      </c>
      <c r="M630" s="1" t="str">
        <f t="shared" si="115"/>
        <v/>
      </c>
      <c r="N630" s="1" t="str">
        <f t="shared" si="116"/>
        <v/>
      </c>
      <c r="O630" s="1" t="str">
        <f t="shared" si="117"/>
        <v/>
      </c>
      <c r="P630" s="1" t="str">
        <f t="shared" si="118"/>
        <v/>
      </c>
      <c r="R630" s="1" t="str">
        <f t="shared" si="119"/>
        <v/>
      </c>
    </row>
    <row r="631" spans="1:18" x14ac:dyDescent="0.2">
      <c r="A631" t="str">
        <f>IF(COUNTBLANK(B631:R631)&lt;&gt;COLUMNS(B631:R631),630,"")</f>
        <v/>
      </c>
      <c r="D631" s="1" t="str">
        <f t="shared" si="108"/>
        <v/>
      </c>
      <c r="E631" s="2" t="str">
        <f t="shared" si="109"/>
        <v/>
      </c>
      <c r="F631" s="1" t="str">
        <f t="shared" si="110"/>
        <v/>
      </c>
      <c r="G631" s="1" t="str">
        <f t="shared" si="111"/>
        <v/>
      </c>
      <c r="H631" s="1" t="str">
        <f t="shared" si="112"/>
        <v/>
      </c>
      <c r="K631" s="1" t="str">
        <f t="shared" si="113"/>
        <v/>
      </c>
      <c r="L631" s="1" t="str">
        <f t="shared" si="114"/>
        <v/>
      </c>
      <c r="M631" s="1" t="str">
        <f t="shared" si="115"/>
        <v/>
      </c>
      <c r="N631" s="1" t="str">
        <f t="shared" si="116"/>
        <v/>
      </c>
      <c r="O631" s="1" t="str">
        <f t="shared" si="117"/>
        <v/>
      </c>
      <c r="P631" s="1" t="str">
        <f t="shared" si="118"/>
        <v/>
      </c>
      <c r="R631" s="1" t="str">
        <f t="shared" si="119"/>
        <v/>
      </c>
    </row>
    <row r="632" spans="1:18" x14ac:dyDescent="0.2">
      <c r="A632" t="str">
        <f>IF(COUNTBLANK(B632:R632)&lt;&gt;COLUMNS(B632:R632),631,"")</f>
        <v/>
      </c>
      <c r="D632" s="1" t="str">
        <f t="shared" si="108"/>
        <v/>
      </c>
      <c r="E632" s="2" t="str">
        <f t="shared" si="109"/>
        <v/>
      </c>
      <c r="F632" s="1" t="str">
        <f t="shared" si="110"/>
        <v/>
      </c>
      <c r="G632" s="1" t="str">
        <f t="shared" si="111"/>
        <v/>
      </c>
      <c r="H632" s="1" t="str">
        <f t="shared" si="112"/>
        <v/>
      </c>
      <c r="K632" s="1" t="str">
        <f t="shared" si="113"/>
        <v/>
      </c>
      <c r="L632" s="1" t="str">
        <f t="shared" si="114"/>
        <v/>
      </c>
      <c r="M632" s="1" t="str">
        <f t="shared" si="115"/>
        <v/>
      </c>
      <c r="N632" s="1" t="str">
        <f t="shared" si="116"/>
        <v/>
      </c>
      <c r="O632" s="1" t="str">
        <f t="shared" si="117"/>
        <v/>
      </c>
      <c r="P632" s="1" t="str">
        <f t="shared" si="118"/>
        <v/>
      </c>
      <c r="R632" s="1" t="str">
        <f t="shared" si="119"/>
        <v/>
      </c>
    </row>
    <row r="633" spans="1:18" x14ac:dyDescent="0.2">
      <c r="A633" t="str">
        <f>IF(COUNTBLANK(B633:R633)&lt;&gt;COLUMNS(B633:R633),632,"")</f>
        <v/>
      </c>
      <c r="D633" s="1" t="str">
        <f t="shared" si="108"/>
        <v/>
      </c>
      <c r="E633" s="2" t="str">
        <f t="shared" si="109"/>
        <v/>
      </c>
      <c r="F633" s="1" t="str">
        <f t="shared" si="110"/>
        <v/>
      </c>
      <c r="G633" s="1" t="str">
        <f t="shared" si="111"/>
        <v/>
      </c>
      <c r="H633" s="1" t="str">
        <f t="shared" si="112"/>
        <v/>
      </c>
      <c r="K633" s="1" t="str">
        <f t="shared" si="113"/>
        <v/>
      </c>
      <c r="L633" s="1" t="str">
        <f t="shared" si="114"/>
        <v/>
      </c>
      <c r="M633" s="1" t="str">
        <f t="shared" si="115"/>
        <v/>
      </c>
      <c r="N633" s="1" t="str">
        <f t="shared" si="116"/>
        <v/>
      </c>
      <c r="O633" s="1" t="str">
        <f t="shared" si="117"/>
        <v/>
      </c>
      <c r="P633" s="1" t="str">
        <f t="shared" si="118"/>
        <v/>
      </c>
      <c r="R633" s="1" t="str">
        <f t="shared" si="119"/>
        <v/>
      </c>
    </row>
    <row r="634" spans="1:18" x14ac:dyDescent="0.2">
      <c r="A634" t="str">
        <f>IF(COUNTBLANK(B634:R634)&lt;&gt;COLUMNS(B634:R634),633,"")</f>
        <v/>
      </c>
      <c r="D634" s="1" t="str">
        <f t="shared" si="108"/>
        <v/>
      </c>
      <c r="E634" s="2" t="str">
        <f t="shared" si="109"/>
        <v/>
      </c>
      <c r="F634" s="1" t="str">
        <f t="shared" si="110"/>
        <v/>
      </c>
      <c r="G634" s="1" t="str">
        <f t="shared" si="111"/>
        <v/>
      </c>
      <c r="H634" s="1" t="str">
        <f t="shared" si="112"/>
        <v/>
      </c>
      <c r="K634" s="1" t="str">
        <f t="shared" si="113"/>
        <v/>
      </c>
      <c r="L634" s="1" t="str">
        <f t="shared" si="114"/>
        <v/>
      </c>
      <c r="M634" s="1" t="str">
        <f t="shared" si="115"/>
        <v/>
      </c>
      <c r="N634" s="1" t="str">
        <f t="shared" si="116"/>
        <v/>
      </c>
      <c r="O634" s="1" t="str">
        <f t="shared" si="117"/>
        <v/>
      </c>
      <c r="P634" s="1" t="str">
        <f t="shared" si="118"/>
        <v/>
      </c>
      <c r="R634" s="1" t="str">
        <f t="shared" si="119"/>
        <v/>
      </c>
    </row>
    <row r="635" spans="1:18" x14ac:dyDescent="0.2">
      <c r="A635" t="str">
        <f>IF(COUNTBLANK(B635:R635)&lt;&gt;COLUMNS(B635:R635),634,"")</f>
        <v/>
      </c>
      <c r="D635" s="1" t="str">
        <f t="shared" si="108"/>
        <v/>
      </c>
      <c r="E635" s="2" t="str">
        <f t="shared" si="109"/>
        <v/>
      </c>
      <c r="F635" s="1" t="str">
        <f t="shared" si="110"/>
        <v/>
      </c>
      <c r="G635" s="1" t="str">
        <f t="shared" si="111"/>
        <v/>
      </c>
      <c r="H635" s="1" t="str">
        <f t="shared" si="112"/>
        <v/>
      </c>
      <c r="K635" s="1" t="str">
        <f t="shared" si="113"/>
        <v/>
      </c>
      <c r="L635" s="1" t="str">
        <f t="shared" si="114"/>
        <v/>
      </c>
      <c r="M635" s="1" t="str">
        <f t="shared" si="115"/>
        <v/>
      </c>
      <c r="N635" s="1" t="str">
        <f t="shared" si="116"/>
        <v/>
      </c>
      <c r="O635" s="1" t="str">
        <f t="shared" si="117"/>
        <v/>
      </c>
      <c r="P635" s="1" t="str">
        <f t="shared" si="118"/>
        <v/>
      </c>
      <c r="R635" s="1" t="str">
        <f t="shared" si="119"/>
        <v/>
      </c>
    </row>
    <row r="636" spans="1:18" x14ac:dyDescent="0.2">
      <c r="A636" t="str">
        <f>IF(COUNTBLANK(B636:R636)&lt;&gt;COLUMNS(B636:R636),635,"")</f>
        <v/>
      </c>
      <c r="D636" s="1" t="str">
        <f t="shared" si="108"/>
        <v/>
      </c>
      <c r="E636" s="2" t="str">
        <f t="shared" si="109"/>
        <v/>
      </c>
      <c r="F636" s="1" t="str">
        <f t="shared" si="110"/>
        <v/>
      </c>
      <c r="G636" s="1" t="str">
        <f t="shared" si="111"/>
        <v/>
      </c>
      <c r="H636" s="1" t="str">
        <f t="shared" si="112"/>
        <v/>
      </c>
      <c r="K636" s="1" t="str">
        <f t="shared" si="113"/>
        <v/>
      </c>
      <c r="L636" s="1" t="str">
        <f t="shared" si="114"/>
        <v/>
      </c>
      <c r="M636" s="1" t="str">
        <f t="shared" si="115"/>
        <v/>
      </c>
      <c r="N636" s="1" t="str">
        <f t="shared" si="116"/>
        <v/>
      </c>
      <c r="O636" s="1" t="str">
        <f t="shared" si="117"/>
        <v/>
      </c>
      <c r="P636" s="1" t="str">
        <f t="shared" si="118"/>
        <v/>
      </c>
      <c r="R636" s="1" t="str">
        <f t="shared" si="119"/>
        <v/>
      </c>
    </row>
    <row r="637" spans="1:18" x14ac:dyDescent="0.2">
      <c r="A637" t="str">
        <f>IF(COUNTBLANK(B637:R637)&lt;&gt;COLUMNS(B637:R637),636,"")</f>
        <v/>
      </c>
      <c r="D637" s="1" t="str">
        <f t="shared" si="108"/>
        <v/>
      </c>
      <c r="E637" s="2" t="str">
        <f t="shared" si="109"/>
        <v/>
      </c>
      <c r="F637" s="1" t="str">
        <f t="shared" si="110"/>
        <v/>
      </c>
      <c r="G637" s="1" t="str">
        <f t="shared" si="111"/>
        <v/>
      </c>
      <c r="H637" s="1" t="str">
        <f t="shared" si="112"/>
        <v/>
      </c>
      <c r="K637" s="1" t="str">
        <f t="shared" si="113"/>
        <v/>
      </c>
      <c r="L637" s="1" t="str">
        <f t="shared" si="114"/>
        <v/>
      </c>
      <c r="M637" s="1" t="str">
        <f t="shared" si="115"/>
        <v/>
      </c>
      <c r="N637" s="1" t="str">
        <f t="shared" si="116"/>
        <v/>
      </c>
      <c r="O637" s="1" t="str">
        <f t="shared" si="117"/>
        <v/>
      </c>
      <c r="P637" s="1" t="str">
        <f t="shared" si="118"/>
        <v/>
      </c>
      <c r="R637" s="1" t="str">
        <f t="shared" si="119"/>
        <v/>
      </c>
    </row>
    <row r="638" spans="1:18" x14ac:dyDescent="0.2">
      <c r="A638" t="str">
        <f>IF(COUNTBLANK(B638:R638)&lt;&gt;COLUMNS(B638:R638),637,"")</f>
        <v/>
      </c>
      <c r="D638" s="1" t="str">
        <f t="shared" si="108"/>
        <v/>
      </c>
      <c r="E638" s="2" t="str">
        <f t="shared" si="109"/>
        <v/>
      </c>
      <c r="F638" s="1" t="str">
        <f t="shared" si="110"/>
        <v/>
      </c>
      <c r="G638" s="1" t="str">
        <f t="shared" si="111"/>
        <v/>
      </c>
      <c r="H638" s="1" t="str">
        <f t="shared" si="112"/>
        <v/>
      </c>
      <c r="K638" s="1" t="str">
        <f t="shared" si="113"/>
        <v/>
      </c>
      <c r="L638" s="1" t="str">
        <f t="shared" si="114"/>
        <v/>
      </c>
      <c r="M638" s="1" t="str">
        <f t="shared" si="115"/>
        <v/>
      </c>
      <c r="N638" s="1" t="str">
        <f t="shared" si="116"/>
        <v/>
      </c>
      <c r="O638" s="1" t="str">
        <f t="shared" si="117"/>
        <v/>
      </c>
      <c r="P638" s="1" t="str">
        <f t="shared" si="118"/>
        <v/>
      </c>
      <c r="R638" s="1" t="str">
        <f t="shared" si="119"/>
        <v/>
      </c>
    </row>
    <row r="639" spans="1:18" x14ac:dyDescent="0.2">
      <c r="A639" t="str">
        <f>IF(COUNTBLANK(B639:R639)&lt;&gt;COLUMNS(B639:R639),638,"")</f>
        <v/>
      </c>
      <c r="D639" s="1" t="str">
        <f t="shared" si="108"/>
        <v/>
      </c>
      <c r="E639" s="2" t="str">
        <f t="shared" si="109"/>
        <v/>
      </c>
      <c r="F639" s="1" t="str">
        <f t="shared" si="110"/>
        <v/>
      </c>
      <c r="G639" s="1" t="str">
        <f t="shared" si="111"/>
        <v/>
      </c>
      <c r="H639" s="1" t="str">
        <f t="shared" si="112"/>
        <v/>
      </c>
      <c r="K639" s="1" t="str">
        <f t="shared" si="113"/>
        <v/>
      </c>
      <c r="L639" s="1" t="str">
        <f t="shared" si="114"/>
        <v/>
      </c>
      <c r="M639" s="1" t="str">
        <f t="shared" si="115"/>
        <v/>
      </c>
      <c r="N639" s="1" t="str">
        <f t="shared" si="116"/>
        <v/>
      </c>
      <c r="O639" s="1" t="str">
        <f t="shared" si="117"/>
        <v/>
      </c>
      <c r="P639" s="1" t="str">
        <f t="shared" si="118"/>
        <v/>
      </c>
      <c r="R639" s="1" t="str">
        <f t="shared" si="119"/>
        <v/>
      </c>
    </row>
    <row r="640" spans="1:18" x14ac:dyDescent="0.2">
      <c r="A640" t="str">
        <f>IF(COUNTBLANK(B640:R640)&lt;&gt;COLUMNS(B640:R640),639,"")</f>
        <v/>
      </c>
      <c r="D640" s="1" t="str">
        <f t="shared" si="108"/>
        <v/>
      </c>
      <c r="E640" s="2" t="str">
        <f t="shared" si="109"/>
        <v/>
      </c>
      <c r="F640" s="1" t="str">
        <f t="shared" si="110"/>
        <v/>
      </c>
      <c r="G640" s="1" t="str">
        <f t="shared" si="111"/>
        <v/>
      </c>
      <c r="H640" s="1" t="str">
        <f t="shared" si="112"/>
        <v/>
      </c>
      <c r="K640" s="1" t="str">
        <f t="shared" si="113"/>
        <v/>
      </c>
      <c r="L640" s="1" t="str">
        <f t="shared" si="114"/>
        <v/>
      </c>
      <c r="M640" s="1" t="str">
        <f t="shared" si="115"/>
        <v/>
      </c>
      <c r="N640" s="1" t="str">
        <f t="shared" si="116"/>
        <v/>
      </c>
      <c r="O640" s="1" t="str">
        <f t="shared" si="117"/>
        <v/>
      </c>
      <c r="P640" s="1" t="str">
        <f t="shared" si="118"/>
        <v/>
      </c>
      <c r="R640" s="1" t="str">
        <f t="shared" si="119"/>
        <v/>
      </c>
    </row>
    <row r="641" spans="1:18" x14ac:dyDescent="0.2">
      <c r="A641" t="str">
        <f>IF(COUNTBLANK(B641:R641)&lt;&gt;COLUMNS(B641:R641),640,"")</f>
        <v/>
      </c>
      <c r="D641" s="1" t="str">
        <f t="shared" si="108"/>
        <v/>
      </c>
      <c r="E641" s="2" t="str">
        <f t="shared" si="109"/>
        <v/>
      </c>
      <c r="F641" s="1" t="str">
        <f t="shared" si="110"/>
        <v/>
      </c>
      <c r="G641" s="1" t="str">
        <f t="shared" si="111"/>
        <v/>
      </c>
      <c r="H641" s="1" t="str">
        <f t="shared" si="112"/>
        <v/>
      </c>
      <c r="K641" s="1" t="str">
        <f t="shared" si="113"/>
        <v/>
      </c>
      <c r="L641" s="1" t="str">
        <f t="shared" si="114"/>
        <v/>
      </c>
      <c r="M641" s="1" t="str">
        <f t="shared" si="115"/>
        <v/>
      </c>
      <c r="N641" s="1" t="str">
        <f t="shared" si="116"/>
        <v/>
      </c>
      <c r="O641" s="1" t="str">
        <f t="shared" si="117"/>
        <v/>
      </c>
      <c r="P641" s="1" t="str">
        <f t="shared" si="118"/>
        <v/>
      </c>
      <c r="R641" s="1" t="str">
        <f t="shared" si="119"/>
        <v/>
      </c>
    </row>
    <row r="642" spans="1:18" x14ac:dyDescent="0.2">
      <c r="A642" t="str">
        <f>IF(COUNTBLANK(B642:R642)&lt;&gt;COLUMNS(B642:R642),641,"")</f>
        <v/>
      </c>
      <c r="D642" s="1" t="str">
        <f t="shared" ref="D642:D705" si="120">IF(B642="", "", "years")</f>
        <v/>
      </c>
      <c r="E642" s="2" t="str">
        <f t="shared" ref="E642:E705" si="121">IF(B642="", "", "missing: not provided")</f>
        <v/>
      </c>
      <c r="F642" s="1" t="str">
        <f t="shared" ref="F642:F705" si="122">IF(B642="", "", "Not applicable")</f>
        <v/>
      </c>
      <c r="G642" s="1" t="str">
        <f t="shared" ref="G642:G705" si="123">IF(B642="", "", "urban biome")</f>
        <v/>
      </c>
      <c r="H642" s="1" t="str">
        <f t="shared" ref="H642:H705" si="124">IF(B642="", "", "human-associated habitat")</f>
        <v/>
      </c>
      <c r="K642" s="1" t="str">
        <f t="shared" ref="K642:K705" si="125">IF(B642="", "", "cm")</f>
        <v/>
      </c>
      <c r="L642" s="1" t="str">
        <f t="shared" ref="L642:L705" si="126">IF(B642="", "", "human")</f>
        <v/>
      </c>
      <c r="M642" s="1" t="str">
        <f t="shared" ref="M642:M705" si="127">IF(B642="", "", "Homo sapiens")</f>
        <v/>
      </c>
      <c r="N642" s="1" t="str">
        <f t="shared" ref="N642:N705" si="128">IF(B642="", "", "9606")</f>
        <v/>
      </c>
      <c r="O642" s="1" t="str">
        <f t="shared" ref="O642:O705" si="129">IF(B642="", "", "missing: not provided")</f>
        <v/>
      </c>
      <c r="P642" s="1" t="str">
        <f t="shared" ref="P642:P705" si="130">IF(B642="", "", "missing: not provided")</f>
        <v/>
      </c>
      <c r="R642" s="1" t="str">
        <f t="shared" ref="R642:R705" si="131">IF(B642="", "", "kg")</f>
        <v/>
      </c>
    </row>
    <row r="643" spans="1:18" x14ac:dyDescent="0.2">
      <c r="A643" t="str">
        <f>IF(COUNTBLANK(B643:R643)&lt;&gt;COLUMNS(B643:R643),642,"")</f>
        <v/>
      </c>
      <c r="D643" s="1" t="str">
        <f t="shared" si="120"/>
        <v/>
      </c>
      <c r="E643" s="2" t="str">
        <f t="shared" si="121"/>
        <v/>
      </c>
      <c r="F643" s="1" t="str">
        <f t="shared" si="122"/>
        <v/>
      </c>
      <c r="G643" s="1" t="str">
        <f t="shared" si="123"/>
        <v/>
      </c>
      <c r="H643" s="1" t="str">
        <f t="shared" si="124"/>
        <v/>
      </c>
      <c r="K643" s="1" t="str">
        <f t="shared" si="125"/>
        <v/>
      </c>
      <c r="L643" s="1" t="str">
        <f t="shared" si="126"/>
        <v/>
      </c>
      <c r="M643" s="1" t="str">
        <f t="shared" si="127"/>
        <v/>
      </c>
      <c r="N643" s="1" t="str">
        <f t="shared" si="128"/>
        <v/>
      </c>
      <c r="O643" s="1" t="str">
        <f t="shared" si="129"/>
        <v/>
      </c>
      <c r="P643" s="1" t="str">
        <f t="shared" si="130"/>
        <v/>
      </c>
      <c r="R643" s="1" t="str">
        <f t="shared" si="131"/>
        <v/>
      </c>
    </row>
    <row r="644" spans="1:18" x14ac:dyDescent="0.2">
      <c r="A644" t="str">
        <f>IF(COUNTBLANK(B644:R644)&lt;&gt;COLUMNS(B644:R644),643,"")</f>
        <v/>
      </c>
      <c r="D644" s="1" t="str">
        <f t="shared" si="120"/>
        <v/>
      </c>
      <c r="E644" s="2" t="str">
        <f t="shared" si="121"/>
        <v/>
      </c>
      <c r="F644" s="1" t="str">
        <f t="shared" si="122"/>
        <v/>
      </c>
      <c r="G644" s="1" t="str">
        <f t="shared" si="123"/>
        <v/>
      </c>
      <c r="H644" s="1" t="str">
        <f t="shared" si="124"/>
        <v/>
      </c>
      <c r="K644" s="1" t="str">
        <f t="shared" si="125"/>
        <v/>
      </c>
      <c r="L644" s="1" t="str">
        <f t="shared" si="126"/>
        <v/>
      </c>
      <c r="M644" s="1" t="str">
        <f t="shared" si="127"/>
        <v/>
      </c>
      <c r="N644" s="1" t="str">
        <f t="shared" si="128"/>
        <v/>
      </c>
      <c r="O644" s="1" t="str">
        <f t="shared" si="129"/>
        <v/>
      </c>
      <c r="P644" s="1" t="str">
        <f t="shared" si="130"/>
        <v/>
      </c>
      <c r="R644" s="1" t="str">
        <f t="shared" si="131"/>
        <v/>
      </c>
    </row>
    <row r="645" spans="1:18" x14ac:dyDescent="0.2">
      <c r="A645" t="str">
        <f>IF(COUNTBLANK(B645:R645)&lt;&gt;COLUMNS(B645:R645),644,"")</f>
        <v/>
      </c>
      <c r="D645" s="1" t="str">
        <f t="shared" si="120"/>
        <v/>
      </c>
      <c r="E645" s="2" t="str">
        <f t="shared" si="121"/>
        <v/>
      </c>
      <c r="F645" s="1" t="str">
        <f t="shared" si="122"/>
        <v/>
      </c>
      <c r="G645" s="1" t="str">
        <f t="shared" si="123"/>
        <v/>
      </c>
      <c r="H645" s="1" t="str">
        <f t="shared" si="124"/>
        <v/>
      </c>
      <c r="K645" s="1" t="str">
        <f t="shared" si="125"/>
        <v/>
      </c>
      <c r="L645" s="1" t="str">
        <f t="shared" si="126"/>
        <v/>
      </c>
      <c r="M645" s="1" t="str">
        <f t="shared" si="127"/>
        <v/>
      </c>
      <c r="N645" s="1" t="str">
        <f t="shared" si="128"/>
        <v/>
      </c>
      <c r="O645" s="1" t="str">
        <f t="shared" si="129"/>
        <v/>
      </c>
      <c r="P645" s="1" t="str">
        <f t="shared" si="130"/>
        <v/>
      </c>
      <c r="R645" s="1" t="str">
        <f t="shared" si="131"/>
        <v/>
      </c>
    </row>
    <row r="646" spans="1:18" x14ac:dyDescent="0.2">
      <c r="A646" t="str">
        <f>IF(COUNTBLANK(B646:R646)&lt;&gt;COLUMNS(B646:R646),645,"")</f>
        <v/>
      </c>
      <c r="D646" s="1" t="str">
        <f t="shared" si="120"/>
        <v/>
      </c>
      <c r="E646" s="2" t="str">
        <f t="shared" si="121"/>
        <v/>
      </c>
      <c r="F646" s="1" t="str">
        <f t="shared" si="122"/>
        <v/>
      </c>
      <c r="G646" s="1" t="str">
        <f t="shared" si="123"/>
        <v/>
      </c>
      <c r="H646" s="1" t="str">
        <f t="shared" si="124"/>
        <v/>
      </c>
      <c r="K646" s="1" t="str">
        <f t="shared" si="125"/>
        <v/>
      </c>
      <c r="L646" s="1" t="str">
        <f t="shared" si="126"/>
        <v/>
      </c>
      <c r="M646" s="1" t="str">
        <f t="shared" si="127"/>
        <v/>
      </c>
      <c r="N646" s="1" t="str">
        <f t="shared" si="128"/>
        <v/>
      </c>
      <c r="O646" s="1" t="str">
        <f t="shared" si="129"/>
        <v/>
      </c>
      <c r="P646" s="1" t="str">
        <f t="shared" si="130"/>
        <v/>
      </c>
      <c r="R646" s="1" t="str">
        <f t="shared" si="131"/>
        <v/>
      </c>
    </row>
    <row r="647" spans="1:18" x14ac:dyDescent="0.2">
      <c r="A647" t="str">
        <f>IF(COUNTBLANK(B647:R647)&lt;&gt;COLUMNS(B647:R647),646,"")</f>
        <v/>
      </c>
      <c r="D647" s="1" t="str">
        <f t="shared" si="120"/>
        <v/>
      </c>
      <c r="E647" s="2" t="str">
        <f t="shared" si="121"/>
        <v/>
      </c>
      <c r="F647" s="1" t="str">
        <f t="shared" si="122"/>
        <v/>
      </c>
      <c r="G647" s="1" t="str">
        <f t="shared" si="123"/>
        <v/>
      </c>
      <c r="H647" s="1" t="str">
        <f t="shared" si="124"/>
        <v/>
      </c>
      <c r="K647" s="1" t="str">
        <f t="shared" si="125"/>
        <v/>
      </c>
      <c r="L647" s="1" t="str">
        <f t="shared" si="126"/>
        <v/>
      </c>
      <c r="M647" s="1" t="str">
        <f t="shared" si="127"/>
        <v/>
      </c>
      <c r="N647" s="1" t="str">
        <f t="shared" si="128"/>
        <v/>
      </c>
      <c r="O647" s="1" t="str">
        <f t="shared" si="129"/>
        <v/>
      </c>
      <c r="P647" s="1" t="str">
        <f t="shared" si="130"/>
        <v/>
      </c>
      <c r="R647" s="1" t="str">
        <f t="shared" si="131"/>
        <v/>
      </c>
    </row>
    <row r="648" spans="1:18" x14ac:dyDescent="0.2">
      <c r="A648" t="str">
        <f>IF(COUNTBLANK(B648:R648)&lt;&gt;COLUMNS(B648:R648),647,"")</f>
        <v/>
      </c>
      <c r="D648" s="1" t="str">
        <f t="shared" si="120"/>
        <v/>
      </c>
      <c r="E648" s="2" t="str">
        <f t="shared" si="121"/>
        <v/>
      </c>
      <c r="F648" s="1" t="str">
        <f t="shared" si="122"/>
        <v/>
      </c>
      <c r="G648" s="1" t="str">
        <f t="shared" si="123"/>
        <v/>
      </c>
      <c r="H648" s="1" t="str">
        <f t="shared" si="124"/>
        <v/>
      </c>
      <c r="K648" s="1" t="str">
        <f t="shared" si="125"/>
        <v/>
      </c>
      <c r="L648" s="1" t="str">
        <f t="shared" si="126"/>
        <v/>
      </c>
      <c r="M648" s="1" t="str">
        <f t="shared" si="127"/>
        <v/>
      </c>
      <c r="N648" s="1" t="str">
        <f t="shared" si="128"/>
        <v/>
      </c>
      <c r="O648" s="1" t="str">
        <f t="shared" si="129"/>
        <v/>
      </c>
      <c r="P648" s="1" t="str">
        <f t="shared" si="130"/>
        <v/>
      </c>
      <c r="R648" s="1" t="str">
        <f t="shared" si="131"/>
        <v/>
      </c>
    </row>
    <row r="649" spans="1:18" x14ac:dyDescent="0.2">
      <c r="A649" t="str">
        <f>IF(COUNTBLANK(B649:R649)&lt;&gt;COLUMNS(B649:R649),648,"")</f>
        <v/>
      </c>
      <c r="D649" s="1" t="str">
        <f t="shared" si="120"/>
        <v/>
      </c>
      <c r="E649" s="2" t="str">
        <f t="shared" si="121"/>
        <v/>
      </c>
      <c r="F649" s="1" t="str">
        <f t="shared" si="122"/>
        <v/>
      </c>
      <c r="G649" s="1" t="str">
        <f t="shared" si="123"/>
        <v/>
      </c>
      <c r="H649" s="1" t="str">
        <f t="shared" si="124"/>
        <v/>
      </c>
      <c r="K649" s="1" t="str">
        <f t="shared" si="125"/>
        <v/>
      </c>
      <c r="L649" s="1" t="str">
        <f t="shared" si="126"/>
        <v/>
      </c>
      <c r="M649" s="1" t="str">
        <f t="shared" si="127"/>
        <v/>
      </c>
      <c r="N649" s="1" t="str">
        <f t="shared" si="128"/>
        <v/>
      </c>
      <c r="O649" s="1" t="str">
        <f t="shared" si="129"/>
        <v/>
      </c>
      <c r="P649" s="1" t="str">
        <f t="shared" si="130"/>
        <v/>
      </c>
      <c r="R649" s="1" t="str">
        <f t="shared" si="131"/>
        <v/>
      </c>
    </row>
    <row r="650" spans="1:18" x14ac:dyDescent="0.2">
      <c r="A650" t="str">
        <f>IF(COUNTBLANK(B650:R650)&lt;&gt;COLUMNS(B650:R650),649,"")</f>
        <v/>
      </c>
      <c r="D650" s="1" t="str">
        <f t="shared" si="120"/>
        <v/>
      </c>
      <c r="E650" s="2" t="str">
        <f t="shared" si="121"/>
        <v/>
      </c>
      <c r="F650" s="1" t="str">
        <f t="shared" si="122"/>
        <v/>
      </c>
      <c r="G650" s="1" t="str">
        <f t="shared" si="123"/>
        <v/>
      </c>
      <c r="H650" s="1" t="str">
        <f t="shared" si="124"/>
        <v/>
      </c>
      <c r="K650" s="1" t="str">
        <f t="shared" si="125"/>
        <v/>
      </c>
      <c r="L650" s="1" t="str">
        <f t="shared" si="126"/>
        <v/>
      </c>
      <c r="M650" s="1" t="str">
        <f t="shared" si="127"/>
        <v/>
      </c>
      <c r="N650" s="1" t="str">
        <f t="shared" si="128"/>
        <v/>
      </c>
      <c r="O650" s="1" t="str">
        <f t="shared" si="129"/>
        <v/>
      </c>
      <c r="P650" s="1" t="str">
        <f t="shared" si="130"/>
        <v/>
      </c>
      <c r="R650" s="1" t="str">
        <f t="shared" si="131"/>
        <v/>
      </c>
    </row>
    <row r="651" spans="1:18" x14ac:dyDescent="0.2">
      <c r="A651" t="str">
        <f>IF(COUNTBLANK(B651:R651)&lt;&gt;COLUMNS(B651:R651),650,"")</f>
        <v/>
      </c>
      <c r="D651" s="1" t="str">
        <f t="shared" si="120"/>
        <v/>
      </c>
      <c r="E651" s="2" t="str">
        <f t="shared" si="121"/>
        <v/>
      </c>
      <c r="F651" s="1" t="str">
        <f t="shared" si="122"/>
        <v/>
      </c>
      <c r="G651" s="1" t="str">
        <f t="shared" si="123"/>
        <v/>
      </c>
      <c r="H651" s="1" t="str">
        <f t="shared" si="124"/>
        <v/>
      </c>
      <c r="K651" s="1" t="str">
        <f t="shared" si="125"/>
        <v/>
      </c>
      <c r="L651" s="1" t="str">
        <f t="shared" si="126"/>
        <v/>
      </c>
      <c r="M651" s="1" t="str">
        <f t="shared" si="127"/>
        <v/>
      </c>
      <c r="N651" s="1" t="str">
        <f t="shared" si="128"/>
        <v/>
      </c>
      <c r="O651" s="1" t="str">
        <f t="shared" si="129"/>
        <v/>
      </c>
      <c r="P651" s="1" t="str">
        <f t="shared" si="130"/>
        <v/>
      </c>
      <c r="R651" s="1" t="str">
        <f t="shared" si="131"/>
        <v/>
      </c>
    </row>
    <row r="652" spans="1:18" x14ac:dyDescent="0.2">
      <c r="A652" t="str">
        <f>IF(COUNTBLANK(B652:R652)&lt;&gt;COLUMNS(B652:R652),651,"")</f>
        <v/>
      </c>
      <c r="D652" s="1" t="str">
        <f t="shared" si="120"/>
        <v/>
      </c>
      <c r="E652" s="2" t="str">
        <f t="shared" si="121"/>
        <v/>
      </c>
      <c r="F652" s="1" t="str">
        <f t="shared" si="122"/>
        <v/>
      </c>
      <c r="G652" s="1" t="str">
        <f t="shared" si="123"/>
        <v/>
      </c>
      <c r="H652" s="1" t="str">
        <f t="shared" si="124"/>
        <v/>
      </c>
      <c r="K652" s="1" t="str">
        <f t="shared" si="125"/>
        <v/>
      </c>
      <c r="L652" s="1" t="str">
        <f t="shared" si="126"/>
        <v/>
      </c>
      <c r="M652" s="1" t="str">
        <f t="shared" si="127"/>
        <v/>
      </c>
      <c r="N652" s="1" t="str">
        <f t="shared" si="128"/>
        <v/>
      </c>
      <c r="O652" s="1" t="str">
        <f t="shared" si="129"/>
        <v/>
      </c>
      <c r="P652" s="1" t="str">
        <f t="shared" si="130"/>
        <v/>
      </c>
      <c r="R652" s="1" t="str">
        <f t="shared" si="131"/>
        <v/>
      </c>
    </row>
    <row r="653" spans="1:18" x14ac:dyDescent="0.2">
      <c r="A653" t="str">
        <f>IF(COUNTBLANK(B653:R653)&lt;&gt;COLUMNS(B653:R653),652,"")</f>
        <v/>
      </c>
      <c r="D653" s="1" t="str">
        <f t="shared" si="120"/>
        <v/>
      </c>
      <c r="E653" s="2" t="str">
        <f t="shared" si="121"/>
        <v/>
      </c>
      <c r="F653" s="1" t="str">
        <f t="shared" si="122"/>
        <v/>
      </c>
      <c r="G653" s="1" t="str">
        <f t="shared" si="123"/>
        <v/>
      </c>
      <c r="H653" s="1" t="str">
        <f t="shared" si="124"/>
        <v/>
      </c>
      <c r="K653" s="1" t="str">
        <f t="shared" si="125"/>
        <v/>
      </c>
      <c r="L653" s="1" t="str">
        <f t="shared" si="126"/>
        <v/>
      </c>
      <c r="M653" s="1" t="str">
        <f t="shared" si="127"/>
        <v/>
      </c>
      <c r="N653" s="1" t="str">
        <f t="shared" si="128"/>
        <v/>
      </c>
      <c r="O653" s="1" t="str">
        <f t="shared" si="129"/>
        <v/>
      </c>
      <c r="P653" s="1" t="str">
        <f t="shared" si="130"/>
        <v/>
      </c>
      <c r="R653" s="1" t="str">
        <f t="shared" si="131"/>
        <v/>
      </c>
    </row>
    <row r="654" spans="1:18" x14ac:dyDescent="0.2">
      <c r="A654" t="str">
        <f>IF(COUNTBLANK(B654:R654)&lt;&gt;COLUMNS(B654:R654),653,"")</f>
        <v/>
      </c>
      <c r="D654" s="1" t="str">
        <f t="shared" si="120"/>
        <v/>
      </c>
      <c r="E654" s="2" t="str">
        <f t="shared" si="121"/>
        <v/>
      </c>
      <c r="F654" s="1" t="str">
        <f t="shared" si="122"/>
        <v/>
      </c>
      <c r="G654" s="1" t="str">
        <f t="shared" si="123"/>
        <v/>
      </c>
      <c r="H654" s="1" t="str">
        <f t="shared" si="124"/>
        <v/>
      </c>
      <c r="K654" s="1" t="str">
        <f t="shared" si="125"/>
        <v/>
      </c>
      <c r="L654" s="1" t="str">
        <f t="shared" si="126"/>
        <v/>
      </c>
      <c r="M654" s="1" t="str">
        <f t="shared" si="127"/>
        <v/>
      </c>
      <c r="N654" s="1" t="str">
        <f t="shared" si="128"/>
        <v/>
      </c>
      <c r="O654" s="1" t="str">
        <f t="shared" si="129"/>
        <v/>
      </c>
      <c r="P654" s="1" t="str">
        <f t="shared" si="130"/>
        <v/>
      </c>
      <c r="R654" s="1" t="str">
        <f t="shared" si="131"/>
        <v/>
      </c>
    </row>
    <row r="655" spans="1:18" x14ac:dyDescent="0.2">
      <c r="A655" t="str">
        <f>IF(COUNTBLANK(B655:R655)&lt;&gt;COLUMNS(B655:R655),654,"")</f>
        <v/>
      </c>
      <c r="D655" s="1" t="str">
        <f t="shared" si="120"/>
        <v/>
      </c>
      <c r="E655" s="2" t="str">
        <f t="shared" si="121"/>
        <v/>
      </c>
      <c r="F655" s="1" t="str">
        <f t="shared" si="122"/>
        <v/>
      </c>
      <c r="G655" s="1" t="str">
        <f t="shared" si="123"/>
        <v/>
      </c>
      <c r="H655" s="1" t="str">
        <f t="shared" si="124"/>
        <v/>
      </c>
      <c r="K655" s="1" t="str">
        <f t="shared" si="125"/>
        <v/>
      </c>
      <c r="L655" s="1" t="str">
        <f t="shared" si="126"/>
        <v/>
      </c>
      <c r="M655" s="1" t="str">
        <f t="shared" si="127"/>
        <v/>
      </c>
      <c r="N655" s="1" t="str">
        <f t="shared" si="128"/>
        <v/>
      </c>
      <c r="O655" s="1" t="str">
        <f t="shared" si="129"/>
        <v/>
      </c>
      <c r="P655" s="1" t="str">
        <f t="shared" si="130"/>
        <v/>
      </c>
      <c r="R655" s="1" t="str">
        <f t="shared" si="131"/>
        <v/>
      </c>
    </row>
    <row r="656" spans="1:18" x14ac:dyDescent="0.2">
      <c r="A656" t="str">
        <f>IF(COUNTBLANK(B656:R656)&lt;&gt;COLUMNS(B656:R656),655,"")</f>
        <v/>
      </c>
      <c r="D656" s="1" t="str">
        <f t="shared" si="120"/>
        <v/>
      </c>
      <c r="E656" s="2" t="str">
        <f t="shared" si="121"/>
        <v/>
      </c>
      <c r="F656" s="1" t="str">
        <f t="shared" si="122"/>
        <v/>
      </c>
      <c r="G656" s="1" t="str">
        <f t="shared" si="123"/>
        <v/>
      </c>
      <c r="H656" s="1" t="str">
        <f t="shared" si="124"/>
        <v/>
      </c>
      <c r="K656" s="1" t="str">
        <f t="shared" si="125"/>
        <v/>
      </c>
      <c r="L656" s="1" t="str">
        <f t="shared" si="126"/>
        <v/>
      </c>
      <c r="M656" s="1" t="str">
        <f t="shared" si="127"/>
        <v/>
      </c>
      <c r="N656" s="1" t="str">
        <f t="shared" si="128"/>
        <v/>
      </c>
      <c r="O656" s="1" t="str">
        <f t="shared" si="129"/>
        <v/>
      </c>
      <c r="P656" s="1" t="str">
        <f t="shared" si="130"/>
        <v/>
      </c>
      <c r="R656" s="1" t="str">
        <f t="shared" si="131"/>
        <v/>
      </c>
    </row>
    <row r="657" spans="1:18" x14ac:dyDescent="0.2">
      <c r="A657" t="str">
        <f>IF(COUNTBLANK(B657:R657)&lt;&gt;COLUMNS(B657:R657),656,"")</f>
        <v/>
      </c>
      <c r="D657" s="1" t="str">
        <f t="shared" si="120"/>
        <v/>
      </c>
      <c r="E657" s="2" t="str">
        <f t="shared" si="121"/>
        <v/>
      </c>
      <c r="F657" s="1" t="str">
        <f t="shared" si="122"/>
        <v/>
      </c>
      <c r="G657" s="1" t="str">
        <f t="shared" si="123"/>
        <v/>
      </c>
      <c r="H657" s="1" t="str">
        <f t="shared" si="124"/>
        <v/>
      </c>
      <c r="K657" s="1" t="str">
        <f t="shared" si="125"/>
        <v/>
      </c>
      <c r="L657" s="1" t="str">
        <f t="shared" si="126"/>
        <v/>
      </c>
      <c r="M657" s="1" t="str">
        <f t="shared" si="127"/>
        <v/>
      </c>
      <c r="N657" s="1" t="str">
        <f t="shared" si="128"/>
        <v/>
      </c>
      <c r="O657" s="1" t="str">
        <f t="shared" si="129"/>
        <v/>
      </c>
      <c r="P657" s="1" t="str">
        <f t="shared" si="130"/>
        <v/>
      </c>
      <c r="R657" s="1" t="str">
        <f t="shared" si="131"/>
        <v/>
      </c>
    </row>
    <row r="658" spans="1:18" x14ac:dyDescent="0.2">
      <c r="A658" t="str">
        <f>IF(COUNTBLANK(B658:R658)&lt;&gt;COLUMNS(B658:R658),657,"")</f>
        <v/>
      </c>
      <c r="D658" s="1" t="str">
        <f t="shared" si="120"/>
        <v/>
      </c>
      <c r="E658" s="2" t="str">
        <f t="shared" si="121"/>
        <v/>
      </c>
      <c r="F658" s="1" t="str">
        <f t="shared" si="122"/>
        <v/>
      </c>
      <c r="G658" s="1" t="str">
        <f t="shared" si="123"/>
        <v/>
      </c>
      <c r="H658" s="1" t="str">
        <f t="shared" si="124"/>
        <v/>
      </c>
      <c r="K658" s="1" t="str">
        <f t="shared" si="125"/>
        <v/>
      </c>
      <c r="L658" s="1" t="str">
        <f t="shared" si="126"/>
        <v/>
      </c>
      <c r="M658" s="1" t="str">
        <f t="shared" si="127"/>
        <v/>
      </c>
      <c r="N658" s="1" t="str">
        <f t="shared" si="128"/>
        <v/>
      </c>
      <c r="O658" s="1" t="str">
        <f t="shared" si="129"/>
        <v/>
      </c>
      <c r="P658" s="1" t="str">
        <f t="shared" si="130"/>
        <v/>
      </c>
      <c r="R658" s="1" t="str">
        <f t="shared" si="131"/>
        <v/>
      </c>
    </row>
    <row r="659" spans="1:18" x14ac:dyDescent="0.2">
      <c r="A659" t="str">
        <f>IF(COUNTBLANK(B659:R659)&lt;&gt;COLUMNS(B659:R659),658,"")</f>
        <v/>
      </c>
      <c r="D659" s="1" t="str">
        <f t="shared" si="120"/>
        <v/>
      </c>
      <c r="E659" s="2" t="str">
        <f t="shared" si="121"/>
        <v/>
      </c>
      <c r="F659" s="1" t="str">
        <f t="shared" si="122"/>
        <v/>
      </c>
      <c r="G659" s="1" t="str">
        <f t="shared" si="123"/>
        <v/>
      </c>
      <c r="H659" s="1" t="str">
        <f t="shared" si="124"/>
        <v/>
      </c>
      <c r="K659" s="1" t="str">
        <f t="shared" si="125"/>
        <v/>
      </c>
      <c r="L659" s="1" t="str">
        <f t="shared" si="126"/>
        <v/>
      </c>
      <c r="M659" s="1" t="str">
        <f t="shared" si="127"/>
        <v/>
      </c>
      <c r="N659" s="1" t="str">
        <f t="shared" si="128"/>
        <v/>
      </c>
      <c r="O659" s="1" t="str">
        <f t="shared" si="129"/>
        <v/>
      </c>
      <c r="P659" s="1" t="str">
        <f t="shared" si="130"/>
        <v/>
      </c>
      <c r="R659" s="1" t="str">
        <f t="shared" si="131"/>
        <v/>
      </c>
    </row>
    <row r="660" spans="1:18" x14ac:dyDescent="0.2">
      <c r="A660" t="str">
        <f>IF(COUNTBLANK(B660:R660)&lt;&gt;COLUMNS(B660:R660),659,"")</f>
        <v/>
      </c>
      <c r="D660" s="1" t="str">
        <f t="shared" si="120"/>
        <v/>
      </c>
      <c r="E660" s="2" t="str">
        <f t="shared" si="121"/>
        <v/>
      </c>
      <c r="F660" s="1" t="str">
        <f t="shared" si="122"/>
        <v/>
      </c>
      <c r="G660" s="1" t="str">
        <f t="shared" si="123"/>
        <v/>
      </c>
      <c r="H660" s="1" t="str">
        <f t="shared" si="124"/>
        <v/>
      </c>
      <c r="K660" s="1" t="str">
        <f t="shared" si="125"/>
        <v/>
      </c>
      <c r="L660" s="1" t="str">
        <f t="shared" si="126"/>
        <v/>
      </c>
      <c r="M660" s="1" t="str">
        <f t="shared" si="127"/>
        <v/>
      </c>
      <c r="N660" s="1" t="str">
        <f t="shared" si="128"/>
        <v/>
      </c>
      <c r="O660" s="1" t="str">
        <f t="shared" si="129"/>
        <v/>
      </c>
      <c r="P660" s="1" t="str">
        <f t="shared" si="130"/>
        <v/>
      </c>
      <c r="R660" s="1" t="str">
        <f t="shared" si="131"/>
        <v/>
      </c>
    </row>
    <row r="661" spans="1:18" x14ac:dyDescent="0.2">
      <c r="A661" t="str">
        <f>IF(COUNTBLANK(B661:R661)&lt;&gt;COLUMNS(B661:R661),660,"")</f>
        <v/>
      </c>
      <c r="D661" s="1" t="str">
        <f t="shared" si="120"/>
        <v/>
      </c>
      <c r="E661" s="2" t="str">
        <f t="shared" si="121"/>
        <v/>
      </c>
      <c r="F661" s="1" t="str">
        <f t="shared" si="122"/>
        <v/>
      </c>
      <c r="G661" s="1" t="str">
        <f t="shared" si="123"/>
        <v/>
      </c>
      <c r="H661" s="1" t="str">
        <f t="shared" si="124"/>
        <v/>
      </c>
      <c r="K661" s="1" t="str">
        <f t="shared" si="125"/>
        <v/>
      </c>
      <c r="L661" s="1" t="str">
        <f t="shared" si="126"/>
        <v/>
      </c>
      <c r="M661" s="1" t="str">
        <f t="shared" si="127"/>
        <v/>
      </c>
      <c r="N661" s="1" t="str">
        <f t="shared" si="128"/>
        <v/>
      </c>
      <c r="O661" s="1" t="str">
        <f t="shared" si="129"/>
        <v/>
      </c>
      <c r="P661" s="1" t="str">
        <f t="shared" si="130"/>
        <v/>
      </c>
      <c r="R661" s="1" t="str">
        <f t="shared" si="131"/>
        <v/>
      </c>
    </row>
    <row r="662" spans="1:18" x14ac:dyDescent="0.2">
      <c r="A662" t="str">
        <f>IF(COUNTBLANK(B662:R662)&lt;&gt;COLUMNS(B662:R662),661,"")</f>
        <v/>
      </c>
      <c r="D662" s="1" t="str">
        <f t="shared" si="120"/>
        <v/>
      </c>
      <c r="E662" s="2" t="str">
        <f t="shared" si="121"/>
        <v/>
      </c>
      <c r="F662" s="1" t="str">
        <f t="shared" si="122"/>
        <v/>
      </c>
      <c r="G662" s="1" t="str">
        <f t="shared" si="123"/>
        <v/>
      </c>
      <c r="H662" s="1" t="str">
        <f t="shared" si="124"/>
        <v/>
      </c>
      <c r="K662" s="1" t="str">
        <f t="shared" si="125"/>
        <v/>
      </c>
      <c r="L662" s="1" t="str">
        <f t="shared" si="126"/>
        <v/>
      </c>
      <c r="M662" s="1" t="str">
        <f t="shared" si="127"/>
        <v/>
      </c>
      <c r="N662" s="1" t="str">
        <f t="shared" si="128"/>
        <v/>
      </c>
      <c r="O662" s="1" t="str">
        <f t="shared" si="129"/>
        <v/>
      </c>
      <c r="P662" s="1" t="str">
        <f t="shared" si="130"/>
        <v/>
      </c>
      <c r="R662" s="1" t="str">
        <f t="shared" si="131"/>
        <v/>
      </c>
    </row>
    <row r="663" spans="1:18" x14ac:dyDescent="0.2">
      <c r="A663" t="str">
        <f>IF(COUNTBLANK(B663:R663)&lt;&gt;COLUMNS(B663:R663),662,"")</f>
        <v/>
      </c>
      <c r="D663" s="1" t="str">
        <f t="shared" si="120"/>
        <v/>
      </c>
      <c r="E663" s="2" t="str">
        <f t="shared" si="121"/>
        <v/>
      </c>
      <c r="F663" s="1" t="str">
        <f t="shared" si="122"/>
        <v/>
      </c>
      <c r="G663" s="1" t="str">
        <f t="shared" si="123"/>
        <v/>
      </c>
      <c r="H663" s="1" t="str">
        <f t="shared" si="124"/>
        <v/>
      </c>
      <c r="K663" s="1" t="str">
        <f t="shared" si="125"/>
        <v/>
      </c>
      <c r="L663" s="1" t="str">
        <f t="shared" si="126"/>
        <v/>
      </c>
      <c r="M663" s="1" t="str">
        <f t="shared" si="127"/>
        <v/>
      </c>
      <c r="N663" s="1" t="str">
        <f t="shared" si="128"/>
        <v/>
      </c>
      <c r="O663" s="1" t="str">
        <f t="shared" si="129"/>
        <v/>
      </c>
      <c r="P663" s="1" t="str">
        <f t="shared" si="130"/>
        <v/>
      </c>
      <c r="R663" s="1" t="str">
        <f t="shared" si="131"/>
        <v/>
      </c>
    </row>
    <row r="664" spans="1:18" x14ac:dyDescent="0.2">
      <c r="A664" t="str">
        <f>IF(COUNTBLANK(B664:R664)&lt;&gt;COLUMNS(B664:R664),663,"")</f>
        <v/>
      </c>
      <c r="D664" s="1" t="str">
        <f t="shared" si="120"/>
        <v/>
      </c>
      <c r="E664" s="2" t="str">
        <f t="shared" si="121"/>
        <v/>
      </c>
      <c r="F664" s="1" t="str">
        <f t="shared" si="122"/>
        <v/>
      </c>
      <c r="G664" s="1" t="str">
        <f t="shared" si="123"/>
        <v/>
      </c>
      <c r="H664" s="1" t="str">
        <f t="shared" si="124"/>
        <v/>
      </c>
      <c r="K664" s="1" t="str">
        <f t="shared" si="125"/>
        <v/>
      </c>
      <c r="L664" s="1" t="str">
        <f t="shared" si="126"/>
        <v/>
      </c>
      <c r="M664" s="1" t="str">
        <f t="shared" si="127"/>
        <v/>
      </c>
      <c r="N664" s="1" t="str">
        <f t="shared" si="128"/>
        <v/>
      </c>
      <c r="O664" s="1" t="str">
        <f t="shared" si="129"/>
        <v/>
      </c>
      <c r="P664" s="1" t="str">
        <f t="shared" si="130"/>
        <v/>
      </c>
      <c r="R664" s="1" t="str">
        <f t="shared" si="131"/>
        <v/>
      </c>
    </row>
    <row r="665" spans="1:18" x14ac:dyDescent="0.2">
      <c r="A665" t="str">
        <f>IF(COUNTBLANK(B665:R665)&lt;&gt;COLUMNS(B665:R665),664,"")</f>
        <v/>
      </c>
      <c r="D665" s="1" t="str">
        <f t="shared" si="120"/>
        <v/>
      </c>
      <c r="E665" s="2" t="str">
        <f t="shared" si="121"/>
        <v/>
      </c>
      <c r="F665" s="1" t="str">
        <f t="shared" si="122"/>
        <v/>
      </c>
      <c r="G665" s="1" t="str">
        <f t="shared" si="123"/>
        <v/>
      </c>
      <c r="H665" s="1" t="str">
        <f t="shared" si="124"/>
        <v/>
      </c>
      <c r="K665" s="1" t="str">
        <f t="shared" si="125"/>
        <v/>
      </c>
      <c r="L665" s="1" t="str">
        <f t="shared" si="126"/>
        <v/>
      </c>
      <c r="M665" s="1" t="str">
        <f t="shared" si="127"/>
        <v/>
      </c>
      <c r="N665" s="1" t="str">
        <f t="shared" si="128"/>
        <v/>
      </c>
      <c r="O665" s="1" t="str">
        <f t="shared" si="129"/>
        <v/>
      </c>
      <c r="P665" s="1" t="str">
        <f t="shared" si="130"/>
        <v/>
      </c>
      <c r="R665" s="1" t="str">
        <f t="shared" si="131"/>
        <v/>
      </c>
    </row>
    <row r="666" spans="1:18" x14ac:dyDescent="0.2">
      <c r="A666" t="str">
        <f>IF(COUNTBLANK(B666:R666)&lt;&gt;COLUMNS(B666:R666),665,"")</f>
        <v/>
      </c>
      <c r="D666" s="1" t="str">
        <f t="shared" si="120"/>
        <v/>
      </c>
      <c r="E666" s="2" t="str">
        <f t="shared" si="121"/>
        <v/>
      </c>
      <c r="F666" s="1" t="str">
        <f t="shared" si="122"/>
        <v/>
      </c>
      <c r="G666" s="1" t="str">
        <f t="shared" si="123"/>
        <v/>
      </c>
      <c r="H666" s="1" t="str">
        <f t="shared" si="124"/>
        <v/>
      </c>
      <c r="K666" s="1" t="str">
        <f t="shared" si="125"/>
        <v/>
      </c>
      <c r="L666" s="1" t="str">
        <f t="shared" si="126"/>
        <v/>
      </c>
      <c r="M666" s="1" t="str">
        <f t="shared" si="127"/>
        <v/>
      </c>
      <c r="N666" s="1" t="str">
        <f t="shared" si="128"/>
        <v/>
      </c>
      <c r="O666" s="1" t="str">
        <f t="shared" si="129"/>
        <v/>
      </c>
      <c r="P666" s="1" t="str">
        <f t="shared" si="130"/>
        <v/>
      </c>
      <c r="R666" s="1" t="str">
        <f t="shared" si="131"/>
        <v/>
      </c>
    </row>
    <row r="667" spans="1:18" x14ac:dyDescent="0.2">
      <c r="A667" t="str">
        <f>IF(COUNTBLANK(B667:R667)&lt;&gt;COLUMNS(B667:R667),666,"")</f>
        <v/>
      </c>
      <c r="D667" s="1" t="str">
        <f t="shared" si="120"/>
        <v/>
      </c>
      <c r="E667" s="2" t="str">
        <f t="shared" si="121"/>
        <v/>
      </c>
      <c r="F667" s="1" t="str">
        <f t="shared" si="122"/>
        <v/>
      </c>
      <c r="G667" s="1" t="str">
        <f t="shared" si="123"/>
        <v/>
      </c>
      <c r="H667" s="1" t="str">
        <f t="shared" si="124"/>
        <v/>
      </c>
      <c r="K667" s="1" t="str">
        <f t="shared" si="125"/>
        <v/>
      </c>
      <c r="L667" s="1" t="str">
        <f t="shared" si="126"/>
        <v/>
      </c>
      <c r="M667" s="1" t="str">
        <f t="shared" si="127"/>
        <v/>
      </c>
      <c r="N667" s="1" t="str">
        <f t="shared" si="128"/>
        <v/>
      </c>
      <c r="O667" s="1" t="str">
        <f t="shared" si="129"/>
        <v/>
      </c>
      <c r="P667" s="1" t="str">
        <f t="shared" si="130"/>
        <v/>
      </c>
      <c r="R667" s="1" t="str">
        <f t="shared" si="131"/>
        <v/>
      </c>
    </row>
    <row r="668" spans="1:18" x14ac:dyDescent="0.2">
      <c r="A668" t="str">
        <f>IF(COUNTBLANK(B668:R668)&lt;&gt;COLUMNS(B668:R668),667,"")</f>
        <v/>
      </c>
      <c r="D668" s="1" t="str">
        <f t="shared" si="120"/>
        <v/>
      </c>
      <c r="E668" s="2" t="str">
        <f t="shared" si="121"/>
        <v/>
      </c>
      <c r="F668" s="1" t="str">
        <f t="shared" si="122"/>
        <v/>
      </c>
      <c r="G668" s="1" t="str">
        <f t="shared" si="123"/>
        <v/>
      </c>
      <c r="H668" s="1" t="str">
        <f t="shared" si="124"/>
        <v/>
      </c>
      <c r="K668" s="1" t="str">
        <f t="shared" si="125"/>
        <v/>
      </c>
      <c r="L668" s="1" t="str">
        <f t="shared" si="126"/>
        <v/>
      </c>
      <c r="M668" s="1" t="str">
        <f t="shared" si="127"/>
        <v/>
      </c>
      <c r="N668" s="1" t="str">
        <f t="shared" si="128"/>
        <v/>
      </c>
      <c r="O668" s="1" t="str">
        <f t="shared" si="129"/>
        <v/>
      </c>
      <c r="P668" s="1" t="str">
        <f t="shared" si="130"/>
        <v/>
      </c>
      <c r="R668" s="1" t="str">
        <f t="shared" si="131"/>
        <v/>
      </c>
    </row>
    <row r="669" spans="1:18" x14ac:dyDescent="0.2">
      <c r="A669" t="str">
        <f>IF(COUNTBLANK(B669:R669)&lt;&gt;COLUMNS(B669:R669),668,"")</f>
        <v/>
      </c>
      <c r="D669" s="1" t="str">
        <f t="shared" si="120"/>
        <v/>
      </c>
      <c r="E669" s="2" t="str">
        <f t="shared" si="121"/>
        <v/>
      </c>
      <c r="F669" s="1" t="str">
        <f t="shared" si="122"/>
        <v/>
      </c>
      <c r="G669" s="1" t="str">
        <f t="shared" si="123"/>
        <v/>
      </c>
      <c r="H669" s="1" t="str">
        <f t="shared" si="124"/>
        <v/>
      </c>
      <c r="K669" s="1" t="str">
        <f t="shared" si="125"/>
        <v/>
      </c>
      <c r="L669" s="1" t="str">
        <f t="shared" si="126"/>
        <v/>
      </c>
      <c r="M669" s="1" t="str">
        <f t="shared" si="127"/>
        <v/>
      </c>
      <c r="N669" s="1" t="str">
        <f t="shared" si="128"/>
        <v/>
      </c>
      <c r="O669" s="1" t="str">
        <f t="shared" si="129"/>
        <v/>
      </c>
      <c r="P669" s="1" t="str">
        <f t="shared" si="130"/>
        <v/>
      </c>
      <c r="R669" s="1" t="str">
        <f t="shared" si="131"/>
        <v/>
      </c>
    </row>
    <row r="670" spans="1:18" x14ac:dyDescent="0.2">
      <c r="A670" t="str">
        <f>IF(COUNTBLANK(B670:R670)&lt;&gt;COLUMNS(B670:R670),669,"")</f>
        <v/>
      </c>
      <c r="D670" s="1" t="str">
        <f t="shared" si="120"/>
        <v/>
      </c>
      <c r="E670" s="2" t="str">
        <f t="shared" si="121"/>
        <v/>
      </c>
      <c r="F670" s="1" t="str">
        <f t="shared" si="122"/>
        <v/>
      </c>
      <c r="G670" s="1" t="str">
        <f t="shared" si="123"/>
        <v/>
      </c>
      <c r="H670" s="1" t="str">
        <f t="shared" si="124"/>
        <v/>
      </c>
      <c r="K670" s="1" t="str">
        <f t="shared" si="125"/>
        <v/>
      </c>
      <c r="L670" s="1" t="str">
        <f t="shared" si="126"/>
        <v/>
      </c>
      <c r="M670" s="1" t="str">
        <f t="shared" si="127"/>
        <v/>
      </c>
      <c r="N670" s="1" t="str">
        <f t="shared" si="128"/>
        <v/>
      </c>
      <c r="O670" s="1" t="str">
        <f t="shared" si="129"/>
        <v/>
      </c>
      <c r="P670" s="1" t="str">
        <f t="shared" si="130"/>
        <v/>
      </c>
      <c r="R670" s="1" t="str">
        <f t="shared" si="131"/>
        <v/>
      </c>
    </row>
    <row r="671" spans="1:18" x14ac:dyDescent="0.2">
      <c r="A671" t="str">
        <f>IF(COUNTBLANK(B671:R671)&lt;&gt;COLUMNS(B671:R671),670,"")</f>
        <v/>
      </c>
      <c r="D671" s="1" t="str">
        <f t="shared" si="120"/>
        <v/>
      </c>
      <c r="E671" s="2" t="str">
        <f t="shared" si="121"/>
        <v/>
      </c>
      <c r="F671" s="1" t="str">
        <f t="shared" si="122"/>
        <v/>
      </c>
      <c r="G671" s="1" t="str">
        <f t="shared" si="123"/>
        <v/>
      </c>
      <c r="H671" s="1" t="str">
        <f t="shared" si="124"/>
        <v/>
      </c>
      <c r="K671" s="1" t="str">
        <f t="shared" si="125"/>
        <v/>
      </c>
      <c r="L671" s="1" t="str">
        <f t="shared" si="126"/>
        <v/>
      </c>
      <c r="M671" s="1" t="str">
        <f t="shared" si="127"/>
        <v/>
      </c>
      <c r="N671" s="1" t="str">
        <f t="shared" si="128"/>
        <v/>
      </c>
      <c r="O671" s="1" t="str">
        <f t="shared" si="129"/>
        <v/>
      </c>
      <c r="P671" s="1" t="str">
        <f t="shared" si="130"/>
        <v/>
      </c>
      <c r="R671" s="1" t="str">
        <f t="shared" si="131"/>
        <v/>
      </c>
    </row>
    <row r="672" spans="1:18" x14ac:dyDescent="0.2">
      <c r="A672" t="str">
        <f>IF(COUNTBLANK(B672:R672)&lt;&gt;COLUMNS(B672:R672),671,"")</f>
        <v/>
      </c>
      <c r="D672" s="1" t="str">
        <f t="shared" si="120"/>
        <v/>
      </c>
      <c r="E672" s="2" t="str">
        <f t="shared" si="121"/>
        <v/>
      </c>
      <c r="F672" s="1" t="str">
        <f t="shared" si="122"/>
        <v/>
      </c>
      <c r="G672" s="1" t="str">
        <f t="shared" si="123"/>
        <v/>
      </c>
      <c r="H672" s="1" t="str">
        <f t="shared" si="124"/>
        <v/>
      </c>
      <c r="K672" s="1" t="str">
        <f t="shared" si="125"/>
        <v/>
      </c>
      <c r="L672" s="1" t="str">
        <f t="shared" si="126"/>
        <v/>
      </c>
      <c r="M672" s="1" t="str">
        <f t="shared" si="127"/>
        <v/>
      </c>
      <c r="N672" s="1" t="str">
        <f t="shared" si="128"/>
        <v/>
      </c>
      <c r="O672" s="1" t="str">
        <f t="shared" si="129"/>
        <v/>
      </c>
      <c r="P672" s="1" t="str">
        <f t="shared" si="130"/>
        <v/>
      </c>
      <c r="R672" s="1" t="str">
        <f t="shared" si="131"/>
        <v/>
      </c>
    </row>
    <row r="673" spans="1:18" x14ac:dyDescent="0.2">
      <c r="A673" t="str">
        <f>IF(COUNTBLANK(B673:R673)&lt;&gt;COLUMNS(B673:R673),672,"")</f>
        <v/>
      </c>
      <c r="D673" s="1" t="str">
        <f t="shared" si="120"/>
        <v/>
      </c>
      <c r="E673" s="2" t="str">
        <f t="shared" si="121"/>
        <v/>
      </c>
      <c r="F673" s="1" t="str">
        <f t="shared" si="122"/>
        <v/>
      </c>
      <c r="G673" s="1" t="str">
        <f t="shared" si="123"/>
        <v/>
      </c>
      <c r="H673" s="1" t="str">
        <f t="shared" si="124"/>
        <v/>
      </c>
      <c r="K673" s="1" t="str">
        <f t="shared" si="125"/>
        <v/>
      </c>
      <c r="L673" s="1" t="str">
        <f t="shared" si="126"/>
        <v/>
      </c>
      <c r="M673" s="1" t="str">
        <f t="shared" si="127"/>
        <v/>
      </c>
      <c r="N673" s="1" t="str">
        <f t="shared" si="128"/>
        <v/>
      </c>
      <c r="O673" s="1" t="str">
        <f t="shared" si="129"/>
        <v/>
      </c>
      <c r="P673" s="1" t="str">
        <f t="shared" si="130"/>
        <v/>
      </c>
      <c r="R673" s="1" t="str">
        <f t="shared" si="131"/>
        <v/>
      </c>
    </row>
    <row r="674" spans="1:18" x14ac:dyDescent="0.2">
      <c r="A674" t="str">
        <f>IF(COUNTBLANK(B674:R674)&lt;&gt;COLUMNS(B674:R674),673,"")</f>
        <v/>
      </c>
      <c r="D674" s="1" t="str">
        <f t="shared" si="120"/>
        <v/>
      </c>
      <c r="E674" s="2" t="str">
        <f t="shared" si="121"/>
        <v/>
      </c>
      <c r="F674" s="1" t="str">
        <f t="shared" si="122"/>
        <v/>
      </c>
      <c r="G674" s="1" t="str">
        <f t="shared" si="123"/>
        <v/>
      </c>
      <c r="H674" s="1" t="str">
        <f t="shared" si="124"/>
        <v/>
      </c>
      <c r="K674" s="1" t="str">
        <f t="shared" si="125"/>
        <v/>
      </c>
      <c r="L674" s="1" t="str">
        <f t="shared" si="126"/>
        <v/>
      </c>
      <c r="M674" s="1" t="str">
        <f t="shared" si="127"/>
        <v/>
      </c>
      <c r="N674" s="1" t="str">
        <f t="shared" si="128"/>
        <v/>
      </c>
      <c r="O674" s="1" t="str">
        <f t="shared" si="129"/>
        <v/>
      </c>
      <c r="P674" s="1" t="str">
        <f t="shared" si="130"/>
        <v/>
      </c>
      <c r="R674" s="1" t="str">
        <f t="shared" si="131"/>
        <v/>
      </c>
    </row>
    <row r="675" spans="1:18" x14ac:dyDescent="0.2">
      <c r="A675" t="str">
        <f>IF(COUNTBLANK(B675:R675)&lt;&gt;COLUMNS(B675:R675),674,"")</f>
        <v/>
      </c>
      <c r="D675" s="1" t="str">
        <f t="shared" si="120"/>
        <v/>
      </c>
      <c r="E675" s="2" t="str">
        <f t="shared" si="121"/>
        <v/>
      </c>
      <c r="F675" s="1" t="str">
        <f t="shared" si="122"/>
        <v/>
      </c>
      <c r="G675" s="1" t="str">
        <f t="shared" si="123"/>
        <v/>
      </c>
      <c r="H675" s="1" t="str">
        <f t="shared" si="124"/>
        <v/>
      </c>
      <c r="K675" s="1" t="str">
        <f t="shared" si="125"/>
        <v/>
      </c>
      <c r="L675" s="1" t="str">
        <f t="shared" si="126"/>
        <v/>
      </c>
      <c r="M675" s="1" t="str">
        <f t="shared" si="127"/>
        <v/>
      </c>
      <c r="N675" s="1" t="str">
        <f t="shared" si="128"/>
        <v/>
      </c>
      <c r="O675" s="1" t="str">
        <f t="shared" si="129"/>
        <v/>
      </c>
      <c r="P675" s="1" t="str">
        <f t="shared" si="130"/>
        <v/>
      </c>
      <c r="R675" s="1" t="str">
        <f t="shared" si="131"/>
        <v/>
      </c>
    </row>
    <row r="676" spans="1:18" x14ac:dyDescent="0.2">
      <c r="A676" t="str">
        <f>IF(COUNTBLANK(B676:R676)&lt;&gt;COLUMNS(B676:R676),675,"")</f>
        <v/>
      </c>
      <c r="D676" s="1" t="str">
        <f t="shared" si="120"/>
        <v/>
      </c>
      <c r="E676" s="2" t="str">
        <f t="shared" si="121"/>
        <v/>
      </c>
      <c r="F676" s="1" t="str">
        <f t="shared" si="122"/>
        <v/>
      </c>
      <c r="G676" s="1" t="str">
        <f t="shared" si="123"/>
        <v/>
      </c>
      <c r="H676" s="1" t="str">
        <f t="shared" si="124"/>
        <v/>
      </c>
      <c r="K676" s="1" t="str">
        <f t="shared" si="125"/>
        <v/>
      </c>
      <c r="L676" s="1" t="str">
        <f t="shared" si="126"/>
        <v/>
      </c>
      <c r="M676" s="1" t="str">
        <f t="shared" si="127"/>
        <v/>
      </c>
      <c r="N676" s="1" t="str">
        <f t="shared" si="128"/>
        <v/>
      </c>
      <c r="O676" s="1" t="str">
        <f t="shared" si="129"/>
        <v/>
      </c>
      <c r="P676" s="1" t="str">
        <f t="shared" si="130"/>
        <v/>
      </c>
      <c r="R676" s="1" t="str">
        <f t="shared" si="131"/>
        <v/>
      </c>
    </row>
    <row r="677" spans="1:18" x14ac:dyDescent="0.2">
      <c r="A677" t="str">
        <f>IF(COUNTBLANK(B677:R677)&lt;&gt;COLUMNS(B677:R677),676,"")</f>
        <v/>
      </c>
      <c r="D677" s="1" t="str">
        <f t="shared" si="120"/>
        <v/>
      </c>
      <c r="E677" s="2" t="str">
        <f t="shared" si="121"/>
        <v/>
      </c>
      <c r="F677" s="1" t="str">
        <f t="shared" si="122"/>
        <v/>
      </c>
      <c r="G677" s="1" t="str">
        <f t="shared" si="123"/>
        <v/>
      </c>
      <c r="H677" s="1" t="str">
        <f t="shared" si="124"/>
        <v/>
      </c>
      <c r="K677" s="1" t="str">
        <f t="shared" si="125"/>
        <v/>
      </c>
      <c r="L677" s="1" t="str">
        <f t="shared" si="126"/>
        <v/>
      </c>
      <c r="M677" s="1" t="str">
        <f t="shared" si="127"/>
        <v/>
      </c>
      <c r="N677" s="1" t="str">
        <f t="shared" si="128"/>
        <v/>
      </c>
      <c r="O677" s="1" t="str">
        <f t="shared" si="129"/>
        <v/>
      </c>
      <c r="P677" s="1" t="str">
        <f t="shared" si="130"/>
        <v/>
      </c>
      <c r="R677" s="1" t="str">
        <f t="shared" si="131"/>
        <v/>
      </c>
    </row>
    <row r="678" spans="1:18" x14ac:dyDescent="0.2">
      <c r="A678" t="str">
        <f>IF(COUNTBLANK(B678:R678)&lt;&gt;COLUMNS(B678:R678),677,"")</f>
        <v/>
      </c>
      <c r="D678" s="1" t="str">
        <f t="shared" si="120"/>
        <v/>
      </c>
      <c r="E678" s="2" t="str">
        <f t="shared" si="121"/>
        <v/>
      </c>
      <c r="F678" s="1" t="str">
        <f t="shared" si="122"/>
        <v/>
      </c>
      <c r="G678" s="1" t="str">
        <f t="shared" si="123"/>
        <v/>
      </c>
      <c r="H678" s="1" t="str">
        <f t="shared" si="124"/>
        <v/>
      </c>
      <c r="K678" s="1" t="str">
        <f t="shared" si="125"/>
        <v/>
      </c>
      <c r="L678" s="1" t="str">
        <f t="shared" si="126"/>
        <v/>
      </c>
      <c r="M678" s="1" t="str">
        <f t="shared" si="127"/>
        <v/>
      </c>
      <c r="N678" s="1" t="str">
        <f t="shared" si="128"/>
        <v/>
      </c>
      <c r="O678" s="1" t="str">
        <f t="shared" si="129"/>
        <v/>
      </c>
      <c r="P678" s="1" t="str">
        <f t="shared" si="130"/>
        <v/>
      </c>
      <c r="R678" s="1" t="str">
        <f t="shared" si="131"/>
        <v/>
      </c>
    </row>
    <row r="679" spans="1:18" x14ac:dyDescent="0.2">
      <c r="A679" t="str">
        <f>IF(COUNTBLANK(B679:R679)&lt;&gt;COLUMNS(B679:R679),678,"")</f>
        <v/>
      </c>
      <c r="D679" s="1" t="str">
        <f t="shared" si="120"/>
        <v/>
      </c>
      <c r="E679" s="2" t="str">
        <f t="shared" si="121"/>
        <v/>
      </c>
      <c r="F679" s="1" t="str">
        <f t="shared" si="122"/>
        <v/>
      </c>
      <c r="G679" s="1" t="str">
        <f t="shared" si="123"/>
        <v/>
      </c>
      <c r="H679" s="1" t="str">
        <f t="shared" si="124"/>
        <v/>
      </c>
      <c r="K679" s="1" t="str">
        <f t="shared" si="125"/>
        <v/>
      </c>
      <c r="L679" s="1" t="str">
        <f t="shared" si="126"/>
        <v/>
      </c>
      <c r="M679" s="1" t="str">
        <f t="shared" si="127"/>
        <v/>
      </c>
      <c r="N679" s="1" t="str">
        <f t="shared" si="128"/>
        <v/>
      </c>
      <c r="O679" s="1" t="str">
        <f t="shared" si="129"/>
        <v/>
      </c>
      <c r="P679" s="1" t="str">
        <f t="shared" si="130"/>
        <v/>
      </c>
      <c r="R679" s="1" t="str">
        <f t="shared" si="131"/>
        <v/>
      </c>
    </row>
    <row r="680" spans="1:18" x14ac:dyDescent="0.2">
      <c r="A680" t="str">
        <f>IF(COUNTBLANK(B680:R680)&lt;&gt;COLUMNS(B680:R680),679,"")</f>
        <v/>
      </c>
      <c r="D680" s="1" t="str">
        <f t="shared" si="120"/>
        <v/>
      </c>
      <c r="E680" s="2" t="str">
        <f t="shared" si="121"/>
        <v/>
      </c>
      <c r="F680" s="1" t="str">
        <f t="shared" si="122"/>
        <v/>
      </c>
      <c r="G680" s="1" t="str">
        <f t="shared" si="123"/>
        <v/>
      </c>
      <c r="H680" s="1" t="str">
        <f t="shared" si="124"/>
        <v/>
      </c>
      <c r="K680" s="1" t="str">
        <f t="shared" si="125"/>
        <v/>
      </c>
      <c r="L680" s="1" t="str">
        <f t="shared" si="126"/>
        <v/>
      </c>
      <c r="M680" s="1" t="str">
        <f t="shared" si="127"/>
        <v/>
      </c>
      <c r="N680" s="1" t="str">
        <f t="shared" si="128"/>
        <v/>
      </c>
      <c r="O680" s="1" t="str">
        <f t="shared" si="129"/>
        <v/>
      </c>
      <c r="P680" s="1" t="str">
        <f t="shared" si="130"/>
        <v/>
      </c>
      <c r="R680" s="1" t="str">
        <f t="shared" si="131"/>
        <v/>
      </c>
    </row>
    <row r="681" spans="1:18" x14ac:dyDescent="0.2">
      <c r="A681" t="str">
        <f>IF(COUNTBLANK(B681:R681)&lt;&gt;COLUMNS(B681:R681),680,"")</f>
        <v/>
      </c>
      <c r="D681" s="1" t="str">
        <f t="shared" si="120"/>
        <v/>
      </c>
      <c r="E681" s="2" t="str">
        <f t="shared" si="121"/>
        <v/>
      </c>
      <c r="F681" s="1" t="str">
        <f t="shared" si="122"/>
        <v/>
      </c>
      <c r="G681" s="1" t="str">
        <f t="shared" si="123"/>
        <v/>
      </c>
      <c r="H681" s="1" t="str">
        <f t="shared" si="124"/>
        <v/>
      </c>
      <c r="K681" s="1" t="str">
        <f t="shared" si="125"/>
        <v/>
      </c>
      <c r="L681" s="1" t="str">
        <f t="shared" si="126"/>
        <v/>
      </c>
      <c r="M681" s="1" t="str">
        <f t="shared" si="127"/>
        <v/>
      </c>
      <c r="N681" s="1" t="str">
        <f t="shared" si="128"/>
        <v/>
      </c>
      <c r="O681" s="1" t="str">
        <f t="shared" si="129"/>
        <v/>
      </c>
      <c r="P681" s="1" t="str">
        <f t="shared" si="130"/>
        <v/>
      </c>
      <c r="R681" s="1" t="str">
        <f t="shared" si="131"/>
        <v/>
      </c>
    </row>
    <row r="682" spans="1:18" x14ac:dyDescent="0.2">
      <c r="A682" t="str">
        <f>IF(COUNTBLANK(B682:R682)&lt;&gt;COLUMNS(B682:R682),681,"")</f>
        <v/>
      </c>
      <c r="D682" s="1" t="str">
        <f t="shared" si="120"/>
        <v/>
      </c>
      <c r="E682" s="2" t="str">
        <f t="shared" si="121"/>
        <v/>
      </c>
      <c r="F682" s="1" t="str">
        <f t="shared" si="122"/>
        <v/>
      </c>
      <c r="G682" s="1" t="str">
        <f t="shared" si="123"/>
        <v/>
      </c>
      <c r="H682" s="1" t="str">
        <f t="shared" si="124"/>
        <v/>
      </c>
      <c r="K682" s="1" t="str">
        <f t="shared" si="125"/>
        <v/>
      </c>
      <c r="L682" s="1" t="str">
        <f t="shared" si="126"/>
        <v/>
      </c>
      <c r="M682" s="1" t="str">
        <f t="shared" si="127"/>
        <v/>
      </c>
      <c r="N682" s="1" t="str">
        <f t="shared" si="128"/>
        <v/>
      </c>
      <c r="O682" s="1" t="str">
        <f t="shared" si="129"/>
        <v/>
      </c>
      <c r="P682" s="1" t="str">
        <f t="shared" si="130"/>
        <v/>
      </c>
      <c r="R682" s="1" t="str">
        <f t="shared" si="131"/>
        <v/>
      </c>
    </row>
    <row r="683" spans="1:18" x14ac:dyDescent="0.2">
      <c r="A683" t="str">
        <f>IF(COUNTBLANK(B683:R683)&lt;&gt;COLUMNS(B683:R683),682,"")</f>
        <v/>
      </c>
      <c r="D683" s="1" t="str">
        <f t="shared" si="120"/>
        <v/>
      </c>
      <c r="E683" s="2" t="str">
        <f t="shared" si="121"/>
        <v/>
      </c>
      <c r="F683" s="1" t="str">
        <f t="shared" si="122"/>
        <v/>
      </c>
      <c r="G683" s="1" t="str">
        <f t="shared" si="123"/>
        <v/>
      </c>
      <c r="H683" s="1" t="str">
        <f t="shared" si="124"/>
        <v/>
      </c>
      <c r="K683" s="1" t="str">
        <f t="shared" si="125"/>
        <v/>
      </c>
      <c r="L683" s="1" t="str">
        <f t="shared" si="126"/>
        <v/>
      </c>
      <c r="M683" s="1" t="str">
        <f t="shared" si="127"/>
        <v/>
      </c>
      <c r="N683" s="1" t="str">
        <f t="shared" si="128"/>
        <v/>
      </c>
      <c r="O683" s="1" t="str">
        <f t="shared" si="129"/>
        <v/>
      </c>
      <c r="P683" s="1" t="str">
        <f t="shared" si="130"/>
        <v/>
      </c>
      <c r="R683" s="1" t="str">
        <f t="shared" si="131"/>
        <v/>
      </c>
    </row>
    <row r="684" spans="1:18" x14ac:dyDescent="0.2">
      <c r="A684" t="str">
        <f>IF(COUNTBLANK(B684:R684)&lt;&gt;COLUMNS(B684:R684),683,"")</f>
        <v/>
      </c>
      <c r="D684" s="1" t="str">
        <f t="shared" si="120"/>
        <v/>
      </c>
      <c r="E684" s="2" t="str">
        <f t="shared" si="121"/>
        <v/>
      </c>
      <c r="F684" s="1" t="str">
        <f t="shared" si="122"/>
        <v/>
      </c>
      <c r="G684" s="1" t="str">
        <f t="shared" si="123"/>
        <v/>
      </c>
      <c r="H684" s="1" t="str">
        <f t="shared" si="124"/>
        <v/>
      </c>
      <c r="K684" s="1" t="str">
        <f t="shared" si="125"/>
        <v/>
      </c>
      <c r="L684" s="1" t="str">
        <f t="shared" si="126"/>
        <v/>
      </c>
      <c r="M684" s="1" t="str">
        <f t="shared" si="127"/>
        <v/>
      </c>
      <c r="N684" s="1" t="str">
        <f t="shared" si="128"/>
        <v/>
      </c>
      <c r="O684" s="1" t="str">
        <f t="shared" si="129"/>
        <v/>
      </c>
      <c r="P684" s="1" t="str">
        <f t="shared" si="130"/>
        <v/>
      </c>
      <c r="R684" s="1" t="str">
        <f t="shared" si="131"/>
        <v/>
      </c>
    </row>
    <row r="685" spans="1:18" x14ac:dyDescent="0.2">
      <c r="A685" t="str">
        <f>IF(COUNTBLANK(B685:R685)&lt;&gt;COLUMNS(B685:R685),684,"")</f>
        <v/>
      </c>
      <c r="D685" s="1" t="str">
        <f t="shared" si="120"/>
        <v/>
      </c>
      <c r="E685" s="2" t="str">
        <f t="shared" si="121"/>
        <v/>
      </c>
      <c r="F685" s="1" t="str">
        <f t="shared" si="122"/>
        <v/>
      </c>
      <c r="G685" s="1" t="str">
        <f t="shared" si="123"/>
        <v/>
      </c>
      <c r="H685" s="1" t="str">
        <f t="shared" si="124"/>
        <v/>
      </c>
      <c r="K685" s="1" t="str">
        <f t="shared" si="125"/>
        <v/>
      </c>
      <c r="L685" s="1" t="str">
        <f t="shared" si="126"/>
        <v/>
      </c>
      <c r="M685" s="1" t="str">
        <f t="shared" si="127"/>
        <v/>
      </c>
      <c r="N685" s="1" t="str">
        <f t="shared" si="128"/>
        <v/>
      </c>
      <c r="O685" s="1" t="str">
        <f t="shared" si="129"/>
        <v/>
      </c>
      <c r="P685" s="1" t="str">
        <f t="shared" si="130"/>
        <v/>
      </c>
      <c r="R685" s="1" t="str">
        <f t="shared" si="131"/>
        <v/>
      </c>
    </row>
    <row r="686" spans="1:18" x14ac:dyDescent="0.2">
      <c r="A686" t="str">
        <f>IF(COUNTBLANK(B686:R686)&lt;&gt;COLUMNS(B686:R686),685,"")</f>
        <v/>
      </c>
      <c r="D686" s="1" t="str">
        <f t="shared" si="120"/>
        <v/>
      </c>
      <c r="E686" s="2" t="str">
        <f t="shared" si="121"/>
        <v/>
      </c>
      <c r="F686" s="1" t="str">
        <f t="shared" si="122"/>
        <v/>
      </c>
      <c r="G686" s="1" t="str">
        <f t="shared" si="123"/>
        <v/>
      </c>
      <c r="H686" s="1" t="str">
        <f t="shared" si="124"/>
        <v/>
      </c>
      <c r="K686" s="1" t="str">
        <f t="shared" si="125"/>
        <v/>
      </c>
      <c r="L686" s="1" t="str">
        <f t="shared" si="126"/>
        <v/>
      </c>
      <c r="M686" s="1" t="str">
        <f t="shared" si="127"/>
        <v/>
      </c>
      <c r="N686" s="1" t="str">
        <f t="shared" si="128"/>
        <v/>
      </c>
      <c r="O686" s="1" t="str">
        <f t="shared" si="129"/>
        <v/>
      </c>
      <c r="P686" s="1" t="str">
        <f t="shared" si="130"/>
        <v/>
      </c>
      <c r="R686" s="1" t="str">
        <f t="shared" si="131"/>
        <v/>
      </c>
    </row>
    <row r="687" spans="1:18" x14ac:dyDescent="0.2">
      <c r="A687" t="str">
        <f>IF(COUNTBLANK(B687:R687)&lt;&gt;COLUMNS(B687:R687),686,"")</f>
        <v/>
      </c>
      <c r="D687" s="1" t="str">
        <f t="shared" si="120"/>
        <v/>
      </c>
      <c r="E687" s="2" t="str">
        <f t="shared" si="121"/>
        <v/>
      </c>
      <c r="F687" s="1" t="str">
        <f t="shared" si="122"/>
        <v/>
      </c>
      <c r="G687" s="1" t="str">
        <f t="shared" si="123"/>
        <v/>
      </c>
      <c r="H687" s="1" t="str">
        <f t="shared" si="124"/>
        <v/>
      </c>
      <c r="K687" s="1" t="str">
        <f t="shared" si="125"/>
        <v/>
      </c>
      <c r="L687" s="1" t="str">
        <f t="shared" si="126"/>
        <v/>
      </c>
      <c r="M687" s="1" t="str">
        <f t="shared" si="127"/>
        <v/>
      </c>
      <c r="N687" s="1" t="str">
        <f t="shared" si="128"/>
        <v/>
      </c>
      <c r="O687" s="1" t="str">
        <f t="shared" si="129"/>
        <v/>
      </c>
      <c r="P687" s="1" t="str">
        <f t="shared" si="130"/>
        <v/>
      </c>
      <c r="R687" s="1" t="str">
        <f t="shared" si="131"/>
        <v/>
      </c>
    </row>
    <row r="688" spans="1:18" x14ac:dyDescent="0.2">
      <c r="A688" t="str">
        <f>IF(COUNTBLANK(B688:R688)&lt;&gt;COLUMNS(B688:R688),687,"")</f>
        <v/>
      </c>
      <c r="D688" s="1" t="str">
        <f t="shared" si="120"/>
        <v/>
      </c>
      <c r="E688" s="2" t="str">
        <f t="shared" si="121"/>
        <v/>
      </c>
      <c r="F688" s="1" t="str">
        <f t="shared" si="122"/>
        <v/>
      </c>
      <c r="G688" s="1" t="str">
        <f t="shared" si="123"/>
        <v/>
      </c>
      <c r="H688" s="1" t="str">
        <f t="shared" si="124"/>
        <v/>
      </c>
      <c r="K688" s="1" t="str">
        <f t="shared" si="125"/>
        <v/>
      </c>
      <c r="L688" s="1" t="str">
        <f t="shared" si="126"/>
        <v/>
      </c>
      <c r="M688" s="1" t="str">
        <f t="shared" si="127"/>
        <v/>
      </c>
      <c r="N688" s="1" t="str">
        <f t="shared" si="128"/>
        <v/>
      </c>
      <c r="O688" s="1" t="str">
        <f t="shared" si="129"/>
        <v/>
      </c>
      <c r="P688" s="1" t="str">
        <f t="shared" si="130"/>
        <v/>
      </c>
      <c r="R688" s="1" t="str">
        <f t="shared" si="131"/>
        <v/>
      </c>
    </row>
    <row r="689" spans="1:18" x14ac:dyDescent="0.2">
      <c r="A689" t="str">
        <f>IF(COUNTBLANK(B689:R689)&lt;&gt;COLUMNS(B689:R689),688,"")</f>
        <v/>
      </c>
      <c r="D689" s="1" t="str">
        <f t="shared" si="120"/>
        <v/>
      </c>
      <c r="E689" s="2" t="str">
        <f t="shared" si="121"/>
        <v/>
      </c>
      <c r="F689" s="1" t="str">
        <f t="shared" si="122"/>
        <v/>
      </c>
      <c r="G689" s="1" t="str">
        <f t="shared" si="123"/>
        <v/>
      </c>
      <c r="H689" s="1" t="str">
        <f t="shared" si="124"/>
        <v/>
      </c>
      <c r="K689" s="1" t="str">
        <f t="shared" si="125"/>
        <v/>
      </c>
      <c r="L689" s="1" t="str">
        <f t="shared" si="126"/>
        <v/>
      </c>
      <c r="M689" s="1" t="str">
        <f t="shared" si="127"/>
        <v/>
      </c>
      <c r="N689" s="1" t="str">
        <f t="shared" si="128"/>
        <v/>
      </c>
      <c r="O689" s="1" t="str">
        <f t="shared" si="129"/>
        <v/>
      </c>
      <c r="P689" s="1" t="str">
        <f t="shared" si="130"/>
        <v/>
      </c>
      <c r="R689" s="1" t="str">
        <f t="shared" si="131"/>
        <v/>
      </c>
    </row>
    <row r="690" spans="1:18" x14ac:dyDescent="0.2">
      <c r="A690" t="str">
        <f>IF(COUNTBLANK(B690:R690)&lt;&gt;COLUMNS(B690:R690),689,"")</f>
        <v/>
      </c>
      <c r="D690" s="1" t="str">
        <f t="shared" si="120"/>
        <v/>
      </c>
      <c r="E690" s="2" t="str">
        <f t="shared" si="121"/>
        <v/>
      </c>
      <c r="F690" s="1" t="str">
        <f t="shared" si="122"/>
        <v/>
      </c>
      <c r="G690" s="1" t="str">
        <f t="shared" si="123"/>
        <v/>
      </c>
      <c r="H690" s="1" t="str">
        <f t="shared" si="124"/>
        <v/>
      </c>
      <c r="K690" s="1" t="str">
        <f t="shared" si="125"/>
        <v/>
      </c>
      <c r="L690" s="1" t="str">
        <f t="shared" si="126"/>
        <v/>
      </c>
      <c r="M690" s="1" t="str">
        <f t="shared" si="127"/>
        <v/>
      </c>
      <c r="N690" s="1" t="str">
        <f t="shared" si="128"/>
        <v/>
      </c>
      <c r="O690" s="1" t="str">
        <f t="shared" si="129"/>
        <v/>
      </c>
      <c r="P690" s="1" t="str">
        <f t="shared" si="130"/>
        <v/>
      </c>
      <c r="R690" s="1" t="str">
        <f t="shared" si="131"/>
        <v/>
      </c>
    </row>
    <row r="691" spans="1:18" x14ac:dyDescent="0.2">
      <c r="A691" t="str">
        <f>IF(COUNTBLANK(B691:R691)&lt;&gt;COLUMNS(B691:R691),690,"")</f>
        <v/>
      </c>
      <c r="D691" s="1" t="str">
        <f t="shared" si="120"/>
        <v/>
      </c>
      <c r="E691" s="2" t="str">
        <f t="shared" si="121"/>
        <v/>
      </c>
      <c r="F691" s="1" t="str">
        <f t="shared" si="122"/>
        <v/>
      </c>
      <c r="G691" s="1" t="str">
        <f t="shared" si="123"/>
        <v/>
      </c>
      <c r="H691" s="1" t="str">
        <f t="shared" si="124"/>
        <v/>
      </c>
      <c r="K691" s="1" t="str">
        <f t="shared" si="125"/>
        <v/>
      </c>
      <c r="L691" s="1" t="str">
        <f t="shared" si="126"/>
        <v/>
      </c>
      <c r="M691" s="1" t="str">
        <f t="shared" si="127"/>
        <v/>
      </c>
      <c r="N691" s="1" t="str">
        <f t="shared" si="128"/>
        <v/>
      </c>
      <c r="O691" s="1" t="str">
        <f t="shared" si="129"/>
        <v/>
      </c>
      <c r="P691" s="1" t="str">
        <f t="shared" si="130"/>
        <v/>
      </c>
      <c r="R691" s="1" t="str">
        <f t="shared" si="131"/>
        <v/>
      </c>
    </row>
    <row r="692" spans="1:18" x14ac:dyDescent="0.2">
      <c r="A692" t="str">
        <f>IF(COUNTBLANK(B692:R692)&lt;&gt;COLUMNS(B692:R692),691,"")</f>
        <v/>
      </c>
      <c r="D692" s="1" t="str">
        <f t="shared" si="120"/>
        <v/>
      </c>
      <c r="E692" s="2" t="str">
        <f t="shared" si="121"/>
        <v/>
      </c>
      <c r="F692" s="1" t="str">
        <f t="shared" si="122"/>
        <v/>
      </c>
      <c r="G692" s="1" t="str">
        <f t="shared" si="123"/>
        <v/>
      </c>
      <c r="H692" s="1" t="str">
        <f t="shared" si="124"/>
        <v/>
      </c>
      <c r="K692" s="1" t="str">
        <f t="shared" si="125"/>
        <v/>
      </c>
      <c r="L692" s="1" t="str">
        <f t="shared" si="126"/>
        <v/>
      </c>
      <c r="M692" s="1" t="str">
        <f t="shared" si="127"/>
        <v/>
      </c>
      <c r="N692" s="1" t="str">
        <f t="shared" si="128"/>
        <v/>
      </c>
      <c r="O692" s="1" t="str">
        <f t="shared" si="129"/>
        <v/>
      </c>
      <c r="P692" s="1" t="str">
        <f t="shared" si="130"/>
        <v/>
      </c>
      <c r="R692" s="1" t="str">
        <f t="shared" si="131"/>
        <v/>
      </c>
    </row>
    <row r="693" spans="1:18" x14ac:dyDescent="0.2">
      <c r="A693" t="str">
        <f>IF(COUNTBLANK(B693:R693)&lt;&gt;COLUMNS(B693:R693),692,"")</f>
        <v/>
      </c>
      <c r="D693" s="1" t="str">
        <f t="shared" si="120"/>
        <v/>
      </c>
      <c r="E693" s="2" t="str">
        <f t="shared" si="121"/>
        <v/>
      </c>
      <c r="F693" s="1" t="str">
        <f t="shared" si="122"/>
        <v/>
      </c>
      <c r="G693" s="1" t="str">
        <f t="shared" si="123"/>
        <v/>
      </c>
      <c r="H693" s="1" t="str">
        <f t="shared" si="124"/>
        <v/>
      </c>
      <c r="K693" s="1" t="str">
        <f t="shared" si="125"/>
        <v/>
      </c>
      <c r="L693" s="1" t="str">
        <f t="shared" si="126"/>
        <v/>
      </c>
      <c r="M693" s="1" t="str">
        <f t="shared" si="127"/>
        <v/>
      </c>
      <c r="N693" s="1" t="str">
        <f t="shared" si="128"/>
        <v/>
      </c>
      <c r="O693" s="1" t="str">
        <f t="shared" si="129"/>
        <v/>
      </c>
      <c r="P693" s="1" t="str">
        <f t="shared" si="130"/>
        <v/>
      </c>
      <c r="R693" s="1" t="str">
        <f t="shared" si="131"/>
        <v/>
      </c>
    </row>
    <row r="694" spans="1:18" x14ac:dyDescent="0.2">
      <c r="A694" t="str">
        <f>IF(COUNTBLANK(B694:R694)&lt;&gt;COLUMNS(B694:R694),693,"")</f>
        <v/>
      </c>
      <c r="D694" s="1" t="str">
        <f t="shared" si="120"/>
        <v/>
      </c>
      <c r="E694" s="2" t="str">
        <f t="shared" si="121"/>
        <v/>
      </c>
      <c r="F694" s="1" t="str">
        <f t="shared" si="122"/>
        <v/>
      </c>
      <c r="G694" s="1" t="str">
        <f t="shared" si="123"/>
        <v/>
      </c>
      <c r="H694" s="1" t="str">
        <f t="shared" si="124"/>
        <v/>
      </c>
      <c r="K694" s="1" t="str">
        <f t="shared" si="125"/>
        <v/>
      </c>
      <c r="L694" s="1" t="str">
        <f t="shared" si="126"/>
        <v/>
      </c>
      <c r="M694" s="1" t="str">
        <f t="shared" si="127"/>
        <v/>
      </c>
      <c r="N694" s="1" t="str">
        <f t="shared" si="128"/>
        <v/>
      </c>
      <c r="O694" s="1" t="str">
        <f t="shared" si="129"/>
        <v/>
      </c>
      <c r="P694" s="1" t="str">
        <f t="shared" si="130"/>
        <v/>
      </c>
      <c r="R694" s="1" t="str">
        <f t="shared" si="131"/>
        <v/>
      </c>
    </row>
    <row r="695" spans="1:18" x14ac:dyDescent="0.2">
      <c r="A695" t="str">
        <f>IF(COUNTBLANK(B695:R695)&lt;&gt;COLUMNS(B695:R695),694,"")</f>
        <v/>
      </c>
      <c r="D695" s="1" t="str">
        <f t="shared" si="120"/>
        <v/>
      </c>
      <c r="E695" s="2" t="str">
        <f t="shared" si="121"/>
        <v/>
      </c>
      <c r="F695" s="1" t="str">
        <f t="shared" si="122"/>
        <v/>
      </c>
      <c r="G695" s="1" t="str">
        <f t="shared" si="123"/>
        <v/>
      </c>
      <c r="H695" s="1" t="str">
        <f t="shared" si="124"/>
        <v/>
      </c>
      <c r="K695" s="1" t="str">
        <f t="shared" si="125"/>
        <v/>
      </c>
      <c r="L695" s="1" t="str">
        <f t="shared" si="126"/>
        <v/>
      </c>
      <c r="M695" s="1" t="str">
        <f t="shared" si="127"/>
        <v/>
      </c>
      <c r="N695" s="1" t="str">
        <f t="shared" si="128"/>
        <v/>
      </c>
      <c r="O695" s="1" t="str">
        <f t="shared" si="129"/>
        <v/>
      </c>
      <c r="P695" s="1" t="str">
        <f t="shared" si="130"/>
        <v/>
      </c>
      <c r="R695" s="1" t="str">
        <f t="shared" si="131"/>
        <v/>
      </c>
    </row>
    <row r="696" spans="1:18" x14ac:dyDescent="0.2">
      <c r="A696" t="str">
        <f>IF(COUNTBLANK(B696:R696)&lt;&gt;COLUMNS(B696:R696),695,"")</f>
        <v/>
      </c>
      <c r="D696" s="1" t="str">
        <f t="shared" si="120"/>
        <v/>
      </c>
      <c r="E696" s="2" t="str">
        <f t="shared" si="121"/>
        <v/>
      </c>
      <c r="F696" s="1" t="str">
        <f t="shared" si="122"/>
        <v/>
      </c>
      <c r="G696" s="1" t="str">
        <f t="shared" si="123"/>
        <v/>
      </c>
      <c r="H696" s="1" t="str">
        <f t="shared" si="124"/>
        <v/>
      </c>
      <c r="K696" s="1" t="str">
        <f t="shared" si="125"/>
        <v/>
      </c>
      <c r="L696" s="1" t="str">
        <f t="shared" si="126"/>
        <v/>
      </c>
      <c r="M696" s="1" t="str">
        <f t="shared" si="127"/>
        <v/>
      </c>
      <c r="N696" s="1" t="str">
        <f t="shared" si="128"/>
        <v/>
      </c>
      <c r="O696" s="1" t="str">
        <f t="shared" si="129"/>
        <v/>
      </c>
      <c r="P696" s="1" t="str">
        <f t="shared" si="130"/>
        <v/>
      </c>
      <c r="R696" s="1" t="str">
        <f t="shared" si="131"/>
        <v/>
      </c>
    </row>
    <row r="697" spans="1:18" x14ac:dyDescent="0.2">
      <c r="A697" t="str">
        <f>IF(COUNTBLANK(B697:R697)&lt;&gt;COLUMNS(B697:R697),696,"")</f>
        <v/>
      </c>
      <c r="D697" s="1" t="str">
        <f t="shared" si="120"/>
        <v/>
      </c>
      <c r="E697" s="2" t="str">
        <f t="shared" si="121"/>
        <v/>
      </c>
      <c r="F697" s="1" t="str">
        <f t="shared" si="122"/>
        <v/>
      </c>
      <c r="G697" s="1" t="str">
        <f t="shared" si="123"/>
        <v/>
      </c>
      <c r="H697" s="1" t="str">
        <f t="shared" si="124"/>
        <v/>
      </c>
      <c r="K697" s="1" t="str">
        <f t="shared" si="125"/>
        <v/>
      </c>
      <c r="L697" s="1" t="str">
        <f t="shared" si="126"/>
        <v/>
      </c>
      <c r="M697" s="1" t="str">
        <f t="shared" si="127"/>
        <v/>
      </c>
      <c r="N697" s="1" t="str">
        <f t="shared" si="128"/>
        <v/>
      </c>
      <c r="O697" s="1" t="str">
        <f t="shared" si="129"/>
        <v/>
      </c>
      <c r="P697" s="1" t="str">
        <f t="shared" si="130"/>
        <v/>
      </c>
      <c r="R697" s="1" t="str">
        <f t="shared" si="131"/>
        <v/>
      </c>
    </row>
    <row r="698" spans="1:18" x14ac:dyDescent="0.2">
      <c r="A698" t="str">
        <f>IF(COUNTBLANK(B698:R698)&lt;&gt;COLUMNS(B698:R698),697,"")</f>
        <v/>
      </c>
      <c r="D698" s="1" t="str">
        <f t="shared" si="120"/>
        <v/>
      </c>
      <c r="E698" s="2" t="str">
        <f t="shared" si="121"/>
        <v/>
      </c>
      <c r="F698" s="1" t="str">
        <f t="shared" si="122"/>
        <v/>
      </c>
      <c r="G698" s="1" t="str">
        <f t="shared" si="123"/>
        <v/>
      </c>
      <c r="H698" s="1" t="str">
        <f t="shared" si="124"/>
        <v/>
      </c>
      <c r="K698" s="1" t="str">
        <f t="shared" si="125"/>
        <v/>
      </c>
      <c r="L698" s="1" t="str">
        <f t="shared" si="126"/>
        <v/>
      </c>
      <c r="M698" s="1" t="str">
        <f t="shared" si="127"/>
        <v/>
      </c>
      <c r="N698" s="1" t="str">
        <f t="shared" si="128"/>
        <v/>
      </c>
      <c r="O698" s="1" t="str">
        <f t="shared" si="129"/>
        <v/>
      </c>
      <c r="P698" s="1" t="str">
        <f t="shared" si="130"/>
        <v/>
      </c>
      <c r="R698" s="1" t="str">
        <f t="shared" si="131"/>
        <v/>
      </c>
    </row>
    <row r="699" spans="1:18" x14ac:dyDescent="0.2">
      <c r="A699" t="str">
        <f>IF(COUNTBLANK(B699:R699)&lt;&gt;COLUMNS(B699:R699),698,"")</f>
        <v/>
      </c>
      <c r="D699" s="1" t="str">
        <f t="shared" si="120"/>
        <v/>
      </c>
      <c r="E699" s="2" t="str">
        <f t="shared" si="121"/>
        <v/>
      </c>
      <c r="F699" s="1" t="str">
        <f t="shared" si="122"/>
        <v/>
      </c>
      <c r="G699" s="1" t="str">
        <f t="shared" si="123"/>
        <v/>
      </c>
      <c r="H699" s="1" t="str">
        <f t="shared" si="124"/>
        <v/>
      </c>
      <c r="K699" s="1" t="str">
        <f t="shared" si="125"/>
        <v/>
      </c>
      <c r="L699" s="1" t="str">
        <f t="shared" si="126"/>
        <v/>
      </c>
      <c r="M699" s="1" t="str">
        <f t="shared" si="127"/>
        <v/>
      </c>
      <c r="N699" s="1" t="str">
        <f t="shared" si="128"/>
        <v/>
      </c>
      <c r="O699" s="1" t="str">
        <f t="shared" si="129"/>
        <v/>
      </c>
      <c r="P699" s="1" t="str">
        <f t="shared" si="130"/>
        <v/>
      </c>
      <c r="R699" s="1" t="str">
        <f t="shared" si="131"/>
        <v/>
      </c>
    </row>
    <row r="700" spans="1:18" x14ac:dyDescent="0.2">
      <c r="A700" t="str">
        <f>IF(COUNTBLANK(B700:R700)&lt;&gt;COLUMNS(B700:R700),699,"")</f>
        <v/>
      </c>
      <c r="D700" s="1" t="str">
        <f t="shared" si="120"/>
        <v/>
      </c>
      <c r="E700" s="2" t="str">
        <f t="shared" si="121"/>
        <v/>
      </c>
      <c r="F700" s="1" t="str">
        <f t="shared" si="122"/>
        <v/>
      </c>
      <c r="G700" s="1" t="str">
        <f t="shared" si="123"/>
        <v/>
      </c>
      <c r="H700" s="1" t="str">
        <f t="shared" si="124"/>
        <v/>
      </c>
      <c r="K700" s="1" t="str">
        <f t="shared" si="125"/>
        <v/>
      </c>
      <c r="L700" s="1" t="str">
        <f t="shared" si="126"/>
        <v/>
      </c>
      <c r="M700" s="1" t="str">
        <f t="shared" si="127"/>
        <v/>
      </c>
      <c r="N700" s="1" t="str">
        <f t="shared" si="128"/>
        <v/>
      </c>
      <c r="O700" s="1" t="str">
        <f t="shared" si="129"/>
        <v/>
      </c>
      <c r="P700" s="1" t="str">
        <f t="shared" si="130"/>
        <v/>
      </c>
      <c r="R700" s="1" t="str">
        <f t="shared" si="131"/>
        <v/>
      </c>
    </row>
    <row r="701" spans="1:18" x14ac:dyDescent="0.2">
      <c r="A701" t="str">
        <f>IF(COUNTBLANK(B701:R701)&lt;&gt;COLUMNS(B701:R701),700,"")</f>
        <v/>
      </c>
      <c r="D701" s="1" t="str">
        <f t="shared" si="120"/>
        <v/>
      </c>
      <c r="E701" s="2" t="str">
        <f t="shared" si="121"/>
        <v/>
      </c>
      <c r="F701" s="1" t="str">
        <f t="shared" si="122"/>
        <v/>
      </c>
      <c r="G701" s="1" t="str">
        <f t="shared" si="123"/>
        <v/>
      </c>
      <c r="H701" s="1" t="str">
        <f t="shared" si="124"/>
        <v/>
      </c>
      <c r="K701" s="1" t="str">
        <f t="shared" si="125"/>
        <v/>
      </c>
      <c r="L701" s="1" t="str">
        <f t="shared" si="126"/>
        <v/>
      </c>
      <c r="M701" s="1" t="str">
        <f t="shared" si="127"/>
        <v/>
      </c>
      <c r="N701" s="1" t="str">
        <f t="shared" si="128"/>
        <v/>
      </c>
      <c r="O701" s="1" t="str">
        <f t="shared" si="129"/>
        <v/>
      </c>
      <c r="P701" s="1" t="str">
        <f t="shared" si="130"/>
        <v/>
      </c>
      <c r="R701" s="1" t="str">
        <f t="shared" si="131"/>
        <v/>
      </c>
    </row>
    <row r="702" spans="1:18" x14ac:dyDescent="0.2">
      <c r="A702" t="str">
        <f>IF(COUNTBLANK(B702:R702)&lt;&gt;COLUMNS(B702:R702),701,"")</f>
        <v/>
      </c>
      <c r="D702" s="1" t="str">
        <f t="shared" si="120"/>
        <v/>
      </c>
      <c r="E702" s="2" t="str">
        <f t="shared" si="121"/>
        <v/>
      </c>
      <c r="F702" s="1" t="str">
        <f t="shared" si="122"/>
        <v/>
      </c>
      <c r="G702" s="1" t="str">
        <f t="shared" si="123"/>
        <v/>
      </c>
      <c r="H702" s="1" t="str">
        <f t="shared" si="124"/>
        <v/>
      </c>
      <c r="K702" s="1" t="str">
        <f t="shared" si="125"/>
        <v/>
      </c>
      <c r="L702" s="1" t="str">
        <f t="shared" si="126"/>
        <v/>
      </c>
      <c r="M702" s="1" t="str">
        <f t="shared" si="127"/>
        <v/>
      </c>
      <c r="N702" s="1" t="str">
        <f t="shared" si="128"/>
        <v/>
      </c>
      <c r="O702" s="1" t="str">
        <f t="shared" si="129"/>
        <v/>
      </c>
      <c r="P702" s="1" t="str">
        <f t="shared" si="130"/>
        <v/>
      </c>
      <c r="R702" s="1" t="str">
        <f t="shared" si="131"/>
        <v/>
      </c>
    </row>
    <row r="703" spans="1:18" x14ac:dyDescent="0.2">
      <c r="A703" t="str">
        <f>IF(COUNTBLANK(B703:R703)&lt;&gt;COLUMNS(B703:R703),702,"")</f>
        <v/>
      </c>
      <c r="D703" s="1" t="str">
        <f t="shared" si="120"/>
        <v/>
      </c>
      <c r="E703" s="2" t="str">
        <f t="shared" si="121"/>
        <v/>
      </c>
      <c r="F703" s="1" t="str">
        <f t="shared" si="122"/>
        <v/>
      </c>
      <c r="G703" s="1" t="str">
        <f t="shared" si="123"/>
        <v/>
      </c>
      <c r="H703" s="1" t="str">
        <f t="shared" si="124"/>
        <v/>
      </c>
      <c r="K703" s="1" t="str">
        <f t="shared" si="125"/>
        <v/>
      </c>
      <c r="L703" s="1" t="str">
        <f t="shared" si="126"/>
        <v/>
      </c>
      <c r="M703" s="1" t="str">
        <f t="shared" si="127"/>
        <v/>
      </c>
      <c r="N703" s="1" t="str">
        <f t="shared" si="128"/>
        <v/>
      </c>
      <c r="O703" s="1" t="str">
        <f t="shared" si="129"/>
        <v/>
      </c>
      <c r="P703" s="1" t="str">
        <f t="shared" si="130"/>
        <v/>
      </c>
      <c r="R703" s="1" t="str">
        <f t="shared" si="131"/>
        <v/>
      </c>
    </row>
    <row r="704" spans="1:18" x14ac:dyDescent="0.2">
      <c r="A704" t="str">
        <f>IF(COUNTBLANK(B704:R704)&lt;&gt;COLUMNS(B704:R704),703,"")</f>
        <v/>
      </c>
      <c r="D704" s="1" t="str">
        <f t="shared" si="120"/>
        <v/>
      </c>
      <c r="E704" s="2" t="str">
        <f t="shared" si="121"/>
        <v/>
      </c>
      <c r="F704" s="1" t="str">
        <f t="shared" si="122"/>
        <v/>
      </c>
      <c r="G704" s="1" t="str">
        <f t="shared" si="123"/>
        <v/>
      </c>
      <c r="H704" s="1" t="str">
        <f t="shared" si="124"/>
        <v/>
      </c>
      <c r="K704" s="1" t="str">
        <f t="shared" si="125"/>
        <v/>
      </c>
      <c r="L704" s="1" t="str">
        <f t="shared" si="126"/>
        <v/>
      </c>
      <c r="M704" s="1" t="str">
        <f t="shared" si="127"/>
        <v/>
      </c>
      <c r="N704" s="1" t="str">
        <f t="shared" si="128"/>
        <v/>
      </c>
      <c r="O704" s="1" t="str">
        <f t="shared" si="129"/>
        <v/>
      </c>
      <c r="P704" s="1" t="str">
        <f t="shared" si="130"/>
        <v/>
      </c>
      <c r="R704" s="1" t="str">
        <f t="shared" si="131"/>
        <v/>
      </c>
    </row>
    <row r="705" spans="1:18" x14ac:dyDescent="0.2">
      <c r="A705" t="str">
        <f>IF(COUNTBLANK(B705:R705)&lt;&gt;COLUMNS(B705:R705),704,"")</f>
        <v/>
      </c>
      <c r="D705" s="1" t="str">
        <f t="shared" si="120"/>
        <v/>
      </c>
      <c r="E705" s="2" t="str">
        <f t="shared" si="121"/>
        <v/>
      </c>
      <c r="F705" s="1" t="str">
        <f t="shared" si="122"/>
        <v/>
      </c>
      <c r="G705" s="1" t="str">
        <f t="shared" si="123"/>
        <v/>
      </c>
      <c r="H705" s="1" t="str">
        <f t="shared" si="124"/>
        <v/>
      </c>
      <c r="K705" s="1" t="str">
        <f t="shared" si="125"/>
        <v/>
      </c>
      <c r="L705" s="1" t="str">
        <f t="shared" si="126"/>
        <v/>
      </c>
      <c r="M705" s="1" t="str">
        <f t="shared" si="127"/>
        <v/>
      </c>
      <c r="N705" s="1" t="str">
        <f t="shared" si="128"/>
        <v/>
      </c>
      <c r="O705" s="1" t="str">
        <f t="shared" si="129"/>
        <v/>
      </c>
      <c r="P705" s="1" t="str">
        <f t="shared" si="130"/>
        <v/>
      </c>
      <c r="R705" s="1" t="str">
        <f t="shared" si="131"/>
        <v/>
      </c>
    </row>
    <row r="706" spans="1:18" x14ac:dyDescent="0.2">
      <c r="A706" t="str">
        <f>IF(COUNTBLANK(B706:R706)&lt;&gt;COLUMNS(B706:R706),705,"")</f>
        <v/>
      </c>
      <c r="D706" s="1" t="str">
        <f t="shared" ref="D706:D769" si="132">IF(B706="", "", "years")</f>
        <v/>
      </c>
      <c r="E706" s="2" t="str">
        <f t="shared" ref="E706:E769" si="133">IF(B706="", "", "missing: not provided")</f>
        <v/>
      </c>
      <c r="F706" s="1" t="str">
        <f t="shared" ref="F706:F769" si="134">IF(B706="", "", "Not applicable")</f>
        <v/>
      </c>
      <c r="G706" s="1" t="str">
        <f t="shared" ref="G706:G769" si="135">IF(B706="", "", "urban biome")</f>
        <v/>
      </c>
      <c r="H706" s="1" t="str">
        <f t="shared" ref="H706:H769" si="136">IF(B706="", "", "human-associated habitat")</f>
        <v/>
      </c>
      <c r="K706" s="1" t="str">
        <f t="shared" ref="K706:K769" si="137">IF(B706="", "", "cm")</f>
        <v/>
      </c>
      <c r="L706" s="1" t="str">
        <f t="shared" ref="L706:L769" si="138">IF(B706="", "", "human")</f>
        <v/>
      </c>
      <c r="M706" s="1" t="str">
        <f t="shared" ref="M706:M769" si="139">IF(B706="", "", "Homo sapiens")</f>
        <v/>
      </c>
      <c r="N706" s="1" t="str">
        <f t="shared" ref="N706:N769" si="140">IF(B706="", "", "9606")</f>
        <v/>
      </c>
      <c r="O706" s="1" t="str">
        <f t="shared" ref="O706:O769" si="141">IF(B706="", "", "missing: not provided")</f>
        <v/>
      </c>
      <c r="P706" s="1" t="str">
        <f t="shared" ref="P706:P769" si="142">IF(B706="", "", "missing: not provided")</f>
        <v/>
      </c>
      <c r="R706" s="1" t="str">
        <f t="shared" ref="R706:R769" si="143">IF(B706="", "", "kg")</f>
        <v/>
      </c>
    </row>
    <row r="707" spans="1:18" x14ac:dyDescent="0.2">
      <c r="A707" t="str">
        <f>IF(COUNTBLANK(B707:R707)&lt;&gt;COLUMNS(B707:R707),706,"")</f>
        <v/>
      </c>
      <c r="D707" s="1" t="str">
        <f t="shared" si="132"/>
        <v/>
      </c>
      <c r="E707" s="2" t="str">
        <f t="shared" si="133"/>
        <v/>
      </c>
      <c r="F707" s="1" t="str">
        <f t="shared" si="134"/>
        <v/>
      </c>
      <c r="G707" s="1" t="str">
        <f t="shared" si="135"/>
        <v/>
      </c>
      <c r="H707" s="1" t="str">
        <f t="shared" si="136"/>
        <v/>
      </c>
      <c r="K707" s="1" t="str">
        <f t="shared" si="137"/>
        <v/>
      </c>
      <c r="L707" s="1" t="str">
        <f t="shared" si="138"/>
        <v/>
      </c>
      <c r="M707" s="1" t="str">
        <f t="shared" si="139"/>
        <v/>
      </c>
      <c r="N707" s="1" t="str">
        <f t="shared" si="140"/>
        <v/>
      </c>
      <c r="O707" s="1" t="str">
        <f t="shared" si="141"/>
        <v/>
      </c>
      <c r="P707" s="1" t="str">
        <f t="shared" si="142"/>
        <v/>
      </c>
      <c r="R707" s="1" t="str">
        <f t="shared" si="143"/>
        <v/>
      </c>
    </row>
    <row r="708" spans="1:18" x14ac:dyDescent="0.2">
      <c r="A708" t="str">
        <f>IF(COUNTBLANK(B708:R708)&lt;&gt;COLUMNS(B708:R708),707,"")</f>
        <v/>
      </c>
      <c r="D708" s="1" t="str">
        <f t="shared" si="132"/>
        <v/>
      </c>
      <c r="E708" s="2" t="str">
        <f t="shared" si="133"/>
        <v/>
      </c>
      <c r="F708" s="1" t="str">
        <f t="shared" si="134"/>
        <v/>
      </c>
      <c r="G708" s="1" t="str">
        <f t="shared" si="135"/>
        <v/>
      </c>
      <c r="H708" s="1" t="str">
        <f t="shared" si="136"/>
        <v/>
      </c>
      <c r="K708" s="1" t="str">
        <f t="shared" si="137"/>
        <v/>
      </c>
      <c r="L708" s="1" t="str">
        <f t="shared" si="138"/>
        <v/>
      </c>
      <c r="M708" s="1" t="str">
        <f t="shared" si="139"/>
        <v/>
      </c>
      <c r="N708" s="1" t="str">
        <f t="shared" si="140"/>
        <v/>
      </c>
      <c r="O708" s="1" t="str">
        <f t="shared" si="141"/>
        <v/>
      </c>
      <c r="P708" s="1" t="str">
        <f t="shared" si="142"/>
        <v/>
      </c>
      <c r="R708" s="1" t="str">
        <f t="shared" si="143"/>
        <v/>
      </c>
    </row>
    <row r="709" spans="1:18" x14ac:dyDescent="0.2">
      <c r="A709" t="str">
        <f>IF(COUNTBLANK(B709:R709)&lt;&gt;COLUMNS(B709:R709),708,"")</f>
        <v/>
      </c>
      <c r="D709" s="1" t="str">
        <f t="shared" si="132"/>
        <v/>
      </c>
      <c r="E709" s="2" t="str">
        <f t="shared" si="133"/>
        <v/>
      </c>
      <c r="F709" s="1" t="str">
        <f t="shared" si="134"/>
        <v/>
      </c>
      <c r="G709" s="1" t="str">
        <f t="shared" si="135"/>
        <v/>
      </c>
      <c r="H709" s="1" t="str">
        <f t="shared" si="136"/>
        <v/>
      </c>
      <c r="K709" s="1" t="str">
        <f t="shared" si="137"/>
        <v/>
      </c>
      <c r="L709" s="1" t="str">
        <f t="shared" si="138"/>
        <v/>
      </c>
      <c r="M709" s="1" t="str">
        <f t="shared" si="139"/>
        <v/>
      </c>
      <c r="N709" s="1" t="str">
        <f t="shared" si="140"/>
        <v/>
      </c>
      <c r="O709" s="1" t="str">
        <f t="shared" si="141"/>
        <v/>
      </c>
      <c r="P709" s="1" t="str">
        <f t="shared" si="142"/>
        <v/>
      </c>
      <c r="R709" s="1" t="str">
        <f t="shared" si="143"/>
        <v/>
      </c>
    </row>
    <row r="710" spans="1:18" x14ac:dyDescent="0.2">
      <c r="A710" t="str">
        <f>IF(COUNTBLANK(B710:R710)&lt;&gt;COLUMNS(B710:R710),709,"")</f>
        <v/>
      </c>
      <c r="D710" s="1" t="str">
        <f t="shared" si="132"/>
        <v/>
      </c>
      <c r="E710" s="2" t="str">
        <f t="shared" si="133"/>
        <v/>
      </c>
      <c r="F710" s="1" t="str">
        <f t="shared" si="134"/>
        <v/>
      </c>
      <c r="G710" s="1" t="str">
        <f t="shared" si="135"/>
        <v/>
      </c>
      <c r="H710" s="1" t="str">
        <f t="shared" si="136"/>
        <v/>
      </c>
      <c r="K710" s="1" t="str">
        <f t="shared" si="137"/>
        <v/>
      </c>
      <c r="L710" s="1" t="str">
        <f t="shared" si="138"/>
        <v/>
      </c>
      <c r="M710" s="1" t="str">
        <f t="shared" si="139"/>
        <v/>
      </c>
      <c r="N710" s="1" t="str">
        <f t="shared" si="140"/>
        <v/>
      </c>
      <c r="O710" s="1" t="str">
        <f t="shared" si="141"/>
        <v/>
      </c>
      <c r="P710" s="1" t="str">
        <f t="shared" si="142"/>
        <v/>
      </c>
      <c r="R710" s="1" t="str">
        <f t="shared" si="143"/>
        <v/>
      </c>
    </row>
    <row r="711" spans="1:18" x14ac:dyDescent="0.2">
      <c r="A711" t="str">
        <f>IF(COUNTBLANK(B711:R711)&lt;&gt;COLUMNS(B711:R711),710,"")</f>
        <v/>
      </c>
      <c r="D711" s="1" t="str">
        <f t="shared" si="132"/>
        <v/>
      </c>
      <c r="E711" s="2" t="str">
        <f t="shared" si="133"/>
        <v/>
      </c>
      <c r="F711" s="1" t="str">
        <f t="shared" si="134"/>
        <v/>
      </c>
      <c r="G711" s="1" t="str">
        <f t="shared" si="135"/>
        <v/>
      </c>
      <c r="H711" s="1" t="str">
        <f t="shared" si="136"/>
        <v/>
      </c>
      <c r="K711" s="1" t="str">
        <f t="shared" si="137"/>
        <v/>
      </c>
      <c r="L711" s="1" t="str">
        <f t="shared" si="138"/>
        <v/>
      </c>
      <c r="M711" s="1" t="str">
        <f t="shared" si="139"/>
        <v/>
      </c>
      <c r="N711" s="1" t="str">
        <f t="shared" si="140"/>
        <v/>
      </c>
      <c r="O711" s="1" t="str">
        <f t="shared" si="141"/>
        <v/>
      </c>
      <c r="P711" s="1" t="str">
        <f t="shared" si="142"/>
        <v/>
      </c>
      <c r="R711" s="1" t="str">
        <f t="shared" si="143"/>
        <v/>
      </c>
    </row>
    <row r="712" spans="1:18" x14ac:dyDescent="0.2">
      <c r="A712" t="str">
        <f>IF(COUNTBLANK(B712:R712)&lt;&gt;COLUMNS(B712:R712),711,"")</f>
        <v/>
      </c>
      <c r="D712" s="1" t="str">
        <f t="shared" si="132"/>
        <v/>
      </c>
      <c r="E712" s="2" t="str">
        <f t="shared" si="133"/>
        <v/>
      </c>
      <c r="F712" s="1" t="str">
        <f t="shared" si="134"/>
        <v/>
      </c>
      <c r="G712" s="1" t="str">
        <f t="shared" si="135"/>
        <v/>
      </c>
      <c r="H712" s="1" t="str">
        <f t="shared" si="136"/>
        <v/>
      </c>
      <c r="K712" s="1" t="str">
        <f t="shared" si="137"/>
        <v/>
      </c>
      <c r="L712" s="1" t="str">
        <f t="shared" si="138"/>
        <v/>
      </c>
      <c r="M712" s="1" t="str">
        <f t="shared" si="139"/>
        <v/>
      </c>
      <c r="N712" s="1" t="str">
        <f t="shared" si="140"/>
        <v/>
      </c>
      <c r="O712" s="1" t="str">
        <f t="shared" si="141"/>
        <v/>
      </c>
      <c r="P712" s="1" t="str">
        <f t="shared" si="142"/>
        <v/>
      </c>
      <c r="R712" s="1" t="str">
        <f t="shared" si="143"/>
        <v/>
      </c>
    </row>
    <row r="713" spans="1:18" x14ac:dyDescent="0.2">
      <c r="A713" t="str">
        <f>IF(COUNTBLANK(B713:R713)&lt;&gt;COLUMNS(B713:R713),712,"")</f>
        <v/>
      </c>
      <c r="D713" s="1" t="str">
        <f t="shared" si="132"/>
        <v/>
      </c>
      <c r="E713" s="2" t="str">
        <f t="shared" si="133"/>
        <v/>
      </c>
      <c r="F713" s="1" t="str">
        <f t="shared" si="134"/>
        <v/>
      </c>
      <c r="G713" s="1" t="str">
        <f t="shared" si="135"/>
        <v/>
      </c>
      <c r="H713" s="1" t="str">
        <f t="shared" si="136"/>
        <v/>
      </c>
      <c r="K713" s="1" t="str">
        <f t="shared" si="137"/>
        <v/>
      </c>
      <c r="L713" s="1" t="str">
        <f t="shared" si="138"/>
        <v/>
      </c>
      <c r="M713" s="1" t="str">
        <f t="shared" si="139"/>
        <v/>
      </c>
      <c r="N713" s="1" t="str">
        <f t="shared" si="140"/>
        <v/>
      </c>
      <c r="O713" s="1" t="str">
        <f t="shared" si="141"/>
        <v/>
      </c>
      <c r="P713" s="1" t="str">
        <f t="shared" si="142"/>
        <v/>
      </c>
      <c r="R713" s="1" t="str">
        <f t="shared" si="143"/>
        <v/>
      </c>
    </row>
    <row r="714" spans="1:18" x14ac:dyDescent="0.2">
      <c r="A714" t="str">
        <f>IF(COUNTBLANK(B714:R714)&lt;&gt;COLUMNS(B714:R714),713,"")</f>
        <v/>
      </c>
      <c r="D714" s="1" t="str">
        <f t="shared" si="132"/>
        <v/>
      </c>
      <c r="E714" s="2" t="str">
        <f t="shared" si="133"/>
        <v/>
      </c>
      <c r="F714" s="1" t="str">
        <f t="shared" si="134"/>
        <v/>
      </c>
      <c r="G714" s="1" t="str">
        <f t="shared" si="135"/>
        <v/>
      </c>
      <c r="H714" s="1" t="str">
        <f t="shared" si="136"/>
        <v/>
      </c>
      <c r="K714" s="1" t="str">
        <f t="shared" si="137"/>
        <v/>
      </c>
      <c r="L714" s="1" t="str">
        <f t="shared" si="138"/>
        <v/>
      </c>
      <c r="M714" s="1" t="str">
        <f t="shared" si="139"/>
        <v/>
      </c>
      <c r="N714" s="1" t="str">
        <f t="shared" si="140"/>
        <v/>
      </c>
      <c r="O714" s="1" t="str">
        <f t="shared" si="141"/>
        <v/>
      </c>
      <c r="P714" s="1" t="str">
        <f t="shared" si="142"/>
        <v/>
      </c>
      <c r="R714" s="1" t="str">
        <f t="shared" si="143"/>
        <v/>
      </c>
    </row>
    <row r="715" spans="1:18" x14ac:dyDescent="0.2">
      <c r="A715" t="str">
        <f>IF(COUNTBLANK(B715:R715)&lt;&gt;COLUMNS(B715:R715),714,"")</f>
        <v/>
      </c>
      <c r="D715" s="1" t="str">
        <f t="shared" si="132"/>
        <v/>
      </c>
      <c r="E715" s="2" t="str">
        <f t="shared" si="133"/>
        <v/>
      </c>
      <c r="F715" s="1" t="str">
        <f t="shared" si="134"/>
        <v/>
      </c>
      <c r="G715" s="1" t="str">
        <f t="shared" si="135"/>
        <v/>
      </c>
      <c r="H715" s="1" t="str">
        <f t="shared" si="136"/>
        <v/>
      </c>
      <c r="K715" s="1" t="str">
        <f t="shared" si="137"/>
        <v/>
      </c>
      <c r="L715" s="1" t="str">
        <f t="shared" si="138"/>
        <v/>
      </c>
      <c r="M715" s="1" t="str">
        <f t="shared" si="139"/>
        <v/>
      </c>
      <c r="N715" s="1" t="str">
        <f t="shared" si="140"/>
        <v/>
      </c>
      <c r="O715" s="1" t="str">
        <f t="shared" si="141"/>
        <v/>
      </c>
      <c r="P715" s="1" t="str">
        <f t="shared" si="142"/>
        <v/>
      </c>
      <c r="R715" s="1" t="str">
        <f t="shared" si="143"/>
        <v/>
      </c>
    </row>
    <row r="716" spans="1:18" x14ac:dyDescent="0.2">
      <c r="A716" t="str">
        <f>IF(COUNTBLANK(B716:R716)&lt;&gt;COLUMNS(B716:R716),715,"")</f>
        <v/>
      </c>
      <c r="D716" s="1" t="str">
        <f t="shared" si="132"/>
        <v/>
      </c>
      <c r="E716" s="2" t="str">
        <f t="shared" si="133"/>
        <v/>
      </c>
      <c r="F716" s="1" t="str">
        <f t="shared" si="134"/>
        <v/>
      </c>
      <c r="G716" s="1" t="str">
        <f t="shared" si="135"/>
        <v/>
      </c>
      <c r="H716" s="1" t="str">
        <f t="shared" si="136"/>
        <v/>
      </c>
      <c r="K716" s="1" t="str">
        <f t="shared" si="137"/>
        <v/>
      </c>
      <c r="L716" s="1" t="str">
        <f t="shared" si="138"/>
        <v/>
      </c>
      <c r="M716" s="1" t="str">
        <f t="shared" si="139"/>
        <v/>
      </c>
      <c r="N716" s="1" t="str">
        <f t="shared" si="140"/>
        <v/>
      </c>
      <c r="O716" s="1" t="str">
        <f t="shared" si="141"/>
        <v/>
      </c>
      <c r="P716" s="1" t="str">
        <f t="shared" si="142"/>
        <v/>
      </c>
      <c r="R716" s="1" t="str">
        <f t="shared" si="143"/>
        <v/>
      </c>
    </row>
    <row r="717" spans="1:18" x14ac:dyDescent="0.2">
      <c r="A717" t="str">
        <f>IF(COUNTBLANK(B717:R717)&lt;&gt;COLUMNS(B717:R717),716,"")</f>
        <v/>
      </c>
      <c r="D717" s="1" t="str">
        <f t="shared" si="132"/>
        <v/>
      </c>
      <c r="E717" s="2" t="str">
        <f t="shared" si="133"/>
        <v/>
      </c>
      <c r="F717" s="1" t="str">
        <f t="shared" si="134"/>
        <v/>
      </c>
      <c r="G717" s="1" t="str">
        <f t="shared" si="135"/>
        <v/>
      </c>
      <c r="H717" s="1" t="str">
        <f t="shared" si="136"/>
        <v/>
      </c>
      <c r="K717" s="1" t="str">
        <f t="shared" si="137"/>
        <v/>
      </c>
      <c r="L717" s="1" t="str">
        <f t="shared" si="138"/>
        <v/>
      </c>
      <c r="M717" s="1" t="str">
        <f t="shared" si="139"/>
        <v/>
      </c>
      <c r="N717" s="1" t="str">
        <f t="shared" si="140"/>
        <v/>
      </c>
      <c r="O717" s="1" t="str">
        <f t="shared" si="141"/>
        <v/>
      </c>
      <c r="P717" s="1" t="str">
        <f t="shared" si="142"/>
        <v/>
      </c>
      <c r="R717" s="1" t="str">
        <f t="shared" si="143"/>
        <v/>
      </c>
    </row>
    <row r="718" spans="1:18" x14ac:dyDescent="0.2">
      <c r="A718" t="str">
        <f>IF(COUNTBLANK(B718:R718)&lt;&gt;COLUMNS(B718:R718),717,"")</f>
        <v/>
      </c>
      <c r="D718" s="1" t="str">
        <f t="shared" si="132"/>
        <v/>
      </c>
      <c r="E718" s="2" t="str">
        <f t="shared" si="133"/>
        <v/>
      </c>
      <c r="F718" s="1" t="str">
        <f t="shared" si="134"/>
        <v/>
      </c>
      <c r="G718" s="1" t="str">
        <f t="shared" si="135"/>
        <v/>
      </c>
      <c r="H718" s="1" t="str">
        <f t="shared" si="136"/>
        <v/>
      </c>
      <c r="K718" s="1" t="str">
        <f t="shared" si="137"/>
        <v/>
      </c>
      <c r="L718" s="1" t="str">
        <f t="shared" si="138"/>
        <v/>
      </c>
      <c r="M718" s="1" t="str">
        <f t="shared" si="139"/>
        <v/>
      </c>
      <c r="N718" s="1" t="str">
        <f t="shared" si="140"/>
        <v/>
      </c>
      <c r="O718" s="1" t="str">
        <f t="shared" si="141"/>
        <v/>
      </c>
      <c r="P718" s="1" t="str">
        <f t="shared" si="142"/>
        <v/>
      </c>
      <c r="R718" s="1" t="str">
        <f t="shared" si="143"/>
        <v/>
      </c>
    </row>
    <row r="719" spans="1:18" x14ac:dyDescent="0.2">
      <c r="A719" t="str">
        <f>IF(COUNTBLANK(B719:R719)&lt;&gt;COLUMNS(B719:R719),718,"")</f>
        <v/>
      </c>
      <c r="D719" s="1" t="str">
        <f t="shared" si="132"/>
        <v/>
      </c>
      <c r="E719" s="2" t="str">
        <f t="shared" si="133"/>
        <v/>
      </c>
      <c r="F719" s="1" t="str">
        <f t="shared" si="134"/>
        <v/>
      </c>
      <c r="G719" s="1" t="str">
        <f t="shared" si="135"/>
        <v/>
      </c>
      <c r="H719" s="1" t="str">
        <f t="shared" si="136"/>
        <v/>
      </c>
      <c r="K719" s="1" t="str">
        <f t="shared" si="137"/>
        <v/>
      </c>
      <c r="L719" s="1" t="str">
        <f t="shared" si="138"/>
        <v/>
      </c>
      <c r="M719" s="1" t="str">
        <f t="shared" si="139"/>
        <v/>
      </c>
      <c r="N719" s="1" t="str">
        <f t="shared" si="140"/>
        <v/>
      </c>
      <c r="O719" s="1" t="str">
        <f t="shared" si="141"/>
        <v/>
      </c>
      <c r="P719" s="1" t="str">
        <f t="shared" si="142"/>
        <v/>
      </c>
      <c r="R719" s="1" t="str">
        <f t="shared" si="143"/>
        <v/>
      </c>
    </row>
    <row r="720" spans="1:18" x14ac:dyDescent="0.2">
      <c r="A720" t="str">
        <f>IF(COUNTBLANK(B720:R720)&lt;&gt;COLUMNS(B720:R720),719,"")</f>
        <v/>
      </c>
      <c r="D720" s="1" t="str">
        <f t="shared" si="132"/>
        <v/>
      </c>
      <c r="E720" s="2" t="str">
        <f t="shared" si="133"/>
        <v/>
      </c>
      <c r="F720" s="1" t="str">
        <f t="shared" si="134"/>
        <v/>
      </c>
      <c r="G720" s="1" t="str">
        <f t="shared" si="135"/>
        <v/>
      </c>
      <c r="H720" s="1" t="str">
        <f t="shared" si="136"/>
        <v/>
      </c>
      <c r="K720" s="1" t="str">
        <f t="shared" si="137"/>
        <v/>
      </c>
      <c r="L720" s="1" t="str">
        <f t="shared" si="138"/>
        <v/>
      </c>
      <c r="M720" s="1" t="str">
        <f t="shared" si="139"/>
        <v/>
      </c>
      <c r="N720" s="1" t="str">
        <f t="shared" si="140"/>
        <v/>
      </c>
      <c r="O720" s="1" t="str">
        <f t="shared" si="141"/>
        <v/>
      </c>
      <c r="P720" s="1" t="str">
        <f t="shared" si="142"/>
        <v/>
      </c>
      <c r="R720" s="1" t="str">
        <f t="shared" si="143"/>
        <v/>
      </c>
    </row>
    <row r="721" spans="1:18" x14ac:dyDescent="0.2">
      <c r="A721" t="str">
        <f>IF(COUNTBLANK(B721:R721)&lt;&gt;COLUMNS(B721:R721),720,"")</f>
        <v/>
      </c>
      <c r="D721" s="1" t="str">
        <f t="shared" si="132"/>
        <v/>
      </c>
      <c r="E721" s="2" t="str">
        <f t="shared" si="133"/>
        <v/>
      </c>
      <c r="F721" s="1" t="str">
        <f t="shared" si="134"/>
        <v/>
      </c>
      <c r="G721" s="1" t="str">
        <f t="shared" si="135"/>
        <v/>
      </c>
      <c r="H721" s="1" t="str">
        <f t="shared" si="136"/>
        <v/>
      </c>
      <c r="K721" s="1" t="str">
        <f t="shared" si="137"/>
        <v/>
      </c>
      <c r="L721" s="1" t="str">
        <f t="shared" si="138"/>
        <v/>
      </c>
      <c r="M721" s="1" t="str">
        <f t="shared" si="139"/>
        <v/>
      </c>
      <c r="N721" s="1" t="str">
        <f t="shared" si="140"/>
        <v/>
      </c>
      <c r="O721" s="1" t="str">
        <f t="shared" si="141"/>
        <v/>
      </c>
      <c r="P721" s="1" t="str">
        <f t="shared" si="142"/>
        <v/>
      </c>
      <c r="R721" s="1" t="str">
        <f t="shared" si="143"/>
        <v/>
      </c>
    </row>
    <row r="722" spans="1:18" x14ac:dyDescent="0.2">
      <c r="A722" t="str">
        <f>IF(COUNTBLANK(B722:R722)&lt;&gt;COLUMNS(B722:R722),721,"")</f>
        <v/>
      </c>
      <c r="D722" s="1" t="str">
        <f t="shared" si="132"/>
        <v/>
      </c>
      <c r="E722" s="2" t="str">
        <f t="shared" si="133"/>
        <v/>
      </c>
      <c r="F722" s="1" t="str">
        <f t="shared" si="134"/>
        <v/>
      </c>
      <c r="G722" s="1" t="str">
        <f t="shared" si="135"/>
        <v/>
      </c>
      <c r="H722" s="1" t="str">
        <f t="shared" si="136"/>
        <v/>
      </c>
      <c r="K722" s="1" t="str">
        <f t="shared" si="137"/>
        <v/>
      </c>
      <c r="L722" s="1" t="str">
        <f t="shared" si="138"/>
        <v/>
      </c>
      <c r="M722" s="1" t="str">
        <f t="shared" si="139"/>
        <v/>
      </c>
      <c r="N722" s="1" t="str">
        <f t="shared" si="140"/>
        <v/>
      </c>
      <c r="O722" s="1" t="str">
        <f t="shared" si="141"/>
        <v/>
      </c>
      <c r="P722" s="1" t="str">
        <f t="shared" si="142"/>
        <v/>
      </c>
      <c r="R722" s="1" t="str">
        <f t="shared" si="143"/>
        <v/>
      </c>
    </row>
    <row r="723" spans="1:18" x14ac:dyDescent="0.2">
      <c r="A723" t="str">
        <f>IF(COUNTBLANK(B723:R723)&lt;&gt;COLUMNS(B723:R723),722,"")</f>
        <v/>
      </c>
      <c r="D723" s="1" t="str">
        <f t="shared" si="132"/>
        <v/>
      </c>
      <c r="E723" s="2" t="str">
        <f t="shared" si="133"/>
        <v/>
      </c>
      <c r="F723" s="1" t="str">
        <f t="shared" si="134"/>
        <v/>
      </c>
      <c r="G723" s="1" t="str">
        <f t="shared" si="135"/>
        <v/>
      </c>
      <c r="H723" s="1" t="str">
        <f t="shared" si="136"/>
        <v/>
      </c>
      <c r="K723" s="1" t="str">
        <f t="shared" si="137"/>
        <v/>
      </c>
      <c r="L723" s="1" t="str">
        <f t="shared" si="138"/>
        <v/>
      </c>
      <c r="M723" s="1" t="str">
        <f t="shared" si="139"/>
        <v/>
      </c>
      <c r="N723" s="1" t="str">
        <f t="shared" si="140"/>
        <v/>
      </c>
      <c r="O723" s="1" t="str">
        <f t="shared" si="141"/>
        <v/>
      </c>
      <c r="P723" s="1" t="str">
        <f t="shared" si="142"/>
        <v/>
      </c>
      <c r="R723" s="1" t="str">
        <f t="shared" si="143"/>
        <v/>
      </c>
    </row>
    <row r="724" spans="1:18" x14ac:dyDescent="0.2">
      <c r="A724" t="str">
        <f>IF(COUNTBLANK(B724:R724)&lt;&gt;COLUMNS(B724:R724),723,"")</f>
        <v/>
      </c>
      <c r="D724" s="1" t="str">
        <f t="shared" si="132"/>
        <v/>
      </c>
      <c r="E724" s="2" t="str">
        <f t="shared" si="133"/>
        <v/>
      </c>
      <c r="F724" s="1" t="str">
        <f t="shared" si="134"/>
        <v/>
      </c>
      <c r="G724" s="1" t="str">
        <f t="shared" si="135"/>
        <v/>
      </c>
      <c r="H724" s="1" t="str">
        <f t="shared" si="136"/>
        <v/>
      </c>
      <c r="K724" s="1" t="str">
        <f t="shared" si="137"/>
        <v/>
      </c>
      <c r="L724" s="1" t="str">
        <f t="shared" si="138"/>
        <v/>
      </c>
      <c r="M724" s="1" t="str">
        <f t="shared" si="139"/>
        <v/>
      </c>
      <c r="N724" s="1" t="str">
        <f t="shared" si="140"/>
        <v/>
      </c>
      <c r="O724" s="1" t="str">
        <f t="shared" si="141"/>
        <v/>
      </c>
      <c r="P724" s="1" t="str">
        <f t="shared" si="142"/>
        <v/>
      </c>
      <c r="R724" s="1" t="str">
        <f t="shared" si="143"/>
        <v/>
      </c>
    </row>
    <row r="725" spans="1:18" x14ac:dyDescent="0.2">
      <c r="A725" t="str">
        <f>IF(COUNTBLANK(B725:R725)&lt;&gt;COLUMNS(B725:R725),724,"")</f>
        <v/>
      </c>
      <c r="D725" s="1" t="str">
        <f t="shared" si="132"/>
        <v/>
      </c>
      <c r="E725" s="2" t="str">
        <f t="shared" si="133"/>
        <v/>
      </c>
      <c r="F725" s="1" t="str">
        <f t="shared" si="134"/>
        <v/>
      </c>
      <c r="G725" s="1" t="str">
        <f t="shared" si="135"/>
        <v/>
      </c>
      <c r="H725" s="1" t="str">
        <f t="shared" si="136"/>
        <v/>
      </c>
      <c r="K725" s="1" t="str">
        <f t="shared" si="137"/>
        <v/>
      </c>
      <c r="L725" s="1" t="str">
        <f t="shared" si="138"/>
        <v/>
      </c>
      <c r="M725" s="1" t="str">
        <f t="shared" si="139"/>
        <v/>
      </c>
      <c r="N725" s="1" t="str">
        <f t="shared" si="140"/>
        <v/>
      </c>
      <c r="O725" s="1" t="str">
        <f t="shared" si="141"/>
        <v/>
      </c>
      <c r="P725" s="1" t="str">
        <f t="shared" si="142"/>
        <v/>
      </c>
      <c r="R725" s="1" t="str">
        <f t="shared" si="143"/>
        <v/>
      </c>
    </row>
    <row r="726" spans="1:18" x14ac:dyDescent="0.2">
      <c r="A726" t="str">
        <f>IF(COUNTBLANK(B726:R726)&lt;&gt;COLUMNS(B726:R726),725,"")</f>
        <v/>
      </c>
      <c r="D726" s="1" t="str">
        <f t="shared" si="132"/>
        <v/>
      </c>
      <c r="E726" s="2" t="str">
        <f t="shared" si="133"/>
        <v/>
      </c>
      <c r="F726" s="1" t="str">
        <f t="shared" si="134"/>
        <v/>
      </c>
      <c r="G726" s="1" t="str">
        <f t="shared" si="135"/>
        <v/>
      </c>
      <c r="H726" s="1" t="str">
        <f t="shared" si="136"/>
        <v/>
      </c>
      <c r="K726" s="1" t="str">
        <f t="shared" si="137"/>
        <v/>
      </c>
      <c r="L726" s="1" t="str">
        <f t="shared" si="138"/>
        <v/>
      </c>
      <c r="M726" s="1" t="str">
        <f t="shared" si="139"/>
        <v/>
      </c>
      <c r="N726" s="1" t="str">
        <f t="shared" si="140"/>
        <v/>
      </c>
      <c r="O726" s="1" t="str">
        <f t="shared" si="141"/>
        <v/>
      </c>
      <c r="P726" s="1" t="str">
        <f t="shared" si="142"/>
        <v/>
      </c>
      <c r="R726" s="1" t="str">
        <f t="shared" si="143"/>
        <v/>
      </c>
    </row>
    <row r="727" spans="1:18" x14ac:dyDescent="0.2">
      <c r="A727" t="str">
        <f>IF(COUNTBLANK(B727:R727)&lt;&gt;COLUMNS(B727:R727),726,"")</f>
        <v/>
      </c>
      <c r="D727" s="1" t="str">
        <f t="shared" si="132"/>
        <v/>
      </c>
      <c r="E727" s="2" t="str">
        <f t="shared" si="133"/>
        <v/>
      </c>
      <c r="F727" s="1" t="str">
        <f t="shared" si="134"/>
        <v/>
      </c>
      <c r="G727" s="1" t="str">
        <f t="shared" si="135"/>
        <v/>
      </c>
      <c r="H727" s="1" t="str">
        <f t="shared" si="136"/>
        <v/>
      </c>
      <c r="K727" s="1" t="str">
        <f t="shared" si="137"/>
        <v/>
      </c>
      <c r="L727" s="1" t="str">
        <f t="shared" si="138"/>
        <v/>
      </c>
      <c r="M727" s="1" t="str">
        <f t="shared" si="139"/>
        <v/>
      </c>
      <c r="N727" s="1" t="str">
        <f t="shared" si="140"/>
        <v/>
      </c>
      <c r="O727" s="1" t="str">
        <f t="shared" si="141"/>
        <v/>
      </c>
      <c r="P727" s="1" t="str">
        <f t="shared" si="142"/>
        <v/>
      </c>
      <c r="R727" s="1" t="str">
        <f t="shared" si="143"/>
        <v/>
      </c>
    </row>
    <row r="728" spans="1:18" x14ac:dyDescent="0.2">
      <c r="A728" t="str">
        <f>IF(COUNTBLANK(B728:R728)&lt;&gt;COLUMNS(B728:R728),727,"")</f>
        <v/>
      </c>
      <c r="D728" s="1" t="str">
        <f t="shared" si="132"/>
        <v/>
      </c>
      <c r="E728" s="2" t="str">
        <f t="shared" si="133"/>
        <v/>
      </c>
      <c r="F728" s="1" t="str">
        <f t="shared" si="134"/>
        <v/>
      </c>
      <c r="G728" s="1" t="str">
        <f t="shared" si="135"/>
        <v/>
      </c>
      <c r="H728" s="1" t="str">
        <f t="shared" si="136"/>
        <v/>
      </c>
      <c r="K728" s="1" t="str">
        <f t="shared" si="137"/>
        <v/>
      </c>
      <c r="L728" s="1" t="str">
        <f t="shared" si="138"/>
        <v/>
      </c>
      <c r="M728" s="1" t="str">
        <f t="shared" si="139"/>
        <v/>
      </c>
      <c r="N728" s="1" t="str">
        <f t="shared" si="140"/>
        <v/>
      </c>
      <c r="O728" s="1" t="str">
        <f t="shared" si="141"/>
        <v/>
      </c>
      <c r="P728" s="1" t="str">
        <f t="shared" si="142"/>
        <v/>
      </c>
      <c r="R728" s="1" t="str">
        <f t="shared" si="143"/>
        <v/>
      </c>
    </row>
    <row r="729" spans="1:18" x14ac:dyDescent="0.2">
      <c r="A729" t="str">
        <f>IF(COUNTBLANK(B729:R729)&lt;&gt;COLUMNS(B729:R729),728,"")</f>
        <v/>
      </c>
      <c r="D729" s="1" t="str">
        <f t="shared" si="132"/>
        <v/>
      </c>
      <c r="E729" s="2" t="str">
        <f t="shared" si="133"/>
        <v/>
      </c>
      <c r="F729" s="1" t="str">
        <f t="shared" si="134"/>
        <v/>
      </c>
      <c r="G729" s="1" t="str">
        <f t="shared" si="135"/>
        <v/>
      </c>
      <c r="H729" s="1" t="str">
        <f t="shared" si="136"/>
        <v/>
      </c>
      <c r="K729" s="1" t="str">
        <f t="shared" si="137"/>
        <v/>
      </c>
      <c r="L729" s="1" t="str">
        <f t="shared" si="138"/>
        <v/>
      </c>
      <c r="M729" s="1" t="str">
        <f t="shared" si="139"/>
        <v/>
      </c>
      <c r="N729" s="1" t="str">
        <f t="shared" si="140"/>
        <v/>
      </c>
      <c r="O729" s="1" t="str">
        <f t="shared" si="141"/>
        <v/>
      </c>
      <c r="P729" s="1" t="str">
        <f t="shared" si="142"/>
        <v/>
      </c>
      <c r="R729" s="1" t="str">
        <f t="shared" si="143"/>
        <v/>
      </c>
    </row>
    <row r="730" spans="1:18" x14ac:dyDescent="0.2">
      <c r="A730" t="str">
        <f>IF(COUNTBLANK(B730:R730)&lt;&gt;COLUMNS(B730:R730),729,"")</f>
        <v/>
      </c>
      <c r="D730" s="1" t="str">
        <f t="shared" si="132"/>
        <v/>
      </c>
      <c r="E730" s="2" t="str">
        <f t="shared" si="133"/>
        <v/>
      </c>
      <c r="F730" s="1" t="str">
        <f t="shared" si="134"/>
        <v/>
      </c>
      <c r="G730" s="1" t="str">
        <f t="shared" si="135"/>
        <v/>
      </c>
      <c r="H730" s="1" t="str">
        <f t="shared" si="136"/>
        <v/>
      </c>
      <c r="K730" s="1" t="str">
        <f t="shared" si="137"/>
        <v/>
      </c>
      <c r="L730" s="1" t="str">
        <f t="shared" si="138"/>
        <v/>
      </c>
      <c r="M730" s="1" t="str">
        <f t="shared" si="139"/>
        <v/>
      </c>
      <c r="N730" s="1" t="str">
        <f t="shared" si="140"/>
        <v/>
      </c>
      <c r="O730" s="1" t="str">
        <f t="shared" si="141"/>
        <v/>
      </c>
      <c r="P730" s="1" t="str">
        <f t="shared" si="142"/>
        <v/>
      </c>
      <c r="R730" s="1" t="str">
        <f t="shared" si="143"/>
        <v/>
      </c>
    </row>
    <row r="731" spans="1:18" x14ac:dyDescent="0.2">
      <c r="A731" t="str">
        <f>IF(COUNTBLANK(B731:R731)&lt;&gt;COLUMNS(B731:R731),730,"")</f>
        <v/>
      </c>
      <c r="D731" s="1" t="str">
        <f t="shared" si="132"/>
        <v/>
      </c>
      <c r="E731" s="2" t="str">
        <f t="shared" si="133"/>
        <v/>
      </c>
      <c r="F731" s="1" t="str">
        <f t="shared" si="134"/>
        <v/>
      </c>
      <c r="G731" s="1" t="str">
        <f t="shared" si="135"/>
        <v/>
      </c>
      <c r="H731" s="1" t="str">
        <f t="shared" si="136"/>
        <v/>
      </c>
      <c r="K731" s="1" t="str">
        <f t="shared" si="137"/>
        <v/>
      </c>
      <c r="L731" s="1" t="str">
        <f t="shared" si="138"/>
        <v/>
      </c>
      <c r="M731" s="1" t="str">
        <f t="shared" si="139"/>
        <v/>
      </c>
      <c r="N731" s="1" t="str">
        <f t="shared" si="140"/>
        <v/>
      </c>
      <c r="O731" s="1" t="str">
        <f t="shared" si="141"/>
        <v/>
      </c>
      <c r="P731" s="1" t="str">
        <f t="shared" si="142"/>
        <v/>
      </c>
      <c r="R731" s="1" t="str">
        <f t="shared" si="143"/>
        <v/>
      </c>
    </row>
    <row r="732" spans="1:18" x14ac:dyDescent="0.2">
      <c r="A732" t="str">
        <f>IF(COUNTBLANK(B732:R732)&lt;&gt;COLUMNS(B732:R732),731,"")</f>
        <v/>
      </c>
      <c r="D732" s="1" t="str">
        <f t="shared" si="132"/>
        <v/>
      </c>
      <c r="E732" s="2" t="str">
        <f t="shared" si="133"/>
        <v/>
      </c>
      <c r="F732" s="1" t="str">
        <f t="shared" si="134"/>
        <v/>
      </c>
      <c r="G732" s="1" t="str">
        <f t="shared" si="135"/>
        <v/>
      </c>
      <c r="H732" s="1" t="str">
        <f t="shared" si="136"/>
        <v/>
      </c>
      <c r="K732" s="1" t="str">
        <f t="shared" si="137"/>
        <v/>
      </c>
      <c r="L732" s="1" t="str">
        <f t="shared" si="138"/>
        <v/>
      </c>
      <c r="M732" s="1" t="str">
        <f t="shared" si="139"/>
        <v/>
      </c>
      <c r="N732" s="1" t="str">
        <f t="shared" si="140"/>
        <v/>
      </c>
      <c r="O732" s="1" t="str">
        <f t="shared" si="141"/>
        <v/>
      </c>
      <c r="P732" s="1" t="str">
        <f t="shared" si="142"/>
        <v/>
      </c>
      <c r="R732" s="1" t="str">
        <f t="shared" si="143"/>
        <v/>
      </c>
    </row>
    <row r="733" spans="1:18" x14ac:dyDescent="0.2">
      <c r="A733" t="str">
        <f>IF(COUNTBLANK(B733:R733)&lt;&gt;COLUMNS(B733:R733),732,"")</f>
        <v/>
      </c>
      <c r="D733" s="1" t="str">
        <f t="shared" si="132"/>
        <v/>
      </c>
      <c r="E733" s="2" t="str">
        <f t="shared" si="133"/>
        <v/>
      </c>
      <c r="F733" s="1" t="str">
        <f t="shared" si="134"/>
        <v/>
      </c>
      <c r="G733" s="1" t="str">
        <f t="shared" si="135"/>
        <v/>
      </c>
      <c r="H733" s="1" t="str">
        <f t="shared" si="136"/>
        <v/>
      </c>
      <c r="K733" s="1" t="str">
        <f t="shared" si="137"/>
        <v/>
      </c>
      <c r="L733" s="1" t="str">
        <f t="shared" si="138"/>
        <v/>
      </c>
      <c r="M733" s="1" t="str">
        <f t="shared" si="139"/>
        <v/>
      </c>
      <c r="N733" s="1" t="str">
        <f t="shared" si="140"/>
        <v/>
      </c>
      <c r="O733" s="1" t="str">
        <f t="shared" si="141"/>
        <v/>
      </c>
      <c r="P733" s="1" t="str">
        <f t="shared" si="142"/>
        <v/>
      </c>
      <c r="R733" s="1" t="str">
        <f t="shared" si="143"/>
        <v/>
      </c>
    </row>
    <row r="734" spans="1:18" x14ac:dyDescent="0.2">
      <c r="A734" t="str">
        <f>IF(COUNTBLANK(B734:R734)&lt;&gt;COLUMNS(B734:R734),733,"")</f>
        <v/>
      </c>
      <c r="D734" s="1" t="str">
        <f t="shared" si="132"/>
        <v/>
      </c>
      <c r="E734" s="2" t="str">
        <f t="shared" si="133"/>
        <v/>
      </c>
      <c r="F734" s="1" t="str">
        <f t="shared" si="134"/>
        <v/>
      </c>
      <c r="G734" s="1" t="str">
        <f t="shared" si="135"/>
        <v/>
      </c>
      <c r="H734" s="1" t="str">
        <f t="shared" si="136"/>
        <v/>
      </c>
      <c r="K734" s="1" t="str">
        <f t="shared" si="137"/>
        <v/>
      </c>
      <c r="L734" s="1" t="str">
        <f t="shared" si="138"/>
        <v/>
      </c>
      <c r="M734" s="1" t="str">
        <f t="shared" si="139"/>
        <v/>
      </c>
      <c r="N734" s="1" t="str">
        <f t="shared" si="140"/>
        <v/>
      </c>
      <c r="O734" s="1" t="str">
        <f t="shared" si="141"/>
        <v/>
      </c>
      <c r="P734" s="1" t="str">
        <f t="shared" si="142"/>
        <v/>
      </c>
      <c r="R734" s="1" t="str">
        <f t="shared" si="143"/>
        <v/>
      </c>
    </row>
    <row r="735" spans="1:18" x14ac:dyDescent="0.2">
      <c r="A735" t="str">
        <f>IF(COUNTBLANK(B735:R735)&lt;&gt;COLUMNS(B735:R735),734,"")</f>
        <v/>
      </c>
      <c r="D735" s="1" t="str">
        <f t="shared" si="132"/>
        <v/>
      </c>
      <c r="E735" s="2" t="str">
        <f t="shared" si="133"/>
        <v/>
      </c>
      <c r="F735" s="1" t="str">
        <f t="shared" si="134"/>
        <v/>
      </c>
      <c r="G735" s="1" t="str">
        <f t="shared" si="135"/>
        <v/>
      </c>
      <c r="H735" s="1" t="str">
        <f t="shared" si="136"/>
        <v/>
      </c>
      <c r="K735" s="1" t="str">
        <f t="shared" si="137"/>
        <v/>
      </c>
      <c r="L735" s="1" t="str">
        <f t="shared" si="138"/>
        <v/>
      </c>
      <c r="M735" s="1" t="str">
        <f t="shared" si="139"/>
        <v/>
      </c>
      <c r="N735" s="1" t="str">
        <f t="shared" si="140"/>
        <v/>
      </c>
      <c r="O735" s="1" t="str">
        <f t="shared" si="141"/>
        <v/>
      </c>
      <c r="P735" s="1" t="str">
        <f t="shared" si="142"/>
        <v/>
      </c>
      <c r="R735" s="1" t="str">
        <f t="shared" si="143"/>
        <v/>
      </c>
    </row>
    <row r="736" spans="1:18" x14ac:dyDescent="0.2">
      <c r="A736" t="str">
        <f>IF(COUNTBLANK(B736:R736)&lt;&gt;COLUMNS(B736:R736),735,"")</f>
        <v/>
      </c>
      <c r="D736" s="1" t="str">
        <f t="shared" si="132"/>
        <v/>
      </c>
      <c r="E736" s="2" t="str">
        <f t="shared" si="133"/>
        <v/>
      </c>
      <c r="F736" s="1" t="str">
        <f t="shared" si="134"/>
        <v/>
      </c>
      <c r="G736" s="1" t="str">
        <f t="shared" si="135"/>
        <v/>
      </c>
      <c r="H736" s="1" t="str">
        <f t="shared" si="136"/>
        <v/>
      </c>
      <c r="K736" s="1" t="str">
        <f t="shared" si="137"/>
        <v/>
      </c>
      <c r="L736" s="1" t="str">
        <f t="shared" si="138"/>
        <v/>
      </c>
      <c r="M736" s="1" t="str">
        <f t="shared" si="139"/>
        <v/>
      </c>
      <c r="N736" s="1" t="str">
        <f t="shared" si="140"/>
        <v/>
      </c>
      <c r="O736" s="1" t="str">
        <f t="shared" si="141"/>
        <v/>
      </c>
      <c r="P736" s="1" t="str">
        <f t="shared" si="142"/>
        <v/>
      </c>
      <c r="R736" s="1" t="str">
        <f t="shared" si="143"/>
        <v/>
      </c>
    </row>
    <row r="737" spans="1:18" x14ac:dyDescent="0.2">
      <c r="A737" t="str">
        <f>IF(COUNTBLANK(B737:R737)&lt;&gt;COLUMNS(B737:R737),736,"")</f>
        <v/>
      </c>
      <c r="D737" s="1" t="str">
        <f t="shared" si="132"/>
        <v/>
      </c>
      <c r="E737" s="2" t="str">
        <f t="shared" si="133"/>
        <v/>
      </c>
      <c r="F737" s="1" t="str">
        <f t="shared" si="134"/>
        <v/>
      </c>
      <c r="G737" s="1" t="str">
        <f t="shared" si="135"/>
        <v/>
      </c>
      <c r="H737" s="1" t="str">
        <f t="shared" si="136"/>
        <v/>
      </c>
      <c r="K737" s="1" t="str">
        <f t="shared" si="137"/>
        <v/>
      </c>
      <c r="L737" s="1" t="str">
        <f t="shared" si="138"/>
        <v/>
      </c>
      <c r="M737" s="1" t="str">
        <f t="shared" si="139"/>
        <v/>
      </c>
      <c r="N737" s="1" t="str">
        <f t="shared" si="140"/>
        <v/>
      </c>
      <c r="O737" s="1" t="str">
        <f t="shared" si="141"/>
        <v/>
      </c>
      <c r="P737" s="1" t="str">
        <f t="shared" si="142"/>
        <v/>
      </c>
      <c r="R737" s="1" t="str">
        <f t="shared" si="143"/>
        <v/>
      </c>
    </row>
    <row r="738" spans="1:18" x14ac:dyDescent="0.2">
      <c r="A738" t="str">
        <f>IF(COUNTBLANK(B738:R738)&lt;&gt;COLUMNS(B738:R738),737,"")</f>
        <v/>
      </c>
      <c r="D738" s="1" t="str">
        <f t="shared" si="132"/>
        <v/>
      </c>
      <c r="E738" s="2" t="str">
        <f t="shared" si="133"/>
        <v/>
      </c>
      <c r="F738" s="1" t="str">
        <f t="shared" si="134"/>
        <v/>
      </c>
      <c r="G738" s="1" t="str">
        <f t="shared" si="135"/>
        <v/>
      </c>
      <c r="H738" s="1" t="str">
        <f t="shared" si="136"/>
        <v/>
      </c>
      <c r="K738" s="1" t="str">
        <f t="shared" si="137"/>
        <v/>
      </c>
      <c r="L738" s="1" t="str">
        <f t="shared" si="138"/>
        <v/>
      </c>
      <c r="M738" s="1" t="str">
        <f t="shared" si="139"/>
        <v/>
      </c>
      <c r="N738" s="1" t="str">
        <f t="shared" si="140"/>
        <v/>
      </c>
      <c r="O738" s="1" t="str">
        <f t="shared" si="141"/>
        <v/>
      </c>
      <c r="P738" s="1" t="str">
        <f t="shared" si="142"/>
        <v/>
      </c>
      <c r="R738" s="1" t="str">
        <f t="shared" si="143"/>
        <v/>
      </c>
    </row>
    <row r="739" spans="1:18" x14ac:dyDescent="0.2">
      <c r="A739" t="str">
        <f>IF(COUNTBLANK(B739:R739)&lt;&gt;COLUMNS(B739:R739),738,"")</f>
        <v/>
      </c>
      <c r="D739" s="1" t="str">
        <f t="shared" si="132"/>
        <v/>
      </c>
      <c r="E739" s="2" t="str">
        <f t="shared" si="133"/>
        <v/>
      </c>
      <c r="F739" s="1" t="str">
        <f t="shared" si="134"/>
        <v/>
      </c>
      <c r="G739" s="1" t="str">
        <f t="shared" si="135"/>
        <v/>
      </c>
      <c r="H739" s="1" t="str">
        <f t="shared" si="136"/>
        <v/>
      </c>
      <c r="K739" s="1" t="str">
        <f t="shared" si="137"/>
        <v/>
      </c>
      <c r="L739" s="1" t="str">
        <f t="shared" si="138"/>
        <v/>
      </c>
      <c r="M739" s="1" t="str">
        <f t="shared" si="139"/>
        <v/>
      </c>
      <c r="N739" s="1" t="str">
        <f t="shared" si="140"/>
        <v/>
      </c>
      <c r="O739" s="1" t="str">
        <f t="shared" si="141"/>
        <v/>
      </c>
      <c r="P739" s="1" t="str">
        <f t="shared" si="142"/>
        <v/>
      </c>
      <c r="R739" s="1" t="str">
        <f t="shared" si="143"/>
        <v/>
      </c>
    </row>
    <row r="740" spans="1:18" x14ac:dyDescent="0.2">
      <c r="A740" t="str">
        <f>IF(COUNTBLANK(B740:R740)&lt;&gt;COLUMNS(B740:R740),739,"")</f>
        <v/>
      </c>
      <c r="D740" s="1" t="str">
        <f t="shared" si="132"/>
        <v/>
      </c>
      <c r="E740" s="2" t="str">
        <f t="shared" si="133"/>
        <v/>
      </c>
      <c r="F740" s="1" t="str">
        <f t="shared" si="134"/>
        <v/>
      </c>
      <c r="G740" s="1" t="str">
        <f t="shared" si="135"/>
        <v/>
      </c>
      <c r="H740" s="1" t="str">
        <f t="shared" si="136"/>
        <v/>
      </c>
      <c r="K740" s="1" t="str">
        <f t="shared" si="137"/>
        <v/>
      </c>
      <c r="L740" s="1" t="str">
        <f t="shared" si="138"/>
        <v/>
      </c>
      <c r="M740" s="1" t="str">
        <f t="shared" si="139"/>
        <v/>
      </c>
      <c r="N740" s="1" t="str">
        <f t="shared" si="140"/>
        <v/>
      </c>
      <c r="O740" s="1" t="str">
        <f t="shared" si="141"/>
        <v/>
      </c>
      <c r="P740" s="1" t="str">
        <f t="shared" si="142"/>
        <v/>
      </c>
      <c r="R740" s="1" t="str">
        <f t="shared" si="143"/>
        <v/>
      </c>
    </row>
    <row r="741" spans="1:18" x14ac:dyDescent="0.2">
      <c r="A741" t="str">
        <f>IF(COUNTBLANK(B741:R741)&lt;&gt;COLUMNS(B741:R741),740,"")</f>
        <v/>
      </c>
      <c r="D741" s="1" t="str">
        <f t="shared" si="132"/>
        <v/>
      </c>
      <c r="E741" s="2" t="str">
        <f t="shared" si="133"/>
        <v/>
      </c>
      <c r="F741" s="1" t="str">
        <f t="shared" si="134"/>
        <v/>
      </c>
      <c r="G741" s="1" t="str">
        <f t="shared" si="135"/>
        <v/>
      </c>
      <c r="H741" s="1" t="str">
        <f t="shared" si="136"/>
        <v/>
      </c>
      <c r="K741" s="1" t="str">
        <f t="shared" si="137"/>
        <v/>
      </c>
      <c r="L741" s="1" t="str">
        <f t="shared" si="138"/>
        <v/>
      </c>
      <c r="M741" s="1" t="str">
        <f t="shared" si="139"/>
        <v/>
      </c>
      <c r="N741" s="1" t="str">
        <f t="shared" si="140"/>
        <v/>
      </c>
      <c r="O741" s="1" t="str">
        <f t="shared" si="141"/>
        <v/>
      </c>
      <c r="P741" s="1" t="str">
        <f t="shared" si="142"/>
        <v/>
      </c>
      <c r="R741" s="1" t="str">
        <f t="shared" si="143"/>
        <v/>
      </c>
    </row>
    <row r="742" spans="1:18" x14ac:dyDescent="0.2">
      <c r="A742" t="str">
        <f>IF(COUNTBLANK(B742:R742)&lt;&gt;COLUMNS(B742:R742),741,"")</f>
        <v/>
      </c>
      <c r="D742" s="1" t="str">
        <f t="shared" si="132"/>
        <v/>
      </c>
      <c r="E742" s="2" t="str">
        <f t="shared" si="133"/>
        <v/>
      </c>
      <c r="F742" s="1" t="str">
        <f t="shared" si="134"/>
        <v/>
      </c>
      <c r="G742" s="1" t="str">
        <f t="shared" si="135"/>
        <v/>
      </c>
      <c r="H742" s="1" t="str">
        <f t="shared" si="136"/>
        <v/>
      </c>
      <c r="K742" s="1" t="str">
        <f t="shared" si="137"/>
        <v/>
      </c>
      <c r="L742" s="1" t="str">
        <f t="shared" si="138"/>
        <v/>
      </c>
      <c r="M742" s="1" t="str">
        <f t="shared" si="139"/>
        <v/>
      </c>
      <c r="N742" s="1" t="str">
        <f t="shared" si="140"/>
        <v/>
      </c>
      <c r="O742" s="1" t="str">
        <f t="shared" si="141"/>
        <v/>
      </c>
      <c r="P742" s="1" t="str">
        <f t="shared" si="142"/>
        <v/>
      </c>
      <c r="R742" s="1" t="str">
        <f t="shared" si="143"/>
        <v/>
      </c>
    </row>
    <row r="743" spans="1:18" x14ac:dyDescent="0.2">
      <c r="A743" t="str">
        <f>IF(COUNTBLANK(B743:R743)&lt;&gt;COLUMNS(B743:R743),742,"")</f>
        <v/>
      </c>
      <c r="D743" s="1" t="str">
        <f t="shared" si="132"/>
        <v/>
      </c>
      <c r="E743" s="2" t="str">
        <f t="shared" si="133"/>
        <v/>
      </c>
      <c r="F743" s="1" t="str">
        <f t="shared" si="134"/>
        <v/>
      </c>
      <c r="G743" s="1" t="str">
        <f t="shared" si="135"/>
        <v/>
      </c>
      <c r="H743" s="1" t="str">
        <f t="shared" si="136"/>
        <v/>
      </c>
      <c r="K743" s="1" t="str">
        <f t="shared" si="137"/>
        <v/>
      </c>
      <c r="L743" s="1" t="str">
        <f t="shared" si="138"/>
        <v/>
      </c>
      <c r="M743" s="1" t="str">
        <f t="shared" si="139"/>
        <v/>
      </c>
      <c r="N743" s="1" t="str">
        <f t="shared" si="140"/>
        <v/>
      </c>
      <c r="O743" s="1" t="str">
        <f t="shared" si="141"/>
        <v/>
      </c>
      <c r="P743" s="1" t="str">
        <f t="shared" si="142"/>
        <v/>
      </c>
      <c r="R743" s="1" t="str">
        <f t="shared" si="143"/>
        <v/>
      </c>
    </row>
    <row r="744" spans="1:18" x14ac:dyDescent="0.2">
      <c r="A744" t="str">
        <f>IF(COUNTBLANK(B744:R744)&lt;&gt;COLUMNS(B744:R744),743,"")</f>
        <v/>
      </c>
      <c r="D744" s="1" t="str">
        <f t="shared" si="132"/>
        <v/>
      </c>
      <c r="E744" s="2" t="str">
        <f t="shared" si="133"/>
        <v/>
      </c>
      <c r="F744" s="1" t="str">
        <f t="shared" si="134"/>
        <v/>
      </c>
      <c r="G744" s="1" t="str">
        <f t="shared" si="135"/>
        <v/>
      </c>
      <c r="H744" s="1" t="str">
        <f t="shared" si="136"/>
        <v/>
      </c>
      <c r="K744" s="1" t="str">
        <f t="shared" si="137"/>
        <v/>
      </c>
      <c r="L744" s="1" t="str">
        <f t="shared" si="138"/>
        <v/>
      </c>
      <c r="M744" s="1" t="str">
        <f t="shared" si="139"/>
        <v/>
      </c>
      <c r="N744" s="1" t="str">
        <f t="shared" si="140"/>
        <v/>
      </c>
      <c r="O744" s="1" t="str">
        <f t="shared" si="141"/>
        <v/>
      </c>
      <c r="P744" s="1" t="str">
        <f t="shared" si="142"/>
        <v/>
      </c>
      <c r="R744" s="1" t="str">
        <f t="shared" si="143"/>
        <v/>
      </c>
    </row>
    <row r="745" spans="1:18" x14ac:dyDescent="0.2">
      <c r="A745" t="str">
        <f>IF(COUNTBLANK(B745:R745)&lt;&gt;COLUMNS(B745:R745),744,"")</f>
        <v/>
      </c>
      <c r="D745" s="1" t="str">
        <f t="shared" si="132"/>
        <v/>
      </c>
      <c r="E745" s="2" t="str">
        <f t="shared" si="133"/>
        <v/>
      </c>
      <c r="F745" s="1" t="str">
        <f t="shared" si="134"/>
        <v/>
      </c>
      <c r="G745" s="1" t="str">
        <f t="shared" si="135"/>
        <v/>
      </c>
      <c r="H745" s="1" t="str">
        <f t="shared" si="136"/>
        <v/>
      </c>
      <c r="K745" s="1" t="str">
        <f t="shared" si="137"/>
        <v/>
      </c>
      <c r="L745" s="1" t="str">
        <f t="shared" si="138"/>
        <v/>
      </c>
      <c r="M745" s="1" t="str">
        <f t="shared" si="139"/>
        <v/>
      </c>
      <c r="N745" s="1" t="str">
        <f t="shared" si="140"/>
        <v/>
      </c>
      <c r="O745" s="1" t="str">
        <f t="shared" si="141"/>
        <v/>
      </c>
      <c r="P745" s="1" t="str">
        <f t="shared" si="142"/>
        <v/>
      </c>
      <c r="R745" s="1" t="str">
        <f t="shared" si="143"/>
        <v/>
      </c>
    </row>
    <row r="746" spans="1:18" x14ac:dyDescent="0.2">
      <c r="A746" t="str">
        <f>IF(COUNTBLANK(B746:R746)&lt;&gt;COLUMNS(B746:R746),745,"")</f>
        <v/>
      </c>
      <c r="D746" s="1" t="str">
        <f t="shared" si="132"/>
        <v/>
      </c>
      <c r="E746" s="2" t="str">
        <f t="shared" si="133"/>
        <v/>
      </c>
      <c r="F746" s="1" t="str">
        <f t="shared" si="134"/>
        <v/>
      </c>
      <c r="G746" s="1" t="str">
        <f t="shared" si="135"/>
        <v/>
      </c>
      <c r="H746" s="1" t="str">
        <f t="shared" si="136"/>
        <v/>
      </c>
      <c r="K746" s="1" t="str">
        <f t="shared" si="137"/>
        <v/>
      </c>
      <c r="L746" s="1" t="str">
        <f t="shared" si="138"/>
        <v/>
      </c>
      <c r="M746" s="1" t="str">
        <f t="shared" si="139"/>
        <v/>
      </c>
      <c r="N746" s="1" t="str">
        <f t="shared" si="140"/>
        <v/>
      </c>
      <c r="O746" s="1" t="str">
        <f t="shared" si="141"/>
        <v/>
      </c>
      <c r="P746" s="1" t="str">
        <f t="shared" si="142"/>
        <v/>
      </c>
      <c r="R746" s="1" t="str">
        <f t="shared" si="143"/>
        <v/>
      </c>
    </row>
    <row r="747" spans="1:18" x14ac:dyDescent="0.2">
      <c r="A747" t="str">
        <f>IF(COUNTBLANK(B747:R747)&lt;&gt;COLUMNS(B747:R747),746,"")</f>
        <v/>
      </c>
      <c r="D747" s="1" t="str">
        <f t="shared" si="132"/>
        <v/>
      </c>
      <c r="E747" s="2" t="str">
        <f t="shared" si="133"/>
        <v/>
      </c>
      <c r="F747" s="1" t="str">
        <f t="shared" si="134"/>
        <v/>
      </c>
      <c r="G747" s="1" t="str">
        <f t="shared" si="135"/>
        <v/>
      </c>
      <c r="H747" s="1" t="str">
        <f t="shared" si="136"/>
        <v/>
      </c>
      <c r="K747" s="1" t="str">
        <f t="shared" si="137"/>
        <v/>
      </c>
      <c r="L747" s="1" t="str">
        <f t="shared" si="138"/>
        <v/>
      </c>
      <c r="M747" s="1" t="str">
        <f t="shared" si="139"/>
        <v/>
      </c>
      <c r="N747" s="1" t="str">
        <f t="shared" si="140"/>
        <v/>
      </c>
      <c r="O747" s="1" t="str">
        <f t="shared" si="141"/>
        <v/>
      </c>
      <c r="P747" s="1" t="str">
        <f t="shared" si="142"/>
        <v/>
      </c>
      <c r="R747" s="1" t="str">
        <f t="shared" si="143"/>
        <v/>
      </c>
    </row>
    <row r="748" spans="1:18" x14ac:dyDescent="0.2">
      <c r="A748" t="str">
        <f>IF(COUNTBLANK(B748:R748)&lt;&gt;COLUMNS(B748:R748),747,"")</f>
        <v/>
      </c>
      <c r="D748" s="1" t="str">
        <f t="shared" si="132"/>
        <v/>
      </c>
      <c r="E748" s="2" t="str">
        <f t="shared" si="133"/>
        <v/>
      </c>
      <c r="F748" s="1" t="str">
        <f t="shared" si="134"/>
        <v/>
      </c>
      <c r="G748" s="1" t="str">
        <f t="shared" si="135"/>
        <v/>
      </c>
      <c r="H748" s="1" t="str">
        <f t="shared" si="136"/>
        <v/>
      </c>
      <c r="K748" s="1" t="str">
        <f t="shared" si="137"/>
        <v/>
      </c>
      <c r="L748" s="1" t="str">
        <f t="shared" si="138"/>
        <v/>
      </c>
      <c r="M748" s="1" t="str">
        <f t="shared" si="139"/>
        <v/>
      </c>
      <c r="N748" s="1" t="str">
        <f t="shared" si="140"/>
        <v/>
      </c>
      <c r="O748" s="1" t="str">
        <f t="shared" si="141"/>
        <v/>
      </c>
      <c r="P748" s="1" t="str">
        <f t="shared" si="142"/>
        <v/>
      </c>
      <c r="R748" s="1" t="str">
        <f t="shared" si="143"/>
        <v/>
      </c>
    </row>
    <row r="749" spans="1:18" x14ac:dyDescent="0.2">
      <c r="A749" t="str">
        <f>IF(COUNTBLANK(B749:R749)&lt;&gt;COLUMNS(B749:R749),748,"")</f>
        <v/>
      </c>
      <c r="D749" s="1" t="str">
        <f t="shared" si="132"/>
        <v/>
      </c>
      <c r="E749" s="2" t="str">
        <f t="shared" si="133"/>
        <v/>
      </c>
      <c r="F749" s="1" t="str">
        <f t="shared" si="134"/>
        <v/>
      </c>
      <c r="G749" s="1" t="str">
        <f t="shared" si="135"/>
        <v/>
      </c>
      <c r="H749" s="1" t="str">
        <f t="shared" si="136"/>
        <v/>
      </c>
      <c r="K749" s="1" t="str">
        <f t="shared" si="137"/>
        <v/>
      </c>
      <c r="L749" s="1" t="str">
        <f t="shared" si="138"/>
        <v/>
      </c>
      <c r="M749" s="1" t="str">
        <f t="shared" si="139"/>
        <v/>
      </c>
      <c r="N749" s="1" t="str">
        <f t="shared" si="140"/>
        <v/>
      </c>
      <c r="O749" s="1" t="str">
        <f t="shared" si="141"/>
        <v/>
      </c>
      <c r="P749" s="1" t="str">
        <f t="shared" si="142"/>
        <v/>
      </c>
      <c r="R749" s="1" t="str">
        <f t="shared" si="143"/>
        <v/>
      </c>
    </row>
    <row r="750" spans="1:18" x14ac:dyDescent="0.2">
      <c r="A750" t="str">
        <f>IF(COUNTBLANK(B750:R750)&lt;&gt;COLUMNS(B750:R750),749,"")</f>
        <v/>
      </c>
      <c r="D750" s="1" t="str">
        <f t="shared" si="132"/>
        <v/>
      </c>
      <c r="E750" s="2" t="str">
        <f t="shared" si="133"/>
        <v/>
      </c>
      <c r="F750" s="1" t="str">
        <f t="shared" si="134"/>
        <v/>
      </c>
      <c r="G750" s="1" t="str">
        <f t="shared" si="135"/>
        <v/>
      </c>
      <c r="H750" s="1" t="str">
        <f t="shared" si="136"/>
        <v/>
      </c>
      <c r="K750" s="1" t="str">
        <f t="shared" si="137"/>
        <v/>
      </c>
      <c r="L750" s="1" t="str">
        <f t="shared" si="138"/>
        <v/>
      </c>
      <c r="M750" s="1" t="str">
        <f t="shared" si="139"/>
        <v/>
      </c>
      <c r="N750" s="1" t="str">
        <f t="shared" si="140"/>
        <v/>
      </c>
      <c r="O750" s="1" t="str">
        <f t="shared" si="141"/>
        <v/>
      </c>
      <c r="P750" s="1" t="str">
        <f t="shared" si="142"/>
        <v/>
      </c>
      <c r="R750" s="1" t="str">
        <f t="shared" si="143"/>
        <v/>
      </c>
    </row>
    <row r="751" spans="1:18" x14ac:dyDescent="0.2">
      <c r="A751" t="str">
        <f>IF(COUNTBLANK(B751:R751)&lt;&gt;COLUMNS(B751:R751),750,"")</f>
        <v/>
      </c>
      <c r="D751" s="1" t="str">
        <f t="shared" si="132"/>
        <v/>
      </c>
      <c r="E751" s="2" t="str">
        <f t="shared" si="133"/>
        <v/>
      </c>
      <c r="F751" s="1" t="str">
        <f t="shared" si="134"/>
        <v/>
      </c>
      <c r="G751" s="1" t="str">
        <f t="shared" si="135"/>
        <v/>
      </c>
      <c r="H751" s="1" t="str">
        <f t="shared" si="136"/>
        <v/>
      </c>
      <c r="K751" s="1" t="str">
        <f t="shared" si="137"/>
        <v/>
      </c>
      <c r="L751" s="1" t="str">
        <f t="shared" si="138"/>
        <v/>
      </c>
      <c r="M751" s="1" t="str">
        <f t="shared" si="139"/>
        <v/>
      </c>
      <c r="N751" s="1" t="str">
        <f t="shared" si="140"/>
        <v/>
      </c>
      <c r="O751" s="1" t="str">
        <f t="shared" si="141"/>
        <v/>
      </c>
      <c r="P751" s="1" t="str">
        <f t="shared" si="142"/>
        <v/>
      </c>
      <c r="R751" s="1" t="str">
        <f t="shared" si="143"/>
        <v/>
      </c>
    </row>
    <row r="752" spans="1:18" x14ac:dyDescent="0.2">
      <c r="A752" t="str">
        <f>IF(COUNTBLANK(B752:R752)&lt;&gt;COLUMNS(B752:R752),751,"")</f>
        <v/>
      </c>
      <c r="D752" s="1" t="str">
        <f t="shared" si="132"/>
        <v/>
      </c>
      <c r="E752" s="2" t="str">
        <f t="shared" si="133"/>
        <v/>
      </c>
      <c r="F752" s="1" t="str">
        <f t="shared" si="134"/>
        <v/>
      </c>
      <c r="G752" s="1" t="str">
        <f t="shared" si="135"/>
        <v/>
      </c>
      <c r="H752" s="1" t="str">
        <f t="shared" si="136"/>
        <v/>
      </c>
      <c r="K752" s="1" t="str">
        <f t="shared" si="137"/>
        <v/>
      </c>
      <c r="L752" s="1" t="str">
        <f t="shared" si="138"/>
        <v/>
      </c>
      <c r="M752" s="1" t="str">
        <f t="shared" si="139"/>
        <v/>
      </c>
      <c r="N752" s="1" t="str">
        <f t="shared" si="140"/>
        <v/>
      </c>
      <c r="O752" s="1" t="str">
        <f t="shared" si="141"/>
        <v/>
      </c>
      <c r="P752" s="1" t="str">
        <f t="shared" si="142"/>
        <v/>
      </c>
      <c r="R752" s="1" t="str">
        <f t="shared" si="143"/>
        <v/>
      </c>
    </row>
    <row r="753" spans="1:18" x14ac:dyDescent="0.2">
      <c r="A753" t="str">
        <f>IF(COUNTBLANK(B753:R753)&lt;&gt;COLUMNS(B753:R753),752,"")</f>
        <v/>
      </c>
      <c r="D753" s="1" t="str">
        <f t="shared" si="132"/>
        <v/>
      </c>
      <c r="E753" s="2" t="str">
        <f t="shared" si="133"/>
        <v/>
      </c>
      <c r="F753" s="1" t="str">
        <f t="shared" si="134"/>
        <v/>
      </c>
      <c r="G753" s="1" t="str">
        <f t="shared" si="135"/>
        <v/>
      </c>
      <c r="H753" s="1" t="str">
        <f t="shared" si="136"/>
        <v/>
      </c>
      <c r="K753" s="1" t="str">
        <f t="shared" si="137"/>
        <v/>
      </c>
      <c r="L753" s="1" t="str">
        <f t="shared" si="138"/>
        <v/>
      </c>
      <c r="M753" s="1" t="str">
        <f t="shared" si="139"/>
        <v/>
      </c>
      <c r="N753" s="1" t="str">
        <f t="shared" si="140"/>
        <v/>
      </c>
      <c r="O753" s="1" t="str">
        <f t="shared" si="141"/>
        <v/>
      </c>
      <c r="P753" s="1" t="str">
        <f t="shared" si="142"/>
        <v/>
      </c>
      <c r="R753" s="1" t="str">
        <f t="shared" si="143"/>
        <v/>
      </c>
    </row>
    <row r="754" spans="1:18" x14ac:dyDescent="0.2">
      <c r="A754" t="str">
        <f>IF(COUNTBLANK(B754:R754)&lt;&gt;COLUMNS(B754:R754),753,"")</f>
        <v/>
      </c>
      <c r="D754" s="1" t="str">
        <f t="shared" si="132"/>
        <v/>
      </c>
      <c r="E754" s="2" t="str">
        <f t="shared" si="133"/>
        <v/>
      </c>
      <c r="F754" s="1" t="str">
        <f t="shared" si="134"/>
        <v/>
      </c>
      <c r="G754" s="1" t="str">
        <f t="shared" si="135"/>
        <v/>
      </c>
      <c r="H754" s="1" t="str">
        <f t="shared" si="136"/>
        <v/>
      </c>
      <c r="K754" s="1" t="str">
        <f t="shared" si="137"/>
        <v/>
      </c>
      <c r="L754" s="1" t="str">
        <f t="shared" si="138"/>
        <v/>
      </c>
      <c r="M754" s="1" t="str">
        <f t="shared" si="139"/>
        <v/>
      </c>
      <c r="N754" s="1" t="str">
        <f t="shared" si="140"/>
        <v/>
      </c>
      <c r="O754" s="1" t="str">
        <f t="shared" si="141"/>
        <v/>
      </c>
      <c r="P754" s="1" t="str">
        <f t="shared" si="142"/>
        <v/>
      </c>
      <c r="R754" s="1" t="str">
        <f t="shared" si="143"/>
        <v/>
      </c>
    </row>
    <row r="755" spans="1:18" x14ac:dyDescent="0.2">
      <c r="A755" t="str">
        <f>IF(COUNTBLANK(B755:R755)&lt;&gt;COLUMNS(B755:R755),754,"")</f>
        <v/>
      </c>
      <c r="D755" s="1" t="str">
        <f t="shared" si="132"/>
        <v/>
      </c>
      <c r="E755" s="2" t="str">
        <f t="shared" si="133"/>
        <v/>
      </c>
      <c r="F755" s="1" t="str">
        <f t="shared" si="134"/>
        <v/>
      </c>
      <c r="G755" s="1" t="str">
        <f t="shared" si="135"/>
        <v/>
      </c>
      <c r="H755" s="1" t="str">
        <f t="shared" si="136"/>
        <v/>
      </c>
      <c r="K755" s="1" t="str">
        <f t="shared" si="137"/>
        <v/>
      </c>
      <c r="L755" s="1" t="str">
        <f t="shared" si="138"/>
        <v/>
      </c>
      <c r="M755" s="1" t="str">
        <f t="shared" si="139"/>
        <v/>
      </c>
      <c r="N755" s="1" t="str">
        <f t="shared" si="140"/>
        <v/>
      </c>
      <c r="O755" s="1" t="str">
        <f t="shared" si="141"/>
        <v/>
      </c>
      <c r="P755" s="1" t="str">
        <f t="shared" si="142"/>
        <v/>
      </c>
      <c r="R755" s="1" t="str">
        <f t="shared" si="143"/>
        <v/>
      </c>
    </row>
    <row r="756" spans="1:18" x14ac:dyDescent="0.2">
      <c r="A756" t="str">
        <f>IF(COUNTBLANK(B756:R756)&lt;&gt;COLUMNS(B756:R756),755,"")</f>
        <v/>
      </c>
      <c r="D756" s="1" t="str">
        <f t="shared" si="132"/>
        <v/>
      </c>
      <c r="E756" s="2" t="str">
        <f t="shared" si="133"/>
        <v/>
      </c>
      <c r="F756" s="1" t="str">
        <f t="shared" si="134"/>
        <v/>
      </c>
      <c r="G756" s="1" t="str">
        <f t="shared" si="135"/>
        <v/>
      </c>
      <c r="H756" s="1" t="str">
        <f t="shared" si="136"/>
        <v/>
      </c>
      <c r="K756" s="1" t="str">
        <f t="shared" si="137"/>
        <v/>
      </c>
      <c r="L756" s="1" t="str">
        <f t="shared" si="138"/>
        <v/>
      </c>
      <c r="M756" s="1" t="str">
        <f t="shared" si="139"/>
        <v/>
      </c>
      <c r="N756" s="1" t="str">
        <f t="shared" si="140"/>
        <v/>
      </c>
      <c r="O756" s="1" t="str">
        <f t="shared" si="141"/>
        <v/>
      </c>
      <c r="P756" s="1" t="str">
        <f t="shared" si="142"/>
        <v/>
      </c>
      <c r="R756" s="1" t="str">
        <f t="shared" si="143"/>
        <v/>
      </c>
    </row>
    <row r="757" spans="1:18" x14ac:dyDescent="0.2">
      <c r="A757" t="str">
        <f>IF(COUNTBLANK(B757:R757)&lt;&gt;COLUMNS(B757:R757),756,"")</f>
        <v/>
      </c>
      <c r="D757" s="1" t="str">
        <f t="shared" si="132"/>
        <v/>
      </c>
      <c r="E757" s="2" t="str">
        <f t="shared" si="133"/>
        <v/>
      </c>
      <c r="F757" s="1" t="str">
        <f t="shared" si="134"/>
        <v/>
      </c>
      <c r="G757" s="1" t="str">
        <f t="shared" si="135"/>
        <v/>
      </c>
      <c r="H757" s="1" t="str">
        <f t="shared" si="136"/>
        <v/>
      </c>
      <c r="K757" s="1" t="str">
        <f t="shared" si="137"/>
        <v/>
      </c>
      <c r="L757" s="1" t="str">
        <f t="shared" si="138"/>
        <v/>
      </c>
      <c r="M757" s="1" t="str">
        <f t="shared" si="139"/>
        <v/>
      </c>
      <c r="N757" s="1" t="str">
        <f t="shared" si="140"/>
        <v/>
      </c>
      <c r="O757" s="1" t="str">
        <f t="shared" si="141"/>
        <v/>
      </c>
      <c r="P757" s="1" t="str">
        <f t="shared" si="142"/>
        <v/>
      </c>
      <c r="R757" s="1" t="str">
        <f t="shared" si="143"/>
        <v/>
      </c>
    </row>
    <row r="758" spans="1:18" x14ac:dyDescent="0.2">
      <c r="A758" t="str">
        <f>IF(COUNTBLANK(B758:R758)&lt;&gt;COLUMNS(B758:R758),757,"")</f>
        <v/>
      </c>
      <c r="D758" s="1" t="str">
        <f t="shared" si="132"/>
        <v/>
      </c>
      <c r="E758" s="2" t="str">
        <f t="shared" si="133"/>
        <v/>
      </c>
      <c r="F758" s="1" t="str">
        <f t="shared" si="134"/>
        <v/>
      </c>
      <c r="G758" s="1" t="str">
        <f t="shared" si="135"/>
        <v/>
      </c>
      <c r="H758" s="1" t="str">
        <f t="shared" si="136"/>
        <v/>
      </c>
      <c r="K758" s="1" t="str">
        <f t="shared" si="137"/>
        <v/>
      </c>
      <c r="L758" s="1" t="str">
        <f t="shared" si="138"/>
        <v/>
      </c>
      <c r="M758" s="1" t="str">
        <f t="shared" si="139"/>
        <v/>
      </c>
      <c r="N758" s="1" t="str">
        <f t="shared" si="140"/>
        <v/>
      </c>
      <c r="O758" s="1" t="str">
        <f t="shared" si="141"/>
        <v/>
      </c>
      <c r="P758" s="1" t="str">
        <f t="shared" si="142"/>
        <v/>
      </c>
      <c r="R758" s="1" t="str">
        <f t="shared" si="143"/>
        <v/>
      </c>
    </row>
    <row r="759" spans="1:18" x14ac:dyDescent="0.2">
      <c r="A759" t="str">
        <f>IF(COUNTBLANK(B759:R759)&lt;&gt;COLUMNS(B759:R759),758,"")</f>
        <v/>
      </c>
      <c r="D759" s="1" t="str">
        <f t="shared" si="132"/>
        <v/>
      </c>
      <c r="E759" s="2" t="str">
        <f t="shared" si="133"/>
        <v/>
      </c>
      <c r="F759" s="1" t="str">
        <f t="shared" si="134"/>
        <v/>
      </c>
      <c r="G759" s="1" t="str">
        <f t="shared" si="135"/>
        <v/>
      </c>
      <c r="H759" s="1" t="str">
        <f t="shared" si="136"/>
        <v/>
      </c>
      <c r="K759" s="1" t="str">
        <f t="shared" si="137"/>
        <v/>
      </c>
      <c r="L759" s="1" t="str">
        <f t="shared" si="138"/>
        <v/>
      </c>
      <c r="M759" s="1" t="str">
        <f t="shared" si="139"/>
        <v/>
      </c>
      <c r="N759" s="1" t="str">
        <f t="shared" si="140"/>
        <v/>
      </c>
      <c r="O759" s="1" t="str">
        <f t="shared" si="141"/>
        <v/>
      </c>
      <c r="P759" s="1" t="str">
        <f t="shared" si="142"/>
        <v/>
      </c>
      <c r="R759" s="1" t="str">
        <f t="shared" si="143"/>
        <v/>
      </c>
    </row>
    <row r="760" spans="1:18" x14ac:dyDescent="0.2">
      <c r="A760" t="str">
        <f>IF(COUNTBLANK(B760:R760)&lt;&gt;COLUMNS(B760:R760),759,"")</f>
        <v/>
      </c>
      <c r="D760" s="1" t="str">
        <f t="shared" si="132"/>
        <v/>
      </c>
      <c r="E760" s="2" t="str">
        <f t="shared" si="133"/>
        <v/>
      </c>
      <c r="F760" s="1" t="str">
        <f t="shared" si="134"/>
        <v/>
      </c>
      <c r="G760" s="1" t="str">
        <f t="shared" si="135"/>
        <v/>
      </c>
      <c r="H760" s="1" t="str">
        <f t="shared" si="136"/>
        <v/>
      </c>
      <c r="K760" s="1" t="str">
        <f t="shared" si="137"/>
        <v/>
      </c>
      <c r="L760" s="1" t="str">
        <f t="shared" si="138"/>
        <v/>
      </c>
      <c r="M760" s="1" t="str">
        <f t="shared" si="139"/>
        <v/>
      </c>
      <c r="N760" s="1" t="str">
        <f t="shared" si="140"/>
        <v/>
      </c>
      <c r="O760" s="1" t="str">
        <f t="shared" si="141"/>
        <v/>
      </c>
      <c r="P760" s="1" t="str">
        <f t="shared" si="142"/>
        <v/>
      </c>
      <c r="R760" s="1" t="str">
        <f t="shared" si="143"/>
        <v/>
      </c>
    </row>
    <row r="761" spans="1:18" x14ac:dyDescent="0.2">
      <c r="A761" t="str">
        <f>IF(COUNTBLANK(B761:R761)&lt;&gt;COLUMNS(B761:R761),760,"")</f>
        <v/>
      </c>
      <c r="D761" s="1" t="str">
        <f t="shared" si="132"/>
        <v/>
      </c>
      <c r="E761" s="2" t="str">
        <f t="shared" si="133"/>
        <v/>
      </c>
      <c r="F761" s="1" t="str">
        <f t="shared" si="134"/>
        <v/>
      </c>
      <c r="G761" s="1" t="str">
        <f t="shared" si="135"/>
        <v/>
      </c>
      <c r="H761" s="1" t="str">
        <f t="shared" si="136"/>
        <v/>
      </c>
      <c r="K761" s="1" t="str">
        <f t="shared" si="137"/>
        <v/>
      </c>
      <c r="L761" s="1" t="str">
        <f t="shared" si="138"/>
        <v/>
      </c>
      <c r="M761" s="1" t="str">
        <f t="shared" si="139"/>
        <v/>
      </c>
      <c r="N761" s="1" t="str">
        <f t="shared" si="140"/>
        <v/>
      </c>
      <c r="O761" s="1" t="str">
        <f t="shared" si="141"/>
        <v/>
      </c>
      <c r="P761" s="1" t="str">
        <f t="shared" si="142"/>
        <v/>
      </c>
      <c r="R761" s="1" t="str">
        <f t="shared" si="143"/>
        <v/>
      </c>
    </row>
    <row r="762" spans="1:18" x14ac:dyDescent="0.2">
      <c r="A762" t="str">
        <f>IF(COUNTBLANK(B762:R762)&lt;&gt;COLUMNS(B762:R762),761,"")</f>
        <v/>
      </c>
      <c r="D762" s="1" t="str">
        <f t="shared" si="132"/>
        <v/>
      </c>
      <c r="E762" s="2" t="str">
        <f t="shared" si="133"/>
        <v/>
      </c>
      <c r="F762" s="1" t="str">
        <f t="shared" si="134"/>
        <v/>
      </c>
      <c r="G762" s="1" t="str">
        <f t="shared" si="135"/>
        <v/>
      </c>
      <c r="H762" s="1" t="str">
        <f t="shared" si="136"/>
        <v/>
      </c>
      <c r="K762" s="1" t="str">
        <f t="shared" si="137"/>
        <v/>
      </c>
      <c r="L762" s="1" t="str">
        <f t="shared" si="138"/>
        <v/>
      </c>
      <c r="M762" s="1" t="str">
        <f t="shared" si="139"/>
        <v/>
      </c>
      <c r="N762" s="1" t="str">
        <f t="shared" si="140"/>
        <v/>
      </c>
      <c r="O762" s="1" t="str">
        <f t="shared" si="141"/>
        <v/>
      </c>
      <c r="P762" s="1" t="str">
        <f t="shared" si="142"/>
        <v/>
      </c>
      <c r="R762" s="1" t="str">
        <f t="shared" si="143"/>
        <v/>
      </c>
    </row>
    <row r="763" spans="1:18" x14ac:dyDescent="0.2">
      <c r="A763" t="str">
        <f>IF(COUNTBLANK(B763:R763)&lt;&gt;COLUMNS(B763:R763),762,"")</f>
        <v/>
      </c>
      <c r="D763" s="1" t="str">
        <f t="shared" si="132"/>
        <v/>
      </c>
      <c r="E763" s="2" t="str">
        <f t="shared" si="133"/>
        <v/>
      </c>
      <c r="F763" s="1" t="str">
        <f t="shared" si="134"/>
        <v/>
      </c>
      <c r="G763" s="1" t="str">
        <f t="shared" si="135"/>
        <v/>
      </c>
      <c r="H763" s="1" t="str">
        <f t="shared" si="136"/>
        <v/>
      </c>
      <c r="K763" s="1" t="str">
        <f t="shared" si="137"/>
        <v/>
      </c>
      <c r="L763" s="1" t="str">
        <f t="shared" si="138"/>
        <v/>
      </c>
      <c r="M763" s="1" t="str">
        <f t="shared" si="139"/>
        <v/>
      </c>
      <c r="N763" s="1" t="str">
        <f t="shared" si="140"/>
        <v/>
      </c>
      <c r="O763" s="1" t="str">
        <f t="shared" si="141"/>
        <v/>
      </c>
      <c r="P763" s="1" t="str">
        <f t="shared" si="142"/>
        <v/>
      </c>
      <c r="R763" s="1" t="str">
        <f t="shared" si="143"/>
        <v/>
      </c>
    </row>
    <row r="764" spans="1:18" x14ac:dyDescent="0.2">
      <c r="A764" t="str">
        <f>IF(COUNTBLANK(B764:R764)&lt;&gt;COLUMNS(B764:R764),763,"")</f>
        <v/>
      </c>
      <c r="D764" s="1" t="str">
        <f t="shared" si="132"/>
        <v/>
      </c>
      <c r="E764" s="2" t="str">
        <f t="shared" si="133"/>
        <v/>
      </c>
      <c r="F764" s="1" t="str">
        <f t="shared" si="134"/>
        <v/>
      </c>
      <c r="G764" s="1" t="str">
        <f t="shared" si="135"/>
        <v/>
      </c>
      <c r="H764" s="1" t="str">
        <f t="shared" si="136"/>
        <v/>
      </c>
      <c r="K764" s="1" t="str">
        <f t="shared" si="137"/>
        <v/>
      </c>
      <c r="L764" s="1" t="str">
        <f t="shared" si="138"/>
        <v/>
      </c>
      <c r="M764" s="1" t="str">
        <f t="shared" si="139"/>
        <v/>
      </c>
      <c r="N764" s="1" t="str">
        <f t="shared" si="140"/>
        <v/>
      </c>
      <c r="O764" s="1" t="str">
        <f t="shared" si="141"/>
        <v/>
      </c>
      <c r="P764" s="1" t="str">
        <f t="shared" si="142"/>
        <v/>
      </c>
      <c r="R764" s="1" t="str">
        <f t="shared" si="143"/>
        <v/>
      </c>
    </row>
    <row r="765" spans="1:18" x14ac:dyDescent="0.2">
      <c r="A765" t="str">
        <f>IF(COUNTBLANK(B765:R765)&lt;&gt;COLUMNS(B765:R765),764,"")</f>
        <v/>
      </c>
      <c r="D765" s="1" t="str">
        <f t="shared" si="132"/>
        <v/>
      </c>
      <c r="E765" s="2" t="str">
        <f t="shared" si="133"/>
        <v/>
      </c>
      <c r="F765" s="1" t="str">
        <f t="shared" si="134"/>
        <v/>
      </c>
      <c r="G765" s="1" t="str">
        <f t="shared" si="135"/>
        <v/>
      </c>
      <c r="H765" s="1" t="str">
        <f t="shared" si="136"/>
        <v/>
      </c>
      <c r="K765" s="1" t="str">
        <f t="shared" si="137"/>
        <v/>
      </c>
      <c r="L765" s="1" t="str">
        <f t="shared" si="138"/>
        <v/>
      </c>
      <c r="M765" s="1" t="str">
        <f t="shared" si="139"/>
        <v/>
      </c>
      <c r="N765" s="1" t="str">
        <f t="shared" si="140"/>
        <v/>
      </c>
      <c r="O765" s="1" t="str">
        <f t="shared" si="141"/>
        <v/>
      </c>
      <c r="P765" s="1" t="str">
        <f t="shared" si="142"/>
        <v/>
      </c>
      <c r="R765" s="1" t="str">
        <f t="shared" si="143"/>
        <v/>
      </c>
    </row>
    <row r="766" spans="1:18" x14ac:dyDescent="0.2">
      <c r="A766" t="str">
        <f>IF(COUNTBLANK(B766:R766)&lt;&gt;COLUMNS(B766:R766),765,"")</f>
        <v/>
      </c>
      <c r="D766" s="1" t="str">
        <f t="shared" si="132"/>
        <v/>
      </c>
      <c r="E766" s="2" t="str">
        <f t="shared" si="133"/>
        <v/>
      </c>
      <c r="F766" s="1" t="str">
        <f t="shared" si="134"/>
        <v/>
      </c>
      <c r="G766" s="1" t="str">
        <f t="shared" si="135"/>
        <v/>
      </c>
      <c r="H766" s="1" t="str">
        <f t="shared" si="136"/>
        <v/>
      </c>
      <c r="K766" s="1" t="str">
        <f t="shared" si="137"/>
        <v/>
      </c>
      <c r="L766" s="1" t="str">
        <f t="shared" si="138"/>
        <v/>
      </c>
      <c r="M766" s="1" t="str">
        <f t="shared" si="139"/>
        <v/>
      </c>
      <c r="N766" s="1" t="str">
        <f t="shared" si="140"/>
        <v/>
      </c>
      <c r="O766" s="1" t="str">
        <f t="shared" si="141"/>
        <v/>
      </c>
      <c r="P766" s="1" t="str">
        <f t="shared" si="142"/>
        <v/>
      </c>
      <c r="R766" s="1" t="str">
        <f t="shared" si="143"/>
        <v/>
      </c>
    </row>
    <row r="767" spans="1:18" x14ac:dyDescent="0.2">
      <c r="A767" t="str">
        <f>IF(COUNTBLANK(B767:R767)&lt;&gt;COLUMNS(B767:R767),766,"")</f>
        <v/>
      </c>
      <c r="D767" s="1" t="str">
        <f t="shared" si="132"/>
        <v/>
      </c>
      <c r="E767" s="2" t="str">
        <f t="shared" si="133"/>
        <v/>
      </c>
      <c r="F767" s="1" t="str">
        <f t="shared" si="134"/>
        <v/>
      </c>
      <c r="G767" s="1" t="str">
        <f t="shared" si="135"/>
        <v/>
      </c>
      <c r="H767" s="1" t="str">
        <f t="shared" si="136"/>
        <v/>
      </c>
      <c r="K767" s="1" t="str">
        <f t="shared" si="137"/>
        <v/>
      </c>
      <c r="L767" s="1" t="str">
        <f t="shared" si="138"/>
        <v/>
      </c>
      <c r="M767" s="1" t="str">
        <f t="shared" si="139"/>
        <v/>
      </c>
      <c r="N767" s="1" t="str">
        <f t="shared" si="140"/>
        <v/>
      </c>
      <c r="O767" s="1" t="str">
        <f t="shared" si="141"/>
        <v/>
      </c>
      <c r="P767" s="1" t="str">
        <f t="shared" si="142"/>
        <v/>
      </c>
      <c r="R767" s="1" t="str">
        <f t="shared" si="143"/>
        <v/>
      </c>
    </row>
    <row r="768" spans="1:18" x14ac:dyDescent="0.2">
      <c r="A768" t="str">
        <f>IF(COUNTBLANK(B768:R768)&lt;&gt;COLUMNS(B768:R768),767,"")</f>
        <v/>
      </c>
      <c r="D768" s="1" t="str">
        <f t="shared" si="132"/>
        <v/>
      </c>
      <c r="E768" s="2" t="str">
        <f t="shared" si="133"/>
        <v/>
      </c>
      <c r="F768" s="1" t="str">
        <f t="shared" si="134"/>
        <v/>
      </c>
      <c r="G768" s="1" t="str">
        <f t="shared" si="135"/>
        <v/>
      </c>
      <c r="H768" s="1" t="str">
        <f t="shared" si="136"/>
        <v/>
      </c>
      <c r="K768" s="1" t="str">
        <f t="shared" si="137"/>
        <v/>
      </c>
      <c r="L768" s="1" t="str">
        <f t="shared" si="138"/>
        <v/>
      </c>
      <c r="M768" s="1" t="str">
        <f t="shared" si="139"/>
        <v/>
      </c>
      <c r="N768" s="1" t="str">
        <f t="shared" si="140"/>
        <v/>
      </c>
      <c r="O768" s="1" t="str">
        <f t="shared" si="141"/>
        <v/>
      </c>
      <c r="P768" s="1" t="str">
        <f t="shared" si="142"/>
        <v/>
      </c>
      <c r="R768" s="1" t="str">
        <f t="shared" si="143"/>
        <v/>
      </c>
    </row>
    <row r="769" spans="1:18" x14ac:dyDescent="0.2">
      <c r="A769" t="str">
        <f>IF(COUNTBLANK(B769:R769)&lt;&gt;COLUMNS(B769:R769),768,"")</f>
        <v/>
      </c>
      <c r="D769" s="1" t="str">
        <f t="shared" si="132"/>
        <v/>
      </c>
      <c r="E769" s="2" t="str">
        <f t="shared" si="133"/>
        <v/>
      </c>
      <c r="F769" s="1" t="str">
        <f t="shared" si="134"/>
        <v/>
      </c>
      <c r="G769" s="1" t="str">
        <f t="shared" si="135"/>
        <v/>
      </c>
      <c r="H769" s="1" t="str">
        <f t="shared" si="136"/>
        <v/>
      </c>
      <c r="K769" s="1" t="str">
        <f t="shared" si="137"/>
        <v/>
      </c>
      <c r="L769" s="1" t="str">
        <f t="shared" si="138"/>
        <v/>
      </c>
      <c r="M769" s="1" t="str">
        <f t="shared" si="139"/>
        <v/>
      </c>
      <c r="N769" s="1" t="str">
        <f t="shared" si="140"/>
        <v/>
      </c>
      <c r="O769" s="1" t="str">
        <f t="shared" si="141"/>
        <v/>
      </c>
      <c r="P769" s="1" t="str">
        <f t="shared" si="142"/>
        <v/>
      </c>
      <c r="R769" s="1" t="str">
        <f t="shared" si="143"/>
        <v/>
      </c>
    </row>
    <row r="770" spans="1:18" x14ac:dyDescent="0.2">
      <c r="A770" t="str">
        <f>IF(COUNTBLANK(B770:R770)&lt;&gt;COLUMNS(B770:R770),769,"")</f>
        <v/>
      </c>
      <c r="D770" s="1" t="str">
        <f t="shared" ref="D770:D833" si="144">IF(B770="", "", "years")</f>
        <v/>
      </c>
      <c r="E770" s="2" t="str">
        <f t="shared" ref="E770:E833" si="145">IF(B770="", "", "missing: not provided")</f>
        <v/>
      </c>
      <c r="F770" s="1" t="str">
        <f t="shared" ref="F770:F833" si="146">IF(B770="", "", "Not applicable")</f>
        <v/>
      </c>
      <c r="G770" s="1" t="str">
        <f t="shared" ref="G770:G833" si="147">IF(B770="", "", "urban biome")</f>
        <v/>
      </c>
      <c r="H770" s="1" t="str">
        <f t="shared" ref="H770:H833" si="148">IF(B770="", "", "human-associated habitat")</f>
        <v/>
      </c>
      <c r="K770" s="1" t="str">
        <f t="shared" ref="K770:K833" si="149">IF(B770="", "", "cm")</f>
        <v/>
      </c>
      <c r="L770" s="1" t="str">
        <f t="shared" ref="L770:L833" si="150">IF(B770="", "", "human")</f>
        <v/>
      </c>
      <c r="M770" s="1" t="str">
        <f t="shared" ref="M770:M833" si="151">IF(B770="", "", "Homo sapiens")</f>
        <v/>
      </c>
      <c r="N770" s="1" t="str">
        <f t="shared" ref="N770:N833" si="152">IF(B770="", "", "9606")</f>
        <v/>
      </c>
      <c r="O770" s="1" t="str">
        <f t="shared" ref="O770:O833" si="153">IF(B770="", "", "missing: not provided")</f>
        <v/>
      </c>
      <c r="P770" s="1" t="str">
        <f t="shared" ref="P770:P833" si="154">IF(B770="", "", "missing: not provided")</f>
        <v/>
      </c>
      <c r="R770" s="1" t="str">
        <f t="shared" ref="R770:R833" si="155">IF(B770="", "", "kg")</f>
        <v/>
      </c>
    </row>
    <row r="771" spans="1:18" x14ac:dyDescent="0.2">
      <c r="A771" t="str">
        <f>IF(COUNTBLANK(B771:R771)&lt;&gt;COLUMNS(B771:R771),770,"")</f>
        <v/>
      </c>
      <c r="D771" s="1" t="str">
        <f t="shared" si="144"/>
        <v/>
      </c>
      <c r="E771" s="2" t="str">
        <f t="shared" si="145"/>
        <v/>
      </c>
      <c r="F771" s="1" t="str">
        <f t="shared" si="146"/>
        <v/>
      </c>
      <c r="G771" s="1" t="str">
        <f t="shared" si="147"/>
        <v/>
      </c>
      <c r="H771" s="1" t="str">
        <f t="shared" si="148"/>
        <v/>
      </c>
      <c r="K771" s="1" t="str">
        <f t="shared" si="149"/>
        <v/>
      </c>
      <c r="L771" s="1" t="str">
        <f t="shared" si="150"/>
        <v/>
      </c>
      <c r="M771" s="1" t="str">
        <f t="shared" si="151"/>
        <v/>
      </c>
      <c r="N771" s="1" t="str">
        <f t="shared" si="152"/>
        <v/>
      </c>
      <c r="O771" s="1" t="str">
        <f t="shared" si="153"/>
        <v/>
      </c>
      <c r="P771" s="1" t="str">
        <f t="shared" si="154"/>
        <v/>
      </c>
      <c r="R771" s="1" t="str">
        <f t="shared" si="155"/>
        <v/>
      </c>
    </row>
    <row r="772" spans="1:18" x14ac:dyDescent="0.2">
      <c r="A772" t="str">
        <f>IF(COUNTBLANK(B772:R772)&lt;&gt;COLUMNS(B772:R772),771,"")</f>
        <v/>
      </c>
      <c r="D772" s="1" t="str">
        <f t="shared" si="144"/>
        <v/>
      </c>
      <c r="E772" s="2" t="str">
        <f t="shared" si="145"/>
        <v/>
      </c>
      <c r="F772" s="1" t="str">
        <f t="shared" si="146"/>
        <v/>
      </c>
      <c r="G772" s="1" t="str">
        <f t="shared" si="147"/>
        <v/>
      </c>
      <c r="H772" s="1" t="str">
        <f t="shared" si="148"/>
        <v/>
      </c>
      <c r="K772" s="1" t="str">
        <f t="shared" si="149"/>
        <v/>
      </c>
      <c r="L772" s="1" t="str">
        <f t="shared" si="150"/>
        <v/>
      </c>
      <c r="M772" s="1" t="str">
        <f t="shared" si="151"/>
        <v/>
      </c>
      <c r="N772" s="1" t="str">
        <f t="shared" si="152"/>
        <v/>
      </c>
      <c r="O772" s="1" t="str">
        <f t="shared" si="153"/>
        <v/>
      </c>
      <c r="P772" s="1" t="str">
        <f t="shared" si="154"/>
        <v/>
      </c>
      <c r="R772" s="1" t="str">
        <f t="shared" si="155"/>
        <v/>
      </c>
    </row>
    <row r="773" spans="1:18" x14ac:dyDescent="0.2">
      <c r="A773" t="str">
        <f>IF(COUNTBLANK(B773:R773)&lt;&gt;COLUMNS(B773:R773),772,"")</f>
        <v/>
      </c>
      <c r="D773" s="1" t="str">
        <f t="shared" si="144"/>
        <v/>
      </c>
      <c r="E773" s="2" t="str">
        <f t="shared" si="145"/>
        <v/>
      </c>
      <c r="F773" s="1" t="str">
        <f t="shared" si="146"/>
        <v/>
      </c>
      <c r="G773" s="1" t="str">
        <f t="shared" si="147"/>
        <v/>
      </c>
      <c r="H773" s="1" t="str">
        <f t="shared" si="148"/>
        <v/>
      </c>
      <c r="K773" s="1" t="str">
        <f t="shared" si="149"/>
        <v/>
      </c>
      <c r="L773" s="1" t="str">
        <f t="shared" si="150"/>
        <v/>
      </c>
      <c r="M773" s="1" t="str">
        <f t="shared" si="151"/>
        <v/>
      </c>
      <c r="N773" s="1" t="str">
        <f t="shared" si="152"/>
        <v/>
      </c>
      <c r="O773" s="1" t="str">
        <f t="shared" si="153"/>
        <v/>
      </c>
      <c r="P773" s="1" t="str">
        <f t="shared" si="154"/>
        <v/>
      </c>
      <c r="R773" s="1" t="str">
        <f t="shared" si="155"/>
        <v/>
      </c>
    </row>
    <row r="774" spans="1:18" x14ac:dyDescent="0.2">
      <c r="A774" t="str">
        <f>IF(COUNTBLANK(B774:R774)&lt;&gt;COLUMNS(B774:R774),773,"")</f>
        <v/>
      </c>
      <c r="D774" s="1" t="str">
        <f t="shared" si="144"/>
        <v/>
      </c>
      <c r="E774" s="2" t="str">
        <f t="shared" si="145"/>
        <v/>
      </c>
      <c r="F774" s="1" t="str">
        <f t="shared" si="146"/>
        <v/>
      </c>
      <c r="G774" s="1" t="str">
        <f t="shared" si="147"/>
        <v/>
      </c>
      <c r="H774" s="1" t="str">
        <f t="shared" si="148"/>
        <v/>
      </c>
      <c r="K774" s="1" t="str">
        <f t="shared" si="149"/>
        <v/>
      </c>
      <c r="L774" s="1" t="str">
        <f t="shared" si="150"/>
        <v/>
      </c>
      <c r="M774" s="1" t="str">
        <f t="shared" si="151"/>
        <v/>
      </c>
      <c r="N774" s="1" t="str">
        <f t="shared" si="152"/>
        <v/>
      </c>
      <c r="O774" s="1" t="str">
        <f t="shared" si="153"/>
        <v/>
      </c>
      <c r="P774" s="1" t="str">
        <f t="shared" si="154"/>
        <v/>
      </c>
      <c r="R774" s="1" t="str">
        <f t="shared" si="155"/>
        <v/>
      </c>
    </row>
    <row r="775" spans="1:18" x14ac:dyDescent="0.2">
      <c r="A775" t="str">
        <f>IF(COUNTBLANK(B775:R775)&lt;&gt;COLUMNS(B775:R775),774,"")</f>
        <v/>
      </c>
      <c r="D775" s="1" t="str">
        <f t="shared" si="144"/>
        <v/>
      </c>
      <c r="E775" s="2" t="str">
        <f t="shared" si="145"/>
        <v/>
      </c>
      <c r="F775" s="1" t="str">
        <f t="shared" si="146"/>
        <v/>
      </c>
      <c r="G775" s="1" t="str">
        <f t="shared" si="147"/>
        <v/>
      </c>
      <c r="H775" s="1" t="str">
        <f t="shared" si="148"/>
        <v/>
      </c>
      <c r="K775" s="1" t="str">
        <f t="shared" si="149"/>
        <v/>
      </c>
      <c r="L775" s="1" t="str">
        <f t="shared" si="150"/>
        <v/>
      </c>
      <c r="M775" s="1" t="str">
        <f t="shared" si="151"/>
        <v/>
      </c>
      <c r="N775" s="1" t="str">
        <f t="shared" si="152"/>
        <v/>
      </c>
      <c r="O775" s="1" t="str">
        <f t="shared" si="153"/>
        <v/>
      </c>
      <c r="P775" s="1" t="str">
        <f t="shared" si="154"/>
        <v/>
      </c>
      <c r="R775" s="1" t="str">
        <f t="shared" si="155"/>
        <v/>
      </c>
    </row>
    <row r="776" spans="1:18" x14ac:dyDescent="0.2">
      <c r="A776" t="str">
        <f>IF(COUNTBLANK(B776:R776)&lt;&gt;COLUMNS(B776:R776),775,"")</f>
        <v/>
      </c>
      <c r="D776" s="1" t="str">
        <f t="shared" si="144"/>
        <v/>
      </c>
      <c r="E776" s="2" t="str">
        <f t="shared" si="145"/>
        <v/>
      </c>
      <c r="F776" s="1" t="str">
        <f t="shared" si="146"/>
        <v/>
      </c>
      <c r="G776" s="1" t="str">
        <f t="shared" si="147"/>
        <v/>
      </c>
      <c r="H776" s="1" t="str">
        <f t="shared" si="148"/>
        <v/>
      </c>
      <c r="K776" s="1" t="str">
        <f t="shared" si="149"/>
        <v/>
      </c>
      <c r="L776" s="1" t="str">
        <f t="shared" si="150"/>
        <v/>
      </c>
      <c r="M776" s="1" t="str">
        <f t="shared" si="151"/>
        <v/>
      </c>
      <c r="N776" s="1" t="str">
        <f t="shared" si="152"/>
        <v/>
      </c>
      <c r="O776" s="1" t="str">
        <f t="shared" si="153"/>
        <v/>
      </c>
      <c r="P776" s="1" t="str">
        <f t="shared" si="154"/>
        <v/>
      </c>
      <c r="R776" s="1" t="str">
        <f t="shared" si="155"/>
        <v/>
      </c>
    </row>
    <row r="777" spans="1:18" x14ac:dyDescent="0.2">
      <c r="A777" t="str">
        <f>IF(COUNTBLANK(B777:R777)&lt;&gt;COLUMNS(B777:R777),776,"")</f>
        <v/>
      </c>
      <c r="D777" s="1" t="str">
        <f t="shared" si="144"/>
        <v/>
      </c>
      <c r="E777" s="2" t="str">
        <f t="shared" si="145"/>
        <v/>
      </c>
      <c r="F777" s="1" t="str">
        <f t="shared" si="146"/>
        <v/>
      </c>
      <c r="G777" s="1" t="str">
        <f t="shared" si="147"/>
        <v/>
      </c>
      <c r="H777" s="1" t="str">
        <f t="shared" si="148"/>
        <v/>
      </c>
      <c r="K777" s="1" t="str">
        <f t="shared" si="149"/>
        <v/>
      </c>
      <c r="L777" s="1" t="str">
        <f t="shared" si="150"/>
        <v/>
      </c>
      <c r="M777" s="1" t="str">
        <f t="shared" si="151"/>
        <v/>
      </c>
      <c r="N777" s="1" t="str">
        <f t="shared" si="152"/>
        <v/>
      </c>
      <c r="O777" s="1" t="str">
        <f t="shared" si="153"/>
        <v/>
      </c>
      <c r="P777" s="1" t="str">
        <f t="shared" si="154"/>
        <v/>
      </c>
      <c r="R777" s="1" t="str">
        <f t="shared" si="155"/>
        <v/>
      </c>
    </row>
    <row r="778" spans="1:18" x14ac:dyDescent="0.2">
      <c r="A778" t="str">
        <f>IF(COUNTBLANK(B778:R778)&lt;&gt;COLUMNS(B778:R778),777,"")</f>
        <v/>
      </c>
      <c r="D778" s="1" t="str">
        <f t="shared" si="144"/>
        <v/>
      </c>
      <c r="E778" s="2" t="str">
        <f t="shared" si="145"/>
        <v/>
      </c>
      <c r="F778" s="1" t="str">
        <f t="shared" si="146"/>
        <v/>
      </c>
      <c r="G778" s="1" t="str">
        <f t="shared" si="147"/>
        <v/>
      </c>
      <c r="H778" s="1" t="str">
        <f t="shared" si="148"/>
        <v/>
      </c>
      <c r="K778" s="1" t="str">
        <f t="shared" si="149"/>
        <v/>
      </c>
      <c r="L778" s="1" t="str">
        <f t="shared" si="150"/>
        <v/>
      </c>
      <c r="M778" s="1" t="str">
        <f t="shared" si="151"/>
        <v/>
      </c>
      <c r="N778" s="1" t="str">
        <f t="shared" si="152"/>
        <v/>
      </c>
      <c r="O778" s="1" t="str">
        <f t="shared" si="153"/>
        <v/>
      </c>
      <c r="P778" s="1" t="str">
        <f t="shared" si="154"/>
        <v/>
      </c>
      <c r="R778" s="1" t="str">
        <f t="shared" si="155"/>
        <v/>
      </c>
    </row>
    <row r="779" spans="1:18" x14ac:dyDescent="0.2">
      <c r="A779" t="str">
        <f>IF(COUNTBLANK(B779:R779)&lt;&gt;COLUMNS(B779:R779),778,"")</f>
        <v/>
      </c>
      <c r="D779" s="1" t="str">
        <f t="shared" si="144"/>
        <v/>
      </c>
      <c r="E779" s="2" t="str">
        <f t="shared" si="145"/>
        <v/>
      </c>
      <c r="F779" s="1" t="str">
        <f t="shared" si="146"/>
        <v/>
      </c>
      <c r="G779" s="1" t="str">
        <f t="shared" si="147"/>
        <v/>
      </c>
      <c r="H779" s="1" t="str">
        <f t="shared" si="148"/>
        <v/>
      </c>
      <c r="K779" s="1" t="str">
        <f t="shared" si="149"/>
        <v/>
      </c>
      <c r="L779" s="1" t="str">
        <f t="shared" si="150"/>
        <v/>
      </c>
      <c r="M779" s="1" t="str">
        <f t="shared" si="151"/>
        <v/>
      </c>
      <c r="N779" s="1" t="str">
        <f t="shared" si="152"/>
        <v/>
      </c>
      <c r="O779" s="1" t="str">
        <f t="shared" si="153"/>
        <v/>
      </c>
      <c r="P779" s="1" t="str">
        <f t="shared" si="154"/>
        <v/>
      </c>
      <c r="R779" s="1" t="str">
        <f t="shared" si="155"/>
        <v/>
      </c>
    </row>
    <row r="780" spans="1:18" x14ac:dyDescent="0.2">
      <c r="A780" t="str">
        <f>IF(COUNTBLANK(B780:R780)&lt;&gt;COLUMNS(B780:R780),779,"")</f>
        <v/>
      </c>
      <c r="D780" s="1" t="str">
        <f t="shared" si="144"/>
        <v/>
      </c>
      <c r="E780" s="2" t="str">
        <f t="shared" si="145"/>
        <v/>
      </c>
      <c r="F780" s="1" t="str">
        <f t="shared" si="146"/>
        <v/>
      </c>
      <c r="G780" s="1" t="str">
        <f t="shared" si="147"/>
        <v/>
      </c>
      <c r="H780" s="1" t="str">
        <f t="shared" si="148"/>
        <v/>
      </c>
      <c r="K780" s="1" t="str">
        <f t="shared" si="149"/>
        <v/>
      </c>
      <c r="L780" s="1" t="str">
        <f t="shared" si="150"/>
        <v/>
      </c>
      <c r="M780" s="1" t="str">
        <f t="shared" si="151"/>
        <v/>
      </c>
      <c r="N780" s="1" t="str">
        <f t="shared" si="152"/>
        <v/>
      </c>
      <c r="O780" s="1" t="str">
        <f t="shared" si="153"/>
        <v/>
      </c>
      <c r="P780" s="1" t="str">
        <f t="shared" si="154"/>
        <v/>
      </c>
      <c r="R780" s="1" t="str">
        <f t="shared" si="155"/>
        <v/>
      </c>
    </row>
    <row r="781" spans="1:18" x14ac:dyDescent="0.2">
      <c r="A781" t="str">
        <f>IF(COUNTBLANK(B781:R781)&lt;&gt;COLUMNS(B781:R781),780,"")</f>
        <v/>
      </c>
      <c r="D781" s="1" t="str">
        <f t="shared" si="144"/>
        <v/>
      </c>
      <c r="E781" s="2" t="str">
        <f t="shared" si="145"/>
        <v/>
      </c>
      <c r="F781" s="1" t="str">
        <f t="shared" si="146"/>
        <v/>
      </c>
      <c r="G781" s="1" t="str">
        <f t="shared" si="147"/>
        <v/>
      </c>
      <c r="H781" s="1" t="str">
        <f t="shared" si="148"/>
        <v/>
      </c>
      <c r="K781" s="1" t="str">
        <f t="shared" si="149"/>
        <v/>
      </c>
      <c r="L781" s="1" t="str">
        <f t="shared" si="150"/>
        <v/>
      </c>
      <c r="M781" s="1" t="str">
        <f t="shared" si="151"/>
        <v/>
      </c>
      <c r="N781" s="1" t="str">
        <f t="shared" si="152"/>
        <v/>
      </c>
      <c r="O781" s="1" t="str">
        <f t="shared" si="153"/>
        <v/>
      </c>
      <c r="P781" s="1" t="str">
        <f t="shared" si="154"/>
        <v/>
      </c>
      <c r="R781" s="1" t="str">
        <f t="shared" si="155"/>
        <v/>
      </c>
    </row>
    <row r="782" spans="1:18" x14ac:dyDescent="0.2">
      <c r="A782" t="str">
        <f>IF(COUNTBLANK(B782:R782)&lt;&gt;COLUMNS(B782:R782),781,"")</f>
        <v/>
      </c>
      <c r="D782" s="1" t="str">
        <f t="shared" si="144"/>
        <v/>
      </c>
      <c r="E782" s="2" t="str">
        <f t="shared" si="145"/>
        <v/>
      </c>
      <c r="F782" s="1" t="str">
        <f t="shared" si="146"/>
        <v/>
      </c>
      <c r="G782" s="1" t="str">
        <f t="shared" si="147"/>
        <v/>
      </c>
      <c r="H782" s="1" t="str">
        <f t="shared" si="148"/>
        <v/>
      </c>
      <c r="K782" s="1" t="str">
        <f t="shared" si="149"/>
        <v/>
      </c>
      <c r="L782" s="1" t="str">
        <f t="shared" si="150"/>
        <v/>
      </c>
      <c r="M782" s="1" t="str">
        <f t="shared" si="151"/>
        <v/>
      </c>
      <c r="N782" s="1" t="str">
        <f t="shared" si="152"/>
        <v/>
      </c>
      <c r="O782" s="1" t="str">
        <f t="shared" si="153"/>
        <v/>
      </c>
      <c r="P782" s="1" t="str">
        <f t="shared" si="154"/>
        <v/>
      </c>
      <c r="R782" s="1" t="str">
        <f t="shared" si="155"/>
        <v/>
      </c>
    </row>
    <row r="783" spans="1:18" x14ac:dyDescent="0.2">
      <c r="A783" t="str">
        <f>IF(COUNTBLANK(B783:R783)&lt;&gt;COLUMNS(B783:R783),782,"")</f>
        <v/>
      </c>
      <c r="D783" s="1" t="str">
        <f t="shared" si="144"/>
        <v/>
      </c>
      <c r="E783" s="2" t="str">
        <f t="shared" si="145"/>
        <v/>
      </c>
      <c r="F783" s="1" t="str">
        <f t="shared" si="146"/>
        <v/>
      </c>
      <c r="G783" s="1" t="str">
        <f t="shared" si="147"/>
        <v/>
      </c>
      <c r="H783" s="1" t="str">
        <f t="shared" si="148"/>
        <v/>
      </c>
      <c r="K783" s="1" t="str">
        <f t="shared" si="149"/>
        <v/>
      </c>
      <c r="L783" s="1" t="str">
        <f t="shared" si="150"/>
        <v/>
      </c>
      <c r="M783" s="1" t="str">
        <f t="shared" si="151"/>
        <v/>
      </c>
      <c r="N783" s="1" t="str">
        <f t="shared" si="152"/>
        <v/>
      </c>
      <c r="O783" s="1" t="str">
        <f t="shared" si="153"/>
        <v/>
      </c>
      <c r="P783" s="1" t="str">
        <f t="shared" si="154"/>
        <v/>
      </c>
      <c r="R783" s="1" t="str">
        <f t="shared" si="155"/>
        <v/>
      </c>
    </row>
    <row r="784" spans="1:18" x14ac:dyDescent="0.2">
      <c r="A784" t="str">
        <f>IF(COUNTBLANK(B784:R784)&lt;&gt;COLUMNS(B784:R784),783,"")</f>
        <v/>
      </c>
      <c r="D784" s="1" t="str">
        <f t="shared" si="144"/>
        <v/>
      </c>
      <c r="E784" s="2" t="str">
        <f t="shared" si="145"/>
        <v/>
      </c>
      <c r="F784" s="1" t="str">
        <f t="shared" si="146"/>
        <v/>
      </c>
      <c r="G784" s="1" t="str">
        <f t="shared" si="147"/>
        <v/>
      </c>
      <c r="H784" s="1" t="str">
        <f t="shared" si="148"/>
        <v/>
      </c>
      <c r="K784" s="1" t="str">
        <f t="shared" si="149"/>
        <v/>
      </c>
      <c r="L784" s="1" t="str">
        <f t="shared" si="150"/>
        <v/>
      </c>
      <c r="M784" s="1" t="str">
        <f t="shared" si="151"/>
        <v/>
      </c>
      <c r="N784" s="1" t="str">
        <f t="shared" si="152"/>
        <v/>
      </c>
      <c r="O784" s="1" t="str">
        <f t="shared" si="153"/>
        <v/>
      </c>
      <c r="P784" s="1" t="str">
        <f t="shared" si="154"/>
        <v/>
      </c>
      <c r="R784" s="1" t="str">
        <f t="shared" si="155"/>
        <v/>
      </c>
    </row>
    <row r="785" spans="1:18" x14ac:dyDescent="0.2">
      <c r="A785" t="str">
        <f>IF(COUNTBLANK(B785:R785)&lt;&gt;COLUMNS(B785:R785),784,"")</f>
        <v/>
      </c>
      <c r="D785" s="1" t="str">
        <f t="shared" si="144"/>
        <v/>
      </c>
      <c r="E785" s="2" t="str">
        <f t="shared" si="145"/>
        <v/>
      </c>
      <c r="F785" s="1" t="str">
        <f t="shared" si="146"/>
        <v/>
      </c>
      <c r="G785" s="1" t="str">
        <f t="shared" si="147"/>
        <v/>
      </c>
      <c r="H785" s="1" t="str">
        <f t="shared" si="148"/>
        <v/>
      </c>
      <c r="K785" s="1" t="str">
        <f t="shared" si="149"/>
        <v/>
      </c>
      <c r="L785" s="1" t="str">
        <f t="shared" si="150"/>
        <v/>
      </c>
      <c r="M785" s="1" t="str">
        <f t="shared" si="151"/>
        <v/>
      </c>
      <c r="N785" s="1" t="str">
        <f t="shared" si="152"/>
        <v/>
      </c>
      <c r="O785" s="1" t="str">
        <f t="shared" si="153"/>
        <v/>
      </c>
      <c r="P785" s="1" t="str">
        <f t="shared" si="154"/>
        <v/>
      </c>
      <c r="R785" s="1" t="str">
        <f t="shared" si="155"/>
        <v/>
      </c>
    </row>
    <row r="786" spans="1:18" x14ac:dyDescent="0.2">
      <c r="A786" t="str">
        <f>IF(COUNTBLANK(B786:R786)&lt;&gt;COLUMNS(B786:R786),785,"")</f>
        <v/>
      </c>
      <c r="D786" s="1" t="str">
        <f t="shared" si="144"/>
        <v/>
      </c>
      <c r="E786" s="2" t="str">
        <f t="shared" si="145"/>
        <v/>
      </c>
      <c r="F786" s="1" t="str">
        <f t="shared" si="146"/>
        <v/>
      </c>
      <c r="G786" s="1" t="str">
        <f t="shared" si="147"/>
        <v/>
      </c>
      <c r="H786" s="1" t="str">
        <f t="shared" si="148"/>
        <v/>
      </c>
      <c r="K786" s="1" t="str">
        <f t="shared" si="149"/>
        <v/>
      </c>
      <c r="L786" s="1" t="str">
        <f t="shared" si="150"/>
        <v/>
      </c>
      <c r="M786" s="1" t="str">
        <f t="shared" si="151"/>
        <v/>
      </c>
      <c r="N786" s="1" t="str">
        <f t="shared" si="152"/>
        <v/>
      </c>
      <c r="O786" s="1" t="str">
        <f t="shared" si="153"/>
        <v/>
      </c>
      <c r="P786" s="1" t="str">
        <f t="shared" si="154"/>
        <v/>
      </c>
      <c r="R786" s="1" t="str">
        <f t="shared" si="155"/>
        <v/>
      </c>
    </row>
    <row r="787" spans="1:18" x14ac:dyDescent="0.2">
      <c r="A787" t="str">
        <f>IF(COUNTBLANK(B787:R787)&lt;&gt;COLUMNS(B787:R787),786,"")</f>
        <v/>
      </c>
      <c r="D787" s="1" t="str">
        <f t="shared" si="144"/>
        <v/>
      </c>
      <c r="E787" s="2" t="str">
        <f t="shared" si="145"/>
        <v/>
      </c>
      <c r="F787" s="1" t="str">
        <f t="shared" si="146"/>
        <v/>
      </c>
      <c r="G787" s="1" t="str">
        <f t="shared" si="147"/>
        <v/>
      </c>
      <c r="H787" s="1" t="str">
        <f t="shared" si="148"/>
        <v/>
      </c>
      <c r="K787" s="1" t="str">
        <f t="shared" si="149"/>
        <v/>
      </c>
      <c r="L787" s="1" t="str">
        <f t="shared" si="150"/>
        <v/>
      </c>
      <c r="M787" s="1" t="str">
        <f t="shared" si="151"/>
        <v/>
      </c>
      <c r="N787" s="1" t="str">
        <f t="shared" si="152"/>
        <v/>
      </c>
      <c r="O787" s="1" t="str">
        <f t="shared" si="153"/>
        <v/>
      </c>
      <c r="P787" s="1" t="str">
        <f t="shared" si="154"/>
        <v/>
      </c>
      <c r="R787" s="1" t="str">
        <f t="shared" si="155"/>
        <v/>
      </c>
    </row>
    <row r="788" spans="1:18" x14ac:dyDescent="0.2">
      <c r="A788" t="str">
        <f>IF(COUNTBLANK(B788:R788)&lt;&gt;COLUMNS(B788:R788),787,"")</f>
        <v/>
      </c>
      <c r="D788" s="1" t="str">
        <f t="shared" si="144"/>
        <v/>
      </c>
      <c r="E788" s="2" t="str">
        <f t="shared" si="145"/>
        <v/>
      </c>
      <c r="F788" s="1" t="str">
        <f t="shared" si="146"/>
        <v/>
      </c>
      <c r="G788" s="1" t="str">
        <f t="shared" si="147"/>
        <v/>
      </c>
      <c r="H788" s="1" t="str">
        <f t="shared" si="148"/>
        <v/>
      </c>
      <c r="K788" s="1" t="str">
        <f t="shared" si="149"/>
        <v/>
      </c>
      <c r="L788" s="1" t="str">
        <f t="shared" si="150"/>
        <v/>
      </c>
      <c r="M788" s="1" t="str">
        <f t="shared" si="151"/>
        <v/>
      </c>
      <c r="N788" s="1" t="str">
        <f t="shared" si="152"/>
        <v/>
      </c>
      <c r="O788" s="1" t="str">
        <f t="shared" si="153"/>
        <v/>
      </c>
      <c r="P788" s="1" t="str">
        <f t="shared" si="154"/>
        <v/>
      </c>
      <c r="R788" s="1" t="str">
        <f t="shared" si="155"/>
        <v/>
      </c>
    </row>
    <row r="789" spans="1:18" x14ac:dyDescent="0.2">
      <c r="A789" t="str">
        <f>IF(COUNTBLANK(B789:R789)&lt;&gt;COLUMNS(B789:R789),788,"")</f>
        <v/>
      </c>
      <c r="D789" s="1" t="str">
        <f t="shared" si="144"/>
        <v/>
      </c>
      <c r="E789" s="2" t="str">
        <f t="shared" si="145"/>
        <v/>
      </c>
      <c r="F789" s="1" t="str">
        <f t="shared" si="146"/>
        <v/>
      </c>
      <c r="G789" s="1" t="str">
        <f t="shared" si="147"/>
        <v/>
      </c>
      <c r="H789" s="1" t="str">
        <f t="shared" si="148"/>
        <v/>
      </c>
      <c r="K789" s="1" t="str">
        <f t="shared" si="149"/>
        <v/>
      </c>
      <c r="L789" s="1" t="str">
        <f t="shared" si="150"/>
        <v/>
      </c>
      <c r="M789" s="1" t="str">
        <f t="shared" si="151"/>
        <v/>
      </c>
      <c r="N789" s="1" t="str">
        <f t="shared" si="152"/>
        <v/>
      </c>
      <c r="O789" s="1" t="str">
        <f t="shared" si="153"/>
        <v/>
      </c>
      <c r="P789" s="1" t="str">
        <f t="shared" si="154"/>
        <v/>
      </c>
      <c r="R789" s="1" t="str">
        <f t="shared" si="155"/>
        <v/>
      </c>
    </row>
    <row r="790" spans="1:18" x14ac:dyDescent="0.2">
      <c r="A790" t="str">
        <f>IF(COUNTBLANK(B790:R790)&lt;&gt;COLUMNS(B790:R790),789,"")</f>
        <v/>
      </c>
      <c r="D790" s="1" t="str">
        <f t="shared" si="144"/>
        <v/>
      </c>
      <c r="E790" s="2" t="str">
        <f t="shared" si="145"/>
        <v/>
      </c>
      <c r="F790" s="1" t="str">
        <f t="shared" si="146"/>
        <v/>
      </c>
      <c r="G790" s="1" t="str">
        <f t="shared" si="147"/>
        <v/>
      </c>
      <c r="H790" s="1" t="str">
        <f t="shared" si="148"/>
        <v/>
      </c>
      <c r="K790" s="1" t="str">
        <f t="shared" si="149"/>
        <v/>
      </c>
      <c r="L790" s="1" t="str">
        <f t="shared" si="150"/>
        <v/>
      </c>
      <c r="M790" s="1" t="str">
        <f t="shared" si="151"/>
        <v/>
      </c>
      <c r="N790" s="1" t="str">
        <f t="shared" si="152"/>
        <v/>
      </c>
      <c r="O790" s="1" t="str">
        <f t="shared" si="153"/>
        <v/>
      </c>
      <c r="P790" s="1" t="str">
        <f t="shared" si="154"/>
        <v/>
      </c>
      <c r="R790" s="1" t="str">
        <f t="shared" si="155"/>
        <v/>
      </c>
    </row>
    <row r="791" spans="1:18" x14ac:dyDescent="0.2">
      <c r="A791" t="str">
        <f>IF(COUNTBLANK(B791:R791)&lt;&gt;COLUMNS(B791:R791),790,"")</f>
        <v/>
      </c>
      <c r="D791" s="1" t="str">
        <f t="shared" si="144"/>
        <v/>
      </c>
      <c r="E791" s="2" t="str">
        <f t="shared" si="145"/>
        <v/>
      </c>
      <c r="F791" s="1" t="str">
        <f t="shared" si="146"/>
        <v/>
      </c>
      <c r="G791" s="1" t="str">
        <f t="shared" si="147"/>
        <v/>
      </c>
      <c r="H791" s="1" t="str">
        <f t="shared" si="148"/>
        <v/>
      </c>
      <c r="K791" s="1" t="str">
        <f t="shared" si="149"/>
        <v/>
      </c>
      <c r="L791" s="1" t="str">
        <f t="shared" si="150"/>
        <v/>
      </c>
      <c r="M791" s="1" t="str">
        <f t="shared" si="151"/>
        <v/>
      </c>
      <c r="N791" s="1" t="str">
        <f t="shared" si="152"/>
        <v/>
      </c>
      <c r="O791" s="1" t="str">
        <f t="shared" si="153"/>
        <v/>
      </c>
      <c r="P791" s="1" t="str">
        <f t="shared" si="154"/>
        <v/>
      </c>
      <c r="R791" s="1" t="str">
        <f t="shared" si="155"/>
        <v/>
      </c>
    </row>
    <row r="792" spans="1:18" x14ac:dyDescent="0.2">
      <c r="A792" t="str">
        <f>IF(COUNTBLANK(B792:R792)&lt;&gt;COLUMNS(B792:R792),791,"")</f>
        <v/>
      </c>
      <c r="D792" s="1" t="str">
        <f t="shared" si="144"/>
        <v/>
      </c>
      <c r="E792" s="2" t="str">
        <f t="shared" si="145"/>
        <v/>
      </c>
      <c r="F792" s="1" t="str">
        <f t="shared" si="146"/>
        <v/>
      </c>
      <c r="G792" s="1" t="str">
        <f t="shared" si="147"/>
        <v/>
      </c>
      <c r="H792" s="1" t="str">
        <f t="shared" si="148"/>
        <v/>
      </c>
      <c r="K792" s="1" t="str">
        <f t="shared" si="149"/>
        <v/>
      </c>
      <c r="L792" s="1" t="str">
        <f t="shared" si="150"/>
        <v/>
      </c>
      <c r="M792" s="1" t="str">
        <f t="shared" si="151"/>
        <v/>
      </c>
      <c r="N792" s="1" t="str">
        <f t="shared" si="152"/>
        <v/>
      </c>
      <c r="O792" s="1" t="str">
        <f t="shared" si="153"/>
        <v/>
      </c>
      <c r="P792" s="1" t="str">
        <f t="shared" si="154"/>
        <v/>
      </c>
      <c r="R792" s="1" t="str">
        <f t="shared" si="155"/>
        <v/>
      </c>
    </row>
    <row r="793" spans="1:18" x14ac:dyDescent="0.2">
      <c r="A793" t="str">
        <f>IF(COUNTBLANK(B793:R793)&lt;&gt;COLUMNS(B793:R793),792,"")</f>
        <v/>
      </c>
      <c r="D793" s="1" t="str">
        <f t="shared" si="144"/>
        <v/>
      </c>
      <c r="E793" s="2" t="str">
        <f t="shared" si="145"/>
        <v/>
      </c>
      <c r="F793" s="1" t="str">
        <f t="shared" si="146"/>
        <v/>
      </c>
      <c r="G793" s="1" t="str">
        <f t="shared" si="147"/>
        <v/>
      </c>
      <c r="H793" s="1" t="str">
        <f t="shared" si="148"/>
        <v/>
      </c>
      <c r="K793" s="1" t="str">
        <f t="shared" si="149"/>
        <v/>
      </c>
      <c r="L793" s="1" t="str">
        <f t="shared" si="150"/>
        <v/>
      </c>
      <c r="M793" s="1" t="str">
        <f t="shared" si="151"/>
        <v/>
      </c>
      <c r="N793" s="1" t="str">
        <f t="shared" si="152"/>
        <v/>
      </c>
      <c r="O793" s="1" t="str">
        <f t="shared" si="153"/>
        <v/>
      </c>
      <c r="P793" s="1" t="str">
        <f t="shared" si="154"/>
        <v/>
      </c>
      <c r="R793" s="1" t="str">
        <f t="shared" si="155"/>
        <v/>
      </c>
    </row>
    <row r="794" spans="1:18" x14ac:dyDescent="0.2">
      <c r="A794" t="str">
        <f>IF(COUNTBLANK(B794:R794)&lt;&gt;COLUMNS(B794:R794),793,"")</f>
        <v/>
      </c>
      <c r="D794" s="1" t="str">
        <f t="shared" si="144"/>
        <v/>
      </c>
      <c r="E794" s="2" t="str">
        <f t="shared" si="145"/>
        <v/>
      </c>
      <c r="F794" s="1" t="str">
        <f t="shared" si="146"/>
        <v/>
      </c>
      <c r="G794" s="1" t="str">
        <f t="shared" si="147"/>
        <v/>
      </c>
      <c r="H794" s="1" t="str">
        <f t="shared" si="148"/>
        <v/>
      </c>
      <c r="K794" s="1" t="str">
        <f t="shared" si="149"/>
        <v/>
      </c>
      <c r="L794" s="1" t="str">
        <f t="shared" si="150"/>
        <v/>
      </c>
      <c r="M794" s="1" t="str">
        <f t="shared" si="151"/>
        <v/>
      </c>
      <c r="N794" s="1" t="str">
        <f t="shared" si="152"/>
        <v/>
      </c>
      <c r="O794" s="1" t="str">
        <f t="shared" si="153"/>
        <v/>
      </c>
      <c r="P794" s="1" t="str">
        <f t="shared" si="154"/>
        <v/>
      </c>
      <c r="R794" s="1" t="str">
        <f t="shared" si="155"/>
        <v/>
      </c>
    </row>
    <row r="795" spans="1:18" x14ac:dyDescent="0.2">
      <c r="A795" t="str">
        <f>IF(COUNTBLANK(B795:R795)&lt;&gt;COLUMNS(B795:R795),794,"")</f>
        <v/>
      </c>
      <c r="D795" s="1" t="str">
        <f t="shared" si="144"/>
        <v/>
      </c>
      <c r="E795" s="2" t="str">
        <f t="shared" si="145"/>
        <v/>
      </c>
      <c r="F795" s="1" t="str">
        <f t="shared" si="146"/>
        <v/>
      </c>
      <c r="G795" s="1" t="str">
        <f t="shared" si="147"/>
        <v/>
      </c>
      <c r="H795" s="1" t="str">
        <f t="shared" si="148"/>
        <v/>
      </c>
      <c r="K795" s="1" t="str">
        <f t="shared" si="149"/>
        <v/>
      </c>
      <c r="L795" s="1" t="str">
        <f t="shared" si="150"/>
        <v/>
      </c>
      <c r="M795" s="1" t="str">
        <f t="shared" si="151"/>
        <v/>
      </c>
      <c r="N795" s="1" t="str">
        <f t="shared" si="152"/>
        <v/>
      </c>
      <c r="O795" s="1" t="str">
        <f t="shared" si="153"/>
        <v/>
      </c>
      <c r="P795" s="1" t="str">
        <f t="shared" si="154"/>
        <v/>
      </c>
      <c r="R795" s="1" t="str">
        <f t="shared" si="155"/>
        <v/>
      </c>
    </row>
    <row r="796" spans="1:18" x14ac:dyDescent="0.2">
      <c r="A796" t="str">
        <f>IF(COUNTBLANK(B796:R796)&lt;&gt;COLUMNS(B796:R796),795,"")</f>
        <v/>
      </c>
      <c r="D796" s="1" t="str">
        <f t="shared" si="144"/>
        <v/>
      </c>
      <c r="E796" s="2" t="str">
        <f t="shared" si="145"/>
        <v/>
      </c>
      <c r="F796" s="1" t="str">
        <f t="shared" si="146"/>
        <v/>
      </c>
      <c r="G796" s="1" t="str">
        <f t="shared" si="147"/>
        <v/>
      </c>
      <c r="H796" s="1" t="str">
        <f t="shared" si="148"/>
        <v/>
      </c>
      <c r="K796" s="1" t="str">
        <f t="shared" si="149"/>
        <v/>
      </c>
      <c r="L796" s="1" t="str">
        <f t="shared" si="150"/>
        <v/>
      </c>
      <c r="M796" s="1" t="str">
        <f t="shared" si="151"/>
        <v/>
      </c>
      <c r="N796" s="1" t="str">
        <f t="shared" si="152"/>
        <v/>
      </c>
      <c r="O796" s="1" t="str">
        <f t="shared" si="153"/>
        <v/>
      </c>
      <c r="P796" s="1" t="str">
        <f t="shared" si="154"/>
        <v/>
      </c>
      <c r="R796" s="1" t="str">
        <f t="shared" si="155"/>
        <v/>
      </c>
    </row>
    <row r="797" spans="1:18" x14ac:dyDescent="0.2">
      <c r="A797" t="str">
        <f>IF(COUNTBLANK(B797:R797)&lt;&gt;COLUMNS(B797:R797),796,"")</f>
        <v/>
      </c>
      <c r="D797" s="1" t="str">
        <f t="shared" si="144"/>
        <v/>
      </c>
      <c r="E797" s="2" t="str">
        <f t="shared" si="145"/>
        <v/>
      </c>
      <c r="F797" s="1" t="str">
        <f t="shared" si="146"/>
        <v/>
      </c>
      <c r="G797" s="1" t="str">
        <f t="shared" si="147"/>
        <v/>
      </c>
      <c r="H797" s="1" t="str">
        <f t="shared" si="148"/>
        <v/>
      </c>
      <c r="K797" s="1" t="str">
        <f t="shared" si="149"/>
        <v/>
      </c>
      <c r="L797" s="1" t="str">
        <f t="shared" si="150"/>
        <v/>
      </c>
      <c r="M797" s="1" t="str">
        <f t="shared" si="151"/>
        <v/>
      </c>
      <c r="N797" s="1" t="str">
        <f t="shared" si="152"/>
        <v/>
      </c>
      <c r="O797" s="1" t="str">
        <f t="shared" si="153"/>
        <v/>
      </c>
      <c r="P797" s="1" t="str">
        <f t="shared" si="154"/>
        <v/>
      </c>
      <c r="R797" s="1" t="str">
        <f t="shared" si="155"/>
        <v/>
      </c>
    </row>
    <row r="798" spans="1:18" x14ac:dyDescent="0.2">
      <c r="A798" t="str">
        <f>IF(COUNTBLANK(B798:R798)&lt;&gt;COLUMNS(B798:R798),797,"")</f>
        <v/>
      </c>
      <c r="D798" s="1" t="str">
        <f t="shared" si="144"/>
        <v/>
      </c>
      <c r="E798" s="2" t="str">
        <f t="shared" si="145"/>
        <v/>
      </c>
      <c r="F798" s="1" t="str">
        <f t="shared" si="146"/>
        <v/>
      </c>
      <c r="G798" s="1" t="str">
        <f t="shared" si="147"/>
        <v/>
      </c>
      <c r="H798" s="1" t="str">
        <f t="shared" si="148"/>
        <v/>
      </c>
      <c r="K798" s="1" t="str">
        <f t="shared" si="149"/>
        <v/>
      </c>
      <c r="L798" s="1" t="str">
        <f t="shared" si="150"/>
        <v/>
      </c>
      <c r="M798" s="1" t="str">
        <f t="shared" si="151"/>
        <v/>
      </c>
      <c r="N798" s="1" t="str">
        <f t="shared" si="152"/>
        <v/>
      </c>
      <c r="O798" s="1" t="str">
        <f t="shared" si="153"/>
        <v/>
      </c>
      <c r="P798" s="1" t="str">
        <f t="shared" si="154"/>
        <v/>
      </c>
      <c r="R798" s="1" t="str">
        <f t="shared" si="155"/>
        <v/>
      </c>
    </row>
    <row r="799" spans="1:18" x14ac:dyDescent="0.2">
      <c r="A799" t="str">
        <f>IF(COUNTBLANK(B799:R799)&lt;&gt;COLUMNS(B799:R799),798,"")</f>
        <v/>
      </c>
      <c r="D799" s="1" t="str">
        <f t="shared" si="144"/>
        <v/>
      </c>
      <c r="E799" s="2" t="str">
        <f t="shared" si="145"/>
        <v/>
      </c>
      <c r="F799" s="1" t="str">
        <f t="shared" si="146"/>
        <v/>
      </c>
      <c r="G799" s="1" t="str">
        <f t="shared" si="147"/>
        <v/>
      </c>
      <c r="H799" s="1" t="str">
        <f t="shared" si="148"/>
        <v/>
      </c>
      <c r="K799" s="1" t="str">
        <f t="shared" si="149"/>
        <v/>
      </c>
      <c r="L799" s="1" t="str">
        <f t="shared" si="150"/>
        <v/>
      </c>
      <c r="M799" s="1" t="str">
        <f t="shared" si="151"/>
        <v/>
      </c>
      <c r="N799" s="1" t="str">
        <f t="shared" si="152"/>
        <v/>
      </c>
      <c r="O799" s="1" t="str">
        <f t="shared" si="153"/>
        <v/>
      </c>
      <c r="P799" s="1" t="str">
        <f t="shared" si="154"/>
        <v/>
      </c>
      <c r="R799" s="1" t="str">
        <f t="shared" si="155"/>
        <v/>
      </c>
    </row>
    <row r="800" spans="1:18" x14ac:dyDescent="0.2">
      <c r="A800" t="str">
        <f>IF(COUNTBLANK(B800:R800)&lt;&gt;COLUMNS(B800:R800),799,"")</f>
        <v/>
      </c>
      <c r="D800" s="1" t="str">
        <f t="shared" si="144"/>
        <v/>
      </c>
      <c r="E800" s="2" t="str">
        <f t="shared" si="145"/>
        <v/>
      </c>
      <c r="F800" s="1" t="str">
        <f t="shared" si="146"/>
        <v/>
      </c>
      <c r="G800" s="1" t="str">
        <f t="shared" si="147"/>
        <v/>
      </c>
      <c r="H800" s="1" t="str">
        <f t="shared" si="148"/>
        <v/>
      </c>
      <c r="K800" s="1" t="str">
        <f t="shared" si="149"/>
        <v/>
      </c>
      <c r="L800" s="1" t="str">
        <f t="shared" si="150"/>
        <v/>
      </c>
      <c r="M800" s="1" t="str">
        <f t="shared" si="151"/>
        <v/>
      </c>
      <c r="N800" s="1" t="str">
        <f t="shared" si="152"/>
        <v/>
      </c>
      <c r="O800" s="1" t="str">
        <f t="shared" si="153"/>
        <v/>
      </c>
      <c r="P800" s="1" t="str">
        <f t="shared" si="154"/>
        <v/>
      </c>
      <c r="R800" s="1" t="str">
        <f t="shared" si="155"/>
        <v/>
      </c>
    </row>
    <row r="801" spans="1:18" x14ac:dyDescent="0.2">
      <c r="A801" t="str">
        <f>IF(COUNTBLANK(B801:R801)&lt;&gt;COLUMNS(B801:R801),800,"")</f>
        <v/>
      </c>
      <c r="D801" s="1" t="str">
        <f t="shared" si="144"/>
        <v/>
      </c>
      <c r="E801" s="2" t="str">
        <f t="shared" si="145"/>
        <v/>
      </c>
      <c r="F801" s="1" t="str">
        <f t="shared" si="146"/>
        <v/>
      </c>
      <c r="G801" s="1" t="str">
        <f t="shared" si="147"/>
        <v/>
      </c>
      <c r="H801" s="1" t="str">
        <f t="shared" si="148"/>
        <v/>
      </c>
      <c r="K801" s="1" t="str">
        <f t="shared" si="149"/>
        <v/>
      </c>
      <c r="L801" s="1" t="str">
        <f t="shared" si="150"/>
        <v/>
      </c>
      <c r="M801" s="1" t="str">
        <f t="shared" si="151"/>
        <v/>
      </c>
      <c r="N801" s="1" t="str">
        <f t="shared" si="152"/>
        <v/>
      </c>
      <c r="O801" s="1" t="str">
        <f t="shared" si="153"/>
        <v/>
      </c>
      <c r="P801" s="1" t="str">
        <f t="shared" si="154"/>
        <v/>
      </c>
      <c r="R801" s="1" t="str">
        <f t="shared" si="155"/>
        <v/>
      </c>
    </row>
    <row r="802" spans="1:18" x14ac:dyDescent="0.2">
      <c r="A802" t="str">
        <f>IF(COUNTBLANK(B802:R802)&lt;&gt;COLUMNS(B802:R802),801,"")</f>
        <v/>
      </c>
      <c r="D802" s="1" t="str">
        <f t="shared" si="144"/>
        <v/>
      </c>
      <c r="E802" s="2" t="str">
        <f t="shared" si="145"/>
        <v/>
      </c>
      <c r="F802" s="1" t="str">
        <f t="shared" si="146"/>
        <v/>
      </c>
      <c r="G802" s="1" t="str">
        <f t="shared" si="147"/>
        <v/>
      </c>
      <c r="H802" s="1" t="str">
        <f t="shared" si="148"/>
        <v/>
      </c>
      <c r="K802" s="1" t="str">
        <f t="shared" si="149"/>
        <v/>
      </c>
      <c r="L802" s="1" t="str">
        <f t="shared" si="150"/>
        <v/>
      </c>
      <c r="M802" s="1" t="str">
        <f t="shared" si="151"/>
        <v/>
      </c>
      <c r="N802" s="1" t="str">
        <f t="shared" si="152"/>
        <v/>
      </c>
      <c r="O802" s="1" t="str">
        <f t="shared" si="153"/>
        <v/>
      </c>
      <c r="P802" s="1" t="str">
        <f t="shared" si="154"/>
        <v/>
      </c>
      <c r="R802" s="1" t="str">
        <f t="shared" si="155"/>
        <v/>
      </c>
    </row>
    <row r="803" spans="1:18" x14ac:dyDescent="0.2">
      <c r="A803" t="str">
        <f>IF(COUNTBLANK(B803:R803)&lt;&gt;COLUMNS(B803:R803),802,"")</f>
        <v/>
      </c>
      <c r="D803" s="1" t="str">
        <f t="shared" si="144"/>
        <v/>
      </c>
      <c r="E803" s="2" t="str">
        <f t="shared" si="145"/>
        <v/>
      </c>
      <c r="F803" s="1" t="str">
        <f t="shared" si="146"/>
        <v/>
      </c>
      <c r="G803" s="1" t="str">
        <f t="shared" si="147"/>
        <v/>
      </c>
      <c r="H803" s="1" t="str">
        <f t="shared" si="148"/>
        <v/>
      </c>
      <c r="K803" s="1" t="str">
        <f t="shared" si="149"/>
        <v/>
      </c>
      <c r="L803" s="1" t="str">
        <f t="shared" si="150"/>
        <v/>
      </c>
      <c r="M803" s="1" t="str">
        <f t="shared" si="151"/>
        <v/>
      </c>
      <c r="N803" s="1" t="str">
        <f t="shared" si="152"/>
        <v/>
      </c>
      <c r="O803" s="1" t="str">
        <f t="shared" si="153"/>
        <v/>
      </c>
      <c r="P803" s="1" t="str">
        <f t="shared" si="154"/>
        <v/>
      </c>
      <c r="R803" s="1" t="str">
        <f t="shared" si="155"/>
        <v/>
      </c>
    </row>
    <row r="804" spans="1:18" x14ac:dyDescent="0.2">
      <c r="A804" t="str">
        <f>IF(COUNTBLANK(B804:R804)&lt;&gt;COLUMNS(B804:R804),803,"")</f>
        <v/>
      </c>
      <c r="D804" s="1" t="str">
        <f t="shared" si="144"/>
        <v/>
      </c>
      <c r="E804" s="2" t="str">
        <f t="shared" si="145"/>
        <v/>
      </c>
      <c r="F804" s="1" t="str">
        <f t="shared" si="146"/>
        <v/>
      </c>
      <c r="G804" s="1" t="str">
        <f t="shared" si="147"/>
        <v/>
      </c>
      <c r="H804" s="1" t="str">
        <f t="shared" si="148"/>
        <v/>
      </c>
      <c r="K804" s="1" t="str">
        <f t="shared" si="149"/>
        <v/>
      </c>
      <c r="L804" s="1" t="str">
        <f t="shared" si="150"/>
        <v/>
      </c>
      <c r="M804" s="1" t="str">
        <f t="shared" si="151"/>
        <v/>
      </c>
      <c r="N804" s="1" t="str">
        <f t="shared" si="152"/>
        <v/>
      </c>
      <c r="O804" s="1" t="str">
        <f t="shared" si="153"/>
        <v/>
      </c>
      <c r="P804" s="1" t="str">
        <f t="shared" si="154"/>
        <v/>
      </c>
      <c r="R804" s="1" t="str">
        <f t="shared" si="155"/>
        <v/>
      </c>
    </row>
    <row r="805" spans="1:18" x14ac:dyDescent="0.2">
      <c r="A805" t="str">
        <f>IF(COUNTBLANK(B805:R805)&lt;&gt;COLUMNS(B805:R805),804,"")</f>
        <v/>
      </c>
      <c r="D805" s="1" t="str">
        <f t="shared" si="144"/>
        <v/>
      </c>
      <c r="E805" s="2" t="str">
        <f t="shared" si="145"/>
        <v/>
      </c>
      <c r="F805" s="1" t="str">
        <f t="shared" si="146"/>
        <v/>
      </c>
      <c r="G805" s="1" t="str">
        <f t="shared" si="147"/>
        <v/>
      </c>
      <c r="H805" s="1" t="str">
        <f t="shared" si="148"/>
        <v/>
      </c>
      <c r="K805" s="1" t="str">
        <f t="shared" si="149"/>
        <v/>
      </c>
      <c r="L805" s="1" t="str">
        <f t="shared" si="150"/>
        <v/>
      </c>
      <c r="M805" s="1" t="str">
        <f t="shared" si="151"/>
        <v/>
      </c>
      <c r="N805" s="1" t="str">
        <f t="shared" si="152"/>
        <v/>
      </c>
      <c r="O805" s="1" t="str">
        <f t="shared" si="153"/>
        <v/>
      </c>
      <c r="P805" s="1" t="str">
        <f t="shared" si="154"/>
        <v/>
      </c>
      <c r="R805" s="1" t="str">
        <f t="shared" si="155"/>
        <v/>
      </c>
    </row>
    <row r="806" spans="1:18" x14ac:dyDescent="0.2">
      <c r="A806" t="str">
        <f>IF(COUNTBLANK(B806:R806)&lt;&gt;COLUMNS(B806:R806),805,"")</f>
        <v/>
      </c>
      <c r="D806" s="1" t="str">
        <f t="shared" si="144"/>
        <v/>
      </c>
      <c r="E806" s="2" t="str">
        <f t="shared" si="145"/>
        <v/>
      </c>
      <c r="F806" s="1" t="str">
        <f t="shared" si="146"/>
        <v/>
      </c>
      <c r="G806" s="1" t="str">
        <f t="shared" si="147"/>
        <v/>
      </c>
      <c r="H806" s="1" t="str">
        <f t="shared" si="148"/>
        <v/>
      </c>
      <c r="K806" s="1" t="str">
        <f t="shared" si="149"/>
        <v/>
      </c>
      <c r="L806" s="1" t="str">
        <f t="shared" si="150"/>
        <v/>
      </c>
      <c r="M806" s="1" t="str">
        <f t="shared" si="151"/>
        <v/>
      </c>
      <c r="N806" s="1" t="str">
        <f t="shared" si="152"/>
        <v/>
      </c>
      <c r="O806" s="1" t="str">
        <f t="shared" si="153"/>
        <v/>
      </c>
      <c r="P806" s="1" t="str">
        <f t="shared" si="154"/>
        <v/>
      </c>
      <c r="R806" s="1" t="str">
        <f t="shared" si="155"/>
        <v/>
      </c>
    </row>
    <row r="807" spans="1:18" x14ac:dyDescent="0.2">
      <c r="A807" t="str">
        <f>IF(COUNTBLANK(B807:R807)&lt;&gt;COLUMNS(B807:R807),806,"")</f>
        <v/>
      </c>
      <c r="D807" s="1" t="str">
        <f t="shared" si="144"/>
        <v/>
      </c>
      <c r="E807" s="2" t="str">
        <f t="shared" si="145"/>
        <v/>
      </c>
      <c r="F807" s="1" t="str">
        <f t="shared" si="146"/>
        <v/>
      </c>
      <c r="G807" s="1" t="str">
        <f t="shared" si="147"/>
        <v/>
      </c>
      <c r="H807" s="1" t="str">
        <f t="shared" si="148"/>
        <v/>
      </c>
      <c r="K807" s="1" t="str">
        <f t="shared" si="149"/>
        <v/>
      </c>
      <c r="L807" s="1" t="str">
        <f t="shared" si="150"/>
        <v/>
      </c>
      <c r="M807" s="1" t="str">
        <f t="shared" si="151"/>
        <v/>
      </c>
      <c r="N807" s="1" t="str">
        <f t="shared" si="152"/>
        <v/>
      </c>
      <c r="O807" s="1" t="str">
        <f t="shared" si="153"/>
        <v/>
      </c>
      <c r="P807" s="1" t="str">
        <f t="shared" si="154"/>
        <v/>
      </c>
      <c r="R807" s="1" t="str">
        <f t="shared" si="155"/>
        <v/>
      </c>
    </row>
    <row r="808" spans="1:18" x14ac:dyDescent="0.2">
      <c r="A808" t="str">
        <f>IF(COUNTBLANK(B808:R808)&lt;&gt;COLUMNS(B808:R808),807,"")</f>
        <v/>
      </c>
      <c r="D808" s="1" t="str">
        <f t="shared" si="144"/>
        <v/>
      </c>
      <c r="E808" s="2" t="str">
        <f t="shared" si="145"/>
        <v/>
      </c>
      <c r="F808" s="1" t="str">
        <f t="shared" si="146"/>
        <v/>
      </c>
      <c r="G808" s="1" t="str">
        <f t="shared" si="147"/>
        <v/>
      </c>
      <c r="H808" s="1" t="str">
        <f t="shared" si="148"/>
        <v/>
      </c>
      <c r="K808" s="1" t="str">
        <f t="shared" si="149"/>
        <v/>
      </c>
      <c r="L808" s="1" t="str">
        <f t="shared" si="150"/>
        <v/>
      </c>
      <c r="M808" s="1" t="str">
        <f t="shared" si="151"/>
        <v/>
      </c>
      <c r="N808" s="1" t="str">
        <f t="shared" si="152"/>
        <v/>
      </c>
      <c r="O808" s="1" t="str">
        <f t="shared" si="153"/>
        <v/>
      </c>
      <c r="P808" s="1" t="str">
        <f t="shared" si="154"/>
        <v/>
      </c>
      <c r="R808" s="1" t="str">
        <f t="shared" si="155"/>
        <v/>
      </c>
    </row>
    <row r="809" spans="1:18" x14ac:dyDescent="0.2">
      <c r="A809" t="str">
        <f>IF(COUNTBLANK(B809:R809)&lt;&gt;COLUMNS(B809:R809),808,"")</f>
        <v/>
      </c>
      <c r="D809" s="1" t="str">
        <f t="shared" si="144"/>
        <v/>
      </c>
      <c r="E809" s="2" t="str">
        <f t="shared" si="145"/>
        <v/>
      </c>
      <c r="F809" s="1" t="str">
        <f t="shared" si="146"/>
        <v/>
      </c>
      <c r="G809" s="1" t="str">
        <f t="shared" si="147"/>
        <v/>
      </c>
      <c r="H809" s="1" t="str">
        <f t="shared" si="148"/>
        <v/>
      </c>
      <c r="K809" s="1" t="str">
        <f t="shared" si="149"/>
        <v/>
      </c>
      <c r="L809" s="1" t="str">
        <f t="shared" si="150"/>
        <v/>
      </c>
      <c r="M809" s="1" t="str">
        <f t="shared" si="151"/>
        <v/>
      </c>
      <c r="N809" s="1" t="str">
        <f t="shared" si="152"/>
        <v/>
      </c>
      <c r="O809" s="1" t="str">
        <f t="shared" si="153"/>
        <v/>
      </c>
      <c r="P809" s="1" t="str">
        <f t="shared" si="154"/>
        <v/>
      </c>
      <c r="R809" s="1" t="str">
        <f t="shared" si="155"/>
        <v/>
      </c>
    </row>
    <row r="810" spans="1:18" x14ac:dyDescent="0.2">
      <c r="A810" t="str">
        <f>IF(COUNTBLANK(B810:R810)&lt;&gt;COLUMNS(B810:R810),809,"")</f>
        <v/>
      </c>
      <c r="D810" s="1" t="str">
        <f t="shared" si="144"/>
        <v/>
      </c>
      <c r="E810" s="2" t="str">
        <f t="shared" si="145"/>
        <v/>
      </c>
      <c r="F810" s="1" t="str">
        <f t="shared" si="146"/>
        <v/>
      </c>
      <c r="G810" s="1" t="str">
        <f t="shared" si="147"/>
        <v/>
      </c>
      <c r="H810" s="1" t="str">
        <f t="shared" si="148"/>
        <v/>
      </c>
      <c r="K810" s="1" t="str">
        <f t="shared" si="149"/>
        <v/>
      </c>
      <c r="L810" s="1" t="str">
        <f t="shared" si="150"/>
        <v/>
      </c>
      <c r="M810" s="1" t="str">
        <f t="shared" si="151"/>
        <v/>
      </c>
      <c r="N810" s="1" t="str">
        <f t="shared" si="152"/>
        <v/>
      </c>
      <c r="O810" s="1" t="str">
        <f t="shared" si="153"/>
        <v/>
      </c>
      <c r="P810" s="1" t="str">
        <f t="shared" si="154"/>
        <v/>
      </c>
      <c r="R810" s="1" t="str">
        <f t="shared" si="155"/>
        <v/>
      </c>
    </row>
    <row r="811" spans="1:18" x14ac:dyDescent="0.2">
      <c r="A811" t="str">
        <f>IF(COUNTBLANK(B811:R811)&lt;&gt;COLUMNS(B811:R811),810,"")</f>
        <v/>
      </c>
      <c r="D811" s="1" t="str">
        <f t="shared" si="144"/>
        <v/>
      </c>
      <c r="E811" s="2" t="str">
        <f t="shared" si="145"/>
        <v/>
      </c>
      <c r="F811" s="1" t="str">
        <f t="shared" si="146"/>
        <v/>
      </c>
      <c r="G811" s="1" t="str">
        <f t="shared" si="147"/>
        <v/>
      </c>
      <c r="H811" s="1" t="str">
        <f t="shared" si="148"/>
        <v/>
      </c>
      <c r="K811" s="1" t="str">
        <f t="shared" si="149"/>
        <v/>
      </c>
      <c r="L811" s="1" t="str">
        <f t="shared" si="150"/>
        <v/>
      </c>
      <c r="M811" s="1" t="str">
        <f t="shared" si="151"/>
        <v/>
      </c>
      <c r="N811" s="1" t="str">
        <f t="shared" si="152"/>
        <v/>
      </c>
      <c r="O811" s="1" t="str">
        <f t="shared" si="153"/>
        <v/>
      </c>
      <c r="P811" s="1" t="str">
        <f t="shared" si="154"/>
        <v/>
      </c>
      <c r="R811" s="1" t="str">
        <f t="shared" si="155"/>
        <v/>
      </c>
    </row>
    <row r="812" spans="1:18" x14ac:dyDescent="0.2">
      <c r="A812" t="str">
        <f>IF(COUNTBLANK(B812:R812)&lt;&gt;COLUMNS(B812:R812),811,"")</f>
        <v/>
      </c>
      <c r="D812" s="1" t="str">
        <f t="shared" si="144"/>
        <v/>
      </c>
      <c r="E812" s="2" t="str">
        <f t="shared" si="145"/>
        <v/>
      </c>
      <c r="F812" s="1" t="str">
        <f t="shared" si="146"/>
        <v/>
      </c>
      <c r="G812" s="1" t="str">
        <f t="shared" si="147"/>
        <v/>
      </c>
      <c r="H812" s="1" t="str">
        <f t="shared" si="148"/>
        <v/>
      </c>
      <c r="K812" s="1" t="str">
        <f t="shared" si="149"/>
        <v/>
      </c>
      <c r="L812" s="1" t="str">
        <f t="shared" si="150"/>
        <v/>
      </c>
      <c r="M812" s="1" t="str">
        <f t="shared" si="151"/>
        <v/>
      </c>
      <c r="N812" s="1" t="str">
        <f t="shared" si="152"/>
        <v/>
      </c>
      <c r="O812" s="1" t="str">
        <f t="shared" si="153"/>
        <v/>
      </c>
      <c r="P812" s="1" t="str">
        <f t="shared" si="154"/>
        <v/>
      </c>
      <c r="R812" s="1" t="str">
        <f t="shared" si="155"/>
        <v/>
      </c>
    </row>
    <row r="813" spans="1:18" x14ac:dyDescent="0.2">
      <c r="A813" t="str">
        <f>IF(COUNTBLANK(B813:R813)&lt;&gt;COLUMNS(B813:R813),812,"")</f>
        <v/>
      </c>
      <c r="D813" s="1" t="str">
        <f t="shared" si="144"/>
        <v/>
      </c>
      <c r="E813" s="2" t="str">
        <f t="shared" si="145"/>
        <v/>
      </c>
      <c r="F813" s="1" t="str">
        <f t="shared" si="146"/>
        <v/>
      </c>
      <c r="G813" s="1" t="str">
        <f t="shared" si="147"/>
        <v/>
      </c>
      <c r="H813" s="1" t="str">
        <f t="shared" si="148"/>
        <v/>
      </c>
      <c r="K813" s="1" t="str">
        <f t="shared" si="149"/>
        <v/>
      </c>
      <c r="L813" s="1" t="str">
        <f t="shared" si="150"/>
        <v/>
      </c>
      <c r="M813" s="1" t="str">
        <f t="shared" si="151"/>
        <v/>
      </c>
      <c r="N813" s="1" t="str">
        <f t="shared" si="152"/>
        <v/>
      </c>
      <c r="O813" s="1" t="str">
        <f t="shared" si="153"/>
        <v/>
      </c>
      <c r="P813" s="1" t="str">
        <f t="shared" si="154"/>
        <v/>
      </c>
      <c r="R813" s="1" t="str">
        <f t="shared" si="155"/>
        <v/>
      </c>
    </row>
    <row r="814" spans="1:18" x14ac:dyDescent="0.2">
      <c r="A814" t="str">
        <f>IF(COUNTBLANK(B814:R814)&lt;&gt;COLUMNS(B814:R814),813,"")</f>
        <v/>
      </c>
      <c r="D814" s="1" t="str">
        <f t="shared" si="144"/>
        <v/>
      </c>
      <c r="E814" s="2" t="str">
        <f t="shared" si="145"/>
        <v/>
      </c>
      <c r="F814" s="1" t="str">
        <f t="shared" si="146"/>
        <v/>
      </c>
      <c r="G814" s="1" t="str">
        <f t="shared" si="147"/>
        <v/>
      </c>
      <c r="H814" s="1" t="str">
        <f t="shared" si="148"/>
        <v/>
      </c>
      <c r="K814" s="1" t="str">
        <f t="shared" si="149"/>
        <v/>
      </c>
      <c r="L814" s="1" t="str">
        <f t="shared" si="150"/>
        <v/>
      </c>
      <c r="M814" s="1" t="str">
        <f t="shared" si="151"/>
        <v/>
      </c>
      <c r="N814" s="1" t="str">
        <f t="shared" si="152"/>
        <v/>
      </c>
      <c r="O814" s="1" t="str">
        <f t="shared" si="153"/>
        <v/>
      </c>
      <c r="P814" s="1" t="str">
        <f t="shared" si="154"/>
        <v/>
      </c>
      <c r="R814" s="1" t="str">
        <f t="shared" si="155"/>
        <v/>
      </c>
    </row>
    <row r="815" spans="1:18" x14ac:dyDescent="0.2">
      <c r="A815" t="str">
        <f>IF(COUNTBLANK(B815:R815)&lt;&gt;COLUMNS(B815:R815),814,"")</f>
        <v/>
      </c>
      <c r="D815" s="1" t="str">
        <f t="shared" si="144"/>
        <v/>
      </c>
      <c r="E815" s="2" t="str">
        <f t="shared" si="145"/>
        <v/>
      </c>
      <c r="F815" s="1" t="str">
        <f t="shared" si="146"/>
        <v/>
      </c>
      <c r="G815" s="1" t="str">
        <f t="shared" si="147"/>
        <v/>
      </c>
      <c r="H815" s="1" t="str">
        <f t="shared" si="148"/>
        <v/>
      </c>
      <c r="K815" s="1" t="str">
        <f t="shared" si="149"/>
        <v/>
      </c>
      <c r="L815" s="1" t="str">
        <f t="shared" si="150"/>
        <v/>
      </c>
      <c r="M815" s="1" t="str">
        <f t="shared" si="151"/>
        <v/>
      </c>
      <c r="N815" s="1" t="str">
        <f t="shared" si="152"/>
        <v/>
      </c>
      <c r="O815" s="1" t="str">
        <f t="shared" si="153"/>
        <v/>
      </c>
      <c r="P815" s="1" t="str">
        <f t="shared" si="154"/>
        <v/>
      </c>
      <c r="R815" s="1" t="str">
        <f t="shared" si="155"/>
        <v/>
      </c>
    </row>
    <row r="816" spans="1:18" x14ac:dyDescent="0.2">
      <c r="A816" t="str">
        <f>IF(COUNTBLANK(B816:R816)&lt;&gt;COLUMNS(B816:R816),815,"")</f>
        <v/>
      </c>
      <c r="D816" s="1" t="str">
        <f t="shared" si="144"/>
        <v/>
      </c>
      <c r="E816" s="2" t="str">
        <f t="shared" si="145"/>
        <v/>
      </c>
      <c r="F816" s="1" t="str">
        <f t="shared" si="146"/>
        <v/>
      </c>
      <c r="G816" s="1" t="str">
        <f t="shared" si="147"/>
        <v/>
      </c>
      <c r="H816" s="1" t="str">
        <f t="shared" si="148"/>
        <v/>
      </c>
      <c r="K816" s="1" t="str">
        <f t="shared" si="149"/>
        <v/>
      </c>
      <c r="L816" s="1" t="str">
        <f t="shared" si="150"/>
        <v/>
      </c>
      <c r="M816" s="1" t="str">
        <f t="shared" si="151"/>
        <v/>
      </c>
      <c r="N816" s="1" t="str">
        <f t="shared" si="152"/>
        <v/>
      </c>
      <c r="O816" s="1" t="str">
        <f t="shared" si="153"/>
        <v/>
      </c>
      <c r="P816" s="1" t="str">
        <f t="shared" si="154"/>
        <v/>
      </c>
      <c r="R816" s="1" t="str">
        <f t="shared" si="155"/>
        <v/>
      </c>
    </row>
    <row r="817" spans="1:18" x14ac:dyDescent="0.2">
      <c r="A817" t="str">
        <f>IF(COUNTBLANK(B817:R817)&lt;&gt;COLUMNS(B817:R817),816,"")</f>
        <v/>
      </c>
      <c r="D817" s="1" t="str">
        <f t="shared" si="144"/>
        <v/>
      </c>
      <c r="E817" s="2" t="str">
        <f t="shared" si="145"/>
        <v/>
      </c>
      <c r="F817" s="1" t="str">
        <f t="shared" si="146"/>
        <v/>
      </c>
      <c r="G817" s="1" t="str">
        <f t="shared" si="147"/>
        <v/>
      </c>
      <c r="H817" s="1" t="str">
        <f t="shared" si="148"/>
        <v/>
      </c>
      <c r="K817" s="1" t="str">
        <f t="shared" si="149"/>
        <v/>
      </c>
      <c r="L817" s="1" t="str">
        <f t="shared" si="150"/>
        <v/>
      </c>
      <c r="M817" s="1" t="str">
        <f t="shared" si="151"/>
        <v/>
      </c>
      <c r="N817" s="1" t="str">
        <f t="shared" si="152"/>
        <v/>
      </c>
      <c r="O817" s="1" t="str">
        <f t="shared" si="153"/>
        <v/>
      </c>
      <c r="P817" s="1" t="str">
        <f t="shared" si="154"/>
        <v/>
      </c>
      <c r="R817" s="1" t="str">
        <f t="shared" si="155"/>
        <v/>
      </c>
    </row>
    <row r="818" spans="1:18" x14ac:dyDescent="0.2">
      <c r="A818" t="str">
        <f>IF(COUNTBLANK(B818:R818)&lt;&gt;COLUMNS(B818:R818),817,"")</f>
        <v/>
      </c>
      <c r="D818" s="1" t="str">
        <f t="shared" si="144"/>
        <v/>
      </c>
      <c r="E818" s="2" t="str">
        <f t="shared" si="145"/>
        <v/>
      </c>
      <c r="F818" s="1" t="str">
        <f t="shared" si="146"/>
        <v/>
      </c>
      <c r="G818" s="1" t="str">
        <f t="shared" si="147"/>
        <v/>
      </c>
      <c r="H818" s="1" t="str">
        <f t="shared" si="148"/>
        <v/>
      </c>
      <c r="K818" s="1" t="str">
        <f t="shared" si="149"/>
        <v/>
      </c>
      <c r="L818" s="1" t="str">
        <f t="shared" si="150"/>
        <v/>
      </c>
      <c r="M818" s="1" t="str">
        <f t="shared" si="151"/>
        <v/>
      </c>
      <c r="N818" s="1" t="str">
        <f t="shared" si="152"/>
        <v/>
      </c>
      <c r="O818" s="1" t="str">
        <f t="shared" si="153"/>
        <v/>
      </c>
      <c r="P818" s="1" t="str">
        <f t="shared" si="154"/>
        <v/>
      </c>
      <c r="R818" s="1" t="str">
        <f t="shared" si="155"/>
        <v/>
      </c>
    </row>
    <row r="819" spans="1:18" x14ac:dyDescent="0.2">
      <c r="A819" t="str">
        <f>IF(COUNTBLANK(B819:R819)&lt;&gt;COLUMNS(B819:R819),818,"")</f>
        <v/>
      </c>
      <c r="D819" s="1" t="str">
        <f t="shared" si="144"/>
        <v/>
      </c>
      <c r="E819" s="2" t="str">
        <f t="shared" si="145"/>
        <v/>
      </c>
      <c r="F819" s="1" t="str">
        <f t="shared" si="146"/>
        <v/>
      </c>
      <c r="G819" s="1" t="str">
        <f t="shared" si="147"/>
        <v/>
      </c>
      <c r="H819" s="1" t="str">
        <f t="shared" si="148"/>
        <v/>
      </c>
      <c r="K819" s="1" t="str">
        <f t="shared" si="149"/>
        <v/>
      </c>
      <c r="L819" s="1" t="str">
        <f t="shared" si="150"/>
        <v/>
      </c>
      <c r="M819" s="1" t="str">
        <f t="shared" si="151"/>
        <v/>
      </c>
      <c r="N819" s="1" t="str">
        <f t="shared" si="152"/>
        <v/>
      </c>
      <c r="O819" s="1" t="str">
        <f t="shared" si="153"/>
        <v/>
      </c>
      <c r="P819" s="1" t="str">
        <f t="shared" si="154"/>
        <v/>
      </c>
      <c r="R819" s="1" t="str">
        <f t="shared" si="155"/>
        <v/>
      </c>
    </row>
    <row r="820" spans="1:18" x14ac:dyDescent="0.2">
      <c r="A820" t="str">
        <f>IF(COUNTBLANK(B820:R820)&lt;&gt;COLUMNS(B820:R820),819,"")</f>
        <v/>
      </c>
      <c r="D820" s="1" t="str">
        <f t="shared" si="144"/>
        <v/>
      </c>
      <c r="E820" s="2" t="str">
        <f t="shared" si="145"/>
        <v/>
      </c>
      <c r="F820" s="1" t="str">
        <f t="shared" si="146"/>
        <v/>
      </c>
      <c r="G820" s="1" t="str">
        <f t="shared" si="147"/>
        <v/>
      </c>
      <c r="H820" s="1" t="str">
        <f t="shared" si="148"/>
        <v/>
      </c>
      <c r="K820" s="1" t="str">
        <f t="shared" si="149"/>
        <v/>
      </c>
      <c r="L820" s="1" t="str">
        <f t="shared" si="150"/>
        <v/>
      </c>
      <c r="M820" s="1" t="str">
        <f t="shared" si="151"/>
        <v/>
      </c>
      <c r="N820" s="1" t="str">
        <f t="shared" si="152"/>
        <v/>
      </c>
      <c r="O820" s="1" t="str">
        <f t="shared" si="153"/>
        <v/>
      </c>
      <c r="P820" s="1" t="str">
        <f t="shared" si="154"/>
        <v/>
      </c>
      <c r="R820" s="1" t="str">
        <f t="shared" si="155"/>
        <v/>
      </c>
    </row>
    <row r="821" spans="1:18" x14ac:dyDescent="0.2">
      <c r="A821" t="str">
        <f>IF(COUNTBLANK(B821:R821)&lt;&gt;COLUMNS(B821:R821),820,"")</f>
        <v/>
      </c>
      <c r="D821" s="1" t="str">
        <f t="shared" si="144"/>
        <v/>
      </c>
      <c r="E821" s="2" t="str">
        <f t="shared" si="145"/>
        <v/>
      </c>
      <c r="F821" s="1" t="str">
        <f t="shared" si="146"/>
        <v/>
      </c>
      <c r="G821" s="1" t="str">
        <f t="shared" si="147"/>
        <v/>
      </c>
      <c r="H821" s="1" t="str">
        <f t="shared" si="148"/>
        <v/>
      </c>
      <c r="K821" s="1" t="str">
        <f t="shared" si="149"/>
        <v/>
      </c>
      <c r="L821" s="1" t="str">
        <f t="shared" si="150"/>
        <v/>
      </c>
      <c r="M821" s="1" t="str">
        <f t="shared" si="151"/>
        <v/>
      </c>
      <c r="N821" s="1" t="str">
        <f t="shared" si="152"/>
        <v/>
      </c>
      <c r="O821" s="1" t="str">
        <f t="shared" si="153"/>
        <v/>
      </c>
      <c r="P821" s="1" t="str">
        <f t="shared" si="154"/>
        <v/>
      </c>
      <c r="R821" s="1" t="str">
        <f t="shared" si="155"/>
        <v/>
      </c>
    </row>
    <row r="822" spans="1:18" x14ac:dyDescent="0.2">
      <c r="A822" t="str">
        <f>IF(COUNTBLANK(B822:R822)&lt;&gt;COLUMNS(B822:R822),821,"")</f>
        <v/>
      </c>
      <c r="D822" s="1" t="str">
        <f t="shared" si="144"/>
        <v/>
      </c>
      <c r="E822" s="2" t="str">
        <f t="shared" si="145"/>
        <v/>
      </c>
      <c r="F822" s="1" t="str">
        <f t="shared" si="146"/>
        <v/>
      </c>
      <c r="G822" s="1" t="str">
        <f t="shared" si="147"/>
        <v/>
      </c>
      <c r="H822" s="1" t="str">
        <f t="shared" si="148"/>
        <v/>
      </c>
      <c r="K822" s="1" t="str">
        <f t="shared" si="149"/>
        <v/>
      </c>
      <c r="L822" s="1" t="str">
        <f t="shared" si="150"/>
        <v/>
      </c>
      <c r="M822" s="1" t="str">
        <f t="shared" si="151"/>
        <v/>
      </c>
      <c r="N822" s="1" t="str">
        <f t="shared" si="152"/>
        <v/>
      </c>
      <c r="O822" s="1" t="str">
        <f t="shared" si="153"/>
        <v/>
      </c>
      <c r="P822" s="1" t="str">
        <f t="shared" si="154"/>
        <v/>
      </c>
      <c r="R822" s="1" t="str">
        <f t="shared" si="155"/>
        <v/>
      </c>
    </row>
    <row r="823" spans="1:18" x14ac:dyDescent="0.2">
      <c r="A823" t="str">
        <f>IF(COUNTBLANK(B823:R823)&lt;&gt;COLUMNS(B823:R823),822,"")</f>
        <v/>
      </c>
      <c r="D823" s="1" t="str">
        <f t="shared" si="144"/>
        <v/>
      </c>
      <c r="E823" s="2" t="str">
        <f t="shared" si="145"/>
        <v/>
      </c>
      <c r="F823" s="1" t="str">
        <f t="shared" si="146"/>
        <v/>
      </c>
      <c r="G823" s="1" t="str">
        <f t="shared" si="147"/>
        <v/>
      </c>
      <c r="H823" s="1" t="str">
        <f t="shared" si="148"/>
        <v/>
      </c>
      <c r="K823" s="1" t="str">
        <f t="shared" si="149"/>
        <v/>
      </c>
      <c r="L823" s="1" t="str">
        <f t="shared" si="150"/>
        <v/>
      </c>
      <c r="M823" s="1" t="str">
        <f t="shared" si="151"/>
        <v/>
      </c>
      <c r="N823" s="1" t="str">
        <f t="shared" si="152"/>
        <v/>
      </c>
      <c r="O823" s="1" t="str">
        <f t="shared" si="153"/>
        <v/>
      </c>
      <c r="P823" s="1" t="str">
        <f t="shared" si="154"/>
        <v/>
      </c>
      <c r="R823" s="1" t="str">
        <f t="shared" si="155"/>
        <v/>
      </c>
    </row>
    <row r="824" spans="1:18" x14ac:dyDescent="0.2">
      <c r="A824" t="str">
        <f>IF(COUNTBLANK(B824:R824)&lt;&gt;COLUMNS(B824:R824),823,"")</f>
        <v/>
      </c>
      <c r="D824" s="1" t="str">
        <f t="shared" si="144"/>
        <v/>
      </c>
      <c r="E824" s="2" t="str">
        <f t="shared" si="145"/>
        <v/>
      </c>
      <c r="F824" s="1" t="str">
        <f t="shared" si="146"/>
        <v/>
      </c>
      <c r="G824" s="1" t="str">
        <f t="shared" si="147"/>
        <v/>
      </c>
      <c r="H824" s="1" t="str">
        <f t="shared" si="148"/>
        <v/>
      </c>
      <c r="K824" s="1" t="str">
        <f t="shared" si="149"/>
        <v/>
      </c>
      <c r="L824" s="1" t="str">
        <f t="shared" si="150"/>
        <v/>
      </c>
      <c r="M824" s="1" t="str">
        <f t="shared" si="151"/>
        <v/>
      </c>
      <c r="N824" s="1" t="str">
        <f t="shared" si="152"/>
        <v/>
      </c>
      <c r="O824" s="1" t="str">
        <f t="shared" si="153"/>
        <v/>
      </c>
      <c r="P824" s="1" t="str">
        <f t="shared" si="154"/>
        <v/>
      </c>
      <c r="R824" s="1" t="str">
        <f t="shared" si="155"/>
        <v/>
      </c>
    </row>
    <row r="825" spans="1:18" x14ac:dyDescent="0.2">
      <c r="A825" t="str">
        <f>IF(COUNTBLANK(B825:R825)&lt;&gt;COLUMNS(B825:R825),824,"")</f>
        <v/>
      </c>
      <c r="D825" s="1" t="str">
        <f t="shared" si="144"/>
        <v/>
      </c>
      <c r="E825" s="2" t="str">
        <f t="shared" si="145"/>
        <v/>
      </c>
      <c r="F825" s="1" t="str">
        <f t="shared" si="146"/>
        <v/>
      </c>
      <c r="G825" s="1" t="str">
        <f t="shared" si="147"/>
        <v/>
      </c>
      <c r="H825" s="1" t="str">
        <f t="shared" si="148"/>
        <v/>
      </c>
      <c r="K825" s="1" t="str">
        <f t="shared" si="149"/>
        <v/>
      </c>
      <c r="L825" s="1" t="str">
        <f t="shared" si="150"/>
        <v/>
      </c>
      <c r="M825" s="1" t="str">
        <f t="shared" si="151"/>
        <v/>
      </c>
      <c r="N825" s="1" t="str">
        <f t="shared" si="152"/>
        <v/>
      </c>
      <c r="O825" s="1" t="str">
        <f t="shared" si="153"/>
        <v/>
      </c>
      <c r="P825" s="1" t="str">
        <f t="shared" si="154"/>
        <v/>
      </c>
      <c r="R825" s="1" t="str">
        <f t="shared" si="155"/>
        <v/>
      </c>
    </row>
    <row r="826" spans="1:18" x14ac:dyDescent="0.2">
      <c r="A826" t="str">
        <f>IF(COUNTBLANK(B826:R826)&lt;&gt;COLUMNS(B826:R826),825,"")</f>
        <v/>
      </c>
      <c r="D826" s="1" t="str">
        <f t="shared" si="144"/>
        <v/>
      </c>
      <c r="E826" s="2" t="str">
        <f t="shared" si="145"/>
        <v/>
      </c>
      <c r="F826" s="1" t="str">
        <f t="shared" si="146"/>
        <v/>
      </c>
      <c r="G826" s="1" t="str">
        <f t="shared" si="147"/>
        <v/>
      </c>
      <c r="H826" s="1" t="str">
        <f t="shared" si="148"/>
        <v/>
      </c>
      <c r="K826" s="1" t="str">
        <f t="shared" si="149"/>
        <v/>
      </c>
      <c r="L826" s="1" t="str">
        <f t="shared" si="150"/>
        <v/>
      </c>
      <c r="M826" s="1" t="str">
        <f t="shared" si="151"/>
        <v/>
      </c>
      <c r="N826" s="1" t="str">
        <f t="shared" si="152"/>
        <v/>
      </c>
      <c r="O826" s="1" t="str">
        <f t="shared" si="153"/>
        <v/>
      </c>
      <c r="P826" s="1" t="str">
        <f t="shared" si="154"/>
        <v/>
      </c>
      <c r="R826" s="1" t="str">
        <f t="shared" si="155"/>
        <v/>
      </c>
    </row>
    <row r="827" spans="1:18" x14ac:dyDescent="0.2">
      <c r="A827" t="str">
        <f>IF(COUNTBLANK(B827:R827)&lt;&gt;COLUMNS(B827:R827),826,"")</f>
        <v/>
      </c>
      <c r="D827" s="1" t="str">
        <f t="shared" si="144"/>
        <v/>
      </c>
      <c r="E827" s="2" t="str">
        <f t="shared" si="145"/>
        <v/>
      </c>
      <c r="F827" s="1" t="str">
        <f t="shared" si="146"/>
        <v/>
      </c>
      <c r="G827" s="1" t="str">
        <f t="shared" si="147"/>
        <v/>
      </c>
      <c r="H827" s="1" t="str">
        <f t="shared" si="148"/>
        <v/>
      </c>
      <c r="K827" s="1" t="str">
        <f t="shared" si="149"/>
        <v/>
      </c>
      <c r="L827" s="1" t="str">
        <f t="shared" si="150"/>
        <v/>
      </c>
      <c r="M827" s="1" t="str">
        <f t="shared" si="151"/>
        <v/>
      </c>
      <c r="N827" s="1" t="str">
        <f t="shared" si="152"/>
        <v/>
      </c>
      <c r="O827" s="1" t="str">
        <f t="shared" si="153"/>
        <v/>
      </c>
      <c r="P827" s="1" t="str">
        <f t="shared" si="154"/>
        <v/>
      </c>
      <c r="R827" s="1" t="str">
        <f t="shared" si="155"/>
        <v/>
      </c>
    </row>
    <row r="828" spans="1:18" x14ac:dyDescent="0.2">
      <c r="A828" t="str">
        <f>IF(COUNTBLANK(B828:R828)&lt;&gt;COLUMNS(B828:R828),827,"")</f>
        <v/>
      </c>
      <c r="D828" s="1" t="str">
        <f t="shared" si="144"/>
        <v/>
      </c>
      <c r="E828" s="2" t="str">
        <f t="shared" si="145"/>
        <v/>
      </c>
      <c r="F828" s="1" t="str">
        <f t="shared" si="146"/>
        <v/>
      </c>
      <c r="G828" s="1" t="str">
        <f t="shared" si="147"/>
        <v/>
      </c>
      <c r="H828" s="1" t="str">
        <f t="shared" si="148"/>
        <v/>
      </c>
      <c r="K828" s="1" t="str">
        <f t="shared" si="149"/>
        <v/>
      </c>
      <c r="L828" s="1" t="str">
        <f t="shared" si="150"/>
        <v/>
      </c>
      <c r="M828" s="1" t="str">
        <f t="shared" si="151"/>
        <v/>
      </c>
      <c r="N828" s="1" t="str">
        <f t="shared" si="152"/>
        <v/>
      </c>
      <c r="O828" s="1" t="str">
        <f t="shared" si="153"/>
        <v/>
      </c>
      <c r="P828" s="1" t="str">
        <f t="shared" si="154"/>
        <v/>
      </c>
      <c r="R828" s="1" t="str">
        <f t="shared" si="155"/>
        <v/>
      </c>
    </row>
    <row r="829" spans="1:18" x14ac:dyDescent="0.2">
      <c r="A829" t="str">
        <f>IF(COUNTBLANK(B829:R829)&lt;&gt;COLUMNS(B829:R829),828,"")</f>
        <v/>
      </c>
      <c r="D829" s="1" t="str">
        <f t="shared" si="144"/>
        <v/>
      </c>
      <c r="E829" s="2" t="str">
        <f t="shared" si="145"/>
        <v/>
      </c>
      <c r="F829" s="1" t="str">
        <f t="shared" si="146"/>
        <v/>
      </c>
      <c r="G829" s="1" t="str">
        <f t="shared" si="147"/>
        <v/>
      </c>
      <c r="H829" s="1" t="str">
        <f t="shared" si="148"/>
        <v/>
      </c>
      <c r="K829" s="1" t="str">
        <f t="shared" si="149"/>
        <v/>
      </c>
      <c r="L829" s="1" t="str">
        <f t="shared" si="150"/>
        <v/>
      </c>
      <c r="M829" s="1" t="str">
        <f t="shared" si="151"/>
        <v/>
      </c>
      <c r="N829" s="1" t="str">
        <f t="shared" si="152"/>
        <v/>
      </c>
      <c r="O829" s="1" t="str">
        <f t="shared" si="153"/>
        <v/>
      </c>
      <c r="P829" s="1" t="str">
        <f t="shared" si="154"/>
        <v/>
      </c>
      <c r="R829" s="1" t="str">
        <f t="shared" si="155"/>
        <v/>
      </c>
    </row>
    <row r="830" spans="1:18" x14ac:dyDescent="0.2">
      <c r="A830" t="str">
        <f>IF(COUNTBLANK(B830:R830)&lt;&gt;COLUMNS(B830:R830),829,"")</f>
        <v/>
      </c>
      <c r="D830" s="1" t="str">
        <f t="shared" si="144"/>
        <v/>
      </c>
      <c r="E830" s="2" t="str">
        <f t="shared" si="145"/>
        <v/>
      </c>
      <c r="F830" s="1" t="str">
        <f t="shared" si="146"/>
        <v/>
      </c>
      <c r="G830" s="1" t="str">
        <f t="shared" si="147"/>
        <v/>
      </c>
      <c r="H830" s="1" t="str">
        <f t="shared" si="148"/>
        <v/>
      </c>
      <c r="K830" s="1" t="str">
        <f t="shared" si="149"/>
        <v/>
      </c>
      <c r="L830" s="1" t="str">
        <f t="shared" si="150"/>
        <v/>
      </c>
      <c r="M830" s="1" t="str">
        <f t="shared" si="151"/>
        <v/>
      </c>
      <c r="N830" s="1" t="str">
        <f t="shared" si="152"/>
        <v/>
      </c>
      <c r="O830" s="1" t="str">
        <f t="shared" si="153"/>
        <v/>
      </c>
      <c r="P830" s="1" t="str">
        <f t="shared" si="154"/>
        <v/>
      </c>
      <c r="R830" s="1" t="str">
        <f t="shared" si="155"/>
        <v/>
      </c>
    </row>
    <row r="831" spans="1:18" x14ac:dyDescent="0.2">
      <c r="A831" t="str">
        <f>IF(COUNTBLANK(B831:R831)&lt;&gt;COLUMNS(B831:R831),830,"")</f>
        <v/>
      </c>
      <c r="D831" s="1" t="str">
        <f t="shared" si="144"/>
        <v/>
      </c>
      <c r="E831" s="2" t="str">
        <f t="shared" si="145"/>
        <v/>
      </c>
      <c r="F831" s="1" t="str">
        <f t="shared" si="146"/>
        <v/>
      </c>
      <c r="G831" s="1" t="str">
        <f t="shared" si="147"/>
        <v/>
      </c>
      <c r="H831" s="1" t="str">
        <f t="shared" si="148"/>
        <v/>
      </c>
      <c r="K831" s="1" t="str">
        <f t="shared" si="149"/>
        <v/>
      </c>
      <c r="L831" s="1" t="str">
        <f t="shared" si="150"/>
        <v/>
      </c>
      <c r="M831" s="1" t="str">
        <f t="shared" si="151"/>
        <v/>
      </c>
      <c r="N831" s="1" t="str">
        <f t="shared" si="152"/>
        <v/>
      </c>
      <c r="O831" s="1" t="str">
        <f t="shared" si="153"/>
        <v/>
      </c>
      <c r="P831" s="1" t="str">
        <f t="shared" si="154"/>
        <v/>
      </c>
      <c r="R831" s="1" t="str">
        <f t="shared" si="155"/>
        <v/>
      </c>
    </row>
    <row r="832" spans="1:18" x14ac:dyDescent="0.2">
      <c r="A832" t="str">
        <f>IF(COUNTBLANK(B832:R832)&lt;&gt;COLUMNS(B832:R832),831,"")</f>
        <v/>
      </c>
      <c r="D832" s="1" t="str">
        <f t="shared" si="144"/>
        <v/>
      </c>
      <c r="E832" s="2" t="str">
        <f t="shared" si="145"/>
        <v/>
      </c>
      <c r="F832" s="1" t="str">
        <f t="shared" si="146"/>
        <v/>
      </c>
      <c r="G832" s="1" t="str">
        <f t="shared" si="147"/>
        <v/>
      </c>
      <c r="H832" s="1" t="str">
        <f t="shared" si="148"/>
        <v/>
      </c>
      <c r="K832" s="1" t="str">
        <f t="shared" si="149"/>
        <v/>
      </c>
      <c r="L832" s="1" t="str">
        <f t="shared" si="150"/>
        <v/>
      </c>
      <c r="M832" s="1" t="str">
        <f t="shared" si="151"/>
        <v/>
      </c>
      <c r="N832" s="1" t="str">
        <f t="shared" si="152"/>
        <v/>
      </c>
      <c r="O832" s="1" t="str">
        <f t="shared" si="153"/>
        <v/>
      </c>
      <c r="P832" s="1" t="str">
        <f t="shared" si="154"/>
        <v/>
      </c>
      <c r="R832" s="1" t="str">
        <f t="shared" si="155"/>
        <v/>
      </c>
    </row>
    <row r="833" spans="1:18" x14ac:dyDescent="0.2">
      <c r="A833" t="str">
        <f>IF(COUNTBLANK(B833:R833)&lt;&gt;COLUMNS(B833:R833),832,"")</f>
        <v/>
      </c>
      <c r="D833" s="1" t="str">
        <f t="shared" si="144"/>
        <v/>
      </c>
      <c r="E833" s="2" t="str">
        <f t="shared" si="145"/>
        <v/>
      </c>
      <c r="F833" s="1" t="str">
        <f t="shared" si="146"/>
        <v/>
      </c>
      <c r="G833" s="1" t="str">
        <f t="shared" si="147"/>
        <v/>
      </c>
      <c r="H833" s="1" t="str">
        <f t="shared" si="148"/>
        <v/>
      </c>
      <c r="K833" s="1" t="str">
        <f t="shared" si="149"/>
        <v/>
      </c>
      <c r="L833" s="1" t="str">
        <f t="shared" si="150"/>
        <v/>
      </c>
      <c r="M833" s="1" t="str">
        <f t="shared" si="151"/>
        <v/>
      </c>
      <c r="N833" s="1" t="str">
        <f t="shared" si="152"/>
        <v/>
      </c>
      <c r="O833" s="1" t="str">
        <f t="shared" si="153"/>
        <v/>
      </c>
      <c r="P833" s="1" t="str">
        <f t="shared" si="154"/>
        <v/>
      </c>
      <c r="R833" s="1" t="str">
        <f t="shared" si="155"/>
        <v/>
      </c>
    </row>
    <row r="834" spans="1:18" x14ac:dyDescent="0.2">
      <c r="A834" t="str">
        <f>IF(COUNTBLANK(B834:R834)&lt;&gt;COLUMNS(B834:R834),833,"")</f>
        <v/>
      </c>
      <c r="D834" s="1" t="str">
        <f t="shared" ref="D834:D897" si="156">IF(B834="", "", "years")</f>
        <v/>
      </c>
      <c r="E834" s="2" t="str">
        <f t="shared" ref="E834:E897" si="157">IF(B834="", "", "missing: not provided")</f>
        <v/>
      </c>
      <c r="F834" s="1" t="str">
        <f t="shared" ref="F834:F897" si="158">IF(B834="", "", "Not applicable")</f>
        <v/>
      </c>
      <c r="G834" s="1" t="str">
        <f t="shared" ref="G834:G897" si="159">IF(B834="", "", "urban biome")</f>
        <v/>
      </c>
      <c r="H834" s="1" t="str">
        <f t="shared" ref="H834:H897" si="160">IF(B834="", "", "human-associated habitat")</f>
        <v/>
      </c>
      <c r="K834" s="1" t="str">
        <f t="shared" ref="K834:K897" si="161">IF(B834="", "", "cm")</f>
        <v/>
      </c>
      <c r="L834" s="1" t="str">
        <f t="shared" ref="L834:L897" si="162">IF(B834="", "", "human")</f>
        <v/>
      </c>
      <c r="M834" s="1" t="str">
        <f t="shared" ref="M834:M897" si="163">IF(B834="", "", "Homo sapiens")</f>
        <v/>
      </c>
      <c r="N834" s="1" t="str">
        <f t="shared" ref="N834:N897" si="164">IF(B834="", "", "9606")</f>
        <v/>
      </c>
      <c r="O834" s="1" t="str">
        <f t="shared" ref="O834:O897" si="165">IF(B834="", "", "missing: not provided")</f>
        <v/>
      </c>
      <c r="P834" s="1" t="str">
        <f t="shared" ref="P834:P897" si="166">IF(B834="", "", "missing: not provided")</f>
        <v/>
      </c>
      <c r="R834" s="1" t="str">
        <f t="shared" ref="R834:R897" si="167">IF(B834="", "", "kg")</f>
        <v/>
      </c>
    </row>
    <row r="835" spans="1:18" x14ac:dyDescent="0.2">
      <c r="A835" t="str">
        <f>IF(COUNTBLANK(B835:R835)&lt;&gt;COLUMNS(B835:R835),834,"")</f>
        <v/>
      </c>
      <c r="D835" s="1" t="str">
        <f t="shared" si="156"/>
        <v/>
      </c>
      <c r="E835" s="2" t="str">
        <f t="shared" si="157"/>
        <v/>
      </c>
      <c r="F835" s="1" t="str">
        <f t="shared" si="158"/>
        <v/>
      </c>
      <c r="G835" s="1" t="str">
        <f t="shared" si="159"/>
        <v/>
      </c>
      <c r="H835" s="1" t="str">
        <f t="shared" si="160"/>
        <v/>
      </c>
      <c r="K835" s="1" t="str">
        <f t="shared" si="161"/>
        <v/>
      </c>
      <c r="L835" s="1" t="str">
        <f t="shared" si="162"/>
        <v/>
      </c>
      <c r="M835" s="1" t="str">
        <f t="shared" si="163"/>
        <v/>
      </c>
      <c r="N835" s="1" t="str">
        <f t="shared" si="164"/>
        <v/>
      </c>
      <c r="O835" s="1" t="str">
        <f t="shared" si="165"/>
        <v/>
      </c>
      <c r="P835" s="1" t="str">
        <f t="shared" si="166"/>
        <v/>
      </c>
      <c r="R835" s="1" t="str">
        <f t="shared" si="167"/>
        <v/>
      </c>
    </row>
    <row r="836" spans="1:18" x14ac:dyDescent="0.2">
      <c r="A836" t="str">
        <f>IF(COUNTBLANK(B836:R836)&lt;&gt;COLUMNS(B836:R836),835,"")</f>
        <v/>
      </c>
      <c r="D836" s="1" t="str">
        <f t="shared" si="156"/>
        <v/>
      </c>
      <c r="E836" s="2" t="str">
        <f t="shared" si="157"/>
        <v/>
      </c>
      <c r="F836" s="1" t="str">
        <f t="shared" si="158"/>
        <v/>
      </c>
      <c r="G836" s="1" t="str">
        <f t="shared" si="159"/>
        <v/>
      </c>
      <c r="H836" s="1" t="str">
        <f t="shared" si="160"/>
        <v/>
      </c>
      <c r="K836" s="1" t="str">
        <f t="shared" si="161"/>
        <v/>
      </c>
      <c r="L836" s="1" t="str">
        <f t="shared" si="162"/>
        <v/>
      </c>
      <c r="M836" s="1" t="str">
        <f t="shared" si="163"/>
        <v/>
      </c>
      <c r="N836" s="1" t="str">
        <f t="shared" si="164"/>
        <v/>
      </c>
      <c r="O836" s="1" t="str">
        <f t="shared" si="165"/>
        <v/>
      </c>
      <c r="P836" s="1" t="str">
        <f t="shared" si="166"/>
        <v/>
      </c>
      <c r="R836" s="1" t="str">
        <f t="shared" si="167"/>
        <v/>
      </c>
    </row>
    <row r="837" spans="1:18" x14ac:dyDescent="0.2">
      <c r="A837" t="str">
        <f>IF(COUNTBLANK(B837:R837)&lt;&gt;COLUMNS(B837:R837),836,"")</f>
        <v/>
      </c>
      <c r="D837" s="1" t="str">
        <f t="shared" si="156"/>
        <v/>
      </c>
      <c r="E837" s="2" t="str">
        <f t="shared" si="157"/>
        <v/>
      </c>
      <c r="F837" s="1" t="str">
        <f t="shared" si="158"/>
        <v/>
      </c>
      <c r="G837" s="1" t="str">
        <f t="shared" si="159"/>
        <v/>
      </c>
      <c r="H837" s="1" t="str">
        <f t="shared" si="160"/>
        <v/>
      </c>
      <c r="K837" s="1" t="str">
        <f t="shared" si="161"/>
        <v/>
      </c>
      <c r="L837" s="1" t="str">
        <f t="shared" si="162"/>
        <v/>
      </c>
      <c r="M837" s="1" t="str">
        <f t="shared" si="163"/>
        <v/>
      </c>
      <c r="N837" s="1" t="str">
        <f t="shared" si="164"/>
        <v/>
      </c>
      <c r="O837" s="1" t="str">
        <f t="shared" si="165"/>
        <v/>
      </c>
      <c r="P837" s="1" t="str">
        <f t="shared" si="166"/>
        <v/>
      </c>
      <c r="R837" s="1" t="str">
        <f t="shared" si="167"/>
        <v/>
      </c>
    </row>
    <row r="838" spans="1:18" x14ac:dyDescent="0.2">
      <c r="A838" t="str">
        <f>IF(COUNTBLANK(B838:R838)&lt;&gt;COLUMNS(B838:R838),837,"")</f>
        <v/>
      </c>
      <c r="D838" s="1" t="str">
        <f t="shared" si="156"/>
        <v/>
      </c>
      <c r="E838" s="2" t="str">
        <f t="shared" si="157"/>
        <v/>
      </c>
      <c r="F838" s="1" t="str">
        <f t="shared" si="158"/>
        <v/>
      </c>
      <c r="G838" s="1" t="str">
        <f t="shared" si="159"/>
        <v/>
      </c>
      <c r="H838" s="1" t="str">
        <f t="shared" si="160"/>
        <v/>
      </c>
      <c r="K838" s="1" t="str">
        <f t="shared" si="161"/>
        <v/>
      </c>
      <c r="L838" s="1" t="str">
        <f t="shared" si="162"/>
        <v/>
      </c>
      <c r="M838" s="1" t="str">
        <f t="shared" si="163"/>
        <v/>
      </c>
      <c r="N838" s="1" t="str">
        <f t="shared" si="164"/>
        <v/>
      </c>
      <c r="O838" s="1" t="str">
        <f t="shared" si="165"/>
        <v/>
      </c>
      <c r="P838" s="1" t="str">
        <f t="shared" si="166"/>
        <v/>
      </c>
      <c r="R838" s="1" t="str">
        <f t="shared" si="167"/>
        <v/>
      </c>
    </row>
    <row r="839" spans="1:18" x14ac:dyDescent="0.2">
      <c r="A839" t="str">
        <f>IF(COUNTBLANK(B839:R839)&lt;&gt;COLUMNS(B839:R839),838,"")</f>
        <v/>
      </c>
      <c r="D839" s="1" t="str">
        <f t="shared" si="156"/>
        <v/>
      </c>
      <c r="E839" s="2" t="str">
        <f t="shared" si="157"/>
        <v/>
      </c>
      <c r="F839" s="1" t="str">
        <f t="shared" si="158"/>
        <v/>
      </c>
      <c r="G839" s="1" t="str">
        <f t="shared" si="159"/>
        <v/>
      </c>
      <c r="H839" s="1" t="str">
        <f t="shared" si="160"/>
        <v/>
      </c>
      <c r="K839" s="1" t="str">
        <f t="shared" si="161"/>
        <v/>
      </c>
      <c r="L839" s="1" t="str">
        <f t="shared" si="162"/>
        <v/>
      </c>
      <c r="M839" s="1" t="str">
        <f t="shared" si="163"/>
        <v/>
      </c>
      <c r="N839" s="1" t="str">
        <f t="shared" si="164"/>
        <v/>
      </c>
      <c r="O839" s="1" t="str">
        <f t="shared" si="165"/>
        <v/>
      </c>
      <c r="P839" s="1" t="str">
        <f t="shared" si="166"/>
        <v/>
      </c>
      <c r="R839" s="1" t="str">
        <f t="shared" si="167"/>
        <v/>
      </c>
    </row>
    <row r="840" spans="1:18" x14ac:dyDescent="0.2">
      <c r="A840" t="str">
        <f>IF(COUNTBLANK(B840:R840)&lt;&gt;COLUMNS(B840:R840),839,"")</f>
        <v/>
      </c>
      <c r="D840" s="1" t="str">
        <f t="shared" si="156"/>
        <v/>
      </c>
      <c r="E840" s="2" t="str">
        <f t="shared" si="157"/>
        <v/>
      </c>
      <c r="F840" s="1" t="str">
        <f t="shared" si="158"/>
        <v/>
      </c>
      <c r="G840" s="1" t="str">
        <f t="shared" si="159"/>
        <v/>
      </c>
      <c r="H840" s="1" t="str">
        <f t="shared" si="160"/>
        <v/>
      </c>
      <c r="K840" s="1" t="str">
        <f t="shared" si="161"/>
        <v/>
      </c>
      <c r="L840" s="1" t="str">
        <f t="shared" si="162"/>
        <v/>
      </c>
      <c r="M840" s="1" t="str">
        <f t="shared" si="163"/>
        <v/>
      </c>
      <c r="N840" s="1" t="str">
        <f t="shared" si="164"/>
        <v/>
      </c>
      <c r="O840" s="1" t="str">
        <f t="shared" si="165"/>
        <v/>
      </c>
      <c r="P840" s="1" t="str">
        <f t="shared" si="166"/>
        <v/>
      </c>
      <c r="R840" s="1" t="str">
        <f t="shared" si="167"/>
        <v/>
      </c>
    </row>
    <row r="841" spans="1:18" x14ac:dyDescent="0.2">
      <c r="A841" t="str">
        <f>IF(COUNTBLANK(B841:R841)&lt;&gt;COLUMNS(B841:R841),840,"")</f>
        <v/>
      </c>
      <c r="D841" s="1" t="str">
        <f t="shared" si="156"/>
        <v/>
      </c>
      <c r="E841" s="2" t="str">
        <f t="shared" si="157"/>
        <v/>
      </c>
      <c r="F841" s="1" t="str">
        <f t="shared" si="158"/>
        <v/>
      </c>
      <c r="G841" s="1" t="str">
        <f t="shared" si="159"/>
        <v/>
      </c>
      <c r="H841" s="1" t="str">
        <f t="shared" si="160"/>
        <v/>
      </c>
      <c r="K841" s="1" t="str">
        <f t="shared" si="161"/>
        <v/>
      </c>
      <c r="L841" s="1" t="str">
        <f t="shared" si="162"/>
        <v/>
      </c>
      <c r="M841" s="1" t="str">
        <f t="shared" si="163"/>
        <v/>
      </c>
      <c r="N841" s="1" t="str">
        <f t="shared" si="164"/>
        <v/>
      </c>
      <c r="O841" s="1" t="str">
        <f t="shared" si="165"/>
        <v/>
      </c>
      <c r="P841" s="1" t="str">
        <f t="shared" si="166"/>
        <v/>
      </c>
      <c r="R841" s="1" t="str">
        <f t="shared" si="167"/>
        <v/>
      </c>
    </row>
    <row r="842" spans="1:18" x14ac:dyDescent="0.2">
      <c r="A842" t="str">
        <f>IF(COUNTBLANK(B842:R842)&lt;&gt;COLUMNS(B842:R842),841,"")</f>
        <v/>
      </c>
      <c r="D842" s="1" t="str">
        <f t="shared" si="156"/>
        <v/>
      </c>
      <c r="E842" s="2" t="str">
        <f t="shared" si="157"/>
        <v/>
      </c>
      <c r="F842" s="1" t="str">
        <f t="shared" si="158"/>
        <v/>
      </c>
      <c r="G842" s="1" t="str">
        <f t="shared" si="159"/>
        <v/>
      </c>
      <c r="H842" s="1" t="str">
        <f t="shared" si="160"/>
        <v/>
      </c>
      <c r="K842" s="1" t="str">
        <f t="shared" si="161"/>
        <v/>
      </c>
      <c r="L842" s="1" t="str">
        <f t="shared" si="162"/>
        <v/>
      </c>
      <c r="M842" s="1" t="str">
        <f t="shared" si="163"/>
        <v/>
      </c>
      <c r="N842" s="1" t="str">
        <f t="shared" si="164"/>
        <v/>
      </c>
      <c r="O842" s="1" t="str">
        <f t="shared" si="165"/>
        <v/>
      </c>
      <c r="P842" s="1" t="str">
        <f t="shared" si="166"/>
        <v/>
      </c>
      <c r="R842" s="1" t="str">
        <f t="shared" si="167"/>
        <v/>
      </c>
    </row>
    <row r="843" spans="1:18" x14ac:dyDescent="0.2">
      <c r="A843" t="str">
        <f>IF(COUNTBLANK(B843:R843)&lt;&gt;COLUMNS(B843:R843),842,"")</f>
        <v/>
      </c>
      <c r="D843" s="1" t="str">
        <f t="shared" si="156"/>
        <v/>
      </c>
      <c r="E843" s="2" t="str">
        <f t="shared" si="157"/>
        <v/>
      </c>
      <c r="F843" s="1" t="str">
        <f t="shared" si="158"/>
        <v/>
      </c>
      <c r="G843" s="1" t="str">
        <f t="shared" si="159"/>
        <v/>
      </c>
      <c r="H843" s="1" t="str">
        <f t="shared" si="160"/>
        <v/>
      </c>
      <c r="K843" s="1" t="str">
        <f t="shared" si="161"/>
        <v/>
      </c>
      <c r="L843" s="1" t="str">
        <f t="shared" si="162"/>
        <v/>
      </c>
      <c r="M843" s="1" t="str">
        <f t="shared" si="163"/>
        <v/>
      </c>
      <c r="N843" s="1" t="str">
        <f t="shared" si="164"/>
        <v/>
      </c>
      <c r="O843" s="1" t="str">
        <f t="shared" si="165"/>
        <v/>
      </c>
      <c r="P843" s="1" t="str">
        <f t="shared" si="166"/>
        <v/>
      </c>
      <c r="R843" s="1" t="str">
        <f t="shared" si="167"/>
        <v/>
      </c>
    </row>
    <row r="844" spans="1:18" x14ac:dyDescent="0.2">
      <c r="A844" t="str">
        <f>IF(COUNTBLANK(B844:R844)&lt;&gt;COLUMNS(B844:R844),843,"")</f>
        <v/>
      </c>
      <c r="D844" s="1" t="str">
        <f t="shared" si="156"/>
        <v/>
      </c>
      <c r="E844" s="2" t="str">
        <f t="shared" si="157"/>
        <v/>
      </c>
      <c r="F844" s="1" t="str">
        <f t="shared" si="158"/>
        <v/>
      </c>
      <c r="G844" s="1" t="str">
        <f t="shared" si="159"/>
        <v/>
      </c>
      <c r="H844" s="1" t="str">
        <f t="shared" si="160"/>
        <v/>
      </c>
      <c r="K844" s="1" t="str">
        <f t="shared" si="161"/>
        <v/>
      </c>
      <c r="L844" s="1" t="str">
        <f t="shared" si="162"/>
        <v/>
      </c>
      <c r="M844" s="1" t="str">
        <f t="shared" si="163"/>
        <v/>
      </c>
      <c r="N844" s="1" t="str">
        <f t="shared" si="164"/>
        <v/>
      </c>
      <c r="O844" s="1" t="str">
        <f t="shared" si="165"/>
        <v/>
      </c>
      <c r="P844" s="1" t="str">
        <f t="shared" si="166"/>
        <v/>
      </c>
      <c r="R844" s="1" t="str">
        <f t="shared" si="167"/>
        <v/>
      </c>
    </row>
    <row r="845" spans="1:18" x14ac:dyDescent="0.2">
      <c r="A845" t="str">
        <f>IF(COUNTBLANK(B845:R845)&lt;&gt;COLUMNS(B845:R845),844,"")</f>
        <v/>
      </c>
      <c r="D845" s="1" t="str">
        <f t="shared" si="156"/>
        <v/>
      </c>
      <c r="E845" s="2" t="str">
        <f t="shared" si="157"/>
        <v/>
      </c>
      <c r="F845" s="1" t="str">
        <f t="shared" si="158"/>
        <v/>
      </c>
      <c r="G845" s="1" t="str">
        <f t="shared" si="159"/>
        <v/>
      </c>
      <c r="H845" s="1" t="str">
        <f t="shared" si="160"/>
        <v/>
      </c>
      <c r="K845" s="1" t="str">
        <f t="shared" si="161"/>
        <v/>
      </c>
      <c r="L845" s="1" t="str">
        <f t="shared" si="162"/>
        <v/>
      </c>
      <c r="M845" s="1" t="str">
        <f t="shared" si="163"/>
        <v/>
      </c>
      <c r="N845" s="1" t="str">
        <f t="shared" si="164"/>
        <v/>
      </c>
      <c r="O845" s="1" t="str">
        <f t="shared" si="165"/>
        <v/>
      </c>
      <c r="P845" s="1" t="str">
        <f t="shared" si="166"/>
        <v/>
      </c>
      <c r="R845" s="1" t="str">
        <f t="shared" si="167"/>
        <v/>
      </c>
    </row>
    <row r="846" spans="1:18" x14ac:dyDescent="0.2">
      <c r="A846" t="str">
        <f>IF(COUNTBLANK(B846:R846)&lt;&gt;COLUMNS(B846:R846),845,"")</f>
        <v/>
      </c>
      <c r="D846" s="1" t="str">
        <f t="shared" si="156"/>
        <v/>
      </c>
      <c r="E846" s="2" t="str">
        <f t="shared" si="157"/>
        <v/>
      </c>
      <c r="F846" s="1" t="str">
        <f t="shared" si="158"/>
        <v/>
      </c>
      <c r="G846" s="1" t="str">
        <f t="shared" si="159"/>
        <v/>
      </c>
      <c r="H846" s="1" t="str">
        <f t="shared" si="160"/>
        <v/>
      </c>
      <c r="K846" s="1" t="str">
        <f t="shared" si="161"/>
        <v/>
      </c>
      <c r="L846" s="1" t="str">
        <f t="shared" si="162"/>
        <v/>
      </c>
      <c r="M846" s="1" t="str">
        <f t="shared" si="163"/>
        <v/>
      </c>
      <c r="N846" s="1" t="str">
        <f t="shared" si="164"/>
        <v/>
      </c>
      <c r="O846" s="1" t="str">
        <f t="shared" si="165"/>
        <v/>
      </c>
      <c r="P846" s="1" t="str">
        <f t="shared" si="166"/>
        <v/>
      </c>
      <c r="R846" s="1" t="str">
        <f t="shared" si="167"/>
        <v/>
      </c>
    </row>
    <row r="847" spans="1:18" x14ac:dyDescent="0.2">
      <c r="A847" t="str">
        <f>IF(COUNTBLANK(B847:R847)&lt;&gt;COLUMNS(B847:R847),846,"")</f>
        <v/>
      </c>
      <c r="D847" s="1" t="str">
        <f t="shared" si="156"/>
        <v/>
      </c>
      <c r="E847" s="2" t="str">
        <f t="shared" si="157"/>
        <v/>
      </c>
      <c r="F847" s="1" t="str">
        <f t="shared" si="158"/>
        <v/>
      </c>
      <c r="G847" s="1" t="str">
        <f t="shared" si="159"/>
        <v/>
      </c>
      <c r="H847" s="1" t="str">
        <f t="shared" si="160"/>
        <v/>
      </c>
      <c r="K847" s="1" t="str">
        <f t="shared" si="161"/>
        <v/>
      </c>
      <c r="L847" s="1" t="str">
        <f t="shared" si="162"/>
        <v/>
      </c>
      <c r="M847" s="1" t="str">
        <f t="shared" si="163"/>
        <v/>
      </c>
      <c r="N847" s="1" t="str">
        <f t="shared" si="164"/>
        <v/>
      </c>
      <c r="O847" s="1" t="str">
        <f t="shared" si="165"/>
        <v/>
      </c>
      <c r="P847" s="1" t="str">
        <f t="shared" si="166"/>
        <v/>
      </c>
      <c r="R847" s="1" t="str">
        <f t="shared" si="167"/>
        <v/>
      </c>
    </row>
    <row r="848" spans="1:18" x14ac:dyDescent="0.2">
      <c r="A848" t="str">
        <f>IF(COUNTBLANK(B848:R848)&lt;&gt;COLUMNS(B848:R848),847,"")</f>
        <v/>
      </c>
      <c r="D848" s="1" t="str">
        <f t="shared" si="156"/>
        <v/>
      </c>
      <c r="E848" s="2" t="str">
        <f t="shared" si="157"/>
        <v/>
      </c>
      <c r="F848" s="1" t="str">
        <f t="shared" si="158"/>
        <v/>
      </c>
      <c r="G848" s="1" t="str">
        <f t="shared" si="159"/>
        <v/>
      </c>
      <c r="H848" s="1" t="str">
        <f t="shared" si="160"/>
        <v/>
      </c>
      <c r="K848" s="1" t="str">
        <f t="shared" si="161"/>
        <v/>
      </c>
      <c r="L848" s="1" t="str">
        <f t="shared" si="162"/>
        <v/>
      </c>
      <c r="M848" s="1" t="str">
        <f t="shared" si="163"/>
        <v/>
      </c>
      <c r="N848" s="1" t="str">
        <f t="shared" si="164"/>
        <v/>
      </c>
      <c r="O848" s="1" t="str">
        <f t="shared" si="165"/>
        <v/>
      </c>
      <c r="P848" s="1" t="str">
        <f t="shared" si="166"/>
        <v/>
      </c>
      <c r="R848" s="1" t="str">
        <f t="shared" si="167"/>
        <v/>
      </c>
    </row>
    <row r="849" spans="1:18" x14ac:dyDescent="0.2">
      <c r="A849" t="str">
        <f>IF(COUNTBLANK(B849:R849)&lt;&gt;COLUMNS(B849:R849),848,"")</f>
        <v/>
      </c>
      <c r="D849" s="1" t="str">
        <f t="shared" si="156"/>
        <v/>
      </c>
      <c r="E849" s="2" t="str">
        <f t="shared" si="157"/>
        <v/>
      </c>
      <c r="F849" s="1" t="str">
        <f t="shared" si="158"/>
        <v/>
      </c>
      <c r="G849" s="1" t="str">
        <f t="shared" si="159"/>
        <v/>
      </c>
      <c r="H849" s="1" t="str">
        <f t="shared" si="160"/>
        <v/>
      </c>
      <c r="K849" s="1" t="str">
        <f t="shared" si="161"/>
        <v/>
      </c>
      <c r="L849" s="1" t="str">
        <f t="shared" si="162"/>
        <v/>
      </c>
      <c r="M849" s="1" t="str">
        <f t="shared" si="163"/>
        <v/>
      </c>
      <c r="N849" s="1" t="str">
        <f t="shared" si="164"/>
        <v/>
      </c>
      <c r="O849" s="1" t="str">
        <f t="shared" si="165"/>
        <v/>
      </c>
      <c r="P849" s="1" t="str">
        <f t="shared" si="166"/>
        <v/>
      </c>
      <c r="R849" s="1" t="str">
        <f t="shared" si="167"/>
        <v/>
      </c>
    </row>
    <row r="850" spans="1:18" x14ac:dyDescent="0.2">
      <c r="A850" t="str">
        <f>IF(COUNTBLANK(B850:R850)&lt;&gt;COLUMNS(B850:R850),849,"")</f>
        <v/>
      </c>
      <c r="D850" s="1" t="str">
        <f t="shared" si="156"/>
        <v/>
      </c>
      <c r="E850" s="2" t="str">
        <f t="shared" si="157"/>
        <v/>
      </c>
      <c r="F850" s="1" t="str">
        <f t="shared" si="158"/>
        <v/>
      </c>
      <c r="G850" s="1" t="str">
        <f t="shared" si="159"/>
        <v/>
      </c>
      <c r="H850" s="1" t="str">
        <f t="shared" si="160"/>
        <v/>
      </c>
      <c r="K850" s="1" t="str">
        <f t="shared" si="161"/>
        <v/>
      </c>
      <c r="L850" s="1" t="str">
        <f t="shared" si="162"/>
        <v/>
      </c>
      <c r="M850" s="1" t="str">
        <f t="shared" si="163"/>
        <v/>
      </c>
      <c r="N850" s="1" t="str">
        <f t="shared" si="164"/>
        <v/>
      </c>
      <c r="O850" s="1" t="str">
        <f t="shared" si="165"/>
        <v/>
      </c>
      <c r="P850" s="1" t="str">
        <f t="shared" si="166"/>
        <v/>
      </c>
      <c r="R850" s="1" t="str">
        <f t="shared" si="167"/>
        <v/>
      </c>
    </row>
    <row r="851" spans="1:18" x14ac:dyDescent="0.2">
      <c r="A851" t="str">
        <f>IF(COUNTBLANK(B851:R851)&lt;&gt;COLUMNS(B851:R851),850,"")</f>
        <v/>
      </c>
      <c r="D851" s="1" t="str">
        <f t="shared" si="156"/>
        <v/>
      </c>
      <c r="E851" s="2" t="str">
        <f t="shared" si="157"/>
        <v/>
      </c>
      <c r="F851" s="1" t="str">
        <f t="shared" si="158"/>
        <v/>
      </c>
      <c r="G851" s="1" t="str">
        <f t="shared" si="159"/>
        <v/>
      </c>
      <c r="H851" s="1" t="str">
        <f t="shared" si="160"/>
        <v/>
      </c>
      <c r="K851" s="1" t="str">
        <f t="shared" si="161"/>
        <v/>
      </c>
      <c r="L851" s="1" t="str">
        <f t="shared" si="162"/>
        <v/>
      </c>
      <c r="M851" s="1" t="str">
        <f t="shared" si="163"/>
        <v/>
      </c>
      <c r="N851" s="1" t="str">
        <f t="shared" si="164"/>
        <v/>
      </c>
      <c r="O851" s="1" t="str">
        <f t="shared" si="165"/>
        <v/>
      </c>
      <c r="P851" s="1" t="str">
        <f t="shared" si="166"/>
        <v/>
      </c>
      <c r="R851" s="1" t="str">
        <f t="shared" si="167"/>
        <v/>
      </c>
    </row>
    <row r="852" spans="1:18" x14ac:dyDescent="0.2">
      <c r="A852" t="str">
        <f>IF(COUNTBLANK(B852:R852)&lt;&gt;COLUMNS(B852:R852),851,"")</f>
        <v/>
      </c>
      <c r="D852" s="1" t="str">
        <f t="shared" si="156"/>
        <v/>
      </c>
      <c r="E852" s="2" t="str">
        <f t="shared" si="157"/>
        <v/>
      </c>
      <c r="F852" s="1" t="str">
        <f t="shared" si="158"/>
        <v/>
      </c>
      <c r="G852" s="1" t="str">
        <f t="shared" si="159"/>
        <v/>
      </c>
      <c r="H852" s="1" t="str">
        <f t="shared" si="160"/>
        <v/>
      </c>
      <c r="K852" s="1" t="str">
        <f t="shared" si="161"/>
        <v/>
      </c>
      <c r="L852" s="1" t="str">
        <f t="shared" si="162"/>
        <v/>
      </c>
      <c r="M852" s="1" t="str">
        <f t="shared" si="163"/>
        <v/>
      </c>
      <c r="N852" s="1" t="str">
        <f t="shared" si="164"/>
        <v/>
      </c>
      <c r="O852" s="1" t="str">
        <f t="shared" si="165"/>
        <v/>
      </c>
      <c r="P852" s="1" t="str">
        <f t="shared" si="166"/>
        <v/>
      </c>
      <c r="R852" s="1" t="str">
        <f t="shared" si="167"/>
        <v/>
      </c>
    </row>
    <row r="853" spans="1:18" x14ac:dyDescent="0.2">
      <c r="A853" t="str">
        <f>IF(COUNTBLANK(B853:R853)&lt;&gt;COLUMNS(B853:R853),852,"")</f>
        <v/>
      </c>
      <c r="D853" s="1" t="str">
        <f t="shared" si="156"/>
        <v/>
      </c>
      <c r="E853" s="2" t="str">
        <f t="shared" si="157"/>
        <v/>
      </c>
      <c r="F853" s="1" t="str">
        <f t="shared" si="158"/>
        <v/>
      </c>
      <c r="G853" s="1" t="str">
        <f t="shared" si="159"/>
        <v/>
      </c>
      <c r="H853" s="1" t="str">
        <f t="shared" si="160"/>
        <v/>
      </c>
      <c r="K853" s="1" t="str">
        <f t="shared" si="161"/>
        <v/>
      </c>
      <c r="L853" s="1" t="str">
        <f t="shared" si="162"/>
        <v/>
      </c>
      <c r="M853" s="1" t="str">
        <f t="shared" si="163"/>
        <v/>
      </c>
      <c r="N853" s="1" t="str">
        <f t="shared" si="164"/>
        <v/>
      </c>
      <c r="O853" s="1" t="str">
        <f t="shared" si="165"/>
        <v/>
      </c>
      <c r="P853" s="1" t="str">
        <f t="shared" si="166"/>
        <v/>
      </c>
      <c r="R853" s="1" t="str">
        <f t="shared" si="167"/>
        <v/>
      </c>
    </row>
    <row r="854" spans="1:18" x14ac:dyDescent="0.2">
      <c r="A854" t="str">
        <f>IF(COUNTBLANK(B854:R854)&lt;&gt;COLUMNS(B854:R854),853,"")</f>
        <v/>
      </c>
      <c r="D854" s="1" t="str">
        <f t="shared" si="156"/>
        <v/>
      </c>
      <c r="E854" s="2" t="str">
        <f t="shared" si="157"/>
        <v/>
      </c>
      <c r="F854" s="1" t="str">
        <f t="shared" si="158"/>
        <v/>
      </c>
      <c r="G854" s="1" t="str">
        <f t="shared" si="159"/>
        <v/>
      </c>
      <c r="H854" s="1" t="str">
        <f t="shared" si="160"/>
        <v/>
      </c>
      <c r="K854" s="1" t="str">
        <f t="shared" si="161"/>
        <v/>
      </c>
      <c r="L854" s="1" t="str">
        <f t="shared" si="162"/>
        <v/>
      </c>
      <c r="M854" s="1" t="str">
        <f t="shared" si="163"/>
        <v/>
      </c>
      <c r="N854" s="1" t="str">
        <f t="shared" si="164"/>
        <v/>
      </c>
      <c r="O854" s="1" t="str">
        <f t="shared" si="165"/>
        <v/>
      </c>
      <c r="P854" s="1" t="str">
        <f t="shared" si="166"/>
        <v/>
      </c>
      <c r="R854" s="1" t="str">
        <f t="shared" si="167"/>
        <v/>
      </c>
    </row>
    <row r="855" spans="1:18" x14ac:dyDescent="0.2">
      <c r="A855" t="str">
        <f>IF(COUNTBLANK(B855:R855)&lt;&gt;COLUMNS(B855:R855),854,"")</f>
        <v/>
      </c>
      <c r="D855" s="1" t="str">
        <f t="shared" si="156"/>
        <v/>
      </c>
      <c r="E855" s="2" t="str">
        <f t="shared" si="157"/>
        <v/>
      </c>
      <c r="F855" s="1" t="str">
        <f t="shared" si="158"/>
        <v/>
      </c>
      <c r="G855" s="1" t="str">
        <f t="shared" si="159"/>
        <v/>
      </c>
      <c r="H855" s="1" t="str">
        <f t="shared" si="160"/>
        <v/>
      </c>
      <c r="K855" s="1" t="str">
        <f t="shared" si="161"/>
        <v/>
      </c>
      <c r="L855" s="1" t="str">
        <f t="shared" si="162"/>
        <v/>
      </c>
      <c r="M855" s="1" t="str">
        <f t="shared" si="163"/>
        <v/>
      </c>
      <c r="N855" s="1" t="str">
        <f t="shared" si="164"/>
        <v/>
      </c>
      <c r="O855" s="1" t="str">
        <f t="shared" si="165"/>
        <v/>
      </c>
      <c r="P855" s="1" t="str">
        <f t="shared" si="166"/>
        <v/>
      </c>
      <c r="R855" s="1" t="str">
        <f t="shared" si="167"/>
        <v/>
      </c>
    </row>
    <row r="856" spans="1:18" x14ac:dyDescent="0.2">
      <c r="A856" t="str">
        <f>IF(COUNTBLANK(B856:R856)&lt;&gt;COLUMNS(B856:R856),855,"")</f>
        <v/>
      </c>
      <c r="D856" s="1" t="str">
        <f t="shared" si="156"/>
        <v/>
      </c>
      <c r="E856" s="2" t="str">
        <f t="shared" si="157"/>
        <v/>
      </c>
      <c r="F856" s="1" t="str">
        <f t="shared" si="158"/>
        <v/>
      </c>
      <c r="G856" s="1" t="str">
        <f t="shared" si="159"/>
        <v/>
      </c>
      <c r="H856" s="1" t="str">
        <f t="shared" si="160"/>
        <v/>
      </c>
      <c r="K856" s="1" t="str">
        <f t="shared" si="161"/>
        <v/>
      </c>
      <c r="L856" s="1" t="str">
        <f t="shared" si="162"/>
        <v/>
      </c>
      <c r="M856" s="1" t="str">
        <f t="shared" si="163"/>
        <v/>
      </c>
      <c r="N856" s="1" t="str">
        <f t="shared" si="164"/>
        <v/>
      </c>
      <c r="O856" s="1" t="str">
        <f t="shared" si="165"/>
        <v/>
      </c>
      <c r="P856" s="1" t="str">
        <f t="shared" si="166"/>
        <v/>
      </c>
      <c r="R856" s="1" t="str">
        <f t="shared" si="167"/>
        <v/>
      </c>
    </row>
    <row r="857" spans="1:18" x14ac:dyDescent="0.2">
      <c r="A857" t="str">
        <f>IF(COUNTBLANK(B857:R857)&lt;&gt;COLUMNS(B857:R857),856,"")</f>
        <v/>
      </c>
      <c r="D857" s="1" t="str">
        <f t="shared" si="156"/>
        <v/>
      </c>
      <c r="E857" s="2" t="str">
        <f t="shared" si="157"/>
        <v/>
      </c>
      <c r="F857" s="1" t="str">
        <f t="shared" si="158"/>
        <v/>
      </c>
      <c r="G857" s="1" t="str">
        <f t="shared" si="159"/>
        <v/>
      </c>
      <c r="H857" s="1" t="str">
        <f t="shared" si="160"/>
        <v/>
      </c>
      <c r="K857" s="1" t="str">
        <f t="shared" si="161"/>
        <v/>
      </c>
      <c r="L857" s="1" t="str">
        <f t="shared" si="162"/>
        <v/>
      </c>
      <c r="M857" s="1" t="str">
        <f t="shared" si="163"/>
        <v/>
      </c>
      <c r="N857" s="1" t="str">
        <f t="shared" si="164"/>
        <v/>
      </c>
      <c r="O857" s="1" t="str">
        <f t="shared" si="165"/>
        <v/>
      </c>
      <c r="P857" s="1" t="str">
        <f t="shared" si="166"/>
        <v/>
      </c>
      <c r="R857" s="1" t="str">
        <f t="shared" si="167"/>
        <v/>
      </c>
    </row>
    <row r="858" spans="1:18" x14ac:dyDescent="0.2">
      <c r="A858" t="str">
        <f>IF(COUNTBLANK(B858:R858)&lt;&gt;COLUMNS(B858:R858),857,"")</f>
        <v/>
      </c>
      <c r="D858" s="1" t="str">
        <f t="shared" si="156"/>
        <v/>
      </c>
      <c r="E858" s="2" t="str">
        <f t="shared" si="157"/>
        <v/>
      </c>
      <c r="F858" s="1" t="str">
        <f t="shared" si="158"/>
        <v/>
      </c>
      <c r="G858" s="1" t="str">
        <f t="shared" si="159"/>
        <v/>
      </c>
      <c r="H858" s="1" t="str">
        <f t="shared" si="160"/>
        <v/>
      </c>
      <c r="K858" s="1" t="str">
        <f t="shared" si="161"/>
        <v/>
      </c>
      <c r="L858" s="1" t="str">
        <f t="shared" si="162"/>
        <v/>
      </c>
      <c r="M858" s="1" t="str">
        <f t="shared" si="163"/>
        <v/>
      </c>
      <c r="N858" s="1" t="str">
        <f t="shared" si="164"/>
        <v/>
      </c>
      <c r="O858" s="1" t="str">
        <f t="shared" si="165"/>
        <v/>
      </c>
      <c r="P858" s="1" t="str">
        <f t="shared" si="166"/>
        <v/>
      </c>
      <c r="R858" s="1" t="str">
        <f t="shared" si="167"/>
        <v/>
      </c>
    </row>
    <row r="859" spans="1:18" x14ac:dyDescent="0.2">
      <c r="A859" t="str">
        <f>IF(COUNTBLANK(B859:R859)&lt;&gt;COLUMNS(B859:R859),858,"")</f>
        <v/>
      </c>
      <c r="D859" s="1" t="str">
        <f t="shared" si="156"/>
        <v/>
      </c>
      <c r="E859" s="2" t="str">
        <f t="shared" si="157"/>
        <v/>
      </c>
      <c r="F859" s="1" t="str">
        <f t="shared" si="158"/>
        <v/>
      </c>
      <c r="G859" s="1" t="str">
        <f t="shared" si="159"/>
        <v/>
      </c>
      <c r="H859" s="1" t="str">
        <f t="shared" si="160"/>
        <v/>
      </c>
      <c r="K859" s="1" t="str">
        <f t="shared" si="161"/>
        <v/>
      </c>
      <c r="L859" s="1" t="str">
        <f t="shared" si="162"/>
        <v/>
      </c>
      <c r="M859" s="1" t="str">
        <f t="shared" si="163"/>
        <v/>
      </c>
      <c r="N859" s="1" t="str">
        <f t="shared" si="164"/>
        <v/>
      </c>
      <c r="O859" s="1" t="str">
        <f t="shared" si="165"/>
        <v/>
      </c>
      <c r="P859" s="1" t="str">
        <f t="shared" si="166"/>
        <v/>
      </c>
      <c r="R859" s="1" t="str">
        <f t="shared" si="167"/>
        <v/>
      </c>
    </row>
    <row r="860" spans="1:18" x14ac:dyDescent="0.2">
      <c r="A860" t="str">
        <f>IF(COUNTBLANK(B860:R860)&lt;&gt;COLUMNS(B860:R860),859,"")</f>
        <v/>
      </c>
      <c r="D860" s="1" t="str">
        <f t="shared" si="156"/>
        <v/>
      </c>
      <c r="E860" s="2" t="str">
        <f t="shared" si="157"/>
        <v/>
      </c>
      <c r="F860" s="1" t="str">
        <f t="shared" si="158"/>
        <v/>
      </c>
      <c r="G860" s="1" t="str">
        <f t="shared" si="159"/>
        <v/>
      </c>
      <c r="H860" s="1" t="str">
        <f t="shared" si="160"/>
        <v/>
      </c>
      <c r="K860" s="1" t="str">
        <f t="shared" si="161"/>
        <v/>
      </c>
      <c r="L860" s="1" t="str">
        <f t="shared" si="162"/>
        <v/>
      </c>
      <c r="M860" s="1" t="str">
        <f t="shared" si="163"/>
        <v/>
      </c>
      <c r="N860" s="1" t="str">
        <f t="shared" si="164"/>
        <v/>
      </c>
      <c r="O860" s="1" t="str">
        <f t="shared" si="165"/>
        <v/>
      </c>
      <c r="P860" s="1" t="str">
        <f t="shared" si="166"/>
        <v/>
      </c>
      <c r="R860" s="1" t="str">
        <f t="shared" si="167"/>
        <v/>
      </c>
    </row>
    <row r="861" spans="1:18" x14ac:dyDescent="0.2">
      <c r="A861" t="str">
        <f>IF(COUNTBLANK(B861:R861)&lt;&gt;COLUMNS(B861:R861),860,"")</f>
        <v/>
      </c>
      <c r="D861" s="1" t="str">
        <f t="shared" si="156"/>
        <v/>
      </c>
      <c r="E861" s="2" t="str">
        <f t="shared" si="157"/>
        <v/>
      </c>
      <c r="F861" s="1" t="str">
        <f t="shared" si="158"/>
        <v/>
      </c>
      <c r="G861" s="1" t="str">
        <f t="shared" si="159"/>
        <v/>
      </c>
      <c r="H861" s="1" t="str">
        <f t="shared" si="160"/>
        <v/>
      </c>
      <c r="K861" s="1" t="str">
        <f t="shared" si="161"/>
        <v/>
      </c>
      <c r="L861" s="1" t="str">
        <f t="shared" si="162"/>
        <v/>
      </c>
      <c r="M861" s="1" t="str">
        <f t="shared" si="163"/>
        <v/>
      </c>
      <c r="N861" s="1" t="str">
        <f t="shared" si="164"/>
        <v/>
      </c>
      <c r="O861" s="1" t="str">
        <f t="shared" si="165"/>
        <v/>
      </c>
      <c r="P861" s="1" t="str">
        <f t="shared" si="166"/>
        <v/>
      </c>
      <c r="R861" s="1" t="str">
        <f t="shared" si="167"/>
        <v/>
      </c>
    </row>
    <row r="862" spans="1:18" x14ac:dyDescent="0.2">
      <c r="A862" t="str">
        <f>IF(COUNTBLANK(B862:R862)&lt;&gt;COLUMNS(B862:R862),861,"")</f>
        <v/>
      </c>
      <c r="D862" s="1" t="str">
        <f t="shared" si="156"/>
        <v/>
      </c>
      <c r="E862" s="2" t="str">
        <f t="shared" si="157"/>
        <v/>
      </c>
      <c r="F862" s="1" t="str">
        <f t="shared" si="158"/>
        <v/>
      </c>
      <c r="G862" s="1" t="str">
        <f t="shared" si="159"/>
        <v/>
      </c>
      <c r="H862" s="1" t="str">
        <f t="shared" si="160"/>
        <v/>
      </c>
      <c r="K862" s="1" t="str">
        <f t="shared" si="161"/>
        <v/>
      </c>
      <c r="L862" s="1" t="str">
        <f t="shared" si="162"/>
        <v/>
      </c>
      <c r="M862" s="1" t="str">
        <f t="shared" si="163"/>
        <v/>
      </c>
      <c r="N862" s="1" t="str">
        <f t="shared" si="164"/>
        <v/>
      </c>
      <c r="O862" s="1" t="str">
        <f t="shared" si="165"/>
        <v/>
      </c>
      <c r="P862" s="1" t="str">
        <f t="shared" si="166"/>
        <v/>
      </c>
      <c r="R862" s="1" t="str">
        <f t="shared" si="167"/>
        <v/>
      </c>
    </row>
    <row r="863" spans="1:18" x14ac:dyDescent="0.2">
      <c r="A863" t="str">
        <f>IF(COUNTBLANK(B863:R863)&lt;&gt;COLUMNS(B863:R863),862,"")</f>
        <v/>
      </c>
      <c r="D863" s="1" t="str">
        <f t="shared" si="156"/>
        <v/>
      </c>
      <c r="E863" s="2" t="str">
        <f t="shared" si="157"/>
        <v/>
      </c>
      <c r="F863" s="1" t="str">
        <f t="shared" si="158"/>
        <v/>
      </c>
      <c r="G863" s="1" t="str">
        <f t="shared" si="159"/>
        <v/>
      </c>
      <c r="H863" s="1" t="str">
        <f t="shared" si="160"/>
        <v/>
      </c>
      <c r="K863" s="1" t="str">
        <f t="shared" si="161"/>
        <v/>
      </c>
      <c r="L863" s="1" t="str">
        <f t="shared" si="162"/>
        <v/>
      </c>
      <c r="M863" s="1" t="str">
        <f t="shared" si="163"/>
        <v/>
      </c>
      <c r="N863" s="1" t="str">
        <f t="shared" si="164"/>
        <v/>
      </c>
      <c r="O863" s="1" t="str">
        <f t="shared" si="165"/>
        <v/>
      </c>
      <c r="P863" s="1" t="str">
        <f t="shared" si="166"/>
        <v/>
      </c>
      <c r="R863" s="1" t="str">
        <f t="shared" si="167"/>
        <v/>
      </c>
    </row>
    <row r="864" spans="1:18" x14ac:dyDescent="0.2">
      <c r="A864" t="str">
        <f>IF(COUNTBLANK(B864:R864)&lt;&gt;COLUMNS(B864:R864),863,"")</f>
        <v/>
      </c>
      <c r="D864" s="1" t="str">
        <f t="shared" si="156"/>
        <v/>
      </c>
      <c r="E864" s="2" t="str">
        <f t="shared" si="157"/>
        <v/>
      </c>
      <c r="F864" s="1" t="str">
        <f t="shared" si="158"/>
        <v/>
      </c>
      <c r="G864" s="1" t="str">
        <f t="shared" si="159"/>
        <v/>
      </c>
      <c r="H864" s="1" t="str">
        <f t="shared" si="160"/>
        <v/>
      </c>
      <c r="K864" s="1" t="str">
        <f t="shared" si="161"/>
        <v/>
      </c>
      <c r="L864" s="1" t="str">
        <f t="shared" si="162"/>
        <v/>
      </c>
      <c r="M864" s="1" t="str">
        <f t="shared" si="163"/>
        <v/>
      </c>
      <c r="N864" s="1" t="str">
        <f t="shared" si="164"/>
        <v/>
      </c>
      <c r="O864" s="1" t="str">
        <f t="shared" si="165"/>
        <v/>
      </c>
      <c r="P864" s="1" t="str">
        <f t="shared" si="166"/>
        <v/>
      </c>
      <c r="R864" s="1" t="str">
        <f t="shared" si="167"/>
        <v/>
      </c>
    </row>
    <row r="865" spans="1:18" x14ac:dyDescent="0.2">
      <c r="A865" t="str">
        <f>IF(COUNTBLANK(B865:R865)&lt;&gt;COLUMNS(B865:R865),864,"")</f>
        <v/>
      </c>
      <c r="D865" s="1" t="str">
        <f t="shared" si="156"/>
        <v/>
      </c>
      <c r="E865" s="2" t="str">
        <f t="shared" si="157"/>
        <v/>
      </c>
      <c r="F865" s="1" t="str">
        <f t="shared" si="158"/>
        <v/>
      </c>
      <c r="G865" s="1" t="str">
        <f t="shared" si="159"/>
        <v/>
      </c>
      <c r="H865" s="1" t="str">
        <f t="shared" si="160"/>
        <v/>
      </c>
      <c r="K865" s="1" t="str">
        <f t="shared" si="161"/>
        <v/>
      </c>
      <c r="L865" s="1" t="str">
        <f t="shared" si="162"/>
        <v/>
      </c>
      <c r="M865" s="1" t="str">
        <f t="shared" si="163"/>
        <v/>
      </c>
      <c r="N865" s="1" t="str">
        <f t="shared" si="164"/>
        <v/>
      </c>
      <c r="O865" s="1" t="str">
        <f t="shared" si="165"/>
        <v/>
      </c>
      <c r="P865" s="1" t="str">
        <f t="shared" si="166"/>
        <v/>
      </c>
      <c r="R865" s="1" t="str">
        <f t="shared" si="167"/>
        <v/>
      </c>
    </row>
    <row r="866" spans="1:18" x14ac:dyDescent="0.2">
      <c r="A866" t="str">
        <f>IF(COUNTBLANK(B866:R866)&lt;&gt;COLUMNS(B866:R866),865,"")</f>
        <v/>
      </c>
      <c r="D866" s="1" t="str">
        <f t="shared" si="156"/>
        <v/>
      </c>
      <c r="E866" s="2" t="str">
        <f t="shared" si="157"/>
        <v/>
      </c>
      <c r="F866" s="1" t="str">
        <f t="shared" si="158"/>
        <v/>
      </c>
      <c r="G866" s="1" t="str">
        <f t="shared" si="159"/>
        <v/>
      </c>
      <c r="H866" s="1" t="str">
        <f t="shared" si="160"/>
        <v/>
      </c>
      <c r="K866" s="1" t="str">
        <f t="shared" si="161"/>
        <v/>
      </c>
      <c r="L866" s="1" t="str">
        <f t="shared" si="162"/>
        <v/>
      </c>
      <c r="M866" s="1" t="str">
        <f t="shared" si="163"/>
        <v/>
      </c>
      <c r="N866" s="1" t="str">
        <f t="shared" si="164"/>
        <v/>
      </c>
      <c r="O866" s="1" t="str">
        <f t="shared" si="165"/>
        <v/>
      </c>
      <c r="P866" s="1" t="str">
        <f t="shared" si="166"/>
        <v/>
      </c>
      <c r="R866" s="1" t="str">
        <f t="shared" si="167"/>
        <v/>
      </c>
    </row>
    <row r="867" spans="1:18" x14ac:dyDescent="0.2">
      <c r="A867" t="str">
        <f>IF(COUNTBLANK(B867:R867)&lt;&gt;COLUMNS(B867:R867),866,"")</f>
        <v/>
      </c>
      <c r="D867" s="1" t="str">
        <f t="shared" si="156"/>
        <v/>
      </c>
      <c r="E867" s="2" t="str">
        <f t="shared" si="157"/>
        <v/>
      </c>
      <c r="F867" s="1" t="str">
        <f t="shared" si="158"/>
        <v/>
      </c>
      <c r="G867" s="1" t="str">
        <f t="shared" si="159"/>
        <v/>
      </c>
      <c r="H867" s="1" t="str">
        <f t="shared" si="160"/>
        <v/>
      </c>
      <c r="K867" s="1" t="str">
        <f t="shared" si="161"/>
        <v/>
      </c>
      <c r="L867" s="1" t="str">
        <f t="shared" si="162"/>
        <v/>
      </c>
      <c r="M867" s="1" t="str">
        <f t="shared" si="163"/>
        <v/>
      </c>
      <c r="N867" s="1" t="str">
        <f t="shared" si="164"/>
        <v/>
      </c>
      <c r="O867" s="1" t="str">
        <f t="shared" si="165"/>
        <v/>
      </c>
      <c r="P867" s="1" t="str">
        <f t="shared" si="166"/>
        <v/>
      </c>
      <c r="R867" s="1" t="str">
        <f t="shared" si="167"/>
        <v/>
      </c>
    </row>
    <row r="868" spans="1:18" x14ac:dyDescent="0.2">
      <c r="A868" t="str">
        <f>IF(COUNTBLANK(B868:R868)&lt;&gt;COLUMNS(B868:R868),867,"")</f>
        <v/>
      </c>
      <c r="D868" s="1" t="str">
        <f t="shared" si="156"/>
        <v/>
      </c>
      <c r="E868" s="2" t="str">
        <f t="shared" si="157"/>
        <v/>
      </c>
      <c r="F868" s="1" t="str">
        <f t="shared" si="158"/>
        <v/>
      </c>
      <c r="G868" s="1" t="str">
        <f t="shared" si="159"/>
        <v/>
      </c>
      <c r="H868" s="1" t="str">
        <f t="shared" si="160"/>
        <v/>
      </c>
      <c r="K868" s="1" t="str">
        <f t="shared" si="161"/>
        <v/>
      </c>
      <c r="L868" s="1" t="str">
        <f t="shared" si="162"/>
        <v/>
      </c>
      <c r="M868" s="1" t="str">
        <f t="shared" si="163"/>
        <v/>
      </c>
      <c r="N868" s="1" t="str">
        <f t="shared" si="164"/>
        <v/>
      </c>
      <c r="O868" s="1" t="str">
        <f t="shared" si="165"/>
        <v/>
      </c>
      <c r="P868" s="1" t="str">
        <f t="shared" si="166"/>
        <v/>
      </c>
      <c r="R868" s="1" t="str">
        <f t="shared" si="167"/>
        <v/>
      </c>
    </row>
    <row r="869" spans="1:18" x14ac:dyDescent="0.2">
      <c r="A869" t="str">
        <f>IF(COUNTBLANK(B869:R869)&lt;&gt;COLUMNS(B869:R869),868,"")</f>
        <v/>
      </c>
      <c r="D869" s="1" t="str">
        <f t="shared" si="156"/>
        <v/>
      </c>
      <c r="E869" s="2" t="str">
        <f t="shared" si="157"/>
        <v/>
      </c>
      <c r="F869" s="1" t="str">
        <f t="shared" si="158"/>
        <v/>
      </c>
      <c r="G869" s="1" t="str">
        <f t="shared" si="159"/>
        <v/>
      </c>
      <c r="H869" s="1" t="str">
        <f t="shared" si="160"/>
        <v/>
      </c>
      <c r="K869" s="1" t="str">
        <f t="shared" si="161"/>
        <v/>
      </c>
      <c r="L869" s="1" t="str">
        <f t="shared" si="162"/>
        <v/>
      </c>
      <c r="M869" s="1" t="str">
        <f t="shared" si="163"/>
        <v/>
      </c>
      <c r="N869" s="1" t="str">
        <f t="shared" si="164"/>
        <v/>
      </c>
      <c r="O869" s="1" t="str">
        <f t="shared" si="165"/>
        <v/>
      </c>
      <c r="P869" s="1" t="str">
        <f t="shared" si="166"/>
        <v/>
      </c>
      <c r="R869" s="1" t="str">
        <f t="shared" si="167"/>
        <v/>
      </c>
    </row>
    <row r="870" spans="1:18" x14ac:dyDescent="0.2">
      <c r="A870" t="str">
        <f>IF(COUNTBLANK(B870:R870)&lt;&gt;COLUMNS(B870:R870),869,"")</f>
        <v/>
      </c>
      <c r="D870" s="1" t="str">
        <f t="shared" si="156"/>
        <v/>
      </c>
      <c r="E870" s="2" t="str">
        <f t="shared" si="157"/>
        <v/>
      </c>
      <c r="F870" s="1" t="str">
        <f t="shared" si="158"/>
        <v/>
      </c>
      <c r="G870" s="1" t="str">
        <f t="shared" si="159"/>
        <v/>
      </c>
      <c r="H870" s="1" t="str">
        <f t="shared" si="160"/>
        <v/>
      </c>
      <c r="K870" s="1" t="str">
        <f t="shared" si="161"/>
        <v/>
      </c>
      <c r="L870" s="1" t="str">
        <f t="shared" si="162"/>
        <v/>
      </c>
      <c r="M870" s="1" t="str">
        <f t="shared" si="163"/>
        <v/>
      </c>
      <c r="N870" s="1" t="str">
        <f t="shared" si="164"/>
        <v/>
      </c>
      <c r="O870" s="1" t="str">
        <f t="shared" si="165"/>
        <v/>
      </c>
      <c r="P870" s="1" t="str">
        <f t="shared" si="166"/>
        <v/>
      </c>
      <c r="R870" s="1" t="str">
        <f t="shared" si="167"/>
        <v/>
      </c>
    </row>
    <row r="871" spans="1:18" x14ac:dyDescent="0.2">
      <c r="A871" t="str">
        <f>IF(COUNTBLANK(B871:R871)&lt;&gt;COLUMNS(B871:R871),870,"")</f>
        <v/>
      </c>
      <c r="D871" s="1" t="str">
        <f t="shared" si="156"/>
        <v/>
      </c>
      <c r="E871" s="2" t="str">
        <f t="shared" si="157"/>
        <v/>
      </c>
      <c r="F871" s="1" t="str">
        <f t="shared" si="158"/>
        <v/>
      </c>
      <c r="G871" s="1" t="str">
        <f t="shared" si="159"/>
        <v/>
      </c>
      <c r="H871" s="1" t="str">
        <f t="shared" si="160"/>
        <v/>
      </c>
      <c r="K871" s="1" t="str">
        <f t="shared" si="161"/>
        <v/>
      </c>
      <c r="L871" s="1" t="str">
        <f t="shared" si="162"/>
        <v/>
      </c>
      <c r="M871" s="1" t="str">
        <f t="shared" si="163"/>
        <v/>
      </c>
      <c r="N871" s="1" t="str">
        <f t="shared" si="164"/>
        <v/>
      </c>
      <c r="O871" s="1" t="str">
        <f t="shared" si="165"/>
        <v/>
      </c>
      <c r="P871" s="1" t="str">
        <f t="shared" si="166"/>
        <v/>
      </c>
      <c r="R871" s="1" t="str">
        <f t="shared" si="167"/>
        <v/>
      </c>
    </row>
    <row r="872" spans="1:18" x14ac:dyDescent="0.2">
      <c r="A872" t="str">
        <f>IF(COUNTBLANK(B872:R872)&lt;&gt;COLUMNS(B872:R872),871,"")</f>
        <v/>
      </c>
      <c r="D872" s="1" t="str">
        <f t="shared" si="156"/>
        <v/>
      </c>
      <c r="E872" s="2" t="str">
        <f t="shared" si="157"/>
        <v/>
      </c>
      <c r="F872" s="1" t="str">
        <f t="shared" si="158"/>
        <v/>
      </c>
      <c r="G872" s="1" t="str">
        <f t="shared" si="159"/>
        <v/>
      </c>
      <c r="H872" s="1" t="str">
        <f t="shared" si="160"/>
        <v/>
      </c>
      <c r="K872" s="1" t="str">
        <f t="shared" si="161"/>
        <v/>
      </c>
      <c r="L872" s="1" t="str">
        <f t="shared" si="162"/>
        <v/>
      </c>
      <c r="M872" s="1" t="str">
        <f t="shared" si="163"/>
        <v/>
      </c>
      <c r="N872" s="1" t="str">
        <f t="shared" si="164"/>
        <v/>
      </c>
      <c r="O872" s="1" t="str">
        <f t="shared" si="165"/>
        <v/>
      </c>
      <c r="P872" s="1" t="str">
        <f t="shared" si="166"/>
        <v/>
      </c>
      <c r="R872" s="1" t="str">
        <f t="shared" si="167"/>
        <v/>
      </c>
    </row>
    <row r="873" spans="1:18" x14ac:dyDescent="0.2">
      <c r="A873" t="str">
        <f>IF(COUNTBLANK(B873:R873)&lt;&gt;COLUMNS(B873:R873),872,"")</f>
        <v/>
      </c>
      <c r="D873" s="1" t="str">
        <f t="shared" si="156"/>
        <v/>
      </c>
      <c r="E873" s="2" t="str">
        <f t="shared" si="157"/>
        <v/>
      </c>
      <c r="F873" s="1" t="str">
        <f t="shared" si="158"/>
        <v/>
      </c>
      <c r="G873" s="1" t="str">
        <f t="shared" si="159"/>
        <v/>
      </c>
      <c r="H873" s="1" t="str">
        <f t="shared" si="160"/>
        <v/>
      </c>
      <c r="K873" s="1" t="str">
        <f t="shared" si="161"/>
        <v/>
      </c>
      <c r="L873" s="1" t="str">
        <f t="shared" si="162"/>
        <v/>
      </c>
      <c r="M873" s="1" t="str">
        <f t="shared" si="163"/>
        <v/>
      </c>
      <c r="N873" s="1" t="str">
        <f t="shared" si="164"/>
        <v/>
      </c>
      <c r="O873" s="1" t="str">
        <f t="shared" si="165"/>
        <v/>
      </c>
      <c r="P873" s="1" t="str">
        <f t="shared" si="166"/>
        <v/>
      </c>
      <c r="R873" s="1" t="str">
        <f t="shared" si="167"/>
        <v/>
      </c>
    </row>
    <row r="874" spans="1:18" x14ac:dyDescent="0.2">
      <c r="A874" t="str">
        <f>IF(COUNTBLANK(B874:R874)&lt;&gt;COLUMNS(B874:R874),873,"")</f>
        <v/>
      </c>
      <c r="D874" s="1" t="str">
        <f t="shared" si="156"/>
        <v/>
      </c>
      <c r="E874" s="2" t="str">
        <f t="shared" si="157"/>
        <v/>
      </c>
      <c r="F874" s="1" t="str">
        <f t="shared" si="158"/>
        <v/>
      </c>
      <c r="G874" s="1" t="str">
        <f t="shared" si="159"/>
        <v/>
      </c>
      <c r="H874" s="1" t="str">
        <f t="shared" si="160"/>
        <v/>
      </c>
      <c r="K874" s="1" t="str">
        <f t="shared" si="161"/>
        <v/>
      </c>
      <c r="L874" s="1" t="str">
        <f t="shared" si="162"/>
        <v/>
      </c>
      <c r="M874" s="1" t="str">
        <f t="shared" si="163"/>
        <v/>
      </c>
      <c r="N874" s="1" t="str">
        <f t="shared" si="164"/>
        <v/>
      </c>
      <c r="O874" s="1" t="str">
        <f t="shared" si="165"/>
        <v/>
      </c>
      <c r="P874" s="1" t="str">
        <f t="shared" si="166"/>
        <v/>
      </c>
      <c r="R874" s="1" t="str">
        <f t="shared" si="167"/>
        <v/>
      </c>
    </row>
    <row r="875" spans="1:18" x14ac:dyDescent="0.2">
      <c r="A875" t="str">
        <f>IF(COUNTBLANK(B875:R875)&lt;&gt;COLUMNS(B875:R875),874,"")</f>
        <v/>
      </c>
      <c r="D875" s="1" t="str">
        <f t="shared" si="156"/>
        <v/>
      </c>
      <c r="E875" s="2" t="str">
        <f t="shared" si="157"/>
        <v/>
      </c>
      <c r="F875" s="1" t="str">
        <f t="shared" si="158"/>
        <v/>
      </c>
      <c r="G875" s="1" t="str">
        <f t="shared" si="159"/>
        <v/>
      </c>
      <c r="H875" s="1" t="str">
        <f t="shared" si="160"/>
        <v/>
      </c>
      <c r="K875" s="1" t="str">
        <f t="shared" si="161"/>
        <v/>
      </c>
      <c r="L875" s="1" t="str">
        <f t="shared" si="162"/>
        <v/>
      </c>
      <c r="M875" s="1" t="str">
        <f t="shared" si="163"/>
        <v/>
      </c>
      <c r="N875" s="1" t="str">
        <f t="shared" si="164"/>
        <v/>
      </c>
      <c r="O875" s="1" t="str">
        <f t="shared" si="165"/>
        <v/>
      </c>
      <c r="P875" s="1" t="str">
        <f t="shared" si="166"/>
        <v/>
      </c>
      <c r="R875" s="1" t="str">
        <f t="shared" si="167"/>
        <v/>
      </c>
    </row>
    <row r="876" spans="1:18" x14ac:dyDescent="0.2">
      <c r="A876" t="str">
        <f>IF(COUNTBLANK(B876:R876)&lt;&gt;COLUMNS(B876:R876),875,"")</f>
        <v/>
      </c>
      <c r="D876" s="1" t="str">
        <f t="shared" si="156"/>
        <v/>
      </c>
      <c r="E876" s="2" t="str">
        <f t="shared" si="157"/>
        <v/>
      </c>
      <c r="F876" s="1" t="str">
        <f t="shared" si="158"/>
        <v/>
      </c>
      <c r="G876" s="1" t="str">
        <f t="shared" si="159"/>
        <v/>
      </c>
      <c r="H876" s="1" t="str">
        <f t="shared" si="160"/>
        <v/>
      </c>
      <c r="K876" s="1" t="str">
        <f t="shared" si="161"/>
        <v/>
      </c>
      <c r="L876" s="1" t="str">
        <f t="shared" si="162"/>
        <v/>
      </c>
      <c r="M876" s="1" t="str">
        <f t="shared" si="163"/>
        <v/>
      </c>
      <c r="N876" s="1" t="str">
        <f t="shared" si="164"/>
        <v/>
      </c>
      <c r="O876" s="1" t="str">
        <f t="shared" si="165"/>
        <v/>
      </c>
      <c r="P876" s="1" t="str">
        <f t="shared" si="166"/>
        <v/>
      </c>
      <c r="R876" s="1" t="str">
        <f t="shared" si="167"/>
        <v/>
      </c>
    </row>
    <row r="877" spans="1:18" x14ac:dyDescent="0.2">
      <c r="A877" t="str">
        <f>IF(COUNTBLANK(B877:R877)&lt;&gt;COLUMNS(B877:R877),876,"")</f>
        <v/>
      </c>
      <c r="D877" s="1" t="str">
        <f t="shared" si="156"/>
        <v/>
      </c>
      <c r="E877" s="2" t="str">
        <f t="shared" si="157"/>
        <v/>
      </c>
      <c r="F877" s="1" t="str">
        <f t="shared" si="158"/>
        <v/>
      </c>
      <c r="G877" s="1" t="str">
        <f t="shared" si="159"/>
        <v/>
      </c>
      <c r="H877" s="1" t="str">
        <f t="shared" si="160"/>
        <v/>
      </c>
      <c r="K877" s="1" t="str">
        <f t="shared" si="161"/>
        <v/>
      </c>
      <c r="L877" s="1" t="str">
        <f t="shared" si="162"/>
        <v/>
      </c>
      <c r="M877" s="1" t="str">
        <f t="shared" si="163"/>
        <v/>
      </c>
      <c r="N877" s="1" t="str">
        <f t="shared" si="164"/>
        <v/>
      </c>
      <c r="O877" s="1" t="str">
        <f t="shared" si="165"/>
        <v/>
      </c>
      <c r="P877" s="1" t="str">
        <f t="shared" si="166"/>
        <v/>
      </c>
      <c r="R877" s="1" t="str">
        <f t="shared" si="167"/>
        <v/>
      </c>
    </row>
    <row r="878" spans="1:18" x14ac:dyDescent="0.2">
      <c r="A878" t="str">
        <f>IF(COUNTBLANK(B878:R878)&lt;&gt;COLUMNS(B878:R878),877,"")</f>
        <v/>
      </c>
      <c r="D878" s="1" t="str">
        <f t="shared" si="156"/>
        <v/>
      </c>
      <c r="E878" s="2" t="str">
        <f t="shared" si="157"/>
        <v/>
      </c>
      <c r="F878" s="1" t="str">
        <f t="shared" si="158"/>
        <v/>
      </c>
      <c r="G878" s="1" t="str">
        <f t="shared" si="159"/>
        <v/>
      </c>
      <c r="H878" s="1" t="str">
        <f t="shared" si="160"/>
        <v/>
      </c>
      <c r="K878" s="1" t="str">
        <f t="shared" si="161"/>
        <v/>
      </c>
      <c r="L878" s="1" t="str">
        <f t="shared" si="162"/>
        <v/>
      </c>
      <c r="M878" s="1" t="str">
        <f t="shared" si="163"/>
        <v/>
      </c>
      <c r="N878" s="1" t="str">
        <f t="shared" si="164"/>
        <v/>
      </c>
      <c r="O878" s="1" t="str">
        <f t="shared" si="165"/>
        <v/>
      </c>
      <c r="P878" s="1" t="str">
        <f t="shared" si="166"/>
        <v/>
      </c>
      <c r="R878" s="1" t="str">
        <f t="shared" si="167"/>
        <v/>
      </c>
    </row>
    <row r="879" spans="1:18" x14ac:dyDescent="0.2">
      <c r="A879" t="str">
        <f>IF(COUNTBLANK(B879:R879)&lt;&gt;COLUMNS(B879:R879),878,"")</f>
        <v/>
      </c>
      <c r="D879" s="1" t="str">
        <f t="shared" si="156"/>
        <v/>
      </c>
      <c r="E879" s="2" t="str">
        <f t="shared" si="157"/>
        <v/>
      </c>
      <c r="F879" s="1" t="str">
        <f t="shared" si="158"/>
        <v/>
      </c>
      <c r="G879" s="1" t="str">
        <f t="shared" si="159"/>
        <v/>
      </c>
      <c r="H879" s="1" t="str">
        <f t="shared" si="160"/>
        <v/>
      </c>
      <c r="K879" s="1" t="str">
        <f t="shared" si="161"/>
        <v/>
      </c>
      <c r="L879" s="1" t="str">
        <f t="shared" si="162"/>
        <v/>
      </c>
      <c r="M879" s="1" t="str">
        <f t="shared" si="163"/>
        <v/>
      </c>
      <c r="N879" s="1" t="str">
        <f t="shared" si="164"/>
        <v/>
      </c>
      <c r="O879" s="1" t="str">
        <f t="shared" si="165"/>
        <v/>
      </c>
      <c r="P879" s="1" t="str">
        <f t="shared" si="166"/>
        <v/>
      </c>
      <c r="R879" s="1" t="str">
        <f t="shared" si="167"/>
        <v/>
      </c>
    </row>
    <row r="880" spans="1:18" x14ac:dyDescent="0.2">
      <c r="A880" t="str">
        <f>IF(COUNTBLANK(B880:R880)&lt;&gt;COLUMNS(B880:R880),879,"")</f>
        <v/>
      </c>
      <c r="D880" s="1" t="str">
        <f t="shared" si="156"/>
        <v/>
      </c>
      <c r="E880" s="2" t="str">
        <f t="shared" si="157"/>
        <v/>
      </c>
      <c r="F880" s="1" t="str">
        <f t="shared" si="158"/>
        <v/>
      </c>
      <c r="G880" s="1" t="str">
        <f t="shared" si="159"/>
        <v/>
      </c>
      <c r="H880" s="1" t="str">
        <f t="shared" si="160"/>
        <v/>
      </c>
      <c r="K880" s="1" t="str">
        <f t="shared" si="161"/>
        <v/>
      </c>
      <c r="L880" s="1" t="str">
        <f t="shared" si="162"/>
        <v/>
      </c>
      <c r="M880" s="1" t="str">
        <f t="shared" si="163"/>
        <v/>
      </c>
      <c r="N880" s="1" t="str">
        <f t="shared" si="164"/>
        <v/>
      </c>
      <c r="O880" s="1" t="str">
        <f t="shared" si="165"/>
        <v/>
      </c>
      <c r="P880" s="1" t="str">
        <f t="shared" si="166"/>
        <v/>
      </c>
      <c r="R880" s="1" t="str">
        <f t="shared" si="167"/>
        <v/>
      </c>
    </row>
    <row r="881" spans="1:18" x14ac:dyDescent="0.2">
      <c r="A881" t="str">
        <f>IF(COUNTBLANK(B881:R881)&lt;&gt;COLUMNS(B881:R881),880,"")</f>
        <v/>
      </c>
      <c r="D881" s="1" t="str">
        <f t="shared" si="156"/>
        <v/>
      </c>
      <c r="E881" s="2" t="str">
        <f t="shared" si="157"/>
        <v/>
      </c>
      <c r="F881" s="1" t="str">
        <f t="shared" si="158"/>
        <v/>
      </c>
      <c r="G881" s="1" t="str">
        <f t="shared" si="159"/>
        <v/>
      </c>
      <c r="H881" s="1" t="str">
        <f t="shared" si="160"/>
        <v/>
      </c>
      <c r="K881" s="1" t="str">
        <f t="shared" si="161"/>
        <v/>
      </c>
      <c r="L881" s="1" t="str">
        <f t="shared" si="162"/>
        <v/>
      </c>
      <c r="M881" s="1" t="str">
        <f t="shared" si="163"/>
        <v/>
      </c>
      <c r="N881" s="1" t="str">
        <f t="shared" si="164"/>
        <v/>
      </c>
      <c r="O881" s="1" t="str">
        <f t="shared" si="165"/>
        <v/>
      </c>
      <c r="P881" s="1" t="str">
        <f t="shared" si="166"/>
        <v/>
      </c>
      <c r="R881" s="1" t="str">
        <f t="shared" si="167"/>
        <v/>
      </c>
    </row>
    <row r="882" spans="1:18" x14ac:dyDescent="0.2">
      <c r="A882" t="str">
        <f>IF(COUNTBLANK(B882:R882)&lt;&gt;COLUMNS(B882:R882),881,"")</f>
        <v/>
      </c>
      <c r="D882" s="1" t="str">
        <f t="shared" si="156"/>
        <v/>
      </c>
      <c r="E882" s="2" t="str">
        <f t="shared" si="157"/>
        <v/>
      </c>
      <c r="F882" s="1" t="str">
        <f t="shared" si="158"/>
        <v/>
      </c>
      <c r="G882" s="1" t="str">
        <f t="shared" si="159"/>
        <v/>
      </c>
      <c r="H882" s="1" t="str">
        <f t="shared" si="160"/>
        <v/>
      </c>
      <c r="K882" s="1" t="str">
        <f t="shared" si="161"/>
        <v/>
      </c>
      <c r="L882" s="1" t="str">
        <f t="shared" si="162"/>
        <v/>
      </c>
      <c r="M882" s="1" t="str">
        <f t="shared" si="163"/>
        <v/>
      </c>
      <c r="N882" s="1" t="str">
        <f t="shared" si="164"/>
        <v/>
      </c>
      <c r="O882" s="1" t="str">
        <f t="shared" si="165"/>
        <v/>
      </c>
      <c r="P882" s="1" t="str">
        <f t="shared" si="166"/>
        <v/>
      </c>
      <c r="R882" s="1" t="str">
        <f t="shared" si="167"/>
        <v/>
      </c>
    </row>
    <row r="883" spans="1:18" x14ac:dyDescent="0.2">
      <c r="A883" t="str">
        <f>IF(COUNTBLANK(B883:R883)&lt;&gt;COLUMNS(B883:R883),882,"")</f>
        <v/>
      </c>
      <c r="D883" s="1" t="str">
        <f t="shared" si="156"/>
        <v/>
      </c>
      <c r="E883" s="2" t="str">
        <f t="shared" si="157"/>
        <v/>
      </c>
      <c r="F883" s="1" t="str">
        <f t="shared" si="158"/>
        <v/>
      </c>
      <c r="G883" s="1" t="str">
        <f t="shared" si="159"/>
        <v/>
      </c>
      <c r="H883" s="1" t="str">
        <f t="shared" si="160"/>
        <v/>
      </c>
      <c r="K883" s="1" t="str">
        <f t="shared" si="161"/>
        <v/>
      </c>
      <c r="L883" s="1" t="str">
        <f t="shared" si="162"/>
        <v/>
      </c>
      <c r="M883" s="1" t="str">
        <f t="shared" si="163"/>
        <v/>
      </c>
      <c r="N883" s="1" t="str">
        <f t="shared" si="164"/>
        <v/>
      </c>
      <c r="O883" s="1" t="str">
        <f t="shared" si="165"/>
        <v/>
      </c>
      <c r="P883" s="1" t="str">
        <f t="shared" si="166"/>
        <v/>
      </c>
      <c r="R883" s="1" t="str">
        <f t="shared" si="167"/>
        <v/>
      </c>
    </row>
    <row r="884" spans="1:18" x14ac:dyDescent="0.2">
      <c r="A884" t="str">
        <f>IF(COUNTBLANK(B884:R884)&lt;&gt;COLUMNS(B884:R884),883,"")</f>
        <v/>
      </c>
      <c r="D884" s="1" t="str">
        <f t="shared" si="156"/>
        <v/>
      </c>
      <c r="E884" s="2" t="str">
        <f t="shared" si="157"/>
        <v/>
      </c>
      <c r="F884" s="1" t="str">
        <f t="shared" si="158"/>
        <v/>
      </c>
      <c r="G884" s="1" t="str">
        <f t="shared" si="159"/>
        <v/>
      </c>
      <c r="H884" s="1" t="str">
        <f t="shared" si="160"/>
        <v/>
      </c>
      <c r="K884" s="1" t="str">
        <f t="shared" si="161"/>
        <v/>
      </c>
      <c r="L884" s="1" t="str">
        <f t="shared" si="162"/>
        <v/>
      </c>
      <c r="M884" s="1" t="str">
        <f t="shared" si="163"/>
        <v/>
      </c>
      <c r="N884" s="1" t="str">
        <f t="shared" si="164"/>
        <v/>
      </c>
      <c r="O884" s="1" t="str">
        <f t="shared" si="165"/>
        <v/>
      </c>
      <c r="P884" s="1" t="str">
        <f t="shared" si="166"/>
        <v/>
      </c>
      <c r="R884" s="1" t="str">
        <f t="shared" si="167"/>
        <v/>
      </c>
    </row>
    <row r="885" spans="1:18" x14ac:dyDescent="0.2">
      <c r="A885" t="str">
        <f>IF(COUNTBLANK(B885:R885)&lt;&gt;COLUMNS(B885:R885),884,"")</f>
        <v/>
      </c>
      <c r="D885" s="1" t="str">
        <f t="shared" si="156"/>
        <v/>
      </c>
      <c r="E885" s="2" t="str">
        <f t="shared" si="157"/>
        <v/>
      </c>
      <c r="F885" s="1" t="str">
        <f t="shared" si="158"/>
        <v/>
      </c>
      <c r="G885" s="1" t="str">
        <f t="shared" si="159"/>
        <v/>
      </c>
      <c r="H885" s="1" t="str">
        <f t="shared" si="160"/>
        <v/>
      </c>
      <c r="K885" s="1" t="str">
        <f t="shared" si="161"/>
        <v/>
      </c>
      <c r="L885" s="1" t="str">
        <f t="shared" si="162"/>
        <v/>
      </c>
      <c r="M885" s="1" t="str">
        <f t="shared" si="163"/>
        <v/>
      </c>
      <c r="N885" s="1" t="str">
        <f t="shared" si="164"/>
        <v/>
      </c>
      <c r="O885" s="1" t="str">
        <f t="shared" si="165"/>
        <v/>
      </c>
      <c r="P885" s="1" t="str">
        <f t="shared" si="166"/>
        <v/>
      </c>
      <c r="R885" s="1" t="str">
        <f t="shared" si="167"/>
        <v/>
      </c>
    </row>
    <row r="886" spans="1:18" x14ac:dyDescent="0.2">
      <c r="A886" t="str">
        <f>IF(COUNTBLANK(B886:R886)&lt;&gt;COLUMNS(B886:R886),885,"")</f>
        <v/>
      </c>
      <c r="D886" s="1" t="str">
        <f t="shared" si="156"/>
        <v/>
      </c>
      <c r="E886" s="2" t="str">
        <f t="shared" si="157"/>
        <v/>
      </c>
      <c r="F886" s="1" t="str">
        <f t="shared" si="158"/>
        <v/>
      </c>
      <c r="G886" s="1" t="str">
        <f t="shared" si="159"/>
        <v/>
      </c>
      <c r="H886" s="1" t="str">
        <f t="shared" si="160"/>
        <v/>
      </c>
      <c r="K886" s="1" t="str">
        <f t="shared" si="161"/>
        <v/>
      </c>
      <c r="L886" s="1" t="str">
        <f t="shared" si="162"/>
        <v/>
      </c>
      <c r="M886" s="1" t="str">
        <f t="shared" si="163"/>
        <v/>
      </c>
      <c r="N886" s="1" t="str">
        <f t="shared" si="164"/>
        <v/>
      </c>
      <c r="O886" s="1" t="str">
        <f t="shared" si="165"/>
        <v/>
      </c>
      <c r="P886" s="1" t="str">
        <f t="shared" si="166"/>
        <v/>
      </c>
      <c r="R886" s="1" t="str">
        <f t="shared" si="167"/>
        <v/>
      </c>
    </row>
    <row r="887" spans="1:18" x14ac:dyDescent="0.2">
      <c r="A887" t="str">
        <f>IF(COUNTBLANK(B887:R887)&lt;&gt;COLUMNS(B887:R887),886,"")</f>
        <v/>
      </c>
      <c r="D887" s="1" t="str">
        <f t="shared" si="156"/>
        <v/>
      </c>
      <c r="E887" s="2" t="str">
        <f t="shared" si="157"/>
        <v/>
      </c>
      <c r="F887" s="1" t="str">
        <f t="shared" si="158"/>
        <v/>
      </c>
      <c r="G887" s="1" t="str">
        <f t="shared" si="159"/>
        <v/>
      </c>
      <c r="H887" s="1" t="str">
        <f t="shared" si="160"/>
        <v/>
      </c>
      <c r="K887" s="1" t="str">
        <f t="shared" si="161"/>
        <v/>
      </c>
      <c r="L887" s="1" t="str">
        <f t="shared" si="162"/>
        <v/>
      </c>
      <c r="M887" s="1" t="str">
        <f t="shared" si="163"/>
        <v/>
      </c>
      <c r="N887" s="1" t="str">
        <f t="shared" si="164"/>
        <v/>
      </c>
      <c r="O887" s="1" t="str">
        <f t="shared" si="165"/>
        <v/>
      </c>
      <c r="P887" s="1" t="str">
        <f t="shared" si="166"/>
        <v/>
      </c>
      <c r="R887" s="1" t="str">
        <f t="shared" si="167"/>
        <v/>
      </c>
    </row>
    <row r="888" spans="1:18" x14ac:dyDescent="0.2">
      <c r="A888" t="str">
        <f>IF(COUNTBLANK(B888:R888)&lt;&gt;COLUMNS(B888:R888),887,"")</f>
        <v/>
      </c>
      <c r="D888" s="1" t="str">
        <f t="shared" si="156"/>
        <v/>
      </c>
      <c r="E888" s="2" t="str">
        <f t="shared" si="157"/>
        <v/>
      </c>
      <c r="F888" s="1" t="str">
        <f t="shared" si="158"/>
        <v/>
      </c>
      <c r="G888" s="1" t="str">
        <f t="shared" si="159"/>
        <v/>
      </c>
      <c r="H888" s="1" t="str">
        <f t="shared" si="160"/>
        <v/>
      </c>
      <c r="K888" s="1" t="str">
        <f t="shared" si="161"/>
        <v/>
      </c>
      <c r="L888" s="1" t="str">
        <f t="shared" si="162"/>
        <v/>
      </c>
      <c r="M888" s="1" t="str">
        <f t="shared" si="163"/>
        <v/>
      </c>
      <c r="N888" s="1" t="str">
        <f t="shared" si="164"/>
        <v/>
      </c>
      <c r="O888" s="1" t="str">
        <f t="shared" si="165"/>
        <v/>
      </c>
      <c r="P888" s="1" t="str">
        <f t="shared" si="166"/>
        <v/>
      </c>
      <c r="R888" s="1" t="str">
        <f t="shared" si="167"/>
        <v/>
      </c>
    </row>
    <row r="889" spans="1:18" x14ac:dyDescent="0.2">
      <c r="A889" t="str">
        <f>IF(COUNTBLANK(B889:R889)&lt;&gt;COLUMNS(B889:R889),888,"")</f>
        <v/>
      </c>
      <c r="D889" s="1" t="str">
        <f t="shared" si="156"/>
        <v/>
      </c>
      <c r="E889" s="2" t="str">
        <f t="shared" si="157"/>
        <v/>
      </c>
      <c r="F889" s="1" t="str">
        <f t="shared" si="158"/>
        <v/>
      </c>
      <c r="G889" s="1" t="str">
        <f t="shared" si="159"/>
        <v/>
      </c>
      <c r="H889" s="1" t="str">
        <f t="shared" si="160"/>
        <v/>
      </c>
      <c r="K889" s="1" t="str">
        <f t="shared" si="161"/>
        <v/>
      </c>
      <c r="L889" s="1" t="str">
        <f t="shared" si="162"/>
        <v/>
      </c>
      <c r="M889" s="1" t="str">
        <f t="shared" si="163"/>
        <v/>
      </c>
      <c r="N889" s="1" t="str">
        <f t="shared" si="164"/>
        <v/>
      </c>
      <c r="O889" s="1" t="str">
        <f t="shared" si="165"/>
        <v/>
      </c>
      <c r="P889" s="1" t="str">
        <f t="shared" si="166"/>
        <v/>
      </c>
      <c r="R889" s="1" t="str">
        <f t="shared" si="167"/>
        <v/>
      </c>
    </row>
    <row r="890" spans="1:18" x14ac:dyDescent="0.2">
      <c r="A890" t="str">
        <f>IF(COUNTBLANK(B890:R890)&lt;&gt;COLUMNS(B890:R890),889,"")</f>
        <v/>
      </c>
      <c r="D890" s="1" t="str">
        <f t="shared" si="156"/>
        <v/>
      </c>
      <c r="E890" s="2" t="str">
        <f t="shared" si="157"/>
        <v/>
      </c>
      <c r="F890" s="1" t="str">
        <f t="shared" si="158"/>
        <v/>
      </c>
      <c r="G890" s="1" t="str">
        <f t="shared" si="159"/>
        <v/>
      </c>
      <c r="H890" s="1" t="str">
        <f t="shared" si="160"/>
        <v/>
      </c>
      <c r="K890" s="1" t="str">
        <f t="shared" si="161"/>
        <v/>
      </c>
      <c r="L890" s="1" t="str">
        <f t="shared" si="162"/>
        <v/>
      </c>
      <c r="M890" s="1" t="str">
        <f t="shared" si="163"/>
        <v/>
      </c>
      <c r="N890" s="1" t="str">
        <f t="shared" si="164"/>
        <v/>
      </c>
      <c r="O890" s="1" t="str">
        <f t="shared" si="165"/>
        <v/>
      </c>
      <c r="P890" s="1" t="str">
        <f t="shared" si="166"/>
        <v/>
      </c>
      <c r="R890" s="1" t="str">
        <f t="shared" si="167"/>
        <v/>
      </c>
    </row>
    <row r="891" spans="1:18" x14ac:dyDescent="0.2">
      <c r="A891" t="str">
        <f>IF(COUNTBLANK(B891:R891)&lt;&gt;COLUMNS(B891:R891),890,"")</f>
        <v/>
      </c>
      <c r="D891" s="1" t="str">
        <f t="shared" si="156"/>
        <v/>
      </c>
      <c r="E891" s="2" t="str">
        <f t="shared" si="157"/>
        <v/>
      </c>
      <c r="F891" s="1" t="str">
        <f t="shared" si="158"/>
        <v/>
      </c>
      <c r="G891" s="1" t="str">
        <f t="shared" si="159"/>
        <v/>
      </c>
      <c r="H891" s="1" t="str">
        <f t="shared" si="160"/>
        <v/>
      </c>
      <c r="K891" s="1" t="str">
        <f t="shared" si="161"/>
        <v/>
      </c>
      <c r="L891" s="1" t="str">
        <f t="shared" si="162"/>
        <v/>
      </c>
      <c r="M891" s="1" t="str">
        <f t="shared" si="163"/>
        <v/>
      </c>
      <c r="N891" s="1" t="str">
        <f t="shared" si="164"/>
        <v/>
      </c>
      <c r="O891" s="1" t="str">
        <f t="shared" si="165"/>
        <v/>
      </c>
      <c r="P891" s="1" t="str">
        <f t="shared" si="166"/>
        <v/>
      </c>
      <c r="R891" s="1" t="str">
        <f t="shared" si="167"/>
        <v/>
      </c>
    </row>
    <row r="892" spans="1:18" x14ac:dyDescent="0.2">
      <c r="A892" t="str">
        <f>IF(COUNTBLANK(B892:R892)&lt;&gt;COLUMNS(B892:R892),891,"")</f>
        <v/>
      </c>
      <c r="D892" s="1" t="str">
        <f t="shared" si="156"/>
        <v/>
      </c>
      <c r="E892" s="2" t="str">
        <f t="shared" si="157"/>
        <v/>
      </c>
      <c r="F892" s="1" t="str">
        <f t="shared" si="158"/>
        <v/>
      </c>
      <c r="G892" s="1" t="str">
        <f t="shared" si="159"/>
        <v/>
      </c>
      <c r="H892" s="1" t="str">
        <f t="shared" si="160"/>
        <v/>
      </c>
      <c r="K892" s="1" t="str">
        <f t="shared" si="161"/>
        <v/>
      </c>
      <c r="L892" s="1" t="str">
        <f t="shared" si="162"/>
        <v/>
      </c>
      <c r="M892" s="1" t="str">
        <f t="shared" si="163"/>
        <v/>
      </c>
      <c r="N892" s="1" t="str">
        <f t="shared" si="164"/>
        <v/>
      </c>
      <c r="O892" s="1" t="str">
        <f t="shared" si="165"/>
        <v/>
      </c>
      <c r="P892" s="1" t="str">
        <f t="shared" si="166"/>
        <v/>
      </c>
      <c r="R892" s="1" t="str">
        <f t="shared" si="167"/>
        <v/>
      </c>
    </row>
    <row r="893" spans="1:18" x14ac:dyDescent="0.2">
      <c r="A893" t="str">
        <f>IF(COUNTBLANK(B893:R893)&lt;&gt;COLUMNS(B893:R893),892,"")</f>
        <v/>
      </c>
      <c r="D893" s="1" t="str">
        <f t="shared" si="156"/>
        <v/>
      </c>
      <c r="E893" s="2" t="str">
        <f t="shared" si="157"/>
        <v/>
      </c>
      <c r="F893" s="1" t="str">
        <f t="shared" si="158"/>
        <v/>
      </c>
      <c r="G893" s="1" t="str">
        <f t="shared" si="159"/>
        <v/>
      </c>
      <c r="H893" s="1" t="str">
        <f t="shared" si="160"/>
        <v/>
      </c>
      <c r="K893" s="1" t="str">
        <f t="shared" si="161"/>
        <v/>
      </c>
      <c r="L893" s="1" t="str">
        <f t="shared" si="162"/>
        <v/>
      </c>
      <c r="M893" s="1" t="str">
        <f t="shared" si="163"/>
        <v/>
      </c>
      <c r="N893" s="1" t="str">
        <f t="shared" si="164"/>
        <v/>
      </c>
      <c r="O893" s="1" t="str">
        <f t="shared" si="165"/>
        <v/>
      </c>
      <c r="P893" s="1" t="str">
        <f t="shared" si="166"/>
        <v/>
      </c>
      <c r="R893" s="1" t="str">
        <f t="shared" si="167"/>
        <v/>
      </c>
    </row>
    <row r="894" spans="1:18" x14ac:dyDescent="0.2">
      <c r="A894" t="str">
        <f>IF(COUNTBLANK(B894:R894)&lt;&gt;COLUMNS(B894:R894),893,"")</f>
        <v/>
      </c>
      <c r="D894" s="1" t="str">
        <f t="shared" si="156"/>
        <v/>
      </c>
      <c r="E894" s="2" t="str">
        <f t="shared" si="157"/>
        <v/>
      </c>
      <c r="F894" s="1" t="str">
        <f t="shared" si="158"/>
        <v/>
      </c>
      <c r="G894" s="1" t="str">
        <f t="shared" si="159"/>
        <v/>
      </c>
      <c r="H894" s="1" t="str">
        <f t="shared" si="160"/>
        <v/>
      </c>
      <c r="K894" s="1" t="str">
        <f t="shared" si="161"/>
        <v/>
      </c>
      <c r="L894" s="1" t="str">
        <f t="shared" si="162"/>
        <v/>
      </c>
      <c r="M894" s="1" t="str">
        <f t="shared" si="163"/>
        <v/>
      </c>
      <c r="N894" s="1" t="str">
        <f t="shared" si="164"/>
        <v/>
      </c>
      <c r="O894" s="1" t="str">
        <f t="shared" si="165"/>
        <v/>
      </c>
      <c r="P894" s="1" t="str">
        <f t="shared" si="166"/>
        <v/>
      </c>
      <c r="R894" s="1" t="str">
        <f t="shared" si="167"/>
        <v/>
      </c>
    </row>
    <row r="895" spans="1:18" x14ac:dyDescent="0.2">
      <c r="A895" t="str">
        <f>IF(COUNTBLANK(B895:R895)&lt;&gt;COLUMNS(B895:R895),894,"")</f>
        <v/>
      </c>
      <c r="D895" s="1" t="str">
        <f t="shared" si="156"/>
        <v/>
      </c>
      <c r="E895" s="2" t="str">
        <f t="shared" si="157"/>
        <v/>
      </c>
      <c r="F895" s="1" t="str">
        <f t="shared" si="158"/>
        <v/>
      </c>
      <c r="G895" s="1" t="str">
        <f t="shared" si="159"/>
        <v/>
      </c>
      <c r="H895" s="1" t="str">
        <f t="shared" si="160"/>
        <v/>
      </c>
      <c r="K895" s="1" t="str">
        <f t="shared" si="161"/>
        <v/>
      </c>
      <c r="L895" s="1" t="str">
        <f t="shared" si="162"/>
        <v/>
      </c>
      <c r="M895" s="1" t="str">
        <f t="shared" si="163"/>
        <v/>
      </c>
      <c r="N895" s="1" t="str">
        <f t="shared" si="164"/>
        <v/>
      </c>
      <c r="O895" s="1" t="str">
        <f t="shared" si="165"/>
        <v/>
      </c>
      <c r="P895" s="1" t="str">
        <f t="shared" si="166"/>
        <v/>
      </c>
      <c r="R895" s="1" t="str">
        <f t="shared" si="167"/>
        <v/>
      </c>
    </row>
    <row r="896" spans="1:18" x14ac:dyDescent="0.2">
      <c r="A896" t="str">
        <f>IF(COUNTBLANK(B896:R896)&lt;&gt;COLUMNS(B896:R896),895,"")</f>
        <v/>
      </c>
      <c r="D896" s="1" t="str">
        <f t="shared" si="156"/>
        <v/>
      </c>
      <c r="E896" s="2" t="str">
        <f t="shared" si="157"/>
        <v/>
      </c>
      <c r="F896" s="1" t="str">
        <f t="shared" si="158"/>
        <v/>
      </c>
      <c r="G896" s="1" t="str">
        <f t="shared" si="159"/>
        <v/>
      </c>
      <c r="H896" s="1" t="str">
        <f t="shared" si="160"/>
        <v/>
      </c>
      <c r="K896" s="1" t="str">
        <f t="shared" si="161"/>
        <v/>
      </c>
      <c r="L896" s="1" t="str">
        <f t="shared" si="162"/>
        <v/>
      </c>
      <c r="M896" s="1" t="str">
        <f t="shared" si="163"/>
        <v/>
      </c>
      <c r="N896" s="1" t="str">
        <f t="shared" si="164"/>
        <v/>
      </c>
      <c r="O896" s="1" t="str">
        <f t="shared" si="165"/>
        <v/>
      </c>
      <c r="P896" s="1" t="str">
        <f t="shared" si="166"/>
        <v/>
      </c>
      <c r="R896" s="1" t="str">
        <f t="shared" si="167"/>
        <v/>
      </c>
    </row>
    <row r="897" spans="1:18" x14ac:dyDescent="0.2">
      <c r="A897" t="str">
        <f>IF(COUNTBLANK(B897:R897)&lt;&gt;COLUMNS(B897:R897),896,"")</f>
        <v/>
      </c>
      <c r="D897" s="1" t="str">
        <f t="shared" si="156"/>
        <v/>
      </c>
      <c r="E897" s="2" t="str">
        <f t="shared" si="157"/>
        <v/>
      </c>
      <c r="F897" s="1" t="str">
        <f t="shared" si="158"/>
        <v/>
      </c>
      <c r="G897" s="1" t="str">
        <f t="shared" si="159"/>
        <v/>
      </c>
      <c r="H897" s="1" t="str">
        <f t="shared" si="160"/>
        <v/>
      </c>
      <c r="K897" s="1" t="str">
        <f t="shared" si="161"/>
        <v/>
      </c>
      <c r="L897" s="1" t="str">
        <f t="shared" si="162"/>
        <v/>
      </c>
      <c r="M897" s="1" t="str">
        <f t="shared" si="163"/>
        <v/>
      </c>
      <c r="N897" s="1" t="str">
        <f t="shared" si="164"/>
        <v/>
      </c>
      <c r="O897" s="1" t="str">
        <f t="shared" si="165"/>
        <v/>
      </c>
      <c r="P897" s="1" t="str">
        <f t="shared" si="166"/>
        <v/>
      </c>
      <c r="R897" s="1" t="str">
        <f t="shared" si="167"/>
        <v/>
      </c>
    </row>
    <row r="898" spans="1:18" x14ac:dyDescent="0.2">
      <c r="A898" t="str">
        <f>IF(COUNTBLANK(B898:R898)&lt;&gt;COLUMNS(B898:R898),897,"")</f>
        <v/>
      </c>
      <c r="D898" s="1" t="str">
        <f t="shared" ref="D898:D961" si="168">IF(B898="", "", "years")</f>
        <v/>
      </c>
      <c r="E898" s="2" t="str">
        <f t="shared" ref="E898:E961" si="169">IF(B898="", "", "missing: not provided")</f>
        <v/>
      </c>
      <c r="F898" s="1" t="str">
        <f t="shared" ref="F898:F961" si="170">IF(B898="", "", "Not applicable")</f>
        <v/>
      </c>
      <c r="G898" s="1" t="str">
        <f t="shared" ref="G898:G961" si="171">IF(B898="", "", "urban biome")</f>
        <v/>
      </c>
      <c r="H898" s="1" t="str">
        <f t="shared" ref="H898:H961" si="172">IF(B898="", "", "human-associated habitat")</f>
        <v/>
      </c>
      <c r="K898" s="1" t="str">
        <f t="shared" ref="K898:K961" si="173">IF(B898="", "", "cm")</f>
        <v/>
      </c>
      <c r="L898" s="1" t="str">
        <f t="shared" ref="L898:L961" si="174">IF(B898="", "", "human")</f>
        <v/>
      </c>
      <c r="M898" s="1" t="str">
        <f t="shared" ref="M898:M961" si="175">IF(B898="", "", "Homo sapiens")</f>
        <v/>
      </c>
      <c r="N898" s="1" t="str">
        <f t="shared" ref="N898:N961" si="176">IF(B898="", "", "9606")</f>
        <v/>
      </c>
      <c r="O898" s="1" t="str">
        <f t="shared" ref="O898:O961" si="177">IF(B898="", "", "missing: not provided")</f>
        <v/>
      </c>
      <c r="P898" s="1" t="str">
        <f t="shared" ref="P898:P961" si="178">IF(B898="", "", "missing: not provided")</f>
        <v/>
      </c>
      <c r="R898" s="1" t="str">
        <f t="shared" ref="R898:R961" si="179">IF(B898="", "", "kg")</f>
        <v/>
      </c>
    </row>
    <row r="899" spans="1:18" x14ac:dyDescent="0.2">
      <c r="A899" t="str">
        <f>IF(COUNTBLANK(B899:R899)&lt;&gt;COLUMNS(B899:R899),898,"")</f>
        <v/>
      </c>
      <c r="D899" s="1" t="str">
        <f t="shared" si="168"/>
        <v/>
      </c>
      <c r="E899" s="2" t="str">
        <f t="shared" si="169"/>
        <v/>
      </c>
      <c r="F899" s="1" t="str">
        <f t="shared" si="170"/>
        <v/>
      </c>
      <c r="G899" s="1" t="str">
        <f t="shared" si="171"/>
        <v/>
      </c>
      <c r="H899" s="1" t="str">
        <f t="shared" si="172"/>
        <v/>
      </c>
      <c r="K899" s="1" t="str">
        <f t="shared" si="173"/>
        <v/>
      </c>
      <c r="L899" s="1" t="str">
        <f t="shared" si="174"/>
        <v/>
      </c>
      <c r="M899" s="1" t="str">
        <f t="shared" si="175"/>
        <v/>
      </c>
      <c r="N899" s="1" t="str">
        <f t="shared" si="176"/>
        <v/>
      </c>
      <c r="O899" s="1" t="str">
        <f t="shared" si="177"/>
        <v/>
      </c>
      <c r="P899" s="1" t="str">
        <f t="shared" si="178"/>
        <v/>
      </c>
      <c r="R899" s="1" t="str">
        <f t="shared" si="179"/>
        <v/>
      </c>
    </row>
    <row r="900" spans="1:18" x14ac:dyDescent="0.2">
      <c r="A900" t="str">
        <f>IF(COUNTBLANK(B900:R900)&lt;&gt;COLUMNS(B900:R900),899,"")</f>
        <v/>
      </c>
      <c r="D900" s="1" t="str">
        <f t="shared" si="168"/>
        <v/>
      </c>
      <c r="E900" s="2" t="str">
        <f t="shared" si="169"/>
        <v/>
      </c>
      <c r="F900" s="1" t="str">
        <f t="shared" si="170"/>
        <v/>
      </c>
      <c r="G900" s="1" t="str">
        <f t="shared" si="171"/>
        <v/>
      </c>
      <c r="H900" s="1" t="str">
        <f t="shared" si="172"/>
        <v/>
      </c>
      <c r="K900" s="1" t="str">
        <f t="shared" si="173"/>
        <v/>
      </c>
      <c r="L900" s="1" t="str">
        <f t="shared" si="174"/>
        <v/>
      </c>
      <c r="M900" s="1" t="str">
        <f t="shared" si="175"/>
        <v/>
      </c>
      <c r="N900" s="1" t="str">
        <f t="shared" si="176"/>
        <v/>
      </c>
      <c r="O900" s="1" t="str">
        <f t="shared" si="177"/>
        <v/>
      </c>
      <c r="P900" s="1" t="str">
        <f t="shared" si="178"/>
        <v/>
      </c>
      <c r="R900" s="1" t="str">
        <f t="shared" si="179"/>
        <v/>
      </c>
    </row>
    <row r="901" spans="1:18" x14ac:dyDescent="0.2">
      <c r="A901" t="str">
        <f>IF(COUNTBLANK(B901:R901)&lt;&gt;COLUMNS(B901:R901),900,"")</f>
        <v/>
      </c>
      <c r="D901" s="1" t="str">
        <f t="shared" si="168"/>
        <v/>
      </c>
      <c r="E901" s="2" t="str">
        <f t="shared" si="169"/>
        <v/>
      </c>
      <c r="F901" s="1" t="str">
        <f t="shared" si="170"/>
        <v/>
      </c>
      <c r="G901" s="1" t="str">
        <f t="shared" si="171"/>
        <v/>
      </c>
      <c r="H901" s="1" t="str">
        <f t="shared" si="172"/>
        <v/>
      </c>
      <c r="K901" s="1" t="str">
        <f t="shared" si="173"/>
        <v/>
      </c>
      <c r="L901" s="1" t="str">
        <f t="shared" si="174"/>
        <v/>
      </c>
      <c r="M901" s="1" t="str">
        <f t="shared" si="175"/>
        <v/>
      </c>
      <c r="N901" s="1" t="str">
        <f t="shared" si="176"/>
        <v/>
      </c>
      <c r="O901" s="1" t="str">
        <f t="shared" si="177"/>
        <v/>
      </c>
      <c r="P901" s="1" t="str">
        <f t="shared" si="178"/>
        <v/>
      </c>
      <c r="R901" s="1" t="str">
        <f t="shared" si="179"/>
        <v/>
      </c>
    </row>
    <row r="902" spans="1:18" x14ac:dyDescent="0.2">
      <c r="A902" t="str">
        <f>IF(COUNTBLANK(B902:R902)&lt;&gt;COLUMNS(B902:R902),901,"")</f>
        <v/>
      </c>
      <c r="D902" s="1" t="str">
        <f t="shared" si="168"/>
        <v/>
      </c>
      <c r="E902" s="2" t="str">
        <f t="shared" si="169"/>
        <v/>
      </c>
      <c r="F902" s="1" t="str">
        <f t="shared" si="170"/>
        <v/>
      </c>
      <c r="G902" s="1" t="str">
        <f t="shared" si="171"/>
        <v/>
      </c>
      <c r="H902" s="1" t="str">
        <f t="shared" si="172"/>
        <v/>
      </c>
      <c r="K902" s="1" t="str">
        <f t="shared" si="173"/>
        <v/>
      </c>
      <c r="L902" s="1" t="str">
        <f t="shared" si="174"/>
        <v/>
      </c>
      <c r="M902" s="1" t="str">
        <f t="shared" si="175"/>
        <v/>
      </c>
      <c r="N902" s="1" t="str">
        <f t="shared" si="176"/>
        <v/>
      </c>
      <c r="O902" s="1" t="str">
        <f t="shared" si="177"/>
        <v/>
      </c>
      <c r="P902" s="1" t="str">
        <f t="shared" si="178"/>
        <v/>
      </c>
      <c r="R902" s="1" t="str">
        <f t="shared" si="179"/>
        <v/>
      </c>
    </row>
    <row r="903" spans="1:18" x14ac:dyDescent="0.2">
      <c r="A903" t="str">
        <f>IF(COUNTBLANK(B903:R903)&lt;&gt;COLUMNS(B903:R903),902,"")</f>
        <v/>
      </c>
      <c r="D903" s="1" t="str">
        <f t="shared" si="168"/>
        <v/>
      </c>
      <c r="E903" s="2" t="str">
        <f t="shared" si="169"/>
        <v/>
      </c>
      <c r="F903" s="1" t="str">
        <f t="shared" si="170"/>
        <v/>
      </c>
      <c r="G903" s="1" t="str">
        <f t="shared" si="171"/>
        <v/>
      </c>
      <c r="H903" s="1" t="str">
        <f t="shared" si="172"/>
        <v/>
      </c>
      <c r="K903" s="1" t="str">
        <f t="shared" si="173"/>
        <v/>
      </c>
      <c r="L903" s="1" t="str">
        <f t="shared" si="174"/>
        <v/>
      </c>
      <c r="M903" s="1" t="str">
        <f t="shared" si="175"/>
        <v/>
      </c>
      <c r="N903" s="1" t="str">
        <f t="shared" si="176"/>
        <v/>
      </c>
      <c r="O903" s="1" t="str">
        <f t="shared" si="177"/>
        <v/>
      </c>
      <c r="P903" s="1" t="str">
        <f t="shared" si="178"/>
        <v/>
      </c>
      <c r="R903" s="1" t="str">
        <f t="shared" si="179"/>
        <v/>
      </c>
    </row>
    <row r="904" spans="1:18" x14ac:dyDescent="0.2">
      <c r="A904" t="str">
        <f>IF(COUNTBLANK(B904:R904)&lt;&gt;COLUMNS(B904:R904),903,"")</f>
        <v/>
      </c>
      <c r="D904" s="1" t="str">
        <f t="shared" si="168"/>
        <v/>
      </c>
      <c r="E904" s="2" t="str">
        <f t="shared" si="169"/>
        <v/>
      </c>
      <c r="F904" s="1" t="str">
        <f t="shared" si="170"/>
        <v/>
      </c>
      <c r="G904" s="1" t="str">
        <f t="shared" si="171"/>
        <v/>
      </c>
      <c r="H904" s="1" t="str">
        <f t="shared" si="172"/>
        <v/>
      </c>
      <c r="K904" s="1" t="str">
        <f t="shared" si="173"/>
        <v/>
      </c>
      <c r="L904" s="1" t="str">
        <f t="shared" si="174"/>
        <v/>
      </c>
      <c r="M904" s="1" t="str">
        <f t="shared" si="175"/>
        <v/>
      </c>
      <c r="N904" s="1" t="str">
        <f t="shared" si="176"/>
        <v/>
      </c>
      <c r="O904" s="1" t="str">
        <f t="shared" si="177"/>
        <v/>
      </c>
      <c r="P904" s="1" t="str">
        <f t="shared" si="178"/>
        <v/>
      </c>
      <c r="R904" s="1" t="str">
        <f t="shared" si="179"/>
        <v/>
      </c>
    </row>
    <row r="905" spans="1:18" x14ac:dyDescent="0.2">
      <c r="A905" t="str">
        <f>IF(COUNTBLANK(B905:R905)&lt;&gt;COLUMNS(B905:R905),904,"")</f>
        <v/>
      </c>
      <c r="D905" s="1" t="str">
        <f t="shared" si="168"/>
        <v/>
      </c>
      <c r="E905" s="2" t="str">
        <f t="shared" si="169"/>
        <v/>
      </c>
      <c r="F905" s="1" t="str">
        <f t="shared" si="170"/>
        <v/>
      </c>
      <c r="G905" s="1" t="str">
        <f t="shared" si="171"/>
        <v/>
      </c>
      <c r="H905" s="1" t="str">
        <f t="shared" si="172"/>
        <v/>
      </c>
      <c r="K905" s="1" t="str">
        <f t="shared" si="173"/>
        <v/>
      </c>
      <c r="L905" s="1" t="str">
        <f t="shared" si="174"/>
        <v/>
      </c>
      <c r="M905" s="1" t="str">
        <f t="shared" si="175"/>
        <v/>
      </c>
      <c r="N905" s="1" t="str">
        <f t="shared" si="176"/>
        <v/>
      </c>
      <c r="O905" s="1" t="str">
        <f t="shared" si="177"/>
        <v/>
      </c>
      <c r="P905" s="1" t="str">
        <f t="shared" si="178"/>
        <v/>
      </c>
      <c r="R905" s="1" t="str">
        <f t="shared" si="179"/>
        <v/>
      </c>
    </row>
    <row r="906" spans="1:18" x14ac:dyDescent="0.2">
      <c r="A906" t="str">
        <f>IF(COUNTBLANK(B906:R906)&lt;&gt;COLUMNS(B906:R906),905,"")</f>
        <v/>
      </c>
      <c r="D906" s="1" t="str">
        <f t="shared" si="168"/>
        <v/>
      </c>
      <c r="E906" s="2" t="str">
        <f t="shared" si="169"/>
        <v/>
      </c>
      <c r="F906" s="1" t="str">
        <f t="shared" si="170"/>
        <v/>
      </c>
      <c r="G906" s="1" t="str">
        <f t="shared" si="171"/>
        <v/>
      </c>
      <c r="H906" s="1" t="str">
        <f t="shared" si="172"/>
        <v/>
      </c>
      <c r="K906" s="1" t="str">
        <f t="shared" si="173"/>
        <v/>
      </c>
      <c r="L906" s="1" t="str">
        <f t="shared" si="174"/>
        <v/>
      </c>
      <c r="M906" s="1" t="str">
        <f t="shared" si="175"/>
        <v/>
      </c>
      <c r="N906" s="1" t="str">
        <f t="shared" si="176"/>
        <v/>
      </c>
      <c r="O906" s="1" t="str">
        <f t="shared" si="177"/>
        <v/>
      </c>
      <c r="P906" s="1" t="str">
        <f t="shared" si="178"/>
        <v/>
      </c>
      <c r="R906" s="1" t="str">
        <f t="shared" si="179"/>
        <v/>
      </c>
    </row>
    <row r="907" spans="1:18" x14ac:dyDescent="0.2">
      <c r="A907" t="str">
        <f>IF(COUNTBLANK(B907:R907)&lt;&gt;COLUMNS(B907:R907),906,"")</f>
        <v/>
      </c>
      <c r="D907" s="1" t="str">
        <f t="shared" si="168"/>
        <v/>
      </c>
      <c r="E907" s="2" t="str">
        <f t="shared" si="169"/>
        <v/>
      </c>
      <c r="F907" s="1" t="str">
        <f t="shared" si="170"/>
        <v/>
      </c>
      <c r="G907" s="1" t="str">
        <f t="shared" si="171"/>
        <v/>
      </c>
      <c r="H907" s="1" t="str">
        <f t="shared" si="172"/>
        <v/>
      </c>
      <c r="K907" s="1" t="str">
        <f t="shared" si="173"/>
        <v/>
      </c>
      <c r="L907" s="1" t="str">
        <f t="shared" si="174"/>
        <v/>
      </c>
      <c r="M907" s="1" t="str">
        <f t="shared" si="175"/>
        <v/>
      </c>
      <c r="N907" s="1" t="str">
        <f t="shared" si="176"/>
        <v/>
      </c>
      <c r="O907" s="1" t="str">
        <f t="shared" si="177"/>
        <v/>
      </c>
      <c r="P907" s="1" t="str">
        <f t="shared" si="178"/>
        <v/>
      </c>
      <c r="R907" s="1" t="str">
        <f t="shared" si="179"/>
        <v/>
      </c>
    </row>
    <row r="908" spans="1:18" x14ac:dyDescent="0.2">
      <c r="A908" t="str">
        <f>IF(COUNTBLANK(B908:R908)&lt;&gt;COLUMNS(B908:R908),907,"")</f>
        <v/>
      </c>
      <c r="D908" s="1" t="str">
        <f t="shared" si="168"/>
        <v/>
      </c>
      <c r="E908" s="2" t="str">
        <f t="shared" si="169"/>
        <v/>
      </c>
      <c r="F908" s="1" t="str">
        <f t="shared" si="170"/>
        <v/>
      </c>
      <c r="G908" s="1" t="str">
        <f t="shared" si="171"/>
        <v/>
      </c>
      <c r="H908" s="1" t="str">
        <f t="shared" si="172"/>
        <v/>
      </c>
      <c r="K908" s="1" t="str">
        <f t="shared" si="173"/>
        <v/>
      </c>
      <c r="L908" s="1" t="str">
        <f t="shared" si="174"/>
        <v/>
      </c>
      <c r="M908" s="1" t="str">
        <f t="shared" si="175"/>
        <v/>
      </c>
      <c r="N908" s="1" t="str">
        <f t="shared" si="176"/>
        <v/>
      </c>
      <c r="O908" s="1" t="str">
        <f t="shared" si="177"/>
        <v/>
      </c>
      <c r="P908" s="1" t="str">
        <f t="shared" si="178"/>
        <v/>
      </c>
      <c r="R908" s="1" t="str">
        <f t="shared" si="179"/>
        <v/>
      </c>
    </row>
    <row r="909" spans="1:18" x14ac:dyDescent="0.2">
      <c r="A909" t="str">
        <f>IF(COUNTBLANK(B909:R909)&lt;&gt;COLUMNS(B909:R909),908,"")</f>
        <v/>
      </c>
      <c r="D909" s="1" t="str">
        <f t="shared" si="168"/>
        <v/>
      </c>
      <c r="E909" s="2" t="str">
        <f t="shared" si="169"/>
        <v/>
      </c>
      <c r="F909" s="1" t="str">
        <f t="shared" si="170"/>
        <v/>
      </c>
      <c r="G909" s="1" t="str">
        <f t="shared" si="171"/>
        <v/>
      </c>
      <c r="H909" s="1" t="str">
        <f t="shared" si="172"/>
        <v/>
      </c>
      <c r="K909" s="1" t="str">
        <f t="shared" si="173"/>
        <v/>
      </c>
      <c r="L909" s="1" t="str">
        <f t="shared" si="174"/>
        <v/>
      </c>
      <c r="M909" s="1" t="str">
        <f t="shared" si="175"/>
        <v/>
      </c>
      <c r="N909" s="1" t="str">
        <f t="shared" si="176"/>
        <v/>
      </c>
      <c r="O909" s="1" t="str">
        <f t="shared" si="177"/>
        <v/>
      </c>
      <c r="P909" s="1" t="str">
        <f t="shared" si="178"/>
        <v/>
      </c>
      <c r="R909" s="1" t="str">
        <f t="shared" si="179"/>
        <v/>
      </c>
    </row>
    <row r="910" spans="1:18" x14ac:dyDescent="0.2">
      <c r="A910" t="str">
        <f>IF(COUNTBLANK(B910:R910)&lt;&gt;COLUMNS(B910:R910),909,"")</f>
        <v/>
      </c>
      <c r="D910" s="1" t="str">
        <f t="shared" si="168"/>
        <v/>
      </c>
      <c r="E910" s="2" t="str">
        <f t="shared" si="169"/>
        <v/>
      </c>
      <c r="F910" s="1" t="str">
        <f t="shared" si="170"/>
        <v/>
      </c>
      <c r="G910" s="1" t="str">
        <f t="shared" si="171"/>
        <v/>
      </c>
      <c r="H910" s="1" t="str">
        <f t="shared" si="172"/>
        <v/>
      </c>
      <c r="K910" s="1" t="str">
        <f t="shared" si="173"/>
        <v/>
      </c>
      <c r="L910" s="1" t="str">
        <f t="shared" si="174"/>
        <v/>
      </c>
      <c r="M910" s="1" t="str">
        <f t="shared" si="175"/>
        <v/>
      </c>
      <c r="N910" s="1" t="str">
        <f t="shared" si="176"/>
        <v/>
      </c>
      <c r="O910" s="1" t="str">
        <f t="shared" si="177"/>
        <v/>
      </c>
      <c r="P910" s="1" t="str">
        <f t="shared" si="178"/>
        <v/>
      </c>
      <c r="R910" s="1" t="str">
        <f t="shared" si="179"/>
        <v/>
      </c>
    </row>
    <row r="911" spans="1:18" x14ac:dyDescent="0.2">
      <c r="A911" t="str">
        <f>IF(COUNTBLANK(B911:R911)&lt;&gt;COLUMNS(B911:R911),910,"")</f>
        <v/>
      </c>
      <c r="D911" s="1" t="str">
        <f t="shared" si="168"/>
        <v/>
      </c>
      <c r="E911" s="2" t="str">
        <f t="shared" si="169"/>
        <v/>
      </c>
      <c r="F911" s="1" t="str">
        <f t="shared" si="170"/>
        <v/>
      </c>
      <c r="G911" s="1" t="str">
        <f t="shared" si="171"/>
        <v/>
      </c>
      <c r="H911" s="1" t="str">
        <f t="shared" si="172"/>
        <v/>
      </c>
      <c r="K911" s="1" t="str">
        <f t="shared" si="173"/>
        <v/>
      </c>
      <c r="L911" s="1" t="str">
        <f t="shared" si="174"/>
        <v/>
      </c>
      <c r="M911" s="1" t="str">
        <f t="shared" si="175"/>
        <v/>
      </c>
      <c r="N911" s="1" t="str">
        <f t="shared" si="176"/>
        <v/>
      </c>
      <c r="O911" s="1" t="str">
        <f t="shared" si="177"/>
        <v/>
      </c>
      <c r="P911" s="1" t="str">
        <f t="shared" si="178"/>
        <v/>
      </c>
      <c r="R911" s="1" t="str">
        <f t="shared" si="179"/>
        <v/>
      </c>
    </row>
    <row r="912" spans="1:18" x14ac:dyDescent="0.2">
      <c r="A912" t="str">
        <f>IF(COUNTBLANK(B912:R912)&lt;&gt;COLUMNS(B912:R912),911,"")</f>
        <v/>
      </c>
      <c r="D912" s="1" t="str">
        <f t="shared" si="168"/>
        <v/>
      </c>
      <c r="E912" s="2" t="str">
        <f t="shared" si="169"/>
        <v/>
      </c>
      <c r="F912" s="1" t="str">
        <f t="shared" si="170"/>
        <v/>
      </c>
      <c r="G912" s="1" t="str">
        <f t="shared" si="171"/>
        <v/>
      </c>
      <c r="H912" s="1" t="str">
        <f t="shared" si="172"/>
        <v/>
      </c>
      <c r="K912" s="1" t="str">
        <f t="shared" si="173"/>
        <v/>
      </c>
      <c r="L912" s="1" t="str">
        <f t="shared" si="174"/>
        <v/>
      </c>
      <c r="M912" s="1" t="str">
        <f t="shared" si="175"/>
        <v/>
      </c>
      <c r="N912" s="1" t="str">
        <f t="shared" si="176"/>
        <v/>
      </c>
      <c r="O912" s="1" t="str">
        <f t="shared" si="177"/>
        <v/>
      </c>
      <c r="P912" s="1" t="str">
        <f t="shared" si="178"/>
        <v/>
      </c>
      <c r="R912" s="1" t="str">
        <f t="shared" si="179"/>
        <v/>
      </c>
    </row>
    <row r="913" spans="1:18" x14ac:dyDescent="0.2">
      <c r="A913" t="str">
        <f>IF(COUNTBLANK(B913:R913)&lt;&gt;COLUMNS(B913:R913),912,"")</f>
        <v/>
      </c>
      <c r="D913" s="1" t="str">
        <f t="shared" si="168"/>
        <v/>
      </c>
      <c r="E913" s="2" t="str">
        <f t="shared" si="169"/>
        <v/>
      </c>
      <c r="F913" s="1" t="str">
        <f t="shared" si="170"/>
        <v/>
      </c>
      <c r="G913" s="1" t="str">
        <f t="shared" si="171"/>
        <v/>
      </c>
      <c r="H913" s="1" t="str">
        <f t="shared" si="172"/>
        <v/>
      </c>
      <c r="K913" s="1" t="str">
        <f t="shared" si="173"/>
        <v/>
      </c>
      <c r="L913" s="1" t="str">
        <f t="shared" si="174"/>
        <v/>
      </c>
      <c r="M913" s="1" t="str">
        <f t="shared" si="175"/>
        <v/>
      </c>
      <c r="N913" s="1" t="str">
        <f t="shared" si="176"/>
        <v/>
      </c>
      <c r="O913" s="1" t="str">
        <f t="shared" si="177"/>
        <v/>
      </c>
      <c r="P913" s="1" t="str">
        <f t="shared" si="178"/>
        <v/>
      </c>
      <c r="R913" s="1" t="str">
        <f t="shared" si="179"/>
        <v/>
      </c>
    </row>
    <row r="914" spans="1:18" x14ac:dyDescent="0.2">
      <c r="A914" t="str">
        <f>IF(COUNTBLANK(B914:R914)&lt;&gt;COLUMNS(B914:R914),913,"")</f>
        <v/>
      </c>
      <c r="D914" s="1" t="str">
        <f t="shared" si="168"/>
        <v/>
      </c>
      <c r="E914" s="2" t="str">
        <f t="shared" si="169"/>
        <v/>
      </c>
      <c r="F914" s="1" t="str">
        <f t="shared" si="170"/>
        <v/>
      </c>
      <c r="G914" s="1" t="str">
        <f t="shared" si="171"/>
        <v/>
      </c>
      <c r="H914" s="1" t="str">
        <f t="shared" si="172"/>
        <v/>
      </c>
      <c r="K914" s="1" t="str">
        <f t="shared" si="173"/>
        <v/>
      </c>
      <c r="L914" s="1" t="str">
        <f t="shared" si="174"/>
        <v/>
      </c>
      <c r="M914" s="1" t="str">
        <f t="shared" si="175"/>
        <v/>
      </c>
      <c r="N914" s="1" t="str">
        <f t="shared" si="176"/>
        <v/>
      </c>
      <c r="O914" s="1" t="str">
        <f t="shared" si="177"/>
        <v/>
      </c>
      <c r="P914" s="1" t="str">
        <f t="shared" si="178"/>
        <v/>
      </c>
      <c r="R914" s="1" t="str">
        <f t="shared" si="179"/>
        <v/>
      </c>
    </row>
    <row r="915" spans="1:18" x14ac:dyDescent="0.2">
      <c r="A915" t="str">
        <f>IF(COUNTBLANK(B915:R915)&lt;&gt;COLUMNS(B915:R915),914,"")</f>
        <v/>
      </c>
      <c r="D915" s="1" t="str">
        <f t="shared" si="168"/>
        <v/>
      </c>
      <c r="E915" s="2" t="str">
        <f t="shared" si="169"/>
        <v/>
      </c>
      <c r="F915" s="1" t="str">
        <f t="shared" si="170"/>
        <v/>
      </c>
      <c r="G915" s="1" t="str">
        <f t="shared" si="171"/>
        <v/>
      </c>
      <c r="H915" s="1" t="str">
        <f t="shared" si="172"/>
        <v/>
      </c>
      <c r="K915" s="1" t="str">
        <f t="shared" si="173"/>
        <v/>
      </c>
      <c r="L915" s="1" t="str">
        <f t="shared" si="174"/>
        <v/>
      </c>
      <c r="M915" s="1" t="str">
        <f t="shared" si="175"/>
        <v/>
      </c>
      <c r="N915" s="1" t="str">
        <f t="shared" si="176"/>
        <v/>
      </c>
      <c r="O915" s="1" t="str">
        <f t="shared" si="177"/>
        <v/>
      </c>
      <c r="P915" s="1" t="str">
        <f t="shared" si="178"/>
        <v/>
      </c>
      <c r="R915" s="1" t="str">
        <f t="shared" si="179"/>
        <v/>
      </c>
    </row>
    <row r="916" spans="1:18" x14ac:dyDescent="0.2">
      <c r="A916" t="str">
        <f>IF(COUNTBLANK(B916:R916)&lt;&gt;COLUMNS(B916:R916),915,"")</f>
        <v/>
      </c>
      <c r="D916" s="1" t="str">
        <f t="shared" si="168"/>
        <v/>
      </c>
      <c r="E916" s="2" t="str">
        <f t="shared" si="169"/>
        <v/>
      </c>
      <c r="F916" s="1" t="str">
        <f t="shared" si="170"/>
        <v/>
      </c>
      <c r="G916" s="1" t="str">
        <f t="shared" si="171"/>
        <v/>
      </c>
      <c r="H916" s="1" t="str">
        <f t="shared" si="172"/>
        <v/>
      </c>
      <c r="K916" s="1" t="str">
        <f t="shared" si="173"/>
        <v/>
      </c>
      <c r="L916" s="1" t="str">
        <f t="shared" si="174"/>
        <v/>
      </c>
      <c r="M916" s="1" t="str">
        <f t="shared" si="175"/>
        <v/>
      </c>
      <c r="N916" s="1" t="str">
        <f t="shared" si="176"/>
        <v/>
      </c>
      <c r="O916" s="1" t="str">
        <f t="shared" si="177"/>
        <v/>
      </c>
      <c r="P916" s="1" t="str">
        <f t="shared" si="178"/>
        <v/>
      </c>
      <c r="R916" s="1" t="str">
        <f t="shared" si="179"/>
        <v/>
      </c>
    </row>
    <row r="917" spans="1:18" x14ac:dyDescent="0.2">
      <c r="A917" t="str">
        <f>IF(COUNTBLANK(B917:R917)&lt;&gt;COLUMNS(B917:R917),916,"")</f>
        <v/>
      </c>
      <c r="D917" s="1" t="str">
        <f t="shared" si="168"/>
        <v/>
      </c>
      <c r="E917" s="2" t="str">
        <f t="shared" si="169"/>
        <v/>
      </c>
      <c r="F917" s="1" t="str">
        <f t="shared" si="170"/>
        <v/>
      </c>
      <c r="G917" s="1" t="str">
        <f t="shared" si="171"/>
        <v/>
      </c>
      <c r="H917" s="1" t="str">
        <f t="shared" si="172"/>
        <v/>
      </c>
      <c r="K917" s="1" t="str">
        <f t="shared" si="173"/>
        <v/>
      </c>
      <c r="L917" s="1" t="str">
        <f t="shared" si="174"/>
        <v/>
      </c>
      <c r="M917" s="1" t="str">
        <f t="shared" si="175"/>
        <v/>
      </c>
      <c r="N917" s="1" t="str">
        <f t="shared" si="176"/>
        <v/>
      </c>
      <c r="O917" s="1" t="str">
        <f t="shared" si="177"/>
        <v/>
      </c>
      <c r="P917" s="1" t="str">
        <f t="shared" si="178"/>
        <v/>
      </c>
      <c r="R917" s="1" t="str">
        <f t="shared" si="179"/>
        <v/>
      </c>
    </row>
    <row r="918" spans="1:18" x14ac:dyDescent="0.2">
      <c r="A918" t="str">
        <f>IF(COUNTBLANK(B918:R918)&lt;&gt;COLUMNS(B918:R918),917,"")</f>
        <v/>
      </c>
      <c r="D918" s="1" t="str">
        <f t="shared" si="168"/>
        <v/>
      </c>
      <c r="E918" s="2" t="str">
        <f t="shared" si="169"/>
        <v/>
      </c>
      <c r="F918" s="1" t="str">
        <f t="shared" si="170"/>
        <v/>
      </c>
      <c r="G918" s="1" t="str">
        <f t="shared" si="171"/>
        <v/>
      </c>
      <c r="H918" s="1" t="str">
        <f t="shared" si="172"/>
        <v/>
      </c>
      <c r="K918" s="1" t="str">
        <f t="shared" si="173"/>
        <v/>
      </c>
      <c r="L918" s="1" t="str">
        <f t="shared" si="174"/>
        <v/>
      </c>
      <c r="M918" s="1" t="str">
        <f t="shared" si="175"/>
        <v/>
      </c>
      <c r="N918" s="1" t="str">
        <f t="shared" si="176"/>
        <v/>
      </c>
      <c r="O918" s="1" t="str">
        <f t="shared" si="177"/>
        <v/>
      </c>
      <c r="P918" s="1" t="str">
        <f t="shared" si="178"/>
        <v/>
      </c>
      <c r="R918" s="1" t="str">
        <f t="shared" si="179"/>
        <v/>
      </c>
    </row>
    <row r="919" spans="1:18" x14ac:dyDescent="0.2">
      <c r="A919" t="str">
        <f>IF(COUNTBLANK(B919:R919)&lt;&gt;COLUMNS(B919:R919),918,"")</f>
        <v/>
      </c>
      <c r="D919" s="1" t="str">
        <f t="shared" si="168"/>
        <v/>
      </c>
      <c r="E919" s="2" t="str">
        <f t="shared" si="169"/>
        <v/>
      </c>
      <c r="F919" s="1" t="str">
        <f t="shared" si="170"/>
        <v/>
      </c>
      <c r="G919" s="1" t="str">
        <f t="shared" si="171"/>
        <v/>
      </c>
      <c r="H919" s="1" t="str">
        <f t="shared" si="172"/>
        <v/>
      </c>
      <c r="K919" s="1" t="str">
        <f t="shared" si="173"/>
        <v/>
      </c>
      <c r="L919" s="1" t="str">
        <f t="shared" si="174"/>
        <v/>
      </c>
      <c r="M919" s="1" t="str">
        <f t="shared" si="175"/>
        <v/>
      </c>
      <c r="N919" s="1" t="str">
        <f t="shared" si="176"/>
        <v/>
      </c>
      <c r="O919" s="1" t="str">
        <f t="shared" si="177"/>
        <v/>
      </c>
      <c r="P919" s="1" t="str">
        <f t="shared" si="178"/>
        <v/>
      </c>
      <c r="R919" s="1" t="str">
        <f t="shared" si="179"/>
        <v/>
      </c>
    </row>
    <row r="920" spans="1:18" x14ac:dyDescent="0.2">
      <c r="A920" t="str">
        <f>IF(COUNTBLANK(B920:R920)&lt;&gt;COLUMNS(B920:R920),919,"")</f>
        <v/>
      </c>
      <c r="D920" s="1" t="str">
        <f t="shared" si="168"/>
        <v/>
      </c>
      <c r="E920" s="2" t="str">
        <f t="shared" si="169"/>
        <v/>
      </c>
      <c r="F920" s="1" t="str">
        <f t="shared" si="170"/>
        <v/>
      </c>
      <c r="G920" s="1" t="str">
        <f t="shared" si="171"/>
        <v/>
      </c>
      <c r="H920" s="1" t="str">
        <f t="shared" si="172"/>
        <v/>
      </c>
      <c r="K920" s="1" t="str">
        <f t="shared" si="173"/>
        <v/>
      </c>
      <c r="L920" s="1" t="str">
        <f t="shared" si="174"/>
        <v/>
      </c>
      <c r="M920" s="1" t="str">
        <f t="shared" si="175"/>
        <v/>
      </c>
      <c r="N920" s="1" t="str">
        <f t="shared" si="176"/>
        <v/>
      </c>
      <c r="O920" s="1" t="str">
        <f t="shared" si="177"/>
        <v/>
      </c>
      <c r="P920" s="1" t="str">
        <f t="shared" si="178"/>
        <v/>
      </c>
      <c r="R920" s="1" t="str">
        <f t="shared" si="179"/>
        <v/>
      </c>
    </row>
    <row r="921" spans="1:18" x14ac:dyDescent="0.2">
      <c r="A921" t="str">
        <f>IF(COUNTBLANK(B921:R921)&lt;&gt;COLUMNS(B921:R921),920,"")</f>
        <v/>
      </c>
      <c r="D921" s="1" t="str">
        <f t="shared" si="168"/>
        <v/>
      </c>
      <c r="E921" s="2" t="str">
        <f t="shared" si="169"/>
        <v/>
      </c>
      <c r="F921" s="1" t="str">
        <f t="shared" si="170"/>
        <v/>
      </c>
      <c r="G921" s="1" t="str">
        <f t="shared" si="171"/>
        <v/>
      </c>
      <c r="H921" s="1" t="str">
        <f t="shared" si="172"/>
        <v/>
      </c>
      <c r="K921" s="1" t="str">
        <f t="shared" si="173"/>
        <v/>
      </c>
      <c r="L921" s="1" t="str">
        <f t="shared" si="174"/>
        <v/>
      </c>
      <c r="M921" s="1" t="str">
        <f t="shared" si="175"/>
        <v/>
      </c>
      <c r="N921" s="1" t="str">
        <f t="shared" si="176"/>
        <v/>
      </c>
      <c r="O921" s="1" t="str">
        <f t="shared" si="177"/>
        <v/>
      </c>
      <c r="P921" s="1" t="str">
        <f t="shared" si="178"/>
        <v/>
      </c>
      <c r="R921" s="1" t="str">
        <f t="shared" si="179"/>
        <v/>
      </c>
    </row>
    <row r="922" spans="1:18" x14ac:dyDescent="0.2">
      <c r="A922" t="str">
        <f>IF(COUNTBLANK(B922:R922)&lt;&gt;COLUMNS(B922:R922),921,"")</f>
        <v/>
      </c>
      <c r="D922" s="1" t="str">
        <f t="shared" si="168"/>
        <v/>
      </c>
      <c r="E922" s="2" t="str">
        <f t="shared" si="169"/>
        <v/>
      </c>
      <c r="F922" s="1" t="str">
        <f t="shared" si="170"/>
        <v/>
      </c>
      <c r="G922" s="1" t="str">
        <f t="shared" si="171"/>
        <v/>
      </c>
      <c r="H922" s="1" t="str">
        <f t="shared" si="172"/>
        <v/>
      </c>
      <c r="K922" s="1" t="str">
        <f t="shared" si="173"/>
        <v/>
      </c>
      <c r="L922" s="1" t="str">
        <f t="shared" si="174"/>
        <v/>
      </c>
      <c r="M922" s="1" t="str">
        <f t="shared" si="175"/>
        <v/>
      </c>
      <c r="N922" s="1" t="str">
        <f t="shared" si="176"/>
        <v/>
      </c>
      <c r="O922" s="1" t="str">
        <f t="shared" si="177"/>
        <v/>
      </c>
      <c r="P922" s="1" t="str">
        <f t="shared" si="178"/>
        <v/>
      </c>
      <c r="R922" s="1" t="str">
        <f t="shared" si="179"/>
        <v/>
      </c>
    </row>
    <row r="923" spans="1:18" x14ac:dyDescent="0.2">
      <c r="A923" t="str">
        <f>IF(COUNTBLANK(B923:R923)&lt;&gt;COLUMNS(B923:R923),922,"")</f>
        <v/>
      </c>
      <c r="D923" s="1" t="str">
        <f t="shared" si="168"/>
        <v/>
      </c>
      <c r="E923" s="2" t="str">
        <f t="shared" si="169"/>
        <v/>
      </c>
      <c r="F923" s="1" t="str">
        <f t="shared" si="170"/>
        <v/>
      </c>
      <c r="G923" s="1" t="str">
        <f t="shared" si="171"/>
        <v/>
      </c>
      <c r="H923" s="1" t="str">
        <f t="shared" si="172"/>
        <v/>
      </c>
      <c r="K923" s="1" t="str">
        <f t="shared" si="173"/>
        <v/>
      </c>
      <c r="L923" s="1" t="str">
        <f t="shared" si="174"/>
        <v/>
      </c>
      <c r="M923" s="1" t="str">
        <f t="shared" si="175"/>
        <v/>
      </c>
      <c r="N923" s="1" t="str">
        <f t="shared" si="176"/>
        <v/>
      </c>
      <c r="O923" s="1" t="str">
        <f t="shared" si="177"/>
        <v/>
      </c>
      <c r="P923" s="1" t="str">
        <f t="shared" si="178"/>
        <v/>
      </c>
      <c r="R923" s="1" t="str">
        <f t="shared" si="179"/>
        <v/>
      </c>
    </row>
    <row r="924" spans="1:18" x14ac:dyDescent="0.2">
      <c r="A924" t="str">
        <f>IF(COUNTBLANK(B924:R924)&lt;&gt;COLUMNS(B924:R924),923,"")</f>
        <v/>
      </c>
      <c r="D924" s="1" t="str">
        <f t="shared" si="168"/>
        <v/>
      </c>
      <c r="E924" s="2" t="str">
        <f t="shared" si="169"/>
        <v/>
      </c>
      <c r="F924" s="1" t="str">
        <f t="shared" si="170"/>
        <v/>
      </c>
      <c r="G924" s="1" t="str">
        <f t="shared" si="171"/>
        <v/>
      </c>
      <c r="H924" s="1" t="str">
        <f t="shared" si="172"/>
        <v/>
      </c>
      <c r="K924" s="1" t="str">
        <f t="shared" si="173"/>
        <v/>
      </c>
      <c r="L924" s="1" t="str">
        <f t="shared" si="174"/>
        <v/>
      </c>
      <c r="M924" s="1" t="str">
        <f t="shared" si="175"/>
        <v/>
      </c>
      <c r="N924" s="1" t="str">
        <f t="shared" si="176"/>
        <v/>
      </c>
      <c r="O924" s="1" t="str">
        <f t="shared" si="177"/>
        <v/>
      </c>
      <c r="P924" s="1" t="str">
        <f t="shared" si="178"/>
        <v/>
      </c>
      <c r="R924" s="1" t="str">
        <f t="shared" si="179"/>
        <v/>
      </c>
    </row>
    <row r="925" spans="1:18" x14ac:dyDescent="0.2">
      <c r="A925" t="str">
        <f>IF(COUNTBLANK(B925:R925)&lt;&gt;COLUMNS(B925:R925),924,"")</f>
        <v/>
      </c>
      <c r="D925" s="1" t="str">
        <f t="shared" si="168"/>
        <v/>
      </c>
      <c r="E925" s="2" t="str">
        <f t="shared" si="169"/>
        <v/>
      </c>
      <c r="F925" s="1" t="str">
        <f t="shared" si="170"/>
        <v/>
      </c>
      <c r="G925" s="1" t="str">
        <f t="shared" si="171"/>
        <v/>
      </c>
      <c r="H925" s="1" t="str">
        <f t="shared" si="172"/>
        <v/>
      </c>
      <c r="K925" s="1" t="str">
        <f t="shared" si="173"/>
        <v/>
      </c>
      <c r="L925" s="1" t="str">
        <f t="shared" si="174"/>
        <v/>
      </c>
      <c r="M925" s="1" t="str">
        <f t="shared" si="175"/>
        <v/>
      </c>
      <c r="N925" s="1" t="str">
        <f t="shared" si="176"/>
        <v/>
      </c>
      <c r="O925" s="1" t="str">
        <f t="shared" si="177"/>
        <v/>
      </c>
      <c r="P925" s="1" t="str">
        <f t="shared" si="178"/>
        <v/>
      </c>
      <c r="R925" s="1" t="str">
        <f t="shared" si="179"/>
        <v/>
      </c>
    </row>
    <row r="926" spans="1:18" x14ac:dyDescent="0.2">
      <c r="A926" t="str">
        <f>IF(COUNTBLANK(B926:R926)&lt;&gt;COLUMNS(B926:R926),925,"")</f>
        <v/>
      </c>
      <c r="D926" s="1" t="str">
        <f t="shared" si="168"/>
        <v/>
      </c>
      <c r="E926" s="2" t="str">
        <f t="shared" si="169"/>
        <v/>
      </c>
      <c r="F926" s="1" t="str">
        <f t="shared" si="170"/>
        <v/>
      </c>
      <c r="G926" s="1" t="str">
        <f t="shared" si="171"/>
        <v/>
      </c>
      <c r="H926" s="1" t="str">
        <f t="shared" si="172"/>
        <v/>
      </c>
      <c r="K926" s="1" t="str">
        <f t="shared" si="173"/>
        <v/>
      </c>
      <c r="L926" s="1" t="str">
        <f t="shared" si="174"/>
        <v/>
      </c>
      <c r="M926" s="1" t="str">
        <f t="shared" si="175"/>
        <v/>
      </c>
      <c r="N926" s="1" t="str">
        <f t="shared" si="176"/>
        <v/>
      </c>
      <c r="O926" s="1" t="str">
        <f t="shared" si="177"/>
        <v/>
      </c>
      <c r="P926" s="1" t="str">
        <f t="shared" si="178"/>
        <v/>
      </c>
      <c r="R926" s="1" t="str">
        <f t="shared" si="179"/>
        <v/>
      </c>
    </row>
    <row r="927" spans="1:18" x14ac:dyDescent="0.2">
      <c r="A927" t="str">
        <f>IF(COUNTBLANK(B927:R927)&lt;&gt;COLUMNS(B927:R927),926,"")</f>
        <v/>
      </c>
      <c r="D927" s="1" t="str">
        <f t="shared" si="168"/>
        <v/>
      </c>
      <c r="E927" s="2" t="str">
        <f t="shared" si="169"/>
        <v/>
      </c>
      <c r="F927" s="1" t="str">
        <f t="shared" si="170"/>
        <v/>
      </c>
      <c r="G927" s="1" t="str">
        <f t="shared" si="171"/>
        <v/>
      </c>
      <c r="H927" s="1" t="str">
        <f t="shared" si="172"/>
        <v/>
      </c>
      <c r="K927" s="1" t="str">
        <f t="shared" si="173"/>
        <v/>
      </c>
      <c r="L927" s="1" t="str">
        <f t="shared" si="174"/>
        <v/>
      </c>
      <c r="M927" s="1" t="str">
        <f t="shared" si="175"/>
        <v/>
      </c>
      <c r="N927" s="1" t="str">
        <f t="shared" si="176"/>
        <v/>
      </c>
      <c r="O927" s="1" t="str">
        <f t="shared" si="177"/>
        <v/>
      </c>
      <c r="P927" s="1" t="str">
        <f t="shared" si="178"/>
        <v/>
      </c>
      <c r="R927" s="1" t="str">
        <f t="shared" si="179"/>
        <v/>
      </c>
    </row>
    <row r="928" spans="1:18" x14ac:dyDescent="0.2">
      <c r="A928" t="str">
        <f>IF(COUNTBLANK(B928:R928)&lt;&gt;COLUMNS(B928:R928),927,"")</f>
        <v/>
      </c>
      <c r="D928" s="1" t="str">
        <f t="shared" si="168"/>
        <v/>
      </c>
      <c r="E928" s="2" t="str">
        <f t="shared" si="169"/>
        <v/>
      </c>
      <c r="F928" s="1" t="str">
        <f t="shared" si="170"/>
        <v/>
      </c>
      <c r="G928" s="1" t="str">
        <f t="shared" si="171"/>
        <v/>
      </c>
      <c r="H928" s="1" t="str">
        <f t="shared" si="172"/>
        <v/>
      </c>
      <c r="K928" s="1" t="str">
        <f t="shared" si="173"/>
        <v/>
      </c>
      <c r="L928" s="1" t="str">
        <f t="shared" si="174"/>
        <v/>
      </c>
      <c r="M928" s="1" t="str">
        <f t="shared" si="175"/>
        <v/>
      </c>
      <c r="N928" s="1" t="str">
        <f t="shared" si="176"/>
        <v/>
      </c>
      <c r="O928" s="1" t="str">
        <f t="shared" si="177"/>
        <v/>
      </c>
      <c r="P928" s="1" t="str">
        <f t="shared" si="178"/>
        <v/>
      </c>
      <c r="R928" s="1" t="str">
        <f t="shared" si="179"/>
        <v/>
      </c>
    </row>
    <row r="929" spans="1:18" x14ac:dyDescent="0.2">
      <c r="A929" t="str">
        <f>IF(COUNTBLANK(B929:R929)&lt;&gt;COLUMNS(B929:R929),928,"")</f>
        <v/>
      </c>
      <c r="D929" s="1" t="str">
        <f t="shared" si="168"/>
        <v/>
      </c>
      <c r="E929" s="2" t="str">
        <f t="shared" si="169"/>
        <v/>
      </c>
      <c r="F929" s="1" t="str">
        <f t="shared" si="170"/>
        <v/>
      </c>
      <c r="G929" s="1" t="str">
        <f t="shared" si="171"/>
        <v/>
      </c>
      <c r="H929" s="1" t="str">
        <f t="shared" si="172"/>
        <v/>
      </c>
      <c r="K929" s="1" t="str">
        <f t="shared" si="173"/>
        <v/>
      </c>
      <c r="L929" s="1" t="str">
        <f t="shared" si="174"/>
        <v/>
      </c>
      <c r="M929" s="1" t="str">
        <f t="shared" si="175"/>
        <v/>
      </c>
      <c r="N929" s="1" t="str">
        <f t="shared" si="176"/>
        <v/>
      </c>
      <c r="O929" s="1" t="str">
        <f t="shared" si="177"/>
        <v/>
      </c>
      <c r="P929" s="1" t="str">
        <f t="shared" si="178"/>
        <v/>
      </c>
      <c r="R929" s="1" t="str">
        <f t="shared" si="179"/>
        <v/>
      </c>
    </row>
    <row r="930" spans="1:18" x14ac:dyDescent="0.2">
      <c r="A930" t="str">
        <f>IF(COUNTBLANK(B930:R930)&lt;&gt;COLUMNS(B930:R930),929,"")</f>
        <v/>
      </c>
      <c r="D930" s="1" t="str">
        <f t="shared" si="168"/>
        <v/>
      </c>
      <c r="E930" s="2" t="str">
        <f t="shared" si="169"/>
        <v/>
      </c>
      <c r="F930" s="1" t="str">
        <f t="shared" si="170"/>
        <v/>
      </c>
      <c r="G930" s="1" t="str">
        <f t="shared" si="171"/>
        <v/>
      </c>
      <c r="H930" s="1" t="str">
        <f t="shared" si="172"/>
        <v/>
      </c>
      <c r="K930" s="1" t="str">
        <f t="shared" si="173"/>
        <v/>
      </c>
      <c r="L930" s="1" t="str">
        <f t="shared" si="174"/>
        <v/>
      </c>
      <c r="M930" s="1" t="str">
        <f t="shared" si="175"/>
        <v/>
      </c>
      <c r="N930" s="1" t="str">
        <f t="shared" si="176"/>
        <v/>
      </c>
      <c r="O930" s="1" t="str">
        <f t="shared" si="177"/>
        <v/>
      </c>
      <c r="P930" s="1" t="str">
        <f t="shared" si="178"/>
        <v/>
      </c>
      <c r="R930" s="1" t="str">
        <f t="shared" si="179"/>
        <v/>
      </c>
    </row>
    <row r="931" spans="1:18" x14ac:dyDescent="0.2">
      <c r="A931" t="str">
        <f>IF(COUNTBLANK(B931:R931)&lt;&gt;COLUMNS(B931:R931),930,"")</f>
        <v/>
      </c>
      <c r="D931" s="1" t="str">
        <f t="shared" si="168"/>
        <v/>
      </c>
      <c r="E931" s="2" t="str">
        <f t="shared" si="169"/>
        <v/>
      </c>
      <c r="F931" s="1" t="str">
        <f t="shared" si="170"/>
        <v/>
      </c>
      <c r="G931" s="1" t="str">
        <f t="shared" si="171"/>
        <v/>
      </c>
      <c r="H931" s="1" t="str">
        <f t="shared" si="172"/>
        <v/>
      </c>
      <c r="K931" s="1" t="str">
        <f t="shared" si="173"/>
        <v/>
      </c>
      <c r="L931" s="1" t="str">
        <f t="shared" si="174"/>
        <v/>
      </c>
      <c r="M931" s="1" t="str">
        <f t="shared" si="175"/>
        <v/>
      </c>
      <c r="N931" s="1" t="str">
        <f t="shared" si="176"/>
        <v/>
      </c>
      <c r="O931" s="1" t="str">
        <f t="shared" si="177"/>
        <v/>
      </c>
      <c r="P931" s="1" t="str">
        <f t="shared" si="178"/>
        <v/>
      </c>
      <c r="R931" s="1" t="str">
        <f t="shared" si="179"/>
        <v/>
      </c>
    </row>
    <row r="932" spans="1:18" x14ac:dyDescent="0.2">
      <c r="A932" t="str">
        <f>IF(COUNTBLANK(B932:R932)&lt;&gt;COLUMNS(B932:R932),931,"")</f>
        <v/>
      </c>
      <c r="D932" s="1" t="str">
        <f t="shared" si="168"/>
        <v/>
      </c>
      <c r="E932" s="2" t="str">
        <f t="shared" si="169"/>
        <v/>
      </c>
      <c r="F932" s="1" t="str">
        <f t="shared" si="170"/>
        <v/>
      </c>
      <c r="G932" s="1" t="str">
        <f t="shared" si="171"/>
        <v/>
      </c>
      <c r="H932" s="1" t="str">
        <f t="shared" si="172"/>
        <v/>
      </c>
      <c r="K932" s="1" t="str">
        <f t="shared" si="173"/>
        <v/>
      </c>
      <c r="L932" s="1" t="str">
        <f t="shared" si="174"/>
        <v/>
      </c>
      <c r="M932" s="1" t="str">
        <f t="shared" si="175"/>
        <v/>
      </c>
      <c r="N932" s="1" t="str">
        <f t="shared" si="176"/>
        <v/>
      </c>
      <c r="O932" s="1" t="str">
        <f t="shared" si="177"/>
        <v/>
      </c>
      <c r="P932" s="1" t="str">
        <f t="shared" si="178"/>
        <v/>
      </c>
      <c r="R932" s="1" t="str">
        <f t="shared" si="179"/>
        <v/>
      </c>
    </row>
    <row r="933" spans="1:18" x14ac:dyDescent="0.2">
      <c r="A933" t="str">
        <f>IF(COUNTBLANK(B933:R933)&lt;&gt;COLUMNS(B933:R933),932,"")</f>
        <v/>
      </c>
      <c r="D933" s="1" t="str">
        <f t="shared" si="168"/>
        <v/>
      </c>
      <c r="E933" s="2" t="str">
        <f t="shared" si="169"/>
        <v/>
      </c>
      <c r="F933" s="1" t="str">
        <f t="shared" si="170"/>
        <v/>
      </c>
      <c r="G933" s="1" t="str">
        <f t="shared" si="171"/>
        <v/>
      </c>
      <c r="H933" s="1" t="str">
        <f t="shared" si="172"/>
        <v/>
      </c>
      <c r="K933" s="1" t="str">
        <f t="shared" si="173"/>
        <v/>
      </c>
      <c r="L933" s="1" t="str">
        <f t="shared" si="174"/>
        <v/>
      </c>
      <c r="M933" s="1" t="str">
        <f t="shared" si="175"/>
        <v/>
      </c>
      <c r="N933" s="1" t="str">
        <f t="shared" si="176"/>
        <v/>
      </c>
      <c r="O933" s="1" t="str">
        <f t="shared" si="177"/>
        <v/>
      </c>
      <c r="P933" s="1" t="str">
        <f t="shared" si="178"/>
        <v/>
      </c>
      <c r="R933" s="1" t="str">
        <f t="shared" si="179"/>
        <v/>
      </c>
    </row>
    <row r="934" spans="1:18" x14ac:dyDescent="0.2">
      <c r="A934" t="str">
        <f>IF(COUNTBLANK(B934:R934)&lt;&gt;COLUMNS(B934:R934),933,"")</f>
        <v/>
      </c>
      <c r="D934" s="1" t="str">
        <f t="shared" si="168"/>
        <v/>
      </c>
      <c r="E934" s="2" t="str">
        <f t="shared" si="169"/>
        <v/>
      </c>
      <c r="F934" s="1" t="str">
        <f t="shared" si="170"/>
        <v/>
      </c>
      <c r="G934" s="1" t="str">
        <f t="shared" si="171"/>
        <v/>
      </c>
      <c r="H934" s="1" t="str">
        <f t="shared" si="172"/>
        <v/>
      </c>
      <c r="K934" s="1" t="str">
        <f t="shared" si="173"/>
        <v/>
      </c>
      <c r="L934" s="1" t="str">
        <f t="shared" si="174"/>
        <v/>
      </c>
      <c r="M934" s="1" t="str">
        <f t="shared" si="175"/>
        <v/>
      </c>
      <c r="N934" s="1" t="str">
        <f t="shared" si="176"/>
        <v/>
      </c>
      <c r="O934" s="1" t="str">
        <f t="shared" si="177"/>
        <v/>
      </c>
      <c r="P934" s="1" t="str">
        <f t="shared" si="178"/>
        <v/>
      </c>
      <c r="R934" s="1" t="str">
        <f t="shared" si="179"/>
        <v/>
      </c>
    </row>
    <row r="935" spans="1:18" x14ac:dyDescent="0.2">
      <c r="A935" t="str">
        <f>IF(COUNTBLANK(B935:R935)&lt;&gt;COLUMNS(B935:R935),934,"")</f>
        <v/>
      </c>
      <c r="D935" s="1" t="str">
        <f t="shared" si="168"/>
        <v/>
      </c>
      <c r="E935" s="2" t="str">
        <f t="shared" si="169"/>
        <v/>
      </c>
      <c r="F935" s="1" t="str">
        <f t="shared" si="170"/>
        <v/>
      </c>
      <c r="G935" s="1" t="str">
        <f t="shared" si="171"/>
        <v/>
      </c>
      <c r="H935" s="1" t="str">
        <f t="shared" si="172"/>
        <v/>
      </c>
      <c r="K935" s="1" t="str">
        <f t="shared" si="173"/>
        <v/>
      </c>
      <c r="L935" s="1" t="str">
        <f t="shared" si="174"/>
        <v/>
      </c>
      <c r="M935" s="1" t="str">
        <f t="shared" si="175"/>
        <v/>
      </c>
      <c r="N935" s="1" t="str">
        <f t="shared" si="176"/>
        <v/>
      </c>
      <c r="O935" s="1" t="str">
        <f t="shared" si="177"/>
        <v/>
      </c>
      <c r="P935" s="1" t="str">
        <f t="shared" si="178"/>
        <v/>
      </c>
      <c r="R935" s="1" t="str">
        <f t="shared" si="179"/>
        <v/>
      </c>
    </row>
    <row r="936" spans="1:18" x14ac:dyDescent="0.2">
      <c r="A936" t="str">
        <f>IF(COUNTBLANK(B936:R936)&lt;&gt;COLUMNS(B936:R936),935,"")</f>
        <v/>
      </c>
      <c r="D936" s="1" t="str">
        <f t="shared" si="168"/>
        <v/>
      </c>
      <c r="E936" s="2" t="str">
        <f t="shared" si="169"/>
        <v/>
      </c>
      <c r="F936" s="1" t="str">
        <f t="shared" si="170"/>
        <v/>
      </c>
      <c r="G936" s="1" t="str">
        <f t="shared" si="171"/>
        <v/>
      </c>
      <c r="H936" s="1" t="str">
        <f t="shared" si="172"/>
        <v/>
      </c>
      <c r="K936" s="1" t="str">
        <f t="shared" si="173"/>
        <v/>
      </c>
      <c r="L936" s="1" t="str">
        <f t="shared" si="174"/>
        <v/>
      </c>
      <c r="M936" s="1" t="str">
        <f t="shared" si="175"/>
        <v/>
      </c>
      <c r="N936" s="1" t="str">
        <f t="shared" si="176"/>
        <v/>
      </c>
      <c r="O936" s="1" t="str">
        <f t="shared" si="177"/>
        <v/>
      </c>
      <c r="P936" s="1" t="str">
        <f t="shared" si="178"/>
        <v/>
      </c>
      <c r="R936" s="1" t="str">
        <f t="shared" si="179"/>
        <v/>
      </c>
    </row>
    <row r="937" spans="1:18" x14ac:dyDescent="0.2">
      <c r="A937" t="str">
        <f>IF(COUNTBLANK(B937:R937)&lt;&gt;COLUMNS(B937:R937),936,"")</f>
        <v/>
      </c>
      <c r="D937" s="1" t="str">
        <f t="shared" si="168"/>
        <v/>
      </c>
      <c r="E937" s="2" t="str">
        <f t="shared" si="169"/>
        <v/>
      </c>
      <c r="F937" s="1" t="str">
        <f t="shared" si="170"/>
        <v/>
      </c>
      <c r="G937" s="1" t="str">
        <f t="shared" si="171"/>
        <v/>
      </c>
      <c r="H937" s="1" t="str">
        <f t="shared" si="172"/>
        <v/>
      </c>
      <c r="K937" s="1" t="str">
        <f t="shared" si="173"/>
        <v/>
      </c>
      <c r="L937" s="1" t="str">
        <f t="shared" si="174"/>
        <v/>
      </c>
      <c r="M937" s="1" t="str">
        <f t="shared" si="175"/>
        <v/>
      </c>
      <c r="N937" s="1" t="str">
        <f t="shared" si="176"/>
        <v/>
      </c>
      <c r="O937" s="1" t="str">
        <f t="shared" si="177"/>
        <v/>
      </c>
      <c r="P937" s="1" t="str">
        <f t="shared" si="178"/>
        <v/>
      </c>
      <c r="R937" s="1" t="str">
        <f t="shared" si="179"/>
        <v/>
      </c>
    </row>
    <row r="938" spans="1:18" x14ac:dyDescent="0.2">
      <c r="A938" t="str">
        <f>IF(COUNTBLANK(B938:R938)&lt;&gt;COLUMNS(B938:R938),937,"")</f>
        <v/>
      </c>
      <c r="D938" s="1" t="str">
        <f t="shared" si="168"/>
        <v/>
      </c>
      <c r="E938" s="2" t="str">
        <f t="shared" si="169"/>
        <v/>
      </c>
      <c r="F938" s="1" t="str">
        <f t="shared" si="170"/>
        <v/>
      </c>
      <c r="G938" s="1" t="str">
        <f t="shared" si="171"/>
        <v/>
      </c>
      <c r="H938" s="1" t="str">
        <f t="shared" si="172"/>
        <v/>
      </c>
      <c r="K938" s="1" t="str">
        <f t="shared" si="173"/>
        <v/>
      </c>
      <c r="L938" s="1" t="str">
        <f t="shared" si="174"/>
        <v/>
      </c>
      <c r="M938" s="1" t="str">
        <f t="shared" si="175"/>
        <v/>
      </c>
      <c r="N938" s="1" t="str">
        <f t="shared" si="176"/>
        <v/>
      </c>
      <c r="O938" s="1" t="str">
        <f t="shared" si="177"/>
        <v/>
      </c>
      <c r="P938" s="1" t="str">
        <f t="shared" si="178"/>
        <v/>
      </c>
      <c r="R938" s="1" t="str">
        <f t="shared" si="179"/>
        <v/>
      </c>
    </row>
    <row r="939" spans="1:18" x14ac:dyDescent="0.2">
      <c r="A939" t="str">
        <f>IF(COUNTBLANK(B939:R939)&lt;&gt;COLUMNS(B939:R939),938,"")</f>
        <v/>
      </c>
      <c r="D939" s="1" t="str">
        <f t="shared" si="168"/>
        <v/>
      </c>
      <c r="E939" s="2" t="str">
        <f t="shared" si="169"/>
        <v/>
      </c>
      <c r="F939" s="1" t="str">
        <f t="shared" si="170"/>
        <v/>
      </c>
      <c r="G939" s="1" t="str">
        <f t="shared" si="171"/>
        <v/>
      </c>
      <c r="H939" s="1" t="str">
        <f t="shared" si="172"/>
        <v/>
      </c>
      <c r="K939" s="1" t="str">
        <f t="shared" si="173"/>
        <v/>
      </c>
      <c r="L939" s="1" t="str">
        <f t="shared" si="174"/>
        <v/>
      </c>
      <c r="M939" s="1" t="str">
        <f t="shared" si="175"/>
        <v/>
      </c>
      <c r="N939" s="1" t="str">
        <f t="shared" si="176"/>
        <v/>
      </c>
      <c r="O939" s="1" t="str">
        <f t="shared" si="177"/>
        <v/>
      </c>
      <c r="P939" s="1" t="str">
        <f t="shared" si="178"/>
        <v/>
      </c>
      <c r="R939" s="1" t="str">
        <f t="shared" si="179"/>
        <v/>
      </c>
    </row>
    <row r="940" spans="1:18" x14ac:dyDescent="0.2">
      <c r="A940" t="str">
        <f>IF(COUNTBLANK(B940:R940)&lt;&gt;COLUMNS(B940:R940),939,"")</f>
        <v/>
      </c>
      <c r="D940" s="1" t="str">
        <f t="shared" si="168"/>
        <v/>
      </c>
      <c r="E940" s="2" t="str">
        <f t="shared" si="169"/>
        <v/>
      </c>
      <c r="F940" s="1" t="str">
        <f t="shared" si="170"/>
        <v/>
      </c>
      <c r="G940" s="1" t="str">
        <f t="shared" si="171"/>
        <v/>
      </c>
      <c r="H940" s="1" t="str">
        <f t="shared" si="172"/>
        <v/>
      </c>
      <c r="K940" s="1" t="str">
        <f t="shared" si="173"/>
        <v/>
      </c>
      <c r="L940" s="1" t="str">
        <f t="shared" si="174"/>
        <v/>
      </c>
      <c r="M940" s="1" t="str">
        <f t="shared" si="175"/>
        <v/>
      </c>
      <c r="N940" s="1" t="str">
        <f t="shared" si="176"/>
        <v/>
      </c>
      <c r="O940" s="1" t="str">
        <f t="shared" si="177"/>
        <v/>
      </c>
      <c r="P940" s="1" t="str">
        <f t="shared" si="178"/>
        <v/>
      </c>
      <c r="R940" s="1" t="str">
        <f t="shared" si="179"/>
        <v/>
      </c>
    </row>
    <row r="941" spans="1:18" x14ac:dyDescent="0.2">
      <c r="A941" t="str">
        <f>IF(COUNTBLANK(B941:R941)&lt;&gt;COLUMNS(B941:R941),940,"")</f>
        <v/>
      </c>
      <c r="D941" s="1" t="str">
        <f t="shared" si="168"/>
        <v/>
      </c>
      <c r="E941" s="2" t="str">
        <f t="shared" si="169"/>
        <v/>
      </c>
      <c r="F941" s="1" t="str">
        <f t="shared" si="170"/>
        <v/>
      </c>
      <c r="G941" s="1" t="str">
        <f t="shared" si="171"/>
        <v/>
      </c>
      <c r="H941" s="1" t="str">
        <f t="shared" si="172"/>
        <v/>
      </c>
      <c r="K941" s="1" t="str">
        <f t="shared" si="173"/>
        <v/>
      </c>
      <c r="L941" s="1" t="str">
        <f t="shared" si="174"/>
        <v/>
      </c>
      <c r="M941" s="1" t="str">
        <f t="shared" si="175"/>
        <v/>
      </c>
      <c r="N941" s="1" t="str">
        <f t="shared" si="176"/>
        <v/>
      </c>
      <c r="O941" s="1" t="str">
        <f t="shared" si="177"/>
        <v/>
      </c>
      <c r="P941" s="1" t="str">
        <f t="shared" si="178"/>
        <v/>
      </c>
      <c r="R941" s="1" t="str">
        <f t="shared" si="179"/>
        <v/>
      </c>
    </row>
    <row r="942" spans="1:18" x14ac:dyDescent="0.2">
      <c r="A942" t="str">
        <f>IF(COUNTBLANK(B942:R942)&lt;&gt;COLUMNS(B942:R942),941,"")</f>
        <v/>
      </c>
      <c r="D942" s="1" t="str">
        <f t="shared" si="168"/>
        <v/>
      </c>
      <c r="E942" s="2" t="str">
        <f t="shared" si="169"/>
        <v/>
      </c>
      <c r="F942" s="1" t="str">
        <f t="shared" si="170"/>
        <v/>
      </c>
      <c r="G942" s="1" t="str">
        <f t="shared" si="171"/>
        <v/>
      </c>
      <c r="H942" s="1" t="str">
        <f t="shared" si="172"/>
        <v/>
      </c>
      <c r="K942" s="1" t="str">
        <f t="shared" si="173"/>
        <v/>
      </c>
      <c r="L942" s="1" t="str">
        <f t="shared" si="174"/>
        <v/>
      </c>
      <c r="M942" s="1" t="str">
        <f t="shared" si="175"/>
        <v/>
      </c>
      <c r="N942" s="1" t="str">
        <f t="shared" si="176"/>
        <v/>
      </c>
      <c r="O942" s="1" t="str">
        <f t="shared" si="177"/>
        <v/>
      </c>
      <c r="P942" s="1" t="str">
        <f t="shared" si="178"/>
        <v/>
      </c>
      <c r="R942" s="1" t="str">
        <f t="shared" si="179"/>
        <v/>
      </c>
    </row>
    <row r="943" spans="1:18" x14ac:dyDescent="0.2">
      <c r="A943" t="str">
        <f>IF(COUNTBLANK(B943:R943)&lt;&gt;COLUMNS(B943:R943),942,"")</f>
        <v/>
      </c>
      <c r="D943" s="1" t="str">
        <f t="shared" si="168"/>
        <v/>
      </c>
      <c r="E943" s="2" t="str">
        <f t="shared" si="169"/>
        <v/>
      </c>
      <c r="F943" s="1" t="str">
        <f t="shared" si="170"/>
        <v/>
      </c>
      <c r="G943" s="1" t="str">
        <f t="shared" si="171"/>
        <v/>
      </c>
      <c r="H943" s="1" t="str">
        <f t="shared" si="172"/>
        <v/>
      </c>
      <c r="K943" s="1" t="str">
        <f t="shared" si="173"/>
        <v/>
      </c>
      <c r="L943" s="1" t="str">
        <f t="shared" si="174"/>
        <v/>
      </c>
      <c r="M943" s="1" t="str">
        <f t="shared" si="175"/>
        <v/>
      </c>
      <c r="N943" s="1" t="str">
        <f t="shared" si="176"/>
        <v/>
      </c>
      <c r="O943" s="1" t="str">
        <f t="shared" si="177"/>
        <v/>
      </c>
      <c r="P943" s="1" t="str">
        <f t="shared" si="178"/>
        <v/>
      </c>
      <c r="R943" s="1" t="str">
        <f t="shared" si="179"/>
        <v/>
      </c>
    </row>
    <row r="944" spans="1:18" x14ac:dyDescent="0.2">
      <c r="A944" t="str">
        <f>IF(COUNTBLANK(B944:R944)&lt;&gt;COLUMNS(B944:R944),943,"")</f>
        <v/>
      </c>
      <c r="D944" s="1" t="str">
        <f t="shared" si="168"/>
        <v/>
      </c>
      <c r="E944" s="2" t="str">
        <f t="shared" si="169"/>
        <v/>
      </c>
      <c r="F944" s="1" t="str">
        <f t="shared" si="170"/>
        <v/>
      </c>
      <c r="G944" s="1" t="str">
        <f t="shared" si="171"/>
        <v/>
      </c>
      <c r="H944" s="1" t="str">
        <f t="shared" si="172"/>
        <v/>
      </c>
      <c r="K944" s="1" t="str">
        <f t="shared" si="173"/>
        <v/>
      </c>
      <c r="L944" s="1" t="str">
        <f t="shared" si="174"/>
        <v/>
      </c>
      <c r="M944" s="1" t="str">
        <f t="shared" si="175"/>
        <v/>
      </c>
      <c r="N944" s="1" t="str">
        <f t="shared" si="176"/>
        <v/>
      </c>
      <c r="O944" s="1" t="str">
        <f t="shared" si="177"/>
        <v/>
      </c>
      <c r="P944" s="1" t="str">
        <f t="shared" si="178"/>
        <v/>
      </c>
      <c r="R944" s="1" t="str">
        <f t="shared" si="179"/>
        <v/>
      </c>
    </row>
    <row r="945" spans="1:18" x14ac:dyDescent="0.2">
      <c r="A945" t="str">
        <f>IF(COUNTBLANK(B945:R945)&lt;&gt;COLUMNS(B945:R945),944,"")</f>
        <v/>
      </c>
      <c r="D945" s="1" t="str">
        <f t="shared" si="168"/>
        <v/>
      </c>
      <c r="E945" s="2" t="str">
        <f t="shared" si="169"/>
        <v/>
      </c>
      <c r="F945" s="1" t="str">
        <f t="shared" si="170"/>
        <v/>
      </c>
      <c r="G945" s="1" t="str">
        <f t="shared" si="171"/>
        <v/>
      </c>
      <c r="H945" s="1" t="str">
        <f t="shared" si="172"/>
        <v/>
      </c>
      <c r="K945" s="1" t="str">
        <f t="shared" si="173"/>
        <v/>
      </c>
      <c r="L945" s="1" t="str">
        <f t="shared" si="174"/>
        <v/>
      </c>
      <c r="M945" s="1" t="str">
        <f t="shared" si="175"/>
        <v/>
      </c>
      <c r="N945" s="1" t="str">
        <f t="shared" si="176"/>
        <v/>
      </c>
      <c r="O945" s="1" t="str">
        <f t="shared" si="177"/>
        <v/>
      </c>
      <c r="P945" s="1" t="str">
        <f t="shared" si="178"/>
        <v/>
      </c>
      <c r="R945" s="1" t="str">
        <f t="shared" si="179"/>
        <v/>
      </c>
    </row>
    <row r="946" spans="1:18" x14ac:dyDescent="0.2">
      <c r="A946" t="str">
        <f>IF(COUNTBLANK(B946:R946)&lt;&gt;COLUMNS(B946:R946),945,"")</f>
        <v/>
      </c>
      <c r="D946" s="1" t="str">
        <f t="shared" si="168"/>
        <v/>
      </c>
      <c r="E946" s="2" t="str">
        <f t="shared" si="169"/>
        <v/>
      </c>
      <c r="F946" s="1" t="str">
        <f t="shared" si="170"/>
        <v/>
      </c>
      <c r="G946" s="1" t="str">
        <f t="shared" si="171"/>
        <v/>
      </c>
      <c r="H946" s="1" t="str">
        <f t="shared" si="172"/>
        <v/>
      </c>
      <c r="K946" s="1" t="str">
        <f t="shared" si="173"/>
        <v/>
      </c>
      <c r="L946" s="1" t="str">
        <f t="shared" si="174"/>
        <v/>
      </c>
      <c r="M946" s="1" t="str">
        <f t="shared" si="175"/>
        <v/>
      </c>
      <c r="N946" s="1" t="str">
        <f t="shared" si="176"/>
        <v/>
      </c>
      <c r="O946" s="1" t="str">
        <f t="shared" si="177"/>
        <v/>
      </c>
      <c r="P946" s="1" t="str">
        <f t="shared" si="178"/>
        <v/>
      </c>
      <c r="R946" s="1" t="str">
        <f t="shared" si="179"/>
        <v/>
      </c>
    </row>
    <row r="947" spans="1:18" x14ac:dyDescent="0.2">
      <c r="A947" t="str">
        <f>IF(COUNTBLANK(B947:R947)&lt;&gt;COLUMNS(B947:R947),946,"")</f>
        <v/>
      </c>
      <c r="D947" s="1" t="str">
        <f t="shared" si="168"/>
        <v/>
      </c>
      <c r="E947" s="2" t="str">
        <f t="shared" si="169"/>
        <v/>
      </c>
      <c r="F947" s="1" t="str">
        <f t="shared" si="170"/>
        <v/>
      </c>
      <c r="G947" s="1" t="str">
        <f t="shared" si="171"/>
        <v/>
      </c>
      <c r="H947" s="1" t="str">
        <f t="shared" si="172"/>
        <v/>
      </c>
      <c r="K947" s="1" t="str">
        <f t="shared" si="173"/>
        <v/>
      </c>
      <c r="L947" s="1" t="str">
        <f t="shared" si="174"/>
        <v/>
      </c>
      <c r="M947" s="1" t="str">
        <f t="shared" si="175"/>
        <v/>
      </c>
      <c r="N947" s="1" t="str">
        <f t="shared" si="176"/>
        <v/>
      </c>
      <c r="O947" s="1" t="str">
        <f t="shared" si="177"/>
        <v/>
      </c>
      <c r="P947" s="1" t="str">
        <f t="shared" si="178"/>
        <v/>
      </c>
      <c r="R947" s="1" t="str">
        <f t="shared" si="179"/>
        <v/>
      </c>
    </row>
    <row r="948" spans="1:18" x14ac:dyDescent="0.2">
      <c r="A948" t="str">
        <f>IF(COUNTBLANK(B948:R948)&lt;&gt;COLUMNS(B948:R948),947,"")</f>
        <v/>
      </c>
      <c r="D948" s="1" t="str">
        <f t="shared" si="168"/>
        <v/>
      </c>
      <c r="E948" s="2" t="str">
        <f t="shared" si="169"/>
        <v/>
      </c>
      <c r="F948" s="1" t="str">
        <f t="shared" si="170"/>
        <v/>
      </c>
      <c r="G948" s="1" t="str">
        <f t="shared" si="171"/>
        <v/>
      </c>
      <c r="H948" s="1" t="str">
        <f t="shared" si="172"/>
        <v/>
      </c>
      <c r="K948" s="1" t="str">
        <f t="shared" si="173"/>
        <v/>
      </c>
      <c r="L948" s="1" t="str">
        <f t="shared" si="174"/>
        <v/>
      </c>
      <c r="M948" s="1" t="str">
        <f t="shared" si="175"/>
        <v/>
      </c>
      <c r="N948" s="1" t="str">
        <f t="shared" si="176"/>
        <v/>
      </c>
      <c r="O948" s="1" t="str">
        <f t="shared" si="177"/>
        <v/>
      </c>
      <c r="P948" s="1" t="str">
        <f t="shared" si="178"/>
        <v/>
      </c>
      <c r="R948" s="1" t="str">
        <f t="shared" si="179"/>
        <v/>
      </c>
    </row>
    <row r="949" spans="1:18" x14ac:dyDescent="0.2">
      <c r="A949" t="str">
        <f>IF(COUNTBLANK(B949:R949)&lt;&gt;COLUMNS(B949:R949),948,"")</f>
        <v/>
      </c>
      <c r="D949" s="1" t="str">
        <f t="shared" si="168"/>
        <v/>
      </c>
      <c r="E949" s="2" t="str">
        <f t="shared" si="169"/>
        <v/>
      </c>
      <c r="F949" s="1" t="str">
        <f t="shared" si="170"/>
        <v/>
      </c>
      <c r="G949" s="1" t="str">
        <f t="shared" si="171"/>
        <v/>
      </c>
      <c r="H949" s="1" t="str">
        <f t="shared" si="172"/>
        <v/>
      </c>
      <c r="K949" s="1" t="str">
        <f t="shared" si="173"/>
        <v/>
      </c>
      <c r="L949" s="1" t="str">
        <f t="shared" si="174"/>
        <v/>
      </c>
      <c r="M949" s="1" t="str">
        <f t="shared" si="175"/>
        <v/>
      </c>
      <c r="N949" s="1" t="str">
        <f t="shared" si="176"/>
        <v/>
      </c>
      <c r="O949" s="1" t="str">
        <f t="shared" si="177"/>
        <v/>
      </c>
      <c r="P949" s="1" t="str">
        <f t="shared" si="178"/>
        <v/>
      </c>
      <c r="R949" s="1" t="str">
        <f t="shared" si="179"/>
        <v/>
      </c>
    </row>
    <row r="950" spans="1:18" x14ac:dyDescent="0.2">
      <c r="A950" t="str">
        <f>IF(COUNTBLANK(B950:R950)&lt;&gt;COLUMNS(B950:R950),949,"")</f>
        <v/>
      </c>
      <c r="D950" s="1" t="str">
        <f t="shared" si="168"/>
        <v/>
      </c>
      <c r="E950" s="2" t="str">
        <f t="shared" si="169"/>
        <v/>
      </c>
      <c r="F950" s="1" t="str">
        <f t="shared" si="170"/>
        <v/>
      </c>
      <c r="G950" s="1" t="str">
        <f t="shared" si="171"/>
        <v/>
      </c>
      <c r="H950" s="1" t="str">
        <f t="shared" si="172"/>
        <v/>
      </c>
      <c r="K950" s="1" t="str">
        <f t="shared" si="173"/>
        <v/>
      </c>
      <c r="L950" s="1" t="str">
        <f t="shared" si="174"/>
        <v/>
      </c>
      <c r="M950" s="1" t="str">
        <f t="shared" si="175"/>
        <v/>
      </c>
      <c r="N950" s="1" t="str">
        <f t="shared" si="176"/>
        <v/>
      </c>
      <c r="O950" s="1" t="str">
        <f t="shared" si="177"/>
        <v/>
      </c>
      <c r="P950" s="1" t="str">
        <f t="shared" si="178"/>
        <v/>
      </c>
      <c r="R950" s="1" t="str">
        <f t="shared" si="179"/>
        <v/>
      </c>
    </row>
    <row r="951" spans="1:18" x14ac:dyDescent="0.2">
      <c r="A951" t="str">
        <f>IF(COUNTBLANK(B951:R951)&lt;&gt;COLUMNS(B951:R951),950,"")</f>
        <v/>
      </c>
      <c r="D951" s="1" t="str">
        <f t="shared" si="168"/>
        <v/>
      </c>
      <c r="E951" s="2" t="str">
        <f t="shared" si="169"/>
        <v/>
      </c>
      <c r="F951" s="1" t="str">
        <f t="shared" si="170"/>
        <v/>
      </c>
      <c r="G951" s="1" t="str">
        <f t="shared" si="171"/>
        <v/>
      </c>
      <c r="H951" s="1" t="str">
        <f t="shared" si="172"/>
        <v/>
      </c>
      <c r="K951" s="1" t="str">
        <f t="shared" si="173"/>
        <v/>
      </c>
      <c r="L951" s="1" t="str">
        <f t="shared" si="174"/>
        <v/>
      </c>
      <c r="M951" s="1" t="str">
        <f t="shared" si="175"/>
        <v/>
      </c>
      <c r="N951" s="1" t="str">
        <f t="shared" si="176"/>
        <v/>
      </c>
      <c r="O951" s="1" t="str">
        <f t="shared" si="177"/>
        <v/>
      </c>
      <c r="P951" s="1" t="str">
        <f t="shared" si="178"/>
        <v/>
      </c>
      <c r="R951" s="1" t="str">
        <f t="shared" si="179"/>
        <v/>
      </c>
    </row>
    <row r="952" spans="1:18" x14ac:dyDescent="0.2">
      <c r="A952" t="str">
        <f>IF(COUNTBLANK(B952:R952)&lt;&gt;COLUMNS(B952:R952),951,"")</f>
        <v/>
      </c>
      <c r="D952" s="1" t="str">
        <f t="shared" si="168"/>
        <v/>
      </c>
      <c r="E952" s="2" t="str">
        <f t="shared" si="169"/>
        <v/>
      </c>
      <c r="F952" s="1" t="str">
        <f t="shared" si="170"/>
        <v/>
      </c>
      <c r="G952" s="1" t="str">
        <f t="shared" si="171"/>
        <v/>
      </c>
      <c r="H952" s="1" t="str">
        <f t="shared" si="172"/>
        <v/>
      </c>
      <c r="K952" s="1" t="str">
        <f t="shared" si="173"/>
        <v/>
      </c>
      <c r="L952" s="1" t="str">
        <f t="shared" si="174"/>
        <v/>
      </c>
      <c r="M952" s="1" t="str">
        <f t="shared" si="175"/>
        <v/>
      </c>
      <c r="N952" s="1" t="str">
        <f t="shared" si="176"/>
        <v/>
      </c>
      <c r="O952" s="1" t="str">
        <f t="shared" si="177"/>
        <v/>
      </c>
      <c r="P952" s="1" t="str">
        <f t="shared" si="178"/>
        <v/>
      </c>
      <c r="R952" s="1" t="str">
        <f t="shared" si="179"/>
        <v/>
      </c>
    </row>
    <row r="953" spans="1:18" x14ac:dyDescent="0.2">
      <c r="A953" t="str">
        <f>IF(COUNTBLANK(B953:R953)&lt;&gt;COLUMNS(B953:R953),952,"")</f>
        <v/>
      </c>
      <c r="D953" s="1" t="str">
        <f t="shared" si="168"/>
        <v/>
      </c>
      <c r="E953" s="2" t="str">
        <f t="shared" si="169"/>
        <v/>
      </c>
      <c r="F953" s="1" t="str">
        <f t="shared" si="170"/>
        <v/>
      </c>
      <c r="G953" s="1" t="str">
        <f t="shared" si="171"/>
        <v/>
      </c>
      <c r="H953" s="1" t="str">
        <f t="shared" si="172"/>
        <v/>
      </c>
      <c r="K953" s="1" t="str">
        <f t="shared" si="173"/>
        <v/>
      </c>
      <c r="L953" s="1" t="str">
        <f t="shared" si="174"/>
        <v/>
      </c>
      <c r="M953" s="1" t="str">
        <f t="shared" si="175"/>
        <v/>
      </c>
      <c r="N953" s="1" t="str">
        <f t="shared" si="176"/>
        <v/>
      </c>
      <c r="O953" s="1" t="str">
        <f t="shared" si="177"/>
        <v/>
      </c>
      <c r="P953" s="1" t="str">
        <f t="shared" si="178"/>
        <v/>
      </c>
      <c r="R953" s="1" t="str">
        <f t="shared" si="179"/>
        <v/>
      </c>
    </row>
    <row r="954" spans="1:18" x14ac:dyDescent="0.2">
      <c r="A954" t="str">
        <f>IF(COUNTBLANK(B954:R954)&lt;&gt;COLUMNS(B954:R954),953,"")</f>
        <v/>
      </c>
      <c r="D954" s="1" t="str">
        <f t="shared" si="168"/>
        <v/>
      </c>
      <c r="E954" s="2" t="str">
        <f t="shared" si="169"/>
        <v/>
      </c>
      <c r="F954" s="1" t="str">
        <f t="shared" si="170"/>
        <v/>
      </c>
      <c r="G954" s="1" t="str">
        <f t="shared" si="171"/>
        <v/>
      </c>
      <c r="H954" s="1" t="str">
        <f t="shared" si="172"/>
        <v/>
      </c>
      <c r="K954" s="1" t="str">
        <f t="shared" si="173"/>
        <v/>
      </c>
      <c r="L954" s="1" t="str">
        <f t="shared" si="174"/>
        <v/>
      </c>
      <c r="M954" s="1" t="str">
        <f t="shared" si="175"/>
        <v/>
      </c>
      <c r="N954" s="1" t="str">
        <f t="shared" si="176"/>
        <v/>
      </c>
      <c r="O954" s="1" t="str">
        <f t="shared" si="177"/>
        <v/>
      </c>
      <c r="P954" s="1" t="str">
        <f t="shared" si="178"/>
        <v/>
      </c>
      <c r="R954" s="1" t="str">
        <f t="shared" si="179"/>
        <v/>
      </c>
    </row>
    <row r="955" spans="1:18" x14ac:dyDescent="0.2">
      <c r="A955" t="str">
        <f>IF(COUNTBLANK(B955:R955)&lt;&gt;COLUMNS(B955:R955),954,"")</f>
        <v/>
      </c>
      <c r="D955" s="1" t="str">
        <f t="shared" si="168"/>
        <v/>
      </c>
      <c r="E955" s="2" t="str">
        <f t="shared" si="169"/>
        <v/>
      </c>
      <c r="F955" s="1" t="str">
        <f t="shared" si="170"/>
        <v/>
      </c>
      <c r="G955" s="1" t="str">
        <f t="shared" si="171"/>
        <v/>
      </c>
      <c r="H955" s="1" t="str">
        <f t="shared" si="172"/>
        <v/>
      </c>
      <c r="K955" s="1" t="str">
        <f t="shared" si="173"/>
        <v/>
      </c>
      <c r="L955" s="1" t="str">
        <f t="shared" si="174"/>
        <v/>
      </c>
      <c r="M955" s="1" t="str">
        <f t="shared" si="175"/>
        <v/>
      </c>
      <c r="N955" s="1" t="str">
        <f t="shared" si="176"/>
        <v/>
      </c>
      <c r="O955" s="1" t="str">
        <f t="shared" si="177"/>
        <v/>
      </c>
      <c r="P955" s="1" t="str">
        <f t="shared" si="178"/>
        <v/>
      </c>
      <c r="R955" s="1" t="str">
        <f t="shared" si="179"/>
        <v/>
      </c>
    </row>
    <row r="956" spans="1:18" x14ac:dyDescent="0.2">
      <c r="A956" t="str">
        <f>IF(COUNTBLANK(B956:R956)&lt;&gt;COLUMNS(B956:R956),955,"")</f>
        <v/>
      </c>
      <c r="D956" s="1" t="str">
        <f t="shared" si="168"/>
        <v/>
      </c>
      <c r="E956" s="2" t="str">
        <f t="shared" si="169"/>
        <v/>
      </c>
      <c r="F956" s="1" t="str">
        <f t="shared" si="170"/>
        <v/>
      </c>
      <c r="G956" s="1" t="str">
        <f t="shared" si="171"/>
        <v/>
      </c>
      <c r="H956" s="1" t="str">
        <f t="shared" si="172"/>
        <v/>
      </c>
      <c r="K956" s="1" t="str">
        <f t="shared" si="173"/>
        <v/>
      </c>
      <c r="L956" s="1" t="str">
        <f t="shared" si="174"/>
        <v/>
      </c>
      <c r="M956" s="1" t="str">
        <f t="shared" si="175"/>
        <v/>
      </c>
      <c r="N956" s="1" t="str">
        <f t="shared" si="176"/>
        <v/>
      </c>
      <c r="O956" s="1" t="str">
        <f t="shared" si="177"/>
        <v/>
      </c>
      <c r="P956" s="1" t="str">
        <f t="shared" si="178"/>
        <v/>
      </c>
      <c r="R956" s="1" t="str">
        <f t="shared" si="179"/>
        <v/>
      </c>
    </row>
    <row r="957" spans="1:18" x14ac:dyDescent="0.2">
      <c r="A957" t="str">
        <f>IF(COUNTBLANK(B957:R957)&lt;&gt;COLUMNS(B957:R957),956,"")</f>
        <v/>
      </c>
      <c r="D957" s="1" t="str">
        <f t="shared" si="168"/>
        <v/>
      </c>
      <c r="E957" s="2" t="str">
        <f t="shared" si="169"/>
        <v/>
      </c>
      <c r="F957" s="1" t="str">
        <f t="shared" si="170"/>
        <v/>
      </c>
      <c r="G957" s="1" t="str">
        <f t="shared" si="171"/>
        <v/>
      </c>
      <c r="H957" s="1" t="str">
        <f t="shared" si="172"/>
        <v/>
      </c>
      <c r="K957" s="1" t="str">
        <f t="shared" si="173"/>
        <v/>
      </c>
      <c r="L957" s="1" t="str">
        <f t="shared" si="174"/>
        <v/>
      </c>
      <c r="M957" s="1" t="str">
        <f t="shared" si="175"/>
        <v/>
      </c>
      <c r="N957" s="1" t="str">
        <f t="shared" si="176"/>
        <v/>
      </c>
      <c r="O957" s="1" t="str">
        <f t="shared" si="177"/>
        <v/>
      </c>
      <c r="P957" s="1" t="str">
        <f t="shared" si="178"/>
        <v/>
      </c>
      <c r="R957" s="1" t="str">
        <f t="shared" si="179"/>
        <v/>
      </c>
    </row>
    <row r="958" spans="1:18" x14ac:dyDescent="0.2">
      <c r="A958" t="str">
        <f>IF(COUNTBLANK(B958:R958)&lt;&gt;COLUMNS(B958:R958),957,"")</f>
        <v/>
      </c>
      <c r="D958" s="1" t="str">
        <f t="shared" si="168"/>
        <v/>
      </c>
      <c r="E958" s="2" t="str">
        <f t="shared" si="169"/>
        <v/>
      </c>
      <c r="F958" s="1" t="str">
        <f t="shared" si="170"/>
        <v/>
      </c>
      <c r="G958" s="1" t="str">
        <f t="shared" si="171"/>
        <v/>
      </c>
      <c r="H958" s="1" t="str">
        <f t="shared" si="172"/>
        <v/>
      </c>
      <c r="K958" s="1" t="str">
        <f t="shared" si="173"/>
        <v/>
      </c>
      <c r="L958" s="1" t="str">
        <f t="shared" si="174"/>
        <v/>
      </c>
      <c r="M958" s="1" t="str">
        <f t="shared" si="175"/>
        <v/>
      </c>
      <c r="N958" s="1" t="str">
        <f t="shared" si="176"/>
        <v/>
      </c>
      <c r="O958" s="1" t="str">
        <f t="shared" si="177"/>
        <v/>
      </c>
      <c r="P958" s="1" t="str">
        <f t="shared" si="178"/>
        <v/>
      </c>
      <c r="R958" s="1" t="str">
        <f t="shared" si="179"/>
        <v/>
      </c>
    </row>
    <row r="959" spans="1:18" x14ac:dyDescent="0.2">
      <c r="A959" t="str">
        <f>IF(COUNTBLANK(B959:R959)&lt;&gt;COLUMNS(B959:R959),958,"")</f>
        <v/>
      </c>
      <c r="D959" s="1" t="str">
        <f t="shared" si="168"/>
        <v/>
      </c>
      <c r="E959" s="2" t="str">
        <f t="shared" si="169"/>
        <v/>
      </c>
      <c r="F959" s="1" t="str">
        <f t="shared" si="170"/>
        <v/>
      </c>
      <c r="G959" s="1" t="str">
        <f t="shared" si="171"/>
        <v/>
      </c>
      <c r="H959" s="1" t="str">
        <f t="shared" si="172"/>
        <v/>
      </c>
      <c r="K959" s="1" t="str">
        <f t="shared" si="173"/>
        <v/>
      </c>
      <c r="L959" s="1" t="str">
        <f t="shared" si="174"/>
        <v/>
      </c>
      <c r="M959" s="1" t="str">
        <f t="shared" si="175"/>
        <v/>
      </c>
      <c r="N959" s="1" t="str">
        <f t="shared" si="176"/>
        <v/>
      </c>
      <c r="O959" s="1" t="str">
        <f t="shared" si="177"/>
        <v/>
      </c>
      <c r="P959" s="1" t="str">
        <f t="shared" si="178"/>
        <v/>
      </c>
      <c r="R959" s="1" t="str">
        <f t="shared" si="179"/>
        <v/>
      </c>
    </row>
    <row r="960" spans="1:18" x14ac:dyDescent="0.2">
      <c r="A960" t="str">
        <f>IF(COUNTBLANK(B960:R960)&lt;&gt;COLUMNS(B960:R960),959,"")</f>
        <v/>
      </c>
      <c r="D960" s="1" t="str">
        <f t="shared" si="168"/>
        <v/>
      </c>
      <c r="E960" s="2" t="str">
        <f t="shared" si="169"/>
        <v/>
      </c>
      <c r="F960" s="1" t="str">
        <f t="shared" si="170"/>
        <v/>
      </c>
      <c r="G960" s="1" t="str">
        <f t="shared" si="171"/>
        <v/>
      </c>
      <c r="H960" s="1" t="str">
        <f t="shared" si="172"/>
        <v/>
      </c>
      <c r="K960" s="1" t="str">
        <f t="shared" si="173"/>
        <v/>
      </c>
      <c r="L960" s="1" t="str">
        <f t="shared" si="174"/>
        <v/>
      </c>
      <c r="M960" s="1" t="str">
        <f t="shared" si="175"/>
        <v/>
      </c>
      <c r="N960" s="1" t="str">
        <f t="shared" si="176"/>
        <v/>
      </c>
      <c r="O960" s="1" t="str">
        <f t="shared" si="177"/>
        <v/>
      </c>
      <c r="P960" s="1" t="str">
        <f t="shared" si="178"/>
        <v/>
      </c>
      <c r="R960" s="1" t="str">
        <f t="shared" si="179"/>
        <v/>
      </c>
    </row>
    <row r="961" spans="1:18" x14ac:dyDescent="0.2">
      <c r="A961" t="str">
        <f>IF(COUNTBLANK(B961:R961)&lt;&gt;COLUMNS(B961:R961),960,"")</f>
        <v/>
      </c>
      <c r="D961" s="1" t="str">
        <f t="shared" si="168"/>
        <v/>
      </c>
      <c r="E961" s="2" t="str">
        <f t="shared" si="169"/>
        <v/>
      </c>
      <c r="F961" s="1" t="str">
        <f t="shared" si="170"/>
        <v/>
      </c>
      <c r="G961" s="1" t="str">
        <f t="shared" si="171"/>
        <v/>
      </c>
      <c r="H961" s="1" t="str">
        <f t="shared" si="172"/>
        <v/>
      </c>
      <c r="K961" s="1" t="str">
        <f t="shared" si="173"/>
        <v/>
      </c>
      <c r="L961" s="1" t="str">
        <f t="shared" si="174"/>
        <v/>
      </c>
      <c r="M961" s="1" t="str">
        <f t="shared" si="175"/>
        <v/>
      </c>
      <c r="N961" s="1" t="str">
        <f t="shared" si="176"/>
        <v/>
      </c>
      <c r="O961" s="1" t="str">
        <f t="shared" si="177"/>
        <v/>
      </c>
      <c r="P961" s="1" t="str">
        <f t="shared" si="178"/>
        <v/>
      </c>
      <c r="R961" s="1" t="str">
        <f t="shared" si="179"/>
        <v/>
      </c>
    </row>
    <row r="962" spans="1:18" x14ac:dyDescent="0.2">
      <c r="A962" t="str">
        <f>IF(COUNTBLANK(B962:R962)&lt;&gt;COLUMNS(B962:R962),961,"")</f>
        <v/>
      </c>
      <c r="D962" s="1" t="str">
        <f t="shared" ref="D962:D1001" si="180">IF(B962="", "", "years")</f>
        <v/>
      </c>
      <c r="E962" s="2" t="str">
        <f t="shared" ref="E962:E1001" si="181">IF(B962="", "", "missing: not provided")</f>
        <v/>
      </c>
      <c r="F962" s="1" t="str">
        <f t="shared" ref="F962:F1001" si="182">IF(B962="", "", "Not applicable")</f>
        <v/>
      </c>
      <c r="G962" s="1" t="str">
        <f t="shared" ref="G962:G1001" si="183">IF(B962="", "", "urban biome")</f>
        <v/>
      </c>
      <c r="H962" s="1" t="str">
        <f t="shared" ref="H962:H1001" si="184">IF(B962="", "", "human-associated habitat")</f>
        <v/>
      </c>
      <c r="K962" s="1" t="str">
        <f t="shared" ref="K962:K1001" si="185">IF(B962="", "", "cm")</f>
        <v/>
      </c>
      <c r="L962" s="1" t="str">
        <f t="shared" ref="L962:L1001" si="186">IF(B962="", "", "human")</f>
        <v/>
      </c>
      <c r="M962" s="1" t="str">
        <f t="shared" ref="M962:M1001" si="187">IF(B962="", "", "Homo sapiens")</f>
        <v/>
      </c>
      <c r="N962" s="1" t="str">
        <f t="shared" ref="N962:N1001" si="188">IF(B962="", "", "9606")</f>
        <v/>
      </c>
      <c r="O962" s="1" t="str">
        <f t="shared" ref="O962:O1001" si="189">IF(B962="", "", "missing: not provided")</f>
        <v/>
      </c>
      <c r="P962" s="1" t="str">
        <f t="shared" ref="P962:P1001" si="190">IF(B962="", "", "missing: not provided")</f>
        <v/>
      </c>
      <c r="R962" s="1" t="str">
        <f t="shared" ref="R962:R1001" si="191">IF(B962="", "", "kg")</f>
        <v/>
      </c>
    </row>
    <row r="963" spans="1:18" x14ac:dyDescent="0.2">
      <c r="A963" t="str">
        <f>IF(COUNTBLANK(B963:R963)&lt;&gt;COLUMNS(B963:R963),962,"")</f>
        <v/>
      </c>
      <c r="D963" s="1" t="str">
        <f t="shared" si="180"/>
        <v/>
      </c>
      <c r="E963" s="2" t="str">
        <f t="shared" si="181"/>
        <v/>
      </c>
      <c r="F963" s="1" t="str">
        <f t="shared" si="182"/>
        <v/>
      </c>
      <c r="G963" s="1" t="str">
        <f t="shared" si="183"/>
        <v/>
      </c>
      <c r="H963" s="1" t="str">
        <f t="shared" si="184"/>
        <v/>
      </c>
      <c r="K963" s="1" t="str">
        <f t="shared" si="185"/>
        <v/>
      </c>
      <c r="L963" s="1" t="str">
        <f t="shared" si="186"/>
        <v/>
      </c>
      <c r="M963" s="1" t="str">
        <f t="shared" si="187"/>
        <v/>
      </c>
      <c r="N963" s="1" t="str">
        <f t="shared" si="188"/>
        <v/>
      </c>
      <c r="O963" s="1" t="str">
        <f t="shared" si="189"/>
        <v/>
      </c>
      <c r="P963" s="1" t="str">
        <f t="shared" si="190"/>
        <v/>
      </c>
      <c r="R963" s="1" t="str">
        <f t="shared" si="191"/>
        <v/>
      </c>
    </row>
    <row r="964" spans="1:18" x14ac:dyDescent="0.2">
      <c r="A964" t="str">
        <f>IF(COUNTBLANK(B964:R964)&lt;&gt;COLUMNS(B964:R964),963,"")</f>
        <v/>
      </c>
      <c r="D964" s="1" t="str">
        <f t="shared" si="180"/>
        <v/>
      </c>
      <c r="E964" s="2" t="str">
        <f t="shared" si="181"/>
        <v/>
      </c>
      <c r="F964" s="1" t="str">
        <f t="shared" si="182"/>
        <v/>
      </c>
      <c r="G964" s="1" t="str">
        <f t="shared" si="183"/>
        <v/>
      </c>
      <c r="H964" s="1" t="str">
        <f t="shared" si="184"/>
        <v/>
      </c>
      <c r="K964" s="1" t="str">
        <f t="shared" si="185"/>
        <v/>
      </c>
      <c r="L964" s="1" t="str">
        <f t="shared" si="186"/>
        <v/>
      </c>
      <c r="M964" s="1" t="str">
        <f t="shared" si="187"/>
        <v/>
      </c>
      <c r="N964" s="1" t="str">
        <f t="shared" si="188"/>
        <v/>
      </c>
      <c r="O964" s="1" t="str">
        <f t="shared" si="189"/>
        <v/>
      </c>
      <c r="P964" s="1" t="str">
        <f t="shared" si="190"/>
        <v/>
      </c>
      <c r="R964" s="1" t="str">
        <f t="shared" si="191"/>
        <v/>
      </c>
    </row>
    <row r="965" spans="1:18" x14ac:dyDescent="0.2">
      <c r="A965" t="str">
        <f>IF(COUNTBLANK(B965:R965)&lt;&gt;COLUMNS(B965:R965),964,"")</f>
        <v/>
      </c>
      <c r="D965" s="1" t="str">
        <f t="shared" si="180"/>
        <v/>
      </c>
      <c r="E965" s="2" t="str">
        <f t="shared" si="181"/>
        <v/>
      </c>
      <c r="F965" s="1" t="str">
        <f t="shared" si="182"/>
        <v/>
      </c>
      <c r="G965" s="1" t="str">
        <f t="shared" si="183"/>
        <v/>
      </c>
      <c r="H965" s="1" t="str">
        <f t="shared" si="184"/>
        <v/>
      </c>
      <c r="K965" s="1" t="str">
        <f t="shared" si="185"/>
        <v/>
      </c>
      <c r="L965" s="1" t="str">
        <f t="shared" si="186"/>
        <v/>
      </c>
      <c r="M965" s="1" t="str">
        <f t="shared" si="187"/>
        <v/>
      </c>
      <c r="N965" s="1" t="str">
        <f t="shared" si="188"/>
        <v/>
      </c>
      <c r="O965" s="1" t="str">
        <f t="shared" si="189"/>
        <v/>
      </c>
      <c r="P965" s="1" t="str">
        <f t="shared" si="190"/>
        <v/>
      </c>
      <c r="R965" s="1" t="str">
        <f t="shared" si="191"/>
        <v/>
      </c>
    </row>
    <row r="966" spans="1:18" x14ac:dyDescent="0.2">
      <c r="A966" t="str">
        <f>IF(COUNTBLANK(B966:R966)&lt;&gt;COLUMNS(B966:R966),965,"")</f>
        <v/>
      </c>
      <c r="D966" s="1" t="str">
        <f t="shared" si="180"/>
        <v/>
      </c>
      <c r="E966" s="2" t="str">
        <f t="shared" si="181"/>
        <v/>
      </c>
      <c r="F966" s="1" t="str">
        <f t="shared" si="182"/>
        <v/>
      </c>
      <c r="G966" s="1" t="str">
        <f t="shared" si="183"/>
        <v/>
      </c>
      <c r="H966" s="1" t="str">
        <f t="shared" si="184"/>
        <v/>
      </c>
      <c r="K966" s="1" t="str">
        <f t="shared" si="185"/>
        <v/>
      </c>
      <c r="L966" s="1" t="str">
        <f t="shared" si="186"/>
        <v/>
      </c>
      <c r="M966" s="1" t="str">
        <f t="shared" si="187"/>
        <v/>
      </c>
      <c r="N966" s="1" t="str">
        <f t="shared" si="188"/>
        <v/>
      </c>
      <c r="O966" s="1" t="str">
        <f t="shared" si="189"/>
        <v/>
      </c>
      <c r="P966" s="1" t="str">
        <f t="shared" si="190"/>
        <v/>
      </c>
      <c r="R966" s="1" t="str">
        <f t="shared" si="191"/>
        <v/>
      </c>
    </row>
    <row r="967" spans="1:18" x14ac:dyDescent="0.2">
      <c r="A967" t="str">
        <f>IF(COUNTBLANK(B967:R967)&lt;&gt;COLUMNS(B967:R967),966,"")</f>
        <v/>
      </c>
      <c r="D967" s="1" t="str">
        <f t="shared" si="180"/>
        <v/>
      </c>
      <c r="E967" s="2" t="str">
        <f t="shared" si="181"/>
        <v/>
      </c>
      <c r="F967" s="1" t="str">
        <f t="shared" si="182"/>
        <v/>
      </c>
      <c r="G967" s="1" t="str">
        <f t="shared" si="183"/>
        <v/>
      </c>
      <c r="H967" s="1" t="str">
        <f t="shared" si="184"/>
        <v/>
      </c>
      <c r="K967" s="1" t="str">
        <f t="shared" si="185"/>
        <v/>
      </c>
      <c r="L967" s="1" t="str">
        <f t="shared" si="186"/>
        <v/>
      </c>
      <c r="M967" s="1" t="str">
        <f t="shared" si="187"/>
        <v/>
      </c>
      <c r="N967" s="1" t="str">
        <f t="shared" si="188"/>
        <v/>
      </c>
      <c r="O967" s="1" t="str">
        <f t="shared" si="189"/>
        <v/>
      </c>
      <c r="P967" s="1" t="str">
        <f t="shared" si="190"/>
        <v/>
      </c>
      <c r="R967" s="1" t="str">
        <f t="shared" si="191"/>
        <v/>
      </c>
    </row>
    <row r="968" spans="1:18" x14ac:dyDescent="0.2">
      <c r="A968" t="str">
        <f>IF(COUNTBLANK(B968:R968)&lt;&gt;COLUMNS(B968:R968),967,"")</f>
        <v/>
      </c>
      <c r="D968" s="1" t="str">
        <f t="shared" si="180"/>
        <v/>
      </c>
      <c r="E968" s="2" t="str">
        <f t="shared" si="181"/>
        <v/>
      </c>
      <c r="F968" s="1" t="str">
        <f t="shared" si="182"/>
        <v/>
      </c>
      <c r="G968" s="1" t="str">
        <f t="shared" si="183"/>
        <v/>
      </c>
      <c r="H968" s="1" t="str">
        <f t="shared" si="184"/>
        <v/>
      </c>
      <c r="K968" s="1" t="str">
        <f t="shared" si="185"/>
        <v/>
      </c>
      <c r="L968" s="1" t="str">
        <f t="shared" si="186"/>
        <v/>
      </c>
      <c r="M968" s="1" t="str">
        <f t="shared" si="187"/>
        <v/>
      </c>
      <c r="N968" s="1" t="str">
        <f t="shared" si="188"/>
        <v/>
      </c>
      <c r="O968" s="1" t="str">
        <f t="shared" si="189"/>
        <v/>
      </c>
      <c r="P968" s="1" t="str">
        <f t="shared" si="190"/>
        <v/>
      </c>
      <c r="R968" s="1" t="str">
        <f t="shared" si="191"/>
        <v/>
      </c>
    </row>
    <row r="969" spans="1:18" x14ac:dyDescent="0.2">
      <c r="A969" t="str">
        <f>IF(COUNTBLANK(B969:R969)&lt;&gt;COLUMNS(B969:R969),968,"")</f>
        <v/>
      </c>
      <c r="D969" s="1" t="str">
        <f t="shared" si="180"/>
        <v/>
      </c>
      <c r="E969" s="2" t="str">
        <f t="shared" si="181"/>
        <v/>
      </c>
      <c r="F969" s="1" t="str">
        <f t="shared" si="182"/>
        <v/>
      </c>
      <c r="G969" s="1" t="str">
        <f t="shared" si="183"/>
        <v/>
      </c>
      <c r="H969" s="1" t="str">
        <f t="shared" si="184"/>
        <v/>
      </c>
      <c r="K969" s="1" t="str">
        <f t="shared" si="185"/>
        <v/>
      </c>
      <c r="L969" s="1" t="str">
        <f t="shared" si="186"/>
        <v/>
      </c>
      <c r="M969" s="1" t="str">
        <f t="shared" si="187"/>
        <v/>
      </c>
      <c r="N969" s="1" t="str">
        <f t="shared" si="188"/>
        <v/>
      </c>
      <c r="O969" s="1" t="str">
        <f t="shared" si="189"/>
        <v/>
      </c>
      <c r="P969" s="1" t="str">
        <f t="shared" si="190"/>
        <v/>
      </c>
      <c r="R969" s="1" t="str">
        <f t="shared" si="191"/>
        <v/>
      </c>
    </row>
    <row r="970" spans="1:18" x14ac:dyDescent="0.2">
      <c r="A970" t="str">
        <f>IF(COUNTBLANK(B970:R970)&lt;&gt;COLUMNS(B970:R970),969,"")</f>
        <v/>
      </c>
      <c r="D970" s="1" t="str">
        <f t="shared" si="180"/>
        <v/>
      </c>
      <c r="E970" s="2" t="str">
        <f t="shared" si="181"/>
        <v/>
      </c>
      <c r="F970" s="1" t="str">
        <f t="shared" si="182"/>
        <v/>
      </c>
      <c r="G970" s="1" t="str">
        <f t="shared" si="183"/>
        <v/>
      </c>
      <c r="H970" s="1" t="str">
        <f t="shared" si="184"/>
        <v/>
      </c>
      <c r="K970" s="1" t="str">
        <f t="shared" si="185"/>
        <v/>
      </c>
      <c r="L970" s="1" t="str">
        <f t="shared" si="186"/>
        <v/>
      </c>
      <c r="M970" s="1" t="str">
        <f t="shared" si="187"/>
        <v/>
      </c>
      <c r="N970" s="1" t="str">
        <f t="shared" si="188"/>
        <v/>
      </c>
      <c r="O970" s="1" t="str">
        <f t="shared" si="189"/>
        <v/>
      </c>
      <c r="P970" s="1" t="str">
        <f t="shared" si="190"/>
        <v/>
      </c>
      <c r="R970" s="1" t="str">
        <f t="shared" si="191"/>
        <v/>
      </c>
    </row>
    <row r="971" spans="1:18" x14ac:dyDescent="0.2">
      <c r="A971" t="str">
        <f>IF(COUNTBLANK(B971:R971)&lt;&gt;COLUMNS(B971:R971),970,"")</f>
        <v/>
      </c>
      <c r="D971" s="1" t="str">
        <f t="shared" si="180"/>
        <v/>
      </c>
      <c r="E971" s="2" t="str">
        <f t="shared" si="181"/>
        <v/>
      </c>
      <c r="F971" s="1" t="str">
        <f t="shared" si="182"/>
        <v/>
      </c>
      <c r="G971" s="1" t="str">
        <f t="shared" si="183"/>
        <v/>
      </c>
      <c r="H971" s="1" t="str">
        <f t="shared" si="184"/>
        <v/>
      </c>
      <c r="K971" s="1" t="str">
        <f t="shared" si="185"/>
        <v/>
      </c>
      <c r="L971" s="1" t="str">
        <f t="shared" si="186"/>
        <v/>
      </c>
      <c r="M971" s="1" t="str">
        <f t="shared" si="187"/>
        <v/>
      </c>
      <c r="N971" s="1" t="str">
        <f t="shared" si="188"/>
        <v/>
      </c>
      <c r="O971" s="1" t="str">
        <f t="shared" si="189"/>
        <v/>
      </c>
      <c r="P971" s="1" t="str">
        <f t="shared" si="190"/>
        <v/>
      </c>
      <c r="R971" s="1" t="str">
        <f t="shared" si="191"/>
        <v/>
      </c>
    </row>
    <row r="972" spans="1:18" x14ac:dyDescent="0.2">
      <c r="A972" t="str">
        <f>IF(COUNTBLANK(B972:R972)&lt;&gt;COLUMNS(B972:R972),971,"")</f>
        <v/>
      </c>
      <c r="D972" s="1" t="str">
        <f t="shared" si="180"/>
        <v/>
      </c>
      <c r="E972" s="2" t="str">
        <f t="shared" si="181"/>
        <v/>
      </c>
      <c r="F972" s="1" t="str">
        <f t="shared" si="182"/>
        <v/>
      </c>
      <c r="G972" s="1" t="str">
        <f t="shared" si="183"/>
        <v/>
      </c>
      <c r="H972" s="1" t="str">
        <f t="shared" si="184"/>
        <v/>
      </c>
      <c r="K972" s="1" t="str">
        <f t="shared" si="185"/>
        <v/>
      </c>
      <c r="L972" s="1" t="str">
        <f t="shared" si="186"/>
        <v/>
      </c>
      <c r="M972" s="1" t="str">
        <f t="shared" si="187"/>
        <v/>
      </c>
      <c r="N972" s="1" t="str">
        <f t="shared" si="188"/>
        <v/>
      </c>
      <c r="O972" s="1" t="str">
        <f t="shared" si="189"/>
        <v/>
      </c>
      <c r="P972" s="1" t="str">
        <f t="shared" si="190"/>
        <v/>
      </c>
      <c r="R972" s="1" t="str">
        <f t="shared" si="191"/>
        <v/>
      </c>
    </row>
    <row r="973" spans="1:18" x14ac:dyDescent="0.2">
      <c r="A973" t="str">
        <f>IF(COUNTBLANK(B973:R973)&lt;&gt;COLUMNS(B973:R973),972,"")</f>
        <v/>
      </c>
      <c r="D973" s="1" t="str">
        <f t="shared" si="180"/>
        <v/>
      </c>
      <c r="E973" s="2" t="str">
        <f t="shared" si="181"/>
        <v/>
      </c>
      <c r="F973" s="1" t="str">
        <f t="shared" si="182"/>
        <v/>
      </c>
      <c r="G973" s="1" t="str">
        <f t="shared" si="183"/>
        <v/>
      </c>
      <c r="H973" s="1" t="str">
        <f t="shared" si="184"/>
        <v/>
      </c>
      <c r="K973" s="1" t="str">
        <f t="shared" si="185"/>
        <v/>
      </c>
      <c r="L973" s="1" t="str">
        <f t="shared" si="186"/>
        <v/>
      </c>
      <c r="M973" s="1" t="str">
        <f t="shared" si="187"/>
        <v/>
      </c>
      <c r="N973" s="1" t="str">
        <f t="shared" si="188"/>
        <v/>
      </c>
      <c r="O973" s="1" t="str">
        <f t="shared" si="189"/>
        <v/>
      </c>
      <c r="P973" s="1" t="str">
        <f t="shared" si="190"/>
        <v/>
      </c>
      <c r="R973" s="1" t="str">
        <f t="shared" si="191"/>
        <v/>
      </c>
    </row>
    <row r="974" spans="1:18" x14ac:dyDescent="0.2">
      <c r="A974" t="str">
        <f>IF(COUNTBLANK(B974:R974)&lt;&gt;COLUMNS(B974:R974),973,"")</f>
        <v/>
      </c>
      <c r="D974" s="1" t="str">
        <f t="shared" si="180"/>
        <v/>
      </c>
      <c r="E974" s="2" t="str">
        <f t="shared" si="181"/>
        <v/>
      </c>
      <c r="F974" s="1" t="str">
        <f t="shared" si="182"/>
        <v/>
      </c>
      <c r="G974" s="1" t="str">
        <f t="shared" si="183"/>
        <v/>
      </c>
      <c r="H974" s="1" t="str">
        <f t="shared" si="184"/>
        <v/>
      </c>
      <c r="K974" s="1" t="str">
        <f t="shared" si="185"/>
        <v/>
      </c>
      <c r="L974" s="1" t="str">
        <f t="shared" si="186"/>
        <v/>
      </c>
      <c r="M974" s="1" t="str">
        <f t="shared" si="187"/>
        <v/>
      </c>
      <c r="N974" s="1" t="str">
        <f t="shared" si="188"/>
        <v/>
      </c>
      <c r="O974" s="1" t="str">
        <f t="shared" si="189"/>
        <v/>
      </c>
      <c r="P974" s="1" t="str">
        <f t="shared" si="190"/>
        <v/>
      </c>
      <c r="R974" s="1" t="str">
        <f t="shared" si="191"/>
        <v/>
      </c>
    </row>
    <row r="975" spans="1:18" x14ac:dyDescent="0.2">
      <c r="A975" t="str">
        <f>IF(COUNTBLANK(B975:R975)&lt;&gt;COLUMNS(B975:R975),974,"")</f>
        <v/>
      </c>
      <c r="D975" s="1" t="str">
        <f t="shared" si="180"/>
        <v/>
      </c>
      <c r="E975" s="2" t="str">
        <f t="shared" si="181"/>
        <v/>
      </c>
      <c r="F975" s="1" t="str">
        <f t="shared" si="182"/>
        <v/>
      </c>
      <c r="G975" s="1" t="str">
        <f t="shared" si="183"/>
        <v/>
      </c>
      <c r="H975" s="1" t="str">
        <f t="shared" si="184"/>
        <v/>
      </c>
      <c r="K975" s="1" t="str">
        <f t="shared" si="185"/>
        <v/>
      </c>
      <c r="L975" s="1" t="str">
        <f t="shared" si="186"/>
        <v/>
      </c>
      <c r="M975" s="1" t="str">
        <f t="shared" si="187"/>
        <v/>
      </c>
      <c r="N975" s="1" t="str">
        <f t="shared" si="188"/>
        <v/>
      </c>
      <c r="O975" s="1" t="str">
        <f t="shared" si="189"/>
        <v/>
      </c>
      <c r="P975" s="1" t="str">
        <f t="shared" si="190"/>
        <v/>
      </c>
      <c r="R975" s="1" t="str">
        <f t="shared" si="191"/>
        <v/>
      </c>
    </row>
    <row r="976" spans="1:18" x14ac:dyDescent="0.2">
      <c r="A976" t="str">
        <f>IF(COUNTBLANK(B976:R976)&lt;&gt;COLUMNS(B976:R976),975,"")</f>
        <v/>
      </c>
      <c r="D976" s="1" t="str">
        <f t="shared" si="180"/>
        <v/>
      </c>
      <c r="E976" s="2" t="str">
        <f t="shared" si="181"/>
        <v/>
      </c>
      <c r="F976" s="1" t="str">
        <f t="shared" si="182"/>
        <v/>
      </c>
      <c r="G976" s="1" t="str">
        <f t="shared" si="183"/>
        <v/>
      </c>
      <c r="H976" s="1" t="str">
        <f t="shared" si="184"/>
        <v/>
      </c>
      <c r="K976" s="1" t="str">
        <f t="shared" si="185"/>
        <v/>
      </c>
      <c r="L976" s="1" t="str">
        <f t="shared" si="186"/>
        <v/>
      </c>
      <c r="M976" s="1" t="str">
        <f t="shared" si="187"/>
        <v/>
      </c>
      <c r="N976" s="1" t="str">
        <f t="shared" si="188"/>
        <v/>
      </c>
      <c r="O976" s="1" t="str">
        <f t="shared" si="189"/>
        <v/>
      </c>
      <c r="P976" s="1" t="str">
        <f t="shared" si="190"/>
        <v/>
      </c>
      <c r="R976" s="1" t="str">
        <f t="shared" si="191"/>
        <v/>
      </c>
    </row>
    <row r="977" spans="1:18" x14ac:dyDescent="0.2">
      <c r="A977" t="str">
        <f>IF(COUNTBLANK(B977:R977)&lt;&gt;COLUMNS(B977:R977),976,"")</f>
        <v/>
      </c>
      <c r="D977" s="1" t="str">
        <f t="shared" si="180"/>
        <v/>
      </c>
      <c r="E977" s="2" t="str">
        <f t="shared" si="181"/>
        <v/>
      </c>
      <c r="F977" s="1" t="str">
        <f t="shared" si="182"/>
        <v/>
      </c>
      <c r="G977" s="1" t="str">
        <f t="shared" si="183"/>
        <v/>
      </c>
      <c r="H977" s="1" t="str">
        <f t="shared" si="184"/>
        <v/>
      </c>
      <c r="K977" s="1" t="str">
        <f t="shared" si="185"/>
        <v/>
      </c>
      <c r="L977" s="1" t="str">
        <f t="shared" si="186"/>
        <v/>
      </c>
      <c r="M977" s="1" t="str">
        <f t="shared" si="187"/>
        <v/>
      </c>
      <c r="N977" s="1" t="str">
        <f t="shared" si="188"/>
        <v/>
      </c>
      <c r="O977" s="1" t="str">
        <f t="shared" si="189"/>
        <v/>
      </c>
      <c r="P977" s="1" t="str">
        <f t="shared" si="190"/>
        <v/>
      </c>
      <c r="R977" s="1" t="str">
        <f t="shared" si="191"/>
        <v/>
      </c>
    </row>
    <row r="978" spans="1:18" x14ac:dyDescent="0.2">
      <c r="A978" t="str">
        <f>IF(COUNTBLANK(B978:R978)&lt;&gt;COLUMNS(B978:R978),977,"")</f>
        <v/>
      </c>
      <c r="D978" s="1" t="str">
        <f t="shared" si="180"/>
        <v/>
      </c>
      <c r="E978" s="2" t="str">
        <f t="shared" si="181"/>
        <v/>
      </c>
      <c r="F978" s="1" t="str">
        <f t="shared" si="182"/>
        <v/>
      </c>
      <c r="G978" s="1" t="str">
        <f t="shared" si="183"/>
        <v/>
      </c>
      <c r="H978" s="1" t="str">
        <f t="shared" si="184"/>
        <v/>
      </c>
      <c r="K978" s="1" t="str">
        <f t="shared" si="185"/>
        <v/>
      </c>
      <c r="L978" s="1" t="str">
        <f t="shared" si="186"/>
        <v/>
      </c>
      <c r="M978" s="1" t="str">
        <f t="shared" si="187"/>
        <v/>
      </c>
      <c r="N978" s="1" t="str">
        <f t="shared" si="188"/>
        <v/>
      </c>
      <c r="O978" s="1" t="str">
        <f t="shared" si="189"/>
        <v/>
      </c>
      <c r="P978" s="1" t="str">
        <f t="shared" si="190"/>
        <v/>
      </c>
      <c r="R978" s="1" t="str">
        <f t="shared" si="191"/>
        <v/>
      </c>
    </row>
    <row r="979" spans="1:18" x14ac:dyDescent="0.2">
      <c r="A979" t="str">
        <f>IF(COUNTBLANK(B979:R979)&lt;&gt;COLUMNS(B979:R979),978,"")</f>
        <v/>
      </c>
      <c r="D979" s="1" t="str">
        <f t="shared" si="180"/>
        <v/>
      </c>
      <c r="E979" s="2" t="str">
        <f t="shared" si="181"/>
        <v/>
      </c>
      <c r="F979" s="1" t="str">
        <f t="shared" si="182"/>
        <v/>
      </c>
      <c r="G979" s="1" t="str">
        <f t="shared" si="183"/>
        <v/>
      </c>
      <c r="H979" s="1" t="str">
        <f t="shared" si="184"/>
        <v/>
      </c>
      <c r="K979" s="1" t="str">
        <f t="shared" si="185"/>
        <v/>
      </c>
      <c r="L979" s="1" t="str">
        <f t="shared" si="186"/>
        <v/>
      </c>
      <c r="M979" s="1" t="str">
        <f t="shared" si="187"/>
        <v/>
      </c>
      <c r="N979" s="1" t="str">
        <f t="shared" si="188"/>
        <v/>
      </c>
      <c r="O979" s="1" t="str">
        <f t="shared" si="189"/>
        <v/>
      </c>
      <c r="P979" s="1" t="str">
        <f t="shared" si="190"/>
        <v/>
      </c>
      <c r="R979" s="1" t="str">
        <f t="shared" si="191"/>
        <v/>
      </c>
    </row>
    <row r="980" spans="1:18" x14ac:dyDescent="0.2">
      <c r="A980" t="str">
        <f>IF(COUNTBLANK(B980:R980)&lt;&gt;COLUMNS(B980:R980),979,"")</f>
        <v/>
      </c>
      <c r="D980" s="1" t="str">
        <f t="shared" si="180"/>
        <v/>
      </c>
      <c r="E980" s="2" t="str">
        <f t="shared" si="181"/>
        <v/>
      </c>
      <c r="F980" s="1" t="str">
        <f t="shared" si="182"/>
        <v/>
      </c>
      <c r="G980" s="1" t="str">
        <f t="shared" si="183"/>
        <v/>
      </c>
      <c r="H980" s="1" t="str">
        <f t="shared" si="184"/>
        <v/>
      </c>
      <c r="K980" s="1" t="str">
        <f t="shared" si="185"/>
        <v/>
      </c>
      <c r="L980" s="1" t="str">
        <f t="shared" si="186"/>
        <v/>
      </c>
      <c r="M980" s="1" t="str">
        <f t="shared" si="187"/>
        <v/>
      </c>
      <c r="N980" s="1" t="str">
        <f t="shared" si="188"/>
        <v/>
      </c>
      <c r="O980" s="1" t="str">
        <f t="shared" si="189"/>
        <v/>
      </c>
      <c r="P980" s="1" t="str">
        <f t="shared" si="190"/>
        <v/>
      </c>
      <c r="R980" s="1" t="str">
        <f t="shared" si="191"/>
        <v/>
      </c>
    </row>
    <row r="981" spans="1:18" x14ac:dyDescent="0.2">
      <c r="A981" t="str">
        <f>IF(COUNTBLANK(B981:R981)&lt;&gt;COLUMNS(B981:R981),980,"")</f>
        <v/>
      </c>
      <c r="D981" s="1" t="str">
        <f t="shared" si="180"/>
        <v/>
      </c>
      <c r="E981" s="2" t="str">
        <f t="shared" si="181"/>
        <v/>
      </c>
      <c r="F981" s="1" t="str">
        <f t="shared" si="182"/>
        <v/>
      </c>
      <c r="G981" s="1" t="str">
        <f t="shared" si="183"/>
        <v/>
      </c>
      <c r="H981" s="1" t="str">
        <f t="shared" si="184"/>
        <v/>
      </c>
      <c r="K981" s="1" t="str">
        <f t="shared" si="185"/>
        <v/>
      </c>
      <c r="L981" s="1" t="str">
        <f t="shared" si="186"/>
        <v/>
      </c>
      <c r="M981" s="1" t="str">
        <f t="shared" si="187"/>
        <v/>
      </c>
      <c r="N981" s="1" t="str">
        <f t="shared" si="188"/>
        <v/>
      </c>
      <c r="O981" s="1" t="str">
        <f t="shared" si="189"/>
        <v/>
      </c>
      <c r="P981" s="1" t="str">
        <f t="shared" si="190"/>
        <v/>
      </c>
      <c r="R981" s="1" t="str">
        <f t="shared" si="191"/>
        <v/>
      </c>
    </row>
    <row r="982" spans="1:18" x14ac:dyDescent="0.2">
      <c r="A982" t="str">
        <f>IF(COUNTBLANK(B982:R982)&lt;&gt;COLUMNS(B982:R982),981,"")</f>
        <v/>
      </c>
      <c r="D982" s="1" t="str">
        <f t="shared" si="180"/>
        <v/>
      </c>
      <c r="E982" s="2" t="str">
        <f t="shared" si="181"/>
        <v/>
      </c>
      <c r="F982" s="1" t="str">
        <f t="shared" si="182"/>
        <v/>
      </c>
      <c r="G982" s="1" t="str">
        <f t="shared" si="183"/>
        <v/>
      </c>
      <c r="H982" s="1" t="str">
        <f t="shared" si="184"/>
        <v/>
      </c>
      <c r="K982" s="1" t="str">
        <f t="shared" si="185"/>
        <v/>
      </c>
      <c r="L982" s="1" t="str">
        <f t="shared" si="186"/>
        <v/>
      </c>
      <c r="M982" s="1" t="str">
        <f t="shared" si="187"/>
        <v/>
      </c>
      <c r="N982" s="1" t="str">
        <f t="shared" si="188"/>
        <v/>
      </c>
      <c r="O982" s="1" t="str">
        <f t="shared" si="189"/>
        <v/>
      </c>
      <c r="P982" s="1" t="str">
        <f t="shared" si="190"/>
        <v/>
      </c>
      <c r="R982" s="1" t="str">
        <f t="shared" si="191"/>
        <v/>
      </c>
    </row>
    <row r="983" spans="1:18" x14ac:dyDescent="0.2">
      <c r="A983" t="str">
        <f>IF(COUNTBLANK(B983:R983)&lt;&gt;COLUMNS(B983:R983),982,"")</f>
        <v/>
      </c>
      <c r="D983" s="1" t="str">
        <f t="shared" si="180"/>
        <v/>
      </c>
      <c r="E983" s="2" t="str">
        <f t="shared" si="181"/>
        <v/>
      </c>
      <c r="F983" s="1" t="str">
        <f t="shared" si="182"/>
        <v/>
      </c>
      <c r="G983" s="1" t="str">
        <f t="shared" si="183"/>
        <v/>
      </c>
      <c r="H983" s="1" t="str">
        <f t="shared" si="184"/>
        <v/>
      </c>
      <c r="K983" s="1" t="str">
        <f t="shared" si="185"/>
        <v/>
      </c>
      <c r="L983" s="1" t="str">
        <f t="shared" si="186"/>
        <v/>
      </c>
      <c r="M983" s="1" t="str">
        <f t="shared" si="187"/>
        <v/>
      </c>
      <c r="N983" s="1" t="str">
        <f t="shared" si="188"/>
        <v/>
      </c>
      <c r="O983" s="1" t="str">
        <f t="shared" si="189"/>
        <v/>
      </c>
      <c r="P983" s="1" t="str">
        <f t="shared" si="190"/>
        <v/>
      </c>
      <c r="R983" s="1" t="str">
        <f t="shared" si="191"/>
        <v/>
      </c>
    </row>
    <row r="984" spans="1:18" x14ac:dyDescent="0.2">
      <c r="A984" t="str">
        <f>IF(COUNTBLANK(B984:R984)&lt;&gt;COLUMNS(B984:R984),983,"")</f>
        <v/>
      </c>
      <c r="D984" s="1" t="str">
        <f t="shared" si="180"/>
        <v/>
      </c>
      <c r="E984" s="2" t="str">
        <f t="shared" si="181"/>
        <v/>
      </c>
      <c r="F984" s="1" t="str">
        <f t="shared" si="182"/>
        <v/>
      </c>
      <c r="G984" s="1" t="str">
        <f t="shared" si="183"/>
        <v/>
      </c>
      <c r="H984" s="1" t="str">
        <f t="shared" si="184"/>
        <v/>
      </c>
      <c r="K984" s="1" t="str">
        <f t="shared" si="185"/>
        <v/>
      </c>
      <c r="L984" s="1" t="str">
        <f t="shared" si="186"/>
        <v/>
      </c>
      <c r="M984" s="1" t="str">
        <f t="shared" si="187"/>
        <v/>
      </c>
      <c r="N984" s="1" t="str">
        <f t="shared" si="188"/>
        <v/>
      </c>
      <c r="O984" s="1" t="str">
        <f t="shared" si="189"/>
        <v/>
      </c>
      <c r="P984" s="1" t="str">
        <f t="shared" si="190"/>
        <v/>
      </c>
      <c r="R984" s="1" t="str">
        <f t="shared" si="191"/>
        <v/>
      </c>
    </row>
    <row r="985" spans="1:18" x14ac:dyDescent="0.2">
      <c r="A985" t="str">
        <f>IF(COUNTBLANK(B985:R985)&lt;&gt;COLUMNS(B985:R985),984,"")</f>
        <v/>
      </c>
      <c r="D985" s="1" t="str">
        <f t="shared" si="180"/>
        <v/>
      </c>
      <c r="E985" s="2" t="str">
        <f t="shared" si="181"/>
        <v/>
      </c>
      <c r="F985" s="1" t="str">
        <f t="shared" si="182"/>
        <v/>
      </c>
      <c r="G985" s="1" t="str">
        <f t="shared" si="183"/>
        <v/>
      </c>
      <c r="H985" s="1" t="str">
        <f t="shared" si="184"/>
        <v/>
      </c>
      <c r="K985" s="1" t="str">
        <f t="shared" si="185"/>
        <v/>
      </c>
      <c r="L985" s="1" t="str">
        <f t="shared" si="186"/>
        <v/>
      </c>
      <c r="M985" s="1" t="str">
        <f t="shared" si="187"/>
        <v/>
      </c>
      <c r="N985" s="1" t="str">
        <f t="shared" si="188"/>
        <v/>
      </c>
      <c r="O985" s="1" t="str">
        <f t="shared" si="189"/>
        <v/>
      </c>
      <c r="P985" s="1" t="str">
        <f t="shared" si="190"/>
        <v/>
      </c>
      <c r="R985" s="1" t="str">
        <f t="shared" si="191"/>
        <v/>
      </c>
    </row>
    <row r="986" spans="1:18" x14ac:dyDescent="0.2">
      <c r="A986" t="str">
        <f>IF(COUNTBLANK(B986:R986)&lt;&gt;COLUMNS(B986:R986),985,"")</f>
        <v/>
      </c>
      <c r="D986" s="1" t="str">
        <f t="shared" si="180"/>
        <v/>
      </c>
      <c r="E986" s="2" t="str">
        <f t="shared" si="181"/>
        <v/>
      </c>
      <c r="F986" s="1" t="str">
        <f t="shared" si="182"/>
        <v/>
      </c>
      <c r="G986" s="1" t="str">
        <f t="shared" si="183"/>
        <v/>
      </c>
      <c r="H986" s="1" t="str">
        <f t="shared" si="184"/>
        <v/>
      </c>
      <c r="K986" s="1" t="str">
        <f t="shared" si="185"/>
        <v/>
      </c>
      <c r="L986" s="1" t="str">
        <f t="shared" si="186"/>
        <v/>
      </c>
      <c r="M986" s="1" t="str">
        <f t="shared" si="187"/>
        <v/>
      </c>
      <c r="N986" s="1" t="str">
        <f t="shared" si="188"/>
        <v/>
      </c>
      <c r="O986" s="1" t="str">
        <f t="shared" si="189"/>
        <v/>
      </c>
      <c r="P986" s="1" t="str">
        <f t="shared" si="190"/>
        <v/>
      </c>
      <c r="R986" s="1" t="str">
        <f t="shared" si="191"/>
        <v/>
      </c>
    </row>
    <row r="987" spans="1:18" x14ac:dyDescent="0.2">
      <c r="A987" t="str">
        <f>IF(COUNTBLANK(B987:R987)&lt;&gt;COLUMNS(B987:R987),986,"")</f>
        <v/>
      </c>
      <c r="D987" s="1" t="str">
        <f t="shared" si="180"/>
        <v/>
      </c>
      <c r="E987" s="2" t="str">
        <f t="shared" si="181"/>
        <v/>
      </c>
      <c r="F987" s="1" t="str">
        <f t="shared" si="182"/>
        <v/>
      </c>
      <c r="G987" s="1" t="str">
        <f t="shared" si="183"/>
        <v/>
      </c>
      <c r="H987" s="1" t="str">
        <f t="shared" si="184"/>
        <v/>
      </c>
      <c r="K987" s="1" t="str">
        <f t="shared" si="185"/>
        <v/>
      </c>
      <c r="L987" s="1" t="str">
        <f t="shared" si="186"/>
        <v/>
      </c>
      <c r="M987" s="1" t="str">
        <f t="shared" si="187"/>
        <v/>
      </c>
      <c r="N987" s="1" t="str">
        <f t="shared" si="188"/>
        <v/>
      </c>
      <c r="O987" s="1" t="str">
        <f t="shared" si="189"/>
        <v/>
      </c>
      <c r="P987" s="1" t="str">
        <f t="shared" si="190"/>
        <v/>
      </c>
      <c r="R987" s="1" t="str">
        <f t="shared" si="191"/>
        <v/>
      </c>
    </row>
    <row r="988" spans="1:18" x14ac:dyDescent="0.2">
      <c r="A988" t="str">
        <f>IF(COUNTBLANK(B988:R988)&lt;&gt;COLUMNS(B988:R988),987,"")</f>
        <v/>
      </c>
      <c r="D988" s="1" t="str">
        <f t="shared" si="180"/>
        <v/>
      </c>
      <c r="E988" s="2" t="str">
        <f t="shared" si="181"/>
        <v/>
      </c>
      <c r="F988" s="1" t="str">
        <f t="shared" si="182"/>
        <v/>
      </c>
      <c r="G988" s="1" t="str">
        <f t="shared" si="183"/>
        <v/>
      </c>
      <c r="H988" s="1" t="str">
        <f t="shared" si="184"/>
        <v/>
      </c>
      <c r="K988" s="1" t="str">
        <f t="shared" si="185"/>
        <v/>
      </c>
      <c r="L988" s="1" t="str">
        <f t="shared" si="186"/>
        <v/>
      </c>
      <c r="M988" s="1" t="str">
        <f t="shared" si="187"/>
        <v/>
      </c>
      <c r="N988" s="1" t="str">
        <f t="shared" si="188"/>
        <v/>
      </c>
      <c r="O988" s="1" t="str">
        <f t="shared" si="189"/>
        <v/>
      </c>
      <c r="P988" s="1" t="str">
        <f t="shared" si="190"/>
        <v/>
      </c>
      <c r="R988" s="1" t="str">
        <f t="shared" si="191"/>
        <v/>
      </c>
    </row>
    <row r="989" spans="1:18" x14ac:dyDescent="0.2">
      <c r="A989" t="str">
        <f>IF(COUNTBLANK(B989:R989)&lt;&gt;COLUMNS(B989:R989),988,"")</f>
        <v/>
      </c>
      <c r="D989" s="1" t="str">
        <f t="shared" si="180"/>
        <v/>
      </c>
      <c r="E989" s="2" t="str">
        <f t="shared" si="181"/>
        <v/>
      </c>
      <c r="F989" s="1" t="str">
        <f t="shared" si="182"/>
        <v/>
      </c>
      <c r="G989" s="1" t="str">
        <f t="shared" si="183"/>
        <v/>
      </c>
      <c r="H989" s="1" t="str">
        <f t="shared" si="184"/>
        <v/>
      </c>
      <c r="K989" s="1" t="str">
        <f t="shared" si="185"/>
        <v/>
      </c>
      <c r="L989" s="1" t="str">
        <f t="shared" si="186"/>
        <v/>
      </c>
      <c r="M989" s="1" t="str">
        <f t="shared" si="187"/>
        <v/>
      </c>
      <c r="N989" s="1" t="str">
        <f t="shared" si="188"/>
        <v/>
      </c>
      <c r="O989" s="1" t="str">
        <f t="shared" si="189"/>
        <v/>
      </c>
      <c r="P989" s="1" t="str">
        <f t="shared" si="190"/>
        <v/>
      </c>
      <c r="R989" s="1" t="str">
        <f t="shared" si="191"/>
        <v/>
      </c>
    </row>
    <row r="990" spans="1:18" x14ac:dyDescent="0.2">
      <c r="A990" t="str">
        <f>IF(COUNTBLANK(B990:R990)&lt;&gt;COLUMNS(B990:R990),989,"")</f>
        <v/>
      </c>
      <c r="D990" s="1" t="str">
        <f t="shared" si="180"/>
        <v/>
      </c>
      <c r="E990" s="2" t="str">
        <f t="shared" si="181"/>
        <v/>
      </c>
      <c r="F990" s="1" t="str">
        <f t="shared" si="182"/>
        <v/>
      </c>
      <c r="G990" s="1" t="str">
        <f t="shared" si="183"/>
        <v/>
      </c>
      <c r="H990" s="1" t="str">
        <f t="shared" si="184"/>
        <v/>
      </c>
      <c r="K990" s="1" t="str">
        <f t="shared" si="185"/>
        <v/>
      </c>
      <c r="L990" s="1" t="str">
        <f t="shared" si="186"/>
        <v/>
      </c>
      <c r="M990" s="1" t="str">
        <f t="shared" si="187"/>
        <v/>
      </c>
      <c r="N990" s="1" t="str">
        <f t="shared" si="188"/>
        <v/>
      </c>
      <c r="O990" s="1" t="str">
        <f t="shared" si="189"/>
        <v/>
      </c>
      <c r="P990" s="1" t="str">
        <f t="shared" si="190"/>
        <v/>
      </c>
      <c r="R990" s="1" t="str">
        <f t="shared" si="191"/>
        <v/>
      </c>
    </row>
    <row r="991" spans="1:18" x14ac:dyDescent="0.2">
      <c r="A991" t="str">
        <f>IF(COUNTBLANK(B991:R991)&lt;&gt;COLUMNS(B991:R991),990,"")</f>
        <v/>
      </c>
      <c r="D991" s="1" t="str">
        <f t="shared" si="180"/>
        <v/>
      </c>
      <c r="E991" s="2" t="str">
        <f t="shared" si="181"/>
        <v/>
      </c>
      <c r="F991" s="1" t="str">
        <f t="shared" si="182"/>
        <v/>
      </c>
      <c r="G991" s="1" t="str">
        <f t="shared" si="183"/>
        <v/>
      </c>
      <c r="H991" s="1" t="str">
        <f t="shared" si="184"/>
        <v/>
      </c>
      <c r="K991" s="1" t="str">
        <f t="shared" si="185"/>
        <v/>
      </c>
      <c r="L991" s="1" t="str">
        <f t="shared" si="186"/>
        <v/>
      </c>
      <c r="M991" s="1" t="str">
        <f t="shared" si="187"/>
        <v/>
      </c>
      <c r="N991" s="1" t="str">
        <f t="shared" si="188"/>
        <v/>
      </c>
      <c r="O991" s="1" t="str">
        <f t="shared" si="189"/>
        <v/>
      </c>
      <c r="P991" s="1" t="str">
        <f t="shared" si="190"/>
        <v/>
      </c>
      <c r="R991" s="1" t="str">
        <f t="shared" si="191"/>
        <v/>
      </c>
    </row>
    <row r="992" spans="1:18" x14ac:dyDescent="0.2">
      <c r="A992" t="str">
        <f>IF(COUNTBLANK(B992:R992)&lt;&gt;COLUMNS(B992:R992),991,"")</f>
        <v/>
      </c>
      <c r="D992" s="1" t="str">
        <f t="shared" si="180"/>
        <v/>
      </c>
      <c r="E992" s="2" t="str">
        <f t="shared" si="181"/>
        <v/>
      </c>
      <c r="F992" s="1" t="str">
        <f t="shared" si="182"/>
        <v/>
      </c>
      <c r="G992" s="1" t="str">
        <f t="shared" si="183"/>
        <v/>
      </c>
      <c r="H992" s="1" t="str">
        <f t="shared" si="184"/>
        <v/>
      </c>
      <c r="K992" s="1" t="str">
        <f t="shared" si="185"/>
        <v/>
      </c>
      <c r="L992" s="1" t="str">
        <f t="shared" si="186"/>
        <v/>
      </c>
      <c r="M992" s="1" t="str">
        <f t="shared" si="187"/>
        <v/>
      </c>
      <c r="N992" s="1" t="str">
        <f t="shared" si="188"/>
        <v/>
      </c>
      <c r="O992" s="1" t="str">
        <f t="shared" si="189"/>
        <v/>
      </c>
      <c r="P992" s="1" t="str">
        <f t="shared" si="190"/>
        <v/>
      </c>
      <c r="R992" s="1" t="str">
        <f t="shared" si="191"/>
        <v/>
      </c>
    </row>
    <row r="993" spans="1:18" x14ac:dyDescent="0.2">
      <c r="A993" t="str">
        <f>IF(COUNTBLANK(B993:R993)&lt;&gt;COLUMNS(B993:R993),992,"")</f>
        <v/>
      </c>
      <c r="D993" s="1" t="str">
        <f t="shared" si="180"/>
        <v/>
      </c>
      <c r="E993" s="2" t="str">
        <f t="shared" si="181"/>
        <v/>
      </c>
      <c r="F993" s="1" t="str">
        <f t="shared" si="182"/>
        <v/>
      </c>
      <c r="G993" s="1" t="str">
        <f t="shared" si="183"/>
        <v/>
      </c>
      <c r="H993" s="1" t="str">
        <f t="shared" si="184"/>
        <v/>
      </c>
      <c r="K993" s="1" t="str">
        <f t="shared" si="185"/>
        <v/>
      </c>
      <c r="L993" s="1" t="str">
        <f t="shared" si="186"/>
        <v/>
      </c>
      <c r="M993" s="1" t="str">
        <f t="shared" si="187"/>
        <v/>
      </c>
      <c r="N993" s="1" t="str">
        <f t="shared" si="188"/>
        <v/>
      </c>
      <c r="O993" s="1" t="str">
        <f t="shared" si="189"/>
        <v/>
      </c>
      <c r="P993" s="1" t="str">
        <f t="shared" si="190"/>
        <v/>
      </c>
      <c r="R993" s="1" t="str">
        <f t="shared" si="191"/>
        <v/>
      </c>
    </row>
    <row r="994" spans="1:18" x14ac:dyDescent="0.2">
      <c r="A994" t="str">
        <f>IF(COUNTBLANK(B994:R994)&lt;&gt;COLUMNS(B994:R994),993,"")</f>
        <v/>
      </c>
      <c r="D994" s="1" t="str">
        <f t="shared" si="180"/>
        <v/>
      </c>
      <c r="E994" s="2" t="str">
        <f t="shared" si="181"/>
        <v/>
      </c>
      <c r="F994" s="1" t="str">
        <f t="shared" si="182"/>
        <v/>
      </c>
      <c r="G994" s="1" t="str">
        <f t="shared" si="183"/>
        <v/>
      </c>
      <c r="H994" s="1" t="str">
        <f t="shared" si="184"/>
        <v/>
      </c>
      <c r="K994" s="1" t="str">
        <f t="shared" si="185"/>
        <v/>
      </c>
      <c r="L994" s="1" t="str">
        <f t="shared" si="186"/>
        <v/>
      </c>
      <c r="M994" s="1" t="str">
        <f t="shared" si="187"/>
        <v/>
      </c>
      <c r="N994" s="1" t="str">
        <f t="shared" si="188"/>
        <v/>
      </c>
      <c r="O994" s="1" t="str">
        <f t="shared" si="189"/>
        <v/>
      </c>
      <c r="P994" s="1" t="str">
        <f t="shared" si="190"/>
        <v/>
      </c>
      <c r="R994" s="1" t="str">
        <f t="shared" si="191"/>
        <v/>
      </c>
    </row>
    <row r="995" spans="1:18" x14ac:dyDescent="0.2">
      <c r="A995" t="str">
        <f>IF(COUNTBLANK(B995:R995)&lt;&gt;COLUMNS(B995:R995),994,"")</f>
        <v/>
      </c>
      <c r="D995" s="1" t="str">
        <f t="shared" si="180"/>
        <v/>
      </c>
      <c r="E995" s="2" t="str">
        <f t="shared" si="181"/>
        <v/>
      </c>
      <c r="F995" s="1" t="str">
        <f t="shared" si="182"/>
        <v/>
      </c>
      <c r="G995" s="1" t="str">
        <f t="shared" si="183"/>
        <v/>
      </c>
      <c r="H995" s="1" t="str">
        <f t="shared" si="184"/>
        <v/>
      </c>
      <c r="K995" s="1" t="str">
        <f t="shared" si="185"/>
        <v/>
      </c>
      <c r="L995" s="1" t="str">
        <f t="shared" si="186"/>
        <v/>
      </c>
      <c r="M995" s="1" t="str">
        <f t="shared" si="187"/>
        <v/>
      </c>
      <c r="N995" s="1" t="str">
        <f t="shared" si="188"/>
        <v/>
      </c>
      <c r="O995" s="1" t="str">
        <f t="shared" si="189"/>
        <v/>
      </c>
      <c r="P995" s="1" t="str">
        <f t="shared" si="190"/>
        <v/>
      </c>
      <c r="R995" s="1" t="str">
        <f t="shared" si="191"/>
        <v/>
      </c>
    </row>
    <row r="996" spans="1:18" x14ac:dyDescent="0.2">
      <c r="A996" t="str">
        <f>IF(COUNTBLANK(B996:R996)&lt;&gt;COLUMNS(B996:R996),995,"")</f>
        <v/>
      </c>
      <c r="D996" s="1" t="str">
        <f t="shared" si="180"/>
        <v/>
      </c>
      <c r="E996" s="2" t="str">
        <f t="shared" si="181"/>
        <v/>
      </c>
      <c r="F996" s="1" t="str">
        <f t="shared" si="182"/>
        <v/>
      </c>
      <c r="G996" s="1" t="str">
        <f t="shared" si="183"/>
        <v/>
      </c>
      <c r="H996" s="1" t="str">
        <f t="shared" si="184"/>
        <v/>
      </c>
      <c r="K996" s="1" t="str">
        <f t="shared" si="185"/>
        <v/>
      </c>
      <c r="L996" s="1" t="str">
        <f t="shared" si="186"/>
        <v/>
      </c>
      <c r="M996" s="1" t="str">
        <f t="shared" si="187"/>
        <v/>
      </c>
      <c r="N996" s="1" t="str">
        <f t="shared" si="188"/>
        <v/>
      </c>
      <c r="O996" s="1" t="str">
        <f t="shared" si="189"/>
        <v/>
      </c>
      <c r="P996" s="1" t="str">
        <f t="shared" si="190"/>
        <v/>
      </c>
      <c r="R996" s="1" t="str">
        <f t="shared" si="191"/>
        <v/>
      </c>
    </row>
    <row r="997" spans="1:18" x14ac:dyDescent="0.2">
      <c r="A997" t="str">
        <f>IF(COUNTBLANK(B997:R997)&lt;&gt;COLUMNS(B997:R997),996,"")</f>
        <v/>
      </c>
      <c r="D997" s="1" t="str">
        <f t="shared" si="180"/>
        <v/>
      </c>
      <c r="E997" s="2" t="str">
        <f t="shared" si="181"/>
        <v/>
      </c>
      <c r="F997" s="1" t="str">
        <f t="shared" si="182"/>
        <v/>
      </c>
      <c r="G997" s="1" t="str">
        <f t="shared" si="183"/>
        <v/>
      </c>
      <c r="H997" s="1" t="str">
        <f t="shared" si="184"/>
        <v/>
      </c>
      <c r="K997" s="1" t="str">
        <f t="shared" si="185"/>
        <v/>
      </c>
      <c r="L997" s="1" t="str">
        <f t="shared" si="186"/>
        <v/>
      </c>
      <c r="M997" s="1" t="str">
        <f t="shared" si="187"/>
        <v/>
      </c>
      <c r="N997" s="1" t="str">
        <f t="shared" si="188"/>
        <v/>
      </c>
      <c r="O997" s="1" t="str">
        <f t="shared" si="189"/>
        <v/>
      </c>
      <c r="P997" s="1" t="str">
        <f t="shared" si="190"/>
        <v/>
      </c>
      <c r="R997" s="1" t="str">
        <f t="shared" si="191"/>
        <v/>
      </c>
    </row>
    <row r="998" spans="1:18" x14ac:dyDescent="0.2">
      <c r="A998" t="str">
        <f>IF(COUNTBLANK(B998:R998)&lt;&gt;COLUMNS(B998:R998),997,"")</f>
        <v/>
      </c>
      <c r="D998" s="1" t="str">
        <f t="shared" si="180"/>
        <v/>
      </c>
      <c r="E998" s="2" t="str">
        <f t="shared" si="181"/>
        <v/>
      </c>
      <c r="F998" s="1" t="str">
        <f t="shared" si="182"/>
        <v/>
      </c>
      <c r="G998" s="1" t="str">
        <f t="shared" si="183"/>
        <v/>
      </c>
      <c r="H998" s="1" t="str">
        <f t="shared" si="184"/>
        <v/>
      </c>
      <c r="K998" s="1" t="str">
        <f t="shared" si="185"/>
        <v/>
      </c>
      <c r="L998" s="1" t="str">
        <f t="shared" si="186"/>
        <v/>
      </c>
      <c r="M998" s="1" t="str">
        <f t="shared" si="187"/>
        <v/>
      </c>
      <c r="N998" s="1" t="str">
        <f t="shared" si="188"/>
        <v/>
      </c>
      <c r="O998" s="1" t="str">
        <f t="shared" si="189"/>
        <v/>
      </c>
      <c r="P998" s="1" t="str">
        <f t="shared" si="190"/>
        <v/>
      </c>
      <c r="R998" s="1" t="str">
        <f t="shared" si="191"/>
        <v/>
      </c>
    </row>
    <row r="999" spans="1:18" x14ac:dyDescent="0.2">
      <c r="A999" t="str">
        <f>IF(COUNTBLANK(B999:R999)&lt;&gt;COLUMNS(B999:R999),998,"")</f>
        <v/>
      </c>
      <c r="D999" s="1" t="str">
        <f t="shared" si="180"/>
        <v/>
      </c>
      <c r="E999" s="2" t="str">
        <f t="shared" si="181"/>
        <v/>
      </c>
      <c r="F999" s="1" t="str">
        <f t="shared" si="182"/>
        <v/>
      </c>
      <c r="G999" s="1" t="str">
        <f t="shared" si="183"/>
        <v/>
      </c>
      <c r="H999" s="1" t="str">
        <f t="shared" si="184"/>
        <v/>
      </c>
      <c r="K999" s="1" t="str">
        <f t="shared" si="185"/>
        <v/>
      </c>
      <c r="L999" s="1" t="str">
        <f t="shared" si="186"/>
        <v/>
      </c>
      <c r="M999" s="1" t="str">
        <f t="shared" si="187"/>
        <v/>
      </c>
      <c r="N999" s="1" t="str">
        <f t="shared" si="188"/>
        <v/>
      </c>
      <c r="O999" s="1" t="str">
        <f t="shared" si="189"/>
        <v/>
      </c>
      <c r="P999" s="1" t="str">
        <f t="shared" si="190"/>
        <v/>
      </c>
      <c r="R999" s="1" t="str">
        <f t="shared" si="191"/>
        <v/>
      </c>
    </row>
    <row r="1000" spans="1:18" x14ac:dyDescent="0.2">
      <c r="A1000" t="str">
        <f>IF(COUNTBLANK(B1000:R1000)&lt;&gt;COLUMNS(B1000:R1000),999,"")</f>
        <v/>
      </c>
      <c r="D1000" s="1" t="str">
        <f t="shared" si="180"/>
        <v/>
      </c>
      <c r="E1000" s="2" t="str">
        <f t="shared" si="181"/>
        <v/>
      </c>
      <c r="F1000" s="1" t="str">
        <f t="shared" si="182"/>
        <v/>
      </c>
      <c r="G1000" s="1" t="str">
        <f t="shared" si="183"/>
        <v/>
      </c>
      <c r="H1000" s="1" t="str">
        <f t="shared" si="184"/>
        <v/>
      </c>
      <c r="K1000" s="1" t="str">
        <f t="shared" si="185"/>
        <v/>
      </c>
      <c r="L1000" s="1" t="str">
        <f t="shared" si="186"/>
        <v/>
      </c>
      <c r="M1000" s="1" t="str">
        <f t="shared" si="187"/>
        <v/>
      </c>
      <c r="N1000" s="1" t="str">
        <f t="shared" si="188"/>
        <v/>
      </c>
      <c r="O1000" s="1" t="str">
        <f t="shared" si="189"/>
        <v/>
      </c>
      <c r="P1000" s="1" t="str">
        <f t="shared" si="190"/>
        <v/>
      </c>
      <c r="R1000" s="1" t="str">
        <f t="shared" si="191"/>
        <v/>
      </c>
    </row>
    <row r="1001" spans="1:18" x14ac:dyDescent="0.2">
      <c r="A1001" t="str">
        <f>IF(COUNTBLANK(B1001:R1001)&lt;&gt;COLUMNS(B1001:R1001),1000,"")</f>
        <v/>
      </c>
      <c r="D1001" s="1" t="str">
        <f t="shared" si="180"/>
        <v/>
      </c>
      <c r="E1001" s="2" t="str">
        <f t="shared" si="181"/>
        <v/>
      </c>
      <c r="F1001" s="1" t="str">
        <f t="shared" si="182"/>
        <v/>
      </c>
      <c r="G1001" s="1" t="str">
        <f t="shared" si="183"/>
        <v/>
      </c>
      <c r="H1001" s="1" t="str">
        <f t="shared" si="184"/>
        <v/>
      </c>
      <c r="K1001" s="1" t="str">
        <f t="shared" si="185"/>
        <v/>
      </c>
      <c r="L1001" s="1" t="str">
        <f t="shared" si="186"/>
        <v/>
      </c>
      <c r="M1001" s="1" t="str">
        <f t="shared" si="187"/>
        <v/>
      </c>
      <c r="N1001" s="1" t="str">
        <f t="shared" si="188"/>
        <v/>
      </c>
      <c r="O1001" s="1" t="str">
        <f t="shared" si="189"/>
        <v/>
      </c>
      <c r="P1001" s="1" t="str">
        <f t="shared" si="190"/>
        <v/>
      </c>
      <c r="R1001" s="1" t="str">
        <f t="shared" si="191"/>
        <v/>
      </c>
    </row>
    <row r="1002" spans="1:18" x14ac:dyDescent="0.2">
      <c r="B1002" s="3" t="s">
        <v>2</v>
      </c>
    </row>
  </sheetData>
  <sheetProtection sheet="1" objects="1" scenarios="1" formatCells="0" formatColumns="0" formatRows="0"/>
  <dataValidations count="17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age" error="The age value entered is not valid. The value must be a number." promptTitle="Enter age" prompt="The value must be a number." sqref="C2:C1001">
      <formula1>(IF(C2="",FALSE,ISNUMBER(VALUE(C2))))</formula1>
    </dataValidation>
    <dataValidation type="list" allowBlank="1" showInputMessage="1" showErrorMessage="1" errorTitle="Invalid age_units" error="The age_units value entered is not valid. The value must be a string and must equal &quot;years&quot;. The default value is years." promptTitle="Enter age_units" prompt="The value must be a string and must equal &quot;years&quot;. The default value is years." sqref="D2:D1001">
      <formula1>"years"</formula1>
    </dataValidation>
    <dataValidation type="custom" allowBlank="1" showInputMessage="1" showErrorMessage="1" errorTitle="Invalid bmi" error="The bmi value entered is not valid. Body mass index. The value must be a string and must equal &quot;not applicable&quot; or must equal &quot;missing: not collected&quot; or must equal &quot;missing:[text truncated: please refer to field descriptions sheet for full requirements]." promptTitle="Enter bmi" prompt="Body mass index. The value must be a string and must equal &quot;not applicable&quot; or must equal &quot;missing: not collected&quot; or must equal &quot;missing: not provided&quot; or must equal &quot;missin[text truncated: please refer to field descriptions sheet for full requirements]." sqref="E2:E1001">
      <formula1>(OR(AND(IF(E2="",FALSE,TRUE),OR(EXACT(E2,"not applicable"),EXACT(E2,"missing: not collected"),EXACT(E2,"missing: not provided"),EXACT(E2,"missing: restricted access"))),AND(IF(E2="",FALSE,ISNUMBER(VALUE(E2))),E2&gt;0)))</formula1>
    </dataValidation>
    <dataValidation type="list" allowBlank="1" showInputMessage="1" showErrorMessage="1" errorTitle="Invalid bmi_units" error="The bmi_units value entered is not valid. The value must be a string and must equal &quot;Not applicable&quot;. The default value is Not applicable." promptTitle="Enter bmi_units" prompt="The value must be a string and must equal &quot;Not applicable&quot;. The default value is Not applicable." sqref="F2:F1001">
      <formula1>"Not applicable"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G2:G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human-associated habitat&quot;. The default value is human-associated habitat." promptTitle="Enter env_feature" prompt="The value must be a string and must equal &quot;human-associated habitat&quot;. The default value is human-associated habitat." sqref="H2:H1001">
      <formula1>"human-associated habitat"</formula1>
    </dataValidation>
    <dataValidation type="list" allowBlank="1" showInputMessage="1" showErrorMessage="1" errorTitle="Invalid env_package" error="The env_package value entered is not valid. The value must be a string and must equal &quot;human-associated&quot; or must equal &quot;human-skin&quot; or must equal &quot;human-oral&quot; or must equal &quot;human-gut&quot; or must equal &quot;human-vaginal&quot;." promptTitle="Enter env_package" prompt="The value must be a string and must equal &quot;human-associated&quot; or must equal &quot;human-skin&quot; or must equal &quot;human-oral&quot; or must equal &quot;human-gut&quot; or must equal &quot;human-vaginal&quot;." sqref="I2:I1001">
      <formula1>"human-associated,human-skin,human-oral,human-gut,human-vaginal"</formula1>
    </dataValidation>
    <dataValidation type="custom" allowBlank="1" showInputMessage="1" showErrorMessage="1" errorTitle="Invalid height" error="The height value entered is not valid. The value must be a number." promptTitle="Enter height" prompt="The value must be a number." sqref="J2:J1001">
      <formula1>(IF(J2="",FALSE,ISNUMBER(VALUE(J2))))</formula1>
    </dataValidation>
    <dataValidation type="list" allowBlank="1" showInputMessage="1" showErrorMessage="1" errorTitle="Invalid height_units" error="The height_units value entered is not valid. The value must be a string and must equal &quot;cm&quot;. The default value is cm." promptTitle="Enter height_units" prompt="The value must be a string and must equal &quot;cm&quot;. The default value is cm." sqref="K2:K1001">
      <formula1>"cm"</formula1>
    </dataValidation>
    <dataValidation type="list" allowBlank="1" showInputMessage="1" showErrorMessage="1" errorTitle="Invalid host_common_name" error="The host_common_name value entered is not valid. The value must be a string and must equal &quot;human&quot;. The default value is human." promptTitle="Enter host_common_name" prompt="The value must be a string and must equal &quot;human&quot;. The default value is human." sqref="L2:L1001">
      <formula1>"human"</formula1>
    </dataValidation>
    <dataValidation type="list" allowBlank="1" showInputMessage="1" showErrorMessage="1" errorTitle="Invalid host_scientific_name" error="The host_scientific_name value entered is not valid. The value must be a string and must equal &quot;Homo sapiens&quot;. The default value is Homo sapiens." promptTitle="Enter host_scientific_name" prompt="The value must be a string and must equal &quot;Homo sapiens&quot;. The default value is Homo sapiens." sqref="M2:M1001">
      <formula1>"Homo sapiens"</formula1>
    </dataValidation>
    <dataValidation type="list" allowBlank="1" showInputMessage="1" showErrorMessage="1" errorTitle="Invalid host_taxid" error="The host_taxid value entered is not valid. The value must be a string and must equal &quot;9606&quot;. The default value is 9606." promptTitle="Enter host_taxid" prompt="The value must be a string and must equal &quot;9606&quot;. The default value is 9606." sqref="N2:N1001">
      <formula1>"9606"</formula1>
    </dataValidation>
    <dataValidation type="custom" allowBlank="1" showInputMessage="1" showErrorMessage="1" errorTitle="Invalid irb_institute" error="The irb_institute value entered is not valid. The name of institute that approved the IRB (human studies). The value must be a string. The default value is missing: not provided." promptTitle="Enter irb_institute" prompt="The name of institute that approved the IRB (human studies). The value must be a string. The default value is missing: not provided." sqref="O2:O1001">
      <formula1>(IF(O2="",FALSE,TRUE))</formula1>
    </dataValidation>
    <dataValidation type="custom" allowBlank="1" showInputMessage="1" showErrorMessage="1" errorTitle="Invalid irb_protocol_id" error="The irb_protocol_id value entered is not valid. The ID of the IRB protocol that covers the collection and analysis of this sample (human studies). The value must be a string. The default value is missing: not provided." promptTitle="Enter irb_protocol_id" prompt="The ID of the IRB protocol that covers the collection and analysis of this sample (human studies). The value must be a string. The default value is missing: not provided." sqref="P2:P1001">
      <formula1>(IF(P2="",FALSE,TRUE))</formula1>
    </dataValidation>
    <dataValidation type="custom" allowBlank="1" showInputMessage="1" showErrorMessage="1" errorTitle="Invalid weight" error="The weight value entered is not valid. The value must be a number." promptTitle="Enter weight" prompt="The value must be a number." sqref="Q2:Q1001">
      <formula1>(IF(Q2="",FALSE,ISNUMBER(VALUE(Q2))))</formula1>
    </dataValidation>
    <dataValidation type="list" allowBlank="1" showInputMessage="1" showErrorMessage="1" errorTitle="Invalid weight_units" error="The weight_units value entered is not valid. The value must be a string and must equal &quot;kg&quot;. The default value is kg." promptTitle="Enter weight_units" prompt="The value must be a string and must equal &quot;kg&quot;. The default value is kg." sqref="R2:R1001">
      <formula1>"kg"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zeroHeight="1" x14ac:dyDescent="0.2"/>
  <cols>
    <col min="2" max="18" width="8.83203125" style="4"/>
    <col min="22" max="45" width="0" hidden="1" customWidth="1"/>
  </cols>
  <sheetData>
    <row r="1" spans="1:45" x14ac:dyDescent="0.2">
      <c r="A1" s="3" t="s">
        <v>1</v>
      </c>
      <c r="B1" s="3" t="str">
        <f ca="1">IF(B2=" ", " ", INDEX($AC$1:$AS$1, 1, MATCH(COLUMNS($AC$1006:AC1006),$AC$1006:$AS$1006,0)))</f>
        <v xml:space="preserve"> </v>
      </c>
      <c r="C1" s="3" t="str">
        <f ca="1">IF(C2=" ", " ", INDEX($AC$1:$AS$1, 1, MATCH(COLUMNS($AC$1006:AD1006),$AC$1006:$AS$1006,0)))</f>
        <v xml:space="preserve"> </v>
      </c>
      <c r="D1" s="3" t="str">
        <f ca="1">IF(D2=" ", " ", INDEX($AC$1:$AS$1, 1, MATCH(COLUMNS($AC$1006:AE1006),$AC$1006:$AS$1006,0)))</f>
        <v xml:space="preserve"> </v>
      </c>
      <c r="E1" s="3" t="str">
        <f ca="1">IF(E2=" ", " ", INDEX($AC$1:$AS$1, 1, MATCH(COLUMNS($AC$1006:AF1006),$AC$1006:$AS$1006,0)))</f>
        <v xml:space="preserve"> </v>
      </c>
      <c r="F1" s="3" t="str">
        <f ca="1">IF(F2=" ", " ", INDEX($AC$1:$AS$1, 1, MATCH(COLUMNS($AC$1006:AG1006),$AC$1006:$AS$1006,0)))</f>
        <v xml:space="preserve"> </v>
      </c>
      <c r="G1" s="3" t="str">
        <f ca="1">IF(G2=" ", " ", INDEX($AC$1:$AS$1, 1, MATCH(COLUMNS($AC$1006:AH1006),$AC$1006:$AS$1006,0)))</f>
        <v xml:space="preserve"> </v>
      </c>
      <c r="H1" s="3" t="str">
        <f ca="1">IF(H2=" ", " ", INDEX($AC$1:$AS$1, 1, MATCH(COLUMNS($AC$1006:AI1006),$AC$1006:$AS$1006,0)))</f>
        <v xml:space="preserve"> </v>
      </c>
      <c r="I1" s="3" t="str">
        <f ca="1">IF(I2=" ", " ", INDEX($AC$1:$AS$1, 1, MATCH(COLUMNS($AC$1006:AJ1006),$AC$1006:$AS$1006,0)))</f>
        <v xml:space="preserve"> </v>
      </c>
      <c r="J1" s="3" t="str">
        <f ca="1">IF(J2=" ", " ", INDEX($AC$1:$AS$1, 1, MATCH(COLUMNS($AC$1006:AK1006),$AC$1006:$AS$1006,0)))</f>
        <v xml:space="preserve"> </v>
      </c>
      <c r="K1" s="3" t="str">
        <f ca="1">IF(K2=" ", " ", INDEX($AC$1:$AS$1, 1, MATCH(COLUMNS($AC$1006:AL1006),$AC$1006:$AS$1006,0)))</f>
        <v xml:space="preserve"> </v>
      </c>
      <c r="L1" s="3" t="str">
        <f ca="1">IF(L2=" ", " ", INDEX($AC$1:$AS$1, 1, MATCH(COLUMNS($AC$1006:AM1006),$AC$1006:$AS$1006,0)))</f>
        <v xml:space="preserve"> </v>
      </c>
      <c r="M1" s="3" t="str">
        <f ca="1">IF(M2=" ", " ", INDEX($AC$1:$AS$1, 1, MATCH(COLUMNS($AC$1006:AN1006),$AC$1006:$AS$1006,0)))</f>
        <v xml:space="preserve"> </v>
      </c>
      <c r="N1" s="3" t="str">
        <f ca="1">IF(N2=" ", " ", INDEX($AC$1:$AS$1, 1, MATCH(COLUMNS($AC$1006:AO1006),$AC$1006:$AS$1006,0)))</f>
        <v xml:space="preserve"> </v>
      </c>
      <c r="O1" s="3" t="str">
        <f ca="1">IF(O2=" ", " ", INDEX($AC$1:$AS$1, 1, MATCH(COLUMNS($AC$1006:AP1006),$AC$1006:$AS$1006,0)))</f>
        <v xml:space="preserve"> </v>
      </c>
      <c r="P1" s="3" t="str">
        <f ca="1">IF(P2=" ", " ", INDEX($AC$1:$AS$1, 1, MATCH(COLUMNS($AC$1006:AQ1006),$AC$1006:$AS$1006,0)))</f>
        <v xml:space="preserve"> </v>
      </c>
      <c r="Q1" s="3" t="str">
        <f ca="1">IF(Q2=" ", " ", INDEX($AC$1:$AS$1, 1, MATCH(COLUMNS($AC$1006:AR1006),$AC$1006:$AS$1006,0)))</f>
        <v xml:space="preserve"> </v>
      </c>
      <c r="R1" s="3" t="str">
        <f ca="1">IF(R2=" ", " ", INDEX($AC$1:$AS$1, 1, MATCH(COLUMNS($AC$1006:AS1006),$AC$1006:$AS$1006,0)))</f>
        <v xml:space="preserve"> </v>
      </c>
      <c r="V1" s="3" t="s">
        <v>23</v>
      </c>
      <c r="W1" s="3" t="s">
        <v>22</v>
      </c>
      <c r="X1" s="3" t="s">
        <v>21</v>
      </c>
      <c r="Y1" s="3" t="s">
        <v>20</v>
      </c>
      <c r="Z1" s="3" t="s">
        <v>19</v>
      </c>
      <c r="AA1" s="3" t="s">
        <v>1</v>
      </c>
      <c r="AC1" s="3" t="s">
        <v>1</v>
      </c>
      <c r="AD1" s="3" t="s">
        <v>3</v>
      </c>
      <c r="AE1" s="3" t="s">
        <v>4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</row>
    <row r="2" spans="1:45" x14ac:dyDescent="0.2">
      <c r="A2" s="5" t="str">
        <f ca="1">IF(B2=" "," ",HYPERLINK(CONCATENATE("#metadata!",ADDRESS(INDEX($X$2:$X$1001,MATCH(ROWS($V$2:V2),$V$2:$V$1001,0),0),1)),INDEX($AA$2:$AA$1001,MATCH(ROWS($V$2:V2),$V$2:$V$1001,0),0)))</f>
        <v xml:space="preserve"> </v>
      </c>
      <c r="B2" s="4" t="str">
        <f ca="1">IF(OR(INDEX($W$2:$W$1001,MATCH(ROWS($V$2:V2),$V$2:$V$1001,0),1)&gt;=100000,INDEX($AC$1005:$AS$1005,1,MATCH(COLUMNS($AC$1006:AC1006),$AC$1006:$AS$1006,0))&gt;=100000), " ",IF(INDEX($AC$2:$AS$1001,MATCH(ROWS($V$2:V2),$V$2:$V$1001,0),MATCH(COLUMNS($AC$1006:AC1006),$AC$1006:$AS$1006,0)), HYPERLINK("#",""), HYPERLINK(CONCATENATE("#metadata!", ADDRESS(INDEX($X$2:$X$1001,MATCH(ROWS($V$2:V2),$V$2:$V$1001,0),0), INDEX($AC$1004:$AS$1004,1,MATCH(COLUMNS($AC$1006:AC1006),$AC$1006:$AS$1006,0)))),"Fix")))</f>
        <v xml:space="preserve"> </v>
      </c>
      <c r="C2" s="4" t="str">
        <f ca="1">IF(OR(INDEX($W$2:$W$1001,MATCH(ROWS($V$2:V2),$V$2:$V$1001,0),1)&gt;=100000,INDEX($AC$1005:$AS$1005,1,MATCH(COLUMNS($AC$1006:AD1006),$AC$1006:$AS$1006,0))&gt;=100000), " ",IF(INDEX($AC$2:$AS$1001,MATCH(ROWS($V$2:V2),$V$2:$V$1001,0),MATCH(COLUMNS($AC$1006:AD1006),$AC$1006:$AS$1006,0)), HYPERLINK("#",""), HYPERLINK(CONCATENATE("#metadata!", ADDRESS(INDEX($X$2:$X$1001,MATCH(ROWS($V$2:V2),$V$2:$V$1001,0),0), INDEX($AC$1004:$AS$1004,1,MATCH(COLUMNS($AC$1006:AD1006),$AC$1006:$AS$1006,0)))),"Fix")))</f>
        <v xml:space="preserve"> </v>
      </c>
      <c r="D2" s="4" t="str">
        <f ca="1">IF(OR(INDEX($W$2:$W$1001,MATCH(ROWS($V$2:V2),$V$2:$V$1001,0),1)&gt;=100000,INDEX($AC$1005:$AS$1005,1,MATCH(COLUMNS($AC$1006:AE1006),$AC$1006:$AS$1006,0))&gt;=100000), " ",IF(INDEX($AC$2:$AS$1001,MATCH(ROWS($V$2:V2),$V$2:$V$1001,0),MATCH(COLUMNS($AC$1006:AE1006),$AC$1006:$AS$1006,0)), HYPERLINK("#",""), HYPERLINK(CONCATENATE("#metadata!", ADDRESS(INDEX($X$2:$X$1001,MATCH(ROWS($V$2:V2),$V$2:$V$1001,0),0), INDEX($AC$1004:$AS$1004,1,MATCH(COLUMNS($AC$1006:AE1006),$AC$1006:$AS$1006,0)))),"Fix")))</f>
        <v xml:space="preserve"> </v>
      </c>
      <c r="E2" s="4" t="str">
        <f ca="1">IF(OR(INDEX($W$2:$W$1001,MATCH(ROWS($V$2:V2),$V$2:$V$1001,0),1)&gt;=100000,INDEX($AC$1005:$AS$1005,1,MATCH(COLUMNS($AC$1006:AF1006),$AC$1006:$AS$1006,0))&gt;=100000), " ",IF(INDEX($AC$2:$AS$1001,MATCH(ROWS($V$2:V2),$V$2:$V$1001,0),MATCH(COLUMNS($AC$1006:AF1006),$AC$1006:$AS$1006,0)), HYPERLINK("#",""), HYPERLINK(CONCATENATE("#metadata!", ADDRESS(INDEX($X$2:$X$1001,MATCH(ROWS($V$2:V2),$V$2:$V$1001,0),0), INDEX($AC$1004:$AS$1004,1,MATCH(COLUMNS($AC$1006:AF1006),$AC$1006:$AS$1006,0)))),"Fix")))</f>
        <v xml:space="preserve"> </v>
      </c>
      <c r="F2" s="4" t="str">
        <f ca="1">IF(OR(INDEX($W$2:$W$1001,MATCH(ROWS($V$2:V2),$V$2:$V$1001,0),1)&gt;=100000,INDEX($AC$1005:$AS$1005,1,MATCH(COLUMNS($AC$1006:AG1006),$AC$1006:$AS$1006,0))&gt;=100000), " ",IF(INDEX($AC$2:$AS$1001,MATCH(ROWS($V$2:V2),$V$2:$V$1001,0),MATCH(COLUMNS($AC$1006:AG1006),$AC$1006:$AS$1006,0)), HYPERLINK("#",""), HYPERLINK(CONCATENATE("#metadata!", ADDRESS(INDEX($X$2:$X$1001,MATCH(ROWS($V$2:V2),$V$2:$V$1001,0),0), INDEX($AC$1004:$AS$1004,1,MATCH(COLUMNS($AC$1006:AG1006),$AC$1006:$AS$1006,0)))),"Fix")))</f>
        <v xml:space="preserve"> </v>
      </c>
      <c r="G2" s="4" t="str">
        <f ca="1">IF(OR(INDEX($W$2:$W$1001,MATCH(ROWS($V$2:V2),$V$2:$V$1001,0),1)&gt;=100000,INDEX($AC$1005:$AS$1005,1,MATCH(COLUMNS($AC$1006:AH1006),$AC$1006:$AS$1006,0))&gt;=100000), " ",IF(INDEX($AC$2:$AS$1001,MATCH(ROWS($V$2:V2),$V$2:$V$1001,0),MATCH(COLUMNS($AC$1006:AH1006),$AC$1006:$AS$1006,0)), HYPERLINK("#",""), HYPERLINK(CONCATENATE("#metadata!", ADDRESS(INDEX($X$2:$X$1001,MATCH(ROWS($V$2:V2),$V$2:$V$1001,0),0), INDEX($AC$1004:$AS$1004,1,MATCH(COLUMNS($AC$1006:AH1006),$AC$1006:$AS$1006,0)))),"Fix")))</f>
        <v xml:space="preserve"> </v>
      </c>
      <c r="H2" s="4" t="str">
        <f ca="1">IF(OR(INDEX($W$2:$W$1001,MATCH(ROWS($V$2:V2),$V$2:$V$1001,0),1)&gt;=100000,INDEX($AC$1005:$AS$1005,1,MATCH(COLUMNS($AC$1006:AI1006),$AC$1006:$AS$1006,0))&gt;=100000), " ",IF(INDEX($AC$2:$AS$1001,MATCH(ROWS($V$2:V2),$V$2:$V$1001,0),MATCH(COLUMNS($AC$1006:AI1006),$AC$1006:$AS$1006,0)), HYPERLINK("#",""), HYPERLINK(CONCATENATE("#metadata!", ADDRESS(INDEX($X$2:$X$1001,MATCH(ROWS($V$2:V2),$V$2:$V$1001,0),0), INDEX($AC$1004:$AS$1004,1,MATCH(COLUMNS($AC$1006:AI1006),$AC$1006:$AS$1006,0)))),"Fix")))</f>
        <v xml:space="preserve"> </v>
      </c>
      <c r="I2" s="4" t="str">
        <f ca="1">IF(OR(INDEX($W$2:$W$1001,MATCH(ROWS($V$2:V2),$V$2:$V$1001,0),1)&gt;=100000,INDEX($AC$1005:$AS$1005,1,MATCH(COLUMNS($AC$1006:AJ1006),$AC$1006:$AS$1006,0))&gt;=100000), " ",IF(INDEX($AC$2:$AS$1001,MATCH(ROWS($V$2:V2),$V$2:$V$1001,0),MATCH(COLUMNS($AC$1006:AJ1006),$AC$1006:$AS$1006,0)), HYPERLINK("#",""), HYPERLINK(CONCATENATE("#metadata!", ADDRESS(INDEX($X$2:$X$1001,MATCH(ROWS($V$2:V2),$V$2:$V$1001,0),0), INDEX($AC$1004:$AS$1004,1,MATCH(COLUMNS($AC$1006:AJ1006),$AC$1006:$AS$1006,0)))),"Fix")))</f>
        <v xml:space="preserve"> </v>
      </c>
      <c r="J2" s="4" t="str">
        <f ca="1">IF(OR(INDEX($W$2:$W$1001,MATCH(ROWS($V$2:V2),$V$2:$V$1001,0),1)&gt;=100000,INDEX($AC$1005:$AS$1005,1,MATCH(COLUMNS($AC$1006:AK1006),$AC$1006:$AS$1006,0))&gt;=100000), " ",IF(INDEX($AC$2:$AS$1001,MATCH(ROWS($V$2:V2),$V$2:$V$1001,0),MATCH(COLUMNS($AC$1006:AK1006),$AC$1006:$AS$1006,0)), HYPERLINK("#",""), HYPERLINK(CONCATENATE("#metadata!", ADDRESS(INDEX($X$2:$X$1001,MATCH(ROWS($V$2:V2),$V$2:$V$1001,0),0), INDEX($AC$1004:$AS$1004,1,MATCH(COLUMNS($AC$1006:AK1006),$AC$1006:$AS$1006,0)))),"Fix")))</f>
        <v xml:space="preserve"> </v>
      </c>
      <c r="K2" s="4" t="str">
        <f ca="1">IF(OR(INDEX($W$2:$W$1001,MATCH(ROWS($V$2:V2),$V$2:$V$1001,0),1)&gt;=100000,INDEX($AC$1005:$AS$1005,1,MATCH(COLUMNS($AC$1006:AL1006),$AC$1006:$AS$1006,0))&gt;=100000), " ",IF(INDEX($AC$2:$AS$1001,MATCH(ROWS($V$2:V2),$V$2:$V$1001,0),MATCH(COLUMNS($AC$1006:AL1006),$AC$1006:$AS$1006,0)), HYPERLINK("#",""), HYPERLINK(CONCATENATE("#metadata!", ADDRESS(INDEX($X$2:$X$1001,MATCH(ROWS($V$2:V2),$V$2:$V$1001,0),0), INDEX($AC$1004:$AS$1004,1,MATCH(COLUMNS($AC$1006:AL1006),$AC$1006:$AS$1006,0)))),"Fix")))</f>
        <v xml:space="preserve"> </v>
      </c>
      <c r="L2" s="4" t="str">
        <f ca="1">IF(OR(INDEX($W$2:$W$1001,MATCH(ROWS($V$2:V2),$V$2:$V$1001,0),1)&gt;=100000,INDEX($AC$1005:$AS$1005,1,MATCH(COLUMNS($AC$1006:AM1006),$AC$1006:$AS$1006,0))&gt;=100000), " ",IF(INDEX($AC$2:$AS$1001,MATCH(ROWS($V$2:V2),$V$2:$V$1001,0),MATCH(COLUMNS($AC$1006:AM1006),$AC$1006:$AS$1006,0)), HYPERLINK("#",""), HYPERLINK(CONCATENATE("#metadata!", ADDRESS(INDEX($X$2:$X$1001,MATCH(ROWS($V$2:V2),$V$2:$V$1001,0),0), INDEX($AC$1004:$AS$1004,1,MATCH(COLUMNS($AC$1006:AM1006),$AC$1006:$AS$1006,0)))),"Fix")))</f>
        <v xml:space="preserve"> </v>
      </c>
      <c r="M2" s="4" t="str">
        <f ca="1">IF(OR(INDEX($W$2:$W$1001,MATCH(ROWS($V$2:V2),$V$2:$V$1001,0),1)&gt;=100000,INDEX($AC$1005:$AS$1005,1,MATCH(COLUMNS($AC$1006:AN1006),$AC$1006:$AS$1006,0))&gt;=100000), " ",IF(INDEX($AC$2:$AS$1001,MATCH(ROWS($V$2:V2),$V$2:$V$1001,0),MATCH(COLUMNS($AC$1006:AN1006),$AC$1006:$AS$1006,0)), HYPERLINK("#",""), HYPERLINK(CONCATENATE("#metadata!", ADDRESS(INDEX($X$2:$X$1001,MATCH(ROWS($V$2:V2),$V$2:$V$1001,0),0), INDEX($AC$1004:$AS$1004,1,MATCH(COLUMNS($AC$1006:AN1006),$AC$1006:$AS$1006,0)))),"Fix")))</f>
        <v xml:space="preserve"> </v>
      </c>
      <c r="N2" s="4" t="str">
        <f ca="1">IF(OR(INDEX($W$2:$W$1001,MATCH(ROWS($V$2:V2),$V$2:$V$1001,0),1)&gt;=100000,INDEX($AC$1005:$AS$1005,1,MATCH(COLUMNS($AC$1006:AO1006),$AC$1006:$AS$1006,0))&gt;=100000), " ",IF(INDEX($AC$2:$AS$1001,MATCH(ROWS($V$2:V2),$V$2:$V$1001,0),MATCH(COLUMNS($AC$1006:AO1006),$AC$1006:$AS$1006,0)), HYPERLINK("#",""), HYPERLINK(CONCATENATE("#metadata!", ADDRESS(INDEX($X$2:$X$1001,MATCH(ROWS($V$2:V2),$V$2:$V$1001,0),0), INDEX($AC$1004:$AS$1004,1,MATCH(COLUMNS($AC$1006:AO1006),$AC$1006:$AS$1006,0)))),"Fix")))</f>
        <v xml:space="preserve"> </v>
      </c>
      <c r="O2" s="4" t="str">
        <f ca="1">IF(OR(INDEX($W$2:$W$1001,MATCH(ROWS($V$2:V2),$V$2:$V$1001,0),1)&gt;=100000,INDEX($AC$1005:$AS$1005,1,MATCH(COLUMNS($AC$1006:AP1006),$AC$1006:$AS$1006,0))&gt;=100000), " ",IF(INDEX($AC$2:$AS$1001,MATCH(ROWS($V$2:V2),$V$2:$V$1001,0),MATCH(COLUMNS($AC$1006:AP1006),$AC$1006:$AS$1006,0)), HYPERLINK("#",""), HYPERLINK(CONCATENATE("#metadata!", ADDRESS(INDEX($X$2:$X$1001,MATCH(ROWS($V$2:V2),$V$2:$V$1001,0),0), INDEX($AC$1004:$AS$1004,1,MATCH(COLUMNS($AC$1006:AP1006),$AC$1006:$AS$1006,0)))),"Fix")))</f>
        <v xml:space="preserve"> </v>
      </c>
      <c r="P2" s="4" t="str">
        <f ca="1">IF(OR(INDEX($W$2:$W$1001,MATCH(ROWS($V$2:V2),$V$2:$V$1001,0),1)&gt;=100000,INDEX($AC$1005:$AS$1005,1,MATCH(COLUMNS($AC$1006:AQ1006),$AC$1006:$AS$1006,0))&gt;=100000), " ",IF(INDEX($AC$2:$AS$1001,MATCH(ROWS($V$2:V2),$V$2:$V$1001,0),MATCH(COLUMNS($AC$1006:AQ1006),$AC$1006:$AS$1006,0)), HYPERLINK("#",""), HYPERLINK(CONCATENATE("#metadata!", ADDRESS(INDEX($X$2:$X$1001,MATCH(ROWS($V$2:V2),$V$2:$V$1001,0),0), INDEX($AC$1004:$AS$1004,1,MATCH(COLUMNS($AC$1006:AQ1006),$AC$1006:$AS$1006,0)))),"Fix")))</f>
        <v xml:space="preserve"> </v>
      </c>
      <c r="Q2" s="4" t="str">
        <f ca="1">IF(OR(INDEX($W$2:$W$1001,MATCH(ROWS($V$2:V2),$V$2:$V$1001,0),1)&gt;=100000,INDEX($AC$1005:$AS$1005,1,MATCH(COLUMNS($AC$1006:AR1006),$AC$1006:$AS$1006,0))&gt;=100000), " ",IF(INDEX($AC$2:$AS$1001,MATCH(ROWS($V$2:V2),$V$2:$V$1001,0),MATCH(COLUMNS($AC$1006:AR1006),$AC$1006:$AS$1006,0)), HYPERLINK("#",""), HYPERLINK(CONCATENATE("#metadata!", ADDRESS(INDEX($X$2:$X$1001,MATCH(ROWS($V$2:V2),$V$2:$V$1001,0),0), INDEX($AC$1004:$AS$1004,1,MATCH(COLUMNS($AC$1006:AR1006),$AC$1006:$AS$1006,0)))),"Fix")))</f>
        <v xml:space="preserve"> </v>
      </c>
      <c r="R2" s="4" t="str">
        <f ca="1">IF(OR(INDEX($W$2:$W$1001,MATCH(ROWS($V$2:V2),$V$2:$V$1001,0),1)&gt;=100000,INDEX($AC$1005:$AS$1005,1,MATCH(COLUMNS($AC$1006:AS1006),$AC$1006:$AS$1006,0))&gt;=100000), " ",IF(INDEX($AC$2:$AS$1001,MATCH(ROWS($V$2:V2),$V$2:$V$1001,0),MATCH(COLUMNS($AC$1006:AS1006),$AC$1006:$AS$1006,0)), HYPERLINK("#",""), HYPERLINK(CONCATENATE("#metadata!", ADDRESS(INDEX($X$2:$X$1001,MATCH(ROWS($V$2:V2),$V$2:$V$1001,0),0), INDEX($AC$1004:$AS$1004,1,MATCH(COLUMNS($AC$1006:AS1006),$AC$1006:$AS$1006,0)))),"Fix")))</f>
        <v xml:space="preserve"> </v>
      </c>
      <c r="V2">
        <f t="array" ref="V2:V1001">COUNTIF(W$2:W$1001,"&lt;="&amp;$W2:$W1001)</f>
        <v>1</v>
      </c>
      <c r="W2">
        <f t="array" ref="W2:W1001">INT(Y2:Y1001)*100000+$X$2:$X$1001</f>
        <v>100002</v>
      </c>
      <c r="X2">
        <f t="array" ref="X2:X1001">ROW(metadata!B2:B1001)</f>
        <v>2</v>
      </c>
      <c r="Y2" t="b">
        <f t="shared" ref="Y2:Y65" si="0">IF(Z2,TRUE,AND(AC2:AS2))</f>
        <v>1</v>
      </c>
      <c r="Z2" t="b">
        <f>COUNTBLANK(metadata!B2:R2)=COLUMNS(metadata!B2:R2)</f>
        <v>1</v>
      </c>
      <c r="AA2" t="str">
        <f t="array" ref="AA2:AA1001">IF(metadata!B2:B1001="","",metadata!B2:B1001)</f>
        <v/>
      </c>
      <c r="AC2" t="b">
        <f ca="1"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AD2" t="b">
        <f>IF(metadata!C2="",FALSE,ISNUMBER(VALUE(metadata!C2)))</f>
        <v>0</v>
      </c>
      <c r="AE2" t="b">
        <f>AND(IF(metadata!D2="",FALSE,TRUE),EXACT(metadata!D2,"years"))</f>
        <v>0</v>
      </c>
      <c r="AF2" t="b">
        <f>OR(AND(IF(metadata!E2="",FALSE,TRUE),OR(EXACT(metadata!E2,"not applicable"),EXACT(metadata!E2,"missing: not collected"),EXACT(metadata!E2,"missing: not provided"),EXACT(metadata!E2,"missing: restricted access"))),AND(IF(metadata!E2="",FALSE,ISNUMBER(VALUE(metadata!E2))),metadata!E2&gt;0))</f>
        <v>0</v>
      </c>
      <c r="AG2" t="b">
        <f>AND(IF(metadata!F2="",FALSE,TRUE),EXACT(metadata!F2,"Not applicable"))</f>
        <v>0</v>
      </c>
      <c r="AH2" t="b">
        <f>AND(IF(metadata!G2="",FALSE,TRUE),EXACT(metadata!G2,"urban biome"))</f>
        <v>0</v>
      </c>
      <c r="AI2" t="b">
        <f>AND(IF(metadata!H2="",FALSE,TRUE),EXACT(metadata!H2,"human-associated habitat"))</f>
        <v>0</v>
      </c>
      <c r="AJ2" t="b">
        <f>AND(IF(metadata!I2="",FALSE,TRUE),OR(EXACT(metadata!I2,"human-associated"),EXACT(metadata!I2,"human-skin"),EXACT(metadata!I2,"human-oral"),EXACT(metadata!I2,"human-gut"),EXACT(metadata!I2,"human-vaginal")))</f>
        <v>0</v>
      </c>
      <c r="AK2" t="b">
        <f>IF(metadata!J2="",FALSE,ISNUMBER(VALUE(metadata!J2)))</f>
        <v>0</v>
      </c>
      <c r="AL2" t="b">
        <f>AND(IF(metadata!K2="",FALSE,TRUE),EXACT(metadata!K2,"cm"))</f>
        <v>0</v>
      </c>
      <c r="AM2" t="b">
        <f>AND(IF(metadata!L2="",FALSE,TRUE),EXACT(metadata!L2,"human"))</f>
        <v>0</v>
      </c>
      <c r="AN2" t="b">
        <f>AND(IF(metadata!M2="",FALSE,TRUE),EXACT(metadata!M2,"Homo sapiens"))</f>
        <v>0</v>
      </c>
      <c r="AO2" t="b">
        <f>AND(IF(metadata!N2="",FALSE,TRUE),EXACT(metadata!N2,"9606"))</f>
        <v>0</v>
      </c>
      <c r="AP2" t="b">
        <f>IF(metadata!O2="",FALSE,TRUE)</f>
        <v>0</v>
      </c>
      <c r="AQ2" t="b">
        <f>IF(metadata!P2="",FALSE,TRUE)</f>
        <v>0</v>
      </c>
      <c r="AR2" t="b">
        <f>IF(metadata!Q2="",FALSE,ISNUMBER(VALUE(metadata!Q2)))</f>
        <v>0</v>
      </c>
      <c r="AS2" t="b">
        <f>AND(IF(metadata!R2="",FALSE,TRUE),EXACT(metadata!R2,"kg"))</f>
        <v>0</v>
      </c>
    </row>
    <row r="3" spans="1:45" x14ac:dyDescent="0.2">
      <c r="A3" s="5" t="str">
        <f ca="1">IF(B3=" "," ",HYPERLINK(CONCATENATE("#metadata!",ADDRESS(INDEX($X$2:$X$1001,MATCH(ROWS($V$2:V3),$V$2:$V$1001,0),0),1)),INDEX($AA$2:$AA$1001,MATCH(ROWS($V$2:V3),$V$2:$V$1001,0),0)))</f>
        <v xml:space="preserve"> </v>
      </c>
      <c r="B3" s="4" t="str">
        <f ca="1">IF(OR(INDEX($W$2:$W$1001,MATCH(ROWS($V$2:V3),$V$2:$V$1001,0),1)&gt;=100000,INDEX($AC$1005:$AS$1005,1,MATCH(COLUMNS($AC$1006:AC1006),$AC$1006:$AS$1006,0))&gt;=100000), " ",IF(INDEX($AC$2:$AS$1001,MATCH(ROWS($V$2:V3),$V$2:$V$1001,0),MATCH(COLUMNS($AC$1006:AC1006),$AC$1006:$AS$1006,0)), HYPERLINK("#",""), HYPERLINK(CONCATENATE("#metadata!", ADDRESS(INDEX($X$2:$X$1001,MATCH(ROWS($V$2:V3),$V$2:$V$1001,0),0), INDEX($AC$1004:$AS$1004,1,MATCH(COLUMNS($AC$1006:AC1006),$AC$1006:$AS$1006,0)))),"Fix")))</f>
        <v xml:space="preserve"> </v>
      </c>
      <c r="C3" s="4" t="str">
        <f ca="1">IF(OR(INDEX($W$2:$W$1001,MATCH(ROWS($V$2:V3),$V$2:$V$1001,0),1)&gt;=100000,INDEX($AC$1005:$AS$1005,1,MATCH(COLUMNS($AC$1006:AD1006),$AC$1006:$AS$1006,0))&gt;=100000), " ",IF(INDEX($AC$2:$AS$1001,MATCH(ROWS($V$2:V3),$V$2:$V$1001,0),MATCH(COLUMNS($AC$1006:AD1006),$AC$1006:$AS$1006,0)), HYPERLINK("#",""), HYPERLINK(CONCATENATE("#metadata!", ADDRESS(INDEX($X$2:$X$1001,MATCH(ROWS($V$2:V3),$V$2:$V$1001,0),0), INDEX($AC$1004:$AS$1004,1,MATCH(COLUMNS($AC$1006:AD1006),$AC$1006:$AS$1006,0)))),"Fix")))</f>
        <v xml:space="preserve"> </v>
      </c>
      <c r="D3" s="4" t="str">
        <f ca="1">IF(OR(INDEX($W$2:$W$1001,MATCH(ROWS($V$2:V3),$V$2:$V$1001,0),1)&gt;=100000,INDEX($AC$1005:$AS$1005,1,MATCH(COLUMNS($AC$1006:AE1006),$AC$1006:$AS$1006,0))&gt;=100000), " ",IF(INDEX($AC$2:$AS$1001,MATCH(ROWS($V$2:V3),$V$2:$V$1001,0),MATCH(COLUMNS($AC$1006:AE1006),$AC$1006:$AS$1006,0)), HYPERLINK("#",""), HYPERLINK(CONCATENATE("#metadata!", ADDRESS(INDEX($X$2:$X$1001,MATCH(ROWS($V$2:V3),$V$2:$V$1001,0),0), INDEX($AC$1004:$AS$1004,1,MATCH(COLUMNS($AC$1006:AE1006),$AC$1006:$AS$1006,0)))),"Fix")))</f>
        <v xml:space="preserve"> </v>
      </c>
      <c r="E3" s="4" t="str">
        <f ca="1">IF(OR(INDEX($W$2:$W$1001,MATCH(ROWS($V$2:V3),$V$2:$V$1001,0),1)&gt;=100000,INDEX($AC$1005:$AS$1005,1,MATCH(COLUMNS($AC$1006:AF1006),$AC$1006:$AS$1006,0))&gt;=100000), " ",IF(INDEX($AC$2:$AS$1001,MATCH(ROWS($V$2:V3),$V$2:$V$1001,0),MATCH(COLUMNS($AC$1006:AF1006),$AC$1006:$AS$1006,0)), HYPERLINK("#",""), HYPERLINK(CONCATENATE("#metadata!", ADDRESS(INDEX($X$2:$X$1001,MATCH(ROWS($V$2:V3),$V$2:$V$1001,0),0), INDEX($AC$1004:$AS$1004,1,MATCH(COLUMNS($AC$1006:AF1006),$AC$1006:$AS$1006,0)))),"Fix")))</f>
        <v xml:space="preserve"> </v>
      </c>
      <c r="F3" s="4" t="str">
        <f ca="1">IF(OR(INDEX($W$2:$W$1001,MATCH(ROWS($V$2:V3),$V$2:$V$1001,0),1)&gt;=100000,INDEX($AC$1005:$AS$1005,1,MATCH(COLUMNS($AC$1006:AG1006),$AC$1006:$AS$1006,0))&gt;=100000), " ",IF(INDEX($AC$2:$AS$1001,MATCH(ROWS($V$2:V3),$V$2:$V$1001,0),MATCH(COLUMNS($AC$1006:AG1006),$AC$1006:$AS$1006,0)), HYPERLINK("#",""), HYPERLINK(CONCATENATE("#metadata!", ADDRESS(INDEX($X$2:$X$1001,MATCH(ROWS($V$2:V3),$V$2:$V$1001,0),0), INDEX($AC$1004:$AS$1004,1,MATCH(COLUMNS($AC$1006:AG1006),$AC$1006:$AS$1006,0)))),"Fix")))</f>
        <v xml:space="preserve"> </v>
      </c>
      <c r="G3" s="4" t="str">
        <f ca="1">IF(OR(INDEX($W$2:$W$1001,MATCH(ROWS($V$2:V3),$V$2:$V$1001,0),1)&gt;=100000,INDEX($AC$1005:$AS$1005,1,MATCH(COLUMNS($AC$1006:AH1006),$AC$1006:$AS$1006,0))&gt;=100000), " ",IF(INDEX($AC$2:$AS$1001,MATCH(ROWS($V$2:V3),$V$2:$V$1001,0),MATCH(COLUMNS($AC$1006:AH1006),$AC$1006:$AS$1006,0)), HYPERLINK("#",""), HYPERLINK(CONCATENATE("#metadata!", ADDRESS(INDEX($X$2:$X$1001,MATCH(ROWS($V$2:V3),$V$2:$V$1001,0),0), INDEX($AC$1004:$AS$1004,1,MATCH(COLUMNS($AC$1006:AH1006),$AC$1006:$AS$1006,0)))),"Fix")))</f>
        <v xml:space="preserve"> </v>
      </c>
      <c r="H3" s="4" t="str">
        <f ca="1">IF(OR(INDEX($W$2:$W$1001,MATCH(ROWS($V$2:V3),$V$2:$V$1001,0),1)&gt;=100000,INDEX($AC$1005:$AS$1005,1,MATCH(COLUMNS($AC$1006:AI1006),$AC$1006:$AS$1006,0))&gt;=100000), " ",IF(INDEX($AC$2:$AS$1001,MATCH(ROWS($V$2:V3),$V$2:$V$1001,0),MATCH(COLUMNS($AC$1006:AI1006),$AC$1006:$AS$1006,0)), HYPERLINK("#",""), HYPERLINK(CONCATENATE("#metadata!", ADDRESS(INDEX($X$2:$X$1001,MATCH(ROWS($V$2:V3),$V$2:$V$1001,0),0), INDEX($AC$1004:$AS$1004,1,MATCH(COLUMNS($AC$1006:AI1006),$AC$1006:$AS$1006,0)))),"Fix")))</f>
        <v xml:space="preserve"> </v>
      </c>
      <c r="I3" s="4" t="str">
        <f ca="1">IF(OR(INDEX($W$2:$W$1001,MATCH(ROWS($V$2:V3),$V$2:$V$1001,0),1)&gt;=100000,INDEX($AC$1005:$AS$1005,1,MATCH(COLUMNS($AC$1006:AJ1006),$AC$1006:$AS$1006,0))&gt;=100000), " ",IF(INDEX($AC$2:$AS$1001,MATCH(ROWS($V$2:V3),$V$2:$V$1001,0),MATCH(COLUMNS($AC$1006:AJ1006),$AC$1006:$AS$1006,0)), HYPERLINK("#",""), HYPERLINK(CONCATENATE("#metadata!", ADDRESS(INDEX($X$2:$X$1001,MATCH(ROWS($V$2:V3),$V$2:$V$1001,0),0), INDEX($AC$1004:$AS$1004,1,MATCH(COLUMNS($AC$1006:AJ1006),$AC$1006:$AS$1006,0)))),"Fix")))</f>
        <v xml:space="preserve"> </v>
      </c>
      <c r="J3" s="4" t="str">
        <f ca="1">IF(OR(INDEX($W$2:$W$1001,MATCH(ROWS($V$2:V3),$V$2:$V$1001,0),1)&gt;=100000,INDEX($AC$1005:$AS$1005,1,MATCH(COLUMNS($AC$1006:AK1006),$AC$1006:$AS$1006,0))&gt;=100000), " ",IF(INDEX($AC$2:$AS$1001,MATCH(ROWS($V$2:V3),$V$2:$V$1001,0),MATCH(COLUMNS($AC$1006:AK1006),$AC$1006:$AS$1006,0)), HYPERLINK("#",""), HYPERLINK(CONCATENATE("#metadata!", ADDRESS(INDEX($X$2:$X$1001,MATCH(ROWS($V$2:V3),$V$2:$V$1001,0),0), INDEX($AC$1004:$AS$1004,1,MATCH(COLUMNS($AC$1006:AK1006),$AC$1006:$AS$1006,0)))),"Fix")))</f>
        <v xml:space="preserve"> </v>
      </c>
      <c r="K3" s="4" t="str">
        <f ca="1">IF(OR(INDEX($W$2:$W$1001,MATCH(ROWS($V$2:V3),$V$2:$V$1001,0),1)&gt;=100000,INDEX($AC$1005:$AS$1005,1,MATCH(COLUMNS($AC$1006:AL1006),$AC$1006:$AS$1006,0))&gt;=100000), " ",IF(INDEX($AC$2:$AS$1001,MATCH(ROWS($V$2:V3),$V$2:$V$1001,0),MATCH(COLUMNS($AC$1006:AL1006),$AC$1006:$AS$1006,0)), HYPERLINK("#",""), HYPERLINK(CONCATENATE("#metadata!", ADDRESS(INDEX($X$2:$X$1001,MATCH(ROWS($V$2:V3),$V$2:$V$1001,0),0), INDEX($AC$1004:$AS$1004,1,MATCH(COLUMNS($AC$1006:AL1006),$AC$1006:$AS$1006,0)))),"Fix")))</f>
        <v xml:space="preserve"> </v>
      </c>
      <c r="L3" s="4" t="str">
        <f ca="1">IF(OR(INDEX($W$2:$W$1001,MATCH(ROWS($V$2:V3),$V$2:$V$1001,0),1)&gt;=100000,INDEX($AC$1005:$AS$1005,1,MATCH(COLUMNS($AC$1006:AM1006),$AC$1006:$AS$1006,0))&gt;=100000), " ",IF(INDEX($AC$2:$AS$1001,MATCH(ROWS($V$2:V3),$V$2:$V$1001,0),MATCH(COLUMNS($AC$1006:AM1006),$AC$1006:$AS$1006,0)), HYPERLINK("#",""), HYPERLINK(CONCATENATE("#metadata!", ADDRESS(INDEX($X$2:$X$1001,MATCH(ROWS($V$2:V3),$V$2:$V$1001,0),0), INDEX($AC$1004:$AS$1004,1,MATCH(COLUMNS($AC$1006:AM1006),$AC$1006:$AS$1006,0)))),"Fix")))</f>
        <v xml:space="preserve"> </v>
      </c>
      <c r="M3" s="4" t="str">
        <f ca="1">IF(OR(INDEX($W$2:$W$1001,MATCH(ROWS($V$2:V3),$V$2:$V$1001,0),1)&gt;=100000,INDEX($AC$1005:$AS$1005,1,MATCH(COLUMNS($AC$1006:AN1006),$AC$1006:$AS$1006,0))&gt;=100000), " ",IF(INDEX($AC$2:$AS$1001,MATCH(ROWS($V$2:V3),$V$2:$V$1001,0),MATCH(COLUMNS($AC$1006:AN1006),$AC$1006:$AS$1006,0)), HYPERLINK("#",""), HYPERLINK(CONCATENATE("#metadata!", ADDRESS(INDEX($X$2:$X$1001,MATCH(ROWS($V$2:V3),$V$2:$V$1001,0),0), INDEX($AC$1004:$AS$1004,1,MATCH(COLUMNS($AC$1006:AN1006),$AC$1006:$AS$1006,0)))),"Fix")))</f>
        <v xml:space="preserve"> </v>
      </c>
      <c r="N3" s="4" t="str">
        <f ca="1">IF(OR(INDEX($W$2:$W$1001,MATCH(ROWS($V$2:V3),$V$2:$V$1001,0),1)&gt;=100000,INDEX($AC$1005:$AS$1005,1,MATCH(COLUMNS($AC$1006:AO1006),$AC$1006:$AS$1006,0))&gt;=100000), " ",IF(INDEX($AC$2:$AS$1001,MATCH(ROWS($V$2:V3),$V$2:$V$1001,0),MATCH(COLUMNS($AC$1006:AO1006),$AC$1006:$AS$1006,0)), HYPERLINK("#",""), HYPERLINK(CONCATENATE("#metadata!", ADDRESS(INDEX($X$2:$X$1001,MATCH(ROWS($V$2:V3),$V$2:$V$1001,0),0), INDEX($AC$1004:$AS$1004,1,MATCH(COLUMNS($AC$1006:AO1006),$AC$1006:$AS$1006,0)))),"Fix")))</f>
        <v xml:space="preserve"> </v>
      </c>
      <c r="O3" s="4" t="str">
        <f ca="1">IF(OR(INDEX($W$2:$W$1001,MATCH(ROWS($V$2:V3),$V$2:$V$1001,0),1)&gt;=100000,INDEX($AC$1005:$AS$1005,1,MATCH(COLUMNS($AC$1006:AP1006),$AC$1006:$AS$1006,0))&gt;=100000), " ",IF(INDEX($AC$2:$AS$1001,MATCH(ROWS($V$2:V3),$V$2:$V$1001,0),MATCH(COLUMNS($AC$1006:AP1006),$AC$1006:$AS$1006,0)), HYPERLINK("#",""), HYPERLINK(CONCATENATE("#metadata!", ADDRESS(INDEX($X$2:$X$1001,MATCH(ROWS($V$2:V3),$V$2:$V$1001,0),0), INDEX($AC$1004:$AS$1004,1,MATCH(COLUMNS($AC$1006:AP1006),$AC$1006:$AS$1006,0)))),"Fix")))</f>
        <v xml:space="preserve"> </v>
      </c>
      <c r="P3" s="4" t="str">
        <f ca="1">IF(OR(INDEX($W$2:$W$1001,MATCH(ROWS($V$2:V3),$V$2:$V$1001,0),1)&gt;=100000,INDEX($AC$1005:$AS$1005,1,MATCH(COLUMNS($AC$1006:AQ1006),$AC$1006:$AS$1006,0))&gt;=100000), " ",IF(INDEX($AC$2:$AS$1001,MATCH(ROWS($V$2:V3),$V$2:$V$1001,0),MATCH(COLUMNS($AC$1006:AQ1006),$AC$1006:$AS$1006,0)), HYPERLINK("#",""), HYPERLINK(CONCATENATE("#metadata!", ADDRESS(INDEX($X$2:$X$1001,MATCH(ROWS($V$2:V3),$V$2:$V$1001,0),0), INDEX($AC$1004:$AS$1004,1,MATCH(COLUMNS($AC$1006:AQ1006),$AC$1006:$AS$1006,0)))),"Fix")))</f>
        <v xml:space="preserve"> </v>
      </c>
      <c r="Q3" s="4" t="str">
        <f ca="1">IF(OR(INDEX($W$2:$W$1001,MATCH(ROWS($V$2:V3),$V$2:$V$1001,0),1)&gt;=100000,INDEX($AC$1005:$AS$1005,1,MATCH(COLUMNS($AC$1006:AR1006),$AC$1006:$AS$1006,0))&gt;=100000), " ",IF(INDEX($AC$2:$AS$1001,MATCH(ROWS($V$2:V3),$V$2:$V$1001,0),MATCH(COLUMNS($AC$1006:AR1006),$AC$1006:$AS$1006,0)), HYPERLINK("#",""), HYPERLINK(CONCATENATE("#metadata!", ADDRESS(INDEX($X$2:$X$1001,MATCH(ROWS($V$2:V3),$V$2:$V$1001,0),0), INDEX($AC$1004:$AS$1004,1,MATCH(COLUMNS($AC$1006:AR1006),$AC$1006:$AS$1006,0)))),"Fix")))</f>
        <v xml:space="preserve"> </v>
      </c>
      <c r="R3" s="4" t="str">
        <f ca="1">IF(OR(INDEX($W$2:$W$1001,MATCH(ROWS($V$2:V3),$V$2:$V$1001,0),1)&gt;=100000,INDEX($AC$1005:$AS$1005,1,MATCH(COLUMNS($AC$1006:AS1006),$AC$1006:$AS$1006,0))&gt;=100000), " ",IF(INDEX($AC$2:$AS$1001,MATCH(ROWS($V$2:V3),$V$2:$V$1001,0),MATCH(COLUMNS($AC$1006:AS1006),$AC$1006:$AS$1006,0)), HYPERLINK("#",""), HYPERLINK(CONCATENATE("#metadata!", ADDRESS(INDEX($X$2:$X$1001,MATCH(ROWS($V$2:V3),$V$2:$V$1001,0),0), INDEX($AC$1004:$AS$1004,1,MATCH(COLUMNS($AC$1006:AS1006),$AC$1006:$AS$1006,0)))),"Fix")))</f>
        <v xml:space="preserve"> </v>
      </c>
      <c r="V3">
        <v>2</v>
      </c>
      <c r="W3">
        <v>100003</v>
      </c>
      <c r="X3">
        <v>3</v>
      </c>
      <c r="Y3" t="b">
        <f t="shared" si="0"/>
        <v>1</v>
      </c>
      <c r="Z3" t="b">
        <f>COUNTBLANK(metadata!B3:R3)=COLUMNS(metadata!B3:R3)</f>
        <v>1</v>
      </c>
      <c r="AA3" t="str">
        <v/>
      </c>
      <c r="AC3" t="b">
        <f ca="1"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AD3" t="b">
        <f>IF(metadata!C3="",FALSE,ISNUMBER(VALUE(metadata!C3)))</f>
        <v>0</v>
      </c>
      <c r="AE3" t="b">
        <f>AND(IF(metadata!D3="",FALSE,TRUE),EXACT(metadata!D3,"years"))</f>
        <v>0</v>
      </c>
      <c r="AF3" t="b">
        <f>OR(AND(IF(metadata!E3="",FALSE,TRUE),OR(EXACT(metadata!E3,"not applicable"),EXACT(metadata!E3,"missing: not collected"),EXACT(metadata!E3,"missing: not provided"),EXACT(metadata!E3,"missing: restricted access"))),AND(IF(metadata!E3="",FALSE,ISNUMBER(VALUE(metadata!E3))),metadata!E3&gt;0))</f>
        <v>0</v>
      </c>
      <c r="AG3" t="b">
        <f>AND(IF(metadata!F3="",FALSE,TRUE),EXACT(metadata!F3,"Not applicable"))</f>
        <v>0</v>
      </c>
      <c r="AH3" t="b">
        <f>AND(IF(metadata!G3="",FALSE,TRUE),EXACT(metadata!G3,"urban biome"))</f>
        <v>0</v>
      </c>
      <c r="AI3" t="b">
        <f>AND(IF(metadata!H3="",FALSE,TRUE),EXACT(metadata!H3,"human-associated habitat"))</f>
        <v>0</v>
      </c>
      <c r="AJ3" t="b">
        <f>AND(IF(metadata!I3="",FALSE,TRUE),OR(EXACT(metadata!I3,"human-associated"),EXACT(metadata!I3,"human-skin"),EXACT(metadata!I3,"human-oral"),EXACT(metadata!I3,"human-gut"),EXACT(metadata!I3,"human-vaginal")))</f>
        <v>0</v>
      </c>
      <c r="AK3" t="b">
        <f>IF(metadata!J3="",FALSE,ISNUMBER(VALUE(metadata!J3)))</f>
        <v>0</v>
      </c>
      <c r="AL3" t="b">
        <f>AND(IF(metadata!K3="",FALSE,TRUE),EXACT(metadata!K3,"cm"))</f>
        <v>0</v>
      </c>
      <c r="AM3" t="b">
        <f>AND(IF(metadata!L3="",FALSE,TRUE),EXACT(metadata!L3,"human"))</f>
        <v>0</v>
      </c>
      <c r="AN3" t="b">
        <f>AND(IF(metadata!M3="",FALSE,TRUE),EXACT(metadata!M3,"Homo sapiens"))</f>
        <v>0</v>
      </c>
      <c r="AO3" t="b">
        <f>AND(IF(metadata!N3="",FALSE,TRUE),EXACT(metadata!N3,"9606"))</f>
        <v>0</v>
      </c>
      <c r="AP3" t="b">
        <f>IF(metadata!O3="",FALSE,TRUE)</f>
        <v>0</v>
      </c>
      <c r="AQ3" t="b">
        <f>IF(metadata!P3="",FALSE,TRUE)</f>
        <v>0</v>
      </c>
      <c r="AR3" t="b">
        <f>IF(metadata!Q3="",FALSE,ISNUMBER(VALUE(metadata!Q3)))</f>
        <v>0</v>
      </c>
      <c r="AS3" t="b">
        <f>AND(IF(metadata!R3="",FALSE,TRUE),EXACT(metadata!R3,"kg"))</f>
        <v>0</v>
      </c>
    </row>
    <row r="4" spans="1:45" x14ac:dyDescent="0.2">
      <c r="A4" s="5" t="str">
        <f ca="1">IF(B4=" "," ",HYPERLINK(CONCATENATE("#metadata!",ADDRESS(INDEX($X$2:$X$1001,MATCH(ROWS($V$2:V4),$V$2:$V$1001,0),0),1)),INDEX($AA$2:$AA$1001,MATCH(ROWS($V$2:V4),$V$2:$V$1001,0),0)))</f>
        <v xml:space="preserve"> </v>
      </c>
      <c r="B4" s="4" t="str">
        <f ca="1">IF(OR(INDEX($W$2:$W$1001,MATCH(ROWS($V$2:V4),$V$2:$V$1001,0),1)&gt;=100000,INDEX($AC$1005:$AS$1005,1,MATCH(COLUMNS($AC$1006:AC1006),$AC$1006:$AS$1006,0))&gt;=100000), " ",IF(INDEX($AC$2:$AS$1001,MATCH(ROWS($V$2:V4),$V$2:$V$1001,0),MATCH(COLUMNS($AC$1006:AC1006),$AC$1006:$AS$1006,0)), HYPERLINK("#",""), HYPERLINK(CONCATENATE("#metadata!", ADDRESS(INDEX($X$2:$X$1001,MATCH(ROWS($V$2:V4),$V$2:$V$1001,0),0), INDEX($AC$1004:$AS$1004,1,MATCH(COLUMNS($AC$1006:AC1006),$AC$1006:$AS$1006,0)))),"Fix")))</f>
        <v xml:space="preserve"> </v>
      </c>
      <c r="C4" s="4" t="str">
        <f ca="1">IF(OR(INDEX($W$2:$W$1001,MATCH(ROWS($V$2:V4),$V$2:$V$1001,0),1)&gt;=100000,INDEX($AC$1005:$AS$1005,1,MATCH(COLUMNS($AC$1006:AD1006),$AC$1006:$AS$1006,0))&gt;=100000), " ",IF(INDEX($AC$2:$AS$1001,MATCH(ROWS($V$2:V4),$V$2:$V$1001,0),MATCH(COLUMNS($AC$1006:AD1006),$AC$1006:$AS$1006,0)), HYPERLINK("#",""), HYPERLINK(CONCATENATE("#metadata!", ADDRESS(INDEX($X$2:$X$1001,MATCH(ROWS($V$2:V4),$V$2:$V$1001,0),0), INDEX($AC$1004:$AS$1004,1,MATCH(COLUMNS($AC$1006:AD1006),$AC$1006:$AS$1006,0)))),"Fix")))</f>
        <v xml:space="preserve"> </v>
      </c>
      <c r="D4" s="4" t="str">
        <f ca="1">IF(OR(INDEX($W$2:$W$1001,MATCH(ROWS($V$2:V4),$V$2:$V$1001,0),1)&gt;=100000,INDEX($AC$1005:$AS$1005,1,MATCH(COLUMNS($AC$1006:AE1006),$AC$1006:$AS$1006,0))&gt;=100000), " ",IF(INDEX($AC$2:$AS$1001,MATCH(ROWS($V$2:V4),$V$2:$V$1001,0),MATCH(COLUMNS($AC$1006:AE1006),$AC$1006:$AS$1006,0)), HYPERLINK("#",""), HYPERLINK(CONCATENATE("#metadata!", ADDRESS(INDEX($X$2:$X$1001,MATCH(ROWS($V$2:V4),$V$2:$V$1001,0),0), INDEX($AC$1004:$AS$1004,1,MATCH(COLUMNS($AC$1006:AE1006),$AC$1006:$AS$1006,0)))),"Fix")))</f>
        <v xml:space="preserve"> </v>
      </c>
      <c r="E4" s="4" t="str">
        <f ca="1">IF(OR(INDEX($W$2:$W$1001,MATCH(ROWS($V$2:V4),$V$2:$V$1001,0),1)&gt;=100000,INDEX($AC$1005:$AS$1005,1,MATCH(COLUMNS($AC$1006:AF1006),$AC$1006:$AS$1006,0))&gt;=100000), " ",IF(INDEX($AC$2:$AS$1001,MATCH(ROWS($V$2:V4),$V$2:$V$1001,0),MATCH(COLUMNS($AC$1006:AF1006),$AC$1006:$AS$1006,0)), HYPERLINK("#",""), HYPERLINK(CONCATENATE("#metadata!", ADDRESS(INDEX($X$2:$X$1001,MATCH(ROWS($V$2:V4),$V$2:$V$1001,0),0), INDEX($AC$1004:$AS$1004,1,MATCH(COLUMNS($AC$1006:AF1006),$AC$1006:$AS$1006,0)))),"Fix")))</f>
        <v xml:space="preserve"> </v>
      </c>
      <c r="F4" s="4" t="str">
        <f ca="1">IF(OR(INDEX($W$2:$W$1001,MATCH(ROWS($V$2:V4),$V$2:$V$1001,0),1)&gt;=100000,INDEX($AC$1005:$AS$1005,1,MATCH(COLUMNS($AC$1006:AG1006),$AC$1006:$AS$1006,0))&gt;=100000), " ",IF(INDEX($AC$2:$AS$1001,MATCH(ROWS($V$2:V4),$V$2:$V$1001,0),MATCH(COLUMNS($AC$1006:AG1006),$AC$1006:$AS$1006,0)), HYPERLINK("#",""), HYPERLINK(CONCATENATE("#metadata!", ADDRESS(INDEX($X$2:$X$1001,MATCH(ROWS($V$2:V4),$V$2:$V$1001,0),0), INDEX($AC$1004:$AS$1004,1,MATCH(COLUMNS($AC$1006:AG1006),$AC$1006:$AS$1006,0)))),"Fix")))</f>
        <v xml:space="preserve"> </v>
      </c>
      <c r="G4" s="4" t="str">
        <f ca="1">IF(OR(INDEX($W$2:$W$1001,MATCH(ROWS($V$2:V4),$V$2:$V$1001,0),1)&gt;=100000,INDEX($AC$1005:$AS$1005,1,MATCH(COLUMNS($AC$1006:AH1006),$AC$1006:$AS$1006,0))&gt;=100000), " ",IF(INDEX($AC$2:$AS$1001,MATCH(ROWS($V$2:V4),$V$2:$V$1001,0),MATCH(COLUMNS($AC$1006:AH1006),$AC$1006:$AS$1006,0)), HYPERLINK("#",""), HYPERLINK(CONCATENATE("#metadata!", ADDRESS(INDEX($X$2:$X$1001,MATCH(ROWS($V$2:V4),$V$2:$V$1001,0),0), INDEX($AC$1004:$AS$1004,1,MATCH(COLUMNS($AC$1006:AH1006),$AC$1006:$AS$1006,0)))),"Fix")))</f>
        <v xml:space="preserve"> </v>
      </c>
      <c r="H4" s="4" t="str">
        <f ca="1">IF(OR(INDEX($W$2:$W$1001,MATCH(ROWS($V$2:V4),$V$2:$V$1001,0),1)&gt;=100000,INDEX($AC$1005:$AS$1005,1,MATCH(COLUMNS($AC$1006:AI1006),$AC$1006:$AS$1006,0))&gt;=100000), " ",IF(INDEX($AC$2:$AS$1001,MATCH(ROWS($V$2:V4),$V$2:$V$1001,0),MATCH(COLUMNS($AC$1006:AI1006),$AC$1006:$AS$1006,0)), HYPERLINK("#",""), HYPERLINK(CONCATENATE("#metadata!", ADDRESS(INDEX($X$2:$X$1001,MATCH(ROWS($V$2:V4),$V$2:$V$1001,0),0), INDEX($AC$1004:$AS$1004,1,MATCH(COLUMNS($AC$1006:AI1006),$AC$1006:$AS$1006,0)))),"Fix")))</f>
        <v xml:space="preserve"> </v>
      </c>
      <c r="I4" s="4" t="str">
        <f ca="1">IF(OR(INDEX($W$2:$W$1001,MATCH(ROWS($V$2:V4),$V$2:$V$1001,0),1)&gt;=100000,INDEX($AC$1005:$AS$1005,1,MATCH(COLUMNS($AC$1006:AJ1006),$AC$1006:$AS$1006,0))&gt;=100000), " ",IF(INDEX($AC$2:$AS$1001,MATCH(ROWS($V$2:V4),$V$2:$V$1001,0),MATCH(COLUMNS($AC$1006:AJ1006),$AC$1006:$AS$1006,0)), HYPERLINK("#",""), HYPERLINK(CONCATENATE("#metadata!", ADDRESS(INDEX($X$2:$X$1001,MATCH(ROWS($V$2:V4),$V$2:$V$1001,0),0), INDEX($AC$1004:$AS$1004,1,MATCH(COLUMNS($AC$1006:AJ1006),$AC$1006:$AS$1006,0)))),"Fix")))</f>
        <v xml:space="preserve"> </v>
      </c>
      <c r="J4" s="4" t="str">
        <f ca="1">IF(OR(INDEX($W$2:$W$1001,MATCH(ROWS($V$2:V4),$V$2:$V$1001,0),1)&gt;=100000,INDEX($AC$1005:$AS$1005,1,MATCH(COLUMNS($AC$1006:AK1006),$AC$1006:$AS$1006,0))&gt;=100000), " ",IF(INDEX($AC$2:$AS$1001,MATCH(ROWS($V$2:V4),$V$2:$V$1001,0),MATCH(COLUMNS($AC$1006:AK1006),$AC$1006:$AS$1006,0)), HYPERLINK("#",""), HYPERLINK(CONCATENATE("#metadata!", ADDRESS(INDEX($X$2:$X$1001,MATCH(ROWS($V$2:V4),$V$2:$V$1001,0),0), INDEX($AC$1004:$AS$1004,1,MATCH(COLUMNS($AC$1006:AK1006),$AC$1006:$AS$1006,0)))),"Fix")))</f>
        <v xml:space="preserve"> </v>
      </c>
      <c r="K4" s="4" t="str">
        <f ca="1">IF(OR(INDEX($W$2:$W$1001,MATCH(ROWS($V$2:V4),$V$2:$V$1001,0),1)&gt;=100000,INDEX($AC$1005:$AS$1005,1,MATCH(COLUMNS($AC$1006:AL1006),$AC$1006:$AS$1006,0))&gt;=100000), " ",IF(INDEX($AC$2:$AS$1001,MATCH(ROWS($V$2:V4),$V$2:$V$1001,0),MATCH(COLUMNS($AC$1006:AL1006),$AC$1006:$AS$1006,0)), HYPERLINK("#",""), HYPERLINK(CONCATENATE("#metadata!", ADDRESS(INDEX($X$2:$X$1001,MATCH(ROWS($V$2:V4),$V$2:$V$1001,0),0), INDEX($AC$1004:$AS$1004,1,MATCH(COLUMNS($AC$1006:AL1006),$AC$1006:$AS$1006,0)))),"Fix")))</f>
        <v xml:space="preserve"> </v>
      </c>
      <c r="L4" s="4" t="str">
        <f ca="1">IF(OR(INDEX($W$2:$W$1001,MATCH(ROWS($V$2:V4),$V$2:$V$1001,0),1)&gt;=100000,INDEX($AC$1005:$AS$1005,1,MATCH(COLUMNS($AC$1006:AM1006),$AC$1006:$AS$1006,0))&gt;=100000), " ",IF(INDEX($AC$2:$AS$1001,MATCH(ROWS($V$2:V4),$V$2:$V$1001,0),MATCH(COLUMNS($AC$1006:AM1006),$AC$1006:$AS$1006,0)), HYPERLINK("#",""), HYPERLINK(CONCATENATE("#metadata!", ADDRESS(INDEX($X$2:$X$1001,MATCH(ROWS($V$2:V4),$V$2:$V$1001,0),0), INDEX($AC$1004:$AS$1004,1,MATCH(COLUMNS($AC$1006:AM1006),$AC$1006:$AS$1006,0)))),"Fix")))</f>
        <v xml:space="preserve"> </v>
      </c>
      <c r="M4" s="4" t="str">
        <f ca="1">IF(OR(INDEX($W$2:$W$1001,MATCH(ROWS($V$2:V4),$V$2:$V$1001,0),1)&gt;=100000,INDEX($AC$1005:$AS$1005,1,MATCH(COLUMNS($AC$1006:AN1006),$AC$1006:$AS$1006,0))&gt;=100000), " ",IF(INDEX($AC$2:$AS$1001,MATCH(ROWS($V$2:V4),$V$2:$V$1001,0),MATCH(COLUMNS($AC$1006:AN1006),$AC$1006:$AS$1006,0)), HYPERLINK("#",""), HYPERLINK(CONCATENATE("#metadata!", ADDRESS(INDEX($X$2:$X$1001,MATCH(ROWS($V$2:V4),$V$2:$V$1001,0),0), INDEX($AC$1004:$AS$1004,1,MATCH(COLUMNS($AC$1006:AN1006),$AC$1006:$AS$1006,0)))),"Fix")))</f>
        <v xml:space="preserve"> </v>
      </c>
      <c r="N4" s="4" t="str">
        <f ca="1">IF(OR(INDEX($W$2:$W$1001,MATCH(ROWS($V$2:V4),$V$2:$V$1001,0),1)&gt;=100000,INDEX($AC$1005:$AS$1005,1,MATCH(COLUMNS($AC$1006:AO1006),$AC$1006:$AS$1006,0))&gt;=100000), " ",IF(INDEX($AC$2:$AS$1001,MATCH(ROWS($V$2:V4),$V$2:$V$1001,0),MATCH(COLUMNS($AC$1006:AO1006),$AC$1006:$AS$1006,0)), HYPERLINK("#",""), HYPERLINK(CONCATENATE("#metadata!", ADDRESS(INDEX($X$2:$X$1001,MATCH(ROWS($V$2:V4),$V$2:$V$1001,0),0), INDEX($AC$1004:$AS$1004,1,MATCH(COLUMNS($AC$1006:AO1006),$AC$1006:$AS$1006,0)))),"Fix")))</f>
        <v xml:space="preserve"> </v>
      </c>
      <c r="O4" s="4" t="str">
        <f ca="1">IF(OR(INDEX($W$2:$W$1001,MATCH(ROWS($V$2:V4),$V$2:$V$1001,0),1)&gt;=100000,INDEX($AC$1005:$AS$1005,1,MATCH(COLUMNS($AC$1006:AP1006),$AC$1006:$AS$1006,0))&gt;=100000), " ",IF(INDEX($AC$2:$AS$1001,MATCH(ROWS($V$2:V4),$V$2:$V$1001,0),MATCH(COLUMNS($AC$1006:AP1006),$AC$1006:$AS$1006,0)), HYPERLINK("#",""), HYPERLINK(CONCATENATE("#metadata!", ADDRESS(INDEX($X$2:$X$1001,MATCH(ROWS($V$2:V4),$V$2:$V$1001,0),0), INDEX($AC$1004:$AS$1004,1,MATCH(COLUMNS($AC$1006:AP1006),$AC$1006:$AS$1006,0)))),"Fix")))</f>
        <v xml:space="preserve"> </v>
      </c>
      <c r="P4" s="4" t="str">
        <f ca="1">IF(OR(INDEX($W$2:$W$1001,MATCH(ROWS($V$2:V4),$V$2:$V$1001,0),1)&gt;=100000,INDEX($AC$1005:$AS$1005,1,MATCH(COLUMNS($AC$1006:AQ1006),$AC$1006:$AS$1006,0))&gt;=100000), " ",IF(INDEX($AC$2:$AS$1001,MATCH(ROWS($V$2:V4),$V$2:$V$1001,0),MATCH(COLUMNS($AC$1006:AQ1006),$AC$1006:$AS$1006,0)), HYPERLINK("#",""), HYPERLINK(CONCATENATE("#metadata!", ADDRESS(INDEX($X$2:$X$1001,MATCH(ROWS($V$2:V4),$V$2:$V$1001,0),0), INDEX($AC$1004:$AS$1004,1,MATCH(COLUMNS($AC$1006:AQ1006),$AC$1006:$AS$1006,0)))),"Fix")))</f>
        <v xml:space="preserve"> </v>
      </c>
      <c r="Q4" s="4" t="str">
        <f ca="1">IF(OR(INDEX($W$2:$W$1001,MATCH(ROWS($V$2:V4),$V$2:$V$1001,0),1)&gt;=100000,INDEX($AC$1005:$AS$1005,1,MATCH(COLUMNS($AC$1006:AR1006),$AC$1006:$AS$1006,0))&gt;=100000), " ",IF(INDEX($AC$2:$AS$1001,MATCH(ROWS($V$2:V4),$V$2:$V$1001,0),MATCH(COLUMNS($AC$1006:AR1006),$AC$1006:$AS$1006,0)), HYPERLINK("#",""), HYPERLINK(CONCATENATE("#metadata!", ADDRESS(INDEX($X$2:$X$1001,MATCH(ROWS($V$2:V4),$V$2:$V$1001,0),0), INDEX($AC$1004:$AS$1004,1,MATCH(COLUMNS($AC$1006:AR1006),$AC$1006:$AS$1006,0)))),"Fix")))</f>
        <v xml:space="preserve"> </v>
      </c>
      <c r="R4" s="4" t="str">
        <f ca="1">IF(OR(INDEX($W$2:$W$1001,MATCH(ROWS($V$2:V4),$V$2:$V$1001,0),1)&gt;=100000,INDEX($AC$1005:$AS$1005,1,MATCH(COLUMNS($AC$1006:AS1006),$AC$1006:$AS$1006,0))&gt;=100000), " ",IF(INDEX($AC$2:$AS$1001,MATCH(ROWS($V$2:V4),$V$2:$V$1001,0),MATCH(COLUMNS($AC$1006:AS1006),$AC$1006:$AS$1006,0)), HYPERLINK("#",""), HYPERLINK(CONCATENATE("#metadata!", ADDRESS(INDEX($X$2:$X$1001,MATCH(ROWS($V$2:V4),$V$2:$V$1001,0),0), INDEX($AC$1004:$AS$1004,1,MATCH(COLUMNS($AC$1006:AS1006),$AC$1006:$AS$1006,0)))),"Fix")))</f>
        <v xml:space="preserve"> </v>
      </c>
      <c r="V4">
        <v>3</v>
      </c>
      <c r="W4">
        <v>100004</v>
      </c>
      <c r="X4">
        <v>4</v>
      </c>
      <c r="Y4" t="b">
        <f t="shared" si="0"/>
        <v>1</v>
      </c>
      <c r="Z4" t="b">
        <f>COUNTBLANK(metadata!B4:R4)=COLUMNS(metadata!B4:R4)</f>
        <v>1</v>
      </c>
      <c r="AA4" t="str">
        <v/>
      </c>
      <c r="AC4" t="b">
        <f ca="1"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AD4" t="b">
        <f>IF(metadata!C4="",FALSE,ISNUMBER(VALUE(metadata!C4)))</f>
        <v>0</v>
      </c>
      <c r="AE4" t="b">
        <f>AND(IF(metadata!D4="",FALSE,TRUE),EXACT(metadata!D4,"years"))</f>
        <v>0</v>
      </c>
      <c r="AF4" t="b">
        <f>OR(AND(IF(metadata!E4="",FALSE,TRUE),OR(EXACT(metadata!E4,"not applicable"),EXACT(metadata!E4,"missing: not collected"),EXACT(metadata!E4,"missing: not provided"),EXACT(metadata!E4,"missing: restricted access"))),AND(IF(metadata!E4="",FALSE,ISNUMBER(VALUE(metadata!E4))),metadata!E4&gt;0))</f>
        <v>0</v>
      </c>
      <c r="AG4" t="b">
        <f>AND(IF(metadata!F4="",FALSE,TRUE),EXACT(metadata!F4,"Not applicable"))</f>
        <v>0</v>
      </c>
      <c r="AH4" t="b">
        <f>AND(IF(metadata!G4="",FALSE,TRUE),EXACT(metadata!G4,"urban biome"))</f>
        <v>0</v>
      </c>
      <c r="AI4" t="b">
        <f>AND(IF(metadata!H4="",FALSE,TRUE),EXACT(metadata!H4,"human-associated habitat"))</f>
        <v>0</v>
      </c>
      <c r="AJ4" t="b">
        <f>AND(IF(metadata!I4="",FALSE,TRUE),OR(EXACT(metadata!I4,"human-associated"),EXACT(metadata!I4,"human-skin"),EXACT(metadata!I4,"human-oral"),EXACT(metadata!I4,"human-gut"),EXACT(metadata!I4,"human-vaginal")))</f>
        <v>0</v>
      </c>
      <c r="AK4" t="b">
        <f>IF(metadata!J4="",FALSE,ISNUMBER(VALUE(metadata!J4)))</f>
        <v>0</v>
      </c>
      <c r="AL4" t="b">
        <f>AND(IF(metadata!K4="",FALSE,TRUE),EXACT(metadata!K4,"cm"))</f>
        <v>0</v>
      </c>
      <c r="AM4" t="b">
        <f>AND(IF(metadata!L4="",FALSE,TRUE),EXACT(metadata!L4,"human"))</f>
        <v>0</v>
      </c>
      <c r="AN4" t="b">
        <f>AND(IF(metadata!M4="",FALSE,TRUE),EXACT(metadata!M4,"Homo sapiens"))</f>
        <v>0</v>
      </c>
      <c r="AO4" t="b">
        <f>AND(IF(metadata!N4="",FALSE,TRUE),EXACT(metadata!N4,"9606"))</f>
        <v>0</v>
      </c>
      <c r="AP4" t="b">
        <f>IF(metadata!O4="",FALSE,TRUE)</f>
        <v>0</v>
      </c>
      <c r="AQ4" t="b">
        <f>IF(metadata!P4="",FALSE,TRUE)</f>
        <v>0</v>
      </c>
      <c r="AR4" t="b">
        <f>IF(metadata!Q4="",FALSE,ISNUMBER(VALUE(metadata!Q4)))</f>
        <v>0</v>
      </c>
      <c r="AS4" t="b">
        <f>AND(IF(metadata!R4="",FALSE,TRUE),EXACT(metadata!R4,"kg"))</f>
        <v>0</v>
      </c>
    </row>
    <row r="5" spans="1:45" x14ac:dyDescent="0.2">
      <c r="A5" s="5" t="str">
        <f ca="1">IF(B5=" "," ",HYPERLINK(CONCATENATE("#metadata!",ADDRESS(INDEX($X$2:$X$1001,MATCH(ROWS($V$2:V5),$V$2:$V$1001,0),0),1)),INDEX($AA$2:$AA$1001,MATCH(ROWS($V$2:V5),$V$2:$V$1001,0),0)))</f>
        <v xml:space="preserve"> </v>
      </c>
      <c r="B5" s="4" t="str">
        <f ca="1">IF(OR(INDEX($W$2:$W$1001,MATCH(ROWS($V$2:V5),$V$2:$V$1001,0),1)&gt;=100000,INDEX($AC$1005:$AS$1005,1,MATCH(COLUMNS($AC$1006:AC1006),$AC$1006:$AS$1006,0))&gt;=100000), " ",IF(INDEX($AC$2:$AS$1001,MATCH(ROWS($V$2:V5),$V$2:$V$1001,0),MATCH(COLUMNS($AC$1006:AC1006),$AC$1006:$AS$1006,0)), HYPERLINK("#",""), HYPERLINK(CONCATENATE("#metadata!", ADDRESS(INDEX($X$2:$X$1001,MATCH(ROWS($V$2:V5),$V$2:$V$1001,0),0), INDEX($AC$1004:$AS$1004,1,MATCH(COLUMNS($AC$1006:AC1006),$AC$1006:$AS$1006,0)))),"Fix")))</f>
        <v xml:space="preserve"> </v>
      </c>
      <c r="C5" s="4" t="str">
        <f ca="1">IF(OR(INDEX($W$2:$W$1001,MATCH(ROWS($V$2:V5),$V$2:$V$1001,0),1)&gt;=100000,INDEX($AC$1005:$AS$1005,1,MATCH(COLUMNS($AC$1006:AD1006),$AC$1006:$AS$1006,0))&gt;=100000), " ",IF(INDEX($AC$2:$AS$1001,MATCH(ROWS($V$2:V5),$V$2:$V$1001,0),MATCH(COLUMNS($AC$1006:AD1006),$AC$1006:$AS$1006,0)), HYPERLINK("#",""), HYPERLINK(CONCATENATE("#metadata!", ADDRESS(INDEX($X$2:$X$1001,MATCH(ROWS($V$2:V5),$V$2:$V$1001,0),0), INDEX($AC$1004:$AS$1004,1,MATCH(COLUMNS($AC$1006:AD1006),$AC$1006:$AS$1006,0)))),"Fix")))</f>
        <v xml:space="preserve"> </v>
      </c>
      <c r="D5" s="4" t="str">
        <f ca="1">IF(OR(INDEX($W$2:$W$1001,MATCH(ROWS($V$2:V5),$V$2:$V$1001,0),1)&gt;=100000,INDEX($AC$1005:$AS$1005,1,MATCH(COLUMNS($AC$1006:AE1006),$AC$1006:$AS$1006,0))&gt;=100000), " ",IF(INDEX($AC$2:$AS$1001,MATCH(ROWS($V$2:V5),$V$2:$V$1001,0),MATCH(COLUMNS($AC$1006:AE1006),$AC$1006:$AS$1006,0)), HYPERLINK("#",""), HYPERLINK(CONCATENATE("#metadata!", ADDRESS(INDEX($X$2:$X$1001,MATCH(ROWS($V$2:V5),$V$2:$V$1001,0),0), INDEX($AC$1004:$AS$1004,1,MATCH(COLUMNS($AC$1006:AE1006),$AC$1006:$AS$1006,0)))),"Fix")))</f>
        <v xml:space="preserve"> </v>
      </c>
      <c r="E5" s="4" t="str">
        <f ca="1">IF(OR(INDEX($W$2:$W$1001,MATCH(ROWS($V$2:V5),$V$2:$V$1001,0),1)&gt;=100000,INDEX($AC$1005:$AS$1005,1,MATCH(COLUMNS($AC$1006:AF1006),$AC$1006:$AS$1006,0))&gt;=100000), " ",IF(INDEX($AC$2:$AS$1001,MATCH(ROWS($V$2:V5),$V$2:$V$1001,0),MATCH(COLUMNS($AC$1006:AF1006),$AC$1006:$AS$1006,0)), HYPERLINK("#",""), HYPERLINK(CONCATENATE("#metadata!", ADDRESS(INDEX($X$2:$X$1001,MATCH(ROWS($V$2:V5),$V$2:$V$1001,0),0), INDEX($AC$1004:$AS$1004,1,MATCH(COLUMNS($AC$1006:AF1006),$AC$1006:$AS$1006,0)))),"Fix")))</f>
        <v xml:space="preserve"> </v>
      </c>
      <c r="F5" s="4" t="str">
        <f ca="1">IF(OR(INDEX($W$2:$W$1001,MATCH(ROWS($V$2:V5),$V$2:$V$1001,0),1)&gt;=100000,INDEX($AC$1005:$AS$1005,1,MATCH(COLUMNS($AC$1006:AG1006),$AC$1006:$AS$1006,0))&gt;=100000), " ",IF(INDEX($AC$2:$AS$1001,MATCH(ROWS($V$2:V5),$V$2:$V$1001,0),MATCH(COLUMNS($AC$1006:AG1006),$AC$1006:$AS$1006,0)), HYPERLINK("#",""), HYPERLINK(CONCATENATE("#metadata!", ADDRESS(INDEX($X$2:$X$1001,MATCH(ROWS($V$2:V5),$V$2:$V$1001,0),0), INDEX($AC$1004:$AS$1004,1,MATCH(COLUMNS($AC$1006:AG1006),$AC$1006:$AS$1006,0)))),"Fix")))</f>
        <v xml:space="preserve"> </v>
      </c>
      <c r="G5" s="4" t="str">
        <f ca="1">IF(OR(INDEX($W$2:$W$1001,MATCH(ROWS($V$2:V5),$V$2:$V$1001,0),1)&gt;=100000,INDEX($AC$1005:$AS$1005,1,MATCH(COLUMNS($AC$1006:AH1006),$AC$1006:$AS$1006,0))&gt;=100000), " ",IF(INDEX($AC$2:$AS$1001,MATCH(ROWS($V$2:V5),$V$2:$V$1001,0),MATCH(COLUMNS($AC$1006:AH1006),$AC$1006:$AS$1006,0)), HYPERLINK("#",""), HYPERLINK(CONCATENATE("#metadata!", ADDRESS(INDEX($X$2:$X$1001,MATCH(ROWS($V$2:V5),$V$2:$V$1001,0),0), INDEX($AC$1004:$AS$1004,1,MATCH(COLUMNS($AC$1006:AH1006),$AC$1006:$AS$1006,0)))),"Fix")))</f>
        <v xml:space="preserve"> </v>
      </c>
      <c r="H5" s="4" t="str">
        <f ca="1">IF(OR(INDEX($W$2:$W$1001,MATCH(ROWS($V$2:V5),$V$2:$V$1001,0),1)&gt;=100000,INDEX($AC$1005:$AS$1005,1,MATCH(COLUMNS($AC$1006:AI1006),$AC$1006:$AS$1006,0))&gt;=100000), " ",IF(INDEX($AC$2:$AS$1001,MATCH(ROWS($V$2:V5),$V$2:$V$1001,0),MATCH(COLUMNS($AC$1006:AI1006),$AC$1006:$AS$1006,0)), HYPERLINK("#",""), HYPERLINK(CONCATENATE("#metadata!", ADDRESS(INDEX($X$2:$X$1001,MATCH(ROWS($V$2:V5),$V$2:$V$1001,0),0), INDEX($AC$1004:$AS$1004,1,MATCH(COLUMNS($AC$1006:AI1006),$AC$1006:$AS$1006,0)))),"Fix")))</f>
        <v xml:space="preserve"> </v>
      </c>
      <c r="I5" s="4" t="str">
        <f ca="1">IF(OR(INDEX($W$2:$W$1001,MATCH(ROWS($V$2:V5),$V$2:$V$1001,0),1)&gt;=100000,INDEX($AC$1005:$AS$1005,1,MATCH(COLUMNS($AC$1006:AJ1006),$AC$1006:$AS$1006,0))&gt;=100000), " ",IF(INDEX($AC$2:$AS$1001,MATCH(ROWS($V$2:V5),$V$2:$V$1001,0),MATCH(COLUMNS($AC$1006:AJ1006),$AC$1006:$AS$1006,0)), HYPERLINK("#",""), HYPERLINK(CONCATENATE("#metadata!", ADDRESS(INDEX($X$2:$X$1001,MATCH(ROWS($V$2:V5),$V$2:$V$1001,0),0), INDEX($AC$1004:$AS$1004,1,MATCH(COLUMNS($AC$1006:AJ1006),$AC$1006:$AS$1006,0)))),"Fix")))</f>
        <v xml:space="preserve"> </v>
      </c>
      <c r="J5" s="4" t="str">
        <f ca="1">IF(OR(INDEX($W$2:$W$1001,MATCH(ROWS($V$2:V5),$V$2:$V$1001,0),1)&gt;=100000,INDEX($AC$1005:$AS$1005,1,MATCH(COLUMNS($AC$1006:AK1006),$AC$1006:$AS$1006,0))&gt;=100000), " ",IF(INDEX($AC$2:$AS$1001,MATCH(ROWS($V$2:V5),$V$2:$V$1001,0),MATCH(COLUMNS($AC$1006:AK1006),$AC$1006:$AS$1006,0)), HYPERLINK("#",""), HYPERLINK(CONCATENATE("#metadata!", ADDRESS(INDEX($X$2:$X$1001,MATCH(ROWS($V$2:V5),$V$2:$V$1001,0),0), INDEX($AC$1004:$AS$1004,1,MATCH(COLUMNS($AC$1006:AK1006),$AC$1006:$AS$1006,0)))),"Fix")))</f>
        <v xml:space="preserve"> </v>
      </c>
      <c r="K5" s="4" t="str">
        <f ca="1">IF(OR(INDEX($W$2:$W$1001,MATCH(ROWS($V$2:V5),$V$2:$V$1001,0),1)&gt;=100000,INDEX($AC$1005:$AS$1005,1,MATCH(COLUMNS($AC$1006:AL1006),$AC$1006:$AS$1006,0))&gt;=100000), " ",IF(INDEX($AC$2:$AS$1001,MATCH(ROWS($V$2:V5),$V$2:$V$1001,0),MATCH(COLUMNS($AC$1006:AL1006),$AC$1006:$AS$1006,0)), HYPERLINK("#",""), HYPERLINK(CONCATENATE("#metadata!", ADDRESS(INDEX($X$2:$X$1001,MATCH(ROWS($V$2:V5),$V$2:$V$1001,0),0), INDEX($AC$1004:$AS$1004,1,MATCH(COLUMNS($AC$1006:AL1006),$AC$1006:$AS$1006,0)))),"Fix")))</f>
        <v xml:space="preserve"> </v>
      </c>
      <c r="L5" s="4" t="str">
        <f ca="1">IF(OR(INDEX($W$2:$W$1001,MATCH(ROWS($V$2:V5),$V$2:$V$1001,0),1)&gt;=100000,INDEX($AC$1005:$AS$1005,1,MATCH(COLUMNS($AC$1006:AM1006),$AC$1006:$AS$1006,0))&gt;=100000), " ",IF(INDEX($AC$2:$AS$1001,MATCH(ROWS($V$2:V5),$V$2:$V$1001,0),MATCH(COLUMNS($AC$1006:AM1006),$AC$1006:$AS$1006,0)), HYPERLINK("#",""), HYPERLINK(CONCATENATE("#metadata!", ADDRESS(INDEX($X$2:$X$1001,MATCH(ROWS($V$2:V5),$V$2:$V$1001,0),0), INDEX($AC$1004:$AS$1004,1,MATCH(COLUMNS($AC$1006:AM1006),$AC$1006:$AS$1006,0)))),"Fix")))</f>
        <v xml:space="preserve"> </v>
      </c>
      <c r="M5" s="4" t="str">
        <f ca="1">IF(OR(INDEX($W$2:$W$1001,MATCH(ROWS($V$2:V5),$V$2:$V$1001,0),1)&gt;=100000,INDEX($AC$1005:$AS$1005,1,MATCH(COLUMNS($AC$1006:AN1006),$AC$1006:$AS$1006,0))&gt;=100000), " ",IF(INDEX($AC$2:$AS$1001,MATCH(ROWS($V$2:V5),$V$2:$V$1001,0),MATCH(COLUMNS($AC$1006:AN1006),$AC$1006:$AS$1006,0)), HYPERLINK("#",""), HYPERLINK(CONCATENATE("#metadata!", ADDRESS(INDEX($X$2:$X$1001,MATCH(ROWS($V$2:V5),$V$2:$V$1001,0),0), INDEX($AC$1004:$AS$1004,1,MATCH(COLUMNS($AC$1006:AN1006),$AC$1006:$AS$1006,0)))),"Fix")))</f>
        <v xml:space="preserve"> </v>
      </c>
      <c r="N5" s="4" t="str">
        <f ca="1">IF(OR(INDEX($W$2:$W$1001,MATCH(ROWS($V$2:V5),$V$2:$V$1001,0),1)&gt;=100000,INDEX($AC$1005:$AS$1005,1,MATCH(COLUMNS($AC$1006:AO1006),$AC$1006:$AS$1006,0))&gt;=100000), " ",IF(INDEX($AC$2:$AS$1001,MATCH(ROWS($V$2:V5),$V$2:$V$1001,0),MATCH(COLUMNS($AC$1006:AO1006),$AC$1006:$AS$1006,0)), HYPERLINK("#",""), HYPERLINK(CONCATENATE("#metadata!", ADDRESS(INDEX($X$2:$X$1001,MATCH(ROWS($V$2:V5),$V$2:$V$1001,0),0), INDEX($AC$1004:$AS$1004,1,MATCH(COLUMNS($AC$1006:AO1006),$AC$1006:$AS$1006,0)))),"Fix")))</f>
        <v xml:space="preserve"> </v>
      </c>
      <c r="O5" s="4" t="str">
        <f ca="1">IF(OR(INDEX($W$2:$W$1001,MATCH(ROWS($V$2:V5),$V$2:$V$1001,0),1)&gt;=100000,INDEX($AC$1005:$AS$1005,1,MATCH(COLUMNS($AC$1006:AP1006),$AC$1006:$AS$1006,0))&gt;=100000), " ",IF(INDEX($AC$2:$AS$1001,MATCH(ROWS($V$2:V5),$V$2:$V$1001,0),MATCH(COLUMNS($AC$1006:AP1006),$AC$1006:$AS$1006,0)), HYPERLINK("#",""), HYPERLINK(CONCATENATE("#metadata!", ADDRESS(INDEX($X$2:$X$1001,MATCH(ROWS($V$2:V5),$V$2:$V$1001,0),0), INDEX($AC$1004:$AS$1004,1,MATCH(COLUMNS($AC$1006:AP1006),$AC$1006:$AS$1006,0)))),"Fix")))</f>
        <v xml:space="preserve"> </v>
      </c>
      <c r="P5" s="4" t="str">
        <f ca="1">IF(OR(INDEX($W$2:$W$1001,MATCH(ROWS($V$2:V5),$V$2:$V$1001,0),1)&gt;=100000,INDEX($AC$1005:$AS$1005,1,MATCH(COLUMNS($AC$1006:AQ1006),$AC$1006:$AS$1006,0))&gt;=100000), " ",IF(INDEX($AC$2:$AS$1001,MATCH(ROWS($V$2:V5),$V$2:$V$1001,0),MATCH(COLUMNS($AC$1006:AQ1006),$AC$1006:$AS$1006,0)), HYPERLINK("#",""), HYPERLINK(CONCATENATE("#metadata!", ADDRESS(INDEX($X$2:$X$1001,MATCH(ROWS($V$2:V5),$V$2:$V$1001,0),0), INDEX($AC$1004:$AS$1004,1,MATCH(COLUMNS($AC$1006:AQ1006),$AC$1006:$AS$1006,0)))),"Fix")))</f>
        <v xml:space="preserve"> </v>
      </c>
      <c r="Q5" s="4" t="str">
        <f ca="1">IF(OR(INDEX($W$2:$W$1001,MATCH(ROWS($V$2:V5),$V$2:$V$1001,0),1)&gt;=100000,INDEX($AC$1005:$AS$1005,1,MATCH(COLUMNS($AC$1006:AR1006),$AC$1006:$AS$1006,0))&gt;=100000), " ",IF(INDEX($AC$2:$AS$1001,MATCH(ROWS($V$2:V5),$V$2:$V$1001,0),MATCH(COLUMNS($AC$1006:AR1006),$AC$1006:$AS$1006,0)), HYPERLINK("#",""), HYPERLINK(CONCATENATE("#metadata!", ADDRESS(INDEX($X$2:$X$1001,MATCH(ROWS($V$2:V5),$V$2:$V$1001,0),0), INDEX($AC$1004:$AS$1004,1,MATCH(COLUMNS($AC$1006:AR1006),$AC$1006:$AS$1006,0)))),"Fix")))</f>
        <v xml:space="preserve"> </v>
      </c>
      <c r="R5" s="4" t="str">
        <f ca="1">IF(OR(INDEX($W$2:$W$1001,MATCH(ROWS($V$2:V5),$V$2:$V$1001,0),1)&gt;=100000,INDEX($AC$1005:$AS$1005,1,MATCH(COLUMNS($AC$1006:AS1006),$AC$1006:$AS$1006,0))&gt;=100000), " ",IF(INDEX($AC$2:$AS$1001,MATCH(ROWS($V$2:V5),$V$2:$V$1001,0),MATCH(COLUMNS($AC$1006:AS1006),$AC$1006:$AS$1006,0)), HYPERLINK("#",""), HYPERLINK(CONCATENATE("#metadata!", ADDRESS(INDEX($X$2:$X$1001,MATCH(ROWS($V$2:V5),$V$2:$V$1001,0),0), INDEX($AC$1004:$AS$1004,1,MATCH(COLUMNS($AC$1006:AS1006),$AC$1006:$AS$1006,0)))),"Fix")))</f>
        <v xml:space="preserve"> </v>
      </c>
      <c r="V5">
        <v>4</v>
      </c>
      <c r="W5">
        <v>100005</v>
      </c>
      <c r="X5">
        <v>5</v>
      </c>
      <c r="Y5" t="b">
        <f t="shared" si="0"/>
        <v>1</v>
      </c>
      <c r="Z5" t="b">
        <f>COUNTBLANK(metadata!B5:R5)=COLUMNS(metadata!B5:R5)</f>
        <v>1</v>
      </c>
      <c r="AA5" t="str">
        <v/>
      </c>
      <c r="AC5" t="b">
        <f ca="1"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AD5" t="b">
        <f>IF(metadata!C5="",FALSE,ISNUMBER(VALUE(metadata!C5)))</f>
        <v>0</v>
      </c>
      <c r="AE5" t="b">
        <f>AND(IF(metadata!D5="",FALSE,TRUE),EXACT(metadata!D5,"years"))</f>
        <v>0</v>
      </c>
      <c r="AF5" t="b">
        <f>OR(AND(IF(metadata!E5="",FALSE,TRUE),OR(EXACT(metadata!E5,"not applicable"),EXACT(metadata!E5,"missing: not collected"),EXACT(metadata!E5,"missing: not provided"),EXACT(metadata!E5,"missing: restricted access"))),AND(IF(metadata!E5="",FALSE,ISNUMBER(VALUE(metadata!E5))),metadata!E5&gt;0))</f>
        <v>0</v>
      </c>
      <c r="AG5" t="b">
        <f>AND(IF(metadata!F5="",FALSE,TRUE),EXACT(metadata!F5,"Not applicable"))</f>
        <v>0</v>
      </c>
      <c r="AH5" t="b">
        <f>AND(IF(metadata!G5="",FALSE,TRUE),EXACT(metadata!G5,"urban biome"))</f>
        <v>0</v>
      </c>
      <c r="AI5" t="b">
        <f>AND(IF(metadata!H5="",FALSE,TRUE),EXACT(metadata!H5,"human-associated habitat"))</f>
        <v>0</v>
      </c>
      <c r="AJ5" t="b">
        <f>AND(IF(metadata!I5="",FALSE,TRUE),OR(EXACT(metadata!I5,"human-associated"),EXACT(metadata!I5,"human-skin"),EXACT(metadata!I5,"human-oral"),EXACT(metadata!I5,"human-gut"),EXACT(metadata!I5,"human-vaginal")))</f>
        <v>0</v>
      </c>
      <c r="AK5" t="b">
        <f>IF(metadata!J5="",FALSE,ISNUMBER(VALUE(metadata!J5)))</f>
        <v>0</v>
      </c>
      <c r="AL5" t="b">
        <f>AND(IF(metadata!K5="",FALSE,TRUE),EXACT(metadata!K5,"cm"))</f>
        <v>0</v>
      </c>
      <c r="AM5" t="b">
        <f>AND(IF(metadata!L5="",FALSE,TRUE),EXACT(metadata!L5,"human"))</f>
        <v>0</v>
      </c>
      <c r="AN5" t="b">
        <f>AND(IF(metadata!M5="",FALSE,TRUE),EXACT(metadata!M5,"Homo sapiens"))</f>
        <v>0</v>
      </c>
      <c r="AO5" t="b">
        <f>AND(IF(metadata!N5="",FALSE,TRUE),EXACT(metadata!N5,"9606"))</f>
        <v>0</v>
      </c>
      <c r="AP5" t="b">
        <f>IF(metadata!O5="",FALSE,TRUE)</f>
        <v>0</v>
      </c>
      <c r="AQ5" t="b">
        <f>IF(metadata!P5="",FALSE,TRUE)</f>
        <v>0</v>
      </c>
      <c r="AR5" t="b">
        <f>IF(metadata!Q5="",FALSE,ISNUMBER(VALUE(metadata!Q5)))</f>
        <v>0</v>
      </c>
      <c r="AS5" t="b">
        <f>AND(IF(metadata!R5="",FALSE,TRUE),EXACT(metadata!R5,"kg"))</f>
        <v>0</v>
      </c>
    </row>
    <row r="6" spans="1:45" x14ac:dyDescent="0.2">
      <c r="A6" s="5" t="str">
        <f ca="1">IF(B6=" "," ",HYPERLINK(CONCATENATE("#metadata!",ADDRESS(INDEX($X$2:$X$1001,MATCH(ROWS($V$2:V6),$V$2:$V$1001,0),0),1)),INDEX($AA$2:$AA$1001,MATCH(ROWS($V$2:V6),$V$2:$V$1001,0),0)))</f>
        <v xml:space="preserve"> </v>
      </c>
      <c r="B6" s="4" t="str">
        <f ca="1">IF(OR(INDEX($W$2:$W$1001,MATCH(ROWS($V$2:V6),$V$2:$V$1001,0),1)&gt;=100000,INDEX($AC$1005:$AS$1005,1,MATCH(COLUMNS($AC$1006:AC1006),$AC$1006:$AS$1006,0))&gt;=100000), " ",IF(INDEX($AC$2:$AS$1001,MATCH(ROWS($V$2:V6),$V$2:$V$1001,0),MATCH(COLUMNS($AC$1006:AC1006),$AC$1006:$AS$1006,0)), HYPERLINK("#",""), HYPERLINK(CONCATENATE("#metadata!", ADDRESS(INDEX($X$2:$X$1001,MATCH(ROWS($V$2:V6),$V$2:$V$1001,0),0), INDEX($AC$1004:$AS$1004,1,MATCH(COLUMNS($AC$1006:AC1006),$AC$1006:$AS$1006,0)))),"Fix")))</f>
        <v xml:space="preserve"> </v>
      </c>
      <c r="C6" s="4" t="str">
        <f ca="1">IF(OR(INDEX($W$2:$W$1001,MATCH(ROWS($V$2:V6),$V$2:$V$1001,0),1)&gt;=100000,INDEX($AC$1005:$AS$1005,1,MATCH(COLUMNS($AC$1006:AD1006),$AC$1006:$AS$1006,0))&gt;=100000), " ",IF(INDEX($AC$2:$AS$1001,MATCH(ROWS($V$2:V6),$V$2:$V$1001,0),MATCH(COLUMNS($AC$1006:AD1006),$AC$1006:$AS$1006,0)), HYPERLINK("#",""), HYPERLINK(CONCATENATE("#metadata!", ADDRESS(INDEX($X$2:$X$1001,MATCH(ROWS($V$2:V6),$V$2:$V$1001,0),0), INDEX($AC$1004:$AS$1004,1,MATCH(COLUMNS($AC$1006:AD1006),$AC$1006:$AS$1006,0)))),"Fix")))</f>
        <v xml:space="preserve"> </v>
      </c>
      <c r="D6" s="4" t="str">
        <f ca="1">IF(OR(INDEX($W$2:$W$1001,MATCH(ROWS($V$2:V6),$V$2:$V$1001,0),1)&gt;=100000,INDEX($AC$1005:$AS$1005,1,MATCH(COLUMNS($AC$1006:AE1006),$AC$1006:$AS$1006,0))&gt;=100000), " ",IF(INDEX($AC$2:$AS$1001,MATCH(ROWS($V$2:V6),$V$2:$V$1001,0),MATCH(COLUMNS($AC$1006:AE1006),$AC$1006:$AS$1006,0)), HYPERLINK("#",""), HYPERLINK(CONCATENATE("#metadata!", ADDRESS(INDEX($X$2:$X$1001,MATCH(ROWS($V$2:V6),$V$2:$V$1001,0),0), INDEX($AC$1004:$AS$1004,1,MATCH(COLUMNS($AC$1006:AE1006),$AC$1006:$AS$1006,0)))),"Fix")))</f>
        <v xml:space="preserve"> </v>
      </c>
      <c r="E6" s="4" t="str">
        <f ca="1">IF(OR(INDEX($W$2:$W$1001,MATCH(ROWS($V$2:V6),$V$2:$V$1001,0),1)&gt;=100000,INDEX($AC$1005:$AS$1005,1,MATCH(COLUMNS($AC$1006:AF1006),$AC$1006:$AS$1006,0))&gt;=100000), " ",IF(INDEX($AC$2:$AS$1001,MATCH(ROWS($V$2:V6),$V$2:$V$1001,0),MATCH(COLUMNS($AC$1006:AF1006),$AC$1006:$AS$1006,0)), HYPERLINK("#",""), HYPERLINK(CONCATENATE("#metadata!", ADDRESS(INDEX($X$2:$X$1001,MATCH(ROWS($V$2:V6),$V$2:$V$1001,0),0), INDEX($AC$1004:$AS$1004,1,MATCH(COLUMNS($AC$1006:AF1006),$AC$1006:$AS$1006,0)))),"Fix")))</f>
        <v xml:space="preserve"> </v>
      </c>
      <c r="F6" s="4" t="str">
        <f ca="1">IF(OR(INDEX($W$2:$W$1001,MATCH(ROWS($V$2:V6),$V$2:$V$1001,0),1)&gt;=100000,INDEX($AC$1005:$AS$1005,1,MATCH(COLUMNS($AC$1006:AG1006),$AC$1006:$AS$1006,0))&gt;=100000), " ",IF(INDEX($AC$2:$AS$1001,MATCH(ROWS($V$2:V6),$V$2:$V$1001,0),MATCH(COLUMNS($AC$1006:AG1006),$AC$1006:$AS$1006,0)), HYPERLINK("#",""), HYPERLINK(CONCATENATE("#metadata!", ADDRESS(INDEX($X$2:$X$1001,MATCH(ROWS($V$2:V6),$V$2:$V$1001,0),0), INDEX($AC$1004:$AS$1004,1,MATCH(COLUMNS($AC$1006:AG1006),$AC$1006:$AS$1006,0)))),"Fix")))</f>
        <v xml:space="preserve"> </v>
      </c>
      <c r="G6" s="4" t="str">
        <f ca="1">IF(OR(INDEX($W$2:$W$1001,MATCH(ROWS($V$2:V6),$V$2:$V$1001,0),1)&gt;=100000,INDEX($AC$1005:$AS$1005,1,MATCH(COLUMNS($AC$1006:AH1006),$AC$1006:$AS$1006,0))&gt;=100000), " ",IF(INDEX($AC$2:$AS$1001,MATCH(ROWS($V$2:V6),$V$2:$V$1001,0),MATCH(COLUMNS($AC$1006:AH1006),$AC$1006:$AS$1006,0)), HYPERLINK("#",""), HYPERLINK(CONCATENATE("#metadata!", ADDRESS(INDEX($X$2:$X$1001,MATCH(ROWS($V$2:V6),$V$2:$V$1001,0),0), INDEX($AC$1004:$AS$1004,1,MATCH(COLUMNS($AC$1006:AH1006),$AC$1006:$AS$1006,0)))),"Fix")))</f>
        <v xml:space="preserve"> </v>
      </c>
      <c r="H6" s="4" t="str">
        <f ca="1">IF(OR(INDEX($W$2:$W$1001,MATCH(ROWS($V$2:V6),$V$2:$V$1001,0),1)&gt;=100000,INDEX($AC$1005:$AS$1005,1,MATCH(COLUMNS($AC$1006:AI1006),$AC$1006:$AS$1006,0))&gt;=100000), " ",IF(INDEX($AC$2:$AS$1001,MATCH(ROWS($V$2:V6),$V$2:$V$1001,0),MATCH(COLUMNS($AC$1006:AI1006),$AC$1006:$AS$1006,0)), HYPERLINK("#",""), HYPERLINK(CONCATENATE("#metadata!", ADDRESS(INDEX($X$2:$X$1001,MATCH(ROWS($V$2:V6),$V$2:$V$1001,0),0), INDEX($AC$1004:$AS$1004,1,MATCH(COLUMNS($AC$1006:AI1006),$AC$1006:$AS$1006,0)))),"Fix")))</f>
        <v xml:space="preserve"> </v>
      </c>
      <c r="I6" s="4" t="str">
        <f ca="1">IF(OR(INDEX($W$2:$W$1001,MATCH(ROWS($V$2:V6),$V$2:$V$1001,0),1)&gt;=100000,INDEX($AC$1005:$AS$1005,1,MATCH(COLUMNS($AC$1006:AJ1006),$AC$1006:$AS$1006,0))&gt;=100000), " ",IF(INDEX($AC$2:$AS$1001,MATCH(ROWS($V$2:V6),$V$2:$V$1001,0),MATCH(COLUMNS($AC$1006:AJ1006),$AC$1006:$AS$1006,0)), HYPERLINK("#",""), HYPERLINK(CONCATENATE("#metadata!", ADDRESS(INDEX($X$2:$X$1001,MATCH(ROWS($V$2:V6),$V$2:$V$1001,0),0), INDEX($AC$1004:$AS$1004,1,MATCH(COLUMNS($AC$1006:AJ1006),$AC$1006:$AS$1006,0)))),"Fix")))</f>
        <v xml:space="preserve"> </v>
      </c>
      <c r="J6" s="4" t="str">
        <f ca="1">IF(OR(INDEX($W$2:$W$1001,MATCH(ROWS($V$2:V6),$V$2:$V$1001,0),1)&gt;=100000,INDEX($AC$1005:$AS$1005,1,MATCH(COLUMNS($AC$1006:AK1006),$AC$1006:$AS$1006,0))&gt;=100000), " ",IF(INDEX($AC$2:$AS$1001,MATCH(ROWS($V$2:V6),$V$2:$V$1001,0),MATCH(COLUMNS($AC$1006:AK1006),$AC$1006:$AS$1006,0)), HYPERLINK("#",""), HYPERLINK(CONCATENATE("#metadata!", ADDRESS(INDEX($X$2:$X$1001,MATCH(ROWS($V$2:V6),$V$2:$V$1001,0),0), INDEX($AC$1004:$AS$1004,1,MATCH(COLUMNS($AC$1006:AK1006),$AC$1006:$AS$1006,0)))),"Fix")))</f>
        <v xml:space="preserve"> </v>
      </c>
      <c r="K6" s="4" t="str">
        <f ca="1">IF(OR(INDEX($W$2:$W$1001,MATCH(ROWS($V$2:V6),$V$2:$V$1001,0),1)&gt;=100000,INDEX($AC$1005:$AS$1005,1,MATCH(COLUMNS($AC$1006:AL1006),$AC$1006:$AS$1006,0))&gt;=100000), " ",IF(INDEX($AC$2:$AS$1001,MATCH(ROWS($V$2:V6),$V$2:$V$1001,0),MATCH(COLUMNS($AC$1006:AL1006),$AC$1006:$AS$1006,0)), HYPERLINK("#",""), HYPERLINK(CONCATENATE("#metadata!", ADDRESS(INDEX($X$2:$X$1001,MATCH(ROWS($V$2:V6),$V$2:$V$1001,0),0), INDEX($AC$1004:$AS$1004,1,MATCH(COLUMNS($AC$1006:AL1006),$AC$1006:$AS$1006,0)))),"Fix")))</f>
        <v xml:space="preserve"> </v>
      </c>
      <c r="L6" s="4" t="str">
        <f ca="1">IF(OR(INDEX($W$2:$W$1001,MATCH(ROWS($V$2:V6),$V$2:$V$1001,0),1)&gt;=100000,INDEX($AC$1005:$AS$1005,1,MATCH(COLUMNS($AC$1006:AM1006),$AC$1006:$AS$1006,0))&gt;=100000), " ",IF(INDEX($AC$2:$AS$1001,MATCH(ROWS($V$2:V6),$V$2:$V$1001,0),MATCH(COLUMNS($AC$1006:AM1006),$AC$1006:$AS$1006,0)), HYPERLINK("#",""), HYPERLINK(CONCATENATE("#metadata!", ADDRESS(INDEX($X$2:$X$1001,MATCH(ROWS($V$2:V6),$V$2:$V$1001,0),0), INDEX($AC$1004:$AS$1004,1,MATCH(COLUMNS($AC$1006:AM1006),$AC$1006:$AS$1006,0)))),"Fix")))</f>
        <v xml:space="preserve"> </v>
      </c>
      <c r="M6" s="4" t="str">
        <f ca="1">IF(OR(INDEX($W$2:$W$1001,MATCH(ROWS($V$2:V6),$V$2:$V$1001,0),1)&gt;=100000,INDEX($AC$1005:$AS$1005,1,MATCH(COLUMNS($AC$1006:AN1006),$AC$1006:$AS$1006,0))&gt;=100000), " ",IF(INDEX($AC$2:$AS$1001,MATCH(ROWS($V$2:V6),$V$2:$V$1001,0),MATCH(COLUMNS($AC$1006:AN1006),$AC$1006:$AS$1006,0)), HYPERLINK("#",""), HYPERLINK(CONCATENATE("#metadata!", ADDRESS(INDEX($X$2:$X$1001,MATCH(ROWS($V$2:V6),$V$2:$V$1001,0),0), INDEX($AC$1004:$AS$1004,1,MATCH(COLUMNS($AC$1006:AN1006),$AC$1006:$AS$1006,0)))),"Fix")))</f>
        <v xml:space="preserve"> </v>
      </c>
      <c r="N6" s="4" t="str">
        <f ca="1">IF(OR(INDEX($W$2:$W$1001,MATCH(ROWS($V$2:V6),$V$2:$V$1001,0),1)&gt;=100000,INDEX($AC$1005:$AS$1005,1,MATCH(COLUMNS($AC$1006:AO1006),$AC$1006:$AS$1006,0))&gt;=100000), " ",IF(INDEX($AC$2:$AS$1001,MATCH(ROWS($V$2:V6),$V$2:$V$1001,0),MATCH(COLUMNS($AC$1006:AO1006),$AC$1006:$AS$1006,0)), HYPERLINK("#",""), HYPERLINK(CONCATENATE("#metadata!", ADDRESS(INDEX($X$2:$X$1001,MATCH(ROWS($V$2:V6),$V$2:$V$1001,0),0), INDEX($AC$1004:$AS$1004,1,MATCH(COLUMNS($AC$1006:AO1006),$AC$1006:$AS$1006,0)))),"Fix")))</f>
        <v xml:space="preserve"> </v>
      </c>
      <c r="O6" s="4" t="str">
        <f ca="1">IF(OR(INDEX($W$2:$W$1001,MATCH(ROWS($V$2:V6),$V$2:$V$1001,0),1)&gt;=100000,INDEX($AC$1005:$AS$1005,1,MATCH(COLUMNS($AC$1006:AP1006),$AC$1006:$AS$1006,0))&gt;=100000), " ",IF(INDEX($AC$2:$AS$1001,MATCH(ROWS($V$2:V6),$V$2:$V$1001,0),MATCH(COLUMNS($AC$1006:AP1006),$AC$1006:$AS$1006,0)), HYPERLINK("#",""), HYPERLINK(CONCATENATE("#metadata!", ADDRESS(INDEX($X$2:$X$1001,MATCH(ROWS($V$2:V6),$V$2:$V$1001,0),0), INDEX($AC$1004:$AS$1004,1,MATCH(COLUMNS($AC$1006:AP1006),$AC$1006:$AS$1006,0)))),"Fix")))</f>
        <v xml:space="preserve"> </v>
      </c>
      <c r="P6" s="4" t="str">
        <f ca="1">IF(OR(INDEX($W$2:$W$1001,MATCH(ROWS($V$2:V6),$V$2:$V$1001,0),1)&gt;=100000,INDEX($AC$1005:$AS$1005,1,MATCH(COLUMNS($AC$1006:AQ1006),$AC$1006:$AS$1006,0))&gt;=100000), " ",IF(INDEX($AC$2:$AS$1001,MATCH(ROWS($V$2:V6),$V$2:$V$1001,0),MATCH(COLUMNS($AC$1006:AQ1006),$AC$1006:$AS$1006,0)), HYPERLINK("#",""), HYPERLINK(CONCATENATE("#metadata!", ADDRESS(INDEX($X$2:$X$1001,MATCH(ROWS($V$2:V6),$V$2:$V$1001,0),0), INDEX($AC$1004:$AS$1004,1,MATCH(COLUMNS($AC$1006:AQ1006),$AC$1006:$AS$1006,0)))),"Fix")))</f>
        <v xml:space="preserve"> </v>
      </c>
      <c r="Q6" s="4" t="str">
        <f ca="1">IF(OR(INDEX($W$2:$W$1001,MATCH(ROWS($V$2:V6),$V$2:$V$1001,0),1)&gt;=100000,INDEX($AC$1005:$AS$1005,1,MATCH(COLUMNS($AC$1006:AR1006),$AC$1006:$AS$1006,0))&gt;=100000), " ",IF(INDEX($AC$2:$AS$1001,MATCH(ROWS($V$2:V6),$V$2:$V$1001,0),MATCH(COLUMNS($AC$1006:AR1006),$AC$1006:$AS$1006,0)), HYPERLINK("#",""), HYPERLINK(CONCATENATE("#metadata!", ADDRESS(INDEX($X$2:$X$1001,MATCH(ROWS($V$2:V6),$V$2:$V$1001,0),0), INDEX($AC$1004:$AS$1004,1,MATCH(COLUMNS($AC$1006:AR1006),$AC$1006:$AS$1006,0)))),"Fix")))</f>
        <v xml:space="preserve"> </v>
      </c>
      <c r="R6" s="4" t="str">
        <f ca="1">IF(OR(INDEX($W$2:$W$1001,MATCH(ROWS($V$2:V6),$V$2:$V$1001,0),1)&gt;=100000,INDEX($AC$1005:$AS$1005,1,MATCH(COLUMNS($AC$1006:AS1006),$AC$1006:$AS$1006,0))&gt;=100000), " ",IF(INDEX($AC$2:$AS$1001,MATCH(ROWS($V$2:V6),$V$2:$V$1001,0),MATCH(COLUMNS($AC$1006:AS1006),$AC$1006:$AS$1006,0)), HYPERLINK("#",""), HYPERLINK(CONCATENATE("#metadata!", ADDRESS(INDEX($X$2:$X$1001,MATCH(ROWS($V$2:V6),$V$2:$V$1001,0),0), INDEX($AC$1004:$AS$1004,1,MATCH(COLUMNS($AC$1006:AS1006),$AC$1006:$AS$1006,0)))),"Fix")))</f>
        <v xml:space="preserve"> </v>
      </c>
      <c r="V6">
        <v>5</v>
      </c>
      <c r="W6">
        <v>100006</v>
      </c>
      <c r="X6">
        <v>6</v>
      </c>
      <c r="Y6" t="b">
        <f t="shared" si="0"/>
        <v>1</v>
      </c>
      <c r="Z6" t="b">
        <f>COUNTBLANK(metadata!B6:R6)=COLUMNS(metadata!B6:R6)</f>
        <v>1</v>
      </c>
      <c r="AA6" t="str">
        <v/>
      </c>
      <c r="AC6" t="b">
        <f ca="1"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AD6" t="b">
        <f>IF(metadata!C6="",FALSE,ISNUMBER(VALUE(metadata!C6)))</f>
        <v>0</v>
      </c>
      <c r="AE6" t="b">
        <f>AND(IF(metadata!D6="",FALSE,TRUE),EXACT(metadata!D6,"years"))</f>
        <v>0</v>
      </c>
      <c r="AF6" t="b">
        <f>OR(AND(IF(metadata!E6="",FALSE,TRUE),OR(EXACT(metadata!E6,"not applicable"),EXACT(metadata!E6,"missing: not collected"),EXACT(metadata!E6,"missing: not provided"),EXACT(metadata!E6,"missing: restricted access"))),AND(IF(metadata!E6="",FALSE,ISNUMBER(VALUE(metadata!E6))),metadata!E6&gt;0))</f>
        <v>0</v>
      </c>
      <c r="AG6" t="b">
        <f>AND(IF(metadata!F6="",FALSE,TRUE),EXACT(metadata!F6,"Not applicable"))</f>
        <v>0</v>
      </c>
      <c r="AH6" t="b">
        <f>AND(IF(metadata!G6="",FALSE,TRUE),EXACT(metadata!G6,"urban biome"))</f>
        <v>0</v>
      </c>
      <c r="AI6" t="b">
        <f>AND(IF(metadata!H6="",FALSE,TRUE),EXACT(metadata!H6,"human-associated habitat"))</f>
        <v>0</v>
      </c>
      <c r="AJ6" t="b">
        <f>AND(IF(metadata!I6="",FALSE,TRUE),OR(EXACT(metadata!I6,"human-associated"),EXACT(metadata!I6,"human-skin"),EXACT(metadata!I6,"human-oral"),EXACT(metadata!I6,"human-gut"),EXACT(metadata!I6,"human-vaginal")))</f>
        <v>0</v>
      </c>
      <c r="AK6" t="b">
        <f>IF(metadata!J6="",FALSE,ISNUMBER(VALUE(metadata!J6)))</f>
        <v>0</v>
      </c>
      <c r="AL6" t="b">
        <f>AND(IF(metadata!K6="",FALSE,TRUE),EXACT(metadata!K6,"cm"))</f>
        <v>0</v>
      </c>
      <c r="AM6" t="b">
        <f>AND(IF(metadata!L6="",FALSE,TRUE),EXACT(metadata!L6,"human"))</f>
        <v>0</v>
      </c>
      <c r="AN6" t="b">
        <f>AND(IF(metadata!M6="",FALSE,TRUE),EXACT(metadata!M6,"Homo sapiens"))</f>
        <v>0</v>
      </c>
      <c r="AO6" t="b">
        <f>AND(IF(metadata!N6="",FALSE,TRUE),EXACT(metadata!N6,"9606"))</f>
        <v>0</v>
      </c>
      <c r="AP6" t="b">
        <f>IF(metadata!O6="",FALSE,TRUE)</f>
        <v>0</v>
      </c>
      <c r="AQ6" t="b">
        <f>IF(metadata!P6="",FALSE,TRUE)</f>
        <v>0</v>
      </c>
      <c r="AR6" t="b">
        <f>IF(metadata!Q6="",FALSE,ISNUMBER(VALUE(metadata!Q6)))</f>
        <v>0</v>
      </c>
      <c r="AS6" t="b">
        <f>AND(IF(metadata!R6="",FALSE,TRUE),EXACT(metadata!R6,"kg"))</f>
        <v>0</v>
      </c>
    </row>
    <row r="7" spans="1:45" x14ac:dyDescent="0.2">
      <c r="A7" s="5" t="str">
        <f ca="1">IF(B7=" "," ",HYPERLINK(CONCATENATE("#metadata!",ADDRESS(INDEX($X$2:$X$1001,MATCH(ROWS($V$2:V7),$V$2:$V$1001,0),0),1)),INDEX($AA$2:$AA$1001,MATCH(ROWS($V$2:V7),$V$2:$V$1001,0),0)))</f>
        <v xml:space="preserve"> </v>
      </c>
      <c r="B7" s="4" t="str">
        <f ca="1">IF(OR(INDEX($W$2:$W$1001,MATCH(ROWS($V$2:V7),$V$2:$V$1001,0),1)&gt;=100000,INDEX($AC$1005:$AS$1005,1,MATCH(COLUMNS($AC$1006:AC1006),$AC$1006:$AS$1006,0))&gt;=100000), " ",IF(INDEX($AC$2:$AS$1001,MATCH(ROWS($V$2:V7),$V$2:$V$1001,0),MATCH(COLUMNS($AC$1006:AC1006),$AC$1006:$AS$1006,0)), HYPERLINK("#",""), HYPERLINK(CONCATENATE("#metadata!", ADDRESS(INDEX($X$2:$X$1001,MATCH(ROWS($V$2:V7),$V$2:$V$1001,0),0), INDEX($AC$1004:$AS$1004,1,MATCH(COLUMNS($AC$1006:AC1006),$AC$1006:$AS$1006,0)))),"Fix")))</f>
        <v xml:space="preserve"> </v>
      </c>
      <c r="C7" s="4" t="str">
        <f ca="1">IF(OR(INDEX($W$2:$W$1001,MATCH(ROWS($V$2:V7),$V$2:$V$1001,0),1)&gt;=100000,INDEX($AC$1005:$AS$1005,1,MATCH(COLUMNS($AC$1006:AD1006),$AC$1006:$AS$1006,0))&gt;=100000), " ",IF(INDEX($AC$2:$AS$1001,MATCH(ROWS($V$2:V7),$V$2:$V$1001,0),MATCH(COLUMNS($AC$1006:AD1006),$AC$1006:$AS$1006,0)), HYPERLINK("#",""), HYPERLINK(CONCATENATE("#metadata!", ADDRESS(INDEX($X$2:$X$1001,MATCH(ROWS($V$2:V7),$V$2:$V$1001,0),0), INDEX($AC$1004:$AS$1004,1,MATCH(COLUMNS($AC$1006:AD1006),$AC$1006:$AS$1006,0)))),"Fix")))</f>
        <v xml:space="preserve"> </v>
      </c>
      <c r="D7" s="4" t="str">
        <f ca="1">IF(OR(INDEX($W$2:$W$1001,MATCH(ROWS($V$2:V7),$V$2:$V$1001,0),1)&gt;=100000,INDEX($AC$1005:$AS$1005,1,MATCH(COLUMNS($AC$1006:AE1006),$AC$1006:$AS$1006,0))&gt;=100000), " ",IF(INDEX($AC$2:$AS$1001,MATCH(ROWS($V$2:V7),$V$2:$V$1001,0),MATCH(COLUMNS($AC$1006:AE1006),$AC$1006:$AS$1006,0)), HYPERLINK("#",""), HYPERLINK(CONCATENATE("#metadata!", ADDRESS(INDEX($X$2:$X$1001,MATCH(ROWS($V$2:V7),$V$2:$V$1001,0),0), INDEX($AC$1004:$AS$1004,1,MATCH(COLUMNS($AC$1006:AE1006),$AC$1006:$AS$1006,0)))),"Fix")))</f>
        <v xml:space="preserve"> </v>
      </c>
      <c r="E7" s="4" t="str">
        <f ca="1">IF(OR(INDEX($W$2:$W$1001,MATCH(ROWS($V$2:V7),$V$2:$V$1001,0),1)&gt;=100000,INDEX($AC$1005:$AS$1005,1,MATCH(COLUMNS($AC$1006:AF1006),$AC$1006:$AS$1006,0))&gt;=100000), " ",IF(INDEX($AC$2:$AS$1001,MATCH(ROWS($V$2:V7),$V$2:$V$1001,0),MATCH(COLUMNS($AC$1006:AF1006),$AC$1006:$AS$1006,0)), HYPERLINK("#",""), HYPERLINK(CONCATENATE("#metadata!", ADDRESS(INDEX($X$2:$X$1001,MATCH(ROWS($V$2:V7),$V$2:$V$1001,0),0), INDEX($AC$1004:$AS$1004,1,MATCH(COLUMNS($AC$1006:AF1006),$AC$1006:$AS$1006,0)))),"Fix")))</f>
        <v xml:space="preserve"> </v>
      </c>
      <c r="F7" s="4" t="str">
        <f ca="1">IF(OR(INDEX($W$2:$W$1001,MATCH(ROWS($V$2:V7),$V$2:$V$1001,0),1)&gt;=100000,INDEX($AC$1005:$AS$1005,1,MATCH(COLUMNS($AC$1006:AG1006),$AC$1006:$AS$1006,0))&gt;=100000), " ",IF(INDEX($AC$2:$AS$1001,MATCH(ROWS($V$2:V7),$V$2:$V$1001,0),MATCH(COLUMNS($AC$1006:AG1006),$AC$1006:$AS$1006,0)), HYPERLINK("#",""), HYPERLINK(CONCATENATE("#metadata!", ADDRESS(INDEX($X$2:$X$1001,MATCH(ROWS($V$2:V7),$V$2:$V$1001,0),0), INDEX($AC$1004:$AS$1004,1,MATCH(COLUMNS($AC$1006:AG1006),$AC$1006:$AS$1006,0)))),"Fix")))</f>
        <v xml:space="preserve"> </v>
      </c>
      <c r="G7" s="4" t="str">
        <f ca="1">IF(OR(INDEX($W$2:$W$1001,MATCH(ROWS($V$2:V7),$V$2:$V$1001,0),1)&gt;=100000,INDEX($AC$1005:$AS$1005,1,MATCH(COLUMNS($AC$1006:AH1006),$AC$1006:$AS$1006,0))&gt;=100000), " ",IF(INDEX($AC$2:$AS$1001,MATCH(ROWS($V$2:V7),$V$2:$V$1001,0),MATCH(COLUMNS($AC$1006:AH1006),$AC$1006:$AS$1006,0)), HYPERLINK("#",""), HYPERLINK(CONCATENATE("#metadata!", ADDRESS(INDEX($X$2:$X$1001,MATCH(ROWS($V$2:V7),$V$2:$V$1001,0),0), INDEX($AC$1004:$AS$1004,1,MATCH(COLUMNS($AC$1006:AH1006),$AC$1006:$AS$1006,0)))),"Fix")))</f>
        <v xml:space="preserve"> </v>
      </c>
      <c r="H7" s="4" t="str">
        <f ca="1">IF(OR(INDEX($W$2:$W$1001,MATCH(ROWS($V$2:V7),$V$2:$V$1001,0),1)&gt;=100000,INDEX($AC$1005:$AS$1005,1,MATCH(COLUMNS($AC$1006:AI1006),$AC$1006:$AS$1006,0))&gt;=100000), " ",IF(INDEX($AC$2:$AS$1001,MATCH(ROWS($V$2:V7),$V$2:$V$1001,0),MATCH(COLUMNS($AC$1006:AI1006),$AC$1006:$AS$1006,0)), HYPERLINK("#",""), HYPERLINK(CONCATENATE("#metadata!", ADDRESS(INDEX($X$2:$X$1001,MATCH(ROWS($V$2:V7),$V$2:$V$1001,0),0), INDEX($AC$1004:$AS$1004,1,MATCH(COLUMNS($AC$1006:AI1006),$AC$1006:$AS$1006,0)))),"Fix")))</f>
        <v xml:space="preserve"> </v>
      </c>
      <c r="I7" s="4" t="str">
        <f ca="1">IF(OR(INDEX($W$2:$W$1001,MATCH(ROWS($V$2:V7),$V$2:$V$1001,0),1)&gt;=100000,INDEX($AC$1005:$AS$1005,1,MATCH(COLUMNS($AC$1006:AJ1006),$AC$1006:$AS$1006,0))&gt;=100000), " ",IF(INDEX($AC$2:$AS$1001,MATCH(ROWS($V$2:V7),$V$2:$V$1001,0),MATCH(COLUMNS($AC$1006:AJ1006),$AC$1006:$AS$1006,0)), HYPERLINK("#",""), HYPERLINK(CONCATENATE("#metadata!", ADDRESS(INDEX($X$2:$X$1001,MATCH(ROWS($V$2:V7),$V$2:$V$1001,0),0), INDEX($AC$1004:$AS$1004,1,MATCH(COLUMNS($AC$1006:AJ1006),$AC$1006:$AS$1006,0)))),"Fix")))</f>
        <v xml:space="preserve"> </v>
      </c>
      <c r="J7" s="4" t="str">
        <f ca="1">IF(OR(INDEX($W$2:$W$1001,MATCH(ROWS($V$2:V7),$V$2:$V$1001,0),1)&gt;=100000,INDEX($AC$1005:$AS$1005,1,MATCH(COLUMNS($AC$1006:AK1006),$AC$1006:$AS$1006,0))&gt;=100000), " ",IF(INDEX($AC$2:$AS$1001,MATCH(ROWS($V$2:V7),$V$2:$V$1001,0),MATCH(COLUMNS($AC$1006:AK1006),$AC$1006:$AS$1006,0)), HYPERLINK("#",""), HYPERLINK(CONCATENATE("#metadata!", ADDRESS(INDEX($X$2:$X$1001,MATCH(ROWS($V$2:V7),$V$2:$V$1001,0),0), INDEX($AC$1004:$AS$1004,1,MATCH(COLUMNS($AC$1006:AK1006),$AC$1006:$AS$1006,0)))),"Fix")))</f>
        <v xml:space="preserve"> </v>
      </c>
      <c r="K7" s="4" t="str">
        <f ca="1">IF(OR(INDEX($W$2:$W$1001,MATCH(ROWS($V$2:V7),$V$2:$V$1001,0),1)&gt;=100000,INDEX($AC$1005:$AS$1005,1,MATCH(COLUMNS($AC$1006:AL1006),$AC$1006:$AS$1006,0))&gt;=100000), " ",IF(INDEX($AC$2:$AS$1001,MATCH(ROWS($V$2:V7),$V$2:$V$1001,0),MATCH(COLUMNS($AC$1006:AL1006),$AC$1006:$AS$1006,0)), HYPERLINK("#",""), HYPERLINK(CONCATENATE("#metadata!", ADDRESS(INDEX($X$2:$X$1001,MATCH(ROWS($V$2:V7),$V$2:$V$1001,0),0), INDEX($AC$1004:$AS$1004,1,MATCH(COLUMNS($AC$1006:AL1006),$AC$1006:$AS$1006,0)))),"Fix")))</f>
        <v xml:space="preserve"> </v>
      </c>
      <c r="L7" s="4" t="str">
        <f ca="1">IF(OR(INDEX($W$2:$W$1001,MATCH(ROWS($V$2:V7),$V$2:$V$1001,0),1)&gt;=100000,INDEX($AC$1005:$AS$1005,1,MATCH(COLUMNS($AC$1006:AM1006),$AC$1006:$AS$1006,0))&gt;=100000), " ",IF(INDEX($AC$2:$AS$1001,MATCH(ROWS($V$2:V7),$V$2:$V$1001,0),MATCH(COLUMNS($AC$1006:AM1006),$AC$1006:$AS$1006,0)), HYPERLINK("#",""), HYPERLINK(CONCATENATE("#metadata!", ADDRESS(INDEX($X$2:$X$1001,MATCH(ROWS($V$2:V7),$V$2:$V$1001,0),0), INDEX($AC$1004:$AS$1004,1,MATCH(COLUMNS($AC$1006:AM1006),$AC$1006:$AS$1006,0)))),"Fix")))</f>
        <v xml:space="preserve"> </v>
      </c>
      <c r="M7" s="4" t="str">
        <f ca="1">IF(OR(INDEX($W$2:$W$1001,MATCH(ROWS($V$2:V7),$V$2:$V$1001,0),1)&gt;=100000,INDEX($AC$1005:$AS$1005,1,MATCH(COLUMNS($AC$1006:AN1006),$AC$1006:$AS$1006,0))&gt;=100000), " ",IF(INDEX($AC$2:$AS$1001,MATCH(ROWS($V$2:V7),$V$2:$V$1001,0),MATCH(COLUMNS($AC$1006:AN1006),$AC$1006:$AS$1006,0)), HYPERLINK("#",""), HYPERLINK(CONCATENATE("#metadata!", ADDRESS(INDEX($X$2:$X$1001,MATCH(ROWS($V$2:V7),$V$2:$V$1001,0),0), INDEX($AC$1004:$AS$1004,1,MATCH(COLUMNS($AC$1006:AN1006),$AC$1006:$AS$1006,0)))),"Fix")))</f>
        <v xml:space="preserve"> </v>
      </c>
      <c r="N7" s="4" t="str">
        <f ca="1">IF(OR(INDEX($W$2:$W$1001,MATCH(ROWS($V$2:V7),$V$2:$V$1001,0),1)&gt;=100000,INDEX($AC$1005:$AS$1005,1,MATCH(COLUMNS($AC$1006:AO1006),$AC$1006:$AS$1006,0))&gt;=100000), " ",IF(INDEX($AC$2:$AS$1001,MATCH(ROWS($V$2:V7),$V$2:$V$1001,0),MATCH(COLUMNS($AC$1006:AO1006),$AC$1006:$AS$1006,0)), HYPERLINK("#",""), HYPERLINK(CONCATENATE("#metadata!", ADDRESS(INDEX($X$2:$X$1001,MATCH(ROWS($V$2:V7),$V$2:$V$1001,0),0), INDEX($AC$1004:$AS$1004,1,MATCH(COLUMNS($AC$1006:AO1006),$AC$1006:$AS$1006,0)))),"Fix")))</f>
        <v xml:space="preserve"> </v>
      </c>
      <c r="O7" s="4" t="str">
        <f ca="1">IF(OR(INDEX($W$2:$W$1001,MATCH(ROWS($V$2:V7),$V$2:$V$1001,0),1)&gt;=100000,INDEX($AC$1005:$AS$1005,1,MATCH(COLUMNS($AC$1006:AP1006),$AC$1006:$AS$1006,0))&gt;=100000), " ",IF(INDEX($AC$2:$AS$1001,MATCH(ROWS($V$2:V7),$V$2:$V$1001,0),MATCH(COLUMNS($AC$1006:AP1006),$AC$1006:$AS$1006,0)), HYPERLINK("#",""), HYPERLINK(CONCATENATE("#metadata!", ADDRESS(INDEX($X$2:$X$1001,MATCH(ROWS($V$2:V7),$V$2:$V$1001,0),0), INDEX($AC$1004:$AS$1004,1,MATCH(COLUMNS($AC$1006:AP1006),$AC$1006:$AS$1006,0)))),"Fix")))</f>
        <v xml:space="preserve"> </v>
      </c>
      <c r="P7" s="4" t="str">
        <f ca="1">IF(OR(INDEX($W$2:$W$1001,MATCH(ROWS($V$2:V7),$V$2:$V$1001,0),1)&gt;=100000,INDEX($AC$1005:$AS$1005,1,MATCH(COLUMNS($AC$1006:AQ1006),$AC$1006:$AS$1006,0))&gt;=100000), " ",IF(INDEX($AC$2:$AS$1001,MATCH(ROWS($V$2:V7),$V$2:$V$1001,0),MATCH(COLUMNS($AC$1006:AQ1006),$AC$1006:$AS$1006,0)), HYPERLINK("#",""), HYPERLINK(CONCATENATE("#metadata!", ADDRESS(INDEX($X$2:$X$1001,MATCH(ROWS($V$2:V7),$V$2:$V$1001,0),0), INDEX($AC$1004:$AS$1004,1,MATCH(COLUMNS($AC$1006:AQ1006),$AC$1006:$AS$1006,0)))),"Fix")))</f>
        <v xml:space="preserve"> </v>
      </c>
      <c r="Q7" s="4" t="str">
        <f ca="1">IF(OR(INDEX($W$2:$W$1001,MATCH(ROWS($V$2:V7),$V$2:$V$1001,0),1)&gt;=100000,INDEX($AC$1005:$AS$1005,1,MATCH(COLUMNS($AC$1006:AR1006),$AC$1006:$AS$1006,0))&gt;=100000), " ",IF(INDEX($AC$2:$AS$1001,MATCH(ROWS($V$2:V7),$V$2:$V$1001,0),MATCH(COLUMNS($AC$1006:AR1006),$AC$1006:$AS$1006,0)), HYPERLINK("#",""), HYPERLINK(CONCATENATE("#metadata!", ADDRESS(INDEX($X$2:$X$1001,MATCH(ROWS($V$2:V7),$V$2:$V$1001,0),0), INDEX($AC$1004:$AS$1004,1,MATCH(COLUMNS($AC$1006:AR1006),$AC$1006:$AS$1006,0)))),"Fix")))</f>
        <v xml:space="preserve"> </v>
      </c>
      <c r="R7" s="4" t="str">
        <f ca="1">IF(OR(INDEX($W$2:$W$1001,MATCH(ROWS($V$2:V7),$V$2:$V$1001,0),1)&gt;=100000,INDEX($AC$1005:$AS$1005,1,MATCH(COLUMNS($AC$1006:AS1006),$AC$1006:$AS$1006,0))&gt;=100000), " ",IF(INDEX($AC$2:$AS$1001,MATCH(ROWS($V$2:V7),$V$2:$V$1001,0),MATCH(COLUMNS($AC$1006:AS1006),$AC$1006:$AS$1006,0)), HYPERLINK("#",""), HYPERLINK(CONCATENATE("#metadata!", ADDRESS(INDEX($X$2:$X$1001,MATCH(ROWS($V$2:V7),$V$2:$V$1001,0),0), INDEX($AC$1004:$AS$1004,1,MATCH(COLUMNS($AC$1006:AS1006),$AC$1006:$AS$1006,0)))),"Fix")))</f>
        <v xml:space="preserve"> </v>
      </c>
      <c r="V7">
        <v>6</v>
      </c>
      <c r="W7">
        <v>100007</v>
      </c>
      <c r="X7">
        <v>7</v>
      </c>
      <c r="Y7" t="b">
        <f t="shared" si="0"/>
        <v>1</v>
      </c>
      <c r="Z7" t="b">
        <f>COUNTBLANK(metadata!B7:R7)=COLUMNS(metadata!B7:R7)</f>
        <v>1</v>
      </c>
      <c r="AA7" t="str">
        <v/>
      </c>
      <c r="AC7" t="b">
        <f ca="1"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AD7" t="b">
        <f>IF(metadata!C7="",FALSE,ISNUMBER(VALUE(metadata!C7)))</f>
        <v>0</v>
      </c>
      <c r="AE7" t="b">
        <f>AND(IF(metadata!D7="",FALSE,TRUE),EXACT(metadata!D7,"years"))</f>
        <v>0</v>
      </c>
      <c r="AF7" t="b">
        <f>OR(AND(IF(metadata!E7="",FALSE,TRUE),OR(EXACT(metadata!E7,"not applicable"),EXACT(metadata!E7,"missing: not collected"),EXACT(metadata!E7,"missing: not provided"),EXACT(metadata!E7,"missing: restricted access"))),AND(IF(metadata!E7="",FALSE,ISNUMBER(VALUE(metadata!E7))),metadata!E7&gt;0))</f>
        <v>0</v>
      </c>
      <c r="AG7" t="b">
        <f>AND(IF(metadata!F7="",FALSE,TRUE),EXACT(metadata!F7,"Not applicable"))</f>
        <v>0</v>
      </c>
      <c r="AH7" t="b">
        <f>AND(IF(metadata!G7="",FALSE,TRUE),EXACT(metadata!G7,"urban biome"))</f>
        <v>0</v>
      </c>
      <c r="AI7" t="b">
        <f>AND(IF(metadata!H7="",FALSE,TRUE),EXACT(metadata!H7,"human-associated habitat"))</f>
        <v>0</v>
      </c>
      <c r="AJ7" t="b">
        <f>AND(IF(metadata!I7="",FALSE,TRUE),OR(EXACT(metadata!I7,"human-associated"),EXACT(metadata!I7,"human-skin"),EXACT(metadata!I7,"human-oral"),EXACT(metadata!I7,"human-gut"),EXACT(metadata!I7,"human-vaginal")))</f>
        <v>0</v>
      </c>
      <c r="AK7" t="b">
        <f>IF(metadata!J7="",FALSE,ISNUMBER(VALUE(metadata!J7)))</f>
        <v>0</v>
      </c>
      <c r="AL7" t="b">
        <f>AND(IF(metadata!K7="",FALSE,TRUE),EXACT(metadata!K7,"cm"))</f>
        <v>0</v>
      </c>
      <c r="AM7" t="b">
        <f>AND(IF(metadata!L7="",FALSE,TRUE),EXACT(metadata!L7,"human"))</f>
        <v>0</v>
      </c>
      <c r="AN7" t="b">
        <f>AND(IF(metadata!M7="",FALSE,TRUE),EXACT(metadata!M7,"Homo sapiens"))</f>
        <v>0</v>
      </c>
      <c r="AO7" t="b">
        <f>AND(IF(metadata!N7="",FALSE,TRUE),EXACT(metadata!N7,"9606"))</f>
        <v>0</v>
      </c>
      <c r="AP7" t="b">
        <f>IF(metadata!O7="",FALSE,TRUE)</f>
        <v>0</v>
      </c>
      <c r="AQ7" t="b">
        <f>IF(metadata!P7="",FALSE,TRUE)</f>
        <v>0</v>
      </c>
      <c r="AR7" t="b">
        <f>IF(metadata!Q7="",FALSE,ISNUMBER(VALUE(metadata!Q7)))</f>
        <v>0</v>
      </c>
      <c r="AS7" t="b">
        <f>AND(IF(metadata!R7="",FALSE,TRUE),EXACT(metadata!R7,"kg"))</f>
        <v>0</v>
      </c>
    </row>
    <row r="8" spans="1:45" x14ac:dyDescent="0.2">
      <c r="A8" s="5" t="str">
        <f ca="1">IF(B8=" "," ",HYPERLINK(CONCATENATE("#metadata!",ADDRESS(INDEX($X$2:$X$1001,MATCH(ROWS($V$2:V8),$V$2:$V$1001,0),0),1)),INDEX($AA$2:$AA$1001,MATCH(ROWS($V$2:V8),$V$2:$V$1001,0),0)))</f>
        <v xml:space="preserve"> </v>
      </c>
      <c r="B8" s="4" t="str">
        <f ca="1">IF(OR(INDEX($W$2:$W$1001,MATCH(ROWS($V$2:V8),$V$2:$V$1001,0),1)&gt;=100000,INDEX($AC$1005:$AS$1005,1,MATCH(COLUMNS($AC$1006:AC1006),$AC$1006:$AS$1006,0))&gt;=100000), " ",IF(INDEX($AC$2:$AS$1001,MATCH(ROWS($V$2:V8),$V$2:$V$1001,0),MATCH(COLUMNS($AC$1006:AC1006),$AC$1006:$AS$1006,0)), HYPERLINK("#",""), HYPERLINK(CONCATENATE("#metadata!", ADDRESS(INDEX($X$2:$X$1001,MATCH(ROWS($V$2:V8),$V$2:$V$1001,0),0), INDEX($AC$1004:$AS$1004,1,MATCH(COLUMNS($AC$1006:AC1006),$AC$1006:$AS$1006,0)))),"Fix")))</f>
        <v xml:space="preserve"> </v>
      </c>
      <c r="C8" s="4" t="str">
        <f ca="1">IF(OR(INDEX($W$2:$W$1001,MATCH(ROWS($V$2:V8),$V$2:$V$1001,0),1)&gt;=100000,INDEX($AC$1005:$AS$1005,1,MATCH(COLUMNS($AC$1006:AD1006),$AC$1006:$AS$1006,0))&gt;=100000), " ",IF(INDEX($AC$2:$AS$1001,MATCH(ROWS($V$2:V8),$V$2:$V$1001,0),MATCH(COLUMNS($AC$1006:AD1006),$AC$1006:$AS$1006,0)), HYPERLINK("#",""), HYPERLINK(CONCATENATE("#metadata!", ADDRESS(INDEX($X$2:$X$1001,MATCH(ROWS($V$2:V8),$V$2:$V$1001,0),0), INDEX($AC$1004:$AS$1004,1,MATCH(COLUMNS($AC$1006:AD1006),$AC$1006:$AS$1006,0)))),"Fix")))</f>
        <v xml:space="preserve"> </v>
      </c>
      <c r="D8" s="4" t="str">
        <f ca="1">IF(OR(INDEX($W$2:$W$1001,MATCH(ROWS($V$2:V8),$V$2:$V$1001,0),1)&gt;=100000,INDEX($AC$1005:$AS$1005,1,MATCH(COLUMNS($AC$1006:AE1006),$AC$1006:$AS$1006,0))&gt;=100000), " ",IF(INDEX($AC$2:$AS$1001,MATCH(ROWS($V$2:V8),$V$2:$V$1001,0),MATCH(COLUMNS($AC$1006:AE1006),$AC$1006:$AS$1006,0)), HYPERLINK("#",""), HYPERLINK(CONCATENATE("#metadata!", ADDRESS(INDEX($X$2:$X$1001,MATCH(ROWS($V$2:V8),$V$2:$V$1001,0),0), INDEX($AC$1004:$AS$1004,1,MATCH(COLUMNS($AC$1006:AE1006),$AC$1006:$AS$1006,0)))),"Fix")))</f>
        <v xml:space="preserve"> </v>
      </c>
      <c r="E8" s="4" t="str">
        <f ca="1">IF(OR(INDEX($W$2:$W$1001,MATCH(ROWS($V$2:V8),$V$2:$V$1001,0),1)&gt;=100000,INDEX($AC$1005:$AS$1005,1,MATCH(COLUMNS($AC$1006:AF1006),$AC$1006:$AS$1006,0))&gt;=100000), " ",IF(INDEX($AC$2:$AS$1001,MATCH(ROWS($V$2:V8),$V$2:$V$1001,0),MATCH(COLUMNS($AC$1006:AF1006),$AC$1006:$AS$1006,0)), HYPERLINK("#",""), HYPERLINK(CONCATENATE("#metadata!", ADDRESS(INDEX($X$2:$X$1001,MATCH(ROWS($V$2:V8),$V$2:$V$1001,0),0), INDEX($AC$1004:$AS$1004,1,MATCH(COLUMNS($AC$1006:AF1006),$AC$1006:$AS$1006,0)))),"Fix")))</f>
        <v xml:space="preserve"> </v>
      </c>
      <c r="F8" s="4" t="str">
        <f ca="1">IF(OR(INDEX($W$2:$W$1001,MATCH(ROWS($V$2:V8),$V$2:$V$1001,0),1)&gt;=100000,INDEX($AC$1005:$AS$1005,1,MATCH(COLUMNS($AC$1006:AG1006),$AC$1006:$AS$1006,0))&gt;=100000), " ",IF(INDEX($AC$2:$AS$1001,MATCH(ROWS($V$2:V8),$V$2:$V$1001,0),MATCH(COLUMNS($AC$1006:AG1006),$AC$1006:$AS$1006,0)), HYPERLINK("#",""), HYPERLINK(CONCATENATE("#metadata!", ADDRESS(INDEX($X$2:$X$1001,MATCH(ROWS($V$2:V8),$V$2:$V$1001,0),0), INDEX($AC$1004:$AS$1004,1,MATCH(COLUMNS($AC$1006:AG1006),$AC$1006:$AS$1006,0)))),"Fix")))</f>
        <v xml:space="preserve"> </v>
      </c>
      <c r="G8" s="4" t="str">
        <f ca="1">IF(OR(INDEX($W$2:$W$1001,MATCH(ROWS($V$2:V8),$V$2:$V$1001,0),1)&gt;=100000,INDEX($AC$1005:$AS$1005,1,MATCH(COLUMNS($AC$1006:AH1006),$AC$1006:$AS$1006,0))&gt;=100000), " ",IF(INDEX($AC$2:$AS$1001,MATCH(ROWS($V$2:V8),$V$2:$V$1001,0),MATCH(COLUMNS($AC$1006:AH1006),$AC$1006:$AS$1006,0)), HYPERLINK("#",""), HYPERLINK(CONCATENATE("#metadata!", ADDRESS(INDEX($X$2:$X$1001,MATCH(ROWS($V$2:V8),$V$2:$V$1001,0),0), INDEX($AC$1004:$AS$1004,1,MATCH(COLUMNS($AC$1006:AH1006),$AC$1006:$AS$1006,0)))),"Fix")))</f>
        <v xml:space="preserve"> </v>
      </c>
      <c r="H8" s="4" t="str">
        <f ca="1">IF(OR(INDEX($W$2:$W$1001,MATCH(ROWS($V$2:V8),$V$2:$V$1001,0),1)&gt;=100000,INDEX($AC$1005:$AS$1005,1,MATCH(COLUMNS($AC$1006:AI1006),$AC$1006:$AS$1006,0))&gt;=100000), " ",IF(INDEX($AC$2:$AS$1001,MATCH(ROWS($V$2:V8),$V$2:$V$1001,0),MATCH(COLUMNS($AC$1006:AI1006),$AC$1006:$AS$1006,0)), HYPERLINK("#",""), HYPERLINK(CONCATENATE("#metadata!", ADDRESS(INDEX($X$2:$X$1001,MATCH(ROWS($V$2:V8),$V$2:$V$1001,0),0), INDEX($AC$1004:$AS$1004,1,MATCH(COLUMNS($AC$1006:AI1006),$AC$1006:$AS$1006,0)))),"Fix")))</f>
        <v xml:space="preserve"> </v>
      </c>
      <c r="I8" s="4" t="str">
        <f ca="1">IF(OR(INDEX($W$2:$W$1001,MATCH(ROWS($V$2:V8),$V$2:$V$1001,0),1)&gt;=100000,INDEX($AC$1005:$AS$1005,1,MATCH(COLUMNS($AC$1006:AJ1006),$AC$1006:$AS$1006,0))&gt;=100000), " ",IF(INDEX($AC$2:$AS$1001,MATCH(ROWS($V$2:V8),$V$2:$V$1001,0),MATCH(COLUMNS($AC$1006:AJ1006),$AC$1006:$AS$1006,0)), HYPERLINK("#",""), HYPERLINK(CONCATENATE("#metadata!", ADDRESS(INDEX($X$2:$X$1001,MATCH(ROWS($V$2:V8),$V$2:$V$1001,0),0), INDEX($AC$1004:$AS$1004,1,MATCH(COLUMNS($AC$1006:AJ1006),$AC$1006:$AS$1006,0)))),"Fix")))</f>
        <v xml:space="preserve"> </v>
      </c>
      <c r="J8" s="4" t="str">
        <f ca="1">IF(OR(INDEX($W$2:$W$1001,MATCH(ROWS($V$2:V8),$V$2:$V$1001,0),1)&gt;=100000,INDEX($AC$1005:$AS$1005,1,MATCH(COLUMNS($AC$1006:AK1006),$AC$1006:$AS$1006,0))&gt;=100000), " ",IF(INDEX($AC$2:$AS$1001,MATCH(ROWS($V$2:V8),$V$2:$V$1001,0),MATCH(COLUMNS($AC$1006:AK1006),$AC$1006:$AS$1006,0)), HYPERLINK("#",""), HYPERLINK(CONCATENATE("#metadata!", ADDRESS(INDEX($X$2:$X$1001,MATCH(ROWS($V$2:V8),$V$2:$V$1001,0),0), INDEX($AC$1004:$AS$1004,1,MATCH(COLUMNS($AC$1006:AK1006),$AC$1006:$AS$1006,0)))),"Fix")))</f>
        <v xml:space="preserve"> </v>
      </c>
      <c r="K8" s="4" t="str">
        <f ca="1">IF(OR(INDEX($W$2:$W$1001,MATCH(ROWS($V$2:V8),$V$2:$V$1001,0),1)&gt;=100000,INDEX($AC$1005:$AS$1005,1,MATCH(COLUMNS($AC$1006:AL1006),$AC$1006:$AS$1006,0))&gt;=100000), " ",IF(INDEX($AC$2:$AS$1001,MATCH(ROWS($V$2:V8),$V$2:$V$1001,0),MATCH(COLUMNS($AC$1006:AL1006),$AC$1006:$AS$1006,0)), HYPERLINK("#",""), HYPERLINK(CONCATENATE("#metadata!", ADDRESS(INDEX($X$2:$X$1001,MATCH(ROWS($V$2:V8),$V$2:$V$1001,0),0), INDEX($AC$1004:$AS$1004,1,MATCH(COLUMNS($AC$1006:AL1006),$AC$1006:$AS$1006,0)))),"Fix")))</f>
        <v xml:space="preserve"> </v>
      </c>
      <c r="L8" s="4" t="str">
        <f ca="1">IF(OR(INDEX($W$2:$W$1001,MATCH(ROWS($V$2:V8),$V$2:$V$1001,0),1)&gt;=100000,INDEX($AC$1005:$AS$1005,1,MATCH(COLUMNS($AC$1006:AM1006),$AC$1006:$AS$1006,0))&gt;=100000), " ",IF(INDEX($AC$2:$AS$1001,MATCH(ROWS($V$2:V8),$V$2:$V$1001,0),MATCH(COLUMNS($AC$1006:AM1006),$AC$1006:$AS$1006,0)), HYPERLINK("#",""), HYPERLINK(CONCATENATE("#metadata!", ADDRESS(INDEX($X$2:$X$1001,MATCH(ROWS($V$2:V8),$V$2:$V$1001,0),0), INDEX($AC$1004:$AS$1004,1,MATCH(COLUMNS($AC$1006:AM1006),$AC$1006:$AS$1006,0)))),"Fix")))</f>
        <v xml:space="preserve"> </v>
      </c>
      <c r="M8" s="4" t="str">
        <f ca="1">IF(OR(INDEX($W$2:$W$1001,MATCH(ROWS($V$2:V8),$V$2:$V$1001,0),1)&gt;=100000,INDEX($AC$1005:$AS$1005,1,MATCH(COLUMNS($AC$1006:AN1006),$AC$1006:$AS$1006,0))&gt;=100000), " ",IF(INDEX($AC$2:$AS$1001,MATCH(ROWS($V$2:V8),$V$2:$V$1001,0),MATCH(COLUMNS($AC$1006:AN1006),$AC$1006:$AS$1006,0)), HYPERLINK("#",""), HYPERLINK(CONCATENATE("#metadata!", ADDRESS(INDEX($X$2:$X$1001,MATCH(ROWS($V$2:V8),$V$2:$V$1001,0),0), INDEX($AC$1004:$AS$1004,1,MATCH(COLUMNS($AC$1006:AN1006),$AC$1006:$AS$1006,0)))),"Fix")))</f>
        <v xml:space="preserve"> </v>
      </c>
      <c r="N8" s="4" t="str">
        <f ca="1">IF(OR(INDEX($W$2:$W$1001,MATCH(ROWS($V$2:V8),$V$2:$V$1001,0),1)&gt;=100000,INDEX($AC$1005:$AS$1005,1,MATCH(COLUMNS($AC$1006:AO1006),$AC$1006:$AS$1006,0))&gt;=100000), " ",IF(INDEX($AC$2:$AS$1001,MATCH(ROWS($V$2:V8),$V$2:$V$1001,0),MATCH(COLUMNS($AC$1006:AO1006),$AC$1006:$AS$1006,0)), HYPERLINK("#",""), HYPERLINK(CONCATENATE("#metadata!", ADDRESS(INDEX($X$2:$X$1001,MATCH(ROWS($V$2:V8),$V$2:$V$1001,0),0), INDEX($AC$1004:$AS$1004,1,MATCH(COLUMNS($AC$1006:AO1006),$AC$1006:$AS$1006,0)))),"Fix")))</f>
        <v xml:space="preserve"> </v>
      </c>
      <c r="O8" s="4" t="str">
        <f ca="1">IF(OR(INDEX($W$2:$W$1001,MATCH(ROWS($V$2:V8),$V$2:$V$1001,0),1)&gt;=100000,INDEX($AC$1005:$AS$1005,1,MATCH(COLUMNS($AC$1006:AP1006),$AC$1006:$AS$1006,0))&gt;=100000), " ",IF(INDEX($AC$2:$AS$1001,MATCH(ROWS($V$2:V8),$V$2:$V$1001,0),MATCH(COLUMNS($AC$1006:AP1006),$AC$1006:$AS$1006,0)), HYPERLINK("#",""), HYPERLINK(CONCATENATE("#metadata!", ADDRESS(INDEX($X$2:$X$1001,MATCH(ROWS($V$2:V8),$V$2:$V$1001,0),0), INDEX($AC$1004:$AS$1004,1,MATCH(COLUMNS($AC$1006:AP1006),$AC$1006:$AS$1006,0)))),"Fix")))</f>
        <v xml:space="preserve"> </v>
      </c>
      <c r="P8" s="4" t="str">
        <f ca="1">IF(OR(INDEX($W$2:$W$1001,MATCH(ROWS($V$2:V8),$V$2:$V$1001,0),1)&gt;=100000,INDEX($AC$1005:$AS$1005,1,MATCH(COLUMNS($AC$1006:AQ1006),$AC$1006:$AS$1006,0))&gt;=100000), " ",IF(INDEX($AC$2:$AS$1001,MATCH(ROWS($V$2:V8),$V$2:$V$1001,0),MATCH(COLUMNS($AC$1006:AQ1006),$AC$1006:$AS$1006,0)), HYPERLINK("#",""), HYPERLINK(CONCATENATE("#metadata!", ADDRESS(INDEX($X$2:$X$1001,MATCH(ROWS($V$2:V8),$V$2:$V$1001,0),0), INDEX($AC$1004:$AS$1004,1,MATCH(COLUMNS($AC$1006:AQ1006),$AC$1006:$AS$1006,0)))),"Fix")))</f>
        <v xml:space="preserve"> </v>
      </c>
      <c r="Q8" s="4" t="str">
        <f ca="1">IF(OR(INDEX($W$2:$W$1001,MATCH(ROWS($V$2:V8),$V$2:$V$1001,0),1)&gt;=100000,INDEX($AC$1005:$AS$1005,1,MATCH(COLUMNS($AC$1006:AR1006),$AC$1006:$AS$1006,0))&gt;=100000), " ",IF(INDEX($AC$2:$AS$1001,MATCH(ROWS($V$2:V8),$V$2:$V$1001,0),MATCH(COLUMNS($AC$1006:AR1006),$AC$1006:$AS$1006,0)), HYPERLINK("#",""), HYPERLINK(CONCATENATE("#metadata!", ADDRESS(INDEX($X$2:$X$1001,MATCH(ROWS($V$2:V8),$V$2:$V$1001,0),0), INDEX($AC$1004:$AS$1004,1,MATCH(COLUMNS($AC$1006:AR1006),$AC$1006:$AS$1006,0)))),"Fix")))</f>
        <v xml:space="preserve"> </v>
      </c>
      <c r="R8" s="4" t="str">
        <f ca="1">IF(OR(INDEX($W$2:$W$1001,MATCH(ROWS($V$2:V8),$V$2:$V$1001,0),1)&gt;=100000,INDEX($AC$1005:$AS$1005,1,MATCH(COLUMNS($AC$1006:AS1006),$AC$1006:$AS$1006,0))&gt;=100000), " ",IF(INDEX($AC$2:$AS$1001,MATCH(ROWS($V$2:V8),$V$2:$V$1001,0),MATCH(COLUMNS($AC$1006:AS1006),$AC$1006:$AS$1006,0)), HYPERLINK("#",""), HYPERLINK(CONCATENATE("#metadata!", ADDRESS(INDEX($X$2:$X$1001,MATCH(ROWS($V$2:V8),$V$2:$V$1001,0),0), INDEX($AC$1004:$AS$1004,1,MATCH(COLUMNS($AC$1006:AS1006),$AC$1006:$AS$1006,0)))),"Fix")))</f>
        <v xml:space="preserve"> </v>
      </c>
      <c r="V8">
        <v>7</v>
      </c>
      <c r="W8">
        <v>100008</v>
      </c>
      <c r="X8">
        <v>8</v>
      </c>
      <c r="Y8" t="b">
        <f t="shared" si="0"/>
        <v>1</v>
      </c>
      <c r="Z8" t="b">
        <f>COUNTBLANK(metadata!B8:R8)=COLUMNS(metadata!B8:R8)</f>
        <v>1</v>
      </c>
      <c r="AA8" t="str">
        <v/>
      </c>
      <c r="AC8" t="b">
        <f ca="1"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AD8" t="b">
        <f>IF(metadata!C8="",FALSE,ISNUMBER(VALUE(metadata!C8)))</f>
        <v>0</v>
      </c>
      <c r="AE8" t="b">
        <f>AND(IF(metadata!D8="",FALSE,TRUE),EXACT(metadata!D8,"years"))</f>
        <v>0</v>
      </c>
      <c r="AF8" t="b">
        <f>OR(AND(IF(metadata!E8="",FALSE,TRUE),OR(EXACT(metadata!E8,"not applicable"),EXACT(metadata!E8,"missing: not collected"),EXACT(metadata!E8,"missing: not provided"),EXACT(metadata!E8,"missing: restricted access"))),AND(IF(metadata!E8="",FALSE,ISNUMBER(VALUE(metadata!E8))),metadata!E8&gt;0))</f>
        <v>0</v>
      </c>
      <c r="AG8" t="b">
        <f>AND(IF(metadata!F8="",FALSE,TRUE),EXACT(metadata!F8,"Not applicable"))</f>
        <v>0</v>
      </c>
      <c r="AH8" t="b">
        <f>AND(IF(metadata!G8="",FALSE,TRUE),EXACT(metadata!G8,"urban biome"))</f>
        <v>0</v>
      </c>
      <c r="AI8" t="b">
        <f>AND(IF(metadata!H8="",FALSE,TRUE),EXACT(metadata!H8,"human-associated habitat"))</f>
        <v>0</v>
      </c>
      <c r="AJ8" t="b">
        <f>AND(IF(metadata!I8="",FALSE,TRUE),OR(EXACT(metadata!I8,"human-associated"),EXACT(metadata!I8,"human-skin"),EXACT(metadata!I8,"human-oral"),EXACT(metadata!I8,"human-gut"),EXACT(metadata!I8,"human-vaginal")))</f>
        <v>0</v>
      </c>
      <c r="AK8" t="b">
        <f>IF(metadata!J8="",FALSE,ISNUMBER(VALUE(metadata!J8)))</f>
        <v>0</v>
      </c>
      <c r="AL8" t="b">
        <f>AND(IF(metadata!K8="",FALSE,TRUE),EXACT(metadata!K8,"cm"))</f>
        <v>0</v>
      </c>
      <c r="AM8" t="b">
        <f>AND(IF(metadata!L8="",FALSE,TRUE),EXACT(metadata!L8,"human"))</f>
        <v>0</v>
      </c>
      <c r="AN8" t="b">
        <f>AND(IF(metadata!M8="",FALSE,TRUE),EXACT(metadata!M8,"Homo sapiens"))</f>
        <v>0</v>
      </c>
      <c r="AO8" t="b">
        <f>AND(IF(metadata!N8="",FALSE,TRUE),EXACT(metadata!N8,"9606"))</f>
        <v>0</v>
      </c>
      <c r="AP8" t="b">
        <f>IF(metadata!O8="",FALSE,TRUE)</f>
        <v>0</v>
      </c>
      <c r="AQ8" t="b">
        <f>IF(metadata!P8="",FALSE,TRUE)</f>
        <v>0</v>
      </c>
      <c r="AR8" t="b">
        <f>IF(metadata!Q8="",FALSE,ISNUMBER(VALUE(metadata!Q8)))</f>
        <v>0</v>
      </c>
      <c r="AS8" t="b">
        <f>AND(IF(metadata!R8="",FALSE,TRUE),EXACT(metadata!R8,"kg"))</f>
        <v>0</v>
      </c>
    </row>
    <row r="9" spans="1:45" x14ac:dyDescent="0.2">
      <c r="A9" s="5" t="str">
        <f ca="1">IF(B9=" "," ",HYPERLINK(CONCATENATE("#metadata!",ADDRESS(INDEX($X$2:$X$1001,MATCH(ROWS($V$2:V9),$V$2:$V$1001,0),0),1)),INDEX($AA$2:$AA$1001,MATCH(ROWS($V$2:V9),$V$2:$V$1001,0),0)))</f>
        <v xml:space="preserve"> </v>
      </c>
      <c r="B9" s="4" t="str">
        <f ca="1">IF(OR(INDEX($W$2:$W$1001,MATCH(ROWS($V$2:V9),$V$2:$V$1001,0),1)&gt;=100000,INDEX($AC$1005:$AS$1005,1,MATCH(COLUMNS($AC$1006:AC1006),$AC$1006:$AS$1006,0))&gt;=100000), " ",IF(INDEX($AC$2:$AS$1001,MATCH(ROWS($V$2:V9),$V$2:$V$1001,0),MATCH(COLUMNS($AC$1006:AC1006),$AC$1006:$AS$1006,0)), HYPERLINK("#",""), HYPERLINK(CONCATENATE("#metadata!", ADDRESS(INDEX($X$2:$X$1001,MATCH(ROWS($V$2:V9),$V$2:$V$1001,0),0), INDEX($AC$1004:$AS$1004,1,MATCH(COLUMNS($AC$1006:AC1006),$AC$1006:$AS$1006,0)))),"Fix")))</f>
        <v xml:space="preserve"> </v>
      </c>
      <c r="C9" s="4" t="str">
        <f ca="1">IF(OR(INDEX($W$2:$W$1001,MATCH(ROWS($V$2:V9),$V$2:$V$1001,0),1)&gt;=100000,INDEX($AC$1005:$AS$1005,1,MATCH(COLUMNS($AC$1006:AD1006),$AC$1006:$AS$1006,0))&gt;=100000), " ",IF(INDEX($AC$2:$AS$1001,MATCH(ROWS($V$2:V9),$V$2:$V$1001,0),MATCH(COLUMNS($AC$1006:AD1006),$AC$1006:$AS$1006,0)), HYPERLINK("#",""), HYPERLINK(CONCATENATE("#metadata!", ADDRESS(INDEX($X$2:$X$1001,MATCH(ROWS($V$2:V9),$V$2:$V$1001,0),0), INDEX($AC$1004:$AS$1004,1,MATCH(COLUMNS($AC$1006:AD1006),$AC$1006:$AS$1006,0)))),"Fix")))</f>
        <v xml:space="preserve"> </v>
      </c>
      <c r="D9" s="4" t="str">
        <f ca="1">IF(OR(INDEX($W$2:$W$1001,MATCH(ROWS($V$2:V9),$V$2:$V$1001,0),1)&gt;=100000,INDEX($AC$1005:$AS$1005,1,MATCH(COLUMNS($AC$1006:AE1006),$AC$1006:$AS$1006,0))&gt;=100000), " ",IF(INDEX($AC$2:$AS$1001,MATCH(ROWS($V$2:V9),$V$2:$V$1001,0),MATCH(COLUMNS($AC$1006:AE1006),$AC$1006:$AS$1006,0)), HYPERLINK("#",""), HYPERLINK(CONCATENATE("#metadata!", ADDRESS(INDEX($X$2:$X$1001,MATCH(ROWS($V$2:V9),$V$2:$V$1001,0),0), INDEX($AC$1004:$AS$1004,1,MATCH(COLUMNS($AC$1006:AE1006),$AC$1006:$AS$1006,0)))),"Fix")))</f>
        <v xml:space="preserve"> </v>
      </c>
      <c r="E9" s="4" t="str">
        <f ca="1">IF(OR(INDEX($W$2:$W$1001,MATCH(ROWS($V$2:V9),$V$2:$V$1001,0),1)&gt;=100000,INDEX($AC$1005:$AS$1005,1,MATCH(COLUMNS($AC$1006:AF1006),$AC$1006:$AS$1006,0))&gt;=100000), " ",IF(INDEX($AC$2:$AS$1001,MATCH(ROWS($V$2:V9),$V$2:$V$1001,0),MATCH(COLUMNS($AC$1006:AF1006),$AC$1006:$AS$1006,0)), HYPERLINK("#",""), HYPERLINK(CONCATENATE("#metadata!", ADDRESS(INDEX($X$2:$X$1001,MATCH(ROWS($V$2:V9),$V$2:$V$1001,0),0), INDEX($AC$1004:$AS$1004,1,MATCH(COLUMNS($AC$1006:AF1006),$AC$1006:$AS$1006,0)))),"Fix")))</f>
        <v xml:space="preserve"> </v>
      </c>
      <c r="F9" s="4" t="str">
        <f ca="1">IF(OR(INDEX($W$2:$W$1001,MATCH(ROWS($V$2:V9),$V$2:$V$1001,0),1)&gt;=100000,INDEX($AC$1005:$AS$1005,1,MATCH(COLUMNS($AC$1006:AG1006),$AC$1006:$AS$1006,0))&gt;=100000), " ",IF(INDEX($AC$2:$AS$1001,MATCH(ROWS($V$2:V9),$V$2:$V$1001,0),MATCH(COLUMNS($AC$1006:AG1006),$AC$1006:$AS$1006,0)), HYPERLINK("#",""), HYPERLINK(CONCATENATE("#metadata!", ADDRESS(INDEX($X$2:$X$1001,MATCH(ROWS($V$2:V9),$V$2:$V$1001,0),0), INDEX($AC$1004:$AS$1004,1,MATCH(COLUMNS($AC$1006:AG1006),$AC$1006:$AS$1006,0)))),"Fix")))</f>
        <v xml:space="preserve"> </v>
      </c>
      <c r="G9" s="4" t="str">
        <f ca="1">IF(OR(INDEX($W$2:$W$1001,MATCH(ROWS($V$2:V9),$V$2:$V$1001,0),1)&gt;=100000,INDEX($AC$1005:$AS$1005,1,MATCH(COLUMNS($AC$1006:AH1006),$AC$1006:$AS$1006,0))&gt;=100000), " ",IF(INDEX($AC$2:$AS$1001,MATCH(ROWS($V$2:V9),$V$2:$V$1001,0),MATCH(COLUMNS($AC$1006:AH1006),$AC$1006:$AS$1006,0)), HYPERLINK("#",""), HYPERLINK(CONCATENATE("#metadata!", ADDRESS(INDEX($X$2:$X$1001,MATCH(ROWS($V$2:V9),$V$2:$V$1001,0),0), INDEX($AC$1004:$AS$1004,1,MATCH(COLUMNS($AC$1006:AH1006),$AC$1006:$AS$1006,0)))),"Fix")))</f>
        <v xml:space="preserve"> </v>
      </c>
      <c r="H9" s="4" t="str">
        <f ca="1">IF(OR(INDEX($W$2:$W$1001,MATCH(ROWS($V$2:V9),$V$2:$V$1001,0),1)&gt;=100000,INDEX($AC$1005:$AS$1005,1,MATCH(COLUMNS($AC$1006:AI1006),$AC$1006:$AS$1006,0))&gt;=100000), " ",IF(INDEX($AC$2:$AS$1001,MATCH(ROWS($V$2:V9),$V$2:$V$1001,0),MATCH(COLUMNS($AC$1006:AI1006),$AC$1006:$AS$1006,0)), HYPERLINK("#",""), HYPERLINK(CONCATENATE("#metadata!", ADDRESS(INDEX($X$2:$X$1001,MATCH(ROWS($V$2:V9),$V$2:$V$1001,0),0), INDEX($AC$1004:$AS$1004,1,MATCH(COLUMNS($AC$1006:AI1006),$AC$1006:$AS$1006,0)))),"Fix")))</f>
        <v xml:space="preserve"> </v>
      </c>
      <c r="I9" s="4" t="str">
        <f ca="1">IF(OR(INDEX($W$2:$W$1001,MATCH(ROWS($V$2:V9),$V$2:$V$1001,0),1)&gt;=100000,INDEX($AC$1005:$AS$1005,1,MATCH(COLUMNS($AC$1006:AJ1006),$AC$1006:$AS$1006,0))&gt;=100000), " ",IF(INDEX($AC$2:$AS$1001,MATCH(ROWS($V$2:V9),$V$2:$V$1001,0),MATCH(COLUMNS($AC$1006:AJ1006),$AC$1006:$AS$1006,0)), HYPERLINK("#",""), HYPERLINK(CONCATENATE("#metadata!", ADDRESS(INDEX($X$2:$X$1001,MATCH(ROWS($V$2:V9),$V$2:$V$1001,0),0), INDEX($AC$1004:$AS$1004,1,MATCH(COLUMNS($AC$1006:AJ1006),$AC$1006:$AS$1006,0)))),"Fix")))</f>
        <v xml:space="preserve"> </v>
      </c>
      <c r="J9" s="4" t="str">
        <f ca="1">IF(OR(INDEX($W$2:$W$1001,MATCH(ROWS($V$2:V9),$V$2:$V$1001,0),1)&gt;=100000,INDEX($AC$1005:$AS$1005,1,MATCH(COLUMNS($AC$1006:AK1006),$AC$1006:$AS$1006,0))&gt;=100000), " ",IF(INDEX($AC$2:$AS$1001,MATCH(ROWS($V$2:V9),$V$2:$V$1001,0),MATCH(COLUMNS($AC$1006:AK1006),$AC$1006:$AS$1006,0)), HYPERLINK("#",""), HYPERLINK(CONCATENATE("#metadata!", ADDRESS(INDEX($X$2:$X$1001,MATCH(ROWS($V$2:V9),$V$2:$V$1001,0),0), INDEX($AC$1004:$AS$1004,1,MATCH(COLUMNS($AC$1006:AK1006),$AC$1006:$AS$1006,0)))),"Fix")))</f>
        <v xml:space="preserve"> </v>
      </c>
      <c r="K9" s="4" t="str">
        <f ca="1">IF(OR(INDEX($W$2:$W$1001,MATCH(ROWS($V$2:V9),$V$2:$V$1001,0),1)&gt;=100000,INDEX($AC$1005:$AS$1005,1,MATCH(COLUMNS($AC$1006:AL1006),$AC$1006:$AS$1006,0))&gt;=100000), " ",IF(INDEX($AC$2:$AS$1001,MATCH(ROWS($V$2:V9),$V$2:$V$1001,0),MATCH(COLUMNS($AC$1006:AL1006),$AC$1006:$AS$1006,0)), HYPERLINK("#",""), HYPERLINK(CONCATENATE("#metadata!", ADDRESS(INDEX($X$2:$X$1001,MATCH(ROWS($V$2:V9),$V$2:$V$1001,0),0), INDEX($AC$1004:$AS$1004,1,MATCH(COLUMNS($AC$1006:AL1006),$AC$1006:$AS$1006,0)))),"Fix")))</f>
        <v xml:space="preserve"> </v>
      </c>
      <c r="L9" s="4" t="str">
        <f ca="1">IF(OR(INDEX($W$2:$W$1001,MATCH(ROWS($V$2:V9),$V$2:$V$1001,0),1)&gt;=100000,INDEX($AC$1005:$AS$1005,1,MATCH(COLUMNS($AC$1006:AM1006),$AC$1006:$AS$1006,0))&gt;=100000), " ",IF(INDEX($AC$2:$AS$1001,MATCH(ROWS($V$2:V9),$V$2:$V$1001,0),MATCH(COLUMNS($AC$1006:AM1006),$AC$1006:$AS$1006,0)), HYPERLINK("#",""), HYPERLINK(CONCATENATE("#metadata!", ADDRESS(INDEX($X$2:$X$1001,MATCH(ROWS($V$2:V9),$V$2:$V$1001,0),0), INDEX($AC$1004:$AS$1004,1,MATCH(COLUMNS($AC$1006:AM1006),$AC$1006:$AS$1006,0)))),"Fix")))</f>
        <v xml:space="preserve"> </v>
      </c>
      <c r="M9" s="4" t="str">
        <f ca="1">IF(OR(INDEX($W$2:$W$1001,MATCH(ROWS($V$2:V9),$V$2:$V$1001,0),1)&gt;=100000,INDEX($AC$1005:$AS$1005,1,MATCH(COLUMNS($AC$1006:AN1006),$AC$1006:$AS$1006,0))&gt;=100000), " ",IF(INDEX($AC$2:$AS$1001,MATCH(ROWS($V$2:V9),$V$2:$V$1001,0),MATCH(COLUMNS($AC$1006:AN1006),$AC$1006:$AS$1006,0)), HYPERLINK("#",""), HYPERLINK(CONCATENATE("#metadata!", ADDRESS(INDEX($X$2:$X$1001,MATCH(ROWS($V$2:V9),$V$2:$V$1001,0),0), INDEX($AC$1004:$AS$1004,1,MATCH(COLUMNS($AC$1006:AN1006),$AC$1006:$AS$1006,0)))),"Fix")))</f>
        <v xml:space="preserve"> </v>
      </c>
      <c r="N9" s="4" t="str">
        <f ca="1">IF(OR(INDEX($W$2:$W$1001,MATCH(ROWS($V$2:V9),$V$2:$V$1001,0),1)&gt;=100000,INDEX($AC$1005:$AS$1005,1,MATCH(COLUMNS($AC$1006:AO1006),$AC$1006:$AS$1006,0))&gt;=100000), " ",IF(INDEX($AC$2:$AS$1001,MATCH(ROWS($V$2:V9),$V$2:$V$1001,0),MATCH(COLUMNS($AC$1006:AO1006),$AC$1006:$AS$1006,0)), HYPERLINK("#",""), HYPERLINK(CONCATENATE("#metadata!", ADDRESS(INDEX($X$2:$X$1001,MATCH(ROWS($V$2:V9),$V$2:$V$1001,0),0), INDEX($AC$1004:$AS$1004,1,MATCH(COLUMNS($AC$1006:AO1006),$AC$1006:$AS$1006,0)))),"Fix")))</f>
        <v xml:space="preserve"> </v>
      </c>
      <c r="O9" s="4" t="str">
        <f ca="1">IF(OR(INDEX($W$2:$W$1001,MATCH(ROWS($V$2:V9),$V$2:$V$1001,0),1)&gt;=100000,INDEX($AC$1005:$AS$1005,1,MATCH(COLUMNS($AC$1006:AP1006),$AC$1006:$AS$1006,0))&gt;=100000), " ",IF(INDEX($AC$2:$AS$1001,MATCH(ROWS($V$2:V9),$V$2:$V$1001,0),MATCH(COLUMNS($AC$1006:AP1006),$AC$1006:$AS$1006,0)), HYPERLINK("#",""), HYPERLINK(CONCATENATE("#metadata!", ADDRESS(INDEX($X$2:$X$1001,MATCH(ROWS($V$2:V9),$V$2:$V$1001,0),0), INDEX($AC$1004:$AS$1004,1,MATCH(COLUMNS($AC$1006:AP1006),$AC$1006:$AS$1006,0)))),"Fix")))</f>
        <v xml:space="preserve"> </v>
      </c>
      <c r="P9" s="4" t="str">
        <f ca="1">IF(OR(INDEX($W$2:$W$1001,MATCH(ROWS($V$2:V9),$V$2:$V$1001,0),1)&gt;=100000,INDEX($AC$1005:$AS$1005,1,MATCH(COLUMNS($AC$1006:AQ1006),$AC$1006:$AS$1006,0))&gt;=100000), " ",IF(INDEX($AC$2:$AS$1001,MATCH(ROWS($V$2:V9),$V$2:$V$1001,0),MATCH(COLUMNS($AC$1006:AQ1006),$AC$1006:$AS$1006,0)), HYPERLINK("#",""), HYPERLINK(CONCATENATE("#metadata!", ADDRESS(INDEX($X$2:$X$1001,MATCH(ROWS($V$2:V9),$V$2:$V$1001,0),0), INDEX($AC$1004:$AS$1004,1,MATCH(COLUMNS($AC$1006:AQ1006),$AC$1006:$AS$1006,0)))),"Fix")))</f>
        <v xml:space="preserve"> </v>
      </c>
      <c r="Q9" s="4" t="str">
        <f ca="1">IF(OR(INDEX($W$2:$W$1001,MATCH(ROWS($V$2:V9),$V$2:$V$1001,0),1)&gt;=100000,INDEX($AC$1005:$AS$1005,1,MATCH(COLUMNS($AC$1006:AR1006),$AC$1006:$AS$1006,0))&gt;=100000), " ",IF(INDEX($AC$2:$AS$1001,MATCH(ROWS($V$2:V9),$V$2:$V$1001,0),MATCH(COLUMNS($AC$1006:AR1006),$AC$1006:$AS$1006,0)), HYPERLINK("#",""), HYPERLINK(CONCATENATE("#metadata!", ADDRESS(INDEX($X$2:$X$1001,MATCH(ROWS($V$2:V9),$V$2:$V$1001,0),0), INDEX($AC$1004:$AS$1004,1,MATCH(COLUMNS($AC$1006:AR1006),$AC$1006:$AS$1006,0)))),"Fix")))</f>
        <v xml:space="preserve"> </v>
      </c>
      <c r="R9" s="4" t="str">
        <f ca="1">IF(OR(INDEX($W$2:$W$1001,MATCH(ROWS($V$2:V9),$V$2:$V$1001,0),1)&gt;=100000,INDEX($AC$1005:$AS$1005,1,MATCH(COLUMNS($AC$1006:AS1006),$AC$1006:$AS$1006,0))&gt;=100000), " ",IF(INDEX($AC$2:$AS$1001,MATCH(ROWS($V$2:V9),$V$2:$V$1001,0),MATCH(COLUMNS($AC$1006:AS1006),$AC$1006:$AS$1006,0)), HYPERLINK("#",""), HYPERLINK(CONCATENATE("#metadata!", ADDRESS(INDEX($X$2:$X$1001,MATCH(ROWS($V$2:V9),$V$2:$V$1001,0),0), INDEX($AC$1004:$AS$1004,1,MATCH(COLUMNS($AC$1006:AS1006),$AC$1006:$AS$1006,0)))),"Fix")))</f>
        <v xml:space="preserve"> </v>
      </c>
      <c r="V9">
        <v>8</v>
      </c>
      <c r="W9">
        <v>100009</v>
      </c>
      <c r="X9">
        <v>9</v>
      </c>
      <c r="Y9" t="b">
        <f t="shared" si="0"/>
        <v>1</v>
      </c>
      <c r="Z9" t="b">
        <f>COUNTBLANK(metadata!B9:R9)=COLUMNS(metadata!B9:R9)</f>
        <v>1</v>
      </c>
      <c r="AA9" t="str">
        <v/>
      </c>
      <c r="AC9" t="b">
        <f ca="1"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AD9" t="b">
        <f>IF(metadata!C9="",FALSE,ISNUMBER(VALUE(metadata!C9)))</f>
        <v>0</v>
      </c>
      <c r="AE9" t="b">
        <f>AND(IF(metadata!D9="",FALSE,TRUE),EXACT(metadata!D9,"years"))</f>
        <v>0</v>
      </c>
      <c r="AF9" t="b">
        <f>OR(AND(IF(metadata!E9="",FALSE,TRUE),OR(EXACT(metadata!E9,"not applicable"),EXACT(metadata!E9,"missing: not collected"),EXACT(metadata!E9,"missing: not provided"),EXACT(metadata!E9,"missing: restricted access"))),AND(IF(metadata!E9="",FALSE,ISNUMBER(VALUE(metadata!E9))),metadata!E9&gt;0))</f>
        <v>0</v>
      </c>
      <c r="AG9" t="b">
        <f>AND(IF(metadata!F9="",FALSE,TRUE),EXACT(metadata!F9,"Not applicable"))</f>
        <v>0</v>
      </c>
      <c r="AH9" t="b">
        <f>AND(IF(metadata!G9="",FALSE,TRUE),EXACT(metadata!G9,"urban biome"))</f>
        <v>0</v>
      </c>
      <c r="AI9" t="b">
        <f>AND(IF(metadata!H9="",FALSE,TRUE),EXACT(metadata!H9,"human-associated habitat"))</f>
        <v>0</v>
      </c>
      <c r="AJ9" t="b">
        <f>AND(IF(metadata!I9="",FALSE,TRUE),OR(EXACT(metadata!I9,"human-associated"),EXACT(metadata!I9,"human-skin"),EXACT(metadata!I9,"human-oral"),EXACT(metadata!I9,"human-gut"),EXACT(metadata!I9,"human-vaginal")))</f>
        <v>0</v>
      </c>
      <c r="AK9" t="b">
        <f>IF(metadata!J9="",FALSE,ISNUMBER(VALUE(metadata!J9)))</f>
        <v>0</v>
      </c>
      <c r="AL9" t="b">
        <f>AND(IF(metadata!K9="",FALSE,TRUE),EXACT(metadata!K9,"cm"))</f>
        <v>0</v>
      </c>
      <c r="AM9" t="b">
        <f>AND(IF(metadata!L9="",FALSE,TRUE),EXACT(metadata!L9,"human"))</f>
        <v>0</v>
      </c>
      <c r="AN9" t="b">
        <f>AND(IF(metadata!M9="",FALSE,TRUE),EXACT(metadata!M9,"Homo sapiens"))</f>
        <v>0</v>
      </c>
      <c r="AO9" t="b">
        <f>AND(IF(metadata!N9="",FALSE,TRUE),EXACT(metadata!N9,"9606"))</f>
        <v>0</v>
      </c>
      <c r="AP9" t="b">
        <f>IF(metadata!O9="",FALSE,TRUE)</f>
        <v>0</v>
      </c>
      <c r="AQ9" t="b">
        <f>IF(metadata!P9="",FALSE,TRUE)</f>
        <v>0</v>
      </c>
      <c r="AR9" t="b">
        <f>IF(metadata!Q9="",FALSE,ISNUMBER(VALUE(metadata!Q9)))</f>
        <v>0</v>
      </c>
      <c r="AS9" t="b">
        <f>AND(IF(metadata!R9="",FALSE,TRUE),EXACT(metadata!R9,"kg"))</f>
        <v>0</v>
      </c>
    </row>
    <row r="10" spans="1:45" x14ac:dyDescent="0.2">
      <c r="A10" s="5" t="str">
        <f ca="1">IF(B10=" "," ",HYPERLINK(CONCATENATE("#metadata!",ADDRESS(INDEX($X$2:$X$1001,MATCH(ROWS($V$2:V10),$V$2:$V$1001,0),0),1)),INDEX($AA$2:$AA$1001,MATCH(ROWS($V$2:V10),$V$2:$V$1001,0),0)))</f>
        <v xml:space="preserve"> </v>
      </c>
      <c r="B10" s="4" t="str">
        <f ca="1">IF(OR(INDEX($W$2:$W$1001,MATCH(ROWS($V$2:V10),$V$2:$V$1001,0),1)&gt;=100000,INDEX($AC$1005:$AS$1005,1,MATCH(COLUMNS($AC$1006:AC1006),$AC$1006:$AS$1006,0))&gt;=100000), " ",IF(INDEX($AC$2:$AS$1001,MATCH(ROWS($V$2:V10),$V$2:$V$1001,0),MATCH(COLUMNS($AC$1006:AC1006),$AC$1006:$AS$1006,0)), HYPERLINK("#",""), HYPERLINK(CONCATENATE("#metadata!", ADDRESS(INDEX($X$2:$X$1001,MATCH(ROWS($V$2:V10),$V$2:$V$1001,0),0), INDEX($AC$1004:$AS$1004,1,MATCH(COLUMNS($AC$1006:AC1006),$AC$1006:$AS$1006,0)))),"Fix")))</f>
        <v xml:space="preserve"> </v>
      </c>
      <c r="C10" s="4" t="str">
        <f ca="1">IF(OR(INDEX($W$2:$W$1001,MATCH(ROWS($V$2:V10),$V$2:$V$1001,0),1)&gt;=100000,INDEX($AC$1005:$AS$1005,1,MATCH(COLUMNS($AC$1006:AD1006),$AC$1006:$AS$1006,0))&gt;=100000), " ",IF(INDEX($AC$2:$AS$1001,MATCH(ROWS($V$2:V10),$V$2:$V$1001,0),MATCH(COLUMNS($AC$1006:AD1006),$AC$1006:$AS$1006,0)), HYPERLINK("#",""), HYPERLINK(CONCATENATE("#metadata!", ADDRESS(INDEX($X$2:$X$1001,MATCH(ROWS($V$2:V10),$V$2:$V$1001,0),0), INDEX($AC$1004:$AS$1004,1,MATCH(COLUMNS($AC$1006:AD1006),$AC$1006:$AS$1006,0)))),"Fix")))</f>
        <v xml:space="preserve"> </v>
      </c>
      <c r="D10" s="4" t="str">
        <f ca="1">IF(OR(INDEX($W$2:$W$1001,MATCH(ROWS($V$2:V10),$V$2:$V$1001,0),1)&gt;=100000,INDEX($AC$1005:$AS$1005,1,MATCH(COLUMNS($AC$1006:AE1006),$AC$1006:$AS$1006,0))&gt;=100000), " ",IF(INDEX($AC$2:$AS$1001,MATCH(ROWS($V$2:V10),$V$2:$V$1001,0),MATCH(COLUMNS($AC$1006:AE1006),$AC$1006:$AS$1006,0)), HYPERLINK("#",""), HYPERLINK(CONCATENATE("#metadata!", ADDRESS(INDEX($X$2:$X$1001,MATCH(ROWS($V$2:V10),$V$2:$V$1001,0),0), INDEX($AC$1004:$AS$1004,1,MATCH(COLUMNS($AC$1006:AE1006),$AC$1006:$AS$1006,0)))),"Fix")))</f>
        <v xml:space="preserve"> </v>
      </c>
      <c r="E10" s="4" t="str">
        <f ca="1">IF(OR(INDEX($W$2:$W$1001,MATCH(ROWS($V$2:V10),$V$2:$V$1001,0),1)&gt;=100000,INDEX($AC$1005:$AS$1005,1,MATCH(COLUMNS($AC$1006:AF1006),$AC$1006:$AS$1006,0))&gt;=100000), " ",IF(INDEX($AC$2:$AS$1001,MATCH(ROWS($V$2:V10),$V$2:$V$1001,0),MATCH(COLUMNS($AC$1006:AF1006),$AC$1006:$AS$1006,0)), HYPERLINK("#",""), HYPERLINK(CONCATENATE("#metadata!", ADDRESS(INDEX($X$2:$X$1001,MATCH(ROWS($V$2:V10),$V$2:$V$1001,0),0), INDEX($AC$1004:$AS$1004,1,MATCH(COLUMNS($AC$1006:AF1006),$AC$1006:$AS$1006,0)))),"Fix")))</f>
        <v xml:space="preserve"> </v>
      </c>
      <c r="F10" s="4" t="str">
        <f ca="1">IF(OR(INDEX($W$2:$W$1001,MATCH(ROWS($V$2:V10),$V$2:$V$1001,0),1)&gt;=100000,INDEX($AC$1005:$AS$1005,1,MATCH(COLUMNS($AC$1006:AG1006),$AC$1006:$AS$1006,0))&gt;=100000), " ",IF(INDEX($AC$2:$AS$1001,MATCH(ROWS($V$2:V10),$V$2:$V$1001,0),MATCH(COLUMNS($AC$1006:AG1006),$AC$1006:$AS$1006,0)), HYPERLINK("#",""), HYPERLINK(CONCATENATE("#metadata!", ADDRESS(INDEX($X$2:$X$1001,MATCH(ROWS($V$2:V10),$V$2:$V$1001,0),0), INDEX($AC$1004:$AS$1004,1,MATCH(COLUMNS($AC$1006:AG1006),$AC$1006:$AS$1006,0)))),"Fix")))</f>
        <v xml:space="preserve"> </v>
      </c>
      <c r="G10" s="4" t="str">
        <f ca="1">IF(OR(INDEX($W$2:$W$1001,MATCH(ROWS($V$2:V10),$V$2:$V$1001,0),1)&gt;=100000,INDEX($AC$1005:$AS$1005,1,MATCH(COLUMNS($AC$1006:AH1006),$AC$1006:$AS$1006,0))&gt;=100000), " ",IF(INDEX($AC$2:$AS$1001,MATCH(ROWS($V$2:V10),$V$2:$V$1001,0),MATCH(COLUMNS($AC$1006:AH1006),$AC$1006:$AS$1006,0)), HYPERLINK("#",""), HYPERLINK(CONCATENATE("#metadata!", ADDRESS(INDEX($X$2:$X$1001,MATCH(ROWS($V$2:V10),$V$2:$V$1001,0),0), INDEX($AC$1004:$AS$1004,1,MATCH(COLUMNS($AC$1006:AH1006),$AC$1006:$AS$1006,0)))),"Fix")))</f>
        <v xml:space="preserve"> </v>
      </c>
      <c r="H10" s="4" t="str">
        <f ca="1">IF(OR(INDEX($W$2:$W$1001,MATCH(ROWS($V$2:V10),$V$2:$V$1001,0),1)&gt;=100000,INDEX($AC$1005:$AS$1005,1,MATCH(COLUMNS($AC$1006:AI1006),$AC$1006:$AS$1006,0))&gt;=100000), " ",IF(INDEX($AC$2:$AS$1001,MATCH(ROWS($V$2:V10),$V$2:$V$1001,0),MATCH(COLUMNS($AC$1006:AI1006),$AC$1006:$AS$1006,0)), HYPERLINK("#",""), HYPERLINK(CONCATENATE("#metadata!", ADDRESS(INDEX($X$2:$X$1001,MATCH(ROWS($V$2:V10),$V$2:$V$1001,0),0), INDEX($AC$1004:$AS$1004,1,MATCH(COLUMNS($AC$1006:AI1006),$AC$1006:$AS$1006,0)))),"Fix")))</f>
        <v xml:space="preserve"> </v>
      </c>
      <c r="I10" s="4" t="str">
        <f ca="1">IF(OR(INDEX($W$2:$W$1001,MATCH(ROWS($V$2:V10),$V$2:$V$1001,0),1)&gt;=100000,INDEX($AC$1005:$AS$1005,1,MATCH(COLUMNS($AC$1006:AJ1006),$AC$1006:$AS$1006,0))&gt;=100000), " ",IF(INDEX($AC$2:$AS$1001,MATCH(ROWS($V$2:V10),$V$2:$V$1001,0),MATCH(COLUMNS($AC$1006:AJ1006),$AC$1006:$AS$1006,0)), HYPERLINK("#",""), HYPERLINK(CONCATENATE("#metadata!", ADDRESS(INDEX($X$2:$X$1001,MATCH(ROWS($V$2:V10),$V$2:$V$1001,0),0), INDEX($AC$1004:$AS$1004,1,MATCH(COLUMNS($AC$1006:AJ1006),$AC$1006:$AS$1006,0)))),"Fix")))</f>
        <v xml:space="preserve"> </v>
      </c>
      <c r="J10" s="4" t="str">
        <f ca="1">IF(OR(INDEX($W$2:$W$1001,MATCH(ROWS($V$2:V10),$V$2:$V$1001,0),1)&gt;=100000,INDEX($AC$1005:$AS$1005,1,MATCH(COLUMNS($AC$1006:AK1006),$AC$1006:$AS$1006,0))&gt;=100000), " ",IF(INDEX($AC$2:$AS$1001,MATCH(ROWS($V$2:V10),$V$2:$V$1001,0),MATCH(COLUMNS($AC$1006:AK1006),$AC$1006:$AS$1006,0)), HYPERLINK("#",""), HYPERLINK(CONCATENATE("#metadata!", ADDRESS(INDEX($X$2:$X$1001,MATCH(ROWS($V$2:V10),$V$2:$V$1001,0),0), INDEX($AC$1004:$AS$1004,1,MATCH(COLUMNS($AC$1006:AK1006),$AC$1006:$AS$1006,0)))),"Fix")))</f>
        <v xml:space="preserve"> </v>
      </c>
      <c r="K10" s="4" t="str">
        <f ca="1">IF(OR(INDEX($W$2:$W$1001,MATCH(ROWS($V$2:V10),$V$2:$V$1001,0),1)&gt;=100000,INDEX($AC$1005:$AS$1005,1,MATCH(COLUMNS($AC$1006:AL1006),$AC$1006:$AS$1006,0))&gt;=100000), " ",IF(INDEX($AC$2:$AS$1001,MATCH(ROWS($V$2:V10),$V$2:$V$1001,0),MATCH(COLUMNS($AC$1006:AL1006),$AC$1006:$AS$1006,0)), HYPERLINK("#",""), HYPERLINK(CONCATENATE("#metadata!", ADDRESS(INDEX($X$2:$X$1001,MATCH(ROWS($V$2:V10),$V$2:$V$1001,0),0), INDEX($AC$1004:$AS$1004,1,MATCH(COLUMNS($AC$1006:AL1006),$AC$1006:$AS$1006,0)))),"Fix")))</f>
        <v xml:space="preserve"> </v>
      </c>
      <c r="L10" s="4" t="str">
        <f ca="1">IF(OR(INDEX($W$2:$W$1001,MATCH(ROWS($V$2:V10),$V$2:$V$1001,0),1)&gt;=100000,INDEX($AC$1005:$AS$1005,1,MATCH(COLUMNS($AC$1006:AM1006),$AC$1006:$AS$1006,0))&gt;=100000), " ",IF(INDEX($AC$2:$AS$1001,MATCH(ROWS($V$2:V10),$V$2:$V$1001,0),MATCH(COLUMNS($AC$1006:AM1006),$AC$1006:$AS$1006,0)), HYPERLINK("#",""), HYPERLINK(CONCATENATE("#metadata!", ADDRESS(INDEX($X$2:$X$1001,MATCH(ROWS($V$2:V10),$V$2:$V$1001,0),0), INDEX($AC$1004:$AS$1004,1,MATCH(COLUMNS($AC$1006:AM1006),$AC$1006:$AS$1006,0)))),"Fix")))</f>
        <v xml:space="preserve"> </v>
      </c>
      <c r="M10" s="4" t="str">
        <f ca="1">IF(OR(INDEX($W$2:$W$1001,MATCH(ROWS($V$2:V10),$V$2:$V$1001,0),1)&gt;=100000,INDEX($AC$1005:$AS$1005,1,MATCH(COLUMNS($AC$1006:AN1006),$AC$1006:$AS$1006,0))&gt;=100000), " ",IF(INDEX($AC$2:$AS$1001,MATCH(ROWS($V$2:V10),$V$2:$V$1001,0),MATCH(COLUMNS($AC$1006:AN1006),$AC$1006:$AS$1006,0)), HYPERLINK("#",""), HYPERLINK(CONCATENATE("#metadata!", ADDRESS(INDEX($X$2:$X$1001,MATCH(ROWS($V$2:V10),$V$2:$V$1001,0),0), INDEX($AC$1004:$AS$1004,1,MATCH(COLUMNS($AC$1006:AN1006),$AC$1006:$AS$1006,0)))),"Fix")))</f>
        <v xml:space="preserve"> </v>
      </c>
      <c r="N10" s="4" t="str">
        <f ca="1">IF(OR(INDEX($W$2:$W$1001,MATCH(ROWS($V$2:V10),$V$2:$V$1001,0),1)&gt;=100000,INDEX($AC$1005:$AS$1005,1,MATCH(COLUMNS($AC$1006:AO1006),$AC$1006:$AS$1006,0))&gt;=100000), " ",IF(INDEX($AC$2:$AS$1001,MATCH(ROWS($V$2:V10),$V$2:$V$1001,0),MATCH(COLUMNS($AC$1006:AO1006),$AC$1006:$AS$1006,0)), HYPERLINK("#",""), HYPERLINK(CONCATENATE("#metadata!", ADDRESS(INDEX($X$2:$X$1001,MATCH(ROWS($V$2:V10),$V$2:$V$1001,0),0), INDEX($AC$1004:$AS$1004,1,MATCH(COLUMNS($AC$1006:AO1006),$AC$1006:$AS$1006,0)))),"Fix")))</f>
        <v xml:space="preserve"> </v>
      </c>
      <c r="O10" s="4" t="str">
        <f ca="1">IF(OR(INDEX($W$2:$W$1001,MATCH(ROWS($V$2:V10),$V$2:$V$1001,0),1)&gt;=100000,INDEX($AC$1005:$AS$1005,1,MATCH(COLUMNS($AC$1006:AP1006),$AC$1006:$AS$1006,0))&gt;=100000), " ",IF(INDEX($AC$2:$AS$1001,MATCH(ROWS($V$2:V10),$V$2:$V$1001,0),MATCH(COLUMNS($AC$1006:AP1006),$AC$1006:$AS$1006,0)), HYPERLINK("#",""), HYPERLINK(CONCATENATE("#metadata!", ADDRESS(INDEX($X$2:$X$1001,MATCH(ROWS($V$2:V10),$V$2:$V$1001,0),0), INDEX($AC$1004:$AS$1004,1,MATCH(COLUMNS($AC$1006:AP1006),$AC$1006:$AS$1006,0)))),"Fix")))</f>
        <v xml:space="preserve"> </v>
      </c>
      <c r="P10" s="4" t="str">
        <f ca="1">IF(OR(INDEX($W$2:$W$1001,MATCH(ROWS($V$2:V10),$V$2:$V$1001,0),1)&gt;=100000,INDEX($AC$1005:$AS$1005,1,MATCH(COLUMNS($AC$1006:AQ1006),$AC$1006:$AS$1006,0))&gt;=100000), " ",IF(INDEX($AC$2:$AS$1001,MATCH(ROWS($V$2:V10),$V$2:$V$1001,0),MATCH(COLUMNS($AC$1006:AQ1006),$AC$1006:$AS$1006,0)), HYPERLINK("#",""), HYPERLINK(CONCATENATE("#metadata!", ADDRESS(INDEX($X$2:$X$1001,MATCH(ROWS($V$2:V10),$V$2:$V$1001,0),0), INDEX($AC$1004:$AS$1004,1,MATCH(COLUMNS($AC$1006:AQ1006),$AC$1006:$AS$1006,0)))),"Fix")))</f>
        <v xml:space="preserve"> </v>
      </c>
      <c r="Q10" s="4" t="str">
        <f ca="1">IF(OR(INDEX($W$2:$W$1001,MATCH(ROWS($V$2:V10),$V$2:$V$1001,0),1)&gt;=100000,INDEX($AC$1005:$AS$1005,1,MATCH(COLUMNS($AC$1006:AR1006),$AC$1006:$AS$1006,0))&gt;=100000), " ",IF(INDEX($AC$2:$AS$1001,MATCH(ROWS($V$2:V10),$V$2:$V$1001,0),MATCH(COLUMNS($AC$1006:AR1006),$AC$1006:$AS$1006,0)), HYPERLINK("#",""), HYPERLINK(CONCATENATE("#metadata!", ADDRESS(INDEX($X$2:$X$1001,MATCH(ROWS($V$2:V10),$V$2:$V$1001,0),0), INDEX($AC$1004:$AS$1004,1,MATCH(COLUMNS($AC$1006:AR1006),$AC$1006:$AS$1006,0)))),"Fix")))</f>
        <v xml:space="preserve"> </v>
      </c>
      <c r="R10" s="4" t="str">
        <f ca="1">IF(OR(INDEX($W$2:$W$1001,MATCH(ROWS($V$2:V10),$V$2:$V$1001,0),1)&gt;=100000,INDEX($AC$1005:$AS$1005,1,MATCH(COLUMNS($AC$1006:AS1006),$AC$1006:$AS$1006,0))&gt;=100000), " ",IF(INDEX($AC$2:$AS$1001,MATCH(ROWS($V$2:V10),$V$2:$V$1001,0),MATCH(COLUMNS($AC$1006:AS1006),$AC$1006:$AS$1006,0)), HYPERLINK("#",""), HYPERLINK(CONCATENATE("#metadata!", ADDRESS(INDEX($X$2:$X$1001,MATCH(ROWS($V$2:V10),$V$2:$V$1001,0),0), INDEX($AC$1004:$AS$1004,1,MATCH(COLUMNS($AC$1006:AS1006),$AC$1006:$AS$1006,0)))),"Fix")))</f>
        <v xml:space="preserve"> </v>
      </c>
      <c r="V10">
        <v>9</v>
      </c>
      <c r="W10">
        <v>100010</v>
      </c>
      <c r="X10">
        <v>10</v>
      </c>
      <c r="Y10" t="b">
        <f t="shared" si="0"/>
        <v>1</v>
      </c>
      <c r="Z10" t="b">
        <f>COUNTBLANK(metadata!B10:R10)=COLUMNS(metadata!B10:R10)</f>
        <v>1</v>
      </c>
      <c r="AA10" t="str">
        <v/>
      </c>
      <c r="AC10" t="b">
        <f ca="1"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AD10" t="b">
        <f>IF(metadata!C10="",FALSE,ISNUMBER(VALUE(metadata!C10)))</f>
        <v>0</v>
      </c>
      <c r="AE10" t="b">
        <f>AND(IF(metadata!D10="",FALSE,TRUE),EXACT(metadata!D10,"years"))</f>
        <v>0</v>
      </c>
      <c r="AF10" t="b">
        <f>OR(AND(IF(metadata!E10="",FALSE,TRUE),OR(EXACT(metadata!E10,"not applicable"),EXACT(metadata!E10,"missing: not collected"),EXACT(metadata!E10,"missing: not provided"),EXACT(metadata!E10,"missing: restricted access"))),AND(IF(metadata!E10="",FALSE,ISNUMBER(VALUE(metadata!E10))),metadata!E10&gt;0))</f>
        <v>0</v>
      </c>
      <c r="AG10" t="b">
        <f>AND(IF(metadata!F10="",FALSE,TRUE),EXACT(metadata!F10,"Not applicable"))</f>
        <v>0</v>
      </c>
      <c r="AH10" t="b">
        <f>AND(IF(metadata!G10="",FALSE,TRUE),EXACT(metadata!G10,"urban biome"))</f>
        <v>0</v>
      </c>
      <c r="AI10" t="b">
        <f>AND(IF(metadata!H10="",FALSE,TRUE),EXACT(metadata!H10,"human-associated habitat"))</f>
        <v>0</v>
      </c>
      <c r="AJ10" t="b">
        <f>AND(IF(metadata!I10="",FALSE,TRUE),OR(EXACT(metadata!I10,"human-associated"),EXACT(metadata!I10,"human-skin"),EXACT(metadata!I10,"human-oral"),EXACT(metadata!I10,"human-gut"),EXACT(metadata!I10,"human-vaginal")))</f>
        <v>0</v>
      </c>
      <c r="AK10" t="b">
        <f>IF(metadata!J10="",FALSE,ISNUMBER(VALUE(metadata!J10)))</f>
        <v>0</v>
      </c>
      <c r="AL10" t="b">
        <f>AND(IF(metadata!K10="",FALSE,TRUE),EXACT(metadata!K10,"cm"))</f>
        <v>0</v>
      </c>
      <c r="AM10" t="b">
        <f>AND(IF(metadata!L10="",FALSE,TRUE),EXACT(metadata!L10,"human"))</f>
        <v>0</v>
      </c>
      <c r="AN10" t="b">
        <f>AND(IF(metadata!M10="",FALSE,TRUE),EXACT(metadata!M10,"Homo sapiens"))</f>
        <v>0</v>
      </c>
      <c r="AO10" t="b">
        <f>AND(IF(metadata!N10="",FALSE,TRUE),EXACT(metadata!N10,"9606"))</f>
        <v>0</v>
      </c>
      <c r="AP10" t="b">
        <f>IF(metadata!O10="",FALSE,TRUE)</f>
        <v>0</v>
      </c>
      <c r="AQ10" t="b">
        <f>IF(metadata!P10="",FALSE,TRUE)</f>
        <v>0</v>
      </c>
      <c r="AR10" t="b">
        <f>IF(metadata!Q10="",FALSE,ISNUMBER(VALUE(metadata!Q10)))</f>
        <v>0</v>
      </c>
      <c r="AS10" t="b">
        <f>AND(IF(metadata!R10="",FALSE,TRUE),EXACT(metadata!R10,"kg"))</f>
        <v>0</v>
      </c>
    </row>
    <row r="11" spans="1:45" x14ac:dyDescent="0.2">
      <c r="A11" s="5" t="str">
        <f ca="1">IF(B11=" "," ",HYPERLINK(CONCATENATE("#metadata!",ADDRESS(INDEX($X$2:$X$1001,MATCH(ROWS($V$2:V11),$V$2:$V$1001,0),0),1)),INDEX($AA$2:$AA$1001,MATCH(ROWS($V$2:V11),$V$2:$V$1001,0),0)))</f>
        <v xml:space="preserve"> </v>
      </c>
      <c r="B11" s="4" t="str">
        <f ca="1">IF(OR(INDEX($W$2:$W$1001,MATCH(ROWS($V$2:V11),$V$2:$V$1001,0),1)&gt;=100000,INDEX($AC$1005:$AS$1005,1,MATCH(COLUMNS($AC$1006:AC1006),$AC$1006:$AS$1006,0))&gt;=100000), " ",IF(INDEX($AC$2:$AS$1001,MATCH(ROWS($V$2:V11),$V$2:$V$1001,0),MATCH(COLUMNS($AC$1006:AC1006),$AC$1006:$AS$1006,0)), HYPERLINK("#",""), HYPERLINK(CONCATENATE("#metadata!", ADDRESS(INDEX($X$2:$X$1001,MATCH(ROWS($V$2:V11),$V$2:$V$1001,0),0), INDEX($AC$1004:$AS$1004,1,MATCH(COLUMNS($AC$1006:AC1006),$AC$1006:$AS$1006,0)))),"Fix")))</f>
        <v xml:space="preserve"> </v>
      </c>
      <c r="C11" s="4" t="str">
        <f ca="1">IF(OR(INDEX($W$2:$W$1001,MATCH(ROWS($V$2:V11),$V$2:$V$1001,0),1)&gt;=100000,INDEX($AC$1005:$AS$1005,1,MATCH(COLUMNS($AC$1006:AD1006),$AC$1006:$AS$1006,0))&gt;=100000), " ",IF(INDEX($AC$2:$AS$1001,MATCH(ROWS($V$2:V11),$V$2:$V$1001,0),MATCH(COLUMNS($AC$1006:AD1006),$AC$1006:$AS$1006,0)), HYPERLINK("#",""), HYPERLINK(CONCATENATE("#metadata!", ADDRESS(INDEX($X$2:$X$1001,MATCH(ROWS($V$2:V11),$V$2:$V$1001,0),0), INDEX($AC$1004:$AS$1004,1,MATCH(COLUMNS($AC$1006:AD1006),$AC$1006:$AS$1006,0)))),"Fix")))</f>
        <v xml:space="preserve"> </v>
      </c>
      <c r="D11" s="4" t="str">
        <f ca="1">IF(OR(INDEX($W$2:$W$1001,MATCH(ROWS($V$2:V11),$V$2:$V$1001,0),1)&gt;=100000,INDEX($AC$1005:$AS$1005,1,MATCH(COLUMNS($AC$1006:AE1006),$AC$1006:$AS$1006,0))&gt;=100000), " ",IF(INDEX($AC$2:$AS$1001,MATCH(ROWS($V$2:V11),$V$2:$V$1001,0),MATCH(COLUMNS($AC$1006:AE1006),$AC$1006:$AS$1006,0)), HYPERLINK("#",""), HYPERLINK(CONCATENATE("#metadata!", ADDRESS(INDEX($X$2:$X$1001,MATCH(ROWS($V$2:V11),$V$2:$V$1001,0),0), INDEX($AC$1004:$AS$1004,1,MATCH(COLUMNS($AC$1006:AE1006),$AC$1006:$AS$1006,0)))),"Fix")))</f>
        <v xml:space="preserve"> </v>
      </c>
      <c r="E11" s="4" t="str">
        <f ca="1">IF(OR(INDEX($W$2:$W$1001,MATCH(ROWS($V$2:V11),$V$2:$V$1001,0),1)&gt;=100000,INDEX($AC$1005:$AS$1005,1,MATCH(COLUMNS($AC$1006:AF1006),$AC$1006:$AS$1006,0))&gt;=100000), " ",IF(INDEX($AC$2:$AS$1001,MATCH(ROWS($V$2:V11),$V$2:$V$1001,0),MATCH(COLUMNS($AC$1006:AF1006),$AC$1006:$AS$1006,0)), HYPERLINK("#",""), HYPERLINK(CONCATENATE("#metadata!", ADDRESS(INDEX($X$2:$X$1001,MATCH(ROWS($V$2:V11),$V$2:$V$1001,0),0), INDEX($AC$1004:$AS$1004,1,MATCH(COLUMNS($AC$1006:AF1006),$AC$1006:$AS$1006,0)))),"Fix")))</f>
        <v xml:space="preserve"> </v>
      </c>
      <c r="F11" s="4" t="str">
        <f ca="1">IF(OR(INDEX($W$2:$W$1001,MATCH(ROWS($V$2:V11),$V$2:$V$1001,0),1)&gt;=100000,INDEX($AC$1005:$AS$1005,1,MATCH(COLUMNS($AC$1006:AG1006),$AC$1006:$AS$1006,0))&gt;=100000), " ",IF(INDEX($AC$2:$AS$1001,MATCH(ROWS($V$2:V11),$V$2:$V$1001,0),MATCH(COLUMNS($AC$1006:AG1006),$AC$1006:$AS$1006,0)), HYPERLINK("#",""), HYPERLINK(CONCATENATE("#metadata!", ADDRESS(INDEX($X$2:$X$1001,MATCH(ROWS($V$2:V11),$V$2:$V$1001,0),0), INDEX($AC$1004:$AS$1004,1,MATCH(COLUMNS($AC$1006:AG1006),$AC$1006:$AS$1006,0)))),"Fix")))</f>
        <v xml:space="preserve"> </v>
      </c>
      <c r="G11" s="4" t="str">
        <f ca="1">IF(OR(INDEX($W$2:$W$1001,MATCH(ROWS($V$2:V11),$V$2:$V$1001,0),1)&gt;=100000,INDEX($AC$1005:$AS$1005,1,MATCH(COLUMNS($AC$1006:AH1006),$AC$1006:$AS$1006,0))&gt;=100000), " ",IF(INDEX($AC$2:$AS$1001,MATCH(ROWS($V$2:V11),$V$2:$V$1001,0),MATCH(COLUMNS($AC$1006:AH1006),$AC$1006:$AS$1006,0)), HYPERLINK("#",""), HYPERLINK(CONCATENATE("#metadata!", ADDRESS(INDEX($X$2:$X$1001,MATCH(ROWS($V$2:V11),$V$2:$V$1001,0),0), INDEX($AC$1004:$AS$1004,1,MATCH(COLUMNS($AC$1006:AH1006),$AC$1006:$AS$1006,0)))),"Fix")))</f>
        <v xml:space="preserve"> </v>
      </c>
      <c r="H11" s="4" t="str">
        <f ca="1">IF(OR(INDEX($W$2:$W$1001,MATCH(ROWS($V$2:V11),$V$2:$V$1001,0),1)&gt;=100000,INDEX($AC$1005:$AS$1005,1,MATCH(COLUMNS($AC$1006:AI1006),$AC$1006:$AS$1006,0))&gt;=100000), " ",IF(INDEX($AC$2:$AS$1001,MATCH(ROWS($V$2:V11),$V$2:$V$1001,0),MATCH(COLUMNS($AC$1006:AI1006),$AC$1006:$AS$1006,0)), HYPERLINK("#",""), HYPERLINK(CONCATENATE("#metadata!", ADDRESS(INDEX($X$2:$X$1001,MATCH(ROWS($V$2:V11),$V$2:$V$1001,0),0), INDEX($AC$1004:$AS$1004,1,MATCH(COLUMNS($AC$1006:AI1006),$AC$1006:$AS$1006,0)))),"Fix")))</f>
        <v xml:space="preserve"> </v>
      </c>
      <c r="I11" s="4" t="str">
        <f ca="1">IF(OR(INDEX($W$2:$W$1001,MATCH(ROWS($V$2:V11),$V$2:$V$1001,0),1)&gt;=100000,INDEX($AC$1005:$AS$1005,1,MATCH(COLUMNS($AC$1006:AJ1006),$AC$1006:$AS$1006,0))&gt;=100000), " ",IF(INDEX($AC$2:$AS$1001,MATCH(ROWS($V$2:V11),$V$2:$V$1001,0),MATCH(COLUMNS($AC$1006:AJ1006),$AC$1006:$AS$1006,0)), HYPERLINK("#",""), HYPERLINK(CONCATENATE("#metadata!", ADDRESS(INDEX($X$2:$X$1001,MATCH(ROWS($V$2:V11),$V$2:$V$1001,0),0), INDEX($AC$1004:$AS$1004,1,MATCH(COLUMNS($AC$1006:AJ1006),$AC$1006:$AS$1006,0)))),"Fix")))</f>
        <v xml:space="preserve"> </v>
      </c>
      <c r="J11" s="4" t="str">
        <f ca="1">IF(OR(INDEX($W$2:$W$1001,MATCH(ROWS($V$2:V11),$V$2:$V$1001,0),1)&gt;=100000,INDEX($AC$1005:$AS$1005,1,MATCH(COLUMNS($AC$1006:AK1006),$AC$1006:$AS$1006,0))&gt;=100000), " ",IF(INDEX($AC$2:$AS$1001,MATCH(ROWS($V$2:V11),$V$2:$V$1001,0),MATCH(COLUMNS($AC$1006:AK1006),$AC$1006:$AS$1006,0)), HYPERLINK("#",""), HYPERLINK(CONCATENATE("#metadata!", ADDRESS(INDEX($X$2:$X$1001,MATCH(ROWS($V$2:V11),$V$2:$V$1001,0),0), INDEX($AC$1004:$AS$1004,1,MATCH(COLUMNS($AC$1006:AK1006),$AC$1006:$AS$1006,0)))),"Fix")))</f>
        <v xml:space="preserve"> </v>
      </c>
      <c r="K11" s="4" t="str">
        <f ca="1">IF(OR(INDEX($W$2:$W$1001,MATCH(ROWS($V$2:V11),$V$2:$V$1001,0),1)&gt;=100000,INDEX($AC$1005:$AS$1005,1,MATCH(COLUMNS($AC$1006:AL1006),$AC$1006:$AS$1006,0))&gt;=100000), " ",IF(INDEX($AC$2:$AS$1001,MATCH(ROWS($V$2:V11),$V$2:$V$1001,0),MATCH(COLUMNS($AC$1006:AL1006),$AC$1006:$AS$1006,0)), HYPERLINK("#",""), HYPERLINK(CONCATENATE("#metadata!", ADDRESS(INDEX($X$2:$X$1001,MATCH(ROWS($V$2:V11),$V$2:$V$1001,0),0), INDEX($AC$1004:$AS$1004,1,MATCH(COLUMNS($AC$1006:AL1006),$AC$1006:$AS$1006,0)))),"Fix")))</f>
        <v xml:space="preserve"> </v>
      </c>
      <c r="L11" s="4" t="str">
        <f ca="1">IF(OR(INDEX($W$2:$W$1001,MATCH(ROWS($V$2:V11),$V$2:$V$1001,0),1)&gt;=100000,INDEX($AC$1005:$AS$1005,1,MATCH(COLUMNS($AC$1006:AM1006),$AC$1006:$AS$1006,0))&gt;=100000), " ",IF(INDEX($AC$2:$AS$1001,MATCH(ROWS($V$2:V11),$V$2:$V$1001,0),MATCH(COLUMNS($AC$1006:AM1006),$AC$1006:$AS$1006,0)), HYPERLINK("#",""), HYPERLINK(CONCATENATE("#metadata!", ADDRESS(INDEX($X$2:$X$1001,MATCH(ROWS($V$2:V11),$V$2:$V$1001,0),0), INDEX($AC$1004:$AS$1004,1,MATCH(COLUMNS($AC$1006:AM1006),$AC$1006:$AS$1006,0)))),"Fix")))</f>
        <v xml:space="preserve"> </v>
      </c>
      <c r="M11" s="4" t="str">
        <f ca="1">IF(OR(INDEX($W$2:$W$1001,MATCH(ROWS($V$2:V11),$V$2:$V$1001,0),1)&gt;=100000,INDEX($AC$1005:$AS$1005,1,MATCH(COLUMNS($AC$1006:AN1006),$AC$1006:$AS$1006,0))&gt;=100000), " ",IF(INDEX($AC$2:$AS$1001,MATCH(ROWS($V$2:V11),$V$2:$V$1001,0),MATCH(COLUMNS($AC$1006:AN1006),$AC$1006:$AS$1006,0)), HYPERLINK("#",""), HYPERLINK(CONCATENATE("#metadata!", ADDRESS(INDEX($X$2:$X$1001,MATCH(ROWS($V$2:V11),$V$2:$V$1001,0),0), INDEX($AC$1004:$AS$1004,1,MATCH(COLUMNS($AC$1006:AN1006),$AC$1006:$AS$1006,0)))),"Fix")))</f>
        <v xml:space="preserve"> </v>
      </c>
      <c r="N11" s="4" t="str">
        <f ca="1">IF(OR(INDEX($W$2:$W$1001,MATCH(ROWS($V$2:V11),$V$2:$V$1001,0),1)&gt;=100000,INDEX($AC$1005:$AS$1005,1,MATCH(COLUMNS($AC$1006:AO1006),$AC$1006:$AS$1006,0))&gt;=100000), " ",IF(INDEX($AC$2:$AS$1001,MATCH(ROWS($V$2:V11),$V$2:$V$1001,0),MATCH(COLUMNS($AC$1006:AO1006),$AC$1006:$AS$1006,0)), HYPERLINK("#",""), HYPERLINK(CONCATENATE("#metadata!", ADDRESS(INDEX($X$2:$X$1001,MATCH(ROWS($V$2:V11),$V$2:$V$1001,0),0), INDEX($AC$1004:$AS$1004,1,MATCH(COLUMNS($AC$1006:AO1006),$AC$1006:$AS$1006,0)))),"Fix")))</f>
        <v xml:space="preserve"> </v>
      </c>
      <c r="O11" s="4" t="str">
        <f ca="1">IF(OR(INDEX($W$2:$W$1001,MATCH(ROWS($V$2:V11),$V$2:$V$1001,0),1)&gt;=100000,INDEX($AC$1005:$AS$1005,1,MATCH(COLUMNS($AC$1006:AP1006),$AC$1006:$AS$1006,0))&gt;=100000), " ",IF(INDEX($AC$2:$AS$1001,MATCH(ROWS($V$2:V11),$V$2:$V$1001,0),MATCH(COLUMNS($AC$1006:AP1006),$AC$1006:$AS$1006,0)), HYPERLINK("#",""), HYPERLINK(CONCATENATE("#metadata!", ADDRESS(INDEX($X$2:$X$1001,MATCH(ROWS($V$2:V11),$V$2:$V$1001,0),0), INDEX($AC$1004:$AS$1004,1,MATCH(COLUMNS($AC$1006:AP1006),$AC$1006:$AS$1006,0)))),"Fix")))</f>
        <v xml:space="preserve"> </v>
      </c>
      <c r="P11" s="4" t="str">
        <f ca="1">IF(OR(INDEX($W$2:$W$1001,MATCH(ROWS($V$2:V11),$V$2:$V$1001,0),1)&gt;=100000,INDEX($AC$1005:$AS$1005,1,MATCH(COLUMNS($AC$1006:AQ1006),$AC$1006:$AS$1006,0))&gt;=100000), " ",IF(INDEX($AC$2:$AS$1001,MATCH(ROWS($V$2:V11),$V$2:$V$1001,0),MATCH(COLUMNS($AC$1006:AQ1006),$AC$1006:$AS$1006,0)), HYPERLINK("#",""), HYPERLINK(CONCATENATE("#metadata!", ADDRESS(INDEX($X$2:$X$1001,MATCH(ROWS($V$2:V11),$V$2:$V$1001,0),0), INDEX($AC$1004:$AS$1004,1,MATCH(COLUMNS($AC$1006:AQ1006),$AC$1006:$AS$1006,0)))),"Fix")))</f>
        <v xml:space="preserve"> </v>
      </c>
      <c r="Q11" s="4" t="str">
        <f ca="1">IF(OR(INDEX($W$2:$W$1001,MATCH(ROWS($V$2:V11),$V$2:$V$1001,0),1)&gt;=100000,INDEX($AC$1005:$AS$1005,1,MATCH(COLUMNS($AC$1006:AR1006),$AC$1006:$AS$1006,0))&gt;=100000), " ",IF(INDEX($AC$2:$AS$1001,MATCH(ROWS($V$2:V11),$V$2:$V$1001,0),MATCH(COLUMNS($AC$1006:AR1006),$AC$1006:$AS$1006,0)), HYPERLINK("#",""), HYPERLINK(CONCATENATE("#metadata!", ADDRESS(INDEX($X$2:$X$1001,MATCH(ROWS($V$2:V11),$V$2:$V$1001,0),0), INDEX($AC$1004:$AS$1004,1,MATCH(COLUMNS($AC$1006:AR1006),$AC$1006:$AS$1006,0)))),"Fix")))</f>
        <v xml:space="preserve"> </v>
      </c>
      <c r="R11" s="4" t="str">
        <f ca="1">IF(OR(INDEX($W$2:$W$1001,MATCH(ROWS($V$2:V11),$V$2:$V$1001,0),1)&gt;=100000,INDEX($AC$1005:$AS$1005,1,MATCH(COLUMNS($AC$1006:AS1006),$AC$1006:$AS$1006,0))&gt;=100000), " ",IF(INDEX($AC$2:$AS$1001,MATCH(ROWS($V$2:V11),$V$2:$V$1001,0),MATCH(COLUMNS($AC$1006:AS1006),$AC$1006:$AS$1006,0)), HYPERLINK("#",""), HYPERLINK(CONCATENATE("#metadata!", ADDRESS(INDEX($X$2:$X$1001,MATCH(ROWS($V$2:V11),$V$2:$V$1001,0),0), INDEX($AC$1004:$AS$1004,1,MATCH(COLUMNS($AC$1006:AS1006),$AC$1006:$AS$1006,0)))),"Fix")))</f>
        <v xml:space="preserve"> </v>
      </c>
      <c r="V11">
        <v>10</v>
      </c>
      <c r="W11">
        <v>100011</v>
      </c>
      <c r="X11">
        <v>11</v>
      </c>
      <c r="Y11" t="b">
        <f t="shared" si="0"/>
        <v>1</v>
      </c>
      <c r="Z11" t="b">
        <f>COUNTBLANK(metadata!B11:R11)=COLUMNS(metadata!B11:R11)</f>
        <v>1</v>
      </c>
      <c r="AA11" t="str">
        <v/>
      </c>
      <c r="AC11" t="b">
        <f ca="1"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AD11" t="b">
        <f>IF(metadata!C11="",FALSE,ISNUMBER(VALUE(metadata!C11)))</f>
        <v>0</v>
      </c>
      <c r="AE11" t="b">
        <f>AND(IF(metadata!D11="",FALSE,TRUE),EXACT(metadata!D11,"years"))</f>
        <v>0</v>
      </c>
      <c r="AF11" t="b">
        <f>OR(AND(IF(metadata!E11="",FALSE,TRUE),OR(EXACT(metadata!E11,"not applicable"),EXACT(metadata!E11,"missing: not collected"),EXACT(metadata!E11,"missing: not provided"),EXACT(metadata!E11,"missing: restricted access"))),AND(IF(metadata!E11="",FALSE,ISNUMBER(VALUE(metadata!E11))),metadata!E11&gt;0))</f>
        <v>0</v>
      </c>
      <c r="AG11" t="b">
        <f>AND(IF(metadata!F11="",FALSE,TRUE),EXACT(metadata!F11,"Not applicable"))</f>
        <v>0</v>
      </c>
      <c r="AH11" t="b">
        <f>AND(IF(metadata!G11="",FALSE,TRUE),EXACT(metadata!G11,"urban biome"))</f>
        <v>0</v>
      </c>
      <c r="AI11" t="b">
        <f>AND(IF(metadata!H11="",FALSE,TRUE),EXACT(metadata!H11,"human-associated habitat"))</f>
        <v>0</v>
      </c>
      <c r="AJ11" t="b">
        <f>AND(IF(metadata!I11="",FALSE,TRUE),OR(EXACT(metadata!I11,"human-associated"),EXACT(metadata!I11,"human-skin"),EXACT(metadata!I11,"human-oral"),EXACT(metadata!I11,"human-gut"),EXACT(metadata!I11,"human-vaginal")))</f>
        <v>0</v>
      </c>
      <c r="AK11" t="b">
        <f>IF(metadata!J11="",FALSE,ISNUMBER(VALUE(metadata!J11)))</f>
        <v>0</v>
      </c>
      <c r="AL11" t="b">
        <f>AND(IF(metadata!K11="",FALSE,TRUE),EXACT(metadata!K11,"cm"))</f>
        <v>0</v>
      </c>
      <c r="AM11" t="b">
        <f>AND(IF(metadata!L11="",FALSE,TRUE),EXACT(metadata!L11,"human"))</f>
        <v>0</v>
      </c>
      <c r="AN11" t="b">
        <f>AND(IF(metadata!M11="",FALSE,TRUE),EXACT(metadata!M11,"Homo sapiens"))</f>
        <v>0</v>
      </c>
      <c r="AO11" t="b">
        <f>AND(IF(metadata!N11="",FALSE,TRUE),EXACT(metadata!N11,"9606"))</f>
        <v>0</v>
      </c>
      <c r="AP11" t="b">
        <f>IF(metadata!O11="",FALSE,TRUE)</f>
        <v>0</v>
      </c>
      <c r="AQ11" t="b">
        <f>IF(metadata!P11="",FALSE,TRUE)</f>
        <v>0</v>
      </c>
      <c r="AR11" t="b">
        <f>IF(metadata!Q11="",FALSE,ISNUMBER(VALUE(metadata!Q11)))</f>
        <v>0</v>
      </c>
      <c r="AS11" t="b">
        <f>AND(IF(metadata!R11="",FALSE,TRUE),EXACT(metadata!R11,"kg"))</f>
        <v>0</v>
      </c>
    </row>
    <row r="12" spans="1:45" x14ac:dyDescent="0.2">
      <c r="A12" s="5" t="str">
        <f ca="1">IF(B12=" "," ",HYPERLINK(CONCATENATE("#metadata!",ADDRESS(INDEX($X$2:$X$1001,MATCH(ROWS($V$2:V12),$V$2:$V$1001,0),0),1)),INDEX($AA$2:$AA$1001,MATCH(ROWS($V$2:V12),$V$2:$V$1001,0),0)))</f>
        <v xml:space="preserve"> </v>
      </c>
      <c r="B12" s="4" t="str">
        <f ca="1">IF(OR(INDEX($W$2:$W$1001,MATCH(ROWS($V$2:V12),$V$2:$V$1001,0),1)&gt;=100000,INDEX($AC$1005:$AS$1005,1,MATCH(COLUMNS($AC$1006:AC1006),$AC$1006:$AS$1006,0))&gt;=100000), " ",IF(INDEX($AC$2:$AS$1001,MATCH(ROWS($V$2:V12),$V$2:$V$1001,0),MATCH(COLUMNS($AC$1006:AC1006),$AC$1006:$AS$1006,0)), HYPERLINK("#",""), HYPERLINK(CONCATENATE("#metadata!", ADDRESS(INDEX($X$2:$X$1001,MATCH(ROWS($V$2:V12),$V$2:$V$1001,0),0), INDEX($AC$1004:$AS$1004,1,MATCH(COLUMNS($AC$1006:AC1006),$AC$1006:$AS$1006,0)))),"Fix")))</f>
        <v xml:space="preserve"> </v>
      </c>
      <c r="C12" s="4" t="str">
        <f ca="1">IF(OR(INDEX($W$2:$W$1001,MATCH(ROWS($V$2:V12),$V$2:$V$1001,0),1)&gt;=100000,INDEX($AC$1005:$AS$1005,1,MATCH(COLUMNS($AC$1006:AD1006),$AC$1006:$AS$1006,0))&gt;=100000), " ",IF(INDEX($AC$2:$AS$1001,MATCH(ROWS($V$2:V12),$V$2:$V$1001,0),MATCH(COLUMNS($AC$1006:AD1006),$AC$1006:$AS$1006,0)), HYPERLINK("#",""), HYPERLINK(CONCATENATE("#metadata!", ADDRESS(INDEX($X$2:$X$1001,MATCH(ROWS($V$2:V12),$V$2:$V$1001,0),0), INDEX($AC$1004:$AS$1004,1,MATCH(COLUMNS($AC$1006:AD1006),$AC$1006:$AS$1006,0)))),"Fix")))</f>
        <v xml:space="preserve"> </v>
      </c>
      <c r="D12" s="4" t="str">
        <f ca="1">IF(OR(INDEX($W$2:$W$1001,MATCH(ROWS($V$2:V12),$V$2:$V$1001,0),1)&gt;=100000,INDEX($AC$1005:$AS$1005,1,MATCH(COLUMNS($AC$1006:AE1006),$AC$1006:$AS$1006,0))&gt;=100000), " ",IF(INDEX($AC$2:$AS$1001,MATCH(ROWS($V$2:V12),$V$2:$V$1001,0),MATCH(COLUMNS($AC$1006:AE1006),$AC$1006:$AS$1006,0)), HYPERLINK("#",""), HYPERLINK(CONCATENATE("#metadata!", ADDRESS(INDEX($X$2:$X$1001,MATCH(ROWS($V$2:V12),$V$2:$V$1001,0),0), INDEX($AC$1004:$AS$1004,1,MATCH(COLUMNS($AC$1006:AE1006),$AC$1006:$AS$1006,0)))),"Fix")))</f>
        <v xml:space="preserve"> </v>
      </c>
      <c r="E12" s="4" t="str">
        <f ca="1">IF(OR(INDEX($W$2:$W$1001,MATCH(ROWS($V$2:V12),$V$2:$V$1001,0),1)&gt;=100000,INDEX($AC$1005:$AS$1005,1,MATCH(COLUMNS($AC$1006:AF1006),$AC$1006:$AS$1006,0))&gt;=100000), " ",IF(INDEX($AC$2:$AS$1001,MATCH(ROWS($V$2:V12),$V$2:$V$1001,0),MATCH(COLUMNS($AC$1006:AF1006),$AC$1006:$AS$1006,0)), HYPERLINK("#",""), HYPERLINK(CONCATENATE("#metadata!", ADDRESS(INDEX($X$2:$X$1001,MATCH(ROWS($V$2:V12),$V$2:$V$1001,0),0), INDEX($AC$1004:$AS$1004,1,MATCH(COLUMNS($AC$1006:AF1006),$AC$1006:$AS$1006,0)))),"Fix")))</f>
        <v xml:space="preserve"> </v>
      </c>
      <c r="F12" s="4" t="str">
        <f ca="1">IF(OR(INDEX($W$2:$W$1001,MATCH(ROWS($V$2:V12),$V$2:$V$1001,0),1)&gt;=100000,INDEX($AC$1005:$AS$1005,1,MATCH(COLUMNS($AC$1006:AG1006),$AC$1006:$AS$1006,0))&gt;=100000), " ",IF(INDEX($AC$2:$AS$1001,MATCH(ROWS($V$2:V12),$V$2:$V$1001,0),MATCH(COLUMNS($AC$1006:AG1006),$AC$1006:$AS$1006,0)), HYPERLINK("#",""), HYPERLINK(CONCATENATE("#metadata!", ADDRESS(INDEX($X$2:$X$1001,MATCH(ROWS($V$2:V12),$V$2:$V$1001,0),0), INDEX($AC$1004:$AS$1004,1,MATCH(COLUMNS($AC$1006:AG1006),$AC$1006:$AS$1006,0)))),"Fix")))</f>
        <v xml:space="preserve"> </v>
      </c>
      <c r="G12" s="4" t="str">
        <f ca="1">IF(OR(INDEX($W$2:$W$1001,MATCH(ROWS($V$2:V12),$V$2:$V$1001,0),1)&gt;=100000,INDEX($AC$1005:$AS$1005,1,MATCH(COLUMNS($AC$1006:AH1006),$AC$1006:$AS$1006,0))&gt;=100000), " ",IF(INDEX($AC$2:$AS$1001,MATCH(ROWS($V$2:V12),$V$2:$V$1001,0),MATCH(COLUMNS($AC$1006:AH1006),$AC$1006:$AS$1006,0)), HYPERLINK("#",""), HYPERLINK(CONCATENATE("#metadata!", ADDRESS(INDEX($X$2:$X$1001,MATCH(ROWS($V$2:V12),$V$2:$V$1001,0),0), INDEX($AC$1004:$AS$1004,1,MATCH(COLUMNS($AC$1006:AH1006),$AC$1006:$AS$1006,0)))),"Fix")))</f>
        <v xml:space="preserve"> </v>
      </c>
      <c r="H12" s="4" t="str">
        <f ca="1">IF(OR(INDEX($W$2:$W$1001,MATCH(ROWS($V$2:V12),$V$2:$V$1001,0),1)&gt;=100000,INDEX($AC$1005:$AS$1005,1,MATCH(COLUMNS($AC$1006:AI1006),$AC$1006:$AS$1006,0))&gt;=100000), " ",IF(INDEX($AC$2:$AS$1001,MATCH(ROWS($V$2:V12),$V$2:$V$1001,0),MATCH(COLUMNS($AC$1006:AI1006),$AC$1006:$AS$1006,0)), HYPERLINK("#",""), HYPERLINK(CONCATENATE("#metadata!", ADDRESS(INDEX($X$2:$X$1001,MATCH(ROWS($V$2:V12),$V$2:$V$1001,0),0), INDEX($AC$1004:$AS$1004,1,MATCH(COLUMNS($AC$1006:AI1006),$AC$1006:$AS$1006,0)))),"Fix")))</f>
        <v xml:space="preserve"> </v>
      </c>
      <c r="I12" s="4" t="str">
        <f ca="1">IF(OR(INDEX($W$2:$W$1001,MATCH(ROWS($V$2:V12),$V$2:$V$1001,0),1)&gt;=100000,INDEX($AC$1005:$AS$1005,1,MATCH(COLUMNS($AC$1006:AJ1006),$AC$1006:$AS$1006,0))&gt;=100000), " ",IF(INDEX($AC$2:$AS$1001,MATCH(ROWS($V$2:V12),$V$2:$V$1001,0),MATCH(COLUMNS($AC$1006:AJ1006),$AC$1006:$AS$1006,0)), HYPERLINK("#",""), HYPERLINK(CONCATENATE("#metadata!", ADDRESS(INDEX($X$2:$X$1001,MATCH(ROWS($V$2:V12),$V$2:$V$1001,0),0), INDEX($AC$1004:$AS$1004,1,MATCH(COLUMNS($AC$1006:AJ1006),$AC$1006:$AS$1006,0)))),"Fix")))</f>
        <v xml:space="preserve"> </v>
      </c>
      <c r="J12" s="4" t="str">
        <f ca="1">IF(OR(INDEX($W$2:$W$1001,MATCH(ROWS($V$2:V12),$V$2:$V$1001,0),1)&gt;=100000,INDEX($AC$1005:$AS$1005,1,MATCH(COLUMNS($AC$1006:AK1006),$AC$1006:$AS$1006,0))&gt;=100000), " ",IF(INDEX($AC$2:$AS$1001,MATCH(ROWS($V$2:V12),$V$2:$V$1001,0),MATCH(COLUMNS($AC$1006:AK1006),$AC$1006:$AS$1006,0)), HYPERLINK("#",""), HYPERLINK(CONCATENATE("#metadata!", ADDRESS(INDEX($X$2:$X$1001,MATCH(ROWS($V$2:V12),$V$2:$V$1001,0),0), INDEX($AC$1004:$AS$1004,1,MATCH(COLUMNS($AC$1006:AK1006),$AC$1006:$AS$1006,0)))),"Fix")))</f>
        <v xml:space="preserve"> </v>
      </c>
      <c r="K12" s="4" t="str">
        <f ca="1">IF(OR(INDEX($W$2:$W$1001,MATCH(ROWS($V$2:V12),$V$2:$V$1001,0),1)&gt;=100000,INDEX($AC$1005:$AS$1005,1,MATCH(COLUMNS($AC$1006:AL1006),$AC$1006:$AS$1006,0))&gt;=100000), " ",IF(INDEX($AC$2:$AS$1001,MATCH(ROWS($V$2:V12),$V$2:$V$1001,0),MATCH(COLUMNS($AC$1006:AL1006),$AC$1006:$AS$1006,0)), HYPERLINK("#",""), HYPERLINK(CONCATENATE("#metadata!", ADDRESS(INDEX($X$2:$X$1001,MATCH(ROWS($V$2:V12),$V$2:$V$1001,0),0), INDEX($AC$1004:$AS$1004,1,MATCH(COLUMNS($AC$1006:AL1006),$AC$1006:$AS$1006,0)))),"Fix")))</f>
        <v xml:space="preserve"> </v>
      </c>
      <c r="L12" s="4" t="str">
        <f ca="1">IF(OR(INDEX($W$2:$W$1001,MATCH(ROWS($V$2:V12),$V$2:$V$1001,0),1)&gt;=100000,INDEX($AC$1005:$AS$1005,1,MATCH(COLUMNS($AC$1006:AM1006),$AC$1006:$AS$1006,0))&gt;=100000), " ",IF(INDEX($AC$2:$AS$1001,MATCH(ROWS($V$2:V12),$V$2:$V$1001,0),MATCH(COLUMNS($AC$1006:AM1006),$AC$1006:$AS$1006,0)), HYPERLINK("#",""), HYPERLINK(CONCATENATE("#metadata!", ADDRESS(INDEX($X$2:$X$1001,MATCH(ROWS($V$2:V12),$V$2:$V$1001,0),0), INDEX($AC$1004:$AS$1004,1,MATCH(COLUMNS($AC$1006:AM1006),$AC$1006:$AS$1006,0)))),"Fix")))</f>
        <v xml:space="preserve"> </v>
      </c>
      <c r="M12" s="4" t="str">
        <f ca="1">IF(OR(INDEX($W$2:$W$1001,MATCH(ROWS($V$2:V12),$V$2:$V$1001,0),1)&gt;=100000,INDEX($AC$1005:$AS$1005,1,MATCH(COLUMNS($AC$1006:AN1006),$AC$1006:$AS$1006,0))&gt;=100000), " ",IF(INDEX($AC$2:$AS$1001,MATCH(ROWS($V$2:V12),$V$2:$V$1001,0),MATCH(COLUMNS($AC$1006:AN1006),$AC$1006:$AS$1006,0)), HYPERLINK("#",""), HYPERLINK(CONCATENATE("#metadata!", ADDRESS(INDEX($X$2:$X$1001,MATCH(ROWS($V$2:V12),$V$2:$V$1001,0),0), INDEX($AC$1004:$AS$1004,1,MATCH(COLUMNS($AC$1006:AN1006),$AC$1006:$AS$1006,0)))),"Fix")))</f>
        <v xml:space="preserve"> </v>
      </c>
      <c r="N12" s="4" t="str">
        <f ca="1">IF(OR(INDEX($W$2:$W$1001,MATCH(ROWS($V$2:V12),$V$2:$V$1001,0),1)&gt;=100000,INDEX($AC$1005:$AS$1005,1,MATCH(COLUMNS($AC$1006:AO1006),$AC$1006:$AS$1006,0))&gt;=100000), " ",IF(INDEX($AC$2:$AS$1001,MATCH(ROWS($V$2:V12),$V$2:$V$1001,0),MATCH(COLUMNS($AC$1006:AO1006),$AC$1006:$AS$1006,0)), HYPERLINK("#",""), HYPERLINK(CONCATENATE("#metadata!", ADDRESS(INDEX($X$2:$X$1001,MATCH(ROWS($V$2:V12),$V$2:$V$1001,0),0), INDEX($AC$1004:$AS$1004,1,MATCH(COLUMNS($AC$1006:AO1006),$AC$1006:$AS$1006,0)))),"Fix")))</f>
        <v xml:space="preserve"> </v>
      </c>
      <c r="O12" s="4" t="str">
        <f ca="1">IF(OR(INDEX($W$2:$W$1001,MATCH(ROWS($V$2:V12),$V$2:$V$1001,0),1)&gt;=100000,INDEX($AC$1005:$AS$1005,1,MATCH(COLUMNS($AC$1006:AP1006),$AC$1006:$AS$1006,0))&gt;=100000), " ",IF(INDEX($AC$2:$AS$1001,MATCH(ROWS($V$2:V12),$V$2:$V$1001,0),MATCH(COLUMNS($AC$1006:AP1006),$AC$1006:$AS$1006,0)), HYPERLINK("#",""), HYPERLINK(CONCATENATE("#metadata!", ADDRESS(INDEX($X$2:$X$1001,MATCH(ROWS($V$2:V12),$V$2:$V$1001,0),0), INDEX($AC$1004:$AS$1004,1,MATCH(COLUMNS($AC$1006:AP1006),$AC$1006:$AS$1006,0)))),"Fix")))</f>
        <v xml:space="preserve"> </v>
      </c>
      <c r="P12" s="4" t="str">
        <f ca="1">IF(OR(INDEX($W$2:$W$1001,MATCH(ROWS($V$2:V12),$V$2:$V$1001,0),1)&gt;=100000,INDEX($AC$1005:$AS$1005,1,MATCH(COLUMNS($AC$1006:AQ1006),$AC$1006:$AS$1006,0))&gt;=100000), " ",IF(INDEX($AC$2:$AS$1001,MATCH(ROWS($V$2:V12),$V$2:$V$1001,0),MATCH(COLUMNS($AC$1006:AQ1006),$AC$1006:$AS$1006,0)), HYPERLINK("#",""), HYPERLINK(CONCATENATE("#metadata!", ADDRESS(INDEX($X$2:$X$1001,MATCH(ROWS($V$2:V12),$V$2:$V$1001,0),0), INDEX($AC$1004:$AS$1004,1,MATCH(COLUMNS($AC$1006:AQ1006),$AC$1006:$AS$1006,0)))),"Fix")))</f>
        <v xml:space="preserve"> </v>
      </c>
      <c r="Q12" s="4" t="str">
        <f ca="1">IF(OR(INDEX($W$2:$W$1001,MATCH(ROWS($V$2:V12),$V$2:$V$1001,0),1)&gt;=100000,INDEX($AC$1005:$AS$1005,1,MATCH(COLUMNS($AC$1006:AR1006),$AC$1006:$AS$1006,0))&gt;=100000), " ",IF(INDEX($AC$2:$AS$1001,MATCH(ROWS($V$2:V12),$V$2:$V$1001,0),MATCH(COLUMNS($AC$1006:AR1006),$AC$1006:$AS$1006,0)), HYPERLINK("#",""), HYPERLINK(CONCATENATE("#metadata!", ADDRESS(INDEX($X$2:$X$1001,MATCH(ROWS($V$2:V12),$V$2:$V$1001,0),0), INDEX($AC$1004:$AS$1004,1,MATCH(COLUMNS($AC$1006:AR1006),$AC$1006:$AS$1006,0)))),"Fix")))</f>
        <v xml:space="preserve"> </v>
      </c>
      <c r="R12" s="4" t="str">
        <f ca="1">IF(OR(INDEX($W$2:$W$1001,MATCH(ROWS($V$2:V12),$V$2:$V$1001,0),1)&gt;=100000,INDEX($AC$1005:$AS$1005,1,MATCH(COLUMNS($AC$1006:AS1006),$AC$1006:$AS$1006,0))&gt;=100000), " ",IF(INDEX($AC$2:$AS$1001,MATCH(ROWS($V$2:V12),$V$2:$V$1001,0),MATCH(COLUMNS($AC$1006:AS1006),$AC$1006:$AS$1006,0)), HYPERLINK("#",""), HYPERLINK(CONCATENATE("#metadata!", ADDRESS(INDEX($X$2:$X$1001,MATCH(ROWS($V$2:V12),$V$2:$V$1001,0),0), INDEX($AC$1004:$AS$1004,1,MATCH(COLUMNS($AC$1006:AS1006),$AC$1006:$AS$1006,0)))),"Fix")))</f>
        <v xml:space="preserve"> </v>
      </c>
      <c r="V12">
        <v>11</v>
      </c>
      <c r="W12">
        <v>100012</v>
      </c>
      <c r="X12">
        <v>12</v>
      </c>
      <c r="Y12" t="b">
        <f t="shared" si="0"/>
        <v>1</v>
      </c>
      <c r="Z12" t="b">
        <f>COUNTBLANK(metadata!B12:R12)=COLUMNS(metadata!B12:R12)</f>
        <v>1</v>
      </c>
      <c r="AA12" t="str">
        <v/>
      </c>
      <c r="AC12" t="b">
        <f ca="1"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AD12" t="b">
        <f>IF(metadata!C12="",FALSE,ISNUMBER(VALUE(metadata!C12)))</f>
        <v>0</v>
      </c>
      <c r="AE12" t="b">
        <f>AND(IF(metadata!D12="",FALSE,TRUE),EXACT(metadata!D12,"years"))</f>
        <v>0</v>
      </c>
      <c r="AF12" t="b">
        <f>OR(AND(IF(metadata!E12="",FALSE,TRUE),OR(EXACT(metadata!E12,"not applicable"),EXACT(metadata!E12,"missing: not collected"),EXACT(metadata!E12,"missing: not provided"),EXACT(metadata!E12,"missing: restricted access"))),AND(IF(metadata!E12="",FALSE,ISNUMBER(VALUE(metadata!E12))),metadata!E12&gt;0))</f>
        <v>0</v>
      </c>
      <c r="AG12" t="b">
        <f>AND(IF(metadata!F12="",FALSE,TRUE),EXACT(metadata!F12,"Not applicable"))</f>
        <v>0</v>
      </c>
      <c r="AH12" t="b">
        <f>AND(IF(metadata!G12="",FALSE,TRUE),EXACT(metadata!G12,"urban biome"))</f>
        <v>0</v>
      </c>
      <c r="AI12" t="b">
        <f>AND(IF(metadata!H12="",FALSE,TRUE),EXACT(metadata!H12,"human-associated habitat"))</f>
        <v>0</v>
      </c>
      <c r="AJ12" t="b">
        <f>AND(IF(metadata!I12="",FALSE,TRUE),OR(EXACT(metadata!I12,"human-associated"),EXACT(metadata!I12,"human-skin"),EXACT(metadata!I12,"human-oral"),EXACT(metadata!I12,"human-gut"),EXACT(metadata!I12,"human-vaginal")))</f>
        <v>0</v>
      </c>
      <c r="AK12" t="b">
        <f>IF(metadata!J12="",FALSE,ISNUMBER(VALUE(metadata!J12)))</f>
        <v>0</v>
      </c>
      <c r="AL12" t="b">
        <f>AND(IF(metadata!K12="",FALSE,TRUE),EXACT(metadata!K12,"cm"))</f>
        <v>0</v>
      </c>
      <c r="AM12" t="b">
        <f>AND(IF(metadata!L12="",FALSE,TRUE),EXACT(metadata!L12,"human"))</f>
        <v>0</v>
      </c>
      <c r="AN12" t="b">
        <f>AND(IF(metadata!M12="",FALSE,TRUE),EXACT(metadata!M12,"Homo sapiens"))</f>
        <v>0</v>
      </c>
      <c r="AO12" t="b">
        <f>AND(IF(metadata!N12="",FALSE,TRUE),EXACT(metadata!N12,"9606"))</f>
        <v>0</v>
      </c>
      <c r="AP12" t="b">
        <f>IF(metadata!O12="",FALSE,TRUE)</f>
        <v>0</v>
      </c>
      <c r="AQ12" t="b">
        <f>IF(metadata!P12="",FALSE,TRUE)</f>
        <v>0</v>
      </c>
      <c r="AR12" t="b">
        <f>IF(metadata!Q12="",FALSE,ISNUMBER(VALUE(metadata!Q12)))</f>
        <v>0</v>
      </c>
      <c r="AS12" t="b">
        <f>AND(IF(metadata!R12="",FALSE,TRUE),EXACT(metadata!R12,"kg"))</f>
        <v>0</v>
      </c>
    </row>
    <row r="13" spans="1:45" x14ac:dyDescent="0.2">
      <c r="A13" s="5" t="str">
        <f ca="1">IF(B13=" "," ",HYPERLINK(CONCATENATE("#metadata!",ADDRESS(INDEX($X$2:$X$1001,MATCH(ROWS($V$2:V13),$V$2:$V$1001,0),0),1)),INDEX($AA$2:$AA$1001,MATCH(ROWS($V$2:V13),$V$2:$V$1001,0),0)))</f>
        <v xml:space="preserve"> </v>
      </c>
      <c r="B13" s="4" t="str">
        <f ca="1">IF(OR(INDEX($W$2:$W$1001,MATCH(ROWS($V$2:V13),$V$2:$V$1001,0),1)&gt;=100000,INDEX($AC$1005:$AS$1005,1,MATCH(COLUMNS($AC$1006:AC1006),$AC$1006:$AS$1006,0))&gt;=100000), " ",IF(INDEX($AC$2:$AS$1001,MATCH(ROWS($V$2:V13),$V$2:$V$1001,0),MATCH(COLUMNS($AC$1006:AC1006),$AC$1006:$AS$1006,0)), HYPERLINK("#",""), HYPERLINK(CONCATENATE("#metadata!", ADDRESS(INDEX($X$2:$X$1001,MATCH(ROWS($V$2:V13),$V$2:$V$1001,0),0), INDEX($AC$1004:$AS$1004,1,MATCH(COLUMNS($AC$1006:AC1006),$AC$1006:$AS$1006,0)))),"Fix")))</f>
        <v xml:space="preserve"> </v>
      </c>
      <c r="C13" s="4" t="str">
        <f ca="1">IF(OR(INDEX($W$2:$W$1001,MATCH(ROWS($V$2:V13),$V$2:$V$1001,0),1)&gt;=100000,INDEX($AC$1005:$AS$1005,1,MATCH(COLUMNS($AC$1006:AD1006),$AC$1006:$AS$1006,0))&gt;=100000), " ",IF(INDEX($AC$2:$AS$1001,MATCH(ROWS($V$2:V13),$V$2:$V$1001,0),MATCH(COLUMNS($AC$1006:AD1006),$AC$1006:$AS$1006,0)), HYPERLINK("#",""), HYPERLINK(CONCATENATE("#metadata!", ADDRESS(INDEX($X$2:$X$1001,MATCH(ROWS($V$2:V13),$V$2:$V$1001,0),0), INDEX($AC$1004:$AS$1004,1,MATCH(COLUMNS($AC$1006:AD1006),$AC$1006:$AS$1006,0)))),"Fix")))</f>
        <v xml:space="preserve"> </v>
      </c>
      <c r="D13" s="4" t="str">
        <f ca="1">IF(OR(INDEX($W$2:$W$1001,MATCH(ROWS($V$2:V13),$V$2:$V$1001,0),1)&gt;=100000,INDEX($AC$1005:$AS$1005,1,MATCH(COLUMNS($AC$1006:AE1006),$AC$1006:$AS$1006,0))&gt;=100000), " ",IF(INDEX($AC$2:$AS$1001,MATCH(ROWS($V$2:V13),$V$2:$V$1001,0),MATCH(COLUMNS($AC$1006:AE1006),$AC$1006:$AS$1006,0)), HYPERLINK("#",""), HYPERLINK(CONCATENATE("#metadata!", ADDRESS(INDEX($X$2:$X$1001,MATCH(ROWS($V$2:V13),$V$2:$V$1001,0),0), INDEX($AC$1004:$AS$1004,1,MATCH(COLUMNS($AC$1006:AE1006),$AC$1006:$AS$1006,0)))),"Fix")))</f>
        <v xml:space="preserve"> </v>
      </c>
      <c r="E13" s="4" t="str">
        <f ca="1">IF(OR(INDEX($W$2:$W$1001,MATCH(ROWS($V$2:V13),$V$2:$V$1001,0),1)&gt;=100000,INDEX($AC$1005:$AS$1005,1,MATCH(COLUMNS($AC$1006:AF1006),$AC$1006:$AS$1006,0))&gt;=100000), " ",IF(INDEX($AC$2:$AS$1001,MATCH(ROWS($V$2:V13),$V$2:$V$1001,0),MATCH(COLUMNS($AC$1006:AF1006),$AC$1006:$AS$1006,0)), HYPERLINK("#",""), HYPERLINK(CONCATENATE("#metadata!", ADDRESS(INDEX($X$2:$X$1001,MATCH(ROWS($V$2:V13),$V$2:$V$1001,0),0), INDEX($AC$1004:$AS$1004,1,MATCH(COLUMNS($AC$1006:AF1006),$AC$1006:$AS$1006,0)))),"Fix")))</f>
        <v xml:space="preserve"> </v>
      </c>
      <c r="F13" s="4" t="str">
        <f ca="1">IF(OR(INDEX($W$2:$W$1001,MATCH(ROWS($V$2:V13),$V$2:$V$1001,0),1)&gt;=100000,INDEX($AC$1005:$AS$1005,1,MATCH(COLUMNS($AC$1006:AG1006),$AC$1006:$AS$1006,0))&gt;=100000), " ",IF(INDEX($AC$2:$AS$1001,MATCH(ROWS($V$2:V13),$V$2:$V$1001,0),MATCH(COLUMNS($AC$1006:AG1006),$AC$1006:$AS$1006,0)), HYPERLINK("#",""), HYPERLINK(CONCATENATE("#metadata!", ADDRESS(INDEX($X$2:$X$1001,MATCH(ROWS($V$2:V13),$V$2:$V$1001,0),0), INDEX($AC$1004:$AS$1004,1,MATCH(COLUMNS($AC$1006:AG1006),$AC$1006:$AS$1006,0)))),"Fix")))</f>
        <v xml:space="preserve"> </v>
      </c>
      <c r="G13" s="4" t="str">
        <f ca="1">IF(OR(INDEX($W$2:$W$1001,MATCH(ROWS($V$2:V13),$V$2:$V$1001,0),1)&gt;=100000,INDEX($AC$1005:$AS$1005,1,MATCH(COLUMNS($AC$1006:AH1006),$AC$1006:$AS$1006,0))&gt;=100000), " ",IF(INDEX($AC$2:$AS$1001,MATCH(ROWS($V$2:V13),$V$2:$V$1001,0),MATCH(COLUMNS($AC$1006:AH1006),$AC$1006:$AS$1006,0)), HYPERLINK("#",""), HYPERLINK(CONCATENATE("#metadata!", ADDRESS(INDEX($X$2:$X$1001,MATCH(ROWS($V$2:V13),$V$2:$V$1001,0),0), INDEX($AC$1004:$AS$1004,1,MATCH(COLUMNS($AC$1006:AH1006),$AC$1006:$AS$1006,0)))),"Fix")))</f>
        <v xml:space="preserve"> </v>
      </c>
      <c r="H13" s="4" t="str">
        <f ca="1">IF(OR(INDEX($W$2:$W$1001,MATCH(ROWS($V$2:V13),$V$2:$V$1001,0),1)&gt;=100000,INDEX($AC$1005:$AS$1005,1,MATCH(COLUMNS($AC$1006:AI1006),$AC$1006:$AS$1006,0))&gt;=100000), " ",IF(INDEX($AC$2:$AS$1001,MATCH(ROWS($V$2:V13),$V$2:$V$1001,0),MATCH(COLUMNS($AC$1006:AI1006),$AC$1006:$AS$1006,0)), HYPERLINK("#",""), HYPERLINK(CONCATENATE("#metadata!", ADDRESS(INDEX($X$2:$X$1001,MATCH(ROWS($V$2:V13),$V$2:$V$1001,0),0), INDEX($AC$1004:$AS$1004,1,MATCH(COLUMNS($AC$1006:AI1006),$AC$1006:$AS$1006,0)))),"Fix")))</f>
        <v xml:space="preserve"> </v>
      </c>
      <c r="I13" s="4" t="str">
        <f ca="1">IF(OR(INDEX($W$2:$W$1001,MATCH(ROWS($V$2:V13),$V$2:$V$1001,0),1)&gt;=100000,INDEX($AC$1005:$AS$1005,1,MATCH(COLUMNS($AC$1006:AJ1006),$AC$1006:$AS$1006,0))&gt;=100000), " ",IF(INDEX($AC$2:$AS$1001,MATCH(ROWS($V$2:V13),$V$2:$V$1001,0),MATCH(COLUMNS($AC$1006:AJ1006),$AC$1006:$AS$1006,0)), HYPERLINK("#",""), HYPERLINK(CONCATENATE("#metadata!", ADDRESS(INDEX($X$2:$X$1001,MATCH(ROWS($V$2:V13),$V$2:$V$1001,0),0), INDEX($AC$1004:$AS$1004,1,MATCH(COLUMNS($AC$1006:AJ1006),$AC$1006:$AS$1006,0)))),"Fix")))</f>
        <v xml:space="preserve"> </v>
      </c>
      <c r="J13" s="4" t="str">
        <f ca="1">IF(OR(INDEX($W$2:$W$1001,MATCH(ROWS($V$2:V13),$V$2:$V$1001,0),1)&gt;=100000,INDEX($AC$1005:$AS$1005,1,MATCH(COLUMNS($AC$1006:AK1006),$AC$1006:$AS$1006,0))&gt;=100000), " ",IF(INDEX($AC$2:$AS$1001,MATCH(ROWS($V$2:V13),$V$2:$V$1001,0),MATCH(COLUMNS($AC$1006:AK1006),$AC$1006:$AS$1006,0)), HYPERLINK("#",""), HYPERLINK(CONCATENATE("#metadata!", ADDRESS(INDEX($X$2:$X$1001,MATCH(ROWS($V$2:V13),$V$2:$V$1001,0),0), INDEX($AC$1004:$AS$1004,1,MATCH(COLUMNS($AC$1006:AK1006),$AC$1006:$AS$1006,0)))),"Fix")))</f>
        <v xml:space="preserve"> </v>
      </c>
      <c r="K13" s="4" t="str">
        <f ca="1">IF(OR(INDEX($W$2:$W$1001,MATCH(ROWS($V$2:V13),$V$2:$V$1001,0),1)&gt;=100000,INDEX($AC$1005:$AS$1005,1,MATCH(COLUMNS($AC$1006:AL1006),$AC$1006:$AS$1006,0))&gt;=100000), " ",IF(INDEX($AC$2:$AS$1001,MATCH(ROWS($V$2:V13),$V$2:$V$1001,0),MATCH(COLUMNS($AC$1006:AL1006),$AC$1006:$AS$1006,0)), HYPERLINK("#",""), HYPERLINK(CONCATENATE("#metadata!", ADDRESS(INDEX($X$2:$X$1001,MATCH(ROWS($V$2:V13),$V$2:$V$1001,0),0), INDEX($AC$1004:$AS$1004,1,MATCH(COLUMNS($AC$1006:AL1006),$AC$1006:$AS$1006,0)))),"Fix")))</f>
        <v xml:space="preserve"> </v>
      </c>
      <c r="L13" s="4" t="str">
        <f ca="1">IF(OR(INDEX($W$2:$W$1001,MATCH(ROWS($V$2:V13),$V$2:$V$1001,0),1)&gt;=100000,INDEX($AC$1005:$AS$1005,1,MATCH(COLUMNS($AC$1006:AM1006),$AC$1006:$AS$1006,0))&gt;=100000), " ",IF(INDEX($AC$2:$AS$1001,MATCH(ROWS($V$2:V13),$V$2:$V$1001,0),MATCH(COLUMNS($AC$1006:AM1006),$AC$1006:$AS$1006,0)), HYPERLINK("#",""), HYPERLINK(CONCATENATE("#metadata!", ADDRESS(INDEX($X$2:$X$1001,MATCH(ROWS($V$2:V13),$V$2:$V$1001,0),0), INDEX($AC$1004:$AS$1004,1,MATCH(COLUMNS($AC$1006:AM1006),$AC$1006:$AS$1006,0)))),"Fix")))</f>
        <v xml:space="preserve"> </v>
      </c>
      <c r="M13" s="4" t="str">
        <f ca="1">IF(OR(INDEX($W$2:$W$1001,MATCH(ROWS($V$2:V13),$V$2:$V$1001,0),1)&gt;=100000,INDEX($AC$1005:$AS$1005,1,MATCH(COLUMNS($AC$1006:AN1006),$AC$1006:$AS$1006,0))&gt;=100000), " ",IF(INDEX($AC$2:$AS$1001,MATCH(ROWS($V$2:V13),$V$2:$V$1001,0),MATCH(COLUMNS($AC$1006:AN1006),$AC$1006:$AS$1006,0)), HYPERLINK("#",""), HYPERLINK(CONCATENATE("#metadata!", ADDRESS(INDEX($X$2:$X$1001,MATCH(ROWS($V$2:V13),$V$2:$V$1001,0),0), INDEX($AC$1004:$AS$1004,1,MATCH(COLUMNS($AC$1006:AN1006),$AC$1006:$AS$1006,0)))),"Fix")))</f>
        <v xml:space="preserve"> </v>
      </c>
      <c r="N13" s="4" t="str">
        <f ca="1">IF(OR(INDEX($W$2:$W$1001,MATCH(ROWS($V$2:V13),$V$2:$V$1001,0),1)&gt;=100000,INDEX($AC$1005:$AS$1005,1,MATCH(COLUMNS($AC$1006:AO1006),$AC$1006:$AS$1006,0))&gt;=100000), " ",IF(INDEX($AC$2:$AS$1001,MATCH(ROWS($V$2:V13),$V$2:$V$1001,0),MATCH(COLUMNS($AC$1006:AO1006),$AC$1006:$AS$1006,0)), HYPERLINK("#",""), HYPERLINK(CONCATENATE("#metadata!", ADDRESS(INDEX($X$2:$X$1001,MATCH(ROWS($V$2:V13),$V$2:$V$1001,0),0), INDEX($AC$1004:$AS$1004,1,MATCH(COLUMNS($AC$1006:AO1006),$AC$1006:$AS$1006,0)))),"Fix")))</f>
        <v xml:space="preserve"> </v>
      </c>
      <c r="O13" s="4" t="str">
        <f ca="1">IF(OR(INDEX($W$2:$W$1001,MATCH(ROWS($V$2:V13),$V$2:$V$1001,0),1)&gt;=100000,INDEX($AC$1005:$AS$1005,1,MATCH(COLUMNS($AC$1006:AP1006),$AC$1006:$AS$1006,0))&gt;=100000), " ",IF(INDEX($AC$2:$AS$1001,MATCH(ROWS($V$2:V13),$V$2:$V$1001,0),MATCH(COLUMNS($AC$1006:AP1006),$AC$1006:$AS$1006,0)), HYPERLINK("#",""), HYPERLINK(CONCATENATE("#metadata!", ADDRESS(INDEX($X$2:$X$1001,MATCH(ROWS($V$2:V13),$V$2:$V$1001,0),0), INDEX($AC$1004:$AS$1004,1,MATCH(COLUMNS($AC$1006:AP1006),$AC$1006:$AS$1006,0)))),"Fix")))</f>
        <v xml:space="preserve"> </v>
      </c>
      <c r="P13" s="4" t="str">
        <f ca="1">IF(OR(INDEX($W$2:$W$1001,MATCH(ROWS($V$2:V13),$V$2:$V$1001,0),1)&gt;=100000,INDEX($AC$1005:$AS$1005,1,MATCH(COLUMNS($AC$1006:AQ1006),$AC$1006:$AS$1006,0))&gt;=100000), " ",IF(INDEX($AC$2:$AS$1001,MATCH(ROWS($V$2:V13),$V$2:$V$1001,0),MATCH(COLUMNS($AC$1006:AQ1006),$AC$1006:$AS$1006,0)), HYPERLINK("#",""), HYPERLINK(CONCATENATE("#metadata!", ADDRESS(INDEX($X$2:$X$1001,MATCH(ROWS($V$2:V13),$V$2:$V$1001,0),0), INDEX($AC$1004:$AS$1004,1,MATCH(COLUMNS($AC$1006:AQ1006),$AC$1006:$AS$1006,0)))),"Fix")))</f>
        <v xml:space="preserve"> </v>
      </c>
      <c r="Q13" s="4" t="str">
        <f ca="1">IF(OR(INDEX($W$2:$W$1001,MATCH(ROWS($V$2:V13),$V$2:$V$1001,0),1)&gt;=100000,INDEX($AC$1005:$AS$1005,1,MATCH(COLUMNS($AC$1006:AR1006),$AC$1006:$AS$1006,0))&gt;=100000), " ",IF(INDEX($AC$2:$AS$1001,MATCH(ROWS($V$2:V13),$V$2:$V$1001,0),MATCH(COLUMNS($AC$1006:AR1006),$AC$1006:$AS$1006,0)), HYPERLINK("#",""), HYPERLINK(CONCATENATE("#metadata!", ADDRESS(INDEX($X$2:$X$1001,MATCH(ROWS($V$2:V13),$V$2:$V$1001,0),0), INDEX($AC$1004:$AS$1004,1,MATCH(COLUMNS($AC$1006:AR1006),$AC$1006:$AS$1006,0)))),"Fix")))</f>
        <v xml:space="preserve"> </v>
      </c>
      <c r="R13" s="4" t="str">
        <f ca="1">IF(OR(INDEX($W$2:$W$1001,MATCH(ROWS($V$2:V13),$V$2:$V$1001,0),1)&gt;=100000,INDEX($AC$1005:$AS$1005,1,MATCH(COLUMNS($AC$1006:AS1006),$AC$1006:$AS$1006,0))&gt;=100000), " ",IF(INDEX($AC$2:$AS$1001,MATCH(ROWS($V$2:V13),$V$2:$V$1001,0),MATCH(COLUMNS($AC$1006:AS1006),$AC$1006:$AS$1006,0)), HYPERLINK("#",""), HYPERLINK(CONCATENATE("#metadata!", ADDRESS(INDEX($X$2:$X$1001,MATCH(ROWS($V$2:V13),$V$2:$V$1001,0),0), INDEX($AC$1004:$AS$1004,1,MATCH(COLUMNS($AC$1006:AS1006),$AC$1006:$AS$1006,0)))),"Fix")))</f>
        <v xml:space="preserve"> </v>
      </c>
      <c r="V13">
        <v>12</v>
      </c>
      <c r="W13">
        <v>100013</v>
      </c>
      <c r="X13">
        <v>13</v>
      </c>
      <c r="Y13" t="b">
        <f t="shared" si="0"/>
        <v>1</v>
      </c>
      <c r="Z13" t="b">
        <f>COUNTBLANK(metadata!B13:R13)=COLUMNS(metadata!B13:R13)</f>
        <v>1</v>
      </c>
      <c r="AA13" t="str">
        <v/>
      </c>
      <c r="AC13" t="b">
        <f ca="1"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AD13" t="b">
        <f>IF(metadata!C13="",FALSE,ISNUMBER(VALUE(metadata!C13)))</f>
        <v>0</v>
      </c>
      <c r="AE13" t="b">
        <f>AND(IF(metadata!D13="",FALSE,TRUE),EXACT(metadata!D13,"years"))</f>
        <v>0</v>
      </c>
      <c r="AF13" t="b">
        <f>OR(AND(IF(metadata!E13="",FALSE,TRUE),OR(EXACT(metadata!E13,"not applicable"),EXACT(metadata!E13,"missing: not collected"),EXACT(metadata!E13,"missing: not provided"),EXACT(metadata!E13,"missing: restricted access"))),AND(IF(metadata!E13="",FALSE,ISNUMBER(VALUE(metadata!E13))),metadata!E13&gt;0))</f>
        <v>0</v>
      </c>
      <c r="AG13" t="b">
        <f>AND(IF(metadata!F13="",FALSE,TRUE),EXACT(metadata!F13,"Not applicable"))</f>
        <v>0</v>
      </c>
      <c r="AH13" t="b">
        <f>AND(IF(metadata!G13="",FALSE,TRUE),EXACT(metadata!G13,"urban biome"))</f>
        <v>0</v>
      </c>
      <c r="AI13" t="b">
        <f>AND(IF(metadata!H13="",FALSE,TRUE),EXACT(metadata!H13,"human-associated habitat"))</f>
        <v>0</v>
      </c>
      <c r="AJ13" t="b">
        <f>AND(IF(metadata!I13="",FALSE,TRUE),OR(EXACT(metadata!I13,"human-associated"),EXACT(metadata!I13,"human-skin"),EXACT(metadata!I13,"human-oral"),EXACT(metadata!I13,"human-gut"),EXACT(metadata!I13,"human-vaginal")))</f>
        <v>0</v>
      </c>
      <c r="AK13" t="b">
        <f>IF(metadata!J13="",FALSE,ISNUMBER(VALUE(metadata!J13)))</f>
        <v>0</v>
      </c>
      <c r="AL13" t="b">
        <f>AND(IF(metadata!K13="",FALSE,TRUE),EXACT(metadata!K13,"cm"))</f>
        <v>0</v>
      </c>
      <c r="AM13" t="b">
        <f>AND(IF(metadata!L13="",FALSE,TRUE),EXACT(metadata!L13,"human"))</f>
        <v>0</v>
      </c>
      <c r="AN13" t="b">
        <f>AND(IF(metadata!M13="",FALSE,TRUE),EXACT(metadata!M13,"Homo sapiens"))</f>
        <v>0</v>
      </c>
      <c r="AO13" t="b">
        <f>AND(IF(metadata!N13="",FALSE,TRUE),EXACT(metadata!N13,"9606"))</f>
        <v>0</v>
      </c>
      <c r="AP13" t="b">
        <f>IF(metadata!O13="",FALSE,TRUE)</f>
        <v>0</v>
      </c>
      <c r="AQ13" t="b">
        <f>IF(metadata!P13="",FALSE,TRUE)</f>
        <v>0</v>
      </c>
      <c r="AR13" t="b">
        <f>IF(metadata!Q13="",FALSE,ISNUMBER(VALUE(metadata!Q13)))</f>
        <v>0</v>
      </c>
      <c r="AS13" t="b">
        <f>AND(IF(metadata!R13="",FALSE,TRUE),EXACT(metadata!R13,"kg"))</f>
        <v>0</v>
      </c>
    </row>
    <row r="14" spans="1:45" x14ac:dyDescent="0.2">
      <c r="A14" s="5" t="str">
        <f ca="1">IF(B14=" "," ",HYPERLINK(CONCATENATE("#metadata!",ADDRESS(INDEX($X$2:$X$1001,MATCH(ROWS($V$2:V14),$V$2:$V$1001,0),0),1)),INDEX($AA$2:$AA$1001,MATCH(ROWS($V$2:V14),$V$2:$V$1001,0),0)))</f>
        <v xml:space="preserve"> </v>
      </c>
      <c r="B14" s="4" t="str">
        <f ca="1">IF(OR(INDEX($W$2:$W$1001,MATCH(ROWS($V$2:V14),$V$2:$V$1001,0),1)&gt;=100000,INDEX($AC$1005:$AS$1005,1,MATCH(COLUMNS($AC$1006:AC1006),$AC$1006:$AS$1006,0))&gt;=100000), " ",IF(INDEX($AC$2:$AS$1001,MATCH(ROWS($V$2:V14),$V$2:$V$1001,0),MATCH(COLUMNS($AC$1006:AC1006),$AC$1006:$AS$1006,0)), HYPERLINK("#",""), HYPERLINK(CONCATENATE("#metadata!", ADDRESS(INDEX($X$2:$X$1001,MATCH(ROWS($V$2:V14),$V$2:$V$1001,0),0), INDEX($AC$1004:$AS$1004,1,MATCH(COLUMNS($AC$1006:AC1006),$AC$1006:$AS$1006,0)))),"Fix")))</f>
        <v xml:space="preserve"> </v>
      </c>
      <c r="C14" s="4" t="str">
        <f ca="1">IF(OR(INDEX($W$2:$W$1001,MATCH(ROWS($V$2:V14),$V$2:$V$1001,0),1)&gt;=100000,INDEX($AC$1005:$AS$1005,1,MATCH(COLUMNS($AC$1006:AD1006),$AC$1006:$AS$1006,0))&gt;=100000), " ",IF(INDEX($AC$2:$AS$1001,MATCH(ROWS($V$2:V14),$V$2:$V$1001,0),MATCH(COLUMNS($AC$1006:AD1006),$AC$1006:$AS$1006,0)), HYPERLINK("#",""), HYPERLINK(CONCATENATE("#metadata!", ADDRESS(INDEX($X$2:$X$1001,MATCH(ROWS($V$2:V14),$V$2:$V$1001,0),0), INDEX($AC$1004:$AS$1004,1,MATCH(COLUMNS($AC$1006:AD1006),$AC$1006:$AS$1006,0)))),"Fix")))</f>
        <v xml:space="preserve"> </v>
      </c>
      <c r="D14" s="4" t="str">
        <f ca="1">IF(OR(INDEX($W$2:$W$1001,MATCH(ROWS($V$2:V14),$V$2:$V$1001,0),1)&gt;=100000,INDEX($AC$1005:$AS$1005,1,MATCH(COLUMNS($AC$1006:AE1006),$AC$1006:$AS$1006,0))&gt;=100000), " ",IF(INDEX($AC$2:$AS$1001,MATCH(ROWS($V$2:V14),$V$2:$V$1001,0),MATCH(COLUMNS($AC$1006:AE1006),$AC$1006:$AS$1006,0)), HYPERLINK("#",""), HYPERLINK(CONCATENATE("#metadata!", ADDRESS(INDEX($X$2:$X$1001,MATCH(ROWS($V$2:V14),$V$2:$V$1001,0),0), INDEX($AC$1004:$AS$1004,1,MATCH(COLUMNS($AC$1006:AE1006),$AC$1006:$AS$1006,0)))),"Fix")))</f>
        <v xml:space="preserve"> </v>
      </c>
      <c r="E14" s="4" t="str">
        <f ca="1">IF(OR(INDEX($W$2:$W$1001,MATCH(ROWS($V$2:V14),$V$2:$V$1001,0),1)&gt;=100000,INDEX($AC$1005:$AS$1005,1,MATCH(COLUMNS($AC$1006:AF1006),$AC$1006:$AS$1006,0))&gt;=100000), " ",IF(INDEX($AC$2:$AS$1001,MATCH(ROWS($V$2:V14),$V$2:$V$1001,0),MATCH(COLUMNS($AC$1006:AF1006),$AC$1006:$AS$1006,0)), HYPERLINK("#",""), HYPERLINK(CONCATENATE("#metadata!", ADDRESS(INDEX($X$2:$X$1001,MATCH(ROWS($V$2:V14),$V$2:$V$1001,0),0), INDEX($AC$1004:$AS$1004,1,MATCH(COLUMNS($AC$1006:AF1006),$AC$1006:$AS$1006,0)))),"Fix")))</f>
        <v xml:space="preserve"> </v>
      </c>
      <c r="F14" s="4" t="str">
        <f ca="1">IF(OR(INDEX($W$2:$W$1001,MATCH(ROWS($V$2:V14),$V$2:$V$1001,0),1)&gt;=100000,INDEX($AC$1005:$AS$1005,1,MATCH(COLUMNS($AC$1006:AG1006),$AC$1006:$AS$1006,0))&gt;=100000), " ",IF(INDEX($AC$2:$AS$1001,MATCH(ROWS($V$2:V14),$V$2:$V$1001,0),MATCH(COLUMNS($AC$1006:AG1006),$AC$1006:$AS$1006,0)), HYPERLINK("#",""), HYPERLINK(CONCATENATE("#metadata!", ADDRESS(INDEX($X$2:$X$1001,MATCH(ROWS($V$2:V14),$V$2:$V$1001,0),0), INDEX($AC$1004:$AS$1004,1,MATCH(COLUMNS($AC$1006:AG1006),$AC$1006:$AS$1006,0)))),"Fix")))</f>
        <v xml:space="preserve"> </v>
      </c>
      <c r="G14" s="4" t="str">
        <f ca="1">IF(OR(INDEX($W$2:$W$1001,MATCH(ROWS($V$2:V14),$V$2:$V$1001,0),1)&gt;=100000,INDEX($AC$1005:$AS$1005,1,MATCH(COLUMNS($AC$1006:AH1006),$AC$1006:$AS$1006,0))&gt;=100000), " ",IF(INDEX($AC$2:$AS$1001,MATCH(ROWS($V$2:V14),$V$2:$V$1001,0),MATCH(COLUMNS($AC$1006:AH1006),$AC$1006:$AS$1006,0)), HYPERLINK("#",""), HYPERLINK(CONCATENATE("#metadata!", ADDRESS(INDEX($X$2:$X$1001,MATCH(ROWS($V$2:V14),$V$2:$V$1001,0),0), INDEX($AC$1004:$AS$1004,1,MATCH(COLUMNS($AC$1006:AH1006),$AC$1006:$AS$1006,0)))),"Fix")))</f>
        <v xml:space="preserve"> </v>
      </c>
      <c r="H14" s="4" t="str">
        <f ca="1">IF(OR(INDEX($W$2:$W$1001,MATCH(ROWS($V$2:V14),$V$2:$V$1001,0),1)&gt;=100000,INDEX($AC$1005:$AS$1005,1,MATCH(COLUMNS($AC$1006:AI1006),$AC$1006:$AS$1006,0))&gt;=100000), " ",IF(INDEX($AC$2:$AS$1001,MATCH(ROWS($V$2:V14),$V$2:$V$1001,0),MATCH(COLUMNS($AC$1006:AI1006),$AC$1006:$AS$1006,0)), HYPERLINK("#",""), HYPERLINK(CONCATENATE("#metadata!", ADDRESS(INDEX($X$2:$X$1001,MATCH(ROWS($V$2:V14),$V$2:$V$1001,0),0), INDEX($AC$1004:$AS$1004,1,MATCH(COLUMNS($AC$1006:AI1006),$AC$1006:$AS$1006,0)))),"Fix")))</f>
        <v xml:space="preserve"> </v>
      </c>
      <c r="I14" s="4" t="str">
        <f ca="1">IF(OR(INDEX($W$2:$W$1001,MATCH(ROWS($V$2:V14),$V$2:$V$1001,0),1)&gt;=100000,INDEX($AC$1005:$AS$1005,1,MATCH(COLUMNS($AC$1006:AJ1006),$AC$1006:$AS$1006,0))&gt;=100000), " ",IF(INDEX($AC$2:$AS$1001,MATCH(ROWS($V$2:V14),$V$2:$V$1001,0),MATCH(COLUMNS($AC$1006:AJ1006),$AC$1006:$AS$1006,0)), HYPERLINK("#",""), HYPERLINK(CONCATENATE("#metadata!", ADDRESS(INDEX($X$2:$X$1001,MATCH(ROWS($V$2:V14),$V$2:$V$1001,0),0), INDEX($AC$1004:$AS$1004,1,MATCH(COLUMNS($AC$1006:AJ1006),$AC$1006:$AS$1006,0)))),"Fix")))</f>
        <v xml:space="preserve"> </v>
      </c>
      <c r="J14" s="4" t="str">
        <f ca="1">IF(OR(INDEX($W$2:$W$1001,MATCH(ROWS($V$2:V14),$V$2:$V$1001,0),1)&gt;=100000,INDEX($AC$1005:$AS$1005,1,MATCH(COLUMNS($AC$1006:AK1006),$AC$1006:$AS$1006,0))&gt;=100000), " ",IF(INDEX($AC$2:$AS$1001,MATCH(ROWS($V$2:V14),$V$2:$V$1001,0),MATCH(COLUMNS($AC$1006:AK1006),$AC$1006:$AS$1006,0)), HYPERLINK("#",""), HYPERLINK(CONCATENATE("#metadata!", ADDRESS(INDEX($X$2:$X$1001,MATCH(ROWS($V$2:V14),$V$2:$V$1001,0),0), INDEX($AC$1004:$AS$1004,1,MATCH(COLUMNS($AC$1006:AK1006),$AC$1006:$AS$1006,0)))),"Fix")))</f>
        <v xml:space="preserve"> </v>
      </c>
      <c r="K14" s="4" t="str">
        <f ca="1">IF(OR(INDEX($W$2:$W$1001,MATCH(ROWS($V$2:V14),$V$2:$V$1001,0),1)&gt;=100000,INDEX($AC$1005:$AS$1005,1,MATCH(COLUMNS($AC$1006:AL1006),$AC$1006:$AS$1006,0))&gt;=100000), " ",IF(INDEX($AC$2:$AS$1001,MATCH(ROWS($V$2:V14),$V$2:$V$1001,0),MATCH(COLUMNS($AC$1006:AL1006),$AC$1006:$AS$1006,0)), HYPERLINK("#",""), HYPERLINK(CONCATENATE("#metadata!", ADDRESS(INDEX($X$2:$X$1001,MATCH(ROWS($V$2:V14),$V$2:$V$1001,0),0), INDEX($AC$1004:$AS$1004,1,MATCH(COLUMNS($AC$1006:AL1006),$AC$1006:$AS$1006,0)))),"Fix")))</f>
        <v xml:space="preserve"> </v>
      </c>
      <c r="L14" s="4" t="str">
        <f ca="1">IF(OR(INDEX($W$2:$W$1001,MATCH(ROWS($V$2:V14),$V$2:$V$1001,0),1)&gt;=100000,INDEX($AC$1005:$AS$1005,1,MATCH(COLUMNS($AC$1006:AM1006),$AC$1006:$AS$1006,0))&gt;=100000), " ",IF(INDEX($AC$2:$AS$1001,MATCH(ROWS($V$2:V14),$V$2:$V$1001,0),MATCH(COLUMNS($AC$1006:AM1006),$AC$1006:$AS$1006,0)), HYPERLINK("#",""), HYPERLINK(CONCATENATE("#metadata!", ADDRESS(INDEX($X$2:$X$1001,MATCH(ROWS($V$2:V14),$V$2:$V$1001,0),0), INDEX($AC$1004:$AS$1004,1,MATCH(COLUMNS($AC$1006:AM1006),$AC$1006:$AS$1006,0)))),"Fix")))</f>
        <v xml:space="preserve"> </v>
      </c>
      <c r="M14" s="4" t="str">
        <f ca="1">IF(OR(INDEX($W$2:$W$1001,MATCH(ROWS($V$2:V14),$V$2:$V$1001,0),1)&gt;=100000,INDEX($AC$1005:$AS$1005,1,MATCH(COLUMNS($AC$1006:AN1006),$AC$1006:$AS$1006,0))&gt;=100000), " ",IF(INDEX($AC$2:$AS$1001,MATCH(ROWS($V$2:V14),$V$2:$V$1001,0),MATCH(COLUMNS($AC$1006:AN1006),$AC$1006:$AS$1006,0)), HYPERLINK("#",""), HYPERLINK(CONCATENATE("#metadata!", ADDRESS(INDEX($X$2:$X$1001,MATCH(ROWS($V$2:V14),$V$2:$V$1001,0),0), INDEX($AC$1004:$AS$1004,1,MATCH(COLUMNS($AC$1006:AN1006),$AC$1006:$AS$1006,0)))),"Fix")))</f>
        <v xml:space="preserve"> </v>
      </c>
      <c r="N14" s="4" t="str">
        <f ca="1">IF(OR(INDEX($W$2:$W$1001,MATCH(ROWS($V$2:V14),$V$2:$V$1001,0),1)&gt;=100000,INDEX($AC$1005:$AS$1005,1,MATCH(COLUMNS($AC$1006:AO1006),$AC$1006:$AS$1006,0))&gt;=100000), " ",IF(INDEX($AC$2:$AS$1001,MATCH(ROWS($V$2:V14),$V$2:$V$1001,0),MATCH(COLUMNS($AC$1006:AO1006),$AC$1006:$AS$1006,0)), HYPERLINK("#",""), HYPERLINK(CONCATENATE("#metadata!", ADDRESS(INDEX($X$2:$X$1001,MATCH(ROWS($V$2:V14),$V$2:$V$1001,0),0), INDEX($AC$1004:$AS$1004,1,MATCH(COLUMNS($AC$1006:AO1006),$AC$1006:$AS$1006,0)))),"Fix")))</f>
        <v xml:space="preserve"> </v>
      </c>
      <c r="O14" s="4" t="str">
        <f ca="1">IF(OR(INDEX($W$2:$W$1001,MATCH(ROWS($V$2:V14),$V$2:$V$1001,0),1)&gt;=100000,INDEX($AC$1005:$AS$1005,1,MATCH(COLUMNS($AC$1006:AP1006),$AC$1006:$AS$1006,0))&gt;=100000), " ",IF(INDEX($AC$2:$AS$1001,MATCH(ROWS($V$2:V14),$V$2:$V$1001,0),MATCH(COLUMNS($AC$1006:AP1006),$AC$1006:$AS$1006,0)), HYPERLINK("#",""), HYPERLINK(CONCATENATE("#metadata!", ADDRESS(INDEX($X$2:$X$1001,MATCH(ROWS($V$2:V14),$V$2:$V$1001,0),0), INDEX($AC$1004:$AS$1004,1,MATCH(COLUMNS($AC$1006:AP1006),$AC$1006:$AS$1006,0)))),"Fix")))</f>
        <v xml:space="preserve"> </v>
      </c>
      <c r="P14" s="4" t="str">
        <f ca="1">IF(OR(INDEX($W$2:$W$1001,MATCH(ROWS($V$2:V14),$V$2:$V$1001,0),1)&gt;=100000,INDEX($AC$1005:$AS$1005,1,MATCH(COLUMNS($AC$1006:AQ1006),$AC$1006:$AS$1006,0))&gt;=100000), " ",IF(INDEX($AC$2:$AS$1001,MATCH(ROWS($V$2:V14),$V$2:$V$1001,0),MATCH(COLUMNS($AC$1006:AQ1006),$AC$1006:$AS$1006,0)), HYPERLINK("#",""), HYPERLINK(CONCATENATE("#metadata!", ADDRESS(INDEX($X$2:$X$1001,MATCH(ROWS($V$2:V14),$V$2:$V$1001,0),0), INDEX($AC$1004:$AS$1004,1,MATCH(COLUMNS($AC$1006:AQ1006),$AC$1006:$AS$1006,0)))),"Fix")))</f>
        <v xml:space="preserve"> </v>
      </c>
      <c r="Q14" s="4" t="str">
        <f ca="1">IF(OR(INDEX($W$2:$W$1001,MATCH(ROWS($V$2:V14),$V$2:$V$1001,0),1)&gt;=100000,INDEX($AC$1005:$AS$1005,1,MATCH(COLUMNS($AC$1006:AR1006),$AC$1006:$AS$1006,0))&gt;=100000), " ",IF(INDEX($AC$2:$AS$1001,MATCH(ROWS($V$2:V14),$V$2:$V$1001,0),MATCH(COLUMNS($AC$1006:AR1006),$AC$1006:$AS$1006,0)), HYPERLINK("#",""), HYPERLINK(CONCATENATE("#metadata!", ADDRESS(INDEX($X$2:$X$1001,MATCH(ROWS($V$2:V14),$V$2:$V$1001,0),0), INDEX($AC$1004:$AS$1004,1,MATCH(COLUMNS($AC$1006:AR1006),$AC$1006:$AS$1006,0)))),"Fix")))</f>
        <v xml:space="preserve"> </v>
      </c>
      <c r="R14" s="4" t="str">
        <f ca="1">IF(OR(INDEX($W$2:$W$1001,MATCH(ROWS($V$2:V14),$V$2:$V$1001,0),1)&gt;=100000,INDEX($AC$1005:$AS$1005,1,MATCH(COLUMNS($AC$1006:AS1006),$AC$1006:$AS$1006,0))&gt;=100000), " ",IF(INDEX($AC$2:$AS$1001,MATCH(ROWS($V$2:V14),$V$2:$V$1001,0),MATCH(COLUMNS($AC$1006:AS1006),$AC$1006:$AS$1006,0)), HYPERLINK("#",""), HYPERLINK(CONCATENATE("#metadata!", ADDRESS(INDEX($X$2:$X$1001,MATCH(ROWS($V$2:V14),$V$2:$V$1001,0),0), INDEX($AC$1004:$AS$1004,1,MATCH(COLUMNS($AC$1006:AS1006),$AC$1006:$AS$1006,0)))),"Fix")))</f>
        <v xml:space="preserve"> </v>
      </c>
      <c r="V14">
        <v>13</v>
      </c>
      <c r="W14">
        <v>100014</v>
      </c>
      <c r="X14">
        <v>14</v>
      </c>
      <c r="Y14" t="b">
        <f t="shared" si="0"/>
        <v>1</v>
      </c>
      <c r="Z14" t="b">
        <f>COUNTBLANK(metadata!B14:R14)=COLUMNS(metadata!B14:R14)</f>
        <v>1</v>
      </c>
      <c r="AA14" t="str">
        <v/>
      </c>
      <c r="AC14" t="b">
        <f ca="1"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AD14" t="b">
        <f>IF(metadata!C14="",FALSE,ISNUMBER(VALUE(metadata!C14)))</f>
        <v>0</v>
      </c>
      <c r="AE14" t="b">
        <f>AND(IF(metadata!D14="",FALSE,TRUE),EXACT(metadata!D14,"years"))</f>
        <v>0</v>
      </c>
      <c r="AF14" t="b">
        <f>OR(AND(IF(metadata!E14="",FALSE,TRUE),OR(EXACT(metadata!E14,"not applicable"),EXACT(metadata!E14,"missing: not collected"),EXACT(metadata!E14,"missing: not provided"),EXACT(metadata!E14,"missing: restricted access"))),AND(IF(metadata!E14="",FALSE,ISNUMBER(VALUE(metadata!E14))),metadata!E14&gt;0))</f>
        <v>0</v>
      </c>
      <c r="AG14" t="b">
        <f>AND(IF(metadata!F14="",FALSE,TRUE),EXACT(metadata!F14,"Not applicable"))</f>
        <v>0</v>
      </c>
      <c r="AH14" t="b">
        <f>AND(IF(metadata!G14="",FALSE,TRUE),EXACT(metadata!G14,"urban biome"))</f>
        <v>0</v>
      </c>
      <c r="AI14" t="b">
        <f>AND(IF(metadata!H14="",FALSE,TRUE),EXACT(metadata!H14,"human-associated habitat"))</f>
        <v>0</v>
      </c>
      <c r="AJ14" t="b">
        <f>AND(IF(metadata!I14="",FALSE,TRUE),OR(EXACT(metadata!I14,"human-associated"),EXACT(metadata!I14,"human-skin"),EXACT(metadata!I14,"human-oral"),EXACT(metadata!I14,"human-gut"),EXACT(metadata!I14,"human-vaginal")))</f>
        <v>0</v>
      </c>
      <c r="AK14" t="b">
        <f>IF(metadata!J14="",FALSE,ISNUMBER(VALUE(metadata!J14)))</f>
        <v>0</v>
      </c>
      <c r="AL14" t="b">
        <f>AND(IF(metadata!K14="",FALSE,TRUE),EXACT(metadata!K14,"cm"))</f>
        <v>0</v>
      </c>
      <c r="AM14" t="b">
        <f>AND(IF(metadata!L14="",FALSE,TRUE),EXACT(metadata!L14,"human"))</f>
        <v>0</v>
      </c>
      <c r="AN14" t="b">
        <f>AND(IF(metadata!M14="",FALSE,TRUE),EXACT(metadata!M14,"Homo sapiens"))</f>
        <v>0</v>
      </c>
      <c r="AO14" t="b">
        <f>AND(IF(metadata!N14="",FALSE,TRUE),EXACT(metadata!N14,"9606"))</f>
        <v>0</v>
      </c>
      <c r="AP14" t="b">
        <f>IF(metadata!O14="",FALSE,TRUE)</f>
        <v>0</v>
      </c>
      <c r="AQ14" t="b">
        <f>IF(metadata!P14="",FALSE,TRUE)</f>
        <v>0</v>
      </c>
      <c r="AR14" t="b">
        <f>IF(metadata!Q14="",FALSE,ISNUMBER(VALUE(metadata!Q14)))</f>
        <v>0</v>
      </c>
      <c r="AS14" t="b">
        <f>AND(IF(metadata!R14="",FALSE,TRUE),EXACT(metadata!R14,"kg"))</f>
        <v>0</v>
      </c>
    </row>
    <row r="15" spans="1:45" x14ac:dyDescent="0.2">
      <c r="A15" s="5" t="str">
        <f ca="1">IF(B15=" "," ",HYPERLINK(CONCATENATE("#metadata!",ADDRESS(INDEX($X$2:$X$1001,MATCH(ROWS($V$2:V15),$V$2:$V$1001,0),0),1)),INDEX($AA$2:$AA$1001,MATCH(ROWS($V$2:V15),$V$2:$V$1001,0),0)))</f>
        <v xml:space="preserve"> </v>
      </c>
      <c r="B15" s="4" t="str">
        <f ca="1">IF(OR(INDEX($W$2:$W$1001,MATCH(ROWS($V$2:V15),$V$2:$V$1001,0),1)&gt;=100000,INDEX($AC$1005:$AS$1005,1,MATCH(COLUMNS($AC$1006:AC1006),$AC$1006:$AS$1006,0))&gt;=100000), " ",IF(INDEX($AC$2:$AS$1001,MATCH(ROWS($V$2:V15),$V$2:$V$1001,0),MATCH(COLUMNS($AC$1006:AC1006),$AC$1006:$AS$1006,0)), HYPERLINK("#",""), HYPERLINK(CONCATENATE("#metadata!", ADDRESS(INDEX($X$2:$X$1001,MATCH(ROWS($V$2:V15),$V$2:$V$1001,0),0), INDEX($AC$1004:$AS$1004,1,MATCH(COLUMNS($AC$1006:AC1006),$AC$1006:$AS$1006,0)))),"Fix")))</f>
        <v xml:space="preserve"> </v>
      </c>
      <c r="C15" s="4" t="str">
        <f ca="1">IF(OR(INDEX($W$2:$W$1001,MATCH(ROWS($V$2:V15),$V$2:$V$1001,0),1)&gt;=100000,INDEX($AC$1005:$AS$1005,1,MATCH(COLUMNS($AC$1006:AD1006),$AC$1006:$AS$1006,0))&gt;=100000), " ",IF(INDEX($AC$2:$AS$1001,MATCH(ROWS($V$2:V15),$V$2:$V$1001,0),MATCH(COLUMNS($AC$1006:AD1006),$AC$1006:$AS$1006,0)), HYPERLINK("#",""), HYPERLINK(CONCATENATE("#metadata!", ADDRESS(INDEX($X$2:$X$1001,MATCH(ROWS($V$2:V15),$V$2:$V$1001,0),0), INDEX($AC$1004:$AS$1004,1,MATCH(COLUMNS($AC$1006:AD1006),$AC$1006:$AS$1006,0)))),"Fix")))</f>
        <v xml:space="preserve"> </v>
      </c>
      <c r="D15" s="4" t="str">
        <f ca="1">IF(OR(INDEX($W$2:$W$1001,MATCH(ROWS($V$2:V15),$V$2:$V$1001,0),1)&gt;=100000,INDEX($AC$1005:$AS$1005,1,MATCH(COLUMNS($AC$1006:AE1006),$AC$1006:$AS$1006,0))&gt;=100000), " ",IF(INDEX($AC$2:$AS$1001,MATCH(ROWS($V$2:V15),$V$2:$V$1001,0),MATCH(COLUMNS($AC$1006:AE1006),$AC$1006:$AS$1006,0)), HYPERLINK("#",""), HYPERLINK(CONCATENATE("#metadata!", ADDRESS(INDEX($X$2:$X$1001,MATCH(ROWS($V$2:V15),$V$2:$V$1001,0),0), INDEX($AC$1004:$AS$1004,1,MATCH(COLUMNS($AC$1006:AE1006),$AC$1006:$AS$1006,0)))),"Fix")))</f>
        <v xml:space="preserve"> </v>
      </c>
      <c r="E15" s="4" t="str">
        <f ca="1">IF(OR(INDEX($W$2:$W$1001,MATCH(ROWS($V$2:V15),$V$2:$V$1001,0),1)&gt;=100000,INDEX($AC$1005:$AS$1005,1,MATCH(COLUMNS($AC$1006:AF1006),$AC$1006:$AS$1006,0))&gt;=100000), " ",IF(INDEX($AC$2:$AS$1001,MATCH(ROWS($V$2:V15),$V$2:$V$1001,0),MATCH(COLUMNS($AC$1006:AF1006),$AC$1006:$AS$1006,0)), HYPERLINK("#",""), HYPERLINK(CONCATENATE("#metadata!", ADDRESS(INDEX($X$2:$X$1001,MATCH(ROWS($V$2:V15),$V$2:$V$1001,0),0), INDEX($AC$1004:$AS$1004,1,MATCH(COLUMNS($AC$1006:AF1006),$AC$1006:$AS$1006,0)))),"Fix")))</f>
        <v xml:space="preserve"> </v>
      </c>
      <c r="F15" s="4" t="str">
        <f ca="1">IF(OR(INDEX($W$2:$W$1001,MATCH(ROWS($V$2:V15),$V$2:$V$1001,0),1)&gt;=100000,INDEX($AC$1005:$AS$1005,1,MATCH(COLUMNS($AC$1006:AG1006),$AC$1006:$AS$1006,0))&gt;=100000), " ",IF(INDEX($AC$2:$AS$1001,MATCH(ROWS($V$2:V15),$V$2:$V$1001,0),MATCH(COLUMNS($AC$1006:AG1006),$AC$1006:$AS$1006,0)), HYPERLINK("#",""), HYPERLINK(CONCATENATE("#metadata!", ADDRESS(INDEX($X$2:$X$1001,MATCH(ROWS($V$2:V15),$V$2:$V$1001,0),0), INDEX($AC$1004:$AS$1004,1,MATCH(COLUMNS($AC$1006:AG1006),$AC$1006:$AS$1006,0)))),"Fix")))</f>
        <v xml:space="preserve"> </v>
      </c>
      <c r="G15" s="4" t="str">
        <f ca="1">IF(OR(INDEX($W$2:$W$1001,MATCH(ROWS($V$2:V15),$V$2:$V$1001,0),1)&gt;=100000,INDEX($AC$1005:$AS$1005,1,MATCH(COLUMNS($AC$1006:AH1006),$AC$1006:$AS$1006,0))&gt;=100000), " ",IF(INDEX($AC$2:$AS$1001,MATCH(ROWS($V$2:V15),$V$2:$V$1001,0),MATCH(COLUMNS($AC$1006:AH1006),$AC$1006:$AS$1006,0)), HYPERLINK("#",""), HYPERLINK(CONCATENATE("#metadata!", ADDRESS(INDEX($X$2:$X$1001,MATCH(ROWS($V$2:V15),$V$2:$V$1001,0),0), INDEX($AC$1004:$AS$1004,1,MATCH(COLUMNS($AC$1006:AH1006),$AC$1006:$AS$1006,0)))),"Fix")))</f>
        <v xml:space="preserve"> </v>
      </c>
      <c r="H15" s="4" t="str">
        <f ca="1">IF(OR(INDEX($W$2:$W$1001,MATCH(ROWS($V$2:V15),$V$2:$V$1001,0),1)&gt;=100000,INDEX($AC$1005:$AS$1005,1,MATCH(COLUMNS($AC$1006:AI1006),$AC$1006:$AS$1006,0))&gt;=100000), " ",IF(INDEX($AC$2:$AS$1001,MATCH(ROWS($V$2:V15),$V$2:$V$1001,0),MATCH(COLUMNS($AC$1006:AI1006),$AC$1006:$AS$1006,0)), HYPERLINK("#",""), HYPERLINK(CONCATENATE("#metadata!", ADDRESS(INDEX($X$2:$X$1001,MATCH(ROWS($V$2:V15),$V$2:$V$1001,0),0), INDEX($AC$1004:$AS$1004,1,MATCH(COLUMNS($AC$1006:AI1006),$AC$1006:$AS$1006,0)))),"Fix")))</f>
        <v xml:space="preserve"> </v>
      </c>
      <c r="I15" s="4" t="str">
        <f ca="1">IF(OR(INDEX($W$2:$W$1001,MATCH(ROWS($V$2:V15),$V$2:$V$1001,0),1)&gt;=100000,INDEX($AC$1005:$AS$1005,1,MATCH(COLUMNS($AC$1006:AJ1006),$AC$1006:$AS$1006,0))&gt;=100000), " ",IF(INDEX($AC$2:$AS$1001,MATCH(ROWS($V$2:V15),$V$2:$V$1001,0),MATCH(COLUMNS($AC$1006:AJ1006),$AC$1006:$AS$1006,0)), HYPERLINK("#",""), HYPERLINK(CONCATENATE("#metadata!", ADDRESS(INDEX($X$2:$X$1001,MATCH(ROWS($V$2:V15),$V$2:$V$1001,0),0), INDEX($AC$1004:$AS$1004,1,MATCH(COLUMNS($AC$1006:AJ1006),$AC$1006:$AS$1006,0)))),"Fix")))</f>
        <v xml:space="preserve"> </v>
      </c>
      <c r="J15" s="4" t="str">
        <f ca="1">IF(OR(INDEX($W$2:$W$1001,MATCH(ROWS($V$2:V15),$V$2:$V$1001,0),1)&gt;=100000,INDEX($AC$1005:$AS$1005,1,MATCH(COLUMNS($AC$1006:AK1006),$AC$1006:$AS$1006,0))&gt;=100000), " ",IF(INDEX($AC$2:$AS$1001,MATCH(ROWS($V$2:V15),$V$2:$V$1001,0),MATCH(COLUMNS($AC$1006:AK1006),$AC$1006:$AS$1006,0)), HYPERLINK("#",""), HYPERLINK(CONCATENATE("#metadata!", ADDRESS(INDEX($X$2:$X$1001,MATCH(ROWS($V$2:V15),$V$2:$V$1001,0),0), INDEX($AC$1004:$AS$1004,1,MATCH(COLUMNS($AC$1006:AK1006),$AC$1006:$AS$1006,0)))),"Fix")))</f>
        <v xml:space="preserve"> </v>
      </c>
      <c r="K15" s="4" t="str">
        <f ca="1">IF(OR(INDEX($W$2:$W$1001,MATCH(ROWS($V$2:V15),$V$2:$V$1001,0),1)&gt;=100000,INDEX($AC$1005:$AS$1005,1,MATCH(COLUMNS($AC$1006:AL1006),$AC$1006:$AS$1006,0))&gt;=100000), " ",IF(INDEX($AC$2:$AS$1001,MATCH(ROWS($V$2:V15),$V$2:$V$1001,0),MATCH(COLUMNS($AC$1006:AL1006),$AC$1006:$AS$1006,0)), HYPERLINK("#",""), HYPERLINK(CONCATENATE("#metadata!", ADDRESS(INDEX($X$2:$X$1001,MATCH(ROWS($V$2:V15),$V$2:$V$1001,0),0), INDEX($AC$1004:$AS$1004,1,MATCH(COLUMNS($AC$1006:AL1006),$AC$1006:$AS$1006,0)))),"Fix")))</f>
        <v xml:space="preserve"> </v>
      </c>
      <c r="L15" s="4" t="str">
        <f ca="1">IF(OR(INDEX($W$2:$W$1001,MATCH(ROWS($V$2:V15),$V$2:$V$1001,0),1)&gt;=100000,INDEX($AC$1005:$AS$1005,1,MATCH(COLUMNS($AC$1006:AM1006),$AC$1006:$AS$1006,0))&gt;=100000), " ",IF(INDEX($AC$2:$AS$1001,MATCH(ROWS($V$2:V15),$V$2:$V$1001,0),MATCH(COLUMNS($AC$1006:AM1006),$AC$1006:$AS$1006,0)), HYPERLINK("#",""), HYPERLINK(CONCATENATE("#metadata!", ADDRESS(INDEX($X$2:$X$1001,MATCH(ROWS($V$2:V15),$V$2:$V$1001,0),0), INDEX($AC$1004:$AS$1004,1,MATCH(COLUMNS($AC$1006:AM1006),$AC$1006:$AS$1006,0)))),"Fix")))</f>
        <v xml:space="preserve"> </v>
      </c>
      <c r="M15" s="4" t="str">
        <f ca="1">IF(OR(INDEX($W$2:$W$1001,MATCH(ROWS($V$2:V15),$V$2:$V$1001,0),1)&gt;=100000,INDEX($AC$1005:$AS$1005,1,MATCH(COLUMNS($AC$1006:AN1006),$AC$1006:$AS$1006,0))&gt;=100000), " ",IF(INDEX($AC$2:$AS$1001,MATCH(ROWS($V$2:V15),$V$2:$V$1001,0),MATCH(COLUMNS($AC$1006:AN1006),$AC$1006:$AS$1006,0)), HYPERLINK("#",""), HYPERLINK(CONCATENATE("#metadata!", ADDRESS(INDEX($X$2:$X$1001,MATCH(ROWS($V$2:V15),$V$2:$V$1001,0),0), INDEX($AC$1004:$AS$1004,1,MATCH(COLUMNS($AC$1006:AN1006),$AC$1006:$AS$1006,0)))),"Fix")))</f>
        <v xml:space="preserve"> </v>
      </c>
      <c r="N15" s="4" t="str">
        <f ca="1">IF(OR(INDEX($W$2:$W$1001,MATCH(ROWS($V$2:V15),$V$2:$V$1001,0),1)&gt;=100000,INDEX($AC$1005:$AS$1005,1,MATCH(COLUMNS($AC$1006:AO1006),$AC$1006:$AS$1006,0))&gt;=100000), " ",IF(INDEX($AC$2:$AS$1001,MATCH(ROWS($V$2:V15),$V$2:$V$1001,0),MATCH(COLUMNS($AC$1006:AO1006),$AC$1006:$AS$1006,0)), HYPERLINK("#",""), HYPERLINK(CONCATENATE("#metadata!", ADDRESS(INDEX($X$2:$X$1001,MATCH(ROWS($V$2:V15),$V$2:$V$1001,0),0), INDEX($AC$1004:$AS$1004,1,MATCH(COLUMNS($AC$1006:AO1006),$AC$1006:$AS$1006,0)))),"Fix")))</f>
        <v xml:space="preserve"> </v>
      </c>
      <c r="O15" s="4" t="str">
        <f ca="1">IF(OR(INDEX($W$2:$W$1001,MATCH(ROWS($V$2:V15),$V$2:$V$1001,0),1)&gt;=100000,INDEX($AC$1005:$AS$1005,1,MATCH(COLUMNS($AC$1006:AP1006),$AC$1006:$AS$1006,0))&gt;=100000), " ",IF(INDEX($AC$2:$AS$1001,MATCH(ROWS($V$2:V15),$V$2:$V$1001,0),MATCH(COLUMNS($AC$1006:AP1006),$AC$1006:$AS$1006,0)), HYPERLINK("#",""), HYPERLINK(CONCATENATE("#metadata!", ADDRESS(INDEX($X$2:$X$1001,MATCH(ROWS($V$2:V15),$V$2:$V$1001,0),0), INDEX($AC$1004:$AS$1004,1,MATCH(COLUMNS($AC$1006:AP1006),$AC$1006:$AS$1006,0)))),"Fix")))</f>
        <v xml:space="preserve"> </v>
      </c>
      <c r="P15" s="4" t="str">
        <f ca="1">IF(OR(INDEX($W$2:$W$1001,MATCH(ROWS($V$2:V15),$V$2:$V$1001,0),1)&gt;=100000,INDEX($AC$1005:$AS$1005,1,MATCH(COLUMNS($AC$1006:AQ1006),$AC$1006:$AS$1006,0))&gt;=100000), " ",IF(INDEX($AC$2:$AS$1001,MATCH(ROWS($V$2:V15),$V$2:$V$1001,0),MATCH(COLUMNS($AC$1006:AQ1006),$AC$1006:$AS$1006,0)), HYPERLINK("#",""), HYPERLINK(CONCATENATE("#metadata!", ADDRESS(INDEX($X$2:$X$1001,MATCH(ROWS($V$2:V15),$V$2:$V$1001,0),0), INDEX($AC$1004:$AS$1004,1,MATCH(COLUMNS($AC$1006:AQ1006),$AC$1006:$AS$1006,0)))),"Fix")))</f>
        <v xml:space="preserve"> </v>
      </c>
      <c r="Q15" s="4" t="str">
        <f ca="1">IF(OR(INDEX($W$2:$W$1001,MATCH(ROWS($V$2:V15),$V$2:$V$1001,0),1)&gt;=100000,INDEX($AC$1005:$AS$1005,1,MATCH(COLUMNS($AC$1006:AR1006),$AC$1006:$AS$1006,0))&gt;=100000), " ",IF(INDEX($AC$2:$AS$1001,MATCH(ROWS($V$2:V15),$V$2:$V$1001,0),MATCH(COLUMNS($AC$1006:AR1006),$AC$1006:$AS$1006,0)), HYPERLINK("#",""), HYPERLINK(CONCATENATE("#metadata!", ADDRESS(INDEX($X$2:$X$1001,MATCH(ROWS($V$2:V15),$V$2:$V$1001,0),0), INDEX($AC$1004:$AS$1004,1,MATCH(COLUMNS($AC$1006:AR1006),$AC$1006:$AS$1006,0)))),"Fix")))</f>
        <v xml:space="preserve"> </v>
      </c>
      <c r="R15" s="4" t="str">
        <f ca="1">IF(OR(INDEX($W$2:$W$1001,MATCH(ROWS($V$2:V15),$V$2:$V$1001,0),1)&gt;=100000,INDEX($AC$1005:$AS$1005,1,MATCH(COLUMNS($AC$1006:AS1006),$AC$1006:$AS$1006,0))&gt;=100000), " ",IF(INDEX($AC$2:$AS$1001,MATCH(ROWS($V$2:V15),$V$2:$V$1001,0),MATCH(COLUMNS($AC$1006:AS1006),$AC$1006:$AS$1006,0)), HYPERLINK("#",""), HYPERLINK(CONCATENATE("#metadata!", ADDRESS(INDEX($X$2:$X$1001,MATCH(ROWS($V$2:V15),$V$2:$V$1001,0),0), INDEX($AC$1004:$AS$1004,1,MATCH(COLUMNS($AC$1006:AS1006),$AC$1006:$AS$1006,0)))),"Fix")))</f>
        <v xml:space="preserve"> </v>
      </c>
      <c r="V15">
        <v>14</v>
      </c>
      <c r="W15">
        <v>100015</v>
      </c>
      <c r="X15">
        <v>15</v>
      </c>
      <c r="Y15" t="b">
        <f t="shared" si="0"/>
        <v>1</v>
      </c>
      <c r="Z15" t="b">
        <f>COUNTBLANK(metadata!B15:R15)=COLUMNS(metadata!B15:R15)</f>
        <v>1</v>
      </c>
      <c r="AA15" t="str">
        <v/>
      </c>
      <c r="AC15" t="b">
        <f ca="1"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AD15" t="b">
        <f>IF(metadata!C15="",FALSE,ISNUMBER(VALUE(metadata!C15)))</f>
        <v>0</v>
      </c>
      <c r="AE15" t="b">
        <f>AND(IF(metadata!D15="",FALSE,TRUE),EXACT(metadata!D15,"years"))</f>
        <v>0</v>
      </c>
      <c r="AF15" t="b">
        <f>OR(AND(IF(metadata!E15="",FALSE,TRUE),OR(EXACT(metadata!E15,"not applicable"),EXACT(metadata!E15,"missing: not collected"),EXACT(metadata!E15,"missing: not provided"),EXACT(metadata!E15,"missing: restricted access"))),AND(IF(metadata!E15="",FALSE,ISNUMBER(VALUE(metadata!E15))),metadata!E15&gt;0))</f>
        <v>0</v>
      </c>
      <c r="AG15" t="b">
        <f>AND(IF(metadata!F15="",FALSE,TRUE),EXACT(metadata!F15,"Not applicable"))</f>
        <v>0</v>
      </c>
      <c r="AH15" t="b">
        <f>AND(IF(metadata!G15="",FALSE,TRUE),EXACT(metadata!G15,"urban biome"))</f>
        <v>0</v>
      </c>
      <c r="AI15" t="b">
        <f>AND(IF(metadata!H15="",FALSE,TRUE),EXACT(metadata!H15,"human-associated habitat"))</f>
        <v>0</v>
      </c>
      <c r="AJ15" t="b">
        <f>AND(IF(metadata!I15="",FALSE,TRUE),OR(EXACT(metadata!I15,"human-associated"),EXACT(metadata!I15,"human-skin"),EXACT(metadata!I15,"human-oral"),EXACT(metadata!I15,"human-gut"),EXACT(metadata!I15,"human-vaginal")))</f>
        <v>0</v>
      </c>
      <c r="AK15" t="b">
        <f>IF(metadata!J15="",FALSE,ISNUMBER(VALUE(metadata!J15)))</f>
        <v>0</v>
      </c>
      <c r="AL15" t="b">
        <f>AND(IF(metadata!K15="",FALSE,TRUE),EXACT(metadata!K15,"cm"))</f>
        <v>0</v>
      </c>
      <c r="AM15" t="b">
        <f>AND(IF(metadata!L15="",FALSE,TRUE),EXACT(metadata!L15,"human"))</f>
        <v>0</v>
      </c>
      <c r="AN15" t="b">
        <f>AND(IF(metadata!M15="",FALSE,TRUE),EXACT(metadata!M15,"Homo sapiens"))</f>
        <v>0</v>
      </c>
      <c r="AO15" t="b">
        <f>AND(IF(metadata!N15="",FALSE,TRUE),EXACT(metadata!N15,"9606"))</f>
        <v>0</v>
      </c>
      <c r="AP15" t="b">
        <f>IF(metadata!O15="",FALSE,TRUE)</f>
        <v>0</v>
      </c>
      <c r="AQ15" t="b">
        <f>IF(metadata!P15="",FALSE,TRUE)</f>
        <v>0</v>
      </c>
      <c r="AR15" t="b">
        <f>IF(metadata!Q15="",FALSE,ISNUMBER(VALUE(metadata!Q15)))</f>
        <v>0</v>
      </c>
      <c r="AS15" t="b">
        <f>AND(IF(metadata!R15="",FALSE,TRUE),EXACT(metadata!R15,"kg"))</f>
        <v>0</v>
      </c>
    </row>
    <row r="16" spans="1:45" x14ac:dyDescent="0.2">
      <c r="A16" s="5" t="str">
        <f ca="1">IF(B16=" "," ",HYPERLINK(CONCATENATE("#metadata!",ADDRESS(INDEX($X$2:$X$1001,MATCH(ROWS($V$2:V16),$V$2:$V$1001,0),0),1)),INDEX($AA$2:$AA$1001,MATCH(ROWS($V$2:V16),$V$2:$V$1001,0),0)))</f>
        <v xml:space="preserve"> </v>
      </c>
      <c r="B16" s="4" t="str">
        <f ca="1">IF(OR(INDEX($W$2:$W$1001,MATCH(ROWS($V$2:V16),$V$2:$V$1001,0),1)&gt;=100000,INDEX($AC$1005:$AS$1005,1,MATCH(COLUMNS($AC$1006:AC1006),$AC$1006:$AS$1006,0))&gt;=100000), " ",IF(INDEX($AC$2:$AS$1001,MATCH(ROWS($V$2:V16),$V$2:$V$1001,0),MATCH(COLUMNS($AC$1006:AC1006),$AC$1006:$AS$1006,0)), HYPERLINK("#",""), HYPERLINK(CONCATENATE("#metadata!", ADDRESS(INDEX($X$2:$X$1001,MATCH(ROWS($V$2:V16),$V$2:$V$1001,0),0), INDEX($AC$1004:$AS$1004,1,MATCH(COLUMNS($AC$1006:AC1006),$AC$1006:$AS$1006,0)))),"Fix")))</f>
        <v xml:space="preserve"> </v>
      </c>
      <c r="C16" s="4" t="str">
        <f ca="1">IF(OR(INDEX($W$2:$W$1001,MATCH(ROWS($V$2:V16),$V$2:$V$1001,0),1)&gt;=100000,INDEX($AC$1005:$AS$1005,1,MATCH(COLUMNS($AC$1006:AD1006),$AC$1006:$AS$1006,0))&gt;=100000), " ",IF(INDEX($AC$2:$AS$1001,MATCH(ROWS($V$2:V16),$V$2:$V$1001,0),MATCH(COLUMNS($AC$1006:AD1006),$AC$1006:$AS$1006,0)), HYPERLINK("#",""), HYPERLINK(CONCATENATE("#metadata!", ADDRESS(INDEX($X$2:$X$1001,MATCH(ROWS($V$2:V16),$V$2:$V$1001,0),0), INDEX($AC$1004:$AS$1004,1,MATCH(COLUMNS($AC$1006:AD1006),$AC$1006:$AS$1006,0)))),"Fix")))</f>
        <v xml:space="preserve"> </v>
      </c>
      <c r="D16" s="4" t="str">
        <f ca="1">IF(OR(INDEX($W$2:$W$1001,MATCH(ROWS($V$2:V16),$V$2:$V$1001,0),1)&gt;=100000,INDEX($AC$1005:$AS$1005,1,MATCH(COLUMNS($AC$1006:AE1006),$AC$1006:$AS$1006,0))&gt;=100000), " ",IF(INDEX($AC$2:$AS$1001,MATCH(ROWS($V$2:V16),$V$2:$V$1001,0),MATCH(COLUMNS($AC$1006:AE1006),$AC$1006:$AS$1006,0)), HYPERLINK("#",""), HYPERLINK(CONCATENATE("#metadata!", ADDRESS(INDEX($X$2:$X$1001,MATCH(ROWS($V$2:V16),$V$2:$V$1001,0),0), INDEX($AC$1004:$AS$1004,1,MATCH(COLUMNS($AC$1006:AE1006),$AC$1006:$AS$1006,0)))),"Fix")))</f>
        <v xml:space="preserve"> </v>
      </c>
      <c r="E16" s="4" t="str">
        <f ca="1">IF(OR(INDEX($W$2:$W$1001,MATCH(ROWS($V$2:V16),$V$2:$V$1001,0),1)&gt;=100000,INDEX($AC$1005:$AS$1005,1,MATCH(COLUMNS($AC$1006:AF1006),$AC$1006:$AS$1006,0))&gt;=100000), " ",IF(INDEX($AC$2:$AS$1001,MATCH(ROWS($V$2:V16),$V$2:$V$1001,0),MATCH(COLUMNS($AC$1006:AF1006),$AC$1006:$AS$1006,0)), HYPERLINK("#",""), HYPERLINK(CONCATENATE("#metadata!", ADDRESS(INDEX($X$2:$X$1001,MATCH(ROWS($V$2:V16),$V$2:$V$1001,0),0), INDEX($AC$1004:$AS$1004,1,MATCH(COLUMNS($AC$1006:AF1006),$AC$1006:$AS$1006,0)))),"Fix")))</f>
        <v xml:space="preserve"> </v>
      </c>
      <c r="F16" s="4" t="str">
        <f ca="1">IF(OR(INDEX($W$2:$W$1001,MATCH(ROWS($V$2:V16),$V$2:$V$1001,0),1)&gt;=100000,INDEX($AC$1005:$AS$1005,1,MATCH(COLUMNS($AC$1006:AG1006),$AC$1006:$AS$1006,0))&gt;=100000), " ",IF(INDEX($AC$2:$AS$1001,MATCH(ROWS($V$2:V16),$V$2:$V$1001,0),MATCH(COLUMNS($AC$1006:AG1006),$AC$1006:$AS$1006,0)), HYPERLINK("#",""), HYPERLINK(CONCATENATE("#metadata!", ADDRESS(INDEX($X$2:$X$1001,MATCH(ROWS($V$2:V16),$V$2:$V$1001,0),0), INDEX($AC$1004:$AS$1004,1,MATCH(COLUMNS($AC$1006:AG1006),$AC$1006:$AS$1006,0)))),"Fix")))</f>
        <v xml:space="preserve"> </v>
      </c>
      <c r="G16" s="4" t="str">
        <f ca="1">IF(OR(INDEX($W$2:$W$1001,MATCH(ROWS($V$2:V16),$V$2:$V$1001,0),1)&gt;=100000,INDEX($AC$1005:$AS$1005,1,MATCH(COLUMNS($AC$1006:AH1006),$AC$1006:$AS$1006,0))&gt;=100000), " ",IF(INDEX($AC$2:$AS$1001,MATCH(ROWS($V$2:V16),$V$2:$V$1001,0),MATCH(COLUMNS($AC$1006:AH1006),$AC$1006:$AS$1006,0)), HYPERLINK("#",""), HYPERLINK(CONCATENATE("#metadata!", ADDRESS(INDEX($X$2:$X$1001,MATCH(ROWS($V$2:V16),$V$2:$V$1001,0),0), INDEX($AC$1004:$AS$1004,1,MATCH(COLUMNS($AC$1006:AH1006),$AC$1006:$AS$1006,0)))),"Fix")))</f>
        <v xml:space="preserve"> </v>
      </c>
      <c r="H16" s="4" t="str">
        <f ca="1">IF(OR(INDEX($W$2:$W$1001,MATCH(ROWS($V$2:V16),$V$2:$V$1001,0),1)&gt;=100000,INDEX($AC$1005:$AS$1005,1,MATCH(COLUMNS($AC$1006:AI1006),$AC$1006:$AS$1006,0))&gt;=100000), " ",IF(INDEX($AC$2:$AS$1001,MATCH(ROWS($V$2:V16),$V$2:$V$1001,0),MATCH(COLUMNS($AC$1006:AI1006),$AC$1006:$AS$1006,0)), HYPERLINK("#",""), HYPERLINK(CONCATENATE("#metadata!", ADDRESS(INDEX($X$2:$X$1001,MATCH(ROWS($V$2:V16),$V$2:$V$1001,0),0), INDEX($AC$1004:$AS$1004,1,MATCH(COLUMNS($AC$1006:AI1006),$AC$1006:$AS$1006,0)))),"Fix")))</f>
        <v xml:space="preserve"> </v>
      </c>
      <c r="I16" s="4" t="str">
        <f ca="1">IF(OR(INDEX($W$2:$W$1001,MATCH(ROWS($V$2:V16),$V$2:$V$1001,0),1)&gt;=100000,INDEX($AC$1005:$AS$1005,1,MATCH(COLUMNS($AC$1006:AJ1006),$AC$1006:$AS$1006,0))&gt;=100000), " ",IF(INDEX($AC$2:$AS$1001,MATCH(ROWS($V$2:V16),$V$2:$V$1001,0),MATCH(COLUMNS($AC$1006:AJ1006),$AC$1006:$AS$1006,0)), HYPERLINK("#",""), HYPERLINK(CONCATENATE("#metadata!", ADDRESS(INDEX($X$2:$X$1001,MATCH(ROWS($V$2:V16),$V$2:$V$1001,0),0), INDEX($AC$1004:$AS$1004,1,MATCH(COLUMNS($AC$1006:AJ1006),$AC$1006:$AS$1006,0)))),"Fix")))</f>
        <v xml:space="preserve"> </v>
      </c>
      <c r="J16" s="4" t="str">
        <f ca="1">IF(OR(INDEX($W$2:$W$1001,MATCH(ROWS($V$2:V16),$V$2:$V$1001,0),1)&gt;=100000,INDEX($AC$1005:$AS$1005,1,MATCH(COLUMNS($AC$1006:AK1006),$AC$1006:$AS$1006,0))&gt;=100000), " ",IF(INDEX($AC$2:$AS$1001,MATCH(ROWS($V$2:V16),$V$2:$V$1001,0),MATCH(COLUMNS($AC$1006:AK1006),$AC$1006:$AS$1006,0)), HYPERLINK("#",""), HYPERLINK(CONCATENATE("#metadata!", ADDRESS(INDEX($X$2:$X$1001,MATCH(ROWS($V$2:V16),$V$2:$V$1001,0),0), INDEX($AC$1004:$AS$1004,1,MATCH(COLUMNS($AC$1006:AK1006),$AC$1006:$AS$1006,0)))),"Fix")))</f>
        <v xml:space="preserve"> </v>
      </c>
      <c r="K16" s="4" t="str">
        <f ca="1">IF(OR(INDEX($W$2:$W$1001,MATCH(ROWS($V$2:V16),$V$2:$V$1001,0),1)&gt;=100000,INDEX($AC$1005:$AS$1005,1,MATCH(COLUMNS($AC$1006:AL1006),$AC$1006:$AS$1006,0))&gt;=100000), " ",IF(INDEX($AC$2:$AS$1001,MATCH(ROWS($V$2:V16),$V$2:$V$1001,0),MATCH(COLUMNS($AC$1006:AL1006),$AC$1006:$AS$1006,0)), HYPERLINK("#",""), HYPERLINK(CONCATENATE("#metadata!", ADDRESS(INDEX($X$2:$X$1001,MATCH(ROWS($V$2:V16),$V$2:$V$1001,0),0), INDEX($AC$1004:$AS$1004,1,MATCH(COLUMNS($AC$1006:AL1006),$AC$1006:$AS$1006,0)))),"Fix")))</f>
        <v xml:space="preserve"> </v>
      </c>
      <c r="L16" s="4" t="str">
        <f ca="1">IF(OR(INDEX($W$2:$W$1001,MATCH(ROWS($V$2:V16),$V$2:$V$1001,0),1)&gt;=100000,INDEX($AC$1005:$AS$1005,1,MATCH(COLUMNS($AC$1006:AM1006),$AC$1006:$AS$1006,0))&gt;=100000), " ",IF(INDEX($AC$2:$AS$1001,MATCH(ROWS($V$2:V16),$V$2:$V$1001,0),MATCH(COLUMNS($AC$1006:AM1006),$AC$1006:$AS$1006,0)), HYPERLINK("#",""), HYPERLINK(CONCATENATE("#metadata!", ADDRESS(INDEX($X$2:$X$1001,MATCH(ROWS($V$2:V16),$V$2:$V$1001,0),0), INDEX($AC$1004:$AS$1004,1,MATCH(COLUMNS($AC$1006:AM1006),$AC$1006:$AS$1006,0)))),"Fix")))</f>
        <v xml:space="preserve"> </v>
      </c>
      <c r="M16" s="4" t="str">
        <f ca="1">IF(OR(INDEX($W$2:$W$1001,MATCH(ROWS($V$2:V16),$V$2:$V$1001,0),1)&gt;=100000,INDEX($AC$1005:$AS$1005,1,MATCH(COLUMNS($AC$1006:AN1006),$AC$1006:$AS$1006,0))&gt;=100000), " ",IF(INDEX($AC$2:$AS$1001,MATCH(ROWS($V$2:V16),$V$2:$V$1001,0),MATCH(COLUMNS($AC$1006:AN1006),$AC$1006:$AS$1006,0)), HYPERLINK("#",""), HYPERLINK(CONCATENATE("#metadata!", ADDRESS(INDEX($X$2:$X$1001,MATCH(ROWS($V$2:V16),$V$2:$V$1001,0),0), INDEX($AC$1004:$AS$1004,1,MATCH(COLUMNS($AC$1006:AN1006),$AC$1006:$AS$1006,0)))),"Fix")))</f>
        <v xml:space="preserve"> </v>
      </c>
      <c r="N16" s="4" t="str">
        <f ca="1">IF(OR(INDEX($W$2:$W$1001,MATCH(ROWS($V$2:V16),$V$2:$V$1001,0),1)&gt;=100000,INDEX($AC$1005:$AS$1005,1,MATCH(COLUMNS($AC$1006:AO1006),$AC$1006:$AS$1006,0))&gt;=100000), " ",IF(INDEX($AC$2:$AS$1001,MATCH(ROWS($V$2:V16),$V$2:$V$1001,0),MATCH(COLUMNS($AC$1006:AO1006),$AC$1006:$AS$1006,0)), HYPERLINK("#",""), HYPERLINK(CONCATENATE("#metadata!", ADDRESS(INDEX($X$2:$X$1001,MATCH(ROWS($V$2:V16),$V$2:$V$1001,0),0), INDEX($AC$1004:$AS$1004,1,MATCH(COLUMNS($AC$1006:AO1006),$AC$1006:$AS$1006,0)))),"Fix")))</f>
        <v xml:space="preserve"> </v>
      </c>
      <c r="O16" s="4" t="str">
        <f ca="1">IF(OR(INDEX($W$2:$W$1001,MATCH(ROWS($V$2:V16),$V$2:$V$1001,0),1)&gt;=100000,INDEX($AC$1005:$AS$1005,1,MATCH(COLUMNS($AC$1006:AP1006),$AC$1006:$AS$1006,0))&gt;=100000), " ",IF(INDEX($AC$2:$AS$1001,MATCH(ROWS($V$2:V16),$V$2:$V$1001,0),MATCH(COLUMNS($AC$1006:AP1006),$AC$1006:$AS$1006,0)), HYPERLINK("#",""), HYPERLINK(CONCATENATE("#metadata!", ADDRESS(INDEX($X$2:$X$1001,MATCH(ROWS($V$2:V16),$V$2:$V$1001,0),0), INDEX($AC$1004:$AS$1004,1,MATCH(COLUMNS($AC$1006:AP1006),$AC$1006:$AS$1006,0)))),"Fix")))</f>
        <v xml:space="preserve"> </v>
      </c>
      <c r="P16" s="4" t="str">
        <f ca="1">IF(OR(INDEX($W$2:$W$1001,MATCH(ROWS($V$2:V16),$V$2:$V$1001,0),1)&gt;=100000,INDEX($AC$1005:$AS$1005,1,MATCH(COLUMNS($AC$1006:AQ1006),$AC$1006:$AS$1006,0))&gt;=100000), " ",IF(INDEX($AC$2:$AS$1001,MATCH(ROWS($V$2:V16),$V$2:$V$1001,0),MATCH(COLUMNS($AC$1006:AQ1006),$AC$1006:$AS$1006,0)), HYPERLINK("#",""), HYPERLINK(CONCATENATE("#metadata!", ADDRESS(INDEX($X$2:$X$1001,MATCH(ROWS($V$2:V16),$V$2:$V$1001,0),0), INDEX($AC$1004:$AS$1004,1,MATCH(COLUMNS($AC$1006:AQ1006),$AC$1006:$AS$1006,0)))),"Fix")))</f>
        <v xml:space="preserve"> </v>
      </c>
      <c r="Q16" s="4" t="str">
        <f ca="1">IF(OR(INDEX($W$2:$W$1001,MATCH(ROWS($V$2:V16),$V$2:$V$1001,0),1)&gt;=100000,INDEX($AC$1005:$AS$1005,1,MATCH(COLUMNS($AC$1006:AR1006),$AC$1006:$AS$1006,0))&gt;=100000), " ",IF(INDEX($AC$2:$AS$1001,MATCH(ROWS($V$2:V16),$V$2:$V$1001,0),MATCH(COLUMNS($AC$1006:AR1006),$AC$1006:$AS$1006,0)), HYPERLINK("#",""), HYPERLINK(CONCATENATE("#metadata!", ADDRESS(INDEX($X$2:$X$1001,MATCH(ROWS($V$2:V16),$V$2:$V$1001,0),0), INDEX($AC$1004:$AS$1004,1,MATCH(COLUMNS($AC$1006:AR1006),$AC$1006:$AS$1006,0)))),"Fix")))</f>
        <v xml:space="preserve"> </v>
      </c>
      <c r="R16" s="4" t="str">
        <f ca="1">IF(OR(INDEX($W$2:$W$1001,MATCH(ROWS($V$2:V16),$V$2:$V$1001,0),1)&gt;=100000,INDEX($AC$1005:$AS$1005,1,MATCH(COLUMNS($AC$1006:AS1006),$AC$1006:$AS$1006,0))&gt;=100000), " ",IF(INDEX($AC$2:$AS$1001,MATCH(ROWS($V$2:V16),$V$2:$V$1001,0),MATCH(COLUMNS($AC$1006:AS1006),$AC$1006:$AS$1006,0)), HYPERLINK("#",""), HYPERLINK(CONCATENATE("#metadata!", ADDRESS(INDEX($X$2:$X$1001,MATCH(ROWS($V$2:V16),$V$2:$V$1001,0),0), INDEX($AC$1004:$AS$1004,1,MATCH(COLUMNS($AC$1006:AS1006),$AC$1006:$AS$1006,0)))),"Fix")))</f>
        <v xml:space="preserve"> </v>
      </c>
      <c r="V16">
        <v>15</v>
      </c>
      <c r="W16">
        <v>100016</v>
      </c>
      <c r="X16">
        <v>16</v>
      </c>
      <c r="Y16" t="b">
        <f t="shared" si="0"/>
        <v>1</v>
      </c>
      <c r="Z16" t="b">
        <f>COUNTBLANK(metadata!B16:R16)=COLUMNS(metadata!B16:R16)</f>
        <v>1</v>
      </c>
      <c r="AA16" t="str">
        <v/>
      </c>
      <c r="AC16" t="b">
        <f ca="1"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AD16" t="b">
        <f>IF(metadata!C16="",FALSE,ISNUMBER(VALUE(metadata!C16)))</f>
        <v>0</v>
      </c>
      <c r="AE16" t="b">
        <f>AND(IF(metadata!D16="",FALSE,TRUE),EXACT(metadata!D16,"years"))</f>
        <v>0</v>
      </c>
      <c r="AF16" t="b">
        <f>OR(AND(IF(metadata!E16="",FALSE,TRUE),OR(EXACT(metadata!E16,"not applicable"),EXACT(metadata!E16,"missing: not collected"),EXACT(metadata!E16,"missing: not provided"),EXACT(metadata!E16,"missing: restricted access"))),AND(IF(metadata!E16="",FALSE,ISNUMBER(VALUE(metadata!E16))),metadata!E16&gt;0))</f>
        <v>0</v>
      </c>
      <c r="AG16" t="b">
        <f>AND(IF(metadata!F16="",FALSE,TRUE),EXACT(metadata!F16,"Not applicable"))</f>
        <v>0</v>
      </c>
      <c r="AH16" t="b">
        <f>AND(IF(metadata!G16="",FALSE,TRUE),EXACT(metadata!G16,"urban biome"))</f>
        <v>0</v>
      </c>
      <c r="AI16" t="b">
        <f>AND(IF(metadata!H16="",FALSE,TRUE),EXACT(metadata!H16,"human-associated habitat"))</f>
        <v>0</v>
      </c>
      <c r="AJ16" t="b">
        <f>AND(IF(metadata!I16="",FALSE,TRUE),OR(EXACT(metadata!I16,"human-associated"),EXACT(metadata!I16,"human-skin"),EXACT(metadata!I16,"human-oral"),EXACT(metadata!I16,"human-gut"),EXACT(metadata!I16,"human-vaginal")))</f>
        <v>0</v>
      </c>
      <c r="AK16" t="b">
        <f>IF(metadata!J16="",FALSE,ISNUMBER(VALUE(metadata!J16)))</f>
        <v>0</v>
      </c>
      <c r="AL16" t="b">
        <f>AND(IF(metadata!K16="",FALSE,TRUE),EXACT(metadata!K16,"cm"))</f>
        <v>0</v>
      </c>
      <c r="AM16" t="b">
        <f>AND(IF(metadata!L16="",FALSE,TRUE),EXACT(metadata!L16,"human"))</f>
        <v>0</v>
      </c>
      <c r="AN16" t="b">
        <f>AND(IF(metadata!M16="",FALSE,TRUE),EXACT(metadata!M16,"Homo sapiens"))</f>
        <v>0</v>
      </c>
      <c r="AO16" t="b">
        <f>AND(IF(metadata!N16="",FALSE,TRUE),EXACT(metadata!N16,"9606"))</f>
        <v>0</v>
      </c>
      <c r="AP16" t="b">
        <f>IF(metadata!O16="",FALSE,TRUE)</f>
        <v>0</v>
      </c>
      <c r="AQ16" t="b">
        <f>IF(metadata!P16="",FALSE,TRUE)</f>
        <v>0</v>
      </c>
      <c r="AR16" t="b">
        <f>IF(metadata!Q16="",FALSE,ISNUMBER(VALUE(metadata!Q16)))</f>
        <v>0</v>
      </c>
      <c r="AS16" t="b">
        <f>AND(IF(metadata!R16="",FALSE,TRUE),EXACT(metadata!R16,"kg"))</f>
        <v>0</v>
      </c>
    </row>
    <row r="17" spans="1:45" x14ac:dyDescent="0.2">
      <c r="A17" s="5" t="str">
        <f ca="1">IF(B17=" "," ",HYPERLINK(CONCATENATE("#metadata!",ADDRESS(INDEX($X$2:$X$1001,MATCH(ROWS($V$2:V17),$V$2:$V$1001,0),0),1)),INDEX($AA$2:$AA$1001,MATCH(ROWS($V$2:V17),$V$2:$V$1001,0),0)))</f>
        <v xml:space="preserve"> </v>
      </c>
      <c r="B17" s="4" t="str">
        <f ca="1">IF(OR(INDEX($W$2:$W$1001,MATCH(ROWS($V$2:V17),$V$2:$V$1001,0),1)&gt;=100000,INDEX($AC$1005:$AS$1005,1,MATCH(COLUMNS($AC$1006:AC1006),$AC$1006:$AS$1006,0))&gt;=100000), " ",IF(INDEX($AC$2:$AS$1001,MATCH(ROWS($V$2:V17),$V$2:$V$1001,0),MATCH(COLUMNS($AC$1006:AC1006),$AC$1006:$AS$1006,0)), HYPERLINK("#",""), HYPERLINK(CONCATENATE("#metadata!", ADDRESS(INDEX($X$2:$X$1001,MATCH(ROWS($V$2:V17),$V$2:$V$1001,0),0), INDEX($AC$1004:$AS$1004,1,MATCH(COLUMNS($AC$1006:AC1006),$AC$1006:$AS$1006,0)))),"Fix")))</f>
        <v xml:space="preserve"> </v>
      </c>
      <c r="C17" s="4" t="str">
        <f ca="1">IF(OR(INDEX($W$2:$W$1001,MATCH(ROWS($V$2:V17),$V$2:$V$1001,0),1)&gt;=100000,INDEX($AC$1005:$AS$1005,1,MATCH(COLUMNS($AC$1006:AD1006),$AC$1006:$AS$1006,0))&gt;=100000), " ",IF(INDEX($AC$2:$AS$1001,MATCH(ROWS($V$2:V17),$V$2:$V$1001,0),MATCH(COLUMNS($AC$1006:AD1006),$AC$1006:$AS$1006,0)), HYPERLINK("#",""), HYPERLINK(CONCATENATE("#metadata!", ADDRESS(INDEX($X$2:$X$1001,MATCH(ROWS($V$2:V17),$V$2:$V$1001,0),0), INDEX($AC$1004:$AS$1004,1,MATCH(COLUMNS($AC$1006:AD1006),$AC$1006:$AS$1006,0)))),"Fix")))</f>
        <v xml:space="preserve"> </v>
      </c>
      <c r="D17" s="4" t="str">
        <f ca="1">IF(OR(INDEX($W$2:$W$1001,MATCH(ROWS($V$2:V17),$V$2:$V$1001,0),1)&gt;=100000,INDEX($AC$1005:$AS$1005,1,MATCH(COLUMNS($AC$1006:AE1006),$AC$1006:$AS$1006,0))&gt;=100000), " ",IF(INDEX($AC$2:$AS$1001,MATCH(ROWS($V$2:V17),$V$2:$V$1001,0),MATCH(COLUMNS($AC$1006:AE1006),$AC$1006:$AS$1006,0)), HYPERLINK("#",""), HYPERLINK(CONCATENATE("#metadata!", ADDRESS(INDEX($X$2:$X$1001,MATCH(ROWS($V$2:V17),$V$2:$V$1001,0),0), INDEX($AC$1004:$AS$1004,1,MATCH(COLUMNS($AC$1006:AE1006),$AC$1006:$AS$1006,0)))),"Fix")))</f>
        <v xml:space="preserve"> </v>
      </c>
      <c r="E17" s="4" t="str">
        <f ca="1">IF(OR(INDEX($W$2:$W$1001,MATCH(ROWS($V$2:V17),$V$2:$V$1001,0),1)&gt;=100000,INDEX($AC$1005:$AS$1005,1,MATCH(COLUMNS($AC$1006:AF1006),$AC$1006:$AS$1006,0))&gt;=100000), " ",IF(INDEX($AC$2:$AS$1001,MATCH(ROWS($V$2:V17),$V$2:$V$1001,0),MATCH(COLUMNS($AC$1006:AF1006),$AC$1006:$AS$1006,0)), HYPERLINK("#",""), HYPERLINK(CONCATENATE("#metadata!", ADDRESS(INDEX($X$2:$X$1001,MATCH(ROWS($V$2:V17),$V$2:$V$1001,0),0), INDEX($AC$1004:$AS$1004,1,MATCH(COLUMNS($AC$1006:AF1006),$AC$1006:$AS$1006,0)))),"Fix")))</f>
        <v xml:space="preserve"> </v>
      </c>
      <c r="F17" s="4" t="str">
        <f ca="1">IF(OR(INDEX($W$2:$W$1001,MATCH(ROWS($V$2:V17),$V$2:$V$1001,0),1)&gt;=100000,INDEX($AC$1005:$AS$1005,1,MATCH(COLUMNS($AC$1006:AG1006),$AC$1006:$AS$1006,0))&gt;=100000), " ",IF(INDEX($AC$2:$AS$1001,MATCH(ROWS($V$2:V17),$V$2:$V$1001,0),MATCH(COLUMNS($AC$1006:AG1006),$AC$1006:$AS$1006,0)), HYPERLINK("#",""), HYPERLINK(CONCATENATE("#metadata!", ADDRESS(INDEX($X$2:$X$1001,MATCH(ROWS($V$2:V17),$V$2:$V$1001,0),0), INDEX($AC$1004:$AS$1004,1,MATCH(COLUMNS($AC$1006:AG1006),$AC$1006:$AS$1006,0)))),"Fix")))</f>
        <v xml:space="preserve"> </v>
      </c>
      <c r="G17" s="4" t="str">
        <f ca="1">IF(OR(INDEX($W$2:$W$1001,MATCH(ROWS($V$2:V17),$V$2:$V$1001,0),1)&gt;=100000,INDEX($AC$1005:$AS$1005,1,MATCH(COLUMNS($AC$1006:AH1006),$AC$1006:$AS$1006,0))&gt;=100000), " ",IF(INDEX($AC$2:$AS$1001,MATCH(ROWS($V$2:V17),$V$2:$V$1001,0),MATCH(COLUMNS($AC$1006:AH1006),$AC$1006:$AS$1006,0)), HYPERLINK("#",""), HYPERLINK(CONCATENATE("#metadata!", ADDRESS(INDEX($X$2:$X$1001,MATCH(ROWS($V$2:V17),$V$2:$V$1001,0),0), INDEX($AC$1004:$AS$1004,1,MATCH(COLUMNS($AC$1006:AH1006),$AC$1006:$AS$1006,0)))),"Fix")))</f>
        <v xml:space="preserve"> </v>
      </c>
      <c r="H17" s="4" t="str">
        <f ca="1">IF(OR(INDEX($W$2:$W$1001,MATCH(ROWS($V$2:V17),$V$2:$V$1001,0),1)&gt;=100000,INDEX($AC$1005:$AS$1005,1,MATCH(COLUMNS($AC$1006:AI1006),$AC$1006:$AS$1006,0))&gt;=100000), " ",IF(INDEX($AC$2:$AS$1001,MATCH(ROWS($V$2:V17),$V$2:$V$1001,0),MATCH(COLUMNS($AC$1006:AI1006),$AC$1006:$AS$1006,0)), HYPERLINK("#",""), HYPERLINK(CONCATENATE("#metadata!", ADDRESS(INDEX($X$2:$X$1001,MATCH(ROWS($V$2:V17),$V$2:$V$1001,0),0), INDEX($AC$1004:$AS$1004,1,MATCH(COLUMNS($AC$1006:AI1006),$AC$1006:$AS$1006,0)))),"Fix")))</f>
        <v xml:space="preserve"> </v>
      </c>
      <c r="I17" s="4" t="str">
        <f ca="1">IF(OR(INDEX($W$2:$W$1001,MATCH(ROWS($V$2:V17),$V$2:$V$1001,0),1)&gt;=100000,INDEX($AC$1005:$AS$1005,1,MATCH(COLUMNS($AC$1006:AJ1006),$AC$1006:$AS$1006,0))&gt;=100000), " ",IF(INDEX($AC$2:$AS$1001,MATCH(ROWS($V$2:V17),$V$2:$V$1001,0),MATCH(COLUMNS($AC$1006:AJ1006),$AC$1006:$AS$1006,0)), HYPERLINK("#",""), HYPERLINK(CONCATENATE("#metadata!", ADDRESS(INDEX($X$2:$X$1001,MATCH(ROWS($V$2:V17),$V$2:$V$1001,0),0), INDEX($AC$1004:$AS$1004,1,MATCH(COLUMNS($AC$1006:AJ1006),$AC$1006:$AS$1006,0)))),"Fix")))</f>
        <v xml:space="preserve"> </v>
      </c>
      <c r="J17" s="4" t="str">
        <f ca="1">IF(OR(INDEX($W$2:$W$1001,MATCH(ROWS($V$2:V17),$V$2:$V$1001,0),1)&gt;=100000,INDEX($AC$1005:$AS$1005,1,MATCH(COLUMNS($AC$1006:AK1006),$AC$1006:$AS$1006,0))&gt;=100000), " ",IF(INDEX($AC$2:$AS$1001,MATCH(ROWS($V$2:V17),$V$2:$V$1001,0),MATCH(COLUMNS($AC$1006:AK1006),$AC$1006:$AS$1006,0)), HYPERLINK("#",""), HYPERLINK(CONCATENATE("#metadata!", ADDRESS(INDEX($X$2:$X$1001,MATCH(ROWS($V$2:V17),$V$2:$V$1001,0),0), INDEX($AC$1004:$AS$1004,1,MATCH(COLUMNS($AC$1006:AK1006),$AC$1006:$AS$1006,0)))),"Fix")))</f>
        <v xml:space="preserve"> </v>
      </c>
      <c r="K17" s="4" t="str">
        <f ca="1">IF(OR(INDEX($W$2:$W$1001,MATCH(ROWS($V$2:V17),$V$2:$V$1001,0),1)&gt;=100000,INDEX($AC$1005:$AS$1005,1,MATCH(COLUMNS($AC$1006:AL1006),$AC$1006:$AS$1006,0))&gt;=100000), " ",IF(INDEX($AC$2:$AS$1001,MATCH(ROWS($V$2:V17),$V$2:$V$1001,0),MATCH(COLUMNS($AC$1006:AL1006),$AC$1006:$AS$1006,0)), HYPERLINK("#",""), HYPERLINK(CONCATENATE("#metadata!", ADDRESS(INDEX($X$2:$X$1001,MATCH(ROWS($V$2:V17),$V$2:$V$1001,0),0), INDEX($AC$1004:$AS$1004,1,MATCH(COLUMNS($AC$1006:AL1006),$AC$1006:$AS$1006,0)))),"Fix")))</f>
        <v xml:space="preserve"> </v>
      </c>
      <c r="L17" s="4" t="str">
        <f ca="1">IF(OR(INDEX($W$2:$W$1001,MATCH(ROWS($V$2:V17),$V$2:$V$1001,0),1)&gt;=100000,INDEX($AC$1005:$AS$1005,1,MATCH(COLUMNS($AC$1006:AM1006),$AC$1006:$AS$1006,0))&gt;=100000), " ",IF(INDEX($AC$2:$AS$1001,MATCH(ROWS($V$2:V17),$V$2:$V$1001,0),MATCH(COLUMNS($AC$1006:AM1006),$AC$1006:$AS$1006,0)), HYPERLINK("#",""), HYPERLINK(CONCATENATE("#metadata!", ADDRESS(INDEX($X$2:$X$1001,MATCH(ROWS($V$2:V17),$V$2:$V$1001,0),0), INDEX($AC$1004:$AS$1004,1,MATCH(COLUMNS($AC$1006:AM1006),$AC$1006:$AS$1006,0)))),"Fix")))</f>
        <v xml:space="preserve"> </v>
      </c>
      <c r="M17" s="4" t="str">
        <f ca="1">IF(OR(INDEX($W$2:$W$1001,MATCH(ROWS($V$2:V17),$V$2:$V$1001,0),1)&gt;=100000,INDEX($AC$1005:$AS$1005,1,MATCH(COLUMNS($AC$1006:AN1006),$AC$1006:$AS$1006,0))&gt;=100000), " ",IF(INDEX($AC$2:$AS$1001,MATCH(ROWS($V$2:V17),$V$2:$V$1001,0),MATCH(COLUMNS($AC$1006:AN1006),$AC$1006:$AS$1006,0)), HYPERLINK("#",""), HYPERLINK(CONCATENATE("#metadata!", ADDRESS(INDEX($X$2:$X$1001,MATCH(ROWS($V$2:V17),$V$2:$V$1001,0),0), INDEX($AC$1004:$AS$1004,1,MATCH(COLUMNS($AC$1006:AN1006),$AC$1006:$AS$1006,0)))),"Fix")))</f>
        <v xml:space="preserve"> </v>
      </c>
      <c r="N17" s="4" t="str">
        <f ca="1">IF(OR(INDEX($W$2:$W$1001,MATCH(ROWS($V$2:V17),$V$2:$V$1001,0),1)&gt;=100000,INDEX($AC$1005:$AS$1005,1,MATCH(COLUMNS($AC$1006:AO1006),$AC$1006:$AS$1006,0))&gt;=100000), " ",IF(INDEX($AC$2:$AS$1001,MATCH(ROWS($V$2:V17),$V$2:$V$1001,0),MATCH(COLUMNS($AC$1006:AO1006),$AC$1006:$AS$1006,0)), HYPERLINK("#",""), HYPERLINK(CONCATENATE("#metadata!", ADDRESS(INDEX($X$2:$X$1001,MATCH(ROWS($V$2:V17),$V$2:$V$1001,0),0), INDEX($AC$1004:$AS$1004,1,MATCH(COLUMNS($AC$1006:AO1006),$AC$1006:$AS$1006,0)))),"Fix")))</f>
        <v xml:space="preserve"> </v>
      </c>
      <c r="O17" s="4" t="str">
        <f ca="1">IF(OR(INDEX($W$2:$W$1001,MATCH(ROWS($V$2:V17),$V$2:$V$1001,0),1)&gt;=100000,INDEX($AC$1005:$AS$1005,1,MATCH(COLUMNS($AC$1006:AP1006),$AC$1006:$AS$1006,0))&gt;=100000), " ",IF(INDEX($AC$2:$AS$1001,MATCH(ROWS($V$2:V17),$V$2:$V$1001,0),MATCH(COLUMNS($AC$1006:AP1006),$AC$1006:$AS$1006,0)), HYPERLINK("#",""), HYPERLINK(CONCATENATE("#metadata!", ADDRESS(INDEX($X$2:$X$1001,MATCH(ROWS($V$2:V17),$V$2:$V$1001,0),0), INDEX($AC$1004:$AS$1004,1,MATCH(COLUMNS($AC$1006:AP1006),$AC$1006:$AS$1006,0)))),"Fix")))</f>
        <v xml:space="preserve"> </v>
      </c>
      <c r="P17" s="4" t="str">
        <f ca="1">IF(OR(INDEX($W$2:$W$1001,MATCH(ROWS($V$2:V17),$V$2:$V$1001,0),1)&gt;=100000,INDEX($AC$1005:$AS$1005,1,MATCH(COLUMNS($AC$1006:AQ1006),$AC$1006:$AS$1006,0))&gt;=100000), " ",IF(INDEX($AC$2:$AS$1001,MATCH(ROWS($V$2:V17),$V$2:$V$1001,0),MATCH(COLUMNS($AC$1006:AQ1006),$AC$1006:$AS$1006,0)), HYPERLINK("#",""), HYPERLINK(CONCATENATE("#metadata!", ADDRESS(INDEX($X$2:$X$1001,MATCH(ROWS($V$2:V17),$V$2:$V$1001,0),0), INDEX($AC$1004:$AS$1004,1,MATCH(COLUMNS($AC$1006:AQ1006),$AC$1006:$AS$1006,0)))),"Fix")))</f>
        <v xml:space="preserve"> </v>
      </c>
      <c r="Q17" s="4" t="str">
        <f ca="1">IF(OR(INDEX($W$2:$W$1001,MATCH(ROWS($V$2:V17),$V$2:$V$1001,0),1)&gt;=100000,INDEX($AC$1005:$AS$1005,1,MATCH(COLUMNS($AC$1006:AR1006),$AC$1006:$AS$1006,0))&gt;=100000), " ",IF(INDEX($AC$2:$AS$1001,MATCH(ROWS($V$2:V17),$V$2:$V$1001,0),MATCH(COLUMNS($AC$1006:AR1006),$AC$1006:$AS$1006,0)), HYPERLINK("#",""), HYPERLINK(CONCATENATE("#metadata!", ADDRESS(INDEX($X$2:$X$1001,MATCH(ROWS($V$2:V17),$V$2:$V$1001,0),0), INDEX($AC$1004:$AS$1004,1,MATCH(COLUMNS($AC$1006:AR1006),$AC$1006:$AS$1006,0)))),"Fix")))</f>
        <v xml:space="preserve"> </v>
      </c>
      <c r="R17" s="4" t="str">
        <f ca="1">IF(OR(INDEX($W$2:$W$1001,MATCH(ROWS($V$2:V17),$V$2:$V$1001,0),1)&gt;=100000,INDEX($AC$1005:$AS$1005,1,MATCH(COLUMNS($AC$1006:AS1006),$AC$1006:$AS$1006,0))&gt;=100000), " ",IF(INDEX($AC$2:$AS$1001,MATCH(ROWS($V$2:V17),$V$2:$V$1001,0),MATCH(COLUMNS($AC$1006:AS1006),$AC$1006:$AS$1006,0)), HYPERLINK("#",""), HYPERLINK(CONCATENATE("#metadata!", ADDRESS(INDEX($X$2:$X$1001,MATCH(ROWS($V$2:V17),$V$2:$V$1001,0),0), INDEX($AC$1004:$AS$1004,1,MATCH(COLUMNS($AC$1006:AS1006),$AC$1006:$AS$1006,0)))),"Fix")))</f>
        <v xml:space="preserve"> </v>
      </c>
      <c r="V17">
        <v>16</v>
      </c>
      <c r="W17">
        <v>100017</v>
      </c>
      <c r="X17">
        <v>17</v>
      </c>
      <c r="Y17" t="b">
        <f t="shared" si="0"/>
        <v>1</v>
      </c>
      <c r="Z17" t="b">
        <f>COUNTBLANK(metadata!B17:R17)=COLUMNS(metadata!B17:R17)</f>
        <v>1</v>
      </c>
      <c r="AA17" t="str">
        <v/>
      </c>
      <c r="AC17" t="b">
        <f ca="1"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AD17" t="b">
        <f>IF(metadata!C17="",FALSE,ISNUMBER(VALUE(metadata!C17)))</f>
        <v>0</v>
      </c>
      <c r="AE17" t="b">
        <f>AND(IF(metadata!D17="",FALSE,TRUE),EXACT(metadata!D17,"years"))</f>
        <v>0</v>
      </c>
      <c r="AF17" t="b">
        <f>OR(AND(IF(metadata!E17="",FALSE,TRUE),OR(EXACT(metadata!E17,"not applicable"),EXACT(metadata!E17,"missing: not collected"),EXACT(metadata!E17,"missing: not provided"),EXACT(metadata!E17,"missing: restricted access"))),AND(IF(metadata!E17="",FALSE,ISNUMBER(VALUE(metadata!E17))),metadata!E17&gt;0))</f>
        <v>0</v>
      </c>
      <c r="AG17" t="b">
        <f>AND(IF(metadata!F17="",FALSE,TRUE),EXACT(metadata!F17,"Not applicable"))</f>
        <v>0</v>
      </c>
      <c r="AH17" t="b">
        <f>AND(IF(metadata!G17="",FALSE,TRUE),EXACT(metadata!G17,"urban biome"))</f>
        <v>0</v>
      </c>
      <c r="AI17" t="b">
        <f>AND(IF(metadata!H17="",FALSE,TRUE),EXACT(metadata!H17,"human-associated habitat"))</f>
        <v>0</v>
      </c>
      <c r="AJ17" t="b">
        <f>AND(IF(metadata!I17="",FALSE,TRUE),OR(EXACT(metadata!I17,"human-associated"),EXACT(metadata!I17,"human-skin"),EXACT(metadata!I17,"human-oral"),EXACT(metadata!I17,"human-gut"),EXACT(metadata!I17,"human-vaginal")))</f>
        <v>0</v>
      </c>
      <c r="AK17" t="b">
        <f>IF(metadata!J17="",FALSE,ISNUMBER(VALUE(metadata!J17)))</f>
        <v>0</v>
      </c>
      <c r="AL17" t="b">
        <f>AND(IF(metadata!K17="",FALSE,TRUE),EXACT(metadata!K17,"cm"))</f>
        <v>0</v>
      </c>
      <c r="AM17" t="b">
        <f>AND(IF(metadata!L17="",FALSE,TRUE),EXACT(metadata!L17,"human"))</f>
        <v>0</v>
      </c>
      <c r="AN17" t="b">
        <f>AND(IF(metadata!M17="",FALSE,TRUE),EXACT(metadata!M17,"Homo sapiens"))</f>
        <v>0</v>
      </c>
      <c r="AO17" t="b">
        <f>AND(IF(metadata!N17="",FALSE,TRUE),EXACT(metadata!N17,"9606"))</f>
        <v>0</v>
      </c>
      <c r="AP17" t="b">
        <f>IF(metadata!O17="",FALSE,TRUE)</f>
        <v>0</v>
      </c>
      <c r="AQ17" t="b">
        <f>IF(metadata!P17="",FALSE,TRUE)</f>
        <v>0</v>
      </c>
      <c r="AR17" t="b">
        <f>IF(metadata!Q17="",FALSE,ISNUMBER(VALUE(metadata!Q17)))</f>
        <v>0</v>
      </c>
      <c r="AS17" t="b">
        <f>AND(IF(metadata!R17="",FALSE,TRUE),EXACT(metadata!R17,"kg"))</f>
        <v>0</v>
      </c>
    </row>
    <row r="18" spans="1:45" x14ac:dyDescent="0.2">
      <c r="A18" s="5" t="str">
        <f ca="1">IF(B18=" "," ",HYPERLINK(CONCATENATE("#metadata!",ADDRESS(INDEX($X$2:$X$1001,MATCH(ROWS($V$2:V18),$V$2:$V$1001,0),0),1)),INDEX($AA$2:$AA$1001,MATCH(ROWS($V$2:V18),$V$2:$V$1001,0),0)))</f>
        <v xml:space="preserve"> </v>
      </c>
      <c r="B18" s="4" t="str">
        <f ca="1">IF(OR(INDEX($W$2:$W$1001,MATCH(ROWS($V$2:V18),$V$2:$V$1001,0),1)&gt;=100000,INDEX($AC$1005:$AS$1005,1,MATCH(COLUMNS($AC$1006:AC1006),$AC$1006:$AS$1006,0))&gt;=100000), " ",IF(INDEX($AC$2:$AS$1001,MATCH(ROWS($V$2:V18),$V$2:$V$1001,0),MATCH(COLUMNS($AC$1006:AC1006),$AC$1006:$AS$1006,0)), HYPERLINK("#",""), HYPERLINK(CONCATENATE("#metadata!", ADDRESS(INDEX($X$2:$X$1001,MATCH(ROWS($V$2:V18),$V$2:$V$1001,0),0), INDEX($AC$1004:$AS$1004,1,MATCH(COLUMNS($AC$1006:AC1006),$AC$1006:$AS$1006,0)))),"Fix")))</f>
        <v xml:space="preserve"> </v>
      </c>
      <c r="C18" s="4" t="str">
        <f ca="1">IF(OR(INDEX($W$2:$W$1001,MATCH(ROWS($V$2:V18),$V$2:$V$1001,0),1)&gt;=100000,INDEX($AC$1005:$AS$1005,1,MATCH(COLUMNS($AC$1006:AD1006),$AC$1006:$AS$1006,0))&gt;=100000), " ",IF(INDEX($AC$2:$AS$1001,MATCH(ROWS($V$2:V18),$V$2:$V$1001,0),MATCH(COLUMNS($AC$1006:AD1006),$AC$1006:$AS$1006,0)), HYPERLINK("#",""), HYPERLINK(CONCATENATE("#metadata!", ADDRESS(INDEX($X$2:$X$1001,MATCH(ROWS($V$2:V18),$V$2:$V$1001,0),0), INDEX($AC$1004:$AS$1004,1,MATCH(COLUMNS($AC$1006:AD1006),$AC$1006:$AS$1006,0)))),"Fix")))</f>
        <v xml:space="preserve"> </v>
      </c>
      <c r="D18" s="4" t="str">
        <f ca="1">IF(OR(INDEX($W$2:$W$1001,MATCH(ROWS($V$2:V18),$V$2:$V$1001,0),1)&gt;=100000,INDEX($AC$1005:$AS$1005,1,MATCH(COLUMNS($AC$1006:AE1006),$AC$1006:$AS$1006,0))&gt;=100000), " ",IF(INDEX($AC$2:$AS$1001,MATCH(ROWS($V$2:V18),$V$2:$V$1001,0),MATCH(COLUMNS($AC$1006:AE1006),$AC$1006:$AS$1006,0)), HYPERLINK("#",""), HYPERLINK(CONCATENATE("#metadata!", ADDRESS(INDEX($X$2:$X$1001,MATCH(ROWS($V$2:V18),$V$2:$V$1001,0),0), INDEX($AC$1004:$AS$1004,1,MATCH(COLUMNS($AC$1006:AE1006),$AC$1006:$AS$1006,0)))),"Fix")))</f>
        <v xml:space="preserve"> </v>
      </c>
      <c r="E18" s="4" t="str">
        <f ca="1">IF(OR(INDEX($W$2:$W$1001,MATCH(ROWS($V$2:V18),$V$2:$V$1001,0),1)&gt;=100000,INDEX($AC$1005:$AS$1005,1,MATCH(COLUMNS($AC$1006:AF1006),$AC$1006:$AS$1006,0))&gt;=100000), " ",IF(INDEX($AC$2:$AS$1001,MATCH(ROWS($V$2:V18),$V$2:$V$1001,0),MATCH(COLUMNS($AC$1006:AF1006),$AC$1006:$AS$1006,0)), HYPERLINK("#",""), HYPERLINK(CONCATENATE("#metadata!", ADDRESS(INDEX($X$2:$X$1001,MATCH(ROWS($V$2:V18),$V$2:$V$1001,0),0), INDEX($AC$1004:$AS$1004,1,MATCH(COLUMNS($AC$1006:AF1006),$AC$1006:$AS$1006,0)))),"Fix")))</f>
        <v xml:space="preserve"> </v>
      </c>
      <c r="F18" s="4" t="str">
        <f ca="1">IF(OR(INDEX($W$2:$W$1001,MATCH(ROWS($V$2:V18),$V$2:$V$1001,0),1)&gt;=100000,INDEX($AC$1005:$AS$1005,1,MATCH(COLUMNS($AC$1006:AG1006),$AC$1006:$AS$1006,0))&gt;=100000), " ",IF(INDEX($AC$2:$AS$1001,MATCH(ROWS($V$2:V18),$V$2:$V$1001,0),MATCH(COLUMNS($AC$1006:AG1006),$AC$1006:$AS$1006,0)), HYPERLINK("#",""), HYPERLINK(CONCATENATE("#metadata!", ADDRESS(INDEX($X$2:$X$1001,MATCH(ROWS($V$2:V18),$V$2:$V$1001,0),0), INDEX($AC$1004:$AS$1004,1,MATCH(COLUMNS($AC$1006:AG1006),$AC$1006:$AS$1006,0)))),"Fix")))</f>
        <v xml:space="preserve"> </v>
      </c>
      <c r="G18" s="4" t="str">
        <f ca="1">IF(OR(INDEX($W$2:$W$1001,MATCH(ROWS($V$2:V18),$V$2:$V$1001,0),1)&gt;=100000,INDEX($AC$1005:$AS$1005,1,MATCH(COLUMNS($AC$1006:AH1006),$AC$1006:$AS$1006,0))&gt;=100000), " ",IF(INDEX($AC$2:$AS$1001,MATCH(ROWS($V$2:V18),$V$2:$V$1001,0),MATCH(COLUMNS($AC$1006:AH1006),$AC$1006:$AS$1006,0)), HYPERLINK("#",""), HYPERLINK(CONCATENATE("#metadata!", ADDRESS(INDEX($X$2:$X$1001,MATCH(ROWS($V$2:V18),$V$2:$V$1001,0),0), INDEX($AC$1004:$AS$1004,1,MATCH(COLUMNS($AC$1006:AH1006),$AC$1006:$AS$1006,0)))),"Fix")))</f>
        <v xml:space="preserve"> </v>
      </c>
      <c r="H18" s="4" t="str">
        <f ca="1">IF(OR(INDEX($W$2:$W$1001,MATCH(ROWS($V$2:V18),$V$2:$V$1001,0),1)&gt;=100000,INDEX($AC$1005:$AS$1005,1,MATCH(COLUMNS($AC$1006:AI1006),$AC$1006:$AS$1006,0))&gt;=100000), " ",IF(INDEX($AC$2:$AS$1001,MATCH(ROWS($V$2:V18),$V$2:$V$1001,0),MATCH(COLUMNS($AC$1006:AI1006),$AC$1006:$AS$1006,0)), HYPERLINK("#",""), HYPERLINK(CONCATENATE("#metadata!", ADDRESS(INDEX($X$2:$X$1001,MATCH(ROWS($V$2:V18),$V$2:$V$1001,0),0), INDEX($AC$1004:$AS$1004,1,MATCH(COLUMNS($AC$1006:AI1006),$AC$1006:$AS$1006,0)))),"Fix")))</f>
        <v xml:space="preserve"> </v>
      </c>
      <c r="I18" s="4" t="str">
        <f ca="1">IF(OR(INDEX($W$2:$W$1001,MATCH(ROWS($V$2:V18),$V$2:$V$1001,0),1)&gt;=100000,INDEX($AC$1005:$AS$1005,1,MATCH(COLUMNS($AC$1006:AJ1006),$AC$1006:$AS$1006,0))&gt;=100000), " ",IF(INDEX($AC$2:$AS$1001,MATCH(ROWS($V$2:V18),$V$2:$V$1001,0),MATCH(COLUMNS($AC$1006:AJ1006),$AC$1006:$AS$1006,0)), HYPERLINK("#",""), HYPERLINK(CONCATENATE("#metadata!", ADDRESS(INDEX($X$2:$X$1001,MATCH(ROWS($V$2:V18),$V$2:$V$1001,0),0), INDEX($AC$1004:$AS$1004,1,MATCH(COLUMNS($AC$1006:AJ1006),$AC$1006:$AS$1006,0)))),"Fix")))</f>
        <v xml:space="preserve"> </v>
      </c>
      <c r="J18" s="4" t="str">
        <f ca="1">IF(OR(INDEX($W$2:$W$1001,MATCH(ROWS($V$2:V18),$V$2:$V$1001,0),1)&gt;=100000,INDEX($AC$1005:$AS$1005,1,MATCH(COLUMNS($AC$1006:AK1006),$AC$1006:$AS$1006,0))&gt;=100000), " ",IF(INDEX($AC$2:$AS$1001,MATCH(ROWS($V$2:V18),$V$2:$V$1001,0),MATCH(COLUMNS($AC$1006:AK1006),$AC$1006:$AS$1006,0)), HYPERLINK("#",""), HYPERLINK(CONCATENATE("#metadata!", ADDRESS(INDEX($X$2:$X$1001,MATCH(ROWS($V$2:V18),$V$2:$V$1001,0),0), INDEX($AC$1004:$AS$1004,1,MATCH(COLUMNS($AC$1006:AK1006),$AC$1006:$AS$1006,0)))),"Fix")))</f>
        <v xml:space="preserve"> </v>
      </c>
      <c r="K18" s="4" t="str">
        <f ca="1">IF(OR(INDEX($W$2:$W$1001,MATCH(ROWS($V$2:V18),$V$2:$V$1001,0),1)&gt;=100000,INDEX($AC$1005:$AS$1005,1,MATCH(COLUMNS($AC$1006:AL1006),$AC$1006:$AS$1006,0))&gt;=100000), " ",IF(INDEX($AC$2:$AS$1001,MATCH(ROWS($V$2:V18),$V$2:$V$1001,0),MATCH(COLUMNS($AC$1006:AL1006),$AC$1006:$AS$1006,0)), HYPERLINK("#",""), HYPERLINK(CONCATENATE("#metadata!", ADDRESS(INDEX($X$2:$X$1001,MATCH(ROWS($V$2:V18),$V$2:$V$1001,0),0), INDEX($AC$1004:$AS$1004,1,MATCH(COLUMNS($AC$1006:AL1006),$AC$1006:$AS$1006,0)))),"Fix")))</f>
        <v xml:space="preserve"> </v>
      </c>
      <c r="L18" s="4" t="str">
        <f ca="1">IF(OR(INDEX($W$2:$W$1001,MATCH(ROWS($V$2:V18),$V$2:$V$1001,0),1)&gt;=100000,INDEX($AC$1005:$AS$1005,1,MATCH(COLUMNS($AC$1006:AM1006),$AC$1006:$AS$1006,0))&gt;=100000), " ",IF(INDEX($AC$2:$AS$1001,MATCH(ROWS($V$2:V18),$V$2:$V$1001,0),MATCH(COLUMNS($AC$1006:AM1006),$AC$1006:$AS$1006,0)), HYPERLINK("#",""), HYPERLINK(CONCATENATE("#metadata!", ADDRESS(INDEX($X$2:$X$1001,MATCH(ROWS($V$2:V18),$V$2:$V$1001,0),0), INDEX($AC$1004:$AS$1004,1,MATCH(COLUMNS($AC$1006:AM1006),$AC$1006:$AS$1006,0)))),"Fix")))</f>
        <v xml:space="preserve"> </v>
      </c>
      <c r="M18" s="4" t="str">
        <f ca="1">IF(OR(INDEX($W$2:$W$1001,MATCH(ROWS($V$2:V18),$V$2:$V$1001,0),1)&gt;=100000,INDEX($AC$1005:$AS$1005,1,MATCH(COLUMNS($AC$1006:AN1006),$AC$1006:$AS$1006,0))&gt;=100000), " ",IF(INDEX($AC$2:$AS$1001,MATCH(ROWS($V$2:V18),$V$2:$V$1001,0),MATCH(COLUMNS($AC$1006:AN1006),$AC$1006:$AS$1006,0)), HYPERLINK("#",""), HYPERLINK(CONCATENATE("#metadata!", ADDRESS(INDEX($X$2:$X$1001,MATCH(ROWS($V$2:V18),$V$2:$V$1001,0),0), INDEX($AC$1004:$AS$1004,1,MATCH(COLUMNS($AC$1006:AN1006),$AC$1006:$AS$1006,0)))),"Fix")))</f>
        <v xml:space="preserve"> </v>
      </c>
      <c r="N18" s="4" t="str">
        <f ca="1">IF(OR(INDEX($W$2:$W$1001,MATCH(ROWS($V$2:V18),$V$2:$V$1001,0),1)&gt;=100000,INDEX($AC$1005:$AS$1005,1,MATCH(COLUMNS($AC$1006:AO1006),$AC$1006:$AS$1006,0))&gt;=100000), " ",IF(INDEX($AC$2:$AS$1001,MATCH(ROWS($V$2:V18),$V$2:$V$1001,0),MATCH(COLUMNS($AC$1006:AO1006),$AC$1006:$AS$1006,0)), HYPERLINK("#",""), HYPERLINK(CONCATENATE("#metadata!", ADDRESS(INDEX($X$2:$X$1001,MATCH(ROWS($V$2:V18),$V$2:$V$1001,0),0), INDEX($AC$1004:$AS$1004,1,MATCH(COLUMNS($AC$1006:AO1006),$AC$1006:$AS$1006,0)))),"Fix")))</f>
        <v xml:space="preserve"> </v>
      </c>
      <c r="O18" s="4" t="str">
        <f ca="1">IF(OR(INDEX($W$2:$W$1001,MATCH(ROWS($V$2:V18),$V$2:$V$1001,0),1)&gt;=100000,INDEX($AC$1005:$AS$1005,1,MATCH(COLUMNS($AC$1006:AP1006),$AC$1006:$AS$1006,0))&gt;=100000), " ",IF(INDEX($AC$2:$AS$1001,MATCH(ROWS($V$2:V18),$V$2:$V$1001,0),MATCH(COLUMNS($AC$1006:AP1006),$AC$1006:$AS$1006,0)), HYPERLINK("#",""), HYPERLINK(CONCATENATE("#metadata!", ADDRESS(INDEX($X$2:$X$1001,MATCH(ROWS($V$2:V18),$V$2:$V$1001,0),0), INDEX($AC$1004:$AS$1004,1,MATCH(COLUMNS($AC$1006:AP1006),$AC$1006:$AS$1006,0)))),"Fix")))</f>
        <v xml:space="preserve"> </v>
      </c>
      <c r="P18" s="4" t="str">
        <f ca="1">IF(OR(INDEX($W$2:$W$1001,MATCH(ROWS($V$2:V18),$V$2:$V$1001,0),1)&gt;=100000,INDEX($AC$1005:$AS$1005,1,MATCH(COLUMNS($AC$1006:AQ1006),$AC$1006:$AS$1006,0))&gt;=100000), " ",IF(INDEX($AC$2:$AS$1001,MATCH(ROWS($V$2:V18),$V$2:$V$1001,0),MATCH(COLUMNS($AC$1006:AQ1006),$AC$1006:$AS$1006,0)), HYPERLINK("#",""), HYPERLINK(CONCATENATE("#metadata!", ADDRESS(INDEX($X$2:$X$1001,MATCH(ROWS($V$2:V18),$V$2:$V$1001,0),0), INDEX($AC$1004:$AS$1004,1,MATCH(COLUMNS($AC$1006:AQ1006),$AC$1006:$AS$1006,0)))),"Fix")))</f>
        <v xml:space="preserve"> </v>
      </c>
      <c r="Q18" s="4" t="str">
        <f ca="1">IF(OR(INDEX($W$2:$W$1001,MATCH(ROWS($V$2:V18),$V$2:$V$1001,0),1)&gt;=100000,INDEX($AC$1005:$AS$1005,1,MATCH(COLUMNS($AC$1006:AR1006),$AC$1006:$AS$1006,0))&gt;=100000), " ",IF(INDEX($AC$2:$AS$1001,MATCH(ROWS($V$2:V18),$V$2:$V$1001,0),MATCH(COLUMNS($AC$1006:AR1006),$AC$1006:$AS$1006,0)), HYPERLINK("#",""), HYPERLINK(CONCATENATE("#metadata!", ADDRESS(INDEX($X$2:$X$1001,MATCH(ROWS($V$2:V18),$V$2:$V$1001,0),0), INDEX($AC$1004:$AS$1004,1,MATCH(COLUMNS($AC$1006:AR1006),$AC$1006:$AS$1006,0)))),"Fix")))</f>
        <v xml:space="preserve"> </v>
      </c>
      <c r="R18" s="4" t="str">
        <f ca="1">IF(OR(INDEX($W$2:$W$1001,MATCH(ROWS($V$2:V18),$V$2:$V$1001,0),1)&gt;=100000,INDEX($AC$1005:$AS$1005,1,MATCH(COLUMNS($AC$1006:AS1006),$AC$1006:$AS$1006,0))&gt;=100000), " ",IF(INDEX($AC$2:$AS$1001,MATCH(ROWS($V$2:V18),$V$2:$V$1001,0),MATCH(COLUMNS($AC$1006:AS1006),$AC$1006:$AS$1006,0)), HYPERLINK("#",""), HYPERLINK(CONCATENATE("#metadata!", ADDRESS(INDEX($X$2:$X$1001,MATCH(ROWS($V$2:V18),$V$2:$V$1001,0),0), INDEX($AC$1004:$AS$1004,1,MATCH(COLUMNS($AC$1006:AS1006),$AC$1006:$AS$1006,0)))),"Fix")))</f>
        <v xml:space="preserve"> </v>
      </c>
      <c r="V18">
        <v>17</v>
      </c>
      <c r="W18">
        <v>100018</v>
      </c>
      <c r="X18">
        <v>18</v>
      </c>
      <c r="Y18" t="b">
        <f t="shared" si="0"/>
        <v>1</v>
      </c>
      <c r="Z18" t="b">
        <f>COUNTBLANK(metadata!B18:R18)=COLUMNS(metadata!B18:R18)</f>
        <v>1</v>
      </c>
      <c r="AA18" t="str">
        <v/>
      </c>
      <c r="AC18" t="b">
        <f ca="1"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AD18" t="b">
        <f>IF(metadata!C18="",FALSE,ISNUMBER(VALUE(metadata!C18)))</f>
        <v>0</v>
      </c>
      <c r="AE18" t="b">
        <f>AND(IF(metadata!D18="",FALSE,TRUE),EXACT(metadata!D18,"years"))</f>
        <v>0</v>
      </c>
      <c r="AF18" t="b">
        <f>OR(AND(IF(metadata!E18="",FALSE,TRUE),OR(EXACT(metadata!E18,"not applicable"),EXACT(metadata!E18,"missing: not collected"),EXACT(metadata!E18,"missing: not provided"),EXACT(metadata!E18,"missing: restricted access"))),AND(IF(metadata!E18="",FALSE,ISNUMBER(VALUE(metadata!E18))),metadata!E18&gt;0))</f>
        <v>0</v>
      </c>
      <c r="AG18" t="b">
        <f>AND(IF(metadata!F18="",FALSE,TRUE),EXACT(metadata!F18,"Not applicable"))</f>
        <v>0</v>
      </c>
      <c r="AH18" t="b">
        <f>AND(IF(metadata!G18="",FALSE,TRUE),EXACT(metadata!G18,"urban biome"))</f>
        <v>0</v>
      </c>
      <c r="AI18" t="b">
        <f>AND(IF(metadata!H18="",FALSE,TRUE),EXACT(metadata!H18,"human-associated habitat"))</f>
        <v>0</v>
      </c>
      <c r="AJ18" t="b">
        <f>AND(IF(metadata!I18="",FALSE,TRUE),OR(EXACT(metadata!I18,"human-associated"),EXACT(metadata!I18,"human-skin"),EXACT(metadata!I18,"human-oral"),EXACT(metadata!I18,"human-gut"),EXACT(metadata!I18,"human-vaginal")))</f>
        <v>0</v>
      </c>
      <c r="AK18" t="b">
        <f>IF(metadata!J18="",FALSE,ISNUMBER(VALUE(metadata!J18)))</f>
        <v>0</v>
      </c>
      <c r="AL18" t="b">
        <f>AND(IF(metadata!K18="",FALSE,TRUE),EXACT(metadata!K18,"cm"))</f>
        <v>0</v>
      </c>
      <c r="AM18" t="b">
        <f>AND(IF(metadata!L18="",FALSE,TRUE),EXACT(metadata!L18,"human"))</f>
        <v>0</v>
      </c>
      <c r="AN18" t="b">
        <f>AND(IF(metadata!M18="",FALSE,TRUE),EXACT(metadata!M18,"Homo sapiens"))</f>
        <v>0</v>
      </c>
      <c r="AO18" t="b">
        <f>AND(IF(metadata!N18="",FALSE,TRUE),EXACT(metadata!N18,"9606"))</f>
        <v>0</v>
      </c>
      <c r="AP18" t="b">
        <f>IF(metadata!O18="",FALSE,TRUE)</f>
        <v>0</v>
      </c>
      <c r="AQ18" t="b">
        <f>IF(metadata!P18="",FALSE,TRUE)</f>
        <v>0</v>
      </c>
      <c r="AR18" t="b">
        <f>IF(metadata!Q18="",FALSE,ISNUMBER(VALUE(metadata!Q18)))</f>
        <v>0</v>
      </c>
      <c r="AS18" t="b">
        <f>AND(IF(metadata!R18="",FALSE,TRUE),EXACT(metadata!R18,"kg"))</f>
        <v>0</v>
      </c>
    </row>
    <row r="19" spans="1:45" x14ac:dyDescent="0.2">
      <c r="A19" s="5" t="str">
        <f ca="1">IF(B19=" "," ",HYPERLINK(CONCATENATE("#metadata!",ADDRESS(INDEX($X$2:$X$1001,MATCH(ROWS($V$2:V19),$V$2:$V$1001,0),0),1)),INDEX($AA$2:$AA$1001,MATCH(ROWS($V$2:V19),$V$2:$V$1001,0),0)))</f>
        <v xml:space="preserve"> </v>
      </c>
      <c r="B19" s="4" t="str">
        <f ca="1">IF(OR(INDEX($W$2:$W$1001,MATCH(ROWS($V$2:V19),$V$2:$V$1001,0),1)&gt;=100000,INDEX($AC$1005:$AS$1005,1,MATCH(COLUMNS($AC$1006:AC1006),$AC$1006:$AS$1006,0))&gt;=100000), " ",IF(INDEX($AC$2:$AS$1001,MATCH(ROWS($V$2:V19),$V$2:$V$1001,0),MATCH(COLUMNS($AC$1006:AC1006),$AC$1006:$AS$1006,0)), HYPERLINK("#",""), HYPERLINK(CONCATENATE("#metadata!", ADDRESS(INDEX($X$2:$X$1001,MATCH(ROWS($V$2:V19),$V$2:$V$1001,0),0), INDEX($AC$1004:$AS$1004,1,MATCH(COLUMNS($AC$1006:AC1006),$AC$1006:$AS$1006,0)))),"Fix")))</f>
        <v xml:space="preserve"> </v>
      </c>
      <c r="C19" s="4" t="str">
        <f ca="1">IF(OR(INDEX($W$2:$W$1001,MATCH(ROWS($V$2:V19),$V$2:$V$1001,0),1)&gt;=100000,INDEX($AC$1005:$AS$1005,1,MATCH(COLUMNS($AC$1006:AD1006),$AC$1006:$AS$1006,0))&gt;=100000), " ",IF(INDEX($AC$2:$AS$1001,MATCH(ROWS($V$2:V19),$V$2:$V$1001,0),MATCH(COLUMNS($AC$1006:AD1006),$AC$1006:$AS$1006,0)), HYPERLINK("#",""), HYPERLINK(CONCATENATE("#metadata!", ADDRESS(INDEX($X$2:$X$1001,MATCH(ROWS($V$2:V19),$V$2:$V$1001,0),0), INDEX($AC$1004:$AS$1004,1,MATCH(COLUMNS($AC$1006:AD1006),$AC$1006:$AS$1006,0)))),"Fix")))</f>
        <v xml:space="preserve"> </v>
      </c>
      <c r="D19" s="4" t="str">
        <f ca="1">IF(OR(INDEX($W$2:$W$1001,MATCH(ROWS($V$2:V19),$V$2:$V$1001,0),1)&gt;=100000,INDEX($AC$1005:$AS$1005,1,MATCH(COLUMNS($AC$1006:AE1006),$AC$1006:$AS$1006,0))&gt;=100000), " ",IF(INDEX($AC$2:$AS$1001,MATCH(ROWS($V$2:V19),$V$2:$V$1001,0),MATCH(COLUMNS($AC$1006:AE1006),$AC$1006:$AS$1006,0)), HYPERLINK("#",""), HYPERLINK(CONCATENATE("#metadata!", ADDRESS(INDEX($X$2:$X$1001,MATCH(ROWS($V$2:V19),$V$2:$V$1001,0),0), INDEX($AC$1004:$AS$1004,1,MATCH(COLUMNS($AC$1006:AE1006),$AC$1006:$AS$1006,0)))),"Fix")))</f>
        <v xml:space="preserve"> </v>
      </c>
      <c r="E19" s="4" t="str">
        <f ca="1">IF(OR(INDEX($W$2:$W$1001,MATCH(ROWS($V$2:V19),$V$2:$V$1001,0),1)&gt;=100000,INDEX($AC$1005:$AS$1005,1,MATCH(COLUMNS($AC$1006:AF1006),$AC$1006:$AS$1006,0))&gt;=100000), " ",IF(INDEX($AC$2:$AS$1001,MATCH(ROWS($V$2:V19),$V$2:$V$1001,0),MATCH(COLUMNS($AC$1006:AF1006),$AC$1006:$AS$1006,0)), HYPERLINK("#",""), HYPERLINK(CONCATENATE("#metadata!", ADDRESS(INDEX($X$2:$X$1001,MATCH(ROWS($V$2:V19),$V$2:$V$1001,0),0), INDEX($AC$1004:$AS$1004,1,MATCH(COLUMNS($AC$1006:AF1006),$AC$1006:$AS$1006,0)))),"Fix")))</f>
        <v xml:space="preserve"> </v>
      </c>
      <c r="F19" s="4" t="str">
        <f ca="1">IF(OR(INDEX($W$2:$W$1001,MATCH(ROWS($V$2:V19),$V$2:$V$1001,0),1)&gt;=100000,INDEX($AC$1005:$AS$1005,1,MATCH(COLUMNS($AC$1006:AG1006),$AC$1006:$AS$1006,0))&gt;=100000), " ",IF(INDEX($AC$2:$AS$1001,MATCH(ROWS($V$2:V19),$V$2:$V$1001,0),MATCH(COLUMNS($AC$1006:AG1006),$AC$1006:$AS$1006,0)), HYPERLINK("#",""), HYPERLINK(CONCATENATE("#metadata!", ADDRESS(INDEX($X$2:$X$1001,MATCH(ROWS($V$2:V19),$V$2:$V$1001,0),0), INDEX($AC$1004:$AS$1004,1,MATCH(COLUMNS($AC$1006:AG1006),$AC$1006:$AS$1006,0)))),"Fix")))</f>
        <v xml:space="preserve"> </v>
      </c>
      <c r="G19" s="4" t="str">
        <f ca="1">IF(OR(INDEX($W$2:$W$1001,MATCH(ROWS($V$2:V19),$V$2:$V$1001,0),1)&gt;=100000,INDEX($AC$1005:$AS$1005,1,MATCH(COLUMNS($AC$1006:AH1006),$AC$1006:$AS$1006,0))&gt;=100000), " ",IF(INDEX($AC$2:$AS$1001,MATCH(ROWS($V$2:V19),$V$2:$V$1001,0),MATCH(COLUMNS($AC$1006:AH1006),$AC$1006:$AS$1006,0)), HYPERLINK("#",""), HYPERLINK(CONCATENATE("#metadata!", ADDRESS(INDEX($X$2:$X$1001,MATCH(ROWS($V$2:V19),$V$2:$V$1001,0),0), INDEX($AC$1004:$AS$1004,1,MATCH(COLUMNS($AC$1006:AH1006),$AC$1006:$AS$1006,0)))),"Fix")))</f>
        <v xml:space="preserve"> </v>
      </c>
      <c r="H19" s="4" t="str">
        <f ca="1">IF(OR(INDEX($W$2:$W$1001,MATCH(ROWS($V$2:V19),$V$2:$V$1001,0),1)&gt;=100000,INDEX($AC$1005:$AS$1005,1,MATCH(COLUMNS($AC$1006:AI1006),$AC$1006:$AS$1006,0))&gt;=100000), " ",IF(INDEX($AC$2:$AS$1001,MATCH(ROWS($V$2:V19),$V$2:$V$1001,0),MATCH(COLUMNS($AC$1006:AI1006),$AC$1006:$AS$1006,0)), HYPERLINK("#",""), HYPERLINK(CONCATENATE("#metadata!", ADDRESS(INDEX($X$2:$X$1001,MATCH(ROWS($V$2:V19),$V$2:$V$1001,0),0), INDEX($AC$1004:$AS$1004,1,MATCH(COLUMNS($AC$1006:AI1006),$AC$1006:$AS$1006,0)))),"Fix")))</f>
        <v xml:space="preserve"> </v>
      </c>
      <c r="I19" s="4" t="str">
        <f ca="1">IF(OR(INDEX($W$2:$W$1001,MATCH(ROWS($V$2:V19),$V$2:$V$1001,0),1)&gt;=100000,INDEX($AC$1005:$AS$1005,1,MATCH(COLUMNS($AC$1006:AJ1006),$AC$1006:$AS$1006,0))&gt;=100000), " ",IF(INDEX($AC$2:$AS$1001,MATCH(ROWS($V$2:V19),$V$2:$V$1001,0),MATCH(COLUMNS($AC$1006:AJ1006),$AC$1006:$AS$1006,0)), HYPERLINK("#",""), HYPERLINK(CONCATENATE("#metadata!", ADDRESS(INDEX($X$2:$X$1001,MATCH(ROWS($V$2:V19),$V$2:$V$1001,0),0), INDEX($AC$1004:$AS$1004,1,MATCH(COLUMNS($AC$1006:AJ1006),$AC$1006:$AS$1006,0)))),"Fix")))</f>
        <v xml:space="preserve"> </v>
      </c>
      <c r="J19" s="4" t="str">
        <f ca="1">IF(OR(INDEX($W$2:$W$1001,MATCH(ROWS($V$2:V19),$V$2:$V$1001,0),1)&gt;=100000,INDEX($AC$1005:$AS$1005,1,MATCH(COLUMNS($AC$1006:AK1006),$AC$1006:$AS$1006,0))&gt;=100000), " ",IF(INDEX($AC$2:$AS$1001,MATCH(ROWS($V$2:V19),$V$2:$V$1001,0),MATCH(COLUMNS($AC$1006:AK1006),$AC$1006:$AS$1006,0)), HYPERLINK("#",""), HYPERLINK(CONCATENATE("#metadata!", ADDRESS(INDEX($X$2:$X$1001,MATCH(ROWS($V$2:V19),$V$2:$V$1001,0),0), INDEX($AC$1004:$AS$1004,1,MATCH(COLUMNS($AC$1006:AK1006),$AC$1006:$AS$1006,0)))),"Fix")))</f>
        <v xml:space="preserve"> </v>
      </c>
      <c r="K19" s="4" t="str">
        <f ca="1">IF(OR(INDEX($W$2:$W$1001,MATCH(ROWS($V$2:V19),$V$2:$V$1001,0),1)&gt;=100000,INDEX($AC$1005:$AS$1005,1,MATCH(COLUMNS($AC$1006:AL1006),$AC$1006:$AS$1006,0))&gt;=100000), " ",IF(INDEX($AC$2:$AS$1001,MATCH(ROWS($V$2:V19),$V$2:$V$1001,0),MATCH(COLUMNS($AC$1006:AL1006),$AC$1006:$AS$1006,0)), HYPERLINK("#",""), HYPERLINK(CONCATENATE("#metadata!", ADDRESS(INDEX($X$2:$X$1001,MATCH(ROWS($V$2:V19),$V$2:$V$1001,0),0), INDEX($AC$1004:$AS$1004,1,MATCH(COLUMNS($AC$1006:AL1006),$AC$1006:$AS$1006,0)))),"Fix")))</f>
        <v xml:space="preserve"> </v>
      </c>
      <c r="L19" s="4" t="str">
        <f ca="1">IF(OR(INDEX($W$2:$W$1001,MATCH(ROWS($V$2:V19),$V$2:$V$1001,0),1)&gt;=100000,INDEX($AC$1005:$AS$1005,1,MATCH(COLUMNS($AC$1006:AM1006),$AC$1006:$AS$1006,0))&gt;=100000), " ",IF(INDEX($AC$2:$AS$1001,MATCH(ROWS($V$2:V19),$V$2:$V$1001,0),MATCH(COLUMNS($AC$1006:AM1006),$AC$1006:$AS$1006,0)), HYPERLINK("#",""), HYPERLINK(CONCATENATE("#metadata!", ADDRESS(INDEX($X$2:$X$1001,MATCH(ROWS($V$2:V19),$V$2:$V$1001,0),0), INDEX($AC$1004:$AS$1004,1,MATCH(COLUMNS($AC$1006:AM1006),$AC$1006:$AS$1006,0)))),"Fix")))</f>
        <v xml:space="preserve"> </v>
      </c>
      <c r="M19" s="4" t="str">
        <f ca="1">IF(OR(INDEX($W$2:$W$1001,MATCH(ROWS($V$2:V19),$V$2:$V$1001,0),1)&gt;=100000,INDEX($AC$1005:$AS$1005,1,MATCH(COLUMNS($AC$1006:AN1006),$AC$1006:$AS$1006,0))&gt;=100000), " ",IF(INDEX($AC$2:$AS$1001,MATCH(ROWS($V$2:V19),$V$2:$V$1001,0),MATCH(COLUMNS($AC$1006:AN1006),$AC$1006:$AS$1006,0)), HYPERLINK("#",""), HYPERLINK(CONCATENATE("#metadata!", ADDRESS(INDEX($X$2:$X$1001,MATCH(ROWS($V$2:V19),$V$2:$V$1001,0),0), INDEX($AC$1004:$AS$1004,1,MATCH(COLUMNS($AC$1006:AN1006),$AC$1006:$AS$1006,0)))),"Fix")))</f>
        <v xml:space="preserve"> </v>
      </c>
      <c r="N19" s="4" t="str">
        <f ca="1">IF(OR(INDEX($W$2:$W$1001,MATCH(ROWS($V$2:V19),$V$2:$V$1001,0),1)&gt;=100000,INDEX($AC$1005:$AS$1005,1,MATCH(COLUMNS($AC$1006:AO1006),$AC$1006:$AS$1006,0))&gt;=100000), " ",IF(INDEX($AC$2:$AS$1001,MATCH(ROWS($V$2:V19),$V$2:$V$1001,0),MATCH(COLUMNS($AC$1006:AO1006),$AC$1006:$AS$1006,0)), HYPERLINK("#",""), HYPERLINK(CONCATENATE("#metadata!", ADDRESS(INDEX($X$2:$X$1001,MATCH(ROWS($V$2:V19),$V$2:$V$1001,0),0), INDEX($AC$1004:$AS$1004,1,MATCH(COLUMNS($AC$1006:AO1006),$AC$1006:$AS$1006,0)))),"Fix")))</f>
        <v xml:space="preserve"> </v>
      </c>
      <c r="O19" s="4" t="str">
        <f ca="1">IF(OR(INDEX($W$2:$W$1001,MATCH(ROWS($V$2:V19),$V$2:$V$1001,0),1)&gt;=100000,INDEX($AC$1005:$AS$1005,1,MATCH(COLUMNS($AC$1006:AP1006),$AC$1006:$AS$1006,0))&gt;=100000), " ",IF(INDEX($AC$2:$AS$1001,MATCH(ROWS($V$2:V19),$V$2:$V$1001,0),MATCH(COLUMNS($AC$1006:AP1006),$AC$1006:$AS$1006,0)), HYPERLINK("#",""), HYPERLINK(CONCATENATE("#metadata!", ADDRESS(INDEX($X$2:$X$1001,MATCH(ROWS($V$2:V19),$V$2:$V$1001,0),0), INDEX($AC$1004:$AS$1004,1,MATCH(COLUMNS($AC$1006:AP1006),$AC$1006:$AS$1006,0)))),"Fix")))</f>
        <v xml:space="preserve"> </v>
      </c>
      <c r="P19" s="4" t="str">
        <f ca="1">IF(OR(INDEX($W$2:$W$1001,MATCH(ROWS($V$2:V19),$V$2:$V$1001,0),1)&gt;=100000,INDEX($AC$1005:$AS$1005,1,MATCH(COLUMNS($AC$1006:AQ1006),$AC$1006:$AS$1006,0))&gt;=100000), " ",IF(INDEX($AC$2:$AS$1001,MATCH(ROWS($V$2:V19),$V$2:$V$1001,0),MATCH(COLUMNS($AC$1006:AQ1006),$AC$1006:$AS$1006,0)), HYPERLINK("#",""), HYPERLINK(CONCATENATE("#metadata!", ADDRESS(INDEX($X$2:$X$1001,MATCH(ROWS($V$2:V19),$V$2:$V$1001,0),0), INDEX($AC$1004:$AS$1004,1,MATCH(COLUMNS($AC$1006:AQ1006),$AC$1006:$AS$1006,0)))),"Fix")))</f>
        <v xml:space="preserve"> </v>
      </c>
      <c r="Q19" s="4" t="str">
        <f ca="1">IF(OR(INDEX($W$2:$W$1001,MATCH(ROWS($V$2:V19),$V$2:$V$1001,0),1)&gt;=100000,INDEX($AC$1005:$AS$1005,1,MATCH(COLUMNS($AC$1006:AR1006),$AC$1006:$AS$1006,0))&gt;=100000), " ",IF(INDEX($AC$2:$AS$1001,MATCH(ROWS($V$2:V19),$V$2:$V$1001,0),MATCH(COLUMNS($AC$1006:AR1006),$AC$1006:$AS$1006,0)), HYPERLINK("#",""), HYPERLINK(CONCATENATE("#metadata!", ADDRESS(INDEX($X$2:$X$1001,MATCH(ROWS($V$2:V19),$V$2:$V$1001,0),0), INDEX($AC$1004:$AS$1004,1,MATCH(COLUMNS($AC$1006:AR1006),$AC$1006:$AS$1006,0)))),"Fix")))</f>
        <v xml:space="preserve"> </v>
      </c>
      <c r="R19" s="4" t="str">
        <f ca="1">IF(OR(INDEX($W$2:$W$1001,MATCH(ROWS($V$2:V19),$V$2:$V$1001,0),1)&gt;=100000,INDEX($AC$1005:$AS$1005,1,MATCH(COLUMNS($AC$1006:AS1006),$AC$1006:$AS$1006,0))&gt;=100000), " ",IF(INDEX($AC$2:$AS$1001,MATCH(ROWS($V$2:V19),$V$2:$V$1001,0),MATCH(COLUMNS($AC$1006:AS1006),$AC$1006:$AS$1006,0)), HYPERLINK("#",""), HYPERLINK(CONCATENATE("#metadata!", ADDRESS(INDEX($X$2:$X$1001,MATCH(ROWS($V$2:V19),$V$2:$V$1001,0),0), INDEX($AC$1004:$AS$1004,1,MATCH(COLUMNS($AC$1006:AS1006),$AC$1006:$AS$1006,0)))),"Fix")))</f>
        <v xml:space="preserve"> </v>
      </c>
      <c r="V19">
        <v>18</v>
      </c>
      <c r="W19">
        <v>100019</v>
      </c>
      <c r="X19">
        <v>19</v>
      </c>
      <c r="Y19" t="b">
        <f t="shared" si="0"/>
        <v>1</v>
      </c>
      <c r="Z19" t="b">
        <f>COUNTBLANK(metadata!B19:R19)=COLUMNS(metadata!B19:R19)</f>
        <v>1</v>
      </c>
      <c r="AA19" t="str">
        <v/>
      </c>
      <c r="AC19" t="b">
        <f ca="1"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AD19" t="b">
        <f>IF(metadata!C19="",FALSE,ISNUMBER(VALUE(metadata!C19)))</f>
        <v>0</v>
      </c>
      <c r="AE19" t="b">
        <f>AND(IF(metadata!D19="",FALSE,TRUE),EXACT(metadata!D19,"years"))</f>
        <v>0</v>
      </c>
      <c r="AF19" t="b">
        <f>OR(AND(IF(metadata!E19="",FALSE,TRUE),OR(EXACT(metadata!E19,"not applicable"),EXACT(metadata!E19,"missing: not collected"),EXACT(metadata!E19,"missing: not provided"),EXACT(metadata!E19,"missing: restricted access"))),AND(IF(metadata!E19="",FALSE,ISNUMBER(VALUE(metadata!E19))),metadata!E19&gt;0))</f>
        <v>0</v>
      </c>
      <c r="AG19" t="b">
        <f>AND(IF(metadata!F19="",FALSE,TRUE),EXACT(metadata!F19,"Not applicable"))</f>
        <v>0</v>
      </c>
      <c r="AH19" t="b">
        <f>AND(IF(metadata!G19="",FALSE,TRUE),EXACT(metadata!G19,"urban biome"))</f>
        <v>0</v>
      </c>
      <c r="AI19" t="b">
        <f>AND(IF(metadata!H19="",FALSE,TRUE),EXACT(metadata!H19,"human-associated habitat"))</f>
        <v>0</v>
      </c>
      <c r="AJ19" t="b">
        <f>AND(IF(metadata!I19="",FALSE,TRUE),OR(EXACT(metadata!I19,"human-associated"),EXACT(metadata!I19,"human-skin"),EXACT(metadata!I19,"human-oral"),EXACT(metadata!I19,"human-gut"),EXACT(metadata!I19,"human-vaginal")))</f>
        <v>0</v>
      </c>
      <c r="AK19" t="b">
        <f>IF(metadata!J19="",FALSE,ISNUMBER(VALUE(metadata!J19)))</f>
        <v>0</v>
      </c>
      <c r="AL19" t="b">
        <f>AND(IF(metadata!K19="",FALSE,TRUE),EXACT(metadata!K19,"cm"))</f>
        <v>0</v>
      </c>
      <c r="AM19" t="b">
        <f>AND(IF(metadata!L19="",FALSE,TRUE),EXACT(metadata!L19,"human"))</f>
        <v>0</v>
      </c>
      <c r="AN19" t="b">
        <f>AND(IF(metadata!M19="",FALSE,TRUE),EXACT(metadata!M19,"Homo sapiens"))</f>
        <v>0</v>
      </c>
      <c r="AO19" t="b">
        <f>AND(IF(metadata!N19="",FALSE,TRUE),EXACT(metadata!N19,"9606"))</f>
        <v>0</v>
      </c>
      <c r="AP19" t="b">
        <f>IF(metadata!O19="",FALSE,TRUE)</f>
        <v>0</v>
      </c>
      <c r="AQ19" t="b">
        <f>IF(metadata!P19="",FALSE,TRUE)</f>
        <v>0</v>
      </c>
      <c r="AR19" t="b">
        <f>IF(metadata!Q19="",FALSE,ISNUMBER(VALUE(metadata!Q19)))</f>
        <v>0</v>
      </c>
      <c r="AS19" t="b">
        <f>AND(IF(metadata!R19="",FALSE,TRUE),EXACT(metadata!R19,"kg"))</f>
        <v>0</v>
      </c>
    </row>
    <row r="20" spans="1:45" x14ac:dyDescent="0.2">
      <c r="A20" s="5" t="str">
        <f ca="1">IF(B20=" "," ",HYPERLINK(CONCATENATE("#metadata!",ADDRESS(INDEX($X$2:$X$1001,MATCH(ROWS($V$2:V20),$V$2:$V$1001,0),0),1)),INDEX($AA$2:$AA$1001,MATCH(ROWS($V$2:V20),$V$2:$V$1001,0),0)))</f>
        <v xml:space="preserve"> </v>
      </c>
      <c r="B20" s="4" t="str">
        <f ca="1">IF(OR(INDEX($W$2:$W$1001,MATCH(ROWS($V$2:V20),$V$2:$V$1001,0),1)&gt;=100000,INDEX($AC$1005:$AS$1005,1,MATCH(COLUMNS($AC$1006:AC1006),$AC$1006:$AS$1006,0))&gt;=100000), " ",IF(INDEX($AC$2:$AS$1001,MATCH(ROWS($V$2:V20),$V$2:$V$1001,0),MATCH(COLUMNS($AC$1006:AC1006),$AC$1006:$AS$1006,0)), HYPERLINK("#",""), HYPERLINK(CONCATENATE("#metadata!", ADDRESS(INDEX($X$2:$X$1001,MATCH(ROWS($V$2:V20),$V$2:$V$1001,0),0), INDEX($AC$1004:$AS$1004,1,MATCH(COLUMNS($AC$1006:AC1006),$AC$1006:$AS$1006,0)))),"Fix")))</f>
        <v xml:space="preserve"> </v>
      </c>
      <c r="C20" s="4" t="str">
        <f ca="1">IF(OR(INDEX($W$2:$W$1001,MATCH(ROWS($V$2:V20),$V$2:$V$1001,0),1)&gt;=100000,INDEX($AC$1005:$AS$1005,1,MATCH(COLUMNS($AC$1006:AD1006),$AC$1006:$AS$1006,0))&gt;=100000), " ",IF(INDEX($AC$2:$AS$1001,MATCH(ROWS($V$2:V20),$V$2:$V$1001,0),MATCH(COLUMNS($AC$1006:AD1006),$AC$1006:$AS$1006,0)), HYPERLINK("#",""), HYPERLINK(CONCATENATE("#metadata!", ADDRESS(INDEX($X$2:$X$1001,MATCH(ROWS($V$2:V20),$V$2:$V$1001,0),0), INDEX($AC$1004:$AS$1004,1,MATCH(COLUMNS($AC$1006:AD1006),$AC$1006:$AS$1006,0)))),"Fix")))</f>
        <v xml:space="preserve"> </v>
      </c>
      <c r="D20" s="4" t="str">
        <f ca="1">IF(OR(INDEX($W$2:$W$1001,MATCH(ROWS($V$2:V20),$V$2:$V$1001,0),1)&gt;=100000,INDEX($AC$1005:$AS$1005,1,MATCH(COLUMNS($AC$1006:AE1006),$AC$1006:$AS$1006,0))&gt;=100000), " ",IF(INDEX($AC$2:$AS$1001,MATCH(ROWS($V$2:V20),$V$2:$V$1001,0),MATCH(COLUMNS($AC$1006:AE1006),$AC$1006:$AS$1006,0)), HYPERLINK("#",""), HYPERLINK(CONCATENATE("#metadata!", ADDRESS(INDEX($X$2:$X$1001,MATCH(ROWS($V$2:V20),$V$2:$V$1001,0),0), INDEX($AC$1004:$AS$1004,1,MATCH(COLUMNS($AC$1006:AE1006),$AC$1006:$AS$1006,0)))),"Fix")))</f>
        <v xml:space="preserve"> </v>
      </c>
      <c r="E20" s="4" t="str">
        <f ca="1">IF(OR(INDEX($W$2:$W$1001,MATCH(ROWS($V$2:V20),$V$2:$V$1001,0),1)&gt;=100000,INDEX($AC$1005:$AS$1005,1,MATCH(COLUMNS($AC$1006:AF1006),$AC$1006:$AS$1006,0))&gt;=100000), " ",IF(INDEX($AC$2:$AS$1001,MATCH(ROWS($V$2:V20),$V$2:$V$1001,0),MATCH(COLUMNS($AC$1006:AF1006),$AC$1006:$AS$1006,0)), HYPERLINK("#",""), HYPERLINK(CONCATENATE("#metadata!", ADDRESS(INDEX($X$2:$X$1001,MATCH(ROWS($V$2:V20),$V$2:$V$1001,0),0), INDEX($AC$1004:$AS$1004,1,MATCH(COLUMNS($AC$1006:AF1006),$AC$1006:$AS$1006,0)))),"Fix")))</f>
        <v xml:space="preserve"> </v>
      </c>
      <c r="F20" s="4" t="str">
        <f ca="1">IF(OR(INDEX($W$2:$W$1001,MATCH(ROWS($V$2:V20),$V$2:$V$1001,0),1)&gt;=100000,INDEX($AC$1005:$AS$1005,1,MATCH(COLUMNS($AC$1006:AG1006),$AC$1006:$AS$1006,0))&gt;=100000), " ",IF(INDEX($AC$2:$AS$1001,MATCH(ROWS($V$2:V20),$V$2:$V$1001,0),MATCH(COLUMNS($AC$1006:AG1006),$AC$1006:$AS$1006,0)), HYPERLINK("#",""), HYPERLINK(CONCATENATE("#metadata!", ADDRESS(INDEX($X$2:$X$1001,MATCH(ROWS($V$2:V20),$V$2:$V$1001,0),0), INDEX($AC$1004:$AS$1004,1,MATCH(COLUMNS($AC$1006:AG1006),$AC$1006:$AS$1006,0)))),"Fix")))</f>
        <v xml:space="preserve"> </v>
      </c>
      <c r="G20" s="4" t="str">
        <f ca="1">IF(OR(INDEX($W$2:$W$1001,MATCH(ROWS($V$2:V20),$V$2:$V$1001,0),1)&gt;=100000,INDEX($AC$1005:$AS$1005,1,MATCH(COLUMNS($AC$1006:AH1006),$AC$1006:$AS$1006,0))&gt;=100000), " ",IF(INDEX($AC$2:$AS$1001,MATCH(ROWS($V$2:V20),$V$2:$V$1001,0),MATCH(COLUMNS($AC$1006:AH1006),$AC$1006:$AS$1006,0)), HYPERLINK("#",""), HYPERLINK(CONCATENATE("#metadata!", ADDRESS(INDEX($X$2:$X$1001,MATCH(ROWS($V$2:V20),$V$2:$V$1001,0),0), INDEX($AC$1004:$AS$1004,1,MATCH(COLUMNS($AC$1006:AH1006),$AC$1006:$AS$1006,0)))),"Fix")))</f>
        <v xml:space="preserve"> </v>
      </c>
      <c r="H20" s="4" t="str">
        <f ca="1">IF(OR(INDEX($W$2:$W$1001,MATCH(ROWS($V$2:V20),$V$2:$V$1001,0),1)&gt;=100000,INDEX($AC$1005:$AS$1005,1,MATCH(COLUMNS($AC$1006:AI1006),$AC$1006:$AS$1006,0))&gt;=100000), " ",IF(INDEX($AC$2:$AS$1001,MATCH(ROWS($V$2:V20),$V$2:$V$1001,0),MATCH(COLUMNS($AC$1006:AI1006),$AC$1006:$AS$1006,0)), HYPERLINK("#",""), HYPERLINK(CONCATENATE("#metadata!", ADDRESS(INDEX($X$2:$X$1001,MATCH(ROWS($V$2:V20),$V$2:$V$1001,0),0), INDEX($AC$1004:$AS$1004,1,MATCH(COLUMNS($AC$1006:AI1006),$AC$1006:$AS$1006,0)))),"Fix")))</f>
        <v xml:space="preserve"> </v>
      </c>
      <c r="I20" s="4" t="str">
        <f ca="1">IF(OR(INDEX($W$2:$W$1001,MATCH(ROWS($V$2:V20),$V$2:$V$1001,0),1)&gt;=100000,INDEX($AC$1005:$AS$1005,1,MATCH(COLUMNS($AC$1006:AJ1006),$AC$1006:$AS$1006,0))&gt;=100000), " ",IF(INDEX($AC$2:$AS$1001,MATCH(ROWS($V$2:V20),$V$2:$V$1001,0),MATCH(COLUMNS($AC$1006:AJ1006),$AC$1006:$AS$1006,0)), HYPERLINK("#",""), HYPERLINK(CONCATENATE("#metadata!", ADDRESS(INDEX($X$2:$X$1001,MATCH(ROWS($V$2:V20),$V$2:$V$1001,0),0), INDEX($AC$1004:$AS$1004,1,MATCH(COLUMNS($AC$1006:AJ1006),$AC$1006:$AS$1006,0)))),"Fix")))</f>
        <v xml:space="preserve"> </v>
      </c>
      <c r="J20" s="4" t="str">
        <f ca="1">IF(OR(INDEX($W$2:$W$1001,MATCH(ROWS($V$2:V20),$V$2:$V$1001,0),1)&gt;=100000,INDEX($AC$1005:$AS$1005,1,MATCH(COLUMNS($AC$1006:AK1006),$AC$1006:$AS$1006,0))&gt;=100000), " ",IF(INDEX($AC$2:$AS$1001,MATCH(ROWS($V$2:V20),$V$2:$V$1001,0),MATCH(COLUMNS($AC$1006:AK1006),$AC$1006:$AS$1006,0)), HYPERLINK("#",""), HYPERLINK(CONCATENATE("#metadata!", ADDRESS(INDEX($X$2:$X$1001,MATCH(ROWS($V$2:V20),$V$2:$V$1001,0),0), INDEX($AC$1004:$AS$1004,1,MATCH(COLUMNS($AC$1006:AK1006),$AC$1006:$AS$1006,0)))),"Fix")))</f>
        <v xml:space="preserve"> </v>
      </c>
      <c r="K20" s="4" t="str">
        <f ca="1">IF(OR(INDEX($W$2:$W$1001,MATCH(ROWS($V$2:V20),$V$2:$V$1001,0),1)&gt;=100000,INDEX($AC$1005:$AS$1005,1,MATCH(COLUMNS($AC$1006:AL1006),$AC$1006:$AS$1006,0))&gt;=100000), " ",IF(INDEX($AC$2:$AS$1001,MATCH(ROWS($V$2:V20),$V$2:$V$1001,0),MATCH(COLUMNS($AC$1006:AL1006),$AC$1006:$AS$1006,0)), HYPERLINK("#",""), HYPERLINK(CONCATENATE("#metadata!", ADDRESS(INDEX($X$2:$X$1001,MATCH(ROWS($V$2:V20),$V$2:$V$1001,0),0), INDEX($AC$1004:$AS$1004,1,MATCH(COLUMNS($AC$1006:AL1006),$AC$1006:$AS$1006,0)))),"Fix")))</f>
        <v xml:space="preserve"> </v>
      </c>
      <c r="L20" s="4" t="str">
        <f ca="1">IF(OR(INDEX($W$2:$W$1001,MATCH(ROWS($V$2:V20),$V$2:$V$1001,0),1)&gt;=100000,INDEX($AC$1005:$AS$1005,1,MATCH(COLUMNS($AC$1006:AM1006),$AC$1006:$AS$1006,0))&gt;=100000), " ",IF(INDEX($AC$2:$AS$1001,MATCH(ROWS($V$2:V20),$V$2:$V$1001,0),MATCH(COLUMNS($AC$1006:AM1006),$AC$1006:$AS$1006,0)), HYPERLINK("#",""), HYPERLINK(CONCATENATE("#metadata!", ADDRESS(INDEX($X$2:$X$1001,MATCH(ROWS($V$2:V20),$V$2:$V$1001,0),0), INDEX($AC$1004:$AS$1004,1,MATCH(COLUMNS($AC$1006:AM1006),$AC$1006:$AS$1006,0)))),"Fix")))</f>
        <v xml:space="preserve"> </v>
      </c>
      <c r="M20" s="4" t="str">
        <f ca="1">IF(OR(INDEX($W$2:$W$1001,MATCH(ROWS($V$2:V20),$V$2:$V$1001,0),1)&gt;=100000,INDEX($AC$1005:$AS$1005,1,MATCH(COLUMNS($AC$1006:AN1006),$AC$1006:$AS$1006,0))&gt;=100000), " ",IF(INDEX($AC$2:$AS$1001,MATCH(ROWS($V$2:V20),$V$2:$V$1001,0),MATCH(COLUMNS($AC$1006:AN1006),$AC$1006:$AS$1006,0)), HYPERLINK("#",""), HYPERLINK(CONCATENATE("#metadata!", ADDRESS(INDEX($X$2:$X$1001,MATCH(ROWS($V$2:V20),$V$2:$V$1001,0),0), INDEX($AC$1004:$AS$1004,1,MATCH(COLUMNS($AC$1006:AN1006),$AC$1006:$AS$1006,0)))),"Fix")))</f>
        <v xml:space="preserve"> </v>
      </c>
      <c r="N20" s="4" t="str">
        <f ca="1">IF(OR(INDEX($W$2:$W$1001,MATCH(ROWS($V$2:V20),$V$2:$V$1001,0),1)&gt;=100000,INDEX($AC$1005:$AS$1005,1,MATCH(COLUMNS($AC$1006:AO1006),$AC$1006:$AS$1006,0))&gt;=100000), " ",IF(INDEX($AC$2:$AS$1001,MATCH(ROWS($V$2:V20),$V$2:$V$1001,0),MATCH(COLUMNS($AC$1006:AO1006),$AC$1006:$AS$1006,0)), HYPERLINK("#",""), HYPERLINK(CONCATENATE("#metadata!", ADDRESS(INDEX($X$2:$X$1001,MATCH(ROWS($V$2:V20),$V$2:$V$1001,0),0), INDEX($AC$1004:$AS$1004,1,MATCH(COLUMNS($AC$1006:AO1006),$AC$1006:$AS$1006,0)))),"Fix")))</f>
        <v xml:space="preserve"> </v>
      </c>
      <c r="O20" s="4" t="str">
        <f ca="1">IF(OR(INDEX($W$2:$W$1001,MATCH(ROWS($V$2:V20),$V$2:$V$1001,0),1)&gt;=100000,INDEX($AC$1005:$AS$1005,1,MATCH(COLUMNS($AC$1006:AP1006),$AC$1006:$AS$1006,0))&gt;=100000), " ",IF(INDEX($AC$2:$AS$1001,MATCH(ROWS($V$2:V20),$V$2:$V$1001,0),MATCH(COLUMNS($AC$1006:AP1006),$AC$1006:$AS$1006,0)), HYPERLINK("#",""), HYPERLINK(CONCATENATE("#metadata!", ADDRESS(INDEX($X$2:$X$1001,MATCH(ROWS($V$2:V20),$V$2:$V$1001,0),0), INDEX($AC$1004:$AS$1004,1,MATCH(COLUMNS($AC$1006:AP1006),$AC$1006:$AS$1006,0)))),"Fix")))</f>
        <v xml:space="preserve"> </v>
      </c>
      <c r="P20" s="4" t="str">
        <f ca="1">IF(OR(INDEX($W$2:$W$1001,MATCH(ROWS($V$2:V20),$V$2:$V$1001,0),1)&gt;=100000,INDEX($AC$1005:$AS$1005,1,MATCH(COLUMNS($AC$1006:AQ1006),$AC$1006:$AS$1006,0))&gt;=100000), " ",IF(INDEX($AC$2:$AS$1001,MATCH(ROWS($V$2:V20),$V$2:$V$1001,0),MATCH(COLUMNS($AC$1006:AQ1006),$AC$1006:$AS$1006,0)), HYPERLINK("#",""), HYPERLINK(CONCATENATE("#metadata!", ADDRESS(INDEX($X$2:$X$1001,MATCH(ROWS($V$2:V20),$V$2:$V$1001,0),0), INDEX($AC$1004:$AS$1004,1,MATCH(COLUMNS($AC$1006:AQ1006),$AC$1006:$AS$1006,0)))),"Fix")))</f>
        <v xml:space="preserve"> </v>
      </c>
      <c r="Q20" s="4" t="str">
        <f ca="1">IF(OR(INDEX($W$2:$W$1001,MATCH(ROWS($V$2:V20),$V$2:$V$1001,0),1)&gt;=100000,INDEX($AC$1005:$AS$1005,1,MATCH(COLUMNS($AC$1006:AR1006),$AC$1006:$AS$1006,0))&gt;=100000), " ",IF(INDEX($AC$2:$AS$1001,MATCH(ROWS($V$2:V20),$V$2:$V$1001,0),MATCH(COLUMNS($AC$1006:AR1006),$AC$1006:$AS$1006,0)), HYPERLINK("#",""), HYPERLINK(CONCATENATE("#metadata!", ADDRESS(INDEX($X$2:$X$1001,MATCH(ROWS($V$2:V20),$V$2:$V$1001,0),0), INDEX($AC$1004:$AS$1004,1,MATCH(COLUMNS($AC$1006:AR1006),$AC$1006:$AS$1006,0)))),"Fix")))</f>
        <v xml:space="preserve"> </v>
      </c>
      <c r="R20" s="4" t="str">
        <f ca="1">IF(OR(INDEX($W$2:$W$1001,MATCH(ROWS($V$2:V20),$V$2:$V$1001,0),1)&gt;=100000,INDEX($AC$1005:$AS$1005,1,MATCH(COLUMNS($AC$1006:AS1006),$AC$1006:$AS$1006,0))&gt;=100000), " ",IF(INDEX($AC$2:$AS$1001,MATCH(ROWS($V$2:V20),$V$2:$V$1001,0),MATCH(COLUMNS($AC$1006:AS1006),$AC$1006:$AS$1006,0)), HYPERLINK("#",""), HYPERLINK(CONCATENATE("#metadata!", ADDRESS(INDEX($X$2:$X$1001,MATCH(ROWS($V$2:V20),$V$2:$V$1001,0),0), INDEX($AC$1004:$AS$1004,1,MATCH(COLUMNS($AC$1006:AS1006),$AC$1006:$AS$1006,0)))),"Fix")))</f>
        <v xml:space="preserve"> </v>
      </c>
      <c r="V20">
        <v>19</v>
      </c>
      <c r="W20">
        <v>100020</v>
      </c>
      <c r="X20">
        <v>20</v>
      </c>
      <c r="Y20" t="b">
        <f t="shared" si="0"/>
        <v>1</v>
      </c>
      <c r="Z20" t="b">
        <f>COUNTBLANK(metadata!B20:R20)=COLUMNS(metadata!B20:R20)</f>
        <v>1</v>
      </c>
      <c r="AA20" t="str">
        <v/>
      </c>
      <c r="AC20" t="b">
        <f ca="1"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AD20" t="b">
        <f>IF(metadata!C20="",FALSE,ISNUMBER(VALUE(metadata!C20)))</f>
        <v>0</v>
      </c>
      <c r="AE20" t="b">
        <f>AND(IF(metadata!D20="",FALSE,TRUE),EXACT(metadata!D20,"years"))</f>
        <v>0</v>
      </c>
      <c r="AF20" t="b">
        <f>OR(AND(IF(metadata!E20="",FALSE,TRUE),OR(EXACT(metadata!E20,"not applicable"),EXACT(metadata!E20,"missing: not collected"),EXACT(metadata!E20,"missing: not provided"),EXACT(metadata!E20,"missing: restricted access"))),AND(IF(metadata!E20="",FALSE,ISNUMBER(VALUE(metadata!E20))),metadata!E20&gt;0))</f>
        <v>0</v>
      </c>
      <c r="AG20" t="b">
        <f>AND(IF(metadata!F20="",FALSE,TRUE),EXACT(metadata!F20,"Not applicable"))</f>
        <v>0</v>
      </c>
      <c r="AH20" t="b">
        <f>AND(IF(metadata!G20="",FALSE,TRUE),EXACT(metadata!G20,"urban biome"))</f>
        <v>0</v>
      </c>
      <c r="AI20" t="b">
        <f>AND(IF(metadata!H20="",FALSE,TRUE),EXACT(metadata!H20,"human-associated habitat"))</f>
        <v>0</v>
      </c>
      <c r="AJ20" t="b">
        <f>AND(IF(metadata!I20="",FALSE,TRUE),OR(EXACT(metadata!I20,"human-associated"),EXACT(metadata!I20,"human-skin"),EXACT(metadata!I20,"human-oral"),EXACT(metadata!I20,"human-gut"),EXACT(metadata!I20,"human-vaginal")))</f>
        <v>0</v>
      </c>
      <c r="AK20" t="b">
        <f>IF(metadata!J20="",FALSE,ISNUMBER(VALUE(metadata!J20)))</f>
        <v>0</v>
      </c>
      <c r="AL20" t="b">
        <f>AND(IF(metadata!K20="",FALSE,TRUE),EXACT(metadata!K20,"cm"))</f>
        <v>0</v>
      </c>
      <c r="AM20" t="b">
        <f>AND(IF(metadata!L20="",FALSE,TRUE),EXACT(metadata!L20,"human"))</f>
        <v>0</v>
      </c>
      <c r="AN20" t="b">
        <f>AND(IF(metadata!M20="",FALSE,TRUE),EXACT(metadata!M20,"Homo sapiens"))</f>
        <v>0</v>
      </c>
      <c r="AO20" t="b">
        <f>AND(IF(metadata!N20="",FALSE,TRUE),EXACT(metadata!N20,"9606"))</f>
        <v>0</v>
      </c>
      <c r="AP20" t="b">
        <f>IF(metadata!O20="",FALSE,TRUE)</f>
        <v>0</v>
      </c>
      <c r="AQ20" t="b">
        <f>IF(metadata!P20="",FALSE,TRUE)</f>
        <v>0</v>
      </c>
      <c r="AR20" t="b">
        <f>IF(metadata!Q20="",FALSE,ISNUMBER(VALUE(metadata!Q20)))</f>
        <v>0</v>
      </c>
      <c r="AS20" t="b">
        <f>AND(IF(metadata!R20="",FALSE,TRUE),EXACT(metadata!R20,"kg"))</f>
        <v>0</v>
      </c>
    </row>
    <row r="21" spans="1:45" x14ac:dyDescent="0.2">
      <c r="A21" s="5" t="str">
        <f ca="1">IF(B21=" "," ",HYPERLINK(CONCATENATE("#metadata!",ADDRESS(INDEX($X$2:$X$1001,MATCH(ROWS($V$2:V21),$V$2:$V$1001,0),0),1)),INDEX($AA$2:$AA$1001,MATCH(ROWS($V$2:V21),$V$2:$V$1001,0),0)))</f>
        <v xml:space="preserve"> </v>
      </c>
      <c r="B21" s="4" t="str">
        <f ca="1">IF(OR(INDEX($W$2:$W$1001,MATCH(ROWS($V$2:V21),$V$2:$V$1001,0),1)&gt;=100000,INDEX($AC$1005:$AS$1005,1,MATCH(COLUMNS($AC$1006:AC1006),$AC$1006:$AS$1006,0))&gt;=100000), " ",IF(INDEX($AC$2:$AS$1001,MATCH(ROWS($V$2:V21),$V$2:$V$1001,0),MATCH(COLUMNS($AC$1006:AC1006),$AC$1006:$AS$1006,0)), HYPERLINK("#",""), HYPERLINK(CONCATENATE("#metadata!", ADDRESS(INDEX($X$2:$X$1001,MATCH(ROWS($V$2:V21),$V$2:$V$1001,0),0), INDEX($AC$1004:$AS$1004,1,MATCH(COLUMNS($AC$1006:AC1006),$AC$1006:$AS$1006,0)))),"Fix")))</f>
        <v xml:space="preserve"> </v>
      </c>
      <c r="C21" s="4" t="str">
        <f ca="1">IF(OR(INDEX($W$2:$W$1001,MATCH(ROWS($V$2:V21),$V$2:$V$1001,0),1)&gt;=100000,INDEX($AC$1005:$AS$1005,1,MATCH(COLUMNS($AC$1006:AD1006),$AC$1006:$AS$1006,0))&gt;=100000), " ",IF(INDEX($AC$2:$AS$1001,MATCH(ROWS($V$2:V21),$V$2:$V$1001,0),MATCH(COLUMNS($AC$1006:AD1006),$AC$1006:$AS$1006,0)), HYPERLINK("#",""), HYPERLINK(CONCATENATE("#metadata!", ADDRESS(INDEX($X$2:$X$1001,MATCH(ROWS($V$2:V21),$V$2:$V$1001,0),0), INDEX($AC$1004:$AS$1004,1,MATCH(COLUMNS($AC$1006:AD1006),$AC$1006:$AS$1006,0)))),"Fix")))</f>
        <v xml:space="preserve"> </v>
      </c>
      <c r="D21" s="4" t="str">
        <f ca="1">IF(OR(INDEX($W$2:$W$1001,MATCH(ROWS($V$2:V21),$V$2:$V$1001,0),1)&gt;=100000,INDEX($AC$1005:$AS$1005,1,MATCH(COLUMNS($AC$1006:AE1006),$AC$1006:$AS$1006,0))&gt;=100000), " ",IF(INDEX($AC$2:$AS$1001,MATCH(ROWS($V$2:V21),$V$2:$V$1001,0),MATCH(COLUMNS($AC$1006:AE1006),$AC$1006:$AS$1006,0)), HYPERLINK("#",""), HYPERLINK(CONCATENATE("#metadata!", ADDRESS(INDEX($X$2:$X$1001,MATCH(ROWS($V$2:V21),$V$2:$V$1001,0),0), INDEX($AC$1004:$AS$1004,1,MATCH(COLUMNS($AC$1006:AE1006),$AC$1006:$AS$1006,0)))),"Fix")))</f>
        <v xml:space="preserve"> </v>
      </c>
      <c r="E21" s="4" t="str">
        <f ca="1">IF(OR(INDEX($W$2:$W$1001,MATCH(ROWS($V$2:V21),$V$2:$V$1001,0),1)&gt;=100000,INDEX($AC$1005:$AS$1005,1,MATCH(COLUMNS($AC$1006:AF1006),$AC$1006:$AS$1006,0))&gt;=100000), " ",IF(INDEX($AC$2:$AS$1001,MATCH(ROWS($V$2:V21),$V$2:$V$1001,0),MATCH(COLUMNS($AC$1006:AF1006),$AC$1006:$AS$1006,0)), HYPERLINK("#",""), HYPERLINK(CONCATENATE("#metadata!", ADDRESS(INDEX($X$2:$X$1001,MATCH(ROWS($V$2:V21),$V$2:$V$1001,0),0), INDEX($AC$1004:$AS$1004,1,MATCH(COLUMNS($AC$1006:AF1006),$AC$1006:$AS$1006,0)))),"Fix")))</f>
        <v xml:space="preserve"> </v>
      </c>
      <c r="F21" s="4" t="str">
        <f ca="1">IF(OR(INDEX($W$2:$W$1001,MATCH(ROWS($V$2:V21),$V$2:$V$1001,0),1)&gt;=100000,INDEX($AC$1005:$AS$1005,1,MATCH(COLUMNS($AC$1006:AG1006),$AC$1006:$AS$1006,0))&gt;=100000), " ",IF(INDEX($AC$2:$AS$1001,MATCH(ROWS($V$2:V21),$V$2:$V$1001,0),MATCH(COLUMNS($AC$1006:AG1006),$AC$1006:$AS$1006,0)), HYPERLINK("#",""), HYPERLINK(CONCATENATE("#metadata!", ADDRESS(INDEX($X$2:$X$1001,MATCH(ROWS($V$2:V21),$V$2:$V$1001,0),0), INDEX($AC$1004:$AS$1004,1,MATCH(COLUMNS($AC$1006:AG1006),$AC$1006:$AS$1006,0)))),"Fix")))</f>
        <v xml:space="preserve"> </v>
      </c>
      <c r="G21" s="4" t="str">
        <f ca="1">IF(OR(INDEX($W$2:$W$1001,MATCH(ROWS($V$2:V21),$V$2:$V$1001,0),1)&gt;=100000,INDEX($AC$1005:$AS$1005,1,MATCH(COLUMNS($AC$1006:AH1006),$AC$1006:$AS$1006,0))&gt;=100000), " ",IF(INDEX($AC$2:$AS$1001,MATCH(ROWS($V$2:V21),$V$2:$V$1001,0),MATCH(COLUMNS($AC$1006:AH1006),$AC$1006:$AS$1006,0)), HYPERLINK("#",""), HYPERLINK(CONCATENATE("#metadata!", ADDRESS(INDEX($X$2:$X$1001,MATCH(ROWS($V$2:V21),$V$2:$V$1001,0),0), INDEX($AC$1004:$AS$1004,1,MATCH(COLUMNS($AC$1006:AH1006),$AC$1006:$AS$1006,0)))),"Fix")))</f>
        <v xml:space="preserve"> </v>
      </c>
      <c r="H21" s="4" t="str">
        <f ca="1">IF(OR(INDEX($W$2:$W$1001,MATCH(ROWS($V$2:V21),$V$2:$V$1001,0),1)&gt;=100000,INDEX($AC$1005:$AS$1005,1,MATCH(COLUMNS($AC$1006:AI1006),$AC$1006:$AS$1006,0))&gt;=100000), " ",IF(INDEX($AC$2:$AS$1001,MATCH(ROWS($V$2:V21),$V$2:$V$1001,0),MATCH(COLUMNS($AC$1006:AI1006),$AC$1006:$AS$1006,0)), HYPERLINK("#",""), HYPERLINK(CONCATENATE("#metadata!", ADDRESS(INDEX($X$2:$X$1001,MATCH(ROWS($V$2:V21),$V$2:$V$1001,0),0), INDEX($AC$1004:$AS$1004,1,MATCH(COLUMNS($AC$1006:AI1006),$AC$1006:$AS$1006,0)))),"Fix")))</f>
        <v xml:space="preserve"> </v>
      </c>
      <c r="I21" s="4" t="str">
        <f ca="1">IF(OR(INDEX($W$2:$W$1001,MATCH(ROWS($V$2:V21),$V$2:$V$1001,0),1)&gt;=100000,INDEX($AC$1005:$AS$1005,1,MATCH(COLUMNS($AC$1006:AJ1006),$AC$1006:$AS$1006,0))&gt;=100000), " ",IF(INDEX($AC$2:$AS$1001,MATCH(ROWS($V$2:V21),$V$2:$V$1001,0),MATCH(COLUMNS($AC$1006:AJ1006),$AC$1006:$AS$1006,0)), HYPERLINK("#",""), HYPERLINK(CONCATENATE("#metadata!", ADDRESS(INDEX($X$2:$X$1001,MATCH(ROWS($V$2:V21),$V$2:$V$1001,0),0), INDEX($AC$1004:$AS$1004,1,MATCH(COLUMNS($AC$1006:AJ1006),$AC$1006:$AS$1006,0)))),"Fix")))</f>
        <v xml:space="preserve"> </v>
      </c>
      <c r="J21" s="4" t="str">
        <f ca="1">IF(OR(INDEX($W$2:$W$1001,MATCH(ROWS($V$2:V21),$V$2:$V$1001,0),1)&gt;=100000,INDEX($AC$1005:$AS$1005,1,MATCH(COLUMNS($AC$1006:AK1006),$AC$1006:$AS$1006,0))&gt;=100000), " ",IF(INDEX($AC$2:$AS$1001,MATCH(ROWS($V$2:V21),$V$2:$V$1001,0),MATCH(COLUMNS($AC$1006:AK1006),$AC$1006:$AS$1006,0)), HYPERLINK("#",""), HYPERLINK(CONCATENATE("#metadata!", ADDRESS(INDEX($X$2:$X$1001,MATCH(ROWS($V$2:V21),$V$2:$V$1001,0),0), INDEX($AC$1004:$AS$1004,1,MATCH(COLUMNS($AC$1006:AK1006),$AC$1006:$AS$1006,0)))),"Fix")))</f>
        <v xml:space="preserve"> </v>
      </c>
      <c r="K21" s="4" t="str">
        <f ca="1">IF(OR(INDEX($W$2:$W$1001,MATCH(ROWS($V$2:V21),$V$2:$V$1001,0),1)&gt;=100000,INDEX($AC$1005:$AS$1005,1,MATCH(COLUMNS($AC$1006:AL1006),$AC$1006:$AS$1006,0))&gt;=100000), " ",IF(INDEX($AC$2:$AS$1001,MATCH(ROWS($V$2:V21),$V$2:$V$1001,0),MATCH(COLUMNS($AC$1006:AL1006),$AC$1006:$AS$1006,0)), HYPERLINK("#",""), HYPERLINK(CONCATENATE("#metadata!", ADDRESS(INDEX($X$2:$X$1001,MATCH(ROWS($V$2:V21),$V$2:$V$1001,0),0), INDEX($AC$1004:$AS$1004,1,MATCH(COLUMNS($AC$1006:AL1006),$AC$1006:$AS$1006,0)))),"Fix")))</f>
        <v xml:space="preserve"> </v>
      </c>
      <c r="L21" s="4" t="str">
        <f ca="1">IF(OR(INDEX($W$2:$W$1001,MATCH(ROWS($V$2:V21),$V$2:$V$1001,0),1)&gt;=100000,INDEX($AC$1005:$AS$1005,1,MATCH(COLUMNS($AC$1006:AM1006),$AC$1006:$AS$1006,0))&gt;=100000), " ",IF(INDEX($AC$2:$AS$1001,MATCH(ROWS($V$2:V21),$V$2:$V$1001,0),MATCH(COLUMNS($AC$1006:AM1006),$AC$1006:$AS$1006,0)), HYPERLINK("#",""), HYPERLINK(CONCATENATE("#metadata!", ADDRESS(INDEX($X$2:$X$1001,MATCH(ROWS($V$2:V21),$V$2:$V$1001,0),0), INDEX($AC$1004:$AS$1004,1,MATCH(COLUMNS($AC$1006:AM1006),$AC$1006:$AS$1006,0)))),"Fix")))</f>
        <v xml:space="preserve"> </v>
      </c>
      <c r="M21" s="4" t="str">
        <f ca="1">IF(OR(INDEX($W$2:$W$1001,MATCH(ROWS($V$2:V21),$V$2:$V$1001,0),1)&gt;=100000,INDEX($AC$1005:$AS$1005,1,MATCH(COLUMNS($AC$1006:AN1006),$AC$1006:$AS$1006,0))&gt;=100000), " ",IF(INDEX($AC$2:$AS$1001,MATCH(ROWS($V$2:V21),$V$2:$V$1001,0),MATCH(COLUMNS($AC$1006:AN1006),$AC$1006:$AS$1006,0)), HYPERLINK("#",""), HYPERLINK(CONCATENATE("#metadata!", ADDRESS(INDEX($X$2:$X$1001,MATCH(ROWS($V$2:V21),$V$2:$V$1001,0),0), INDEX($AC$1004:$AS$1004,1,MATCH(COLUMNS($AC$1006:AN1006),$AC$1006:$AS$1006,0)))),"Fix")))</f>
        <v xml:space="preserve"> </v>
      </c>
      <c r="N21" s="4" t="str">
        <f ca="1">IF(OR(INDEX($W$2:$W$1001,MATCH(ROWS($V$2:V21),$V$2:$V$1001,0),1)&gt;=100000,INDEX($AC$1005:$AS$1005,1,MATCH(COLUMNS($AC$1006:AO1006),$AC$1006:$AS$1006,0))&gt;=100000), " ",IF(INDEX($AC$2:$AS$1001,MATCH(ROWS($V$2:V21),$V$2:$V$1001,0),MATCH(COLUMNS($AC$1006:AO1006),$AC$1006:$AS$1006,0)), HYPERLINK("#",""), HYPERLINK(CONCATENATE("#metadata!", ADDRESS(INDEX($X$2:$X$1001,MATCH(ROWS($V$2:V21),$V$2:$V$1001,0),0), INDEX($AC$1004:$AS$1004,1,MATCH(COLUMNS($AC$1006:AO1006),$AC$1006:$AS$1006,0)))),"Fix")))</f>
        <v xml:space="preserve"> </v>
      </c>
      <c r="O21" s="4" t="str">
        <f ca="1">IF(OR(INDEX($W$2:$W$1001,MATCH(ROWS($V$2:V21),$V$2:$V$1001,0),1)&gt;=100000,INDEX($AC$1005:$AS$1005,1,MATCH(COLUMNS($AC$1006:AP1006),$AC$1006:$AS$1006,0))&gt;=100000), " ",IF(INDEX($AC$2:$AS$1001,MATCH(ROWS($V$2:V21),$V$2:$V$1001,0),MATCH(COLUMNS($AC$1006:AP1006),$AC$1006:$AS$1006,0)), HYPERLINK("#",""), HYPERLINK(CONCATENATE("#metadata!", ADDRESS(INDEX($X$2:$X$1001,MATCH(ROWS($V$2:V21),$V$2:$V$1001,0),0), INDEX($AC$1004:$AS$1004,1,MATCH(COLUMNS($AC$1006:AP1006),$AC$1006:$AS$1006,0)))),"Fix")))</f>
        <v xml:space="preserve"> </v>
      </c>
      <c r="P21" s="4" t="str">
        <f ca="1">IF(OR(INDEX($W$2:$W$1001,MATCH(ROWS($V$2:V21),$V$2:$V$1001,0),1)&gt;=100000,INDEX($AC$1005:$AS$1005,1,MATCH(COLUMNS($AC$1006:AQ1006),$AC$1006:$AS$1006,0))&gt;=100000), " ",IF(INDEX($AC$2:$AS$1001,MATCH(ROWS($V$2:V21),$V$2:$V$1001,0),MATCH(COLUMNS($AC$1006:AQ1006),$AC$1006:$AS$1006,0)), HYPERLINK("#",""), HYPERLINK(CONCATENATE("#metadata!", ADDRESS(INDEX($X$2:$X$1001,MATCH(ROWS($V$2:V21),$V$2:$V$1001,0),0), INDEX($AC$1004:$AS$1004,1,MATCH(COLUMNS($AC$1006:AQ1006),$AC$1006:$AS$1006,0)))),"Fix")))</f>
        <v xml:space="preserve"> </v>
      </c>
      <c r="Q21" s="4" t="str">
        <f ca="1">IF(OR(INDEX($W$2:$W$1001,MATCH(ROWS($V$2:V21),$V$2:$V$1001,0),1)&gt;=100000,INDEX($AC$1005:$AS$1005,1,MATCH(COLUMNS($AC$1006:AR1006),$AC$1006:$AS$1006,0))&gt;=100000), " ",IF(INDEX($AC$2:$AS$1001,MATCH(ROWS($V$2:V21),$V$2:$V$1001,0),MATCH(COLUMNS($AC$1006:AR1006),$AC$1006:$AS$1006,0)), HYPERLINK("#",""), HYPERLINK(CONCATENATE("#metadata!", ADDRESS(INDEX($X$2:$X$1001,MATCH(ROWS($V$2:V21),$V$2:$V$1001,0),0), INDEX($AC$1004:$AS$1004,1,MATCH(COLUMNS($AC$1006:AR1006),$AC$1006:$AS$1006,0)))),"Fix")))</f>
        <v xml:space="preserve"> </v>
      </c>
      <c r="R21" s="4" t="str">
        <f ca="1">IF(OR(INDEX($W$2:$W$1001,MATCH(ROWS($V$2:V21),$V$2:$V$1001,0),1)&gt;=100000,INDEX($AC$1005:$AS$1005,1,MATCH(COLUMNS($AC$1006:AS1006),$AC$1006:$AS$1006,0))&gt;=100000), " ",IF(INDEX($AC$2:$AS$1001,MATCH(ROWS($V$2:V21),$V$2:$V$1001,0),MATCH(COLUMNS($AC$1006:AS1006),$AC$1006:$AS$1006,0)), HYPERLINK("#",""), HYPERLINK(CONCATENATE("#metadata!", ADDRESS(INDEX($X$2:$X$1001,MATCH(ROWS($V$2:V21),$V$2:$V$1001,0),0), INDEX($AC$1004:$AS$1004,1,MATCH(COLUMNS($AC$1006:AS1006),$AC$1006:$AS$1006,0)))),"Fix")))</f>
        <v xml:space="preserve"> </v>
      </c>
      <c r="V21">
        <v>20</v>
      </c>
      <c r="W21">
        <v>100021</v>
      </c>
      <c r="X21">
        <v>21</v>
      </c>
      <c r="Y21" t="b">
        <f t="shared" si="0"/>
        <v>1</v>
      </c>
      <c r="Z21" t="b">
        <f>COUNTBLANK(metadata!B21:R21)=COLUMNS(metadata!B21:R21)</f>
        <v>1</v>
      </c>
      <c r="AA21" t="str">
        <v/>
      </c>
      <c r="AC21" t="b">
        <f ca="1"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AD21" t="b">
        <f>IF(metadata!C21="",FALSE,ISNUMBER(VALUE(metadata!C21)))</f>
        <v>0</v>
      </c>
      <c r="AE21" t="b">
        <f>AND(IF(metadata!D21="",FALSE,TRUE),EXACT(metadata!D21,"years"))</f>
        <v>0</v>
      </c>
      <c r="AF21" t="b">
        <f>OR(AND(IF(metadata!E21="",FALSE,TRUE),OR(EXACT(metadata!E21,"not applicable"),EXACT(metadata!E21,"missing: not collected"),EXACT(metadata!E21,"missing: not provided"),EXACT(metadata!E21,"missing: restricted access"))),AND(IF(metadata!E21="",FALSE,ISNUMBER(VALUE(metadata!E21))),metadata!E21&gt;0))</f>
        <v>0</v>
      </c>
      <c r="AG21" t="b">
        <f>AND(IF(metadata!F21="",FALSE,TRUE),EXACT(metadata!F21,"Not applicable"))</f>
        <v>0</v>
      </c>
      <c r="AH21" t="b">
        <f>AND(IF(metadata!G21="",FALSE,TRUE),EXACT(metadata!G21,"urban biome"))</f>
        <v>0</v>
      </c>
      <c r="AI21" t="b">
        <f>AND(IF(metadata!H21="",FALSE,TRUE),EXACT(metadata!H21,"human-associated habitat"))</f>
        <v>0</v>
      </c>
      <c r="AJ21" t="b">
        <f>AND(IF(metadata!I21="",FALSE,TRUE),OR(EXACT(metadata!I21,"human-associated"),EXACT(metadata!I21,"human-skin"),EXACT(metadata!I21,"human-oral"),EXACT(metadata!I21,"human-gut"),EXACT(metadata!I21,"human-vaginal")))</f>
        <v>0</v>
      </c>
      <c r="AK21" t="b">
        <f>IF(metadata!J21="",FALSE,ISNUMBER(VALUE(metadata!J21)))</f>
        <v>0</v>
      </c>
      <c r="AL21" t="b">
        <f>AND(IF(metadata!K21="",FALSE,TRUE),EXACT(metadata!K21,"cm"))</f>
        <v>0</v>
      </c>
      <c r="AM21" t="b">
        <f>AND(IF(metadata!L21="",FALSE,TRUE),EXACT(metadata!L21,"human"))</f>
        <v>0</v>
      </c>
      <c r="AN21" t="b">
        <f>AND(IF(metadata!M21="",FALSE,TRUE),EXACT(metadata!M21,"Homo sapiens"))</f>
        <v>0</v>
      </c>
      <c r="AO21" t="b">
        <f>AND(IF(metadata!N21="",FALSE,TRUE),EXACT(metadata!N21,"9606"))</f>
        <v>0</v>
      </c>
      <c r="AP21" t="b">
        <f>IF(metadata!O21="",FALSE,TRUE)</f>
        <v>0</v>
      </c>
      <c r="AQ21" t="b">
        <f>IF(metadata!P21="",FALSE,TRUE)</f>
        <v>0</v>
      </c>
      <c r="AR21" t="b">
        <f>IF(metadata!Q21="",FALSE,ISNUMBER(VALUE(metadata!Q21)))</f>
        <v>0</v>
      </c>
      <c r="AS21" t="b">
        <f>AND(IF(metadata!R21="",FALSE,TRUE),EXACT(metadata!R21,"kg"))</f>
        <v>0</v>
      </c>
    </row>
    <row r="22" spans="1:45" x14ac:dyDescent="0.2">
      <c r="A22" s="5" t="str">
        <f ca="1">IF(B22=" "," ",HYPERLINK(CONCATENATE("#metadata!",ADDRESS(INDEX($X$2:$X$1001,MATCH(ROWS($V$2:V22),$V$2:$V$1001,0),0),1)),INDEX($AA$2:$AA$1001,MATCH(ROWS($V$2:V22),$V$2:$V$1001,0),0)))</f>
        <v xml:space="preserve"> </v>
      </c>
      <c r="B22" s="4" t="str">
        <f ca="1">IF(OR(INDEX($W$2:$W$1001,MATCH(ROWS($V$2:V22),$V$2:$V$1001,0),1)&gt;=100000,INDEX($AC$1005:$AS$1005,1,MATCH(COLUMNS($AC$1006:AC1006),$AC$1006:$AS$1006,0))&gt;=100000), " ",IF(INDEX($AC$2:$AS$1001,MATCH(ROWS($V$2:V22),$V$2:$V$1001,0),MATCH(COLUMNS($AC$1006:AC1006),$AC$1006:$AS$1006,0)), HYPERLINK("#",""), HYPERLINK(CONCATENATE("#metadata!", ADDRESS(INDEX($X$2:$X$1001,MATCH(ROWS($V$2:V22),$V$2:$V$1001,0),0), INDEX($AC$1004:$AS$1004,1,MATCH(COLUMNS($AC$1006:AC1006),$AC$1006:$AS$1006,0)))),"Fix")))</f>
        <v xml:space="preserve"> </v>
      </c>
      <c r="C22" s="4" t="str">
        <f ca="1">IF(OR(INDEX($W$2:$W$1001,MATCH(ROWS($V$2:V22),$V$2:$V$1001,0),1)&gt;=100000,INDEX($AC$1005:$AS$1005,1,MATCH(COLUMNS($AC$1006:AD1006),$AC$1006:$AS$1006,0))&gt;=100000), " ",IF(INDEX($AC$2:$AS$1001,MATCH(ROWS($V$2:V22),$V$2:$V$1001,0),MATCH(COLUMNS($AC$1006:AD1006),$AC$1006:$AS$1006,0)), HYPERLINK("#",""), HYPERLINK(CONCATENATE("#metadata!", ADDRESS(INDEX($X$2:$X$1001,MATCH(ROWS($V$2:V22),$V$2:$V$1001,0),0), INDEX($AC$1004:$AS$1004,1,MATCH(COLUMNS($AC$1006:AD1006),$AC$1006:$AS$1006,0)))),"Fix")))</f>
        <v xml:space="preserve"> </v>
      </c>
      <c r="D22" s="4" t="str">
        <f ca="1">IF(OR(INDEX($W$2:$W$1001,MATCH(ROWS($V$2:V22),$V$2:$V$1001,0),1)&gt;=100000,INDEX($AC$1005:$AS$1005,1,MATCH(COLUMNS($AC$1006:AE1006),$AC$1006:$AS$1006,0))&gt;=100000), " ",IF(INDEX($AC$2:$AS$1001,MATCH(ROWS($V$2:V22),$V$2:$V$1001,0),MATCH(COLUMNS($AC$1006:AE1006),$AC$1006:$AS$1006,0)), HYPERLINK("#",""), HYPERLINK(CONCATENATE("#metadata!", ADDRESS(INDEX($X$2:$X$1001,MATCH(ROWS($V$2:V22),$V$2:$V$1001,0),0), INDEX($AC$1004:$AS$1004,1,MATCH(COLUMNS($AC$1006:AE1006),$AC$1006:$AS$1006,0)))),"Fix")))</f>
        <v xml:space="preserve"> </v>
      </c>
      <c r="E22" s="4" t="str">
        <f ca="1">IF(OR(INDEX($W$2:$W$1001,MATCH(ROWS($V$2:V22),$V$2:$V$1001,0),1)&gt;=100000,INDEX($AC$1005:$AS$1005,1,MATCH(COLUMNS($AC$1006:AF1006),$AC$1006:$AS$1006,0))&gt;=100000), " ",IF(INDEX($AC$2:$AS$1001,MATCH(ROWS($V$2:V22),$V$2:$V$1001,0),MATCH(COLUMNS($AC$1006:AF1006),$AC$1006:$AS$1006,0)), HYPERLINK("#",""), HYPERLINK(CONCATENATE("#metadata!", ADDRESS(INDEX($X$2:$X$1001,MATCH(ROWS($V$2:V22),$V$2:$V$1001,0),0), INDEX($AC$1004:$AS$1004,1,MATCH(COLUMNS($AC$1006:AF1006),$AC$1006:$AS$1006,0)))),"Fix")))</f>
        <v xml:space="preserve"> </v>
      </c>
      <c r="F22" s="4" t="str">
        <f ca="1">IF(OR(INDEX($W$2:$W$1001,MATCH(ROWS($V$2:V22),$V$2:$V$1001,0),1)&gt;=100000,INDEX($AC$1005:$AS$1005,1,MATCH(COLUMNS($AC$1006:AG1006),$AC$1006:$AS$1006,0))&gt;=100000), " ",IF(INDEX($AC$2:$AS$1001,MATCH(ROWS($V$2:V22),$V$2:$V$1001,0),MATCH(COLUMNS($AC$1006:AG1006),$AC$1006:$AS$1006,0)), HYPERLINK("#",""), HYPERLINK(CONCATENATE("#metadata!", ADDRESS(INDEX($X$2:$X$1001,MATCH(ROWS($V$2:V22),$V$2:$V$1001,0),0), INDEX($AC$1004:$AS$1004,1,MATCH(COLUMNS($AC$1006:AG1006),$AC$1006:$AS$1006,0)))),"Fix")))</f>
        <v xml:space="preserve"> </v>
      </c>
      <c r="G22" s="4" t="str">
        <f ca="1">IF(OR(INDEX($W$2:$W$1001,MATCH(ROWS($V$2:V22),$V$2:$V$1001,0),1)&gt;=100000,INDEX($AC$1005:$AS$1005,1,MATCH(COLUMNS($AC$1006:AH1006),$AC$1006:$AS$1006,0))&gt;=100000), " ",IF(INDEX($AC$2:$AS$1001,MATCH(ROWS($V$2:V22),$V$2:$V$1001,0),MATCH(COLUMNS($AC$1006:AH1006),$AC$1006:$AS$1006,0)), HYPERLINK("#",""), HYPERLINK(CONCATENATE("#metadata!", ADDRESS(INDEX($X$2:$X$1001,MATCH(ROWS($V$2:V22),$V$2:$V$1001,0),0), INDEX($AC$1004:$AS$1004,1,MATCH(COLUMNS($AC$1006:AH1006),$AC$1006:$AS$1006,0)))),"Fix")))</f>
        <v xml:space="preserve"> </v>
      </c>
      <c r="H22" s="4" t="str">
        <f ca="1">IF(OR(INDEX($W$2:$W$1001,MATCH(ROWS($V$2:V22),$V$2:$V$1001,0),1)&gt;=100000,INDEX($AC$1005:$AS$1005,1,MATCH(COLUMNS($AC$1006:AI1006),$AC$1006:$AS$1006,0))&gt;=100000), " ",IF(INDEX($AC$2:$AS$1001,MATCH(ROWS($V$2:V22),$V$2:$V$1001,0),MATCH(COLUMNS($AC$1006:AI1006),$AC$1006:$AS$1006,0)), HYPERLINK("#",""), HYPERLINK(CONCATENATE("#metadata!", ADDRESS(INDEX($X$2:$X$1001,MATCH(ROWS($V$2:V22),$V$2:$V$1001,0),0), INDEX($AC$1004:$AS$1004,1,MATCH(COLUMNS($AC$1006:AI1006),$AC$1006:$AS$1006,0)))),"Fix")))</f>
        <v xml:space="preserve"> </v>
      </c>
      <c r="I22" s="4" t="str">
        <f ca="1">IF(OR(INDEX($W$2:$W$1001,MATCH(ROWS($V$2:V22),$V$2:$V$1001,0),1)&gt;=100000,INDEX($AC$1005:$AS$1005,1,MATCH(COLUMNS($AC$1006:AJ1006),$AC$1006:$AS$1006,0))&gt;=100000), " ",IF(INDEX($AC$2:$AS$1001,MATCH(ROWS($V$2:V22),$V$2:$V$1001,0),MATCH(COLUMNS($AC$1006:AJ1006),$AC$1006:$AS$1006,0)), HYPERLINK("#",""), HYPERLINK(CONCATENATE("#metadata!", ADDRESS(INDEX($X$2:$X$1001,MATCH(ROWS($V$2:V22),$V$2:$V$1001,0),0), INDEX($AC$1004:$AS$1004,1,MATCH(COLUMNS($AC$1006:AJ1006),$AC$1006:$AS$1006,0)))),"Fix")))</f>
        <v xml:space="preserve"> </v>
      </c>
      <c r="J22" s="4" t="str">
        <f ca="1">IF(OR(INDEX($W$2:$W$1001,MATCH(ROWS($V$2:V22),$V$2:$V$1001,0),1)&gt;=100000,INDEX($AC$1005:$AS$1005,1,MATCH(COLUMNS($AC$1006:AK1006),$AC$1006:$AS$1006,0))&gt;=100000), " ",IF(INDEX($AC$2:$AS$1001,MATCH(ROWS($V$2:V22),$V$2:$V$1001,0),MATCH(COLUMNS($AC$1006:AK1006),$AC$1006:$AS$1006,0)), HYPERLINK("#",""), HYPERLINK(CONCATENATE("#metadata!", ADDRESS(INDEX($X$2:$X$1001,MATCH(ROWS($V$2:V22),$V$2:$V$1001,0),0), INDEX($AC$1004:$AS$1004,1,MATCH(COLUMNS($AC$1006:AK1006),$AC$1006:$AS$1006,0)))),"Fix")))</f>
        <v xml:space="preserve"> </v>
      </c>
      <c r="K22" s="4" t="str">
        <f ca="1">IF(OR(INDEX($W$2:$W$1001,MATCH(ROWS($V$2:V22),$V$2:$V$1001,0),1)&gt;=100000,INDEX($AC$1005:$AS$1005,1,MATCH(COLUMNS($AC$1006:AL1006),$AC$1006:$AS$1006,0))&gt;=100000), " ",IF(INDEX($AC$2:$AS$1001,MATCH(ROWS($V$2:V22),$V$2:$V$1001,0),MATCH(COLUMNS($AC$1006:AL1006),$AC$1006:$AS$1006,0)), HYPERLINK("#",""), HYPERLINK(CONCATENATE("#metadata!", ADDRESS(INDEX($X$2:$X$1001,MATCH(ROWS($V$2:V22),$V$2:$V$1001,0),0), INDEX($AC$1004:$AS$1004,1,MATCH(COLUMNS($AC$1006:AL1006),$AC$1006:$AS$1006,0)))),"Fix")))</f>
        <v xml:space="preserve"> </v>
      </c>
      <c r="L22" s="4" t="str">
        <f ca="1">IF(OR(INDEX($W$2:$W$1001,MATCH(ROWS($V$2:V22),$V$2:$V$1001,0),1)&gt;=100000,INDEX($AC$1005:$AS$1005,1,MATCH(COLUMNS($AC$1006:AM1006),$AC$1006:$AS$1006,0))&gt;=100000), " ",IF(INDEX($AC$2:$AS$1001,MATCH(ROWS($V$2:V22),$V$2:$V$1001,0),MATCH(COLUMNS($AC$1006:AM1006),$AC$1006:$AS$1006,0)), HYPERLINK("#",""), HYPERLINK(CONCATENATE("#metadata!", ADDRESS(INDEX($X$2:$X$1001,MATCH(ROWS($V$2:V22),$V$2:$V$1001,0),0), INDEX($AC$1004:$AS$1004,1,MATCH(COLUMNS($AC$1006:AM1006),$AC$1006:$AS$1006,0)))),"Fix")))</f>
        <v xml:space="preserve"> </v>
      </c>
      <c r="M22" s="4" t="str">
        <f ca="1">IF(OR(INDEX($W$2:$W$1001,MATCH(ROWS($V$2:V22),$V$2:$V$1001,0),1)&gt;=100000,INDEX($AC$1005:$AS$1005,1,MATCH(COLUMNS($AC$1006:AN1006),$AC$1006:$AS$1006,0))&gt;=100000), " ",IF(INDEX($AC$2:$AS$1001,MATCH(ROWS($V$2:V22),$V$2:$V$1001,0),MATCH(COLUMNS($AC$1006:AN1006),$AC$1006:$AS$1006,0)), HYPERLINK("#",""), HYPERLINK(CONCATENATE("#metadata!", ADDRESS(INDEX($X$2:$X$1001,MATCH(ROWS($V$2:V22),$V$2:$V$1001,0),0), INDEX($AC$1004:$AS$1004,1,MATCH(COLUMNS($AC$1006:AN1006),$AC$1006:$AS$1006,0)))),"Fix")))</f>
        <v xml:space="preserve"> </v>
      </c>
      <c r="N22" s="4" t="str">
        <f ca="1">IF(OR(INDEX($W$2:$W$1001,MATCH(ROWS($V$2:V22),$V$2:$V$1001,0),1)&gt;=100000,INDEX($AC$1005:$AS$1005,1,MATCH(COLUMNS($AC$1006:AO1006),$AC$1006:$AS$1006,0))&gt;=100000), " ",IF(INDEX($AC$2:$AS$1001,MATCH(ROWS($V$2:V22),$V$2:$V$1001,0),MATCH(COLUMNS($AC$1006:AO1006),$AC$1006:$AS$1006,0)), HYPERLINK("#",""), HYPERLINK(CONCATENATE("#metadata!", ADDRESS(INDEX($X$2:$X$1001,MATCH(ROWS($V$2:V22),$V$2:$V$1001,0),0), INDEX($AC$1004:$AS$1004,1,MATCH(COLUMNS($AC$1006:AO1006),$AC$1006:$AS$1006,0)))),"Fix")))</f>
        <v xml:space="preserve"> </v>
      </c>
      <c r="O22" s="4" t="str">
        <f ca="1">IF(OR(INDEX($W$2:$W$1001,MATCH(ROWS($V$2:V22),$V$2:$V$1001,0),1)&gt;=100000,INDEX($AC$1005:$AS$1005,1,MATCH(COLUMNS($AC$1006:AP1006),$AC$1006:$AS$1006,0))&gt;=100000), " ",IF(INDEX($AC$2:$AS$1001,MATCH(ROWS($V$2:V22),$V$2:$V$1001,0),MATCH(COLUMNS($AC$1006:AP1006),$AC$1006:$AS$1006,0)), HYPERLINK("#",""), HYPERLINK(CONCATENATE("#metadata!", ADDRESS(INDEX($X$2:$X$1001,MATCH(ROWS($V$2:V22),$V$2:$V$1001,0),0), INDEX($AC$1004:$AS$1004,1,MATCH(COLUMNS($AC$1006:AP1006),$AC$1006:$AS$1006,0)))),"Fix")))</f>
        <v xml:space="preserve"> </v>
      </c>
      <c r="P22" s="4" t="str">
        <f ca="1">IF(OR(INDEX($W$2:$W$1001,MATCH(ROWS($V$2:V22),$V$2:$V$1001,0),1)&gt;=100000,INDEX($AC$1005:$AS$1005,1,MATCH(COLUMNS($AC$1006:AQ1006),$AC$1006:$AS$1006,0))&gt;=100000), " ",IF(INDEX($AC$2:$AS$1001,MATCH(ROWS($V$2:V22),$V$2:$V$1001,0),MATCH(COLUMNS($AC$1006:AQ1006),$AC$1006:$AS$1006,0)), HYPERLINK("#",""), HYPERLINK(CONCATENATE("#metadata!", ADDRESS(INDEX($X$2:$X$1001,MATCH(ROWS($V$2:V22),$V$2:$V$1001,0),0), INDEX($AC$1004:$AS$1004,1,MATCH(COLUMNS($AC$1006:AQ1006),$AC$1006:$AS$1006,0)))),"Fix")))</f>
        <v xml:space="preserve"> </v>
      </c>
      <c r="Q22" s="4" t="str">
        <f ca="1">IF(OR(INDEX($W$2:$W$1001,MATCH(ROWS($V$2:V22),$V$2:$V$1001,0),1)&gt;=100000,INDEX($AC$1005:$AS$1005,1,MATCH(COLUMNS($AC$1006:AR1006),$AC$1006:$AS$1006,0))&gt;=100000), " ",IF(INDEX($AC$2:$AS$1001,MATCH(ROWS($V$2:V22),$V$2:$V$1001,0),MATCH(COLUMNS($AC$1006:AR1006),$AC$1006:$AS$1006,0)), HYPERLINK("#",""), HYPERLINK(CONCATENATE("#metadata!", ADDRESS(INDEX($X$2:$X$1001,MATCH(ROWS($V$2:V22),$V$2:$V$1001,0),0), INDEX($AC$1004:$AS$1004,1,MATCH(COLUMNS($AC$1006:AR1006),$AC$1006:$AS$1006,0)))),"Fix")))</f>
        <v xml:space="preserve"> </v>
      </c>
      <c r="R22" s="4" t="str">
        <f ca="1">IF(OR(INDEX($W$2:$W$1001,MATCH(ROWS($V$2:V22),$V$2:$V$1001,0),1)&gt;=100000,INDEX($AC$1005:$AS$1005,1,MATCH(COLUMNS($AC$1006:AS1006),$AC$1006:$AS$1006,0))&gt;=100000), " ",IF(INDEX($AC$2:$AS$1001,MATCH(ROWS($V$2:V22),$V$2:$V$1001,0),MATCH(COLUMNS($AC$1006:AS1006),$AC$1006:$AS$1006,0)), HYPERLINK("#",""), HYPERLINK(CONCATENATE("#metadata!", ADDRESS(INDEX($X$2:$X$1001,MATCH(ROWS($V$2:V22),$V$2:$V$1001,0),0), INDEX($AC$1004:$AS$1004,1,MATCH(COLUMNS($AC$1006:AS1006),$AC$1006:$AS$1006,0)))),"Fix")))</f>
        <v xml:space="preserve"> </v>
      </c>
      <c r="V22">
        <v>21</v>
      </c>
      <c r="W22">
        <v>100022</v>
      </c>
      <c r="X22">
        <v>22</v>
      </c>
      <c r="Y22" t="b">
        <f t="shared" si="0"/>
        <v>1</v>
      </c>
      <c r="Z22" t="b">
        <f>COUNTBLANK(metadata!B22:R22)=COLUMNS(metadata!B22:R22)</f>
        <v>1</v>
      </c>
      <c r="AA22" t="str">
        <v/>
      </c>
      <c r="AC22" t="b">
        <f ca="1"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AD22" t="b">
        <f>IF(metadata!C22="",FALSE,ISNUMBER(VALUE(metadata!C22)))</f>
        <v>0</v>
      </c>
      <c r="AE22" t="b">
        <f>AND(IF(metadata!D22="",FALSE,TRUE),EXACT(metadata!D22,"years"))</f>
        <v>0</v>
      </c>
      <c r="AF22" t="b">
        <f>OR(AND(IF(metadata!E22="",FALSE,TRUE),OR(EXACT(metadata!E22,"not applicable"),EXACT(metadata!E22,"missing: not collected"),EXACT(metadata!E22,"missing: not provided"),EXACT(metadata!E22,"missing: restricted access"))),AND(IF(metadata!E22="",FALSE,ISNUMBER(VALUE(metadata!E22))),metadata!E22&gt;0))</f>
        <v>0</v>
      </c>
      <c r="AG22" t="b">
        <f>AND(IF(metadata!F22="",FALSE,TRUE),EXACT(metadata!F22,"Not applicable"))</f>
        <v>0</v>
      </c>
      <c r="AH22" t="b">
        <f>AND(IF(metadata!G22="",FALSE,TRUE),EXACT(metadata!G22,"urban biome"))</f>
        <v>0</v>
      </c>
      <c r="AI22" t="b">
        <f>AND(IF(metadata!H22="",FALSE,TRUE),EXACT(metadata!H22,"human-associated habitat"))</f>
        <v>0</v>
      </c>
      <c r="AJ22" t="b">
        <f>AND(IF(metadata!I22="",FALSE,TRUE),OR(EXACT(metadata!I22,"human-associated"),EXACT(metadata!I22,"human-skin"),EXACT(metadata!I22,"human-oral"),EXACT(metadata!I22,"human-gut"),EXACT(metadata!I22,"human-vaginal")))</f>
        <v>0</v>
      </c>
      <c r="AK22" t="b">
        <f>IF(metadata!J22="",FALSE,ISNUMBER(VALUE(metadata!J22)))</f>
        <v>0</v>
      </c>
      <c r="AL22" t="b">
        <f>AND(IF(metadata!K22="",FALSE,TRUE),EXACT(metadata!K22,"cm"))</f>
        <v>0</v>
      </c>
      <c r="AM22" t="b">
        <f>AND(IF(metadata!L22="",FALSE,TRUE),EXACT(metadata!L22,"human"))</f>
        <v>0</v>
      </c>
      <c r="AN22" t="b">
        <f>AND(IF(metadata!M22="",FALSE,TRUE),EXACT(metadata!M22,"Homo sapiens"))</f>
        <v>0</v>
      </c>
      <c r="AO22" t="b">
        <f>AND(IF(metadata!N22="",FALSE,TRUE),EXACT(metadata!N22,"9606"))</f>
        <v>0</v>
      </c>
      <c r="AP22" t="b">
        <f>IF(metadata!O22="",FALSE,TRUE)</f>
        <v>0</v>
      </c>
      <c r="AQ22" t="b">
        <f>IF(metadata!P22="",FALSE,TRUE)</f>
        <v>0</v>
      </c>
      <c r="AR22" t="b">
        <f>IF(metadata!Q22="",FALSE,ISNUMBER(VALUE(metadata!Q22)))</f>
        <v>0</v>
      </c>
      <c r="AS22" t="b">
        <f>AND(IF(metadata!R22="",FALSE,TRUE),EXACT(metadata!R22,"kg"))</f>
        <v>0</v>
      </c>
    </row>
    <row r="23" spans="1:45" x14ac:dyDescent="0.2">
      <c r="A23" s="5" t="str">
        <f ca="1">IF(B23=" "," ",HYPERLINK(CONCATENATE("#metadata!",ADDRESS(INDEX($X$2:$X$1001,MATCH(ROWS($V$2:V23),$V$2:$V$1001,0),0),1)),INDEX($AA$2:$AA$1001,MATCH(ROWS($V$2:V23),$V$2:$V$1001,0),0)))</f>
        <v xml:space="preserve"> </v>
      </c>
      <c r="B23" s="4" t="str">
        <f ca="1">IF(OR(INDEX($W$2:$W$1001,MATCH(ROWS($V$2:V23),$V$2:$V$1001,0),1)&gt;=100000,INDEX($AC$1005:$AS$1005,1,MATCH(COLUMNS($AC$1006:AC1006),$AC$1006:$AS$1006,0))&gt;=100000), " ",IF(INDEX($AC$2:$AS$1001,MATCH(ROWS($V$2:V23),$V$2:$V$1001,0),MATCH(COLUMNS($AC$1006:AC1006),$AC$1006:$AS$1006,0)), HYPERLINK("#",""), HYPERLINK(CONCATENATE("#metadata!", ADDRESS(INDEX($X$2:$X$1001,MATCH(ROWS($V$2:V23),$V$2:$V$1001,0),0), INDEX($AC$1004:$AS$1004,1,MATCH(COLUMNS($AC$1006:AC1006),$AC$1006:$AS$1006,0)))),"Fix")))</f>
        <v xml:space="preserve"> </v>
      </c>
      <c r="C23" s="4" t="str">
        <f ca="1">IF(OR(INDEX($W$2:$W$1001,MATCH(ROWS($V$2:V23),$V$2:$V$1001,0),1)&gt;=100000,INDEX($AC$1005:$AS$1005,1,MATCH(COLUMNS($AC$1006:AD1006),$AC$1006:$AS$1006,0))&gt;=100000), " ",IF(INDEX($AC$2:$AS$1001,MATCH(ROWS($V$2:V23),$V$2:$V$1001,0),MATCH(COLUMNS($AC$1006:AD1006),$AC$1006:$AS$1006,0)), HYPERLINK("#",""), HYPERLINK(CONCATENATE("#metadata!", ADDRESS(INDEX($X$2:$X$1001,MATCH(ROWS($V$2:V23),$V$2:$V$1001,0),0), INDEX($AC$1004:$AS$1004,1,MATCH(COLUMNS($AC$1006:AD1006),$AC$1006:$AS$1006,0)))),"Fix")))</f>
        <v xml:space="preserve"> </v>
      </c>
      <c r="D23" s="4" t="str">
        <f ca="1">IF(OR(INDEX($W$2:$W$1001,MATCH(ROWS($V$2:V23),$V$2:$V$1001,0),1)&gt;=100000,INDEX($AC$1005:$AS$1005,1,MATCH(COLUMNS($AC$1006:AE1006),$AC$1006:$AS$1006,0))&gt;=100000), " ",IF(INDEX($AC$2:$AS$1001,MATCH(ROWS($V$2:V23),$V$2:$V$1001,0),MATCH(COLUMNS($AC$1006:AE1006),$AC$1006:$AS$1006,0)), HYPERLINK("#",""), HYPERLINK(CONCATENATE("#metadata!", ADDRESS(INDEX($X$2:$X$1001,MATCH(ROWS($V$2:V23),$V$2:$V$1001,0),0), INDEX($AC$1004:$AS$1004,1,MATCH(COLUMNS($AC$1006:AE1006),$AC$1006:$AS$1006,0)))),"Fix")))</f>
        <v xml:space="preserve"> </v>
      </c>
      <c r="E23" s="4" t="str">
        <f ca="1">IF(OR(INDEX($W$2:$W$1001,MATCH(ROWS($V$2:V23),$V$2:$V$1001,0),1)&gt;=100000,INDEX($AC$1005:$AS$1005,1,MATCH(COLUMNS($AC$1006:AF1006),$AC$1006:$AS$1006,0))&gt;=100000), " ",IF(INDEX($AC$2:$AS$1001,MATCH(ROWS($V$2:V23),$V$2:$V$1001,0),MATCH(COLUMNS($AC$1006:AF1006),$AC$1006:$AS$1006,0)), HYPERLINK("#",""), HYPERLINK(CONCATENATE("#metadata!", ADDRESS(INDEX($X$2:$X$1001,MATCH(ROWS($V$2:V23),$V$2:$V$1001,0),0), INDEX($AC$1004:$AS$1004,1,MATCH(COLUMNS($AC$1006:AF1006),$AC$1006:$AS$1006,0)))),"Fix")))</f>
        <v xml:space="preserve"> </v>
      </c>
      <c r="F23" s="4" t="str">
        <f ca="1">IF(OR(INDEX($W$2:$W$1001,MATCH(ROWS($V$2:V23),$V$2:$V$1001,0),1)&gt;=100000,INDEX($AC$1005:$AS$1005,1,MATCH(COLUMNS($AC$1006:AG1006),$AC$1006:$AS$1006,0))&gt;=100000), " ",IF(INDEX($AC$2:$AS$1001,MATCH(ROWS($V$2:V23),$V$2:$V$1001,0),MATCH(COLUMNS($AC$1006:AG1006),$AC$1006:$AS$1006,0)), HYPERLINK("#",""), HYPERLINK(CONCATENATE("#metadata!", ADDRESS(INDEX($X$2:$X$1001,MATCH(ROWS($V$2:V23),$V$2:$V$1001,0),0), INDEX($AC$1004:$AS$1004,1,MATCH(COLUMNS($AC$1006:AG1006),$AC$1006:$AS$1006,0)))),"Fix")))</f>
        <v xml:space="preserve"> </v>
      </c>
      <c r="G23" s="4" t="str">
        <f ca="1">IF(OR(INDEX($W$2:$W$1001,MATCH(ROWS($V$2:V23),$V$2:$V$1001,0),1)&gt;=100000,INDEX($AC$1005:$AS$1005,1,MATCH(COLUMNS($AC$1006:AH1006),$AC$1006:$AS$1006,0))&gt;=100000), " ",IF(INDEX($AC$2:$AS$1001,MATCH(ROWS($V$2:V23),$V$2:$V$1001,0),MATCH(COLUMNS($AC$1006:AH1006),$AC$1006:$AS$1006,0)), HYPERLINK("#",""), HYPERLINK(CONCATENATE("#metadata!", ADDRESS(INDEX($X$2:$X$1001,MATCH(ROWS($V$2:V23),$V$2:$V$1001,0),0), INDEX($AC$1004:$AS$1004,1,MATCH(COLUMNS($AC$1006:AH1006),$AC$1006:$AS$1006,0)))),"Fix")))</f>
        <v xml:space="preserve"> </v>
      </c>
      <c r="H23" s="4" t="str">
        <f ca="1">IF(OR(INDEX($W$2:$W$1001,MATCH(ROWS($V$2:V23),$V$2:$V$1001,0),1)&gt;=100000,INDEX($AC$1005:$AS$1005,1,MATCH(COLUMNS($AC$1006:AI1006),$AC$1006:$AS$1006,0))&gt;=100000), " ",IF(INDEX($AC$2:$AS$1001,MATCH(ROWS($V$2:V23),$V$2:$V$1001,0),MATCH(COLUMNS($AC$1006:AI1006),$AC$1006:$AS$1006,0)), HYPERLINK("#",""), HYPERLINK(CONCATENATE("#metadata!", ADDRESS(INDEX($X$2:$X$1001,MATCH(ROWS($V$2:V23),$V$2:$V$1001,0),0), INDEX($AC$1004:$AS$1004,1,MATCH(COLUMNS($AC$1006:AI1006),$AC$1006:$AS$1006,0)))),"Fix")))</f>
        <v xml:space="preserve"> </v>
      </c>
      <c r="I23" s="4" t="str">
        <f ca="1">IF(OR(INDEX($W$2:$W$1001,MATCH(ROWS($V$2:V23),$V$2:$V$1001,0),1)&gt;=100000,INDEX($AC$1005:$AS$1005,1,MATCH(COLUMNS($AC$1006:AJ1006),$AC$1006:$AS$1006,0))&gt;=100000), " ",IF(INDEX($AC$2:$AS$1001,MATCH(ROWS($V$2:V23),$V$2:$V$1001,0),MATCH(COLUMNS($AC$1006:AJ1006),$AC$1006:$AS$1006,0)), HYPERLINK("#",""), HYPERLINK(CONCATENATE("#metadata!", ADDRESS(INDEX($X$2:$X$1001,MATCH(ROWS($V$2:V23),$V$2:$V$1001,0),0), INDEX($AC$1004:$AS$1004,1,MATCH(COLUMNS($AC$1006:AJ1006),$AC$1006:$AS$1006,0)))),"Fix")))</f>
        <v xml:space="preserve"> </v>
      </c>
      <c r="J23" s="4" t="str">
        <f ca="1">IF(OR(INDEX($W$2:$W$1001,MATCH(ROWS($V$2:V23),$V$2:$V$1001,0),1)&gt;=100000,INDEX($AC$1005:$AS$1005,1,MATCH(COLUMNS($AC$1006:AK1006),$AC$1006:$AS$1006,0))&gt;=100000), " ",IF(INDEX($AC$2:$AS$1001,MATCH(ROWS($V$2:V23),$V$2:$V$1001,0),MATCH(COLUMNS($AC$1006:AK1006),$AC$1006:$AS$1006,0)), HYPERLINK("#",""), HYPERLINK(CONCATENATE("#metadata!", ADDRESS(INDEX($X$2:$X$1001,MATCH(ROWS($V$2:V23),$V$2:$V$1001,0),0), INDEX($AC$1004:$AS$1004,1,MATCH(COLUMNS($AC$1006:AK1006),$AC$1006:$AS$1006,0)))),"Fix")))</f>
        <v xml:space="preserve"> </v>
      </c>
      <c r="K23" s="4" t="str">
        <f ca="1">IF(OR(INDEX($W$2:$W$1001,MATCH(ROWS($V$2:V23),$V$2:$V$1001,0),1)&gt;=100000,INDEX($AC$1005:$AS$1005,1,MATCH(COLUMNS($AC$1006:AL1006),$AC$1006:$AS$1006,0))&gt;=100000), " ",IF(INDEX($AC$2:$AS$1001,MATCH(ROWS($V$2:V23),$V$2:$V$1001,0),MATCH(COLUMNS($AC$1006:AL1006),$AC$1006:$AS$1006,0)), HYPERLINK("#",""), HYPERLINK(CONCATENATE("#metadata!", ADDRESS(INDEX($X$2:$X$1001,MATCH(ROWS($V$2:V23),$V$2:$V$1001,0),0), INDEX($AC$1004:$AS$1004,1,MATCH(COLUMNS($AC$1006:AL1006),$AC$1006:$AS$1006,0)))),"Fix")))</f>
        <v xml:space="preserve"> </v>
      </c>
      <c r="L23" s="4" t="str">
        <f ca="1">IF(OR(INDEX($W$2:$W$1001,MATCH(ROWS($V$2:V23),$V$2:$V$1001,0),1)&gt;=100000,INDEX($AC$1005:$AS$1005,1,MATCH(COLUMNS($AC$1006:AM1006),$AC$1006:$AS$1006,0))&gt;=100000), " ",IF(INDEX($AC$2:$AS$1001,MATCH(ROWS($V$2:V23),$V$2:$V$1001,0),MATCH(COLUMNS($AC$1006:AM1006),$AC$1006:$AS$1006,0)), HYPERLINK("#",""), HYPERLINK(CONCATENATE("#metadata!", ADDRESS(INDEX($X$2:$X$1001,MATCH(ROWS($V$2:V23),$V$2:$V$1001,0),0), INDEX($AC$1004:$AS$1004,1,MATCH(COLUMNS($AC$1006:AM1006),$AC$1006:$AS$1006,0)))),"Fix")))</f>
        <v xml:space="preserve"> </v>
      </c>
      <c r="M23" s="4" t="str">
        <f ca="1">IF(OR(INDEX($W$2:$W$1001,MATCH(ROWS($V$2:V23),$V$2:$V$1001,0),1)&gt;=100000,INDEX($AC$1005:$AS$1005,1,MATCH(COLUMNS($AC$1006:AN1006),$AC$1006:$AS$1006,0))&gt;=100000), " ",IF(INDEX($AC$2:$AS$1001,MATCH(ROWS($V$2:V23),$V$2:$V$1001,0),MATCH(COLUMNS($AC$1006:AN1006),$AC$1006:$AS$1006,0)), HYPERLINK("#",""), HYPERLINK(CONCATENATE("#metadata!", ADDRESS(INDEX($X$2:$X$1001,MATCH(ROWS($V$2:V23),$V$2:$V$1001,0),0), INDEX($AC$1004:$AS$1004,1,MATCH(COLUMNS($AC$1006:AN1006),$AC$1006:$AS$1006,0)))),"Fix")))</f>
        <v xml:space="preserve"> </v>
      </c>
      <c r="N23" s="4" t="str">
        <f ca="1">IF(OR(INDEX($W$2:$W$1001,MATCH(ROWS($V$2:V23),$V$2:$V$1001,0),1)&gt;=100000,INDEX($AC$1005:$AS$1005,1,MATCH(COLUMNS($AC$1006:AO1006),$AC$1006:$AS$1006,0))&gt;=100000), " ",IF(INDEX($AC$2:$AS$1001,MATCH(ROWS($V$2:V23),$V$2:$V$1001,0),MATCH(COLUMNS($AC$1006:AO1006),$AC$1006:$AS$1006,0)), HYPERLINK("#",""), HYPERLINK(CONCATENATE("#metadata!", ADDRESS(INDEX($X$2:$X$1001,MATCH(ROWS($V$2:V23),$V$2:$V$1001,0),0), INDEX($AC$1004:$AS$1004,1,MATCH(COLUMNS($AC$1006:AO1006),$AC$1006:$AS$1006,0)))),"Fix")))</f>
        <v xml:space="preserve"> </v>
      </c>
      <c r="O23" s="4" t="str">
        <f ca="1">IF(OR(INDEX($W$2:$W$1001,MATCH(ROWS($V$2:V23),$V$2:$V$1001,0),1)&gt;=100000,INDEX($AC$1005:$AS$1005,1,MATCH(COLUMNS($AC$1006:AP1006),$AC$1006:$AS$1006,0))&gt;=100000), " ",IF(INDEX($AC$2:$AS$1001,MATCH(ROWS($V$2:V23),$V$2:$V$1001,0),MATCH(COLUMNS($AC$1006:AP1006),$AC$1006:$AS$1006,0)), HYPERLINK("#",""), HYPERLINK(CONCATENATE("#metadata!", ADDRESS(INDEX($X$2:$X$1001,MATCH(ROWS($V$2:V23),$V$2:$V$1001,0),0), INDEX($AC$1004:$AS$1004,1,MATCH(COLUMNS($AC$1006:AP1006),$AC$1006:$AS$1006,0)))),"Fix")))</f>
        <v xml:space="preserve"> </v>
      </c>
      <c r="P23" s="4" t="str">
        <f ca="1">IF(OR(INDEX($W$2:$W$1001,MATCH(ROWS($V$2:V23),$V$2:$V$1001,0),1)&gt;=100000,INDEX($AC$1005:$AS$1005,1,MATCH(COLUMNS($AC$1006:AQ1006),$AC$1006:$AS$1006,0))&gt;=100000), " ",IF(INDEX($AC$2:$AS$1001,MATCH(ROWS($V$2:V23),$V$2:$V$1001,0),MATCH(COLUMNS($AC$1006:AQ1006),$AC$1006:$AS$1006,0)), HYPERLINK("#",""), HYPERLINK(CONCATENATE("#metadata!", ADDRESS(INDEX($X$2:$X$1001,MATCH(ROWS($V$2:V23),$V$2:$V$1001,0),0), INDEX($AC$1004:$AS$1004,1,MATCH(COLUMNS($AC$1006:AQ1006),$AC$1006:$AS$1006,0)))),"Fix")))</f>
        <v xml:space="preserve"> </v>
      </c>
      <c r="Q23" s="4" t="str">
        <f ca="1">IF(OR(INDEX($W$2:$W$1001,MATCH(ROWS($V$2:V23),$V$2:$V$1001,0),1)&gt;=100000,INDEX($AC$1005:$AS$1005,1,MATCH(COLUMNS($AC$1006:AR1006),$AC$1006:$AS$1006,0))&gt;=100000), " ",IF(INDEX($AC$2:$AS$1001,MATCH(ROWS($V$2:V23),$V$2:$V$1001,0),MATCH(COLUMNS($AC$1006:AR1006),$AC$1006:$AS$1006,0)), HYPERLINK("#",""), HYPERLINK(CONCATENATE("#metadata!", ADDRESS(INDEX($X$2:$X$1001,MATCH(ROWS($V$2:V23),$V$2:$V$1001,0),0), INDEX($AC$1004:$AS$1004,1,MATCH(COLUMNS($AC$1006:AR1006),$AC$1006:$AS$1006,0)))),"Fix")))</f>
        <v xml:space="preserve"> </v>
      </c>
      <c r="R23" s="4" t="str">
        <f ca="1">IF(OR(INDEX($W$2:$W$1001,MATCH(ROWS($V$2:V23),$V$2:$V$1001,0),1)&gt;=100000,INDEX($AC$1005:$AS$1005,1,MATCH(COLUMNS($AC$1006:AS1006),$AC$1006:$AS$1006,0))&gt;=100000), " ",IF(INDEX($AC$2:$AS$1001,MATCH(ROWS($V$2:V23),$V$2:$V$1001,0),MATCH(COLUMNS($AC$1006:AS1006),$AC$1006:$AS$1006,0)), HYPERLINK("#",""), HYPERLINK(CONCATENATE("#metadata!", ADDRESS(INDEX($X$2:$X$1001,MATCH(ROWS($V$2:V23),$V$2:$V$1001,0),0), INDEX($AC$1004:$AS$1004,1,MATCH(COLUMNS($AC$1006:AS1006),$AC$1006:$AS$1006,0)))),"Fix")))</f>
        <v xml:space="preserve"> </v>
      </c>
      <c r="V23">
        <v>22</v>
      </c>
      <c r="W23">
        <v>100023</v>
      </c>
      <c r="X23">
        <v>23</v>
      </c>
      <c r="Y23" t="b">
        <f t="shared" si="0"/>
        <v>1</v>
      </c>
      <c r="Z23" t="b">
        <f>COUNTBLANK(metadata!B23:R23)=COLUMNS(metadata!B23:R23)</f>
        <v>1</v>
      </c>
      <c r="AA23" t="str">
        <v/>
      </c>
      <c r="AC23" t="b">
        <f ca="1"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AD23" t="b">
        <f>IF(metadata!C23="",FALSE,ISNUMBER(VALUE(metadata!C23)))</f>
        <v>0</v>
      </c>
      <c r="AE23" t="b">
        <f>AND(IF(metadata!D23="",FALSE,TRUE),EXACT(metadata!D23,"years"))</f>
        <v>0</v>
      </c>
      <c r="AF23" t="b">
        <f>OR(AND(IF(metadata!E23="",FALSE,TRUE),OR(EXACT(metadata!E23,"not applicable"),EXACT(metadata!E23,"missing: not collected"),EXACT(metadata!E23,"missing: not provided"),EXACT(metadata!E23,"missing: restricted access"))),AND(IF(metadata!E23="",FALSE,ISNUMBER(VALUE(metadata!E23))),metadata!E23&gt;0))</f>
        <v>0</v>
      </c>
      <c r="AG23" t="b">
        <f>AND(IF(metadata!F23="",FALSE,TRUE),EXACT(metadata!F23,"Not applicable"))</f>
        <v>0</v>
      </c>
      <c r="AH23" t="b">
        <f>AND(IF(metadata!G23="",FALSE,TRUE),EXACT(metadata!G23,"urban biome"))</f>
        <v>0</v>
      </c>
      <c r="AI23" t="b">
        <f>AND(IF(metadata!H23="",FALSE,TRUE),EXACT(metadata!H23,"human-associated habitat"))</f>
        <v>0</v>
      </c>
      <c r="AJ23" t="b">
        <f>AND(IF(metadata!I23="",FALSE,TRUE),OR(EXACT(metadata!I23,"human-associated"),EXACT(metadata!I23,"human-skin"),EXACT(metadata!I23,"human-oral"),EXACT(metadata!I23,"human-gut"),EXACT(metadata!I23,"human-vaginal")))</f>
        <v>0</v>
      </c>
      <c r="AK23" t="b">
        <f>IF(metadata!J23="",FALSE,ISNUMBER(VALUE(metadata!J23)))</f>
        <v>0</v>
      </c>
      <c r="AL23" t="b">
        <f>AND(IF(metadata!K23="",FALSE,TRUE),EXACT(metadata!K23,"cm"))</f>
        <v>0</v>
      </c>
      <c r="AM23" t="b">
        <f>AND(IF(metadata!L23="",FALSE,TRUE),EXACT(metadata!L23,"human"))</f>
        <v>0</v>
      </c>
      <c r="AN23" t="b">
        <f>AND(IF(metadata!M23="",FALSE,TRUE),EXACT(metadata!M23,"Homo sapiens"))</f>
        <v>0</v>
      </c>
      <c r="AO23" t="b">
        <f>AND(IF(metadata!N23="",FALSE,TRUE),EXACT(metadata!N23,"9606"))</f>
        <v>0</v>
      </c>
      <c r="AP23" t="b">
        <f>IF(metadata!O23="",FALSE,TRUE)</f>
        <v>0</v>
      </c>
      <c r="AQ23" t="b">
        <f>IF(metadata!P23="",FALSE,TRUE)</f>
        <v>0</v>
      </c>
      <c r="AR23" t="b">
        <f>IF(metadata!Q23="",FALSE,ISNUMBER(VALUE(metadata!Q23)))</f>
        <v>0</v>
      </c>
      <c r="AS23" t="b">
        <f>AND(IF(metadata!R23="",FALSE,TRUE),EXACT(metadata!R23,"kg"))</f>
        <v>0</v>
      </c>
    </row>
    <row r="24" spans="1:45" x14ac:dyDescent="0.2">
      <c r="A24" s="5" t="str">
        <f ca="1">IF(B24=" "," ",HYPERLINK(CONCATENATE("#metadata!",ADDRESS(INDEX($X$2:$X$1001,MATCH(ROWS($V$2:V24),$V$2:$V$1001,0),0),1)),INDEX($AA$2:$AA$1001,MATCH(ROWS($V$2:V24),$V$2:$V$1001,0),0)))</f>
        <v xml:space="preserve"> </v>
      </c>
      <c r="B24" s="4" t="str">
        <f ca="1">IF(OR(INDEX($W$2:$W$1001,MATCH(ROWS($V$2:V24),$V$2:$V$1001,0),1)&gt;=100000,INDEX($AC$1005:$AS$1005,1,MATCH(COLUMNS($AC$1006:AC1006),$AC$1006:$AS$1006,0))&gt;=100000), " ",IF(INDEX($AC$2:$AS$1001,MATCH(ROWS($V$2:V24),$V$2:$V$1001,0),MATCH(COLUMNS($AC$1006:AC1006),$AC$1006:$AS$1006,0)), HYPERLINK("#",""), HYPERLINK(CONCATENATE("#metadata!", ADDRESS(INDEX($X$2:$X$1001,MATCH(ROWS($V$2:V24),$V$2:$V$1001,0),0), INDEX($AC$1004:$AS$1004,1,MATCH(COLUMNS($AC$1006:AC1006),$AC$1006:$AS$1006,0)))),"Fix")))</f>
        <v xml:space="preserve"> </v>
      </c>
      <c r="C24" s="4" t="str">
        <f ca="1">IF(OR(INDEX($W$2:$W$1001,MATCH(ROWS($V$2:V24),$V$2:$V$1001,0),1)&gt;=100000,INDEX($AC$1005:$AS$1005,1,MATCH(COLUMNS($AC$1006:AD1006),$AC$1006:$AS$1006,0))&gt;=100000), " ",IF(INDEX($AC$2:$AS$1001,MATCH(ROWS($V$2:V24),$V$2:$V$1001,0),MATCH(COLUMNS($AC$1006:AD1006),$AC$1006:$AS$1006,0)), HYPERLINK("#",""), HYPERLINK(CONCATENATE("#metadata!", ADDRESS(INDEX($X$2:$X$1001,MATCH(ROWS($V$2:V24),$V$2:$V$1001,0),0), INDEX($AC$1004:$AS$1004,1,MATCH(COLUMNS($AC$1006:AD1006),$AC$1006:$AS$1006,0)))),"Fix")))</f>
        <v xml:space="preserve"> </v>
      </c>
      <c r="D24" s="4" t="str">
        <f ca="1">IF(OR(INDEX($W$2:$W$1001,MATCH(ROWS($V$2:V24),$V$2:$V$1001,0),1)&gt;=100000,INDEX($AC$1005:$AS$1005,1,MATCH(COLUMNS($AC$1006:AE1006),$AC$1006:$AS$1006,0))&gt;=100000), " ",IF(INDEX($AC$2:$AS$1001,MATCH(ROWS($V$2:V24),$V$2:$V$1001,0),MATCH(COLUMNS($AC$1006:AE1006),$AC$1006:$AS$1006,0)), HYPERLINK("#",""), HYPERLINK(CONCATENATE("#metadata!", ADDRESS(INDEX($X$2:$X$1001,MATCH(ROWS($V$2:V24),$V$2:$V$1001,0),0), INDEX($AC$1004:$AS$1004,1,MATCH(COLUMNS($AC$1006:AE1006),$AC$1006:$AS$1006,0)))),"Fix")))</f>
        <v xml:space="preserve"> </v>
      </c>
      <c r="E24" s="4" t="str">
        <f ca="1">IF(OR(INDEX($W$2:$W$1001,MATCH(ROWS($V$2:V24),$V$2:$V$1001,0),1)&gt;=100000,INDEX($AC$1005:$AS$1005,1,MATCH(COLUMNS($AC$1006:AF1006),$AC$1006:$AS$1006,0))&gt;=100000), " ",IF(INDEX($AC$2:$AS$1001,MATCH(ROWS($V$2:V24),$V$2:$V$1001,0),MATCH(COLUMNS($AC$1006:AF1006),$AC$1006:$AS$1006,0)), HYPERLINK("#",""), HYPERLINK(CONCATENATE("#metadata!", ADDRESS(INDEX($X$2:$X$1001,MATCH(ROWS($V$2:V24),$V$2:$V$1001,0),0), INDEX($AC$1004:$AS$1004,1,MATCH(COLUMNS($AC$1006:AF1006),$AC$1006:$AS$1006,0)))),"Fix")))</f>
        <v xml:space="preserve"> </v>
      </c>
      <c r="F24" s="4" t="str">
        <f ca="1">IF(OR(INDEX($W$2:$W$1001,MATCH(ROWS($V$2:V24),$V$2:$V$1001,0),1)&gt;=100000,INDEX($AC$1005:$AS$1005,1,MATCH(COLUMNS($AC$1006:AG1006),$AC$1006:$AS$1006,0))&gt;=100000), " ",IF(INDEX($AC$2:$AS$1001,MATCH(ROWS($V$2:V24),$V$2:$V$1001,0),MATCH(COLUMNS($AC$1006:AG1006),$AC$1006:$AS$1006,0)), HYPERLINK("#",""), HYPERLINK(CONCATENATE("#metadata!", ADDRESS(INDEX($X$2:$X$1001,MATCH(ROWS($V$2:V24),$V$2:$V$1001,0),0), INDEX($AC$1004:$AS$1004,1,MATCH(COLUMNS($AC$1006:AG1006),$AC$1006:$AS$1006,0)))),"Fix")))</f>
        <v xml:space="preserve"> </v>
      </c>
      <c r="G24" s="4" t="str">
        <f ca="1">IF(OR(INDEX($W$2:$W$1001,MATCH(ROWS($V$2:V24),$V$2:$V$1001,0),1)&gt;=100000,INDEX($AC$1005:$AS$1005,1,MATCH(COLUMNS($AC$1006:AH1006),$AC$1006:$AS$1006,0))&gt;=100000), " ",IF(INDEX($AC$2:$AS$1001,MATCH(ROWS($V$2:V24),$V$2:$V$1001,0),MATCH(COLUMNS($AC$1006:AH1006),$AC$1006:$AS$1006,0)), HYPERLINK("#",""), HYPERLINK(CONCATENATE("#metadata!", ADDRESS(INDEX($X$2:$X$1001,MATCH(ROWS($V$2:V24),$V$2:$V$1001,0),0), INDEX($AC$1004:$AS$1004,1,MATCH(COLUMNS($AC$1006:AH1006),$AC$1006:$AS$1006,0)))),"Fix")))</f>
        <v xml:space="preserve"> </v>
      </c>
      <c r="H24" s="4" t="str">
        <f ca="1">IF(OR(INDEX($W$2:$W$1001,MATCH(ROWS($V$2:V24),$V$2:$V$1001,0),1)&gt;=100000,INDEX($AC$1005:$AS$1005,1,MATCH(COLUMNS($AC$1006:AI1006),$AC$1006:$AS$1006,0))&gt;=100000), " ",IF(INDEX($AC$2:$AS$1001,MATCH(ROWS($V$2:V24),$V$2:$V$1001,0),MATCH(COLUMNS($AC$1006:AI1006),$AC$1006:$AS$1006,0)), HYPERLINK("#",""), HYPERLINK(CONCATENATE("#metadata!", ADDRESS(INDEX($X$2:$X$1001,MATCH(ROWS($V$2:V24),$V$2:$V$1001,0),0), INDEX($AC$1004:$AS$1004,1,MATCH(COLUMNS($AC$1006:AI1006),$AC$1006:$AS$1006,0)))),"Fix")))</f>
        <v xml:space="preserve"> </v>
      </c>
      <c r="I24" s="4" t="str">
        <f ca="1">IF(OR(INDEX($W$2:$W$1001,MATCH(ROWS($V$2:V24),$V$2:$V$1001,0),1)&gt;=100000,INDEX($AC$1005:$AS$1005,1,MATCH(COLUMNS($AC$1006:AJ1006),$AC$1006:$AS$1006,0))&gt;=100000), " ",IF(INDEX($AC$2:$AS$1001,MATCH(ROWS($V$2:V24),$V$2:$V$1001,0),MATCH(COLUMNS($AC$1006:AJ1006),$AC$1006:$AS$1006,0)), HYPERLINK("#",""), HYPERLINK(CONCATENATE("#metadata!", ADDRESS(INDEX($X$2:$X$1001,MATCH(ROWS($V$2:V24),$V$2:$V$1001,0),0), INDEX($AC$1004:$AS$1004,1,MATCH(COLUMNS($AC$1006:AJ1006),$AC$1006:$AS$1006,0)))),"Fix")))</f>
        <v xml:space="preserve"> </v>
      </c>
      <c r="J24" s="4" t="str">
        <f ca="1">IF(OR(INDEX($W$2:$W$1001,MATCH(ROWS($V$2:V24),$V$2:$V$1001,0),1)&gt;=100000,INDEX($AC$1005:$AS$1005,1,MATCH(COLUMNS($AC$1006:AK1006),$AC$1006:$AS$1006,0))&gt;=100000), " ",IF(INDEX($AC$2:$AS$1001,MATCH(ROWS($V$2:V24),$V$2:$V$1001,0),MATCH(COLUMNS($AC$1006:AK1006),$AC$1006:$AS$1006,0)), HYPERLINK("#",""), HYPERLINK(CONCATENATE("#metadata!", ADDRESS(INDEX($X$2:$X$1001,MATCH(ROWS($V$2:V24),$V$2:$V$1001,0),0), INDEX($AC$1004:$AS$1004,1,MATCH(COLUMNS($AC$1006:AK1006),$AC$1006:$AS$1006,0)))),"Fix")))</f>
        <v xml:space="preserve"> </v>
      </c>
      <c r="K24" s="4" t="str">
        <f ca="1">IF(OR(INDEX($W$2:$W$1001,MATCH(ROWS($V$2:V24),$V$2:$V$1001,0),1)&gt;=100000,INDEX($AC$1005:$AS$1005,1,MATCH(COLUMNS($AC$1006:AL1006),$AC$1006:$AS$1006,0))&gt;=100000), " ",IF(INDEX($AC$2:$AS$1001,MATCH(ROWS($V$2:V24),$V$2:$V$1001,0),MATCH(COLUMNS($AC$1006:AL1006),$AC$1006:$AS$1006,0)), HYPERLINK("#",""), HYPERLINK(CONCATENATE("#metadata!", ADDRESS(INDEX($X$2:$X$1001,MATCH(ROWS($V$2:V24),$V$2:$V$1001,0),0), INDEX($AC$1004:$AS$1004,1,MATCH(COLUMNS($AC$1006:AL1006),$AC$1006:$AS$1006,0)))),"Fix")))</f>
        <v xml:space="preserve"> </v>
      </c>
      <c r="L24" s="4" t="str">
        <f ca="1">IF(OR(INDEX($W$2:$W$1001,MATCH(ROWS($V$2:V24),$V$2:$V$1001,0),1)&gt;=100000,INDEX($AC$1005:$AS$1005,1,MATCH(COLUMNS($AC$1006:AM1006),$AC$1006:$AS$1006,0))&gt;=100000), " ",IF(INDEX($AC$2:$AS$1001,MATCH(ROWS($V$2:V24),$V$2:$V$1001,0),MATCH(COLUMNS($AC$1006:AM1006),$AC$1006:$AS$1006,0)), HYPERLINK("#",""), HYPERLINK(CONCATENATE("#metadata!", ADDRESS(INDEX($X$2:$X$1001,MATCH(ROWS($V$2:V24),$V$2:$V$1001,0),0), INDEX($AC$1004:$AS$1004,1,MATCH(COLUMNS($AC$1006:AM1006),$AC$1006:$AS$1006,0)))),"Fix")))</f>
        <v xml:space="preserve"> </v>
      </c>
      <c r="M24" s="4" t="str">
        <f ca="1">IF(OR(INDEX($W$2:$W$1001,MATCH(ROWS($V$2:V24),$V$2:$V$1001,0),1)&gt;=100000,INDEX($AC$1005:$AS$1005,1,MATCH(COLUMNS($AC$1006:AN1006),$AC$1006:$AS$1006,0))&gt;=100000), " ",IF(INDEX($AC$2:$AS$1001,MATCH(ROWS($V$2:V24),$V$2:$V$1001,0),MATCH(COLUMNS($AC$1006:AN1006),$AC$1006:$AS$1006,0)), HYPERLINK("#",""), HYPERLINK(CONCATENATE("#metadata!", ADDRESS(INDEX($X$2:$X$1001,MATCH(ROWS($V$2:V24),$V$2:$V$1001,0),0), INDEX($AC$1004:$AS$1004,1,MATCH(COLUMNS($AC$1006:AN1006),$AC$1006:$AS$1006,0)))),"Fix")))</f>
        <v xml:space="preserve"> </v>
      </c>
      <c r="N24" s="4" t="str">
        <f ca="1">IF(OR(INDEX($W$2:$W$1001,MATCH(ROWS($V$2:V24),$V$2:$V$1001,0),1)&gt;=100000,INDEX($AC$1005:$AS$1005,1,MATCH(COLUMNS($AC$1006:AO1006),$AC$1006:$AS$1006,0))&gt;=100000), " ",IF(INDEX($AC$2:$AS$1001,MATCH(ROWS($V$2:V24),$V$2:$V$1001,0),MATCH(COLUMNS($AC$1006:AO1006),$AC$1006:$AS$1006,0)), HYPERLINK("#",""), HYPERLINK(CONCATENATE("#metadata!", ADDRESS(INDEX($X$2:$X$1001,MATCH(ROWS($V$2:V24),$V$2:$V$1001,0),0), INDEX($AC$1004:$AS$1004,1,MATCH(COLUMNS($AC$1006:AO1006),$AC$1006:$AS$1006,0)))),"Fix")))</f>
        <v xml:space="preserve"> </v>
      </c>
      <c r="O24" s="4" t="str">
        <f ca="1">IF(OR(INDEX($W$2:$W$1001,MATCH(ROWS($V$2:V24),$V$2:$V$1001,0),1)&gt;=100000,INDEX($AC$1005:$AS$1005,1,MATCH(COLUMNS($AC$1006:AP1006),$AC$1006:$AS$1006,0))&gt;=100000), " ",IF(INDEX($AC$2:$AS$1001,MATCH(ROWS($V$2:V24),$V$2:$V$1001,0),MATCH(COLUMNS($AC$1006:AP1006),$AC$1006:$AS$1006,0)), HYPERLINK("#",""), HYPERLINK(CONCATENATE("#metadata!", ADDRESS(INDEX($X$2:$X$1001,MATCH(ROWS($V$2:V24),$V$2:$V$1001,0),0), INDEX($AC$1004:$AS$1004,1,MATCH(COLUMNS($AC$1006:AP1006),$AC$1006:$AS$1006,0)))),"Fix")))</f>
        <v xml:space="preserve"> </v>
      </c>
      <c r="P24" s="4" t="str">
        <f ca="1">IF(OR(INDEX($W$2:$W$1001,MATCH(ROWS($V$2:V24),$V$2:$V$1001,0),1)&gt;=100000,INDEX($AC$1005:$AS$1005,1,MATCH(COLUMNS($AC$1006:AQ1006),$AC$1006:$AS$1006,0))&gt;=100000), " ",IF(INDEX($AC$2:$AS$1001,MATCH(ROWS($V$2:V24),$V$2:$V$1001,0),MATCH(COLUMNS($AC$1006:AQ1006),$AC$1006:$AS$1006,0)), HYPERLINK("#",""), HYPERLINK(CONCATENATE("#metadata!", ADDRESS(INDEX($X$2:$X$1001,MATCH(ROWS($V$2:V24),$V$2:$V$1001,0),0), INDEX($AC$1004:$AS$1004,1,MATCH(COLUMNS($AC$1006:AQ1006),$AC$1006:$AS$1006,0)))),"Fix")))</f>
        <v xml:space="preserve"> </v>
      </c>
      <c r="Q24" s="4" t="str">
        <f ca="1">IF(OR(INDEX($W$2:$W$1001,MATCH(ROWS($V$2:V24),$V$2:$V$1001,0),1)&gt;=100000,INDEX($AC$1005:$AS$1005,1,MATCH(COLUMNS($AC$1006:AR1006),$AC$1006:$AS$1006,0))&gt;=100000), " ",IF(INDEX($AC$2:$AS$1001,MATCH(ROWS($V$2:V24),$V$2:$V$1001,0),MATCH(COLUMNS($AC$1006:AR1006),$AC$1006:$AS$1006,0)), HYPERLINK("#",""), HYPERLINK(CONCATENATE("#metadata!", ADDRESS(INDEX($X$2:$X$1001,MATCH(ROWS($V$2:V24),$V$2:$V$1001,0),0), INDEX($AC$1004:$AS$1004,1,MATCH(COLUMNS($AC$1006:AR1006),$AC$1006:$AS$1006,0)))),"Fix")))</f>
        <v xml:space="preserve"> </v>
      </c>
      <c r="R24" s="4" t="str">
        <f ca="1">IF(OR(INDEX($W$2:$W$1001,MATCH(ROWS($V$2:V24),$V$2:$V$1001,0),1)&gt;=100000,INDEX($AC$1005:$AS$1005,1,MATCH(COLUMNS($AC$1006:AS1006),$AC$1006:$AS$1006,0))&gt;=100000), " ",IF(INDEX($AC$2:$AS$1001,MATCH(ROWS($V$2:V24),$V$2:$V$1001,0),MATCH(COLUMNS($AC$1006:AS1006),$AC$1006:$AS$1006,0)), HYPERLINK("#",""), HYPERLINK(CONCATENATE("#metadata!", ADDRESS(INDEX($X$2:$X$1001,MATCH(ROWS($V$2:V24),$V$2:$V$1001,0),0), INDEX($AC$1004:$AS$1004,1,MATCH(COLUMNS($AC$1006:AS1006),$AC$1006:$AS$1006,0)))),"Fix")))</f>
        <v xml:space="preserve"> </v>
      </c>
      <c r="V24">
        <v>23</v>
      </c>
      <c r="W24">
        <v>100024</v>
      </c>
      <c r="X24">
        <v>24</v>
      </c>
      <c r="Y24" t="b">
        <f t="shared" si="0"/>
        <v>1</v>
      </c>
      <c r="Z24" t="b">
        <f>COUNTBLANK(metadata!B24:R24)=COLUMNS(metadata!B24:R24)</f>
        <v>1</v>
      </c>
      <c r="AA24" t="str">
        <v/>
      </c>
      <c r="AC24" t="b">
        <f ca="1"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AD24" t="b">
        <f>IF(metadata!C24="",FALSE,ISNUMBER(VALUE(metadata!C24)))</f>
        <v>0</v>
      </c>
      <c r="AE24" t="b">
        <f>AND(IF(metadata!D24="",FALSE,TRUE),EXACT(metadata!D24,"years"))</f>
        <v>0</v>
      </c>
      <c r="AF24" t="b">
        <f>OR(AND(IF(metadata!E24="",FALSE,TRUE),OR(EXACT(metadata!E24,"not applicable"),EXACT(metadata!E24,"missing: not collected"),EXACT(metadata!E24,"missing: not provided"),EXACT(metadata!E24,"missing: restricted access"))),AND(IF(metadata!E24="",FALSE,ISNUMBER(VALUE(metadata!E24))),metadata!E24&gt;0))</f>
        <v>0</v>
      </c>
      <c r="AG24" t="b">
        <f>AND(IF(metadata!F24="",FALSE,TRUE),EXACT(metadata!F24,"Not applicable"))</f>
        <v>0</v>
      </c>
      <c r="AH24" t="b">
        <f>AND(IF(metadata!G24="",FALSE,TRUE),EXACT(metadata!G24,"urban biome"))</f>
        <v>0</v>
      </c>
      <c r="AI24" t="b">
        <f>AND(IF(metadata!H24="",FALSE,TRUE),EXACT(metadata!H24,"human-associated habitat"))</f>
        <v>0</v>
      </c>
      <c r="AJ24" t="b">
        <f>AND(IF(metadata!I24="",FALSE,TRUE),OR(EXACT(metadata!I24,"human-associated"),EXACT(metadata!I24,"human-skin"),EXACT(metadata!I24,"human-oral"),EXACT(metadata!I24,"human-gut"),EXACT(metadata!I24,"human-vaginal")))</f>
        <v>0</v>
      </c>
      <c r="AK24" t="b">
        <f>IF(metadata!J24="",FALSE,ISNUMBER(VALUE(metadata!J24)))</f>
        <v>0</v>
      </c>
      <c r="AL24" t="b">
        <f>AND(IF(metadata!K24="",FALSE,TRUE),EXACT(metadata!K24,"cm"))</f>
        <v>0</v>
      </c>
      <c r="AM24" t="b">
        <f>AND(IF(metadata!L24="",FALSE,TRUE),EXACT(metadata!L24,"human"))</f>
        <v>0</v>
      </c>
      <c r="AN24" t="b">
        <f>AND(IF(metadata!M24="",FALSE,TRUE),EXACT(metadata!M24,"Homo sapiens"))</f>
        <v>0</v>
      </c>
      <c r="AO24" t="b">
        <f>AND(IF(metadata!N24="",FALSE,TRUE),EXACT(metadata!N24,"9606"))</f>
        <v>0</v>
      </c>
      <c r="AP24" t="b">
        <f>IF(metadata!O24="",FALSE,TRUE)</f>
        <v>0</v>
      </c>
      <c r="AQ24" t="b">
        <f>IF(metadata!P24="",FALSE,TRUE)</f>
        <v>0</v>
      </c>
      <c r="AR24" t="b">
        <f>IF(metadata!Q24="",FALSE,ISNUMBER(VALUE(metadata!Q24)))</f>
        <v>0</v>
      </c>
      <c r="AS24" t="b">
        <f>AND(IF(metadata!R24="",FALSE,TRUE),EXACT(metadata!R24,"kg"))</f>
        <v>0</v>
      </c>
    </row>
    <row r="25" spans="1:45" x14ac:dyDescent="0.2">
      <c r="A25" s="5" t="str">
        <f ca="1">IF(B25=" "," ",HYPERLINK(CONCATENATE("#metadata!",ADDRESS(INDEX($X$2:$X$1001,MATCH(ROWS($V$2:V25),$V$2:$V$1001,0),0),1)),INDEX($AA$2:$AA$1001,MATCH(ROWS($V$2:V25),$V$2:$V$1001,0),0)))</f>
        <v xml:space="preserve"> </v>
      </c>
      <c r="B25" s="4" t="str">
        <f ca="1">IF(OR(INDEX($W$2:$W$1001,MATCH(ROWS($V$2:V25),$V$2:$V$1001,0),1)&gt;=100000,INDEX($AC$1005:$AS$1005,1,MATCH(COLUMNS($AC$1006:AC1006),$AC$1006:$AS$1006,0))&gt;=100000), " ",IF(INDEX($AC$2:$AS$1001,MATCH(ROWS($V$2:V25),$V$2:$V$1001,0),MATCH(COLUMNS($AC$1006:AC1006),$AC$1006:$AS$1006,0)), HYPERLINK("#",""), HYPERLINK(CONCATENATE("#metadata!", ADDRESS(INDEX($X$2:$X$1001,MATCH(ROWS($V$2:V25),$V$2:$V$1001,0),0), INDEX($AC$1004:$AS$1004,1,MATCH(COLUMNS($AC$1006:AC1006),$AC$1006:$AS$1006,0)))),"Fix")))</f>
        <v xml:space="preserve"> </v>
      </c>
      <c r="C25" s="4" t="str">
        <f ca="1">IF(OR(INDEX($W$2:$W$1001,MATCH(ROWS($V$2:V25),$V$2:$V$1001,0),1)&gt;=100000,INDEX($AC$1005:$AS$1005,1,MATCH(COLUMNS($AC$1006:AD1006),$AC$1006:$AS$1006,0))&gt;=100000), " ",IF(INDEX($AC$2:$AS$1001,MATCH(ROWS($V$2:V25),$V$2:$V$1001,0),MATCH(COLUMNS($AC$1006:AD1006),$AC$1006:$AS$1006,0)), HYPERLINK("#",""), HYPERLINK(CONCATENATE("#metadata!", ADDRESS(INDEX($X$2:$X$1001,MATCH(ROWS($V$2:V25),$V$2:$V$1001,0),0), INDEX($AC$1004:$AS$1004,1,MATCH(COLUMNS($AC$1006:AD1006),$AC$1006:$AS$1006,0)))),"Fix")))</f>
        <v xml:space="preserve"> </v>
      </c>
      <c r="D25" s="4" t="str">
        <f ca="1">IF(OR(INDEX($W$2:$W$1001,MATCH(ROWS($V$2:V25),$V$2:$V$1001,0),1)&gt;=100000,INDEX($AC$1005:$AS$1005,1,MATCH(COLUMNS($AC$1006:AE1006),$AC$1006:$AS$1006,0))&gt;=100000), " ",IF(INDEX($AC$2:$AS$1001,MATCH(ROWS($V$2:V25),$V$2:$V$1001,0),MATCH(COLUMNS($AC$1006:AE1006),$AC$1006:$AS$1006,0)), HYPERLINK("#",""), HYPERLINK(CONCATENATE("#metadata!", ADDRESS(INDEX($X$2:$X$1001,MATCH(ROWS($V$2:V25),$V$2:$V$1001,0),0), INDEX($AC$1004:$AS$1004,1,MATCH(COLUMNS($AC$1006:AE1006),$AC$1006:$AS$1006,0)))),"Fix")))</f>
        <v xml:space="preserve"> </v>
      </c>
      <c r="E25" s="4" t="str">
        <f ca="1">IF(OR(INDEX($W$2:$W$1001,MATCH(ROWS($V$2:V25),$V$2:$V$1001,0),1)&gt;=100000,INDEX($AC$1005:$AS$1005,1,MATCH(COLUMNS($AC$1006:AF1006),$AC$1006:$AS$1006,0))&gt;=100000), " ",IF(INDEX($AC$2:$AS$1001,MATCH(ROWS($V$2:V25),$V$2:$V$1001,0),MATCH(COLUMNS($AC$1006:AF1006),$AC$1006:$AS$1006,0)), HYPERLINK("#",""), HYPERLINK(CONCATENATE("#metadata!", ADDRESS(INDEX($X$2:$X$1001,MATCH(ROWS($V$2:V25),$V$2:$V$1001,0),0), INDEX($AC$1004:$AS$1004,1,MATCH(COLUMNS($AC$1006:AF1006),$AC$1006:$AS$1006,0)))),"Fix")))</f>
        <v xml:space="preserve"> </v>
      </c>
      <c r="F25" s="4" t="str">
        <f ca="1">IF(OR(INDEX($W$2:$W$1001,MATCH(ROWS($V$2:V25),$V$2:$V$1001,0),1)&gt;=100000,INDEX($AC$1005:$AS$1005,1,MATCH(COLUMNS($AC$1006:AG1006),$AC$1006:$AS$1006,0))&gt;=100000), " ",IF(INDEX($AC$2:$AS$1001,MATCH(ROWS($V$2:V25),$V$2:$V$1001,0),MATCH(COLUMNS($AC$1006:AG1006),$AC$1006:$AS$1006,0)), HYPERLINK("#",""), HYPERLINK(CONCATENATE("#metadata!", ADDRESS(INDEX($X$2:$X$1001,MATCH(ROWS($V$2:V25),$V$2:$V$1001,0),0), INDEX($AC$1004:$AS$1004,1,MATCH(COLUMNS($AC$1006:AG1006),$AC$1006:$AS$1006,0)))),"Fix")))</f>
        <v xml:space="preserve"> </v>
      </c>
      <c r="G25" s="4" t="str">
        <f ca="1">IF(OR(INDEX($W$2:$W$1001,MATCH(ROWS($V$2:V25),$V$2:$V$1001,0),1)&gt;=100000,INDEX($AC$1005:$AS$1005,1,MATCH(COLUMNS($AC$1006:AH1006),$AC$1006:$AS$1006,0))&gt;=100000), " ",IF(INDEX($AC$2:$AS$1001,MATCH(ROWS($V$2:V25),$V$2:$V$1001,0),MATCH(COLUMNS($AC$1006:AH1006),$AC$1006:$AS$1006,0)), HYPERLINK("#",""), HYPERLINK(CONCATENATE("#metadata!", ADDRESS(INDEX($X$2:$X$1001,MATCH(ROWS($V$2:V25),$V$2:$V$1001,0),0), INDEX($AC$1004:$AS$1004,1,MATCH(COLUMNS($AC$1006:AH1006),$AC$1006:$AS$1006,0)))),"Fix")))</f>
        <v xml:space="preserve"> </v>
      </c>
      <c r="H25" s="4" t="str">
        <f ca="1">IF(OR(INDEX($W$2:$W$1001,MATCH(ROWS($V$2:V25),$V$2:$V$1001,0),1)&gt;=100000,INDEX($AC$1005:$AS$1005,1,MATCH(COLUMNS($AC$1006:AI1006),$AC$1006:$AS$1006,0))&gt;=100000), " ",IF(INDEX($AC$2:$AS$1001,MATCH(ROWS($V$2:V25),$V$2:$V$1001,0),MATCH(COLUMNS($AC$1006:AI1006),$AC$1006:$AS$1006,0)), HYPERLINK("#",""), HYPERLINK(CONCATENATE("#metadata!", ADDRESS(INDEX($X$2:$X$1001,MATCH(ROWS($V$2:V25),$V$2:$V$1001,0),0), INDEX($AC$1004:$AS$1004,1,MATCH(COLUMNS($AC$1006:AI1006),$AC$1006:$AS$1006,0)))),"Fix")))</f>
        <v xml:space="preserve"> </v>
      </c>
      <c r="I25" s="4" t="str">
        <f ca="1">IF(OR(INDEX($W$2:$W$1001,MATCH(ROWS($V$2:V25),$V$2:$V$1001,0),1)&gt;=100000,INDEX($AC$1005:$AS$1005,1,MATCH(COLUMNS($AC$1006:AJ1006),$AC$1006:$AS$1006,0))&gt;=100000), " ",IF(INDEX($AC$2:$AS$1001,MATCH(ROWS($V$2:V25),$V$2:$V$1001,0),MATCH(COLUMNS($AC$1006:AJ1006),$AC$1006:$AS$1006,0)), HYPERLINK("#",""), HYPERLINK(CONCATENATE("#metadata!", ADDRESS(INDEX($X$2:$X$1001,MATCH(ROWS($V$2:V25),$V$2:$V$1001,0),0), INDEX($AC$1004:$AS$1004,1,MATCH(COLUMNS($AC$1006:AJ1006),$AC$1006:$AS$1006,0)))),"Fix")))</f>
        <v xml:space="preserve"> </v>
      </c>
      <c r="J25" s="4" t="str">
        <f ca="1">IF(OR(INDEX($W$2:$W$1001,MATCH(ROWS($V$2:V25),$V$2:$V$1001,0),1)&gt;=100000,INDEX($AC$1005:$AS$1005,1,MATCH(COLUMNS($AC$1006:AK1006),$AC$1006:$AS$1006,0))&gt;=100000), " ",IF(INDEX($AC$2:$AS$1001,MATCH(ROWS($V$2:V25),$V$2:$V$1001,0),MATCH(COLUMNS($AC$1006:AK1006),$AC$1006:$AS$1006,0)), HYPERLINK("#",""), HYPERLINK(CONCATENATE("#metadata!", ADDRESS(INDEX($X$2:$X$1001,MATCH(ROWS($V$2:V25),$V$2:$V$1001,0),0), INDEX($AC$1004:$AS$1004,1,MATCH(COLUMNS($AC$1006:AK1006),$AC$1006:$AS$1006,0)))),"Fix")))</f>
        <v xml:space="preserve"> </v>
      </c>
      <c r="K25" s="4" t="str">
        <f ca="1">IF(OR(INDEX($W$2:$W$1001,MATCH(ROWS($V$2:V25),$V$2:$V$1001,0),1)&gt;=100000,INDEX($AC$1005:$AS$1005,1,MATCH(COLUMNS($AC$1006:AL1006),$AC$1006:$AS$1006,0))&gt;=100000), " ",IF(INDEX($AC$2:$AS$1001,MATCH(ROWS($V$2:V25),$V$2:$V$1001,0),MATCH(COLUMNS($AC$1006:AL1006),$AC$1006:$AS$1006,0)), HYPERLINK("#",""), HYPERLINK(CONCATENATE("#metadata!", ADDRESS(INDEX($X$2:$X$1001,MATCH(ROWS($V$2:V25),$V$2:$V$1001,0),0), INDEX($AC$1004:$AS$1004,1,MATCH(COLUMNS($AC$1006:AL1006),$AC$1006:$AS$1006,0)))),"Fix")))</f>
        <v xml:space="preserve"> </v>
      </c>
      <c r="L25" s="4" t="str">
        <f ca="1">IF(OR(INDEX($W$2:$W$1001,MATCH(ROWS($V$2:V25),$V$2:$V$1001,0),1)&gt;=100000,INDEX($AC$1005:$AS$1005,1,MATCH(COLUMNS($AC$1006:AM1006),$AC$1006:$AS$1006,0))&gt;=100000), " ",IF(INDEX($AC$2:$AS$1001,MATCH(ROWS($V$2:V25),$V$2:$V$1001,0),MATCH(COLUMNS($AC$1006:AM1006),$AC$1006:$AS$1006,0)), HYPERLINK("#",""), HYPERLINK(CONCATENATE("#metadata!", ADDRESS(INDEX($X$2:$X$1001,MATCH(ROWS($V$2:V25),$V$2:$V$1001,0),0), INDEX($AC$1004:$AS$1004,1,MATCH(COLUMNS($AC$1006:AM1006),$AC$1006:$AS$1006,0)))),"Fix")))</f>
        <v xml:space="preserve"> </v>
      </c>
      <c r="M25" s="4" t="str">
        <f ca="1">IF(OR(INDEX($W$2:$W$1001,MATCH(ROWS($V$2:V25),$V$2:$V$1001,0),1)&gt;=100000,INDEX($AC$1005:$AS$1005,1,MATCH(COLUMNS($AC$1006:AN1006),$AC$1006:$AS$1006,0))&gt;=100000), " ",IF(INDEX($AC$2:$AS$1001,MATCH(ROWS($V$2:V25),$V$2:$V$1001,0),MATCH(COLUMNS($AC$1006:AN1006),$AC$1006:$AS$1006,0)), HYPERLINK("#",""), HYPERLINK(CONCATENATE("#metadata!", ADDRESS(INDEX($X$2:$X$1001,MATCH(ROWS($V$2:V25),$V$2:$V$1001,0),0), INDEX($AC$1004:$AS$1004,1,MATCH(COLUMNS($AC$1006:AN1006),$AC$1006:$AS$1006,0)))),"Fix")))</f>
        <v xml:space="preserve"> </v>
      </c>
      <c r="N25" s="4" t="str">
        <f ca="1">IF(OR(INDEX($W$2:$W$1001,MATCH(ROWS($V$2:V25),$V$2:$V$1001,0),1)&gt;=100000,INDEX($AC$1005:$AS$1005,1,MATCH(COLUMNS($AC$1006:AO1006),$AC$1006:$AS$1006,0))&gt;=100000), " ",IF(INDEX($AC$2:$AS$1001,MATCH(ROWS($V$2:V25),$V$2:$V$1001,0),MATCH(COLUMNS($AC$1006:AO1006),$AC$1006:$AS$1006,0)), HYPERLINK("#",""), HYPERLINK(CONCATENATE("#metadata!", ADDRESS(INDEX($X$2:$X$1001,MATCH(ROWS($V$2:V25),$V$2:$V$1001,0),0), INDEX($AC$1004:$AS$1004,1,MATCH(COLUMNS($AC$1006:AO1006),$AC$1006:$AS$1006,0)))),"Fix")))</f>
        <v xml:space="preserve"> </v>
      </c>
      <c r="O25" s="4" t="str">
        <f ca="1">IF(OR(INDEX($W$2:$W$1001,MATCH(ROWS($V$2:V25),$V$2:$V$1001,0),1)&gt;=100000,INDEX($AC$1005:$AS$1005,1,MATCH(COLUMNS($AC$1006:AP1006),$AC$1006:$AS$1006,0))&gt;=100000), " ",IF(INDEX($AC$2:$AS$1001,MATCH(ROWS($V$2:V25),$V$2:$V$1001,0),MATCH(COLUMNS($AC$1006:AP1006),$AC$1006:$AS$1006,0)), HYPERLINK("#",""), HYPERLINK(CONCATENATE("#metadata!", ADDRESS(INDEX($X$2:$X$1001,MATCH(ROWS($V$2:V25),$V$2:$V$1001,0),0), INDEX($AC$1004:$AS$1004,1,MATCH(COLUMNS($AC$1006:AP1006),$AC$1006:$AS$1006,0)))),"Fix")))</f>
        <v xml:space="preserve"> </v>
      </c>
      <c r="P25" s="4" t="str">
        <f ca="1">IF(OR(INDEX($W$2:$W$1001,MATCH(ROWS($V$2:V25),$V$2:$V$1001,0),1)&gt;=100000,INDEX($AC$1005:$AS$1005,1,MATCH(COLUMNS($AC$1006:AQ1006),$AC$1006:$AS$1006,0))&gt;=100000), " ",IF(INDEX($AC$2:$AS$1001,MATCH(ROWS($V$2:V25),$V$2:$V$1001,0),MATCH(COLUMNS($AC$1006:AQ1006),$AC$1006:$AS$1006,0)), HYPERLINK("#",""), HYPERLINK(CONCATENATE("#metadata!", ADDRESS(INDEX($X$2:$X$1001,MATCH(ROWS($V$2:V25),$V$2:$V$1001,0),0), INDEX($AC$1004:$AS$1004,1,MATCH(COLUMNS($AC$1006:AQ1006),$AC$1006:$AS$1006,0)))),"Fix")))</f>
        <v xml:space="preserve"> </v>
      </c>
      <c r="Q25" s="4" t="str">
        <f ca="1">IF(OR(INDEX($W$2:$W$1001,MATCH(ROWS($V$2:V25),$V$2:$V$1001,0),1)&gt;=100000,INDEX($AC$1005:$AS$1005,1,MATCH(COLUMNS($AC$1006:AR1006),$AC$1006:$AS$1006,0))&gt;=100000), " ",IF(INDEX($AC$2:$AS$1001,MATCH(ROWS($V$2:V25),$V$2:$V$1001,0),MATCH(COLUMNS($AC$1006:AR1006),$AC$1006:$AS$1006,0)), HYPERLINK("#",""), HYPERLINK(CONCATENATE("#metadata!", ADDRESS(INDEX($X$2:$X$1001,MATCH(ROWS($V$2:V25),$V$2:$V$1001,0),0), INDEX($AC$1004:$AS$1004,1,MATCH(COLUMNS($AC$1006:AR1006),$AC$1006:$AS$1006,0)))),"Fix")))</f>
        <v xml:space="preserve"> </v>
      </c>
      <c r="R25" s="4" t="str">
        <f ca="1">IF(OR(INDEX($W$2:$W$1001,MATCH(ROWS($V$2:V25),$V$2:$V$1001,0),1)&gt;=100000,INDEX($AC$1005:$AS$1005,1,MATCH(COLUMNS($AC$1006:AS1006),$AC$1006:$AS$1006,0))&gt;=100000), " ",IF(INDEX($AC$2:$AS$1001,MATCH(ROWS($V$2:V25),$V$2:$V$1001,0),MATCH(COLUMNS($AC$1006:AS1006),$AC$1006:$AS$1006,0)), HYPERLINK("#",""), HYPERLINK(CONCATENATE("#metadata!", ADDRESS(INDEX($X$2:$X$1001,MATCH(ROWS($V$2:V25),$V$2:$V$1001,0),0), INDEX($AC$1004:$AS$1004,1,MATCH(COLUMNS($AC$1006:AS1006),$AC$1006:$AS$1006,0)))),"Fix")))</f>
        <v xml:space="preserve"> </v>
      </c>
      <c r="V25">
        <v>24</v>
      </c>
      <c r="W25">
        <v>100025</v>
      </c>
      <c r="X25">
        <v>25</v>
      </c>
      <c r="Y25" t="b">
        <f t="shared" si="0"/>
        <v>1</v>
      </c>
      <c r="Z25" t="b">
        <f>COUNTBLANK(metadata!B25:R25)=COLUMNS(metadata!B25:R25)</f>
        <v>1</v>
      </c>
      <c r="AA25" t="str">
        <v/>
      </c>
      <c r="AC25" t="b">
        <f ca="1"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AD25" t="b">
        <f>IF(metadata!C25="",FALSE,ISNUMBER(VALUE(metadata!C25)))</f>
        <v>0</v>
      </c>
      <c r="AE25" t="b">
        <f>AND(IF(metadata!D25="",FALSE,TRUE),EXACT(metadata!D25,"years"))</f>
        <v>0</v>
      </c>
      <c r="AF25" t="b">
        <f>OR(AND(IF(metadata!E25="",FALSE,TRUE),OR(EXACT(metadata!E25,"not applicable"),EXACT(metadata!E25,"missing: not collected"),EXACT(metadata!E25,"missing: not provided"),EXACT(metadata!E25,"missing: restricted access"))),AND(IF(metadata!E25="",FALSE,ISNUMBER(VALUE(metadata!E25))),metadata!E25&gt;0))</f>
        <v>0</v>
      </c>
      <c r="AG25" t="b">
        <f>AND(IF(metadata!F25="",FALSE,TRUE),EXACT(metadata!F25,"Not applicable"))</f>
        <v>0</v>
      </c>
      <c r="AH25" t="b">
        <f>AND(IF(metadata!G25="",FALSE,TRUE),EXACT(metadata!G25,"urban biome"))</f>
        <v>0</v>
      </c>
      <c r="AI25" t="b">
        <f>AND(IF(metadata!H25="",FALSE,TRUE),EXACT(metadata!H25,"human-associated habitat"))</f>
        <v>0</v>
      </c>
      <c r="AJ25" t="b">
        <f>AND(IF(metadata!I25="",FALSE,TRUE),OR(EXACT(metadata!I25,"human-associated"),EXACT(metadata!I25,"human-skin"),EXACT(metadata!I25,"human-oral"),EXACT(metadata!I25,"human-gut"),EXACT(metadata!I25,"human-vaginal")))</f>
        <v>0</v>
      </c>
      <c r="AK25" t="b">
        <f>IF(metadata!J25="",FALSE,ISNUMBER(VALUE(metadata!J25)))</f>
        <v>0</v>
      </c>
      <c r="AL25" t="b">
        <f>AND(IF(metadata!K25="",FALSE,TRUE),EXACT(metadata!K25,"cm"))</f>
        <v>0</v>
      </c>
      <c r="AM25" t="b">
        <f>AND(IF(metadata!L25="",FALSE,TRUE),EXACT(metadata!L25,"human"))</f>
        <v>0</v>
      </c>
      <c r="AN25" t="b">
        <f>AND(IF(metadata!M25="",FALSE,TRUE),EXACT(metadata!M25,"Homo sapiens"))</f>
        <v>0</v>
      </c>
      <c r="AO25" t="b">
        <f>AND(IF(metadata!N25="",FALSE,TRUE),EXACT(metadata!N25,"9606"))</f>
        <v>0</v>
      </c>
      <c r="AP25" t="b">
        <f>IF(metadata!O25="",FALSE,TRUE)</f>
        <v>0</v>
      </c>
      <c r="AQ25" t="b">
        <f>IF(metadata!P25="",FALSE,TRUE)</f>
        <v>0</v>
      </c>
      <c r="AR25" t="b">
        <f>IF(metadata!Q25="",FALSE,ISNUMBER(VALUE(metadata!Q25)))</f>
        <v>0</v>
      </c>
      <c r="AS25" t="b">
        <f>AND(IF(metadata!R25="",FALSE,TRUE),EXACT(metadata!R25,"kg"))</f>
        <v>0</v>
      </c>
    </row>
    <row r="26" spans="1:45" x14ac:dyDescent="0.2">
      <c r="A26" s="5" t="str">
        <f ca="1">IF(B26=" "," ",HYPERLINK(CONCATENATE("#metadata!",ADDRESS(INDEX($X$2:$X$1001,MATCH(ROWS($V$2:V26),$V$2:$V$1001,0),0),1)),INDEX($AA$2:$AA$1001,MATCH(ROWS($V$2:V26),$V$2:$V$1001,0),0)))</f>
        <v xml:space="preserve"> </v>
      </c>
      <c r="B26" s="4" t="str">
        <f ca="1">IF(OR(INDEX($W$2:$W$1001,MATCH(ROWS($V$2:V26),$V$2:$V$1001,0),1)&gt;=100000,INDEX($AC$1005:$AS$1005,1,MATCH(COLUMNS($AC$1006:AC1006),$AC$1006:$AS$1006,0))&gt;=100000), " ",IF(INDEX($AC$2:$AS$1001,MATCH(ROWS($V$2:V26),$V$2:$V$1001,0),MATCH(COLUMNS($AC$1006:AC1006),$AC$1006:$AS$1006,0)), HYPERLINK("#",""), HYPERLINK(CONCATENATE("#metadata!", ADDRESS(INDEX($X$2:$X$1001,MATCH(ROWS($V$2:V26),$V$2:$V$1001,0),0), INDEX($AC$1004:$AS$1004,1,MATCH(COLUMNS($AC$1006:AC1006),$AC$1006:$AS$1006,0)))),"Fix")))</f>
        <v xml:space="preserve"> </v>
      </c>
      <c r="C26" s="4" t="str">
        <f ca="1">IF(OR(INDEX($W$2:$W$1001,MATCH(ROWS($V$2:V26),$V$2:$V$1001,0),1)&gt;=100000,INDEX($AC$1005:$AS$1005,1,MATCH(COLUMNS($AC$1006:AD1006),$AC$1006:$AS$1006,0))&gt;=100000), " ",IF(INDEX($AC$2:$AS$1001,MATCH(ROWS($V$2:V26),$V$2:$V$1001,0),MATCH(COLUMNS($AC$1006:AD1006),$AC$1006:$AS$1006,0)), HYPERLINK("#",""), HYPERLINK(CONCATENATE("#metadata!", ADDRESS(INDEX($X$2:$X$1001,MATCH(ROWS($V$2:V26),$V$2:$V$1001,0),0), INDEX($AC$1004:$AS$1004,1,MATCH(COLUMNS($AC$1006:AD1006),$AC$1006:$AS$1006,0)))),"Fix")))</f>
        <v xml:space="preserve"> </v>
      </c>
      <c r="D26" s="4" t="str">
        <f ca="1">IF(OR(INDEX($W$2:$W$1001,MATCH(ROWS($V$2:V26),$V$2:$V$1001,0),1)&gt;=100000,INDEX($AC$1005:$AS$1005,1,MATCH(COLUMNS($AC$1006:AE1006),$AC$1006:$AS$1006,0))&gt;=100000), " ",IF(INDEX($AC$2:$AS$1001,MATCH(ROWS($V$2:V26),$V$2:$V$1001,0),MATCH(COLUMNS($AC$1006:AE1006),$AC$1006:$AS$1006,0)), HYPERLINK("#",""), HYPERLINK(CONCATENATE("#metadata!", ADDRESS(INDEX($X$2:$X$1001,MATCH(ROWS($V$2:V26),$V$2:$V$1001,0),0), INDEX($AC$1004:$AS$1004,1,MATCH(COLUMNS($AC$1006:AE1006),$AC$1006:$AS$1006,0)))),"Fix")))</f>
        <v xml:space="preserve"> </v>
      </c>
      <c r="E26" s="4" t="str">
        <f ca="1">IF(OR(INDEX($W$2:$W$1001,MATCH(ROWS($V$2:V26),$V$2:$V$1001,0),1)&gt;=100000,INDEX($AC$1005:$AS$1005,1,MATCH(COLUMNS($AC$1006:AF1006),$AC$1006:$AS$1006,0))&gt;=100000), " ",IF(INDEX($AC$2:$AS$1001,MATCH(ROWS($V$2:V26),$V$2:$V$1001,0),MATCH(COLUMNS($AC$1006:AF1006),$AC$1006:$AS$1006,0)), HYPERLINK("#",""), HYPERLINK(CONCATENATE("#metadata!", ADDRESS(INDEX($X$2:$X$1001,MATCH(ROWS($V$2:V26),$V$2:$V$1001,0),0), INDEX($AC$1004:$AS$1004,1,MATCH(COLUMNS($AC$1006:AF1006),$AC$1006:$AS$1006,0)))),"Fix")))</f>
        <v xml:space="preserve"> </v>
      </c>
      <c r="F26" s="4" t="str">
        <f ca="1">IF(OR(INDEX($W$2:$W$1001,MATCH(ROWS($V$2:V26),$V$2:$V$1001,0),1)&gt;=100000,INDEX($AC$1005:$AS$1005,1,MATCH(COLUMNS($AC$1006:AG1006),$AC$1006:$AS$1006,0))&gt;=100000), " ",IF(INDEX($AC$2:$AS$1001,MATCH(ROWS($V$2:V26),$V$2:$V$1001,0),MATCH(COLUMNS($AC$1006:AG1006),$AC$1006:$AS$1006,0)), HYPERLINK("#",""), HYPERLINK(CONCATENATE("#metadata!", ADDRESS(INDEX($X$2:$X$1001,MATCH(ROWS($V$2:V26),$V$2:$V$1001,0),0), INDEX($AC$1004:$AS$1004,1,MATCH(COLUMNS($AC$1006:AG1006),$AC$1006:$AS$1006,0)))),"Fix")))</f>
        <v xml:space="preserve"> </v>
      </c>
      <c r="G26" s="4" t="str">
        <f ca="1">IF(OR(INDEX($W$2:$W$1001,MATCH(ROWS($V$2:V26),$V$2:$V$1001,0),1)&gt;=100000,INDEX($AC$1005:$AS$1005,1,MATCH(COLUMNS($AC$1006:AH1006),$AC$1006:$AS$1006,0))&gt;=100000), " ",IF(INDEX($AC$2:$AS$1001,MATCH(ROWS($V$2:V26),$V$2:$V$1001,0),MATCH(COLUMNS($AC$1006:AH1006),$AC$1006:$AS$1006,0)), HYPERLINK("#",""), HYPERLINK(CONCATENATE("#metadata!", ADDRESS(INDEX($X$2:$X$1001,MATCH(ROWS($V$2:V26),$V$2:$V$1001,0),0), INDEX($AC$1004:$AS$1004,1,MATCH(COLUMNS($AC$1006:AH1006),$AC$1006:$AS$1006,0)))),"Fix")))</f>
        <v xml:space="preserve"> </v>
      </c>
      <c r="H26" s="4" t="str">
        <f ca="1">IF(OR(INDEX($W$2:$W$1001,MATCH(ROWS($V$2:V26),$V$2:$V$1001,0),1)&gt;=100000,INDEX($AC$1005:$AS$1005,1,MATCH(COLUMNS($AC$1006:AI1006),$AC$1006:$AS$1006,0))&gt;=100000), " ",IF(INDEX($AC$2:$AS$1001,MATCH(ROWS($V$2:V26),$V$2:$V$1001,0),MATCH(COLUMNS($AC$1006:AI1006),$AC$1006:$AS$1006,0)), HYPERLINK("#",""), HYPERLINK(CONCATENATE("#metadata!", ADDRESS(INDEX($X$2:$X$1001,MATCH(ROWS($V$2:V26),$V$2:$V$1001,0),0), INDEX($AC$1004:$AS$1004,1,MATCH(COLUMNS($AC$1006:AI1006),$AC$1006:$AS$1006,0)))),"Fix")))</f>
        <v xml:space="preserve"> </v>
      </c>
      <c r="I26" s="4" t="str">
        <f ca="1">IF(OR(INDEX($W$2:$W$1001,MATCH(ROWS($V$2:V26),$V$2:$V$1001,0),1)&gt;=100000,INDEX($AC$1005:$AS$1005,1,MATCH(COLUMNS($AC$1006:AJ1006),$AC$1006:$AS$1006,0))&gt;=100000), " ",IF(INDEX($AC$2:$AS$1001,MATCH(ROWS($V$2:V26),$V$2:$V$1001,0),MATCH(COLUMNS($AC$1006:AJ1006),$AC$1006:$AS$1006,0)), HYPERLINK("#",""), HYPERLINK(CONCATENATE("#metadata!", ADDRESS(INDEX($X$2:$X$1001,MATCH(ROWS($V$2:V26),$V$2:$V$1001,0),0), INDEX($AC$1004:$AS$1004,1,MATCH(COLUMNS($AC$1006:AJ1006),$AC$1006:$AS$1006,0)))),"Fix")))</f>
        <v xml:space="preserve"> </v>
      </c>
      <c r="J26" s="4" t="str">
        <f ca="1">IF(OR(INDEX($W$2:$W$1001,MATCH(ROWS($V$2:V26),$V$2:$V$1001,0),1)&gt;=100000,INDEX($AC$1005:$AS$1005,1,MATCH(COLUMNS($AC$1006:AK1006),$AC$1006:$AS$1006,0))&gt;=100000), " ",IF(INDEX($AC$2:$AS$1001,MATCH(ROWS($V$2:V26),$V$2:$V$1001,0),MATCH(COLUMNS($AC$1006:AK1006),$AC$1006:$AS$1006,0)), HYPERLINK("#",""), HYPERLINK(CONCATENATE("#metadata!", ADDRESS(INDEX($X$2:$X$1001,MATCH(ROWS($V$2:V26),$V$2:$V$1001,0),0), INDEX($AC$1004:$AS$1004,1,MATCH(COLUMNS($AC$1006:AK1006),$AC$1006:$AS$1006,0)))),"Fix")))</f>
        <v xml:space="preserve"> </v>
      </c>
      <c r="K26" s="4" t="str">
        <f ca="1">IF(OR(INDEX($W$2:$W$1001,MATCH(ROWS($V$2:V26),$V$2:$V$1001,0),1)&gt;=100000,INDEX($AC$1005:$AS$1005,1,MATCH(COLUMNS($AC$1006:AL1006),$AC$1006:$AS$1006,0))&gt;=100000), " ",IF(INDEX($AC$2:$AS$1001,MATCH(ROWS($V$2:V26),$V$2:$V$1001,0),MATCH(COLUMNS($AC$1006:AL1006),$AC$1006:$AS$1006,0)), HYPERLINK("#",""), HYPERLINK(CONCATENATE("#metadata!", ADDRESS(INDEX($X$2:$X$1001,MATCH(ROWS($V$2:V26),$V$2:$V$1001,0),0), INDEX($AC$1004:$AS$1004,1,MATCH(COLUMNS($AC$1006:AL1006),$AC$1006:$AS$1006,0)))),"Fix")))</f>
        <v xml:space="preserve"> </v>
      </c>
      <c r="L26" s="4" t="str">
        <f ca="1">IF(OR(INDEX($W$2:$W$1001,MATCH(ROWS($V$2:V26),$V$2:$V$1001,0),1)&gt;=100000,INDEX($AC$1005:$AS$1005,1,MATCH(COLUMNS($AC$1006:AM1006),$AC$1006:$AS$1006,0))&gt;=100000), " ",IF(INDEX($AC$2:$AS$1001,MATCH(ROWS($V$2:V26),$V$2:$V$1001,0),MATCH(COLUMNS($AC$1006:AM1006),$AC$1006:$AS$1006,0)), HYPERLINK("#",""), HYPERLINK(CONCATENATE("#metadata!", ADDRESS(INDEX($X$2:$X$1001,MATCH(ROWS($V$2:V26),$V$2:$V$1001,0),0), INDEX($AC$1004:$AS$1004,1,MATCH(COLUMNS($AC$1006:AM1006),$AC$1006:$AS$1006,0)))),"Fix")))</f>
        <v xml:space="preserve"> </v>
      </c>
      <c r="M26" s="4" t="str">
        <f ca="1">IF(OR(INDEX($W$2:$W$1001,MATCH(ROWS($V$2:V26),$V$2:$V$1001,0),1)&gt;=100000,INDEX($AC$1005:$AS$1005,1,MATCH(COLUMNS($AC$1006:AN1006),$AC$1006:$AS$1006,0))&gt;=100000), " ",IF(INDEX($AC$2:$AS$1001,MATCH(ROWS($V$2:V26),$V$2:$V$1001,0),MATCH(COLUMNS($AC$1006:AN1006),$AC$1006:$AS$1006,0)), HYPERLINK("#",""), HYPERLINK(CONCATENATE("#metadata!", ADDRESS(INDEX($X$2:$X$1001,MATCH(ROWS($V$2:V26),$V$2:$V$1001,0),0), INDEX($AC$1004:$AS$1004,1,MATCH(COLUMNS($AC$1006:AN1006),$AC$1006:$AS$1006,0)))),"Fix")))</f>
        <v xml:space="preserve"> </v>
      </c>
      <c r="N26" s="4" t="str">
        <f ca="1">IF(OR(INDEX($W$2:$W$1001,MATCH(ROWS($V$2:V26),$V$2:$V$1001,0),1)&gt;=100000,INDEX($AC$1005:$AS$1005,1,MATCH(COLUMNS($AC$1006:AO1006),$AC$1006:$AS$1006,0))&gt;=100000), " ",IF(INDEX($AC$2:$AS$1001,MATCH(ROWS($V$2:V26),$V$2:$V$1001,0),MATCH(COLUMNS($AC$1006:AO1006),$AC$1006:$AS$1006,0)), HYPERLINK("#",""), HYPERLINK(CONCATENATE("#metadata!", ADDRESS(INDEX($X$2:$X$1001,MATCH(ROWS($V$2:V26),$V$2:$V$1001,0),0), INDEX($AC$1004:$AS$1004,1,MATCH(COLUMNS($AC$1006:AO1006),$AC$1006:$AS$1006,0)))),"Fix")))</f>
        <v xml:space="preserve"> </v>
      </c>
      <c r="O26" s="4" t="str">
        <f ca="1">IF(OR(INDEX($W$2:$W$1001,MATCH(ROWS($V$2:V26),$V$2:$V$1001,0),1)&gt;=100000,INDEX($AC$1005:$AS$1005,1,MATCH(COLUMNS($AC$1006:AP1006),$AC$1006:$AS$1006,0))&gt;=100000), " ",IF(INDEX($AC$2:$AS$1001,MATCH(ROWS($V$2:V26),$V$2:$V$1001,0),MATCH(COLUMNS($AC$1006:AP1006),$AC$1006:$AS$1006,0)), HYPERLINK("#",""), HYPERLINK(CONCATENATE("#metadata!", ADDRESS(INDEX($X$2:$X$1001,MATCH(ROWS($V$2:V26),$V$2:$V$1001,0),0), INDEX($AC$1004:$AS$1004,1,MATCH(COLUMNS($AC$1006:AP1006),$AC$1006:$AS$1006,0)))),"Fix")))</f>
        <v xml:space="preserve"> </v>
      </c>
      <c r="P26" s="4" t="str">
        <f ca="1">IF(OR(INDEX($W$2:$W$1001,MATCH(ROWS($V$2:V26),$V$2:$V$1001,0),1)&gt;=100000,INDEX($AC$1005:$AS$1005,1,MATCH(COLUMNS($AC$1006:AQ1006),$AC$1006:$AS$1006,0))&gt;=100000), " ",IF(INDEX($AC$2:$AS$1001,MATCH(ROWS($V$2:V26),$V$2:$V$1001,0),MATCH(COLUMNS($AC$1006:AQ1006),$AC$1006:$AS$1006,0)), HYPERLINK("#",""), HYPERLINK(CONCATENATE("#metadata!", ADDRESS(INDEX($X$2:$X$1001,MATCH(ROWS($V$2:V26),$V$2:$V$1001,0),0), INDEX($AC$1004:$AS$1004,1,MATCH(COLUMNS($AC$1006:AQ1006),$AC$1006:$AS$1006,0)))),"Fix")))</f>
        <v xml:space="preserve"> </v>
      </c>
      <c r="Q26" s="4" t="str">
        <f ca="1">IF(OR(INDEX($W$2:$W$1001,MATCH(ROWS($V$2:V26),$V$2:$V$1001,0),1)&gt;=100000,INDEX($AC$1005:$AS$1005,1,MATCH(COLUMNS($AC$1006:AR1006),$AC$1006:$AS$1006,0))&gt;=100000), " ",IF(INDEX($AC$2:$AS$1001,MATCH(ROWS($V$2:V26),$V$2:$V$1001,0),MATCH(COLUMNS($AC$1006:AR1006),$AC$1006:$AS$1006,0)), HYPERLINK("#",""), HYPERLINK(CONCATENATE("#metadata!", ADDRESS(INDEX($X$2:$X$1001,MATCH(ROWS($V$2:V26),$V$2:$V$1001,0),0), INDEX($AC$1004:$AS$1004,1,MATCH(COLUMNS($AC$1006:AR1006),$AC$1006:$AS$1006,0)))),"Fix")))</f>
        <v xml:space="preserve"> </v>
      </c>
      <c r="R26" s="4" t="str">
        <f ca="1">IF(OR(INDEX($W$2:$W$1001,MATCH(ROWS($V$2:V26),$V$2:$V$1001,0),1)&gt;=100000,INDEX($AC$1005:$AS$1005,1,MATCH(COLUMNS($AC$1006:AS1006),$AC$1006:$AS$1006,0))&gt;=100000), " ",IF(INDEX($AC$2:$AS$1001,MATCH(ROWS($V$2:V26),$V$2:$V$1001,0),MATCH(COLUMNS($AC$1006:AS1006),$AC$1006:$AS$1006,0)), HYPERLINK("#",""), HYPERLINK(CONCATENATE("#metadata!", ADDRESS(INDEX($X$2:$X$1001,MATCH(ROWS($V$2:V26),$V$2:$V$1001,0),0), INDEX($AC$1004:$AS$1004,1,MATCH(COLUMNS($AC$1006:AS1006),$AC$1006:$AS$1006,0)))),"Fix")))</f>
        <v xml:space="preserve"> </v>
      </c>
      <c r="V26">
        <v>25</v>
      </c>
      <c r="W26">
        <v>100026</v>
      </c>
      <c r="X26">
        <v>26</v>
      </c>
      <c r="Y26" t="b">
        <f t="shared" si="0"/>
        <v>1</v>
      </c>
      <c r="Z26" t="b">
        <f>COUNTBLANK(metadata!B26:R26)=COLUMNS(metadata!B26:R26)</f>
        <v>1</v>
      </c>
      <c r="AA26" t="str">
        <v/>
      </c>
      <c r="AC26" t="b">
        <f ca="1"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AD26" t="b">
        <f>IF(metadata!C26="",FALSE,ISNUMBER(VALUE(metadata!C26)))</f>
        <v>0</v>
      </c>
      <c r="AE26" t="b">
        <f>AND(IF(metadata!D26="",FALSE,TRUE),EXACT(metadata!D26,"years"))</f>
        <v>0</v>
      </c>
      <c r="AF26" t="b">
        <f>OR(AND(IF(metadata!E26="",FALSE,TRUE),OR(EXACT(metadata!E26,"not applicable"),EXACT(metadata!E26,"missing: not collected"),EXACT(metadata!E26,"missing: not provided"),EXACT(metadata!E26,"missing: restricted access"))),AND(IF(metadata!E26="",FALSE,ISNUMBER(VALUE(metadata!E26))),metadata!E26&gt;0))</f>
        <v>0</v>
      </c>
      <c r="AG26" t="b">
        <f>AND(IF(metadata!F26="",FALSE,TRUE),EXACT(metadata!F26,"Not applicable"))</f>
        <v>0</v>
      </c>
      <c r="AH26" t="b">
        <f>AND(IF(metadata!G26="",FALSE,TRUE),EXACT(metadata!G26,"urban biome"))</f>
        <v>0</v>
      </c>
      <c r="AI26" t="b">
        <f>AND(IF(metadata!H26="",FALSE,TRUE),EXACT(metadata!H26,"human-associated habitat"))</f>
        <v>0</v>
      </c>
      <c r="AJ26" t="b">
        <f>AND(IF(metadata!I26="",FALSE,TRUE),OR(EXACT(metadata!I26,"human-associated"),EXACT(metadata!I26,"human-skin"),EXACT(metadata!I26,"human-oral"),EXACT(metadata!I26,"human-gut"),EXACT(metadata!I26,"human-vaginal")))</f>
        <v>0</v>
      </c>
      <c r="AK26" t="b">
        <f>IF(metadata!J26="",FALSE,ISNUMBER(VALUE(metadata!J26)))</f>
        <v>0</v>
      </c>
      <c r="AL26" t="b">
        <f>AND(IF(metadata!K26="",FALSE,TRUE),EXACT(metadata!K26,"cm"))</f>
        <v>0</v>
      </c>
      <c r="AM26" t="b">
        <f>AND(IF(metadata!L26="",FALSE,TRUE),EXACT(metadata!L26,"human"))</f>
        <v>0</v>
      </c>
      <c r="AN26" t="b">
        <f>AND(IF(metadata!M26="",FALSE,TRUE),EXACT(metadata!M26,"Homo sapiens"))</f>
        <v>0</v>
      </c>
      <c r="AO26" t="b">
        <f>AND(IF(metadata!N26="",FALSE,TRUE),EXACT(metadata!N26,"9606"))</f>
        <v>0</v>
      </c>
      <c r="AP26" t="b">
        <f>IF(metadata!O26="",FALSE,TRUE)</f>
        <v>0</v>
      </c>
      <c r="AQ26" t="b">
        <f>IF(metadata!P26="",FALSE,TRUE)</f>
        <v>0</v>
      </c>
      <c r="AR26" t="b">
        <f>IF(metadata!Q26="",FALSE,ISNUMBER(VALUE(metadata!Q26)))</f>
        <v>0</v>
      </c>
      <c r="AS26" t="b">
        <f>AND(IF(metadata!R26="",FALSE,TRUE),EXACT(metadata!R26,"kg"))</f>
        <v>0</v>
      </c>
    </row>
    <row r="27" spans="1:45" x14ac:dyDescent="0.2">
      <c r="A27" s="5" t="str">
        <f ca="1">IF(B27=" "," ",HYPERLINK(CONCATENATE("#metadata!",ADDRESS(INDEX($X$2:$X$1001,MATCH(ROWS($V$2:V27),$V$2:$V$1001,0),0),1)),INDEX($AA$2:$AA$1001,MATCH(ROWS($V$2:V27),$V$2:$V$1001,0),0)))</f>
        <v xml:space="preserve"> </v>
      </c>
      <c r="B27" s="4" t="str">
        <f ca="1">IF(OR(INDEX($W$2:$W$1001,MATCH(ROWS($V$2:V27),$V$2:$V$1001,0),1)&gt;=100000,INDEX($AC$1005:$AS$1005,1,MATCH(COLUMNS($AC$1006:AC1006),$AC$1006:$AS$1006,0))&gt;=100000), " ",IF(INDEX($AC$2:$AS$1001,MATCH(ROWS($V$2:V27),$V$2:$V$1001,0),MATCH(COLUMNS($AC$1006:AC1006),$AC$1006:$AS$1006,0)), HYPERLINK("#",""), HYPERLINK(CONCATENATE("#metadata!", ADDRESS(INDEX($X$2:$X$1001,MATCH(ROWS($V$2:V27),$V$2:$V$1001,0),0), INDEX($AC$1004:$AS$1004,1,MATCH(COLUMNS($AC$1006:AC1006),$AC$1006:$AS$1006,0)))),"Fix")))</f>
        <v xml:space="preserve"> </v>
      </c>
      <c r="C27" s="4" t="str">
        <f ca="1">IF(OR(INDEX($W$2:$W$1001,MATCH(ROWS($V$2:V27),$V$2:$V$1001,0),1)&gt;=100000,INDEX($AC$1005:$AS$1005,1,MATCH(COLUMNS($AC$1006:AD1006),$AC$1006:$AS$1006,0))&gt;=100000), " ",IF(INDEX($AC$2:$AS$1001,MATCH(ROWS($V$2:V27),$V$2:$V$1001,0),MATCH(COLUMNS($AC$1006:AD1006),$AC$1006:$AS$1006,0)), HYPERLINK("#",""), HYPERLINK(CONCATENATE("#metadata!", ADDRESS(INDEX($X$2:$X$1001,MATCH(ROWS($V$2:V27),$V$2:$V$1001,0),0), INDEX($AC$1004:$AS$1004,1,MATCH(COLUMNS($AC$1006:AD1006),$AC$1006:$AS$1006,0)))),"Fix")))</f>
        <v xml:space="preserve"> </v>
      </c>
      <c r="D27" s="4" t="str">
        <f ca="1">IF(OR(INDEX($W$2:$W$1001,MATCH(ROWS($V$2:V27),$V$2:$V$1001,0),1)&gt;=100000,INDEX($AC$1005:$AS$1005,1,MATCH(COLUMNS($AC$1006:AE1006),$AC$1006:$AS$1006,0))&gt;=100000), " ",IF(INDEX($AC$2:$AS$1001,MATCH(ROWS($V$2:V27),$V$2:$V$1001,0),MATCH(COLUMNS($AC$1006:AE1006),$AC$1006:$AS$1006,0)), HYPERLINK("#",""), HYPERLINK(CONCATENATE("#metadata!", ADDRESS(INDEX($X$2:$X$1001,MATCH(ROWS($V$2:V27),$V$2:$V$1001,0),0), INDEX($AC$1004:$AS$1004,1,MATCH(COLUMNS($AC$1006:AE1006),$AC$1006:$AS$1006,0)))),"Fix")))</f>
        <v xml:space="preserve"> </v>
      </c>
      <c r="E27" s="4" t="str">
        <f ca="1">IF(OR(INDEX($W$2:$W$1001,MATCH(ROWS($V$2:V27),$V$2:$V$1001,0),1)&gt;=100000,INDEX($AC$1005:$AS$1005,1,MATCH(COLUMNS($AC$1006:AF1006),$AC$1006:$AS$1006,0))&gt;=100000), " ",IF(INDEX($AC$2:$AS$1001,MATCH(ROWS($V$2:V27),$V$2:$V$1001,0),MATCH(COLUMNS($AC$1006:AF1006),$AC$1006:$AS$1006,0)), HYPERLINK("#",""), HYPERLINK(CONCATENATE("#metadata!", ADDRESS(INDEX($X$2:$X$1001,MATCH(ROWS($V$2:V27),$V$2:$V$1001,0),0), INDEX($AC$1004:$AS$1004,1,MATCH(COLUMNS($AC$1006:AF1006),$AC$1006:$AS$1006,0)))),"Fix")))</f>
        <v xml:space="preserve"> </v>
      </c>
      <c r="F27" s="4" t="str">
        <f ca="1">IF(OR(INDEX($W$2:$W$1001,MATCH(ROWS($V$2:V27),$V$2:$V$1001,0),1)&gt;=100000,INDEX($AC$1005:$AS$1005,1,MATCH(COLUMNS($AC$1006:AG1006),$AC$1006:$AS$1006,0))&gt;=100000), " ",IF(INDEX($AC$2:$AS$1001,MATCH(ROWS($V$2:V27),$V$2:$V$1001,0),MATCH(COLUMNS($AC$1006:AG1006),$AC$1006:$AS$1006,0)), HYPERLINK("#",""), HYPERLINK(CONCATENATE("#metadata!", ADDRESS(INDEX($X$2:$X$1001,MATCH(ROWS($V$2:V27),$V$2:$V$1001,0),0), INDEX($AC$1004:$AS$1004,1,MATCH(COLUMNS($AC$1006:AG1006),$AC$1006:$AS$1006,0)))),"Fix")))</f>
        <v xml:space="preserve"> </v>
      </c>
      <c r="G27" s="4" t="str">
        <f ca="1">IF(OR(INDEX($W$2:$W$1001,MATCH(ROWS($V$2:V27),$V$2:$V$1001,0),1)&gt;=100000,INDEX($AC$1005:$AS$1005,1,MATCH(COLUMNS($AC$1006:AH1006),$AC$1006:$AS$1006,0))&gt;=100000), " ",IF(INDEX($AC$2:$AS$1001,MATCH(ROWS($V$2:V27),$V$2:$V$1001,0),MATCH(COLUMNS($AC$1006:AH1006),$AC$1006:$AS$1006,0)), HYPERLINK("#",""), HYPERLINK(CONCATENATE("#metadata!", ADDRESS(INDEX($X$2:$X$1001,MATCH(ROWS($V$2:V27),$V$2:$V$1001,0),0), INDEX($AC$1004:$AS$1004,1,MATCH(COLUMNS($AC$1006:AH1006),$AC$1006:$AS$1006,0)))),"Fix")))</f>
        <v xml:space="preserve"> </v>
      </c>
      <c r="H27" s="4" t="str">
        <f ca="1">IF(OR(INDEX($W$2:$W$1001,MATCH(ROWS($V$2:V27),$V$2:$V$1001,0),1)&gt;=100000,INDEX($AC$1005:$AS$1005,1,MATCH(COLUMNS($AC$1006:AI1006),$AC$1006:$AS$1006,0))&gt;=100000), " ",IF(INDEX($AC$2:$AS$1001,MATCH(ROWS($V$2:V27),$V$2:$V$1001,0),MATCH(COLUMNS($AC$1006:AI1006),$AC$1006:$AS$1006,0)), HYPERLINK("#",""), HYPERLINK(CONCATENATE("#metadata!", ADDRESS(INDEX($X$2:$X$1001,MATCH(ROWS($V$2:V27),$V$2:$V$1001,0),0), INDEX($AC$1004:$AS$1004,1,MATCH(COLUMNS($AC$1006:AI1006),$AC$1006:$AS$1006,0)))),"Fix")))</f>
        <v xml:space="preserve"> </v>
      </c>
      <c r="I27" s="4" t="str">
        <f ca="1">IF(OR(INDEX($W$2:$W$1001,MATCH(ROWS($V$2:V27),$V$2:$V$1001,0),1)&gt;=100000,INDEX($AC$1005:$AS$1005,1,MATCH(COLUMNS($AC$1006:AJ1006),$AC$1006:$AS$1006,0))&gt;=100000), " ",IF(INDEX($AC$2:$AS$1001,MATCH(ROWS($V$2:V27),$V$2:$V$1001,0),MATCH(COLUMNS($AC$1006:AJ1006),$AC$1006:$AS$1006,0)), HYPERLINK("#",""), HYPERLINK(CONCATENATE("#metadata!", ADDRESS(INDEX($X$2:$X$1001,MATCH(ROWS($V$2:V27),$V$2:$V$1001,0),0), INDEX($AC$1004:$AS$1004,1,MATCH(COLUMNS($AC$1006:AJ1006),$AC$1006:$AS$1006,0)))),"Fix")))</f>
        <v xml:space="preserve"> </v>
      </c>
      <c r="J27" s="4" t="str">
        <f ca="1">IF(OR(INDEX($W$2:$W$1001,MATCH(ROWS($V$2:V27),$V$2:$V$1001,0),1)&gt;=100000,INDEX($AC$1005:$AS$1005,1,MATCH(COLUMNS($AC$1006:AK1006),$AC$1006:$AS$1006,0))&gt;=100000), " ",IF(INDEX($AC$2:$AS$1001,MATCH(ROWS($V$2:V27),$V$2:$V$1001,0),MATCH(COLUMNS($AC$1006:AK1006),$AC$1006:$AS$1006,0)), HYPERLINK("#",""), HYPERLINK(CONCATENATE("#metadata!", ADDRESS(INDEX($X$2:$X$1001,MATCH(ROWS($V$2:V27),$V$2:$V$1001,0),0), INDEX($AC$1004:$AS$1004,1,MATCH(COLUMNS($AC$1006:AK1006),$AC$1006:$AS$1006,0)))),"Fix")))</f>
        <v xml:space="preserve"> </v>
      </c>
      <c r="K27" s="4" t="str">
        <f ca="1">IF(OR(INDEX($W$2:$W$1001,MATCH(ROWS($V$2:V27),$V$2:$V$1001,0),1)&gt;=100000,INDEX($AC$1005:$AS$1005,1,MATCH(COLUMNS($AC$1006:AL1006),$AC$1006:$AS$1006,0))&gt;=100000), " ",IF(INDEX($AC$2:$AS$1001,MATCH(ROWS($V$2:V27),$V$2:$V$1001,0),MATCH(COLUMNS($AC$1006:AL1006),$AC$1006:$AS$1006,0)), HYPERLINK("#",""), HYPERLINK(CONCATENATE("#metadata!", ADDRESS(INDEX($X$2:$X$1001,MATCH(ROWS($V$2:V27),$V$2:$V$1001,0),0), INDEX($AC$1004:$AS$1004,1,MATCH(COLUMNS($AC$1006:AL1006),$AC$1006:$AS$1006,0)))),"Fix")))</f>
        <v xml:space="preserve"> </v>
      </c>
      <c r="L27" s="4" t="str">
        <f ca="1">IF(OR(INDEX($W$2:$W$1001,MATCH(ROWS($V$2:V27),$V$2:$V$1001,0),1)&gt;=100000,INDEX($AC$1005:$AS$1005,1,MATCH(COLUMNS($AC$1006:AM1006),$AC$1006:$AS$1006,0))&gt;=100000), " ",IF(INDEX($AC$2:$AS$1001,MATCH(ROWS($V$2:V27),$V$2:$V$1001,0),MATCH(COLUMNS($AC$1006:AM1006),$AC$1006:$AS$1006,0)), HYPERLINK("#",""), HYPERLINK(CONCATENATE("#metadata!", ADDRESS(INDEX($X$2:$X$1001,MATCH(ROWS($V$2:V27),$V$2:$V$1001,0),0), INDEX($AC$1004:$AS$1004,1,MATCH(COLUMNS($AC$1006:AM1006),$AC$1006:$AS$1006,0)))),"Fix")))</f>
        <v xml:space="preserve"> </v>
      </c>
      <c r="M27" s="4" t="str">
        <f ca="1">IF(OR(INDEX($W$2:$W$1001,MATCH(ROWS($V$2:V27),$V$2:$V$1001,0),1)&gt;=100000,INDEX($AC$1005:$AS$1005,1,MATCH(COLUMNS($AC$1006:AN1006),$AC$1006:$AS$1006,0))&gt;=100000), " ",IF(INDEX($AC$2:$AS$1001,MATCH(ROWS($V$2:V27),$V$2:$V$1001,0),MATCH(COLUMNS($AC$1006:AN1006),$AC$1006:$AS$1006,0)), HYPERLINK("#",""), HYPERLINK(CONCATENATE("#metadata!", ADDRESS(INDEX($X$2:$X$1001,MATCH(ROWS($V$2:V27),$V$2:$V$1001,0),0), INDEX($AC$1004:$AS$1004,1,MATCH(COLUMNS($AC$1006:AN1006),$AC$1006:$AS$1006,0)))),"Fix")))</f>
        <v xml:space="preserve"> </v>
      </c>
      <c r="N27" s="4" t="str">
        <f ca="1">IF(OR(INDEX($W$2:$W$1001,MATCH(ROWS($V$2:V27),$V$2:$V$1001,0),1)&gt;=100000,INDEX($AC$1005:$AS$1005,1,MATCH(COLUMNS($AC$1006:AO1006),$AC$1006:$AS$1006,0))&gt;=100000), " ",IF(INDEX($AC$2:$AS$1001,MATCH(ROWS($V$2:V27),$V$2:$V$1001,0),MATCH(COLUMNS($AC$1006:AO1006),$AC$1006:$AS$1006,0)), HYPERLINK("#",""), HYPERLINK(CONCATENATE("#metadata!", ADDRESS(INDEX($X$2:$X$1001,MATCH(ROWS($V$2:V27),$V$2:$V$1001,0),0), INDEX($AC$1004:$AS$1004,1,MATCH(COLUMNS($AC$1006:AO1006),$AC$1006:$AS$1006,0)))),"Fix")))</f>
        <v xml:space="preserve"> </v>
      </c>
      <c r="O27" s="4" t="str">
        <f ca="1">IF(OR(INDEX($W$2:$W$1001,MATCH(ROWS($V$2:V27),$V$2:$V$1001,0),1)&gt;=100000,INDEX($AC$1005:$AS$1005,1,MATCH(COLUMNS($AC$1006:AP1006),$AC$1006:$AS$1006,0))&gt;=100000), " ",IF(INDEX($AC$2:$AS$1001,MATCH(ROWS($V$2:V27),$V$2:$V$1001,0),MATCH(COLUMNS($AC$1006:AP1006),$AC$1006:$AS$1006,0)), HYPERLINK("#",""), HYPERLINK(CONCATENATE("#metadata!", ADDRESS(INDEX($X$2:$X$1001,MATCH(ROWS($V$2:V27),$V$2:$V$1001,0),0), INDEX($AC$1004:$AS$1004,1,MATCH(COLUMNS($AC$1006:AP1006),$AC$1006:$AS$1006,0)))),"Fix")))</f>
        <v xml:space="preserve"> </v>
      </c>
      <c r="P27" s="4" t="str">
        <f ca="1">IF(OR(INDEX($W$2:$W$1001,MATCH(ROWS($V$2:V27),$V$2:$V$1001,0),1)&gt;=100000,INDEX($AC$1005:$AS$1005,1,MATCH(COLUMNS($AC$1006:AQ1006),$AC$1006:$AS$1006,0))&gt;=100000), " ",IF(INDEX($AC$2:$AS$1001,MATCH(ROWS($V$2:V27),$V$2:$V$1001,0),MATCH(COLUMNS($AC$1006:AQ1006),$AC$1006:$AS$1006,0)), HYPERLINK("#",""), HYPERLINK(CONCATENATE("#metadata!", ADDRESS(INDEX($X$2:$X$1001,MATCH(ROWS($V$2:V27),$V$2:$V$1001,0),0), INDEX($AC$1004:$AS$1004,1,MATCH(COLUMNS($AC$1006:AQ1006),$AC$1006:$AS$1006,0)))),"Fix")))</f>
        <v xml:space="preserve"> </v>
      </c>
      <c r="Q27" s="4" t="str">
        <f ca="1">IF(OR(INDEX($W$2:$W$1001,MATCH(ROWS($V$2:V27),$V$2:$V$1001,0),1)&gt;=100000,INDEX($AC$1005:$AS$1005,1,MATCH(COLUMNS($AC$1006:AR1006),$AC$1006:$AS$1006,0))&gt;=100000), " ",IF(INDEX($AC$2:$AS$1001,MATCH(ROWS($V$2:V27),$V$2:$V$1001,0),MATCH(COLUMNS($AC$1006:AR1006),$AC$1006:$AS$1006,0)), HYPERLINK("#",""), HYPERLINK(CONCATENATE("#metadata!", ADDRESS(INDEX($X$2:$X$1001,MATCH(ROWS($V$2:V27),$V$2:$V$1001,0),0), INDEX($AC$1004:$AS$1004,1,MATCH(COLUMNS($AC$1006:AR1006),$AC$1006:$AS$1006,0)))),"Fix")))</f>
        <v xml:space="preserve"> </v>
      </c>
      <c r="R27" s="4" t="str">
        <f ca="1">IF(OR(INDEX($W$2:$W$1001,MATCH(ROWS($V$2:V27),$V$2:$V$1001,0),1)&gt;=100000,INDEX($AC$1005:$AS$1005,1,MATCH(COLUMNS($AC$1006:AS1006),$AC$1006:$AS$1006,0))&gt;=100000), " ",IF(INDEX($AC$2:$AS$1001,MATCH(ROWS($V$2:V27),$V$2:$V$1001,0),MATCH(COLUMNS($AC$1006:AS1006),$AC$1006:$AS$1006,0)), HYPERLINK("#",""), HYPERLINK(CONCATENATE("#metadata!", ADDRESS(INDEX($X$2:$X$1001,MATCH(ROWS($V$2:V27),$V$2:$V$1001,0),0), INDEX($AC$1004:$AS$1004,1,MATCH(COLUMNS($AC$1006:AS1006),$AC$1006:$AS$1006,0)))),"Fix")))</f>
        <v xml:space="preserve"> </v>
      </c>
      <c r="V27">
        <v>26</v>
      </c>
      <c r="W27">
        <v>100027</v>
      </c>
      <c r="X27">
        <v>27</v>
      </c>
      <c r="Y27" t="b">
        <f t="shared" si="0"/>
        <v>1</v>
      </c>
      <c r="Z27" t="b">
        <f>COUNTBLANK(metadata!B27:R27)=COLUMNS(metadata!B27:R27)</f>
        <v>1</v>
      </c>
      <c r="AA27" t="str">
        <v/>
      </c>
      <c r="AC27" t="b">
        <f ca="1"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AD27" t="b">
        <f>IF(metadata!C27="",FALSE,ISNUMBER(VALUE(metadata!C27)))</f>
        <v>0</v>
      </c>
      <c r="AE27" t="b">
        <f>AND(IF(metadata!D27="",FALSE,TRUE),EXACT(metadata!D27,"years"))</f>
        <v>0</v>
      </c>
      <c r="AF27" t="b">
        <f>OR(AND(IF(metadata!E27="",FALSE,TRUE),OR(EXACT(metadata!E27,"not applicable"),EXACT(metadata!E27,"missing: not collected"),EXACT(metadata!E27,"missing: not provided"),EXACT(metadata!E27,"missing: restricted access"))),AND(IF(metadata!E27="",FALSE,ISNUMBER(VALUE(metadata!E27))),metadata!E27&gt;0))</f>
        <v>0</v>
      </c>
      <c r="AG27" t="b">
        <f>AND(IF(metadata!F27="",FALSE,TRUE),EXACT(metadata!F27,"Not applicable"))</f>
        <v>0</v>
      </c>
      <c r="AH27" t="b">
        <f>AND(IF(metadata!G27="",FALSE,TRUE),EXACT(metadata!G27,"urban biome"))</f>
        <v>0</v>
      </c>
      <c r="AI27" t="b">
        <f>AND(IF(metadata!H27="",FALSE,TRUE),EXACT(metadata!H27,"human-associated habitat"))</f>
        <v>0</v>
      </c>
      <c r="AJ27" t="b">
        <f>AND(IF(metadata!I27="",FALSE,TRUE),OR(EXACT(metadata!I27,"human-associated"),EXACT(metadata!I27,"human-skin"),EXACT(metadata!I27,"human-oral"),EXACT(metadata!I27,"human-gut"),EXACT(metadata!I27,"human-vaginal")))</f>
        <v>0</v>
      </c>
      <c r="AK27" t="b">
        <f>IF(metadata!J27="",FALSE,ISNUMBER(VALUE(metadata!J27)))</f>
        <v>0</v>
      </c>
      <c r="AL27" t="b">
        <f>AND(IF(metadata!K27="",FALSE,TRUE),EXACT(metadata!K27,"cm"))</f>
        <v>0</v>
      </c>
      <c r="AM27" t="b">
        <f>AND(IF(metadata!L27="",FALSE,TRUE),EXACT(metadata!L27,"human"))</f>
        <v>0</v>
      </c>
      <c r="AN27" t="b">
        <f>AND(IF(metadata!M27="",FALSE,TRUE),EXACT(metadata!M27,"Homo sapiens"))</f>
        <v>0</v>
      </c>
      <c r="AO27" t="b">
        <f>AND(IF(metadata!N27="",FALSE,TRUE),EXACT(metadata!N27,"9606"))</f>
        <v>0</v>
      </c>
      <c r="AP27" t="b">
        <f>IF(metadata!O27="",FALSE,TRUE)</f>
        <v>0</v>
      </c>
      <c r="AQ27" t="b">
        <f>IF(metadata!P27="",FALSE,TRUE)</f>
        <v>0</v>
      </c>
      <c r="AR27" t="b">
        <f>IF(metadata!Q27="",FALSE,ISNUMBER(VALUE(metadata!Q27)))</f>
        <v>0</v>
      </c>
      <c r="AS27" t="b">
        <f>AND(IF(metadata!R27="",FALSE,TRUE),EXACT(metadata!R27,"kg"))</f>
        <v>0</v>
      </c>
    </row>
    <row r="28" spans="1:45" x14ac:dyDescent="0.2">
      <c r="A28" s="5" t="str">
        <f ca="1">IF(B28=" "," ",HYPERLINK(CONCATENATE("#metadata!",ADDRESS(INDEX($X$2:$X$1001,MATCH(ROWS($V$2:V28),$V$2:$V$1001,0),0),1)),INDEX($AA$2:$AA$1001,MATCH(ROWS($V$2:V28),$V$2:$V$1001,0),0)))</f>
        <v xml:space="preserve"> </v>
      </c>
      <c r="B28" s="4" t="str">
        <f ca="1">IF(OR(INDEX($W$2:$W$1001,MATCH(ROWS($V$2:V28),$V$2:$V$1001,0),1)&gt;=100000,INDEX($AC$1005:$AS$1005,1,MATCH(COLUMNS($AC$1006:AC1006),$AC$1006:$AS$1006,0))&gt;=100000), " ",IF(INDEX($AC$2:$AS$1001,MATCH(ROWS($V$2:V28),$V$2:$V$1001,0),MATCH(COLUMNS($AC$1006:AC1006),$AC$1006:$AS$1006,0)), HYPERLINK("#",""), HYPERLINK(CONCATENATE("#metadata!", ADDRESS(INDEX($X$2:$X$1001,MATCH(ROWS($V$2:V28),$V$2:$V$1001,0),0), INDEX($AC$1004:$AS$1004,1,MATCH(COLUMNS($AC$1006:AC1006),$AC$1006:$AS$1006,0)))),"Fix")))</f>
        <v xml:space="preserve"> </v>
      </c>
      <c r="C28" s="4" t="str">
        <f ca="1">IF(OR(INDEX($W$2:$W$1001,MATCH(ROWS($V$2:V28),$V$2:$V$1001,0),1)&gt;=100000,INDEX($AC$1005:$AS$1005,1,MATCH(COLUMNS($AC$1006:AD1006),$AC$1006:$AS$1006,0))&gt;=100000), " ",IF(INDEX($AC$2:$AS$1001,MATCH(ROWS($V$2:V28),$V$2:$V$1001,0),MATCH(COLUMNS($AC$1006:AD1006),$AC$1006:$AS$1006,0)), HYPERLINK("#",""), HYPERLINK(CONCATENATE("#metadata!", ADDRESS(INDEX($X$2:$X$1001,MATCH(ROWS($V$2:V28),$V$2:$V$1001,0),0), INDEX($AC$1004:$AS$1004,1,MATCH(COLUMNS($AC$1006:AD1006),$AC$1006:$AS$1006,0)))),"Fix")))</f>
        <v xml:space="preserve"> </v>
      </c>
      <c r="D28" s="4" t="str">
        <f ca="1">IF(OR(INDEX($W$2:$W$1001,MATCH(ROWS($V$2:V28),$V$2:$V$1001,0),1)&gt;=100000,INDEX($AC$1005:$AS$1005,1,MATCH(COLUMNS($AC$1006:AE1006),$AC$1006:$AS$1006,0))&gt;=100000), " ",IF(INDEX($AC$2:$AS$1001,MATCH(ROWS($V$2:V28),$V$2:$V$1001,0),MATCH(COLUMNS($AC$1006:AE1006),$AC$1006:$AS$1006,0)), HYPERLINK("#",""), HYPERLINK(CONCATENATE("#metadata!", ADDRESS(INDEX($X$2:$X$1001,MATCH(ROWS($V$2:V28),$V$2:$V$1001,0),0), INDEX($AC$1004:$AS$1004,1,MATCH(COLUMNS($AC$1006:AE1006),$AC$1006:$AS$1006,0)))),"Fix")))</f>
        <v xml:space="preserve"> </v>
      </c>
      <c r="E28" s="4" t="str">
        <f ca="1">IF(OR(INDEX($W$2:$W$1001,MATCH(ROWS($V$2:V28),$V$2:$V$1001,0),1)&gt;=100000,INDEX($AC$1005:$AS$1005,1,MATCH(COLUMNS($AC$1006:AF1006),$AC$1006:$AS$1006,0))&gt;=100000), " ",IF(INDEX($AC$2:$AS$1001,MATCH(ROWS($V$2:V28),$V$2:$V$1001,0),MATCH(COLUMNS($AC$1006:AF1006),$AC$1006:$AS$1006,0)), HYPERLINK("#",""), HYPERLINK(CONCATENATE("#metadata!", ADDRESS(INDEX($X$2:$X$1001,MATCH(ROWS($V$2:V28),$V$2:$V$1001,0),0), INDEX($AC$1004:$AS$1004,1,MATCH(COLUMNS($AC$1006:AF1006),$AC$1006:$AS$1006,0)))),"Fix")))</f>
        <v xml:space="preserve"> </v>
      </c>
      <c r="F28" s="4" t="str">
        <f ca="1">IF(OR(INDEX($W$2:$W$1001,MATCH(ROWS($V$2:V28),$V$2:$V$1001,0),1)&gt;=100000,INDEX($AC$1005:$AS$1005,1,MATCH(COLUMNS($AC$1006:AG1006),$AC$1006:$AS$1006,0))&gt;=100000), " ",IF(INDEX($AC$2:$AS$1001,MATCH(ROWS($V$2:V28),$V$2:$V$1001,0),MATCH(COLUMNS($AC$1006:AG1006),$AC$1006:$AS$1006,0)), HYPERLINK("#",""), HYPERLINK(CONCATENATE("#metadata!", ADDRESS(INDEX($X$2:$X$1001,MATCH(ROWS($V$2:V28),$V$2:$V$1001,0),0), INDEX($AC$1004:$AS$1004,1,MATCH(COLUMNS($AC$1006:AG1006),$AC$1006:$AS$1006,0)))),"Fix")))</f>
        <v xml:space="preserve"> </v>
      </c>
      <c r="G28" s="4" t="str">
        <f ca="1">IF(OR(INDEX($W$2:$W$1001,MATCH(ROWS($V$2:V28),$V$2:$V$1001,0),1)&gt;=100000,INDEX($AC$1005:$AS$1005,1,MATCH(COLUMNS($AC$1006:AH1006),$AC$1006:$AS$1006,0))&gt;=100000), " ",IF(INDEX($AC$2:$AS$1001,MATCH(ROWS($V$2:V28),$V$2:$V$1001,0),MATCH(COLUMNS($AC$1006:AH1006),$AC$1006:$AS$1006,0)), HYPERLINK("#",""), HYPERLINK(CONCATENATE("#metadata!", ADDRESS(INDEX($X$2:$X$1001,MATCH(ROWS($V$2:V28),$V$2:$V$1001,0),0), INDEX($AC$1004:$AS$1004,1,MATCH(COLUMNS($AC$1006:AH1006),$AC$1006:$AS$1006,0)))),"Fix")))</f>
        <v xml:space="preserve"> </v>
      </c>
      <c r="H28" s="4" t="str">
        <f ca="1">IF(OR(INDEX($W$2:$W$1001,MATCH(ROWS($V$2:V28),$V$2:$V$1001,0),1)&gt;=100000,INDEX($AC$1005:$AS$1005,1,MATCH(COLUMNS($AC$1006:AI1006),$AC$1006:$AS$1006,0))&gt;=100000), " ",IF(INDEX($AC$2:$AS$1001,MATCH(ROWS($V$2:V28),$V$2:$V$1001,0),MATCH(COLUMNS($AC$1006:AI1006),$AC$1006:$AS$1006,0)), HYPERLINK("#",""), HYPERLINK(CONCATENATE("#metadata!", ADDRESS(INDEX($X$2:$X$1001,MATCH(ROWS($V$2:V28),$V$2:$V$1001,0),0), INDEX($AC$1004:$AS$1004,1,MATCH(COLUMNS($AC$1006:AI1006),$AC$1006:$AS$1006,0)))),"Fix")))</f>
        <v xml:space="preserve"> </v>
      </c>
      <c r="I28" s="4" t="str">
        <f ca="1">IF(OR(INDEX($W$2:$W$1001,MATCH(ROWS($V$2:V28),$V$2:$V$1001,0),1)&gt;=100000,INDEX($AC$1005:$AS$1005,1,MATCH(COLUMNS($AC$1006:AJ1006),$AC$1006:$AS$1006,0))&gt;=100000), " ",IF(INDEX($AC$2:$AS$1001,MATCH(ROWS($V$2:V28),$V$2:$V$1001,0),MATCH(COLUMNS($AC$1006:AJ1006),$AC$1006:$AS$1006,0)), HYPERLINK("#",""), HYPERLINK(CONCATENATE("#metadata!", ADDRESS(INDEX($X$2:$X$1001,MATCH(ROWS($V$2:V28),$V$2:$V$1001,0),0), INDEX($AC$1004:$AS$1004,1,MATCH(COLUMNS($AC$1006:AJ1006),$AC$1006:$AS$1006,0)))),"Fix")))</f>
        <v xml:space="preserve"> </v>
      </c>
      <c r="J28" s="4" t="str">
        <f ca="1">IF(OR(INDEX($W$2:$W$1001,MATCH(ROWS($V$2:V28),$V$2:$V$1001,0),1)&gt;=100000,INDEX($AC$1005:$AS$1005,1,MATCH(COLUMNS($AC$1006:AK1006),$AC$1006:$AS$1006,0))&gt;=100000), " ",IF(INDEX($AC$2:$AS$1001,MATCH(ROWS($V$2:V28),$V$2:$V$1001,0),MATCH(COLUMNS($AC$1006:AK1006),$AC$1006:$AS$1006,0)), HYPERLINK("#",""), HYPERLINK(CONCATENATE("#metadata!", ADDRESS(INDEX($X$2:$X$1001,MATCH(ROWS($V$2:V28),$V$2:$V$1001,0),0), INDEX($AC$1004:$AS$1004,1,MATCH(COLUMNS($AC$1006:AK1006),$AC$1006:$AS$1006,0)))),"Fix")))</f>
        <v xml:space="preserve"> </v>
      </c>
      <c r="K28" s="4" t="str">
        <f ca="1">IF(OR(INDEX($W$2:$W$1001,MATCH(ROWS($V$2:V28),$V$2:$V$1001,0),1)&gt;=100000,INDEX($AC$1005:$AS$1005,1,MATCH(COLUMNS($AC$1006:AL1006),$AC$1006:$AS$1006,0))&gt;=100000), " ",IF(INDEX($AC$2:$AS$1001,MATCH(ROWS($V$2:V28),$V$2:$V$1001,0),MATCH(COLUMNS($AC$1006:AL1006),$AC$1006:$AS$1006,0)), HYPERLINK("#",""), HYPERLINK(CONCATENATE("#metadata!", ADDRESS(INDEX($X$2:$X$1001,MATCH(ROWS($V$2:V28),$V$2:$V$1001,0),0), INDEX($AC$1004:$AS$1004,1,MATCH(COLUMNS($AC$1006:AL1006),$AC$1006:$AS$1006,0)))),"Fix")))</f>
        <v xml:space="preserve"> </v>
      </c>
      <c r="L28" s="4" t="str">
        <f ca="1">IF(OR(INDEX($W$2:$W$1001,MATCH(ROWS($V$2:V28),$V$2:$V$1001,0),1)&gt;=100000,INDEX($AC$1005:$AS$1005,1,MATCH(COLUMNS($AC$1006:AM1006),$AC$1006:$AS$1006,0))&gt;=100000), " ",IF(INDEX($AC$2:$AS$1001,MATCH(ROWS($V$2:V28),$V$2:$V$1001,0),MATCH(COLUMNS($AC$1006:AM1006),$AC$1006:$AS$1006,0)), HYPERLINK("#",""), HYPERLINK(CONCATENATE("#metadata!", ADDRESS(INDEX($X$2:$X$1001,MATCH(ROWS($V$2:V28),$V$2:$V$1001,0),0), INDEX($AC$1004:$AS$1004,1,MATCH(COLUMNS($AC$1006:AM1006),$AC$1006:$AS$1006,0)))),"Fix")))</f>
        <v xml:space="preserve"> </v>
      </c>
      <c r="M28" s="4" t="str">
        <f ca="1">IF(OR(INDEX($W$2:$W$1001,MATCH(ROWS($V$2:V28),$V$2:$V$1001,0),1)&gt;=100000,INDEX($AC$1005:$AS$1005,1,MATCH(COLUMNS($AC$1006:AN1006),$AC$1006:$AS$1006,0))&gt;=100000), " ",IF(INDEX($AC$2:$AS$1001,MATCH(ROWS($V$2:V28),$V$2:$V$1001,0),MATCH(COLUMNS($AC$1006:AN1006),$AC$1006:$AS$1006,0)), HYPERLINK("#",""), HYPERLINK(CONCATENATE("#metadata!", ADDRESS(INDEX($X$2:$X$1001,MATCH(ROWS($V$2:V28),$V$2:$V$1001,0),0), INDEX($AC$1004:$AS$1004,1,MATCH(COLUMNS($AC$1006:AN1006),$AC$1006:$AS$1006,0)))),"Fix")))</f>
        <v xml:space="preserve"> </v>
      </c>
      <c r="N28" s="4" t="str">
        <f ca="1">IF(OR(INDEX($W$2:$W$1001,MATCH(ROWS($V$2:V28),$V$2:$V$1001,0),1)&gt;=100000,INDEX($AC$1005:$AS$1005,1,MATCH(COLUMNS($AC$1006:AO1006),$AC$1006:$AS$1006,0))&gt;=100000), " ",IF(INDEX($AC$2:$AS$1001,MATCH(ROWS($V$2:V28),$V$2:$V$1001,0),MATCH(COLUMNS($AC$1006:AO1006),$AC$1006:$AS$1006,0)), HYPERLINK("#",""), HYPERLINK(CONCATENATE("#metadata!", ADDRESS(INDEX($X$2:$X$1001,MATCH(ROWS($V$2:V28),$V$2:$V$1001,0),0), INDEX($AC$1004:$AS$1004,1,MATCH(COLUMNS($AC$1006:AO1006),$AC$1006:$AS$1006,0)))),"Fix")))</f>
        <v xml:space="preserve"> </v>
      </c>
      <c r="O28" s="4" t="str">
        <f ca="1">IF(OR(INDEX($W$2:$W$1001,MATCH(ROWS($V$2:V28),$V$2:$V$1001,0),1)&gt;=100000,INDEX($AC$1005:$AS$1005,1,MATCH(COLUMNS($AC$1006:AP1006),$AC$1006:$AS$1006,0))&gt;=100000), " ",IF(INDEX($AC$2:$AS$1001,MATCH(ROWS($V$2:V28),$V$2:$V$1001,0),MATCH(COLUMNS($AC$1006:AP1006),$AC$1006:$AS$1006,0)), HYPERLINK("#",""), HYPERLINK(CONCATENATE("#metadata!", ADDRESS(INDEX($X$2:$X$1001,MATCH(ROWS($V$2:V28),$V$2:$V$1001,0),0), INDEX($AC$1004:$AS$1004,1,MATCH(COLUMNS($AC$1006:AP1006),$AC$1006:$AS$1006,0)))),"Fix")))</f>
        <v xml:space="preserve"> </v>
      </c>
      <c r="P28" s="4" t="str">
        <f ca="1">IF(OR(INDEX($W$2:$W$1001,MATCH(ROWS($V$2:V28),$V$2:$V$1001,0),1)&gt;=100000,INDEX($AC$1005:$AS$1005,1,MATCH(COLUMNS($AC$1006:AQ1006),$AC$1006:$AS$1006,0))&gt;=100000), " ",IF(INDEX($AC$2:$AS$1001,MATCH(ROWS($V$2:V28),$V$2:$V$1001,0),MATCH(COLUMNS($AC$1006:AQ1006),$AC$1006:$AS$1006,0)), HYPERLINK("#",""), HYPERLINK(CONCATENATE("#metadata!", ADDRESS(INDEX($X$2:$X$1001,MATCH(ROWS($V$2:V28),$V$2:$V$1001,0),0), INDEX($AC$1004:$AS$1004,1,MATCH(COLUMNS($AC$1006:AQ1006),$AC$1006:$AS$1006,0)))),"Fix")))</f>
        <v xml:space="preserve"> </v>
      </c>
      <c r="Q28" s="4" t="str">
        <f ca="1">IF(OR(INDEX($W$2:$W$1001,MATCH(ROWS($V$2:V28),$V$2:$V$1001,0),1)&gt;=100000,INDEX($AC$1005:$AS$1005,1,MATCH(COLUMNS($AC$1006:AR1006),$AC$1006:$AS$1006,0))&gt;=100000), " ",IF(INDEX($AC$2:$AS$1001,MATCH(ROWS($V$2:V28),$V$2:$V$1001,0),MATCH(COLUMNS($AC$1006:AR1006),$AC$1006:$AS$1006,0)), HYPERLINK("#",""), HYPERLINK(CONCATENATE("#metadata!", ADDRESS(INDEX($X$2:$X$1001,MATCH(ROWS($V$2:V28),$V$2:$V$1001,0),0), INDEX($AC$1004:$AS$1004,1,MATCH(COLUMNS($AC$1006:AR1006),$AC$1006:$AS$1006,0)))),"Fix")))</f>
        <v xml:space="preserve"> </v>
      </c>
      <c r="R28" s="4" t="str">
        <f ca="1">IF(OR(INDEX($W$2:$W$1001,MATCH(ROWS($V$2:V28),$V$2:$V$1001,0),1)&gt;=100000,INDEX($AC$1005:$AS$1005,1,MATCH(COLUMNS($AC$1006:AS1006),$AC$1006:$AS$1006,0))&gt;=100000), " ",IF(INDEX($AC$2:$AS$1001,MATCH(ROWS($V$2:V28),$V$2:$V$1001,0),MATCH(COLUMNS($AC$1006:AS1006),$AC$1006:$AS$1006,0)), HYPERLINK("#",""), HYPERLINK(CONCATENATE("#metadata!", ADDRESS(INDEX($X$2:$X$1001,MATCH(ROWS($V$2:V28),$V$2:$V$1001,0),0), INDEX($AC$1004:$AS$1004,1,MATCH(COLUMNS($AC$1006:AS1006),$AC$1006:$AS$1006,0)))),"Fix")))</f>
        <v xml:space="preserve"> </v>
      </c>
      <c r="V28">
        <v>27</v>
      </c>
      <c r="W28">
        <v>100028</v>
      </c>
      <c r="X28">
        <v>28</v>
      </c>
      <c r="Y28" t="b">
        <f t="shared" si="0"/>
        <v>1</v>
      </c>
      <c r="Z28" t="b">
        <f>COUNTBLANK(metadata!B28:R28)=COLUMNS(metadata!B28:R28)</f>
        <v>1</v>
      </c>
      <c r="AA28" t="str">
        <v/>
      </c>
      <c r="AC28" t="b">
        <f ca="1"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AD28" t="b">
        <f>IF(metadata!C28="",FALSE,ISNUMBER(VALUE(metadata!C28)))</f>
        <v>0</v>
      </c>
      <c r="AE28" t="b">
        <f>AND(IF(metadata!D28="",FALSE,TRUE),EXACT(metadata!D28,"years"))</f>
        <v>0</v>
      </c>
      <c r="AF28" t="b">
        <f>OR(AND(IF(metadata!E28="",FALSE,TRUE),OR(EXACT(metadata!E28,"not applicable"),EXACT(metadata!E28,"missing: not collected"),EXACT(metadata!E28,"missing: not provided"),EXACT(metadata!E28,"missing: restricted access"))),AND(IF(metadata!E28="",FALSE,ISNUMBER(VALUE(metadata!E28))),metadata!E28&gt;0))</f>
        <v>0</v>
      </c>
      <c r="AG28" t="b">
        <f>AND(IF(metadata!F28="",FALSE,TRUE),EXACT(metadata!F28,"Not applicable"))</f>
        <v>0</v>
      </c>
      <c r="AH28" t="b">
        <f>AND(IF(metadata!G28="",FALSE,TRUE),EXACT(metadata!G28,"urban biome"))</f>
        <v>0</v>
      </c>
      <c r="AI28" t="b">
        <f>AND(IF(metadata!H28="",FALSE,TRUE),EXACT(metadata!H28,"human-associated habitat"))</f>
        <v>0</v>
      </c>
      <c r="AJ28" t="b">
        <f>AND(IF(metadata!I28="",FALSE,TRUE),OR(EXACT(metadata!I28,"human-associated"),EXACT(metadata!I28,"human-skin"),EXACT(metadata!I28,"human-oral"),EXACT(metadata!I28,"human-gut"),EXACT(metadata!I28,"human-vaginal")))</f>
        <v>0</v>
      </c>
      <c r="AK28" t="b">
        <f>IF(metadata!J28="",FALSE,ISNUMBER(VALUE(metadata!J28)))</f>
        <v>0</v>
      </c>
      <c r="AL28" t="b">
        <f>AND(IF(metadata!K28="",FALSE,TRUE),EXACT(metadata!K28,"cm"))</f>
        <v>0</v>
      </c>
      <c r="AM28" t="b">
        <f>AND(IF(metadata!L28="",FALSE,TRUE),EXACT(metadata!L28,"human"))</f>
        <v>0</v>
      </c>
      <c r="AN28" t="b">
        <f>AND(IF(metadata!M28="",FALSE,TRUE),EXACT(metadata!M28,"Homo sapiens"))</f>
        <v>0</v>
      </c>
      <c r="AO28" t="b">
        <f>AND(IF(metadata!N28="",FALSE,TRUE),EXACT(metadata!N28,"9606"))</f>
        <v>0</v>
      </c>
      <c r="AP28" t="b">
        <f>IF(metadata!O28="",FALSE,TRUE)</f>
        <v>0</v>
      </c>
      <c r="AQ28" t="b">
        <f>IF(metadata!P28="",FALSE,TRUE)</f>
        <v>0</v>
      </c>
      <c r="AR28" t="b">
        <f>IF(metadata!Q28="",FALSE,ISNUMBER(VALUE(metadata!Q28)))</f>
        <v>0</v>
      </c>
      <c r="AS28" t="b">
        <f>AND(IF(metadata!R28="",FALSE,TRUE),EXACT(metadata!R28,"kg"))</f>
        <v>0</v>
      </c>
    </row>
    <row r="29" spans="1:45" x14ac:dyDescent="0.2">
      <c r="A29" s="5" t="str">
        <f ca="1">IF(B29=" "," ",HYPERLINK(CONCATENATE("#metadata!",ADDRESS(INDEX($X$2:$X$1001,MATCH(ROWS($V$2:V29),$V$2:$V$1001,0),0),1)),INDEX($AA$2:$AA$1001,MATCH(ROWS($V$2:V29),$V$2:$V$1001,0),0)))</f>
        <v xml:space="preserve"> </v>
      </c>
      <c r="B29" s="4" t="str">
        <f ca="1">IF(OR(INDEX($W$2:$W$1001,MATCH(ROWS($V$2:V29),$V$2:$V$1001,0),1)&gt;=100000,INDEX($AC$1005:$AS$1005,1,MATCH(COLUMNS($AC$1006:AC1006),$AC$1006:$AS$1006,0))&gt;=100000), " ",IF(INDEX($AC$2:$AS$1001,MATCH(ROWS($V$2:V29),$V$2:$V$1001,0),MATCH(COLUMNS($AC$1006:AC1006),$AC$1006:$AS$1006,0)), HYPERLINK("#",""), HYPERLINK(CONCATENATE("#metadata!", ADDRESS(INDEX($X$2:$X$1001,MATCH(ROWS($V$2:V29),$V$2:$V$1001,0),0), INDEX($AC$1004:$AS$1004,1,MATCH(COLUMNS($AC$1006:AC1006),$AC$1006:$AS$1006,0)))),"Fix")))</f>
        <v xml:space="preserve"> </v>
      </c>
      <c r="C29" s="4" t="str">
        <f ca="1">IF(OR(INDEX($W$2:$W$1001,MATCH(ROWS($V$2:V29),$V$2:$V$1001,0),1)&gt;=100000,INDEX($AC$1005:$AS$1005,1,MATCH(COLUMNS($AC$1006:AD1006),$AC$1006:$AS$1006,0))&gt;=100000), " ",IF(INDEX($AC$2:$AS$1001,MATCH(ROWS($V$2:V29),$V$2:$V$1001,0),MATCH(COLUMNS($AC$1006:AD1006),$AC$1006:$AS$1006,0)), HYPERLINK("#",""), HYPERLINK(CONCATENATE("#metadata!", ADDRESS(INDEX($X$2:$X$1001,MATCH(ROWS($V$2:V29),$V$2:$V$1001,0),0), INDEX($AC$1004:$AS$1004,1,MATCH(COLUMNS($AC$1006:AD1006),$AC$1006:$AS$1006,0)))),"Fix")))</f>
        <v xml:space="preserve"> </v>
      </c>
      <c r="D29" s="4" t="str">
        <f ca="1">IF(OR(INDEX($W$2:$W$1001,MATCH(ROWS($V$2:V29),$V$2:$V$1001,0),1)&gt;=100000,INDEX($AC$1005:$AS$1005,1,MATCH(COLUMNS($AC$1006:AE1006),$AC$1006:$AS$1006,0))&gt;=100000), " ",IF(INDEX($AC$2:$AS$1001,MATCH(ROWS($V$2:V29),$V$2:$V$1001,0),MATCH(COLUMNS($AC$1006:AE1006),$AC$1006:$AS$1006,0)), HYPERLINK("#",""), HYPERLINK(CONCATENATE("#metadata!", ADDRESS(INDEX($X$2:$X$1001,MATCH(ROWS($V$2:V29),$V$2:$V$1001,0),0), INDEX($AC$1004:$AS$1004,1,MATCH(COLUMNS($AC$1006:AE1006),$AC$1006:$AS$1006,0)))),"Fix")))</f>
        <v xml:space="preserve"> </v>
      </c>
      <c r="E29" s="4" t="str">
        <f ca="1">IF(OR(INDEX($W$2:$W$1001,MATCH(ROWS($V$2:V29),$V$2:$V$1001,0),1)&gt;=100000,INDEX($AC$1005:$AS$1005,1,MATCH(COLUMNS($AC$1006:AF1006),$AC$1006:$AS$1006,0))&gt;=100000), " ",IF(INDEX($AC$2:$AS$1001,MATCH(ROWS($V$2:V29),$V$2:$V$1001,0),MATCH(COLUMNS($AC$1006:AF1006),$AC$1006:$AS$1006,0)), HYPERLINK("#",""), HYPERLINK(CONCATENATE("#metadata!", ADDRESS(INDEX($X$2:$X$1001,MATCH(ROWS($V$2:V29),$V$2:$V$1001,0),0), INDEX($AC$1004:$AS$1004,1,MATCH(COLUMNS($AC$1006:AF1006),$AC$1006:$AS$1006,0)))),"Fix")))</f>
        <v xml:space="preserve"> </v>
      </c>
      <c r="F29" s="4" t="str">
        <f ca="1">IF(OR(INDEX($W$2:$W$1001,MATCH(ROWS($V$2:V29),$V$2:$V$1001,0),1)&gt;=100000,INDEX($AC$1005:$AS$1005,1,MATCH(COLUMNS($AC$1006:AG1006),$AC$1006:$AS$1006,0))&gt;=100000), " ",IF(INDEX($AC$2:$AS$1001,MATCH(ROWS($V$2:V29),$V$2:$V$1001,0),MATCH(COLUMNS($AC$1006:AG1006),$AC$1006:$AS$1006,0)), HYPERLINK("#",""), HYPERLINK(CONCATENATE("#metadata!", ADDRESS(INDEX($X$2:$X$1001,MATCH(ROWS($V$2:V29),$V$2:$V$1001,0),0), INDEX($AC$1004:$AS$1004,1,MATCH(COLUMNS($AC$1006:AG1006),$AC$1006:$AS$1006,0)))),"Fix")))</f>
        <v xml:space="preserve"> </v>
      </c>
      <c r="G29" s="4" t="str">
        <f ca="1">IF(OR(INDEX($W$2:$W$1001,MATCH(ROWS($V$2:V29),$V$2:$V$1001,0),1)&gt;=100000,INDEX($AC$1005:$AS$1005,1,MATCH(COLUMNS($AC$1006:AH1006),$AC$1006:$AS$1006,0))&gt;=100000), " ",IF(INDEX($AC$2:$AS$1001,MATCH(ROWS($V$2:V29),$V$2:$V$1001,0),MATCH(COLUMNS($AC$1006:AH1006),$AC$1006:$AS$1006,0)), HYPERLINK("#",""), HYPERLINK(CONCATENATE("#metadata!", ADDRESS(INDEX($X$2:$X$1001,MATCH(ROWS($V$2:V29),$V$2:$V$1001,0),0), INDEX($AC$1004:$AS$1004,1,MATCH(COLUMNS($AC$1006:AH1006),$AC$1006:$AS$1006,0)))),"Fix")))</f>
        <v xml:space="preserve"> </v>
      </c>
      <c r="H29" s="4" t="str">
        <f ca="1">IF(OR(INDEX($W$2:$W$1001,MATCH(ROWS($V$2:V29),$V$2:$V$1001,0),1)&gt;=100000,INDEX($AC$1005:$AS$1005,1,MATCH(COLUMNS($AC$1006:AI1006),$AC$1006:$AS$1006,0))&gt;=100000), " ",IF(INDEX($AC$2:$AS$1001,MATCH(ROWS($V$2:V29),$V$2:$V$1001,0),MATCH(COLUMNS($AC$1006:AI1006),$AC$1006:$AS$1006,0)), HYPERLINK("#",""), HYPERLINK(CONCATENATE("#metadata!", ADDRESS(INDEX($X$2:$X$1001,MATCH(ROWS($V$2:V29),$V$2:$V$1001,0),0), INDEX($AC$1004:$AS$1004,1,MATCH(COLUMNS($AC$1006:AI1006),$AC$1006:$AS$1006,0)))),"Fix")))</f>
        <v xml:space="preserve"> </v>
      </c>
      <c r="I29" s="4" t="str">
        <f ca="1">IF(OR(INDEX($W$2:$W$1001,MATCH(ROWS($V$2:V29),$V$2:$V$1001,0),1)&gt;=100000,INDEX($AC$1005:$AS$1005,1,MATCH(COLUMNS($AC$1006:AJ1006),$AC$1006:$AS$1006,0))&gt;=100000), " ",IF(INDEX($AC$2:$AS$1001,MATCH(ROWS($V$2:V29),$V$2:$V$1001,0),MATCH(COLUMNS($AC$1006:AJ1006),$AC$1006:$AS$1006,0)), HYPERLINK("#",""), HYPERLINK(CONCATENATE("#metadata!", ADDRESS(INDEX($X$2:$X$1001,MATCH(ROWS($V$2:V29),$V$2:$V$1001,0),0), INDEX($AC$1004:$AS$1004,1,MATCH(COLUMNS($AC$1006:AJ1006),$AC$1006:$AS$1006,0)))),"Fix")))</f>
        <v xml:space="preserve"> </v>
      </c>
      <c r="J29" s="4" t="str">
        <f ca="1">IF(OR(INDEX($W$2:$W$1001,MATCH(ROWS($V$2:V29),$V$2:$V$1001,0),1)&gt;=100000,INDEX($AC$1005:$AS$1005,1,MATCH(COLUMNS($AC$1006:AK1006),$AC$1006:$AS$1006,0))&gt;=100000), " ",IF(INDEX($AC$2:$AS$1001,MATCH(ROWS($V$2:V29),$V$2:$V$1001,0),MATCH(COLUMNS($AC$1006:AK1006),$AC$1006:$AS$1006,0)), HYPERLINK("#",""), HYPERLINK(CONCATENATE("#metadata!", ADDRESS(INDEX($X$2:$X$1001,MATCH(ROWS($V$2:V29),$V$2:$V$1001,0),0), INDEX($AC$1004:$AS$1004,1,MATCH(COLUMNS($AC$1006:AK1006),$AC$1006:$AS$1006,0)))),"Fix")))</f>
        <v xml:space="preserve"> </v>
      </c>
      <c r="K29" s="4" t="str">
        <f ca="1">IF(OR(INDEX($W$2:$W$1001,MATCH(ROWS($V$2:V29),$V$2:$V$1001,0),1)&gt;=100000,INDEX($AC$1005:$AS$1005,1,MATCH(COLUMNS($AC$1006:AL1006),$AC$1006:$AS$1006,0))&gt;=100000), " ",IF(INDEX($AC$2:$AS$1001,MATCH(ROWS($V$2:V29),$V$2:$V$1001,0),MATCH(COLUMNS($AC$1006:AL1006),$AC$1006:$AS$1006,0)), HYPERLINK("#",""), HYPERLINK(CONCATENATE("#metadata!", ADDRESS(INDEX($X$2:$X$1001,MATCH(ROWS($V$2:V29),$V$2:$V$1001,0),0), INDEX($AC$1004:$AS$1004,1,MATCH(COLUMNS($AC$1006:AL1006),$AC$1006:$AS$1006,0)))),"Fix")))</f>
        <v xml:space="preserve"> </v>
      </c>
      <c r="L29" s="4" t="str">
        <f ca="1">IF(OR(INDEX($W$2:$W$1001,MATCH(ROWS($V$2:V29),$V$2:$V$1001,0),1)&gt;=100000,INDEX($AC$1005:$AS$1005,1,MATCH(COLUMNS($AC$1006:AM1006),$AC$1006:$AS$1006,0))&gt;=100000), " ",IF(INDEX($AC$2:$AS$1001,MATCH(ROWS($V$2:V29),$V$2:$V$1001,0),MATCH(COLUMNS($AC$1006:AM1006),$AC$1006:$AS$1006,0)), HYPERLINK("#",""), HYPERLINK(CONCATENATE("#metadata!", ADDRESS(INDEX($X$2:$X$1001,MATCH(ROWS($V$2:V29),$V$2:$V$1001,0),0), INDEX($AC$1004:$AS$1004,1,MATCH(COLUMNS($AC$1006:AM1006),$AC$1006:$AS$1006,0)))),"Fix")))</f>
        <v xml:space="preserve"> </v>
      </c>
      <c r="M29" s="4" t="str">
        <f ca="1">IF(OR(INDEX($W$2:$W$1001,MATCH(ROWS($V$2:V29),$V$2:$V$1001,0),1)&gt;=100000,INDEX($AC$1005:$AS$1005,1,MATCH(COLUMNS($AC$1006:AN1006),$AC$1006:$AS$1006,0))&gt;=100000), " ",IF(INDEX($AC$2:$AS$1001,MATCH(ROWS($V$2:V29),$V$2:$V$1001,0),MATCH(COLUMNS($AC$1006:AN1006),$AC$1006:$AS$1006,0)), HYPERLINK("#",""), HYPERLINK(CONCATENATE("#metadata!", ADDRESS(INDEX($X$2:$X$1001,MATCH(ROWS($V$2:V29),$V$2:$V$1001,0),0), INDEX($AC$1004:$AS$1004,1,MATCH(COLUMNS($AC$1006:AN1006),$AC$1006:$AS$1006,0)))),"Fix")))</f>
        <v xml:space="preserve"> </v>
      </c>
      <c r="N29" s="4" t="str">
        <f ca="1">IF(OR(INDEX($W$2:$W$1001,MATCH(ROWS($V$2:V29),$V$2:$V$1001,0),1)&gt;=100000,INDEX($AC$1005:$AS$1005,1,MATCH(COLUMNS($AC$1006:AO1006),$AC$1006:$AS$1006,0))&gt;=100000), " ",IF(INDEX($AC$2:$AS$1001,MATCH(ROWS($V$2:V29),$V$2:$V$1001,0),MATCH(COLUMNS($AC$1006:AO1006),$AC$1006:$AS$1006,0)), HYPERLINK("#",""), HYPERLINK(CONCATENATE("#metadata!", ADDRESS(INDEX($X$2:$X$1001,MATCH(ROWS($V$2:V29),$V$2:$V$1001,0),0), INDEX($AC$1004:$AS$1004,1,MATCH(COLUMNS($AC$1006:AO1006),$AC$1006:$AS$1006,0)))),"Fix")))</f>
        <v xml:space="preserve"> </v>
      </c>
      <c r="O29" s="4" t="str">
        <f ca="1">IF(OR(INDEX($W$2:$W$1001,MATCH(ROWS($V$2:V29),$V$2:$V$1001,0),1)&gt;=100000,INDEX($AC$1005:$AS$1005,1,MATCH(COLUMNS($AC$1006:AP1006),$AC$1006:$AS$1006,0))&gt;=100000), " ",IF(INDEX($AC$2:$AS$1001,MATCH(ROWS($V$2:V29),$V$2:$V$1001,0),MATCH(COLUMNS($AC$1006:AP1006),$AC$1006:$AS$1006,0)), HYPERLINK("#",""), HYPERLINK(CONCATENATE("#metadata!", ADDRESS(INDEX($X$2:$X$1001,MATCH(ROWS($V$2:V29),$V$2:$V$1001,0),0), INDEX($AC$1004:$AS$1004,1,MATCH(COLUMNS($AC$1006:AP1006),$AC$1006:$AS$1006,0)))),"Fix")))</f>
        <v xml:space="preserve"> </v>
      </c>
      <c r="P29" s="4" t="str">
        <f ca="1">IF(OR(INDEX($W$2:$W$1001,MATCH(ROWS($V$2:V29),$V$2:$V$1001,0),1)&gt;=100000,INDEX($AC$1005:$AS$1005,1,MATCH(COLUMNS($AC$1006:AQ1006),$AC$1006:$AS$1006,0))&gt;=100000), " ",IF(INDEX($AC$2:$AS$1001,MATCH(ROWS($V$2:V29),$V$2:$V$1001,0),MATCH(COLUMNS($AC$1006:AQ1006),$AC$1006:$AS$1006,0)), HYPERLINK("#",""), HYPERLINK(CONCATENATE("#metadata!", ADDRESS(INDEX($X$2:$X$1001,MATCH(ROWS($V$2:V29),$V$2:$V$1001,0),0), INDEX($AC$1004:$AS$1004,1,MATCH(COLUMNS($AC$1006:AQ1006),$AC$1006:$AS$1006,0)))),"Fix")))</f>
        <v xml:space="preserve"> </v>
      </c>
      <c r="Q29" s="4" t="str">
        <f ca="1">IF(OR(INDEX($W$2:$W$1001,MATCH(ROWS($V$2:V29),$V$2:$V$1001,0),1)&gt;=100000,INDEX($AC$1005:$AS$1005,1,MATCH(COLUMNS($AC$1006:AR1006),$AC$1006:$AS$1006,0))&gt;=100000), " ",IF(INDEX($AC$2:$AS$1001,MATCH(ROWS($V$2:V29),$V$2:$V$1001,0),MATCH(COLUMNS($AC$1006:AR1006),$AC$1006:$AS$1006,0)), HYPERLINK("#",""), HYPERLINK(CONCATENATE("#metadata!", ADDRESS(INDEX($X$2:$X$1001,MATCH(ROWS($V$2:V29),$V$2:$V$1001,0),0), INDEX($AC$1004:$AS$1004,1,MATCH(COLUMNS($AC$1006:AR1006),$AC$1006:$AS$1006,0)))),"Fix")))</f>
        <v xml:space="preserve"> </v>
      </c>
      <c r="R29" s="4" t="str">
        <f ca="1">IF(OR(INDEX($W$2:$W$1001,MATCH(ROWS($V$2:V29),$V$2:$V$1001,0),1)&gt;=100000,INDEX($AC$1005:$AS$1005,1,MATCH(COLUMNS($AC$1006:AS1006),$AC$1006:$AS$1006,0))&gt;=100000), " ",IF(INDEX($AC$2:$AS$1001,MATCH(ROWS($V$2:V29),$V$2:$V$1001,0),MATCH(COLUMNS($AC$1006:AS1006),$AC$1006:$AS$1006,0)), HYPERLINK("#",""), HYPERLINK(CONCATENATE("#metadata!", ADDRESS(INDEX($X$2:$X$1001,MATCH(ROWS($V$2:V29),$V$2:$V$1001,0),0), INDEX($AC$1004:$AS$1004,1,MATCH(COLUMNS($AC$1006:AS1006),$AC$1006:$AS$1006,0)))),"Fix")))</f>
        <v xml:space="preserve"> </v>
      </c>
      <c r="V29">
        <v>28</v>
      </c>
      <c r="W29">
        <v>100029</v>
      </c>
      <c r="X29">
        <v>29</v>
      </c>
      <c r="Y29" t="b">
        <f t="shared" si="0"/>
        <v>1</v>
      </c>
      <c r="Z29" t="b">
        <f>COUNTBLANK(metadata!B29:R29)=COLUMNS(metadata!B29:R29)</f>
        <v>1</v>
      </c>
      <c r="AA29" t="str">
        <v/>
      </c>
      <c r="AC29" t="b">
        <f ca="1"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AD29" t="b">
        <f>IF(metadata!C29="",FALSE,ISNUMBER(VALUE(metadata!C29)))</f>
        <v>0</v>
      </c>
      <c r="AE29" t="b">
        <f>AND(IF(metadata!D29="",FALSE,TRUE),EXACT(metadata!D29,"years"))</f>
        <v>0</v>
      </c>
      <c r="AF29" t="b">
        <f>OR(AND(IF(metadata!E29="",FALSE,TRUE),OR(EXACT(metadata!E29,"not applicable"),EXACT(metadata!E29,"missing: not collected"),EXACT(metadata!E29,"missing: not provided"),EXACT(metadata!E29,"missing: restricted access"))),AND(IF(metadata!E29="",FALSE,ISNUMBER(VALUE(metadata!E29))),metadata!E29&gt;0))</f>
        <v>0</v>
      </c>
      <c r="AG29" t="b">
        <f>AND(IF(metadata!F29="",FALSE,TRUE),EXACT(metadata!F29,"Not applicable"))</f>
        <v>0</v>
      </c>
      <c r="AH29" t="b">
        <f>AND(IF(metadata!G29="",FALSE,TRUE),EXACT(metadata!G29,"urban biome"))</f>
        <v>0</v>
      </c>
      <c r="AI29" t="b">
        <f>AND(IF(metadata!H29="",FALSE,TRUE),EXACT(metadata!H29,"human-associated habitat"))</f>
        <v>0</v>
      </c>
      <c r="AJ29" t="b">
        <f>AND(IF(metadata!I29="",FALSE,TRUE),OR(EXACT(metadata!I29,"human-associated"),EXACT(metadata!I29,"human-skin"),EXACT(metadata!I29,"human-oral"),EXACT(metadata!I29,"human-gut"),EXACT(metadata!I29,"human-vaginal")))</f>
        <v>0</v>
      </c>
      <c r="AK29" t="b">
        <f>IF(metadata!J29="",FALSE,ISNUMBER(VALUE(metadata!J29)))</f>
        <v>0</v>
      </c>
      <c r="AL29" t="b">
        <f>AND(IF(metadata!K29="",FALSE,TRUE),EXACT(metadata!K29,"cm"))</f>
        <v>0</v>
      </c>
      <c r="AM29" t="b">
        <f>AND(IF(metadata!L29="",FALSE,TRUE),EXACT(metadata!L29,"human"))</f>
        <v>0</v>
      </c>
      <c r="AN29" t="b">
        <f>AND(IF(metadata!M29="",FALSE,TRUE),EXACT(metadata!M29,"Homo sapiens"))</f>
        <v>0</v>
      </c>
      <c r="AO29" t="b">
        <f>AND(IF(metadata!N29="",FALSE,TRUE),EXACT(metadata!N29,"9606"))</f>
        <v>0</v>
      </c>
      <c r="AP29" t="b">
        <f>IF(metadata!O29="",FALSE,TRUE)</f>
        <v>0</v>
      </c>
      <c r="AQ29" t="b">
        <f>IF(metadata!P29="",FALSE,TRUE)</f>
        <v>0</v>
      </c>
      <c r="AR29" t="b">
        <f>IF(metadata!Q29="",FALSE,ISNUMBER(VALUE(metadata!Q29)))</f>
        <v>0</v>
      </c>
      <c r="AS29" t="b">
        <f>AND(IF(metadata!R29="",FALSE,TRUE),EXACT(metadata!R29,"kg"))</f>
        <v>0</v>
      </c>
    </row>
    <row r="30" spans="1:45" x14ac:dyDescent="0.2">
      <c r="A30" s="5" t="str">
        <f ca="1">IF(B30=" "," ",HYPERLINK(CONCATENATE("#metadata!",ADDRESS(INDEX($X$2:$X$1001,MATCH(ROWS($V$2:V30),$V$2:$V$1001,0),0),1)),INDEX($AA$2:$AA$1001,MATCH(ROWS($V$2:V30),$V$2:$V$1001,0),0)))</f>
        <v xml:space="preserve"> </v>
      </c>
      <c r="B30" s="4" t="str">
        <f ca="1">IF(OR(INDEX($W$2:$W$1001,MATCH(ROWS($V$2:V30),$V$2:$V$1001,0),1)&gt;=100000,INDEX($AC$1005:$AS$1005,1,MATCH(COLUMNS($AC$1006:AC1006),$AC$1006:$AS$1006,0))&gt;=100000), " ",IF(INDEX($AC$2:$AS$1001,MATCH(ROWS($V$2:V30),$V$2:$V$1001,0),MATCH(COLUMNS($AC$1006:AC1006),$AC$1006:$AS$1006,0)), HYPERLINK("#",""), HYPERLINK(CONCATENATE("#metadata!", ADDRESS(INDEX($X$2:$X$1001,MATCH(ROWS($V$2:V30),$V$2:$V$1001,0),0), INDEX($AC$1004:$AS$1004,1,MATCH(COLUMNS($AC$1006:AC1006),$AC$1006:$AS$1006,0)))),"Fix")))</f>
        <v xml:space="preserve"> </v>
      </c>
      <c r="C30" s="4" t="str">
        <f ca="1">IF(OR(INDEX($W$2:$W$1001,MATCH(ROWS($V$2:V30),$V$2:$V$1001,0),1)&gt;=100000,INDEX($AC$1005:$AS$1005,1,MATCH(COLUMNS($AC$1006:AD1006),$AC$1006:$AS$1006,0))&gt;=100000), " ",IF(INDEX($AC$2:$AS$1001,MATCH(ROWS($V$2:V30),$V$2:$V$1001,0),MATCH(COLUMNS($AC$1006:AD1006),$AC$1006:$AS$1006,0)), HYPERLINK("#",""), HYPERLINK(CONCATENATE("#metadata!", ADDRESS(INDEX($X$2:$X$1001,MATCH(ROWS($V$2:V30),$V$2:$V$1001,0),0), INDEX($AC$1004:$AS$1004,1,MATCH(COLUMNS($AC$1006:AD1006),$AC$1006:$AS$1006,0)))),"Fix")))</f>
        <v xml:space="preserve"> </v>
      </c>
      <c r="D30" s="4" t="str">
        <f ca="1">IF(OR(INDEX($W$2:$W$1001,MATCH(ROWS($V$2:V30),$V$2:$V$1001,0),1)&gt;=100000,INDEX($AC$1005:$AS$1005,1,MATCH(COLUMNS($AC$1006:AE1006),$AC$1006:$AS$1006,0))&gt;=100000), " ",IF(INDEX($AC$2:$AS$1001,MATCH(ROWS($V$2:V30),$V$2:$V$1001,0),MATCH(COLUMNS($AC$1006:AE1006),$AC$1006:$AS$1006,0)), HYPERLINK("#",""), HYPERLINK(CONCATENATE("#metadata!", ADDRESS(INDEX($X$2:$X$1001,MATCH(ROWS($V$2:V30),$V$2:$V$1001,0),0), INDEX($AC$1004:$AS$1004,1,MATCH(COLUMNS($AC$1006:AE1006),$AC$1006:$AS$1006,0)))),"Fix")))</f>
        <v xml:space="preserve"> </v>
      </c>
      <c r="E30" s="4" t="str">
        <f ca="1">IF(OR(INDEX($W$2:$W$1001,MATCH(ROWS($V$2:V30),$V$2:$V$1001,0),1)&gt;=100000,INDEX($AC$1005:$AS$1005,1,MATCH(COLUMNS($AC$1006:AF1006),$AC$1006:$AS$1006,0))&gt;=100000), " ",IF(INDEX($AC$2:$AS$1001,MATCH(ROWS($V$2:V30),$V$2:$V$1001,0),MATCH(COLUMNS($AC$1006:AF1006),$AC$1006:$AS$1006,0)), HYPERLINK("#",""), HYPERLINK(CONCATENATE("#metadata!", ADDRESS(INDEX($X$2:$X$1001,MATCH(ROWS($V$2:V30),$V$2:$V$1001,0),0), INDEX($AC$1004:$AS$1004,1,MATCH(COLUMNS($AC$1006:AF1006),$AC$1006:$AS$1006,0)))),"Fix")))</f>
        <v xml:space="preserve"> </v>
      </c>
      <c r="F30" s="4" t="str">
        <f ca="1">IF(OR(INDEX($W$2:$W$1001,MATCH(ROWS($V$2:V30),$V$2:$V$1001,0),1)&gt;=100000,INDEX($AC$1005:$AS$1005,1,MATCH(COLUMNS($AC$1006:AG1006),$AC$1006:$AS$1006,0))&gt;=100000), " ",IF(INDEX($AC$2:$AS$1001,MATCH(ROWS($V$2:V30),$V$2:$V$1001,0),MATCH(COLUMNS($AC$1006:AG1006),$AC$1006:$AS$1006,0)), HYPERLINK("#",""), HYPERLINK(CONCATENATE("#metadata!", ADDRESS(INDEX($X$2:$X$1001,MATCH(ROWS($V$2:V30),$V$2:$V$1001,0),0), INDEX($AC$1004:$AS$1004,1,MATCH(COLUMNS($AC$1006:AG1006),$AC$1006:$AS$1006,0)))),"Fix")))</f>
        <v xml:space="preserve"> </v>
      </c>
      <c r="G30" s="4" t="str">
        <f ca="1">IF(OR(INDEX($W$2:$W$1001,MATCH(ROWS($V$2:V30),$V$2:$V$1001,0),1)&gt;=100000,INDEX($AC$1005:$AS$1005,1,MATCH(COLUMNS($AC$1006:AH1006),$AC$1006:$AS$1006,0))&gt;=100000), " ",IF(INDEX($AC$2:$AS$1001,MATCH(ROWS($V$2:V30),$V$2:$V$1001,0),MATCH(COLUMNS($AC$1006:AH1006),$AC$1006:$AS$1006,0)), HYPERLINK("#",""), HYPERLINK(CONCATENATE("#metadata!", ADDRESS(INDEX($X$2:$X$1001,MATCH(ROWS($V$2:V30),$V$2:$V$1001,0),0), INDEX($AC$1004:$AS$1004,1,MATCH(COLUMNS($AC$1006:AH1006),$AC$1006:$AS$1006,0)))),"Fix")))</f>
        <v xml:space="preserve"> </v>
      </c>
      <c r="H30" s="4" t="str">
        <f ca="1">IF(OR(INDEX($W$2:$W$1001,MATCH(ROWS($V$2:V30),$V$2:$V$1001,0),1)&gt;=100000,INDEX($AC$1005:$AS$1005,1,MATCH(COLUMNS($AC$1006:AI1006),$AC$1006:$AS$1006,0))&gt;=100000), " ",IF(INDEX($AC$2:$AS$1001,MATCH(ROWS($V$2:V30),$V$2:$V$1001,0),MATCH(COLUMNS($AC$1006:AI1006),$AC$1006:$AS$1006,0)), HYPERLINK("#",""), HYPERLINK(CONCATENATE("#metadata!", ADDRESS(INDEX($X$2:$X$1001,MATCH(ROWS($V$2:V30),$V$2:$V$1001,0),0), INDEX($AC$1004:$AS$1004,1,MATCH(COLUMNS($AC$1006:AI1006),$AC$1006:$AS$1006,0)))),"Fix")))</f>
        <v xml:space="preserve"> </v>
      </c>
      <c r="I30" s="4" t="str">
        <f ca="1">IF(OR(INDEX($W$2:$W$1001,MATCH(ROWS($V$2:V30),$V$2:$V$1001,0),1)&gt;=100000,INDEX($AC$1005:$AS$1005,1,MATCH(COLUMNS($AC$1006:AJ1006),$AC$1006:$AS$1006,0))&gt;=100000), " ",IF(INDEX($AC$2:$AS$1001,MATCH(ROWS($V$2:V30),$V$2:$V$1001,0),MATCH(COLUMNS($AC$1006:AJ1006),$AC$1006:$AS$1006,0)), HYPERLINK("#",""), HYPERLINK(CONCATENATE("#metadata!", ADDRESS(INDEX($X$2:$X$1001,MATCH(ROWS($V$2:V30),$V$2:$V$1001,0),0), INDEX($AC$1004:$AS$1004,1,MATCH(COLUMNS($AC$1006:AJ1006),$AC$1006:$AS$1006,0)))),"Fix")))</f>
        <v xml:space="preserve"> </v>
      </c>
      <c r="J30" s="4" t="str">
        <f ca="1">IF(OR(INDEX($W$2:$W$1001,MATCH(ROWS($V$2:V30),$V$2:$V$1001,0),1)&gt;=100000,INDEX($AC$1005:$AS$1005,1,MATCH(COLUMNS($AC$1006:AK1006),$AC$1006:$AS$1006,0))&gt;=100000), " ",IF(INDEX($AC$2:$AS$1001,MATCH(ROWS($V$2:V30),$V$2:$V$1001,0),MATCH(COLUMNS($AC$1006:AK1006),$AC$1006:$AS$1006,0)), HYPERLINK("#",""), HYPERLINK(CONCATENATE("#metadata!", ADDRESS(INDEX($X$2:$X$1001,MATCH(ROWS($V$2:V30),$V$2:$V$1001,0),0), INDEX($AC$1004:$AS$1004,1,MATCH(COLUMNS($AC$1006:AK1006),$AC$1006:$AS$1006,0)))),"Fix")))</f>
        <v xml:space="preserve"> </v>
      </c>
      <c r="K30" s="4" t="str">
        <f ca="1">IF(OR(INDEX($W$2:$W$1001,MATCH(ROWS($V$2:V30),$V$2:$V$1001,0),1)&gt;=100000,INDEX($AC$1005:$AS$1005,1,MATCH(COLUMNS($AC$1006:AL1006),$AC$1006:$AS$1006,0))&gt;=100000), " ",IF(INDEX($AC$2:$AS$1001,MATCH(ROWS($V$2:V30),$V$2:$V$1001,0),MATCH(COLUMNS($AC$1006:AL1006),$AC$1006:$AS$1006,0)), HYPERLINK("#",""), HYPERLINK(CONCATENATE("#metadata!", ADDRESS(INDEX($X$2:$X$1001,MATCH(ROWS($V$2:V30),$V$2:$V$1001,0),0), INDEX($AC$1004:$AS$1004,1,MATCH(COLUMNS($AC$1006:AL1006),$AC$1006:$AS$1006,0)))),"Fix")))</f>
        <v xml:space="preserve"> </v>
      </c>
      <c r="L30" s="4" t="str">
        <f ca="1">IF(OR(INDEX($W$2:$W$1001,MATCH(ROWS($V$2:V30),$V$2:$V$1001,0),1)&gt;=100000,INDEX($AC$1005:$AS$1005,1,MATCH(COLUMNS($AC$1006:AM1006),$AC$1006:$AS$1006,0))&gt;=100000), " ",IF(INDEX($AC$2:$AS$1001,MATCH(ROWS($V$2:V30),$V$2:$V$1001,0),MATCH(COLUMNS($AC$1006:AM1006),$AC$1006:$AS$1006,0)), HYPERLINK("#",""), HYPERLINK(CONCATENATE("#metadata!", ADDRESS(INDEX($X$2:$X$1001,MATCH(ROWS($V$2:V30),$V$2:$V$1001,0),0), INDEX($AC$1004:$AS$1004,1,MATCH(COLUMNS($AC$1006:AM1006),$AC$1006:$AS$1006,0)))),"Fix")))</f>
        <v xml:space="preserve"> </v>
      </c>
      <c r="M30" s="4" t="str">
        <f ca="1">IF(OR(INDEX($W$2:$W$1001,MATCH(ROWS($V$2:V30),$V$2:$V$1001,0),1)&gt;=100000,INDEX($AC$1005:$AS$1005,1,MATCH(COLUMNS($AC$1006:AN1006),$AC$1006:$AS$1006,0))&gt;=100000), " ",IF(INDEX($AC$2:$AS$1001,MATCH(ROWS($V$2:V30),$V$2:$V$1001,0),MATCH(COLUMNS($AC$1006:AN1006),$AC$1006:$AS$1006,0)), HYPERLINK("#",""), HYPERLINK(CONCATENATE("#metadata!", ADDRESS(INDEX($X$2:$X$1001,MATCH(ROWS($V$2:V30),$V$2:$V$1001,0),0), INDEX($AC$1004:$AS$1004,1,MATCH(COLUMNS($AC$1006:AN1006),$AC$1006:$AS$1006,0)))),"Fix")))</f>
        <v xml:space="preserve"> </v>
      </c>
      <c r="N30" s="4" t="str">
        <f ca="1">IF(OR(INDEX($W$2:$W$1001,MATCH(ROWS($V$2:V30),$V$2:$V$1001,0),1)&gt;=100000,INDEX($AC$1005:$AS$1005,1,MATCH(COLUMNS($AC$1006:AO1006),$AC$1006:$AS$1006,0))&gt;=100000), " ",IF(INDEX($AC$2:$AS$1001,MATCH(ROWS($V$2:V30),$V$2:$V$1001,0),MATCH(COLUMNS($AC$1006:AO1006),$AC$1006:$AS$1006,0)), HYPERLINK("#",""), HYPERLINK(CONCATENATE("#metadata!", ADDRESS(INDEX($X$2:$X$1001,MATCH(ROWS($V$2:V30),$V$2:$V$1001,0),0), INDEX($AC$1004:$AS$1004,1,MATCH(COLUMNS($AC$1006:AO1006),$AC$1006:$AS$1006,0)))),"Fix")))</f>
        <v xml:space="preserve"> </v>
      </c>
      <c r="O30" s="4" t="str">
        <f ca="1">IF(OR(INDEX($W$2:$W$1001,MATCH(ROWS($V$2:V30),$V$2:$V$1001,0),1)&gt;=100000,INDEX($AC$1005:$AS$1005,1,MATCH(COLUMNS($AC$1006:AP1006),$AC$1006:$AS$1006,0))&gt;=100000), " ",IF(INDEX($AC$2:$AS$1001,MATCH(ROWS($V$2:V30),$V$2:$V$1001,0),MATCH(COLUMNS($AC$1006:AP1006),$AC$1006:$AS$1006,0)), HYPERLINK("#",""), HYPERLINK(CONCATENATE("#metadata!", ADDRESS(INDEX($X$2:$X$1001,MATCH(ROWS($V$2:V30),$V$2:$V$1001,0),0), INDEX($AC$1004:$AS$1004,1,MATCH(COLUMNS($AC$1006:AP1006),$AC$1006:$AS$1006,0)))),"Fix")))</f>
        <v xml:space="preserve"> </v>
      </c>
      <c r="P30" s="4" t="str">
        <f ca="1">IF(OR(INDEX($W$2:$W$1001,MATCH(ROWS($V$2:V30),$V$2:$V$1001,0),1)&gt;=100000,INDEX($AC$1005:$AS$1005,1,MATCH(COLUMNS($AC$1006:AQ1006),$AC$1006:$AS$1006,0))&gt;=100000), " ",IF(INDEX($AC$2:$AS$1001,MATCH(ROWS($V$2:V30),$V$2:$V$1001,0),MATCH(COLUMNS($AC$1006:AQ1006),$AC$1006:$AS$1006,0)), HYPERLINK("#",""), HYPERLINK(CONCATENATE("#metadata!", ADDRESS(INDEX($X$2:$X$1001,MATCH(ROWS($V$2:V30),$V$2:$V$1001,0),0), INDEX($AC$1004:$AS$1004,1,MATCH(COLUMNS($AC$1006:AQ1006),$AC$1006:$AS$1006,0)))),"Fix")))</f>
        <v xml:space="preserve"> </v>
      </c>
      <c r="Q30" s="4" t="str">
        <f ca="1">IF(OR(INDEX($W$2:$W$1001,MATCH(ROWS($V$2:V30),$V$2:$V$1001,0),1)&gt;=100000,INDEX($AC$1005:$AS$1005,1,MATCH(COLUMNS($AC$1006:AR1006),$AC$1006:$AS$1006,0))&gt;=100000), " ",IF(INDEX($AC$2:$AS$1001,MATCH(ROWS($V$2:V30),$V$2:$V$1001,0),MATCH(COLUMNS($AC$1006:AR1006),$AC$1006:$AS$1006,0)), HYPERLINK("#",""), HYPERLINK(CONCATENATE("#metadata!", ADDRESS(INDEX($X$2:$X$1001,MATCH(ROWS($V$2:V30),$V$2:$V$1001,0),0), INDEX($AC$1004:$AS$1004,1,MATCH(COLUMNS($AC$1006:AR1006),$AC$1006:$AS$1006,0)))),"Fix")))</f>
        <v xml:space="preserve"> </v>
      </c>
      <c r="R30" s="4" t="str">
        <f ca="1">IF(OR(INDEX($W$2:$W$1001,MATCH(ROWS($V$2:V30),$V$2:$V$1001,0),1)&gt;=100000,INDEX($AC$1005:$AS$1005,1,MATCH(COLUMNS($AC$1006:AS1006),$AC$1006:$AS$1006,0))&gt;=100000), " ",IF(INDEX($AC$2:$AS$1001,MATCH(ROWS($V$2:V30),$V$2:$V$1001,0),MATCH(COLUMNS($AC$1006:AS1006),$AC$1006:$AS$1006,0)), HYPERLINK("#",""), HYPERLINK(CONCATENATE("#metadata!", ADDRESS(INDEX($X$2:$X$1001,MATCH(ROWS($V$2:V30),$V$2:$V$1001,0),0), INDEX($AC$1004:$AS$1004,1,MATCH(COLUMNS($AC$1006:AS1006),$AC$1006:$AS$1006,0)))),"Fix")))</f>
        <v xml:space="preserve"> </v>
      </c>
      <c r="V30">
        <v>29</v>
      </c>
      <c r="W30">
        <v>100030</v>
      </c>
      <c r="X30">
        <v>30</v>
      </c>
      <c r="Y30" t="b">
        <f t="shared" si="0"/>
        <v>1</v>
      </c>
      <c r="Z30" t="b">
        <f>COUNTBLANK(metadata!B30:R30)=COLUMNS(metadata!B30:R30)</f>
        <v>1</v>
      </c>
      <c r="AA30" t="str">
        <v/>
      </c>
      <c r="AC30" t="b">
        <f ca="1"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AD30" t="b">
        <f>IF(metadata!C30="",FALSE,ISNUMBER(VALUE(metadata!C30)))</f>
        <v>0</v>
      </c>
      <c r="AE30" t="b">
        <f>AND(IF(metadata!D30="",FALSE,TRUE),EXACT(metadata!D30,"years"))</f>
        <v>0</v>
      </c>
      <c r="AF30" t="b">
        <f>OR(AND(IF(metadata!E30="",FALSE,TRUE),OR(EXACT(metadata!E30,"not applicable"),EXACT(metadata!E30,"missing: not collected"),EXACT(metadata!E30,"missing: not provided"),EXACT(metadata!E30,"missing: restricted access"))),AND(IF(metadata!E30="",FALSE,ISNUMBER(VALUE(metadata!E30))),metadata!E30&gt;0))</f>
        <v>0</v>
      </c>
      <c r="AG30" t="b">
        <f>AND(IF(metadata!F30="",FALSE,TRUE),EXACT(metadata!F30,"Not applicable"))</f>
        <v>0</v>
      </c>
      <c r="AH30" t="b">
        <f>AND(IF(metadata!G30="",FALSE,TRUE),EXACT(metadata!G30,"urban biome"))</f>
        <v>0</v>
      </c>
      <c r="AI30" t="b">
        <f>AND(IF(metadata!H30="",FALSE,TRUE),EXACT(metadata!H30,"human-associated habitat"))</f>
        <v>0</v>
      </c>
      <c r="AJ30" t="b">
        <f>AND(IF(metadata!I30="",FALSE,TRUE),OR(EXACT(metadata!I30,"human-associated"),EXACT(metadata!I30,"human-skin"),EXACT(metadata!I30,"human-oral"),EXACT(metadata!I30,"human-gut"),EXACT(metadata!I30,"human-vaginal")))</f>
        <v>0</v>
      </c>
      <c r="AK30" t="b">
        <f>IF(metadata!J30="",FALSE,ISNUMBER(VALUE(metadata!J30)))</f>
        <v>0</v>
      </c>
      <c r="AL30" t="b">
        <f>AND(IF(metadata!K30="",FALSE,TRUE),EXACT(metadata!K30,"cm"))</f>
        <v>0</v>
      </c>
      <c r="AM30" t="b">
        <f>AND(IF(metadata!L30="",FALSE,TRUE),EXACT(metadata!L30,"human"))</f>
        <v>0</v>
      </c>
      <c r="AN30" t="b">
        <f>AND(IF(metadata!M30="",FALSE,TRUE),EXACT(metadata!M30,"Homo sapiens"))</f>
        <v>0</v>
      </c>
      <c r="AO30" t="b">
        <f>AND(IF(metadata!N30="",FALSE,TRUE),EXACT(metadata!N30,"9606"))</f>
        <v>0</v>
      </c>
      <c r="AP30" t="b">
        <f>IF(metadata!O30="",FALSE,TRUE)</f>
        <v>0</v>
      </c>
      <c r="AQ30" t="b">
        <f>IF(metadata!P30="",FALSE,TRUE)</f>
        <v>0</v>
      </c>
      <c r="AR30" t="b">
        <f>IF(metadata!Q30="",FALSE,ISNUMBER(VALUE(metadata!Q30)))</f>
        <v>0</v>
      </c>
      <c r="AS30" t="b">
        <f>AND(IF(metadata!R30="",FALSE,TRUE),EXACT(metadata!R30,"kg"))</f>
        <v>0</v>
      </c>
    </row>
    <row r="31" spans="1:45" x14ac:dyDescent="0.2">
      <c r="A31" s="5" t="str">
        <f ca="1">IF(B31=" "," ",HYPERLINK(CONCATENATE("#metadata!",ADDRESS(INDEX($X$2:$X$1001,MATCH(ROWS($V$2:V31),$V$2:$V$1001,0),0),1)),INDEX($AA$2:$AA$1001,MATCH(ROWS($V$2:V31),$V$2:$V$1001,0),0)))</f>
        <v xml:space="preserve"> </v>
      </c>
      <c r="B31" s="4" t="str">
        <f ca="1">IF(OR(INDEX($W$2:$W$1001,MATCH(ROWS($V$2:V31),$V$2:$V$1001,0),1)&gt;=100000,INDEX($AC$1005:$AS$1005,1,MATCH(COLUMNS($AC$1006:AC1006),$AC$1006:$AS$1006,0))&gt;=100000), " ",IF(INDEX($AC$2:$AS$1001,MATCH(ROWS($V$2:V31),$V$2:$V$1001,0),MATCH(COLUMNS($AC$1006:AC1006),$AC$1006:$AS$1006,0)), HYPERLINK("#",""), HYPERLINK(CONCATENATE("#metadata!", ADDRESS(INDEX($X$2:$X$1001,MATCH(ROWS($V$2:V31),$V$2:$V$1001,0),0), INDEX($AC$1004:$AS$1004,1,MATCH(COLUMNS($AC$1006:AC1006),$AC$1006:$AS$1006,0)))),"Fix")))</f>
        <v xml:space="preserve"> </v>
      </c>
      <c r="C31" s="4" t="str">
        <f ca="1">IF(OR(INDEX($W$2:$W$1001,MATCH(ROWS($V$2:V31),$V$2:$V$1001,0),1)&gt;=100000,INDEX($AC$1005:$AS$1005,1,MATCH(COLUMNS($AC$1006:AD1006),$AC$1006:$AS$1006,0))&gt;=100000), " ",IF(INDEX($AC$2:$AS$1001,MATCH(ROWS($V$2:V31),$V$2:$V$1001,0),MATCH(COLUMNS($AC$1006:AD1006),$AC$1006:$AS$1006,0)), HYPERLINK("#",""), HYPERLINK(CONCATENATE("#metadata!", ADDRESS(INDEX($X$2:$X$1001,MATCH(ROWS($V$2:V31),$V$2:$V$1001,0),0), INDEX($AC$1004:$AS$1004,1,MATCH(COLUMNS($AC$1006:AD1006),$AC$1006:$AS$1006,0)))),"Fix")))</f>
        <v xml:space="preserve"> </v>
      </c>
      <c r="D31" s="4" t="str">
        <f ca="1">IF(OR(INDEX($W$2:$W$1001,MATCH(ROWS($V$2:V31),$V$2:$V$1001,0),1)&gt;=100000,INDEX($AC$1005:$AS$1005,1,MATCH(COLUMNS($AC$1006:AE1006),$AC$1006:$AS$1006,0))&gt;=100000), " ",IF(INDEX($AC$2:$AS$1001,MATCH(ROWS($V$2:V31),$V$2:$V$1001,0),MATCH(COLUMNS($AC$1006:AE1006),$AC$1006:$AS$1006,0)), HYPERLINK("#",""), HYPERLINK(CONCATENATE("#metadata!", ADDRESS(INDEX($X$2:$X$1001,MATCH(ROWS($V$2:V31),$V$2:$V$1001,0),0), INDEX($AC$1004:$AS$1004,1,MATCH(COLUMNS($AC$1006:AE1006),$AC$1006:$AS$1006,0)))),"Fix")))</f>
        <v xml:space="preserve"> </v>
      </c>
      <c r="E31" s="4" t="str">
        <f ca="1">IF(OR(INDEX($W$2:$W$1001,MATCH(ROWS($V$2:V31),$V$2:$V$1001,0),1)&gt;=100000,INDEX($AC$1005:$AS$1005,1,MATCH(COLUMNS($AC$1006:AF1006),$AC$1006:$AS$1006,0))&gt;=100000), " ",IF(INDEX($AC$2:$AS$1001,MATCH(ROWS($V$2:V31),$V$2:$V$1001,0),MATCH(COLUMNS($AC$1006:AF1006),$AC$1006:$AS$1006,0)), HYPERLINK("#",""), HYPERLINK(CONCATENATE("#metadata!", ADDRESS(INDEX($X$2:$X$1001,MATCH(ROWS($V$2:V31),$V$2:$V$1001,0),0), INDEX($AC$1004:$AS$1004,1,MATCH(COLUMNS($AC$1006:AF1006),$AC$1006:$AS$1006,0)))),"Fix")))</f>
        <v xml:space="preserve"> </v>
      </c>
      <c r="F31" s="4" t="str">
        <f ca="1">IF(OR(INDEX($W$2:$W$1001,MATCH(ROWS($V$2:V31),$V$2:$V$1001,0),1)&gt;=100000,INDEX($AC$1005:$AS$1005,1,MATCH(COLUMNS($AC$1006:AG1006),$AC$1006:$AS$1006,0))&gt;=100000), " ",IF(INDEX($AC$2:$AS$1001,MATCH(ROWS($V$2:V31),$V$2:$V$1001,0),MATCH(COLUMNS($AC$1006:AG1006),$AC$1006:$AS$1006,0)), HYPERLINK("#",""), HYPERLINK(CONCATENATE("#metadata!", ADDRESS(INDEX($X$2:$X$1001,MATCH(ROWS($V$2:V31),$V$2:$V$1001,0),0), INDEX($AC$1004:$AS$1004,1,MATCH(COLUMNS($AC$1006:AG1006),$AC$1006:$AS$1006,0)))),"Fix")))</f>
        <v xml:space="preserve"> </v>
      </c>
      <c r="G31" s="4" t="str">
        <f ca="1">IF(OR(INDEX($W$2:$W$1001,MATCH(ROWS($V$2:V31),$V$2:$V$1001,0),1)&gt;=100000,INDEX($AC$1005:$AS$1005,1,MATCH(COLUMNS($AC$1006:AH1006),$AC$1006:$AS$1006,0))&gt;=100000), " ",IF(INDEX($AC$2:$AS$1001,MATCH(ROWS($V$2:V31),$V$2:$V$1001,0),MATCH(COLUMNS($AC$1006:AH1006),$AC$1006:$AS$1006,0)), HYPERLINK("#",""), HYPERLINK(CONCATENATE("#metadata!", ADDRESS(INDEX($X$2:$X$1001,MATCH(ROWS($V$2:V31),$V$2:$V$1001,0),0), INDEX($AC$1004:$AS$1004,1,MATCH(COLUMNS($AC$1006:AH1006),$AC$1006:$AS$1006,0)))),"Fix")))</f>
        <v xml:space="preserve"> </v>
      </c>
      <c r="H31" s="4" t="str">
        <f ca="1">IF(OR(INDEX($W$2:$W$1001,MATCH(ROWS($V$2:V31),$V$2:$V$1001,0),1)&gt;=100000,INDEX($AC$1005:$AS$1005,1,MATCH(COLUMNS($AC$1006:AI1006),$AC$1006:$AS$1006,0))&gt;=100000), " ",IF(INDEX($AC$2:$AS$1001,MATCH(ROWS($V$2:V31),$V$2:$V$1001,0),MATCH(COLUMNS($AC$1006:AI1006),$AC$1006:$AS$1006,0)), HYPERLINK("#",""), HYPERLINK(CONCATENATE("#metadata!", ADDRESS(INDEX($X$2:$X$1001,MATCH(ROWS($V$2:V31),$V$2:$V$1001,0),0), INDEX($AC$1004:$AS$1004,1,MATCH(COLUMNS($AC$1006:AI1006),$AC$1006:$AS$1006,0)))),"Fix")))</f>
        <v xml:space="preserve"> </v>
      </c>
      <c r="I31" s="4" t="str">
        <f ca="1">IF(OR(INDEX($W$2:$W$1001,MATCH(ROWS($V$2:V31),$V$2:$V$1001,0),1)&gt;=100000,INDEX($AC$1005:$AS$1005,1,MATCH(COLUMNS($AC$1006:AJ1006),$AC$1006:$AS$1006,0))&gt;=100000), " ",IF(INDEX($AC$2:$AS$1001,MATCH(ROWS($V$2:V31),$V$2:$V$1001,0),MATCH(COLUMNS($AC$1006:AJ1006),$AC$1006:$AS$1006,0)), HYPERLINK("#",""), HYPERLINK(CONCATENATE("#metadata!", ADDRESS(INDEX($X$2:$X$1001,MATCH(ROWS($V$2:V31),$V$2:$V$1001,0),0), INDEX($AC$1004:$AS$1004,1,MATCH(COLUMNS($AC$1006:AJ1006),$AC$1006:$AS$1006,0)))),"Fix")))</f>
        <v xml:space="preserve"> </v>
      </c>
      <c r="J31" s="4" t="str">
        <f ca="1">IF(OR(INDEX($W$2:$W$1001,MATCH(ROWS($V$2:V31),$V$2:$V$1001,0),1)&gt;=100000,INDEX($AC$1005:$AS$1005,1,MATCH(COLUMNS($AC$1006:AK1006),$AC$1006:$AS$1006,0))&gt;=100000), " ",IF(INDEX($AC$2:$AS$1001,MATCH(ROWS($V$2:V31),$V$2:$V$1001,0),MATCH(COLUMNS($AC$1006:AK1006),$AC$1006:$AS$1006,0)), HYPERLINK("#",""), HYPERLINK(CONCATENATE("#metadata!", ADDRESS(INDEX($X$2:$X$1001,MATCH(ROWS($V$2:V31),$V$2:$V$1001,0),0), INDEX($AC$1004:$AS$1004,1,MATCH(COLUMNS($AC$1006:AK1006),$AC$1006:$AS$1006,0)))),"Fix")))</f>
        <v xml:space="preserve"> </v>
      </c>
      <c r="K31" s="4" t="str">
        <f ca="1">IF(OR(INDEX($W$2:$W$1001,MATCH(ROWS($V$2:V31),$V$2:$V$1001,0),1)&gt;=100000,INDEX($AC$1005:$AS$1005,1,MATCH(COLUMNS($AC$1006:AL1006),$AC$1006:$AS$1006,0))&gt;=100000), " ",IF(INDEX($AC$2:$AS$1001,MATCH(ROWS($V$2:V31),$V$2:$V$1001,0),MATCH(COLUMNS($AC$1006:AL1006),$AC$1006:$AS$1006,0)), HYPERLINK("#",""), HYPERLINK(CONCATENATE("#metadata!", ADDRESS(INDEX($X$2:$X$1001,MATCH(ROWS($V$2:V31),$V$2:$V$1001,0),0), INDEX($AC$1004:$AS$1004,1,MATCH(COLUMNS($AC$1006:AL1006),$AC$1006:$AS$1006,0)))),"Fix")))</f>
        <v xml:space="preserve"> </v>
      </c>
      <c r="L31" s="4" t="str">
        <f ca="1">IF(OR(INDEX($W$2:$W$1001,MATCH(ROWS($V$2:V31),$V$2:$V$1001,0),1)&gt;=100000,INDEX($AC$1005:$AS$1005,1,MATCH(COLUMNS($AC$1006:AM1006),$AC$1006:$AS$1006,0))&gt;=100000), " ",IF(INDEX($AC$2:$AS$1001,MATCH(ROWS($V$2:V31),$V$2:$V$1001,0),MATCH(COLUMNS($AC$1006:AM1006),$AC$1006:$AS$1006,0)), HYPERLINK("#",""), HYPERLINK(CONCATENATE("#metadata!", ADDRESS(INDEX($X$2:$X$1001,MATCH(ROWS($V$2:V31),$V$2:$V$1001,0),0), INDEX($AC$1004:$AS$1004,1,MATCH(COLUMNS($AC$1006:AM1006),$AC$1006:$AS$1006,0)))),"Fix")))</f>
        <v xml:space="preserve"> </v>
      </c>
      <c r="M31" s="4" t="str">
        <f ca="1">IF(OR(INDEX($W$2:$W$1001,MATCH(ROWS($V$2:V31),$V$2:$V$1001,0),1)&gt;=100000,INDEX($AC$1005:$AS$1005,1,MATCH(COLUMNS($AC$1006:AN1006),$AC$1006:$AS$1006,0))&gt;=100000), " ",IF(INDEX($AC$2:$AS$1001,MATCH(ROWS($V$2:V31),$V$2:$V$1001,0),MATCH(COLUMNS($AC$1006:AN1006),$AC$1006:$AS$1006,0)), HYPERLINK("#",""), HYPERLINK(CONCATENATE("#metadata!", ADDRESS(INDEX($X$2:$X$1001,MATCH(ROWS($V$2:V31),$V$2:$V$1001,0),0), INDEX($AC$1004:$AS$1004,1,MATCH(COLUMNS($AC$1006:AN1006),$AC$1006:$AS$1006,0)))),"Fix")))</f>
        <v xml:space="preserve"> </v>
      </c>
      <c r="N31" s="4" t="str">
        <f ca="1">IF(OR(INDEX($W$2:$W$1001,MATCH(ROWS($V$2:V31),$V$2:$V$1001,0),1)&gt;=100000,INDEX($AC$1005:$AS$1005,1,MATCH(COLUMNS($AC$1006:AO1006),$AC$1006:$AS$1006,0))&gt;=100000), " ",IF(INDEX($AC$2:$AS$1001,MATCH(ROWS($V$2:V31),$V$2:$V$1001,0),MATCH(COLUMNS($AC$1006:AO1006),$AC$1006:$AS$1006,0)), HYPERLINK("#",""), HYPERLINK(CONCATENATE("#metadata!", ADDRESS(INDEX($X$2:$X$1001,MATCH(ROWS($V$2:V31),$V$2:$V$1001,0),0), INDEX($AC$1004:$AS$1004,1,MATCH(COLUMNS($AC$1006:AO1006),$AC$1006:$AS$1006,0)))),"Fix")))</f>
        <v xml:space="preserve"> </v>
      </c>
      <c r="O31" s="4" t="str">
        <f ca="1">IF(OR(INDEX($W$2:$W$1001,MATCH(ROWS($V$2:V31),$V$2:$V$1001,0),1)&gt;=100000,INDEX($AC$1005:$AS$1005,1,MATCH(COLUMNS($AC$1006:AP1006),$AC$1006:$AS$1006,0))&gt;=100000), " ",IF(INDEX($AC$2:$AS$1001,MATCH(ROWS($V$2:V31),$V$2:$V$1001,0),MATCH(COLUMNS($AC$1006:AP1006),$AC$1006:$AS$1006,0)), HYPERLINK("#",""), HYPERLINK(CONCATENATE("#metadata!", ADDRESS(INDEX($X$2:$X$1001,MATCH(ROWS($V$2:V31),$V$2:$V$1001,0),0), INDEX($AC$1004:$AS$1004,1,MATCH(COLUMNS($AC$1006:AP1006),$AC$1006:$AS$1006,0)))),"Fix")))</f>
        <v xml:space="preserve"> </v>
      </c>
      <c r="P31" s="4" t="str">
        <f ca="1">IF(OR(INDEX($W$2:$W$1001,MATCH(ROWS($V$2:V31),$V$2:$V$1001,0),1)&gt;=100000,INDEX($AC$1005:$AS$1005,1,MATCH(COLUMNS($AC$1006:AQ1006),$AC$1006:$AS$1006,0))&gt;=100000), " ",IF(INDEX($AC$2:$AS$1001,MATCH(ROWS($V$2:V31),$V$2:$V$1001,0),MATCH(COLUMNS($AC$1006:AQ1006),$AC$1006:$AS$1006,0)), HYPERLINK("#",""), HYPERLINK(CONCATENATE("#metadata!", ADDRESS(INDEX($X$2:$X$1001,MATCH(ROWS($V$2:V31),$V$2:$V$1001,0),0), INDEX($AC$1004:$AS$1004,1,MATCH(COLUMNS($AC$1006:AQ1006),$AC$1006:$AS$1006,0)))),"Fix")))</f>
        <v xml:space="preserve"> </v>
      </c>
      <c r="Q31" s="4" t="str">
        <f ca="1">IF(OR(INDEX($W$2:$W$1001,MATCH(ROWS($V$2:V31),$V$2:$V$1001,0),1)&gt;=100000,INDEX($AC$1005:$AS$1005,1,MATCH(COLUMNS($AC$1006:AR1006),$AC$1006:$AS$1006,0))&gt;=100000), " ",IF(INDEX($AC$2:$AS$1001,MATCH(ROWS($V$2:V31),$V$2:$V$1001,0),MATCH(COLUMNS($AC$1006:AR1006),$AC$1006:$AS$1006,0)), HYPERLINK("#",""), HYPERLINK(CONCATENATE("#metadata!", ADDRESS(INDEX($X$2:$X$1001,MATCH(ROWS($V$2:V31),$V$2:$V$1001,0),0), INDEX($AC$1004:$AS$1004,1,MATCH(COLUMNS($AC$1006:AR1006),$AC$1006:$AS$1006,0)))),"Fix")))</f>
        <v xml:space="preserve"> </v>
      </c>
      <c r="R31" s="4" t="str">
        <f ca="1">IF(OR(INDEX($W$2:$W$1001,MATCH(ROWS($V$2:V31),$V$2:$V$1001,0),1)&gt;=100000,INDEX($AC$1005:$AS$1005,1,MATCH(COLUMNS($AC$1006:AS1006),$AC$1006:$AS$1006,0))&gt;=100000), " ",IF(INDEX($AC$2:$AS$1001,MATCH(ROWS($V$2:V31),$V$2:$V$1001,0),MATCH(COLUMNS($AC$1006:AS1006),$AC$1006:$AS$1006,0)), HYPERLINK("#",""), HYPERLINK(CONCATENATE("#metadata!", ADDRESS(INDEX($X$2:$X$1001,MATCH(ROWS($V$2:V31),$V$2:$V$1001,0),0), INDEX($AC$1004:$AS$1004,1,MATCH(COLUMNS($AC$1006:AS1006),$AC$1006:$AS$1006,0)))),"Fix")))</f>
        <v xml:space="preserve"> </v>
      </c>
      <c r="V31">
        <v>30</v>
      </c>
      <c r="W31">
        <v>100031</v>
      </c>
      <c r="X31">
        <v>31</v>
      </c>
      <c r="Y31" t="b">
        <f t="shared" si="0"/>
        <v>1</v>
      </c>
      <c r="Z31" t="b">
        <f>COUNTBLANK(metadata!B31:R31)=COLUMNS(metadata!B31:R31)</f>
        <v>1</v>
      </c>
      <c r="AA31" t="str">
        <v/>
      </c>
      <c r="AC31" t="b">
        <f ca="1"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AD31" t="b">
        <f>IF(metadata!C31="",FALSE,ISNUMBER(VALUE(metadata!C31)))</f>
        <v>0</v>
      </c>
      <c r="AE31" t="b">
        <f>AND(IF(metadata!D31="",FALSE,TRUE),EXACT(metadata!D31,"years"))</f>
        <v>0</v>
      </c>
      <c r="AF31" t="b">
        <f>OR(AND(IF(metadata!E31="",FALSE,TRUE),OR(EXACT(metadata!E31,"not applicable"),EXACT(metadata!E31,"missing: not collected"),EXACT(metadata!E31,"missing: not provided"),EXACT(metadata!E31,"missing: restricted access"))),AND(IF(metadata!E31="",FALSE,ISNUMBER(VALUE(metadata!E31))),metadata!E31&gt;0))</f>
        <v>0</v>
      </c>
      <c r="AG31" t="b">
        <f>AND(IF(metadata!F31="",FALSE,TRUE),EXACT(metadata!F31,"Not applicable"))</f>
        <v>0</v>
      </c>
      <c r="AH31" t="b">
        <f>AND(IF(metadata!G31="",FALSE,TRUE),EXACT(metadata!G31,"urban biome"))</f>
        <v>0</v>
      </c>
      <c r="AI31" t="b">
        <f>AND(IF(metadata!H31="",FALSE,TRUE),EXACT(metadata!H31,"human-associated habitat"))</f>
        <v>0</v>
      </c>
      <c r="AJ31" t="b">
        <f>AND(IF(metadata!I31="",FALSE,TRUE),OR(EXACT(metadata!I31,"human-associated"),EXACT(metadata!I31,"human-skin"),EXACT(metadata!I31,"human-oral"),EXACT(metadata!I31,"human-gut"),EXACT(metadata!I31,"human-vaginal")))</f>
        <v>0</v>
      </c>
      <c r="AK31" t="b">
        <f>IF(metadata!J31="",FALSE,ISNUMBER(VALUE(metadata!J31)))</f>
        <v>0</v>
      </c>
      <c r="AL31" t="b">
        <f>AND(IF(metadata!K31="",FALSE,TRUE),EXACT(metadata!K31,"cm"))</f>
        <v>0</v>
      </c>
      <c r="AM31" t="b">
        <f>AND(IF(metadata!L31="",FALSE,TRUE),EXACT(metadata!L31,"human"))</f>
        <v>0</v>
      </c>
      <c r="AN31" t="b">
        <f>AND(IF(metadata!M31="",FALSE,TRUE),EXACT(metadata!M31,"Homo sapiens"))</f>
        <v>0</v>
      </c>
      <c r="AO31" t="b">
        <f>AND(IF(metadata!N31="",FALSE,TRUE),EXACT(metadata!N31,"9606"))</f>
        <v>0</v>
      </c>
      <c r="AP31" t="b">
        <f>IF(metadata!O31="",FALSE,TRUE)</f>
        <v>0</v>
      </c>
      <c r="AQ31" t="b">
        <f>IF(metadata!P31="",FALSE,TRUE)</f>
        <v>0</v>
      </c>
      <c r="AR31" t="b">
        <f>IF(metadata!Q31="",FALSE,ISNUMBER(VALUE(metadata!Q31)))</f>
        <v>0</v>
      </c>
      <c r="AS31" t="b">
        <f>AND(IF(metadata!R31="",FALSE,TRUE),EXACT(metadata!R31,"kg"))</f>
        <v>0</v>
      </c>
    </row>
    <row r="32" spans="1:45" x14ac:dyDescent="0.2">
      <c r="A32" s="5" t="str">
        <f ca="1">IF(B32=" "," ",HYPERLINK(CONCATENATE("#metadata!",ADDRESS(INDEX($X$2:$X$1001,MATCH(ROWS($V$2:V32),$V$2:$V$1001,0),0),1)),INDEX($AA$2:$AA$1001,MATCH(ROWS($V$2:V32),$V$2:$V$1001,0),0)))</f>
        <v xml:space="preserve"> </v>
      </c>
      <c r="B32" s="4" t="str">
        <f ca="1">IF(OR(INDEX($W$2:$W$1001,MATCH(ROWS($V$2:V32),$V$2:$V$1001,0),1)&gt;=100000,INDEX($AC$1005:$AS$1005,1,MATCH(COLUMNS($AC$1006:AC1006),$AC$1006:$AS$1006,0))&gt;=100000), " ",IF(INDEX($AC$2:$AS$1001,MATCH(ROWS($V$2:V32),$V$2:$V$1001,0),MATCH(COLUMNS($AC$1006:AC1006),$AC$1006:$AS$1006,0)), HYPERLINK("#",""), HYPERLINK(CONCATENATE("#metadata!", ADDRESS(INDEX($X$2:$X$1001,MATCH(ROWS($V$2:V32),$V$2:$V$1001,0),0), INDEX($AC$1004:$AS$1004,1,MATCH(COLUMNS($AC$1006:AC1006),$AC$1006:$AS$1006,0)))),"Fix")))</f>
        <v xml:space="preserve"> </v>
      </c>
      <c r="C32" s="4" t="str">
        <f ca="1">IF(OR(INDEX($W$2:$W$1001,MATCH(ROWS($V$2:V32),$V$2:$V$1001,0),1)&gt;=100000,INDEX($AC$1005:$AS$1005,1,MATCH(COLUMNS($AC$1006:AD1006),$AC$1006:$AS$1006,0))&gt;=100000), " ",IF(INDEX($AC$2:$AS$1001,MATCH(ROWS($V$2:V32),$V$2:$V$1001,0),MATCH(COLUMNS($AC$1006:AD1006),$AC$1006:$AS$1006,0)), HYPERLINK("#",""), HYPERLINK(CONCATENATE("#metadata!", ADDRESS(INDEX($X$2:$X$1001,MATCH(ROWS($V$2:V32),$V$2:$V$1001,0),0), INDEX($AC$1004:$AS$1004,1,MATCH(COLUMNS($AC$1006:AD1006),$AC$1006:$AS$1006,0)))),"Fix")))</f>
        <v xml:space="preserve"> </v>
      </c>
      <c r="D32" s="4" t="str">
        <f ca="1">IF(OR(INDEX($W$2:$W$1001,MATCH(ROWS($V$2:V32),$V$2:$V$1001,0),1)&gt;=100000,INDEX($AC$1005:$AS$1005,1,MATCH(COLUMNS($AC$1006:AE1006),$AC$1006:$AS$1006,0))&gt;=100000), " ",IF(INDEX($AC$2:$AS$1001,MATCH(ROWS($V$2:V32),$V$2:$V$1001,0),MATCH(COLUMNS($AC$1006:AE1006),$AC$1006:$AS$1006,0)), HYPERLINK("#",""), HYPERLINK(CONCATENATE("#metadata!", ADDRESS(INDEX($X$2:$X$1001,MATCH(ROWS($V$2:V32),$V$2:$V$1001,0),0), INDEX($AC$1004:$AS$1004,1,MATCH(COLUMNS($AC$1006:AE1006),$AC$1006:$AS$1006,0)))),"Fix")))</f>
        <v xml:space="preserve"> </v>
      </c>
      <c r="E32" s="4" t="str">
        <f ca="1">IF(OR(INDEX($W$2:$W$1001,MATCH(ROWS($V$2:V32),$V$2:$V$1001,0),1)&gt;=100000,INDEX($AC$1005:$AS$1005,1,MATCH(COLUMNS($AC$1006:AF1006),$AC$1006:$AS$1006,0))&gt;=100000), " ",IF(INDEX($AC$2:$AS$1001,MATCH(ROWS($V$2:V32),$V$2:$V$1001,0),MATCH(COLUMNS($AC$1006:AF1006),$AC$1006:$AS$1006,0)), HYPERLINK("#",""), HYPERLINK(CONCATENATE("#metadata!", ADDRESS(INDEX($X$2:$X$1001,MATCH(ROWS($V$2:V32),$V$2:$V$1001,0),0), INDEX($AC$1004:$AS$1004,1,MATCH(COLUMNS($AC$1006:AF1006),$AC$1006:$AS$1006,0)))),"Fix")))</f>
        <v xml:space="preserve"> </v>
      </c>
      <c r="F32" s="4" t="str">
        <f ca="1">IF(OR(INDEX($W$2:$W$1001,MATCH(ROWS($V$2:V32),$V$2:$V$1001,0),1)&gt;=100000,INDEX($AC$1005:$AS$1005,1,MATCH(COLUMNS($AC$1006:AG1006),$AC$1006:$AS$1006,0))&gt;=100000), " ",IF(INDEX($AC$2:$AS$1001,MATCH(ROWS($V$2:V32),$V$2:$V$1001,0),MATCH(COLUMNS($AC$1006:AG1006),$AC$1006:$AS$1006,0)), HYPERLINK("#",""), HYPERLINK(CONCATENATE("#metadata!", ADDRESS(INDEX($X$2:$X$1001,MATCH(ROWS($V$2:V32),$V$2:$V$1001,0),0), INDEX($AC$1004:$AS$1004,1,MATCH(COLUMNS($AC$1006:AG1006),$AC$1006:$AS$1006,0)))),"Fix")))</f>
        <v xml:space="preserve"> </v>
      </c>
      <c r="G32" s="4" t="str">
        <f ca="1">IF(OR(INDEX($W$2:$W$1001,MATCH(ROWS($V$2:V32),$V$2:$V$1001,0),1)&gt;=100000,INDEX($AC$1005:$AS$1005,1,MATCH(COLUMNS($AC$1006:AH1006),$AC$1006:$AS$1006,0))&gt;=100000), " ",IF(INDEX($AC$2:$AS$1001,MATCH(ROWS($V$2:V32),$V$2:$V$1001,0),MATCH(COLUMNS($AC$1006:AH1006),$AC$1006:$AS$1006,0)), HYPERLINK("#",""), HYPERLINK(CONCATENATE("#metadata!", ADDRESS(INDEX($X$2:$X$1001,MATCH(ROWS($V$2:V32),$V$2:$V$1001,0),0), INDEX($AC$1004:$AS$1004,1,MATCH(COLUMNS($AC$1006:AH1006),$AC$1006:$AS$1006,0)))),"Fix")))</f>
        <v xml:space="preserve"> </v>
      </c>
      <c r="H32" s="4" t="str">
        <f ca="1">IF(OR(INDEX($W$2:$W$1001,MATCH(ROWS($V$2:V32),$V$2:$V$1001,0),1)&gt;=100000,INDEX($AC$1005:$AS$1005,1,MATCH(COLUMNS($AC$1006:AI1006),$AC$1006:$AS$1006,0))&gt;=100000), " ",IF(INDEX($AC$2:$AS$1001,MATCH(ROWS($V$2:V32),$V$2:$V$1001,0),MATCH(COLUMNS($AC$1006:AI1006),$AC$1006:$AS$1006,0)), HYPERLINK("#",""), HYPERLINK(CONCATENATE("#metadata!", ADDRESS(INDEX($X$2:$X$1001,MATCH(ROWS($V$2:V32),$V$2:$V$1001,0),0), INDEX($AC$1004:$AS$1004,1,MATCH(COLUMNS($AC$1006:AI1006),$AC$1006:$AS$1006,0)))),"Fix")))</f>
        <v xml:space="preserve"> </v>
      </c>
      <c r="I32" s="4" t="str">
        <f ca="1">IF(OR(INDEX($W$2:$W$1001,MATCH(ROWS($V$2:V32),$V$2:$V$1001,0),1)&gt;=100000,INDEX($AC$1005:$AS$1005,1,MATCH(COLUMNS($AC$1006:AJ1006),$AC$1006:$AS$1006,0))&gt;=100000), " ",IF(INDEX($AC$2:$AS$1001,MATCH(ROWS($V$2:V32),$V$2:$V$1001,0),MATCH(COLUMNS($AC$1006:AJ1006),$AC$1006:$AS$1006,0)), HYPERLINK("#",""), HYPERLINK(CONCATENATE("#metadata!", ADDRESS(INDEX($X$2:$X$1001,MATCH(ROWS($V$2:V32),$V$2:$V$1001,0),0), INDEX($AC$1004:$AS$1004,1,MATCH(COLUMNS($AC$1006:AJ1006),$AC$1006:$AS$1006,0)))),"Fix")))</f>
        <v xml:space="preserve"> </v>
      </c>
      <c r="J32" s="4" t="str">
        <f ca="1">IF(OR(INDEX($W$2:$W$1001,MATCH(ROWS($V$2:V32),$V$2:$V$1001,0),1)&gt;=100000,INDEX($AC$1005:$AS$1005,1,MATCH(COLUMNS($AC$1006:AK1006),$AC$1006:$AS$1006,0))&gt;=100000), " ",IF(INDEX($AC$2:$AS$1001,MATCH(ROWS($V$2:V32),$V$2:$V$1001,0),MATCH(COLUMNS($AC$1006:AK1006),$AC$1006:$AS$1006,0)), HYPERLINK("#",""), HYPERLINK(CONCATENATE("#metadata!", ADDRESS(INDEX($X$2:$X$1001,MATCH(ROWS($V$2:V32),$V$2:$V$1001,0),0), INDEX($AC$1004:$AS$1004,1,MATCH(COLUMNS($AC$1006:AK1006),$AC$1006:$AS$1006,0)))),"Fix")))</f>
        <v xml:space="preserve"> </v>
      </c>
      <c r="K32" s="4" t="str">
        <f ca="1">IF(OR(INDEX($W$2:$W$1001,MATCH(ROWS($V$2:V32),$V$2:$V$1001,0),1)&gt;=100000,INDEX($AC$1005:$AS$1005,1,MATCH(COLUMNS($AC$1006:AL1006),$AC$1006:$AS$1006,0))&gt;=100000), " ",IF(INDEX($AC$2:$AS$1001,MATCH(ROWS($V$2:V32),$V$2:$V$1001,0),MATCH(COLUMNS($AC$1006:AL1006),$AC$1006:$AS$1006,0)), HYPERLINK("#",""), HYPERLINK(CONCATENATE("#metadata!", ADDRESS(INDEX($X$2:$X$1001,MATCH(ROWS($V$2:V32),$V$2:$V$1001,0),0), INDEX($AC$1004:$AS$1004,1,MATCH(COLUMNS($AC$1006:AL1006),$AC$1006:$AS$1006,0)))),"Fix")))</f>
        <v xml:space="preserve"> </v>
      </c>
      <c r="L32" s="4" t="str">
        <f ca="1">IF(OR(INDEX($W$2:$W$1001,MATCH(ROWS($V$2:V32),$V$2:$V$1001,0),1)&gt;=100000,INDEX($AC$1005:$AS$1005,1,MATCH(COLUMNS($AC$1006:AM1006),$AC$1006:$AS$1006,0))&gt;=100000), " ",IF(INDEX($AC$2:$AS$1001,MATCH(ROWS($V$2:V32),$V$2:$V$1001,0),MATCH(COLUMNS($AC$1006:AM1006),$AC$1006:$AS$1006,0)), HYPERLINK("#",""), HYPERLINK(CONCATENATE("#metadata!", ADDRESS(INDEX($X$2:$X$1001,MATCH(ROWS($V$2:V32),$V$2:$V$1001,0),0), INDEX($AC$1004:$AS$1004,1,MATCH(COLUMNS($AC$1006:AM1006),$AC$1006:$AS$1006,0)))),"Fix")))</f>
        <v xml:space="preserve"> </v>
      </c>
      <c r="M32" s="4" t="str">
        <f ca="1">IF(OR(INDEX($W$2:$W$1001,MATCH(ROWS($V$2:V32),$V$2:$V$1001,0),1)&gt;=100000,INDEX($AC$1005:$AS$1005,1,MATCH(COLUMNS($AC$1006:AN1006),$AC$1006:$AS$1006,0))&gt;=100000), " ",IF(INDEX($AC$2:$AS$1001,MATCH(ROWS($V$2:V32),$V$2:$V$1001,0),MATCH(COLUMNS($AC$1006:AN1006),$AC$1006:$AS$1006,0)), HYPERLINK("#",""), HYPERLINK(CONCATENATE("#metadata!", ADDRESS(INDEX($X$2:$X$1001,MATCH(ROWS($V$2:V32),$V$2:$V$1001,0),0), INDEX($AC$1004:$AS$1004,1,MATCH(COLUMNS($AC$1006:AN1006),$AC$1006:$AS$1006,0)))),"Fix")))</f>
        <v xml:space="preserve"> </v>
      </c>
      <c r="N32" s="4" t="str">
        <f ca="1">IF(OR(INDEX($W$2:$W$1001,MATCH(ROWS($V$2:V32),$V$2:$V$1001,0),1)&gt;=100000,INDEX($AC$1005:$AS$1005,1,MATCH(COLUMNS($AC$1006:AO1006),$AC$1006:$AS$1006,0))&gt;=100000), " ",IF(INDEX($AC$2:$AS$1001,MATCH(ROWS($V$2:V32),$V$2:$V$1001,0),MATCH(COLUMNS($AC$1006:AO1006),$AC$1006:$AS$1006,0)), HYPERLINK("#",""), HYPERLINK(CONCATENATE("#metadata!", ADDRESS(INDEX($X$2:$X$1001,MATCH(ROWS($V$2:V32),$V$2:$V$1001,0),0), INDEX($AC$1004:$AS$1004,1,MATCH(COLUMNS($AC$1006:AO1006),$AC$1006:$AS$1006,0)))),"Fix")))</f>
        <v xml:space="preserve"> </v>
      </c>
      <c r="O32" s="4" t="str">
        <f ca="1">IF(OR(INDEX($W$2:$W$1001,MATCH(ROWS($V$2:V32),$V$2:$V$1001,0),1)&gt;=100000,INDEX($AC$1005:$AS$1005,1,MATCH(COLUMNS($AC$1006:AP1006),$AC$1006:$AS$1006,0))&gt;=100000), " ",IF(INDEX($AC$2:$AS$1001,MATCH(ROWS($V$2:V32),$V$2:$V$1001,0),MATCH(COLUMNS($AC$1006:AP1006),$AC$1006:$AS$1006,0)), HYPERLINK("#",""), HYPERLINK(CONCATENATE("#metadata!", ADDRESS(INDEX($X$2:$X$1001,MATCH(ROWS($V$2:V32),$V$2:$V$1001,0),0), INDEX($AC$1004:$AS$1004,1,MATCH(COLUMNS($AC$1006:AP1006),$AC$1006:$AS$1006,0)))),"Fix")))</f>
        <v xml:space="preserve"> </v>
      </c>
      <c r="P32" s="4" t="str">
        <f ca="1">IF(OR(INDEX($W$2:$W$1001,MATCH(ROWS($V$2:V32),$V$2:$V$1001,0),1)&gt;=100000,INDEX($AC$1005:$AS$1005,1,MATCH(COLUMNS($AC$1006:AQ1006),$AC$1006:$AS$1006,0))&gt;=100000), " ",IF(INDEX($AC$2:$AS$1001,MATCH(ROWS($V$2:V32),$V$2:$V$1001,0),MATCH(COLUMNS($AC$1006:AQ1006),$AC$1006:$AS$1006,0)), HYPERLINK("#",""), HYPERLINK(CONCATENATE("#metadata!", ADDRESS(INDEX($X$2:$X$1001,MATCH(ROWS($V$2:V32),$V$2:$V$1001,0),0), INDEX($AC$1004:$AS$1004,1,MATCH(COLUMNS($AC$1006:AQ1006),$AC$1006:$AS$1006,0)))),"Fix")))</f>
        <v xml:space="preserve"> </v>
      </c>
      <c r="Q32" s="4" t="str">
        <f ca="1">IF(OR(INDEX($W$2:$W$1001,MATCH(ROWS($V$2:V32),$V$2:$V$1001,0),1)&gt;=100000,INDEX($AC$1005:$AS$1005,1,MATCH(COLUMNS($AC$1006:AR1006),$AC$1006:$AS$1006,0))&gt;=100000), " ",IF(INDEX($AC$2:$AS$1001,MATCH(ROWS($V$2:V32),$V$2:$V$1001,0),MATCH(COLUMNS($AC$1006:AR1006),$AC$1006:$AS$1006,0)), HYPERLINK("#",""), HYPERLINK(CONCATENATE("#metadata!", ADDRESS(INDEX($X$2:$X$1001,MATCH(ROWS($V$2:V32),$V$2:$V$1001,0),0), INDEX($AC$1004:$AS$1004,1,MATCH(COLUMNS($AC$1006:AR1006),$AC$1006:$AS$1006,0)))),"Fix")))</f>
        <v xml:space="preserve"> </v>
      </c>
      <c r="R32" s="4" t="str">
        <f ca="1">IF(OR(INDEX($W$2:$W$1001,MATCH(ROWS($V$2:V32),$V$2:$V$1001,0),1)&gt;=100000,INDEX($AC$1005:$AS$1005,1,MATCH(COLUMNS($AC$1006:AS1006),$AC$1006:$AS$1006,0))&gt;=100000), " ",IF(INDEX($AC$2:$AS$1001,MATCH(ROWS($V$2:V32),$V$2:$V$1001,0),MATCH(COLUMNS($AC$1006:AS1006),$AC$1006:$AS$1006,0)), HYPERLINK("#",""), HYPERLINK(CONCATENATE("#metadata!", ADDRESS(INDEX($X$2:$X$1001,MATCH(ROWS($V$2:V32),$V$2:$V$1001,0),0), INDEX($AC$1004:$AS$1004,1,MATCH(COLUMNS($AC$1006:AS1006),$AC$1006:$AS$1006,0)))),"Fix")))</f>
        <v xml:space="preserve"> </v>
      </c>
      <c r="V32">
        <v>31</v>
      </c>
      <c r="W32">
        <v>100032</v>
      </c>
      <c r="X32">
        <v>32</v>
      </c>
      <c r="Y32" t="b">
        <f t="shared" si="0"/>
        <v>1</v>
      </c>
      <c r="Z32" t="b">
        <f>COUNTBLANK(metadata!B32:R32)=COLUMNS(metadata!B32:R32)</f>
        <v>1</v>
      </c>
      <c r="AA32" t="str">
        <v/>
      </c>
      <c r="AC32" t="b">
        <f ca="1"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AD32" t="b">
        <f>IF(metadata!C32="",FALSE,ISNUMBER(VALUE(metadata!C32)))</f>
        <v>0</v>
      </c>
      <c r="AE32" t="b">
        <f>AND(IF(metadata!D32="",FALSE,TRUE),EXACT(metadata!D32,"years"))</f>
        <v>0</v>
      </c>
      <c r="AF32" t="b">
        <f>OR(AND(IF(metadata!E32="",FALSE,TRUE),OR(EXACT(metadata!E32,"not applicable"),EXACT(metadata!E32,"missing: not collected"),EXACT(metadata!E32,"missing: not provided"),EXACT(metadata!E32,"missing: restricted access"))),AND(IF(metadata!E32="",FALSE,ISNUMBER(VALUE(metadata!E32))),metadata!E32&gt;0))</f>
        <v>0</v>
      </c>
      <c r="AG32" t="b">
        <f>AND(IF(metadata!F32="",FALSE,TRUE),EXACT(metadata!F32,"Not applicable"))</f>
        <v>0</v>
      </c>
      <c r="AH32" t="b">
        <f>AND(IF(metadata!G32="",FALSE,TRUE),EXACT(metadata!G32,"urban biome"))</f>
        <v>0</v>
      </c>
      <c r="AI32" t="b">
        <f>AND(IF(metadata!H32="",FALSE,TRUE),EXACT(metadata!H32,"human-associated habitat"))</f>
        <v>0</v>
      </c>
      <c r="AJ32" t="b">
        <f>AND(IF(metadata!I32="",FALSE,TRUE),OR(EXACT(metadata!I32,"human-associated"),EXACT(metadata!I32,"human-skin"),EXACT(metadata!I32,"human-oral"),EXACT(metadata!I32,"human-gut"),EXACT(metadata!I32,"human-vaginal")))</f>
        <v>0</v>
      </c>
      <c r="AK32" t="b">
        <f>IF(metadata!J32="",FALSE,ISNUMBER(VALUE(metadata!J32)))</f>
        <v>0</v>
      </c>
      <c r="AL32" t="b">
        <f>AND(IF(metadata!K32="",FALSE,TRUE),EXACT(metadata!K32,"cm"))</f>
        <v>0</v>
      </c>
      <c r="AM32" t="b">
        <f>AND(IF(metadata!L32="",FALSE,TRUE),EXACT(metadata!L32,"human"))</f>
        <v>0</v>
      </c>
      <c r="AN32" t="b">
        <f>AND(IF(metadata!M32="",FALSE,TRUE),EXACT(metadata!M32,"Homo sapiens"))</f>
        <v>0</v>
      </c>
      <c r="AO32" t="b">
        <f>AND(IF(metadata!N32="",FALSE,TRUE),EXACT(metadata!N32,"9606"))</f>
        <v>0</v>
      </c>
      <c r="AP32" t="b">
        <f>IF(metadata!O32="",FALSE,TRUE)</f>
        <v>0</v>
      </c>
      <c r="AQ32" t="b">
        <f>IF(metadata!P32="",FALSE,TRUE)</f>
        <v>0</v>
      </c>
      <c r="AR32" t="b">
        <f>IF(metadata!Q32="",FALSE,ISNUMBER(VALUE(metadata!Q32)))</f>
        <v>0</v>
      </c>
      <c r="AS32" t="b">
        <f>AND(IF(metadata!R32="",FALSE,TRUE),EXACT(metadata!R32,"kg"))</f>
        <v>0</v>
      </c>
    </row>
    <row r="33" spans="1:45" x14ac:dyDescent="0.2">
      <c r="A33" s="5" t="str">
        <f ca="1">IF(B33=" "," ",HYPERLINK(CONCATENATE("#metadata!",ADDRESS(INDEX($X$2:$X$1001,MATCH(ROWS($V$2:V33),$V$2:$V$1001,0),0),1)),INDEX($AA$2:$AA$1001,MATCH(ROWS($V$2:V33),$V$2:$V$1001,0),0)))</f>
        <v xml:space="preserve"> </v>
      </c>
      <c r="B33" s="4" t="str">
        <f ca="1">IF(OR(INDEX($W$2:$W$1001,MATCH(ROWS($V$2:V33),$V$2:$V$1001,0),1)&gt;=100000,INDEX($AC$1005:$AS$1005,1,MATCH(COLUMNS($AC$1006:AC1006),$AC$1006:$AS$1006,0))&gt;=100000), " ",IF(INDEX($AC$2:$AS$1001,MATCH(ROWS($V$2:V33),$V$2:$V$1001,0),MATCH(COLUMNS($AC$1006:AC1006),$AC$1006:$AS$1006,0)), HYPERLINK("#",""), HYPERLINK(CONCATENATE("#metadata!", ADDRESS(INDEX($X$2:$X$1001,MATCH(ROWS($V$2:V33),$V$2:$V$1001,0),0), INDEX($AC$1004:$AS$1004,1,MATCH(COLUMNS($AC$1006:AC1006),$AC$1006:$AS$1006,0)))),"Fix")))</f>
        <v xml:space="preserve"> </v>
      </c>
      <c r="C33" s="4" t="str">
        <f ca="1">IF(OR(INDEX($W$2:$W$1001,MATCH(ROWS($V$2:V33),$V$2:$V$1001,0),1)&gt;=100000,INDEX($AC$1005:$AS$1005,1,MATCH(COLUMNS($AC$1006:AD1006),$AC$1006:$AS$1006,0))&gt;=100000), " ",IF(INDEX($AC$2:$AS$1001,MATCH(ROWS($V$2:V33),$V$2:$V$1001,0),MATCH(COLUMNS($AC$1006:AD1006),$AC$1006:$AS$1006,0)), HYPERLINK("#",""), HYPERLINK(CONCATENATE("#metadata!", ADDRESS(INDEX($X$2:$X$1001,MATCH(ROWS($V$2:V33),$V$2:$V$1001,0),0), INDEX($AC$1004:$AS$1004,1,MATCH(COLUMNS($AC$1006:AD1006),$AC$1006:$AS$1006,0)))),"Fix")))</f>
        <v xml:space="preserve"> </v>
      </c>
      <c r="D33" s="4" t="str">
        <f ca="1">IF(OR(INDEX($W$2:$W$1001,MATCH(ROWS($V$2:V33),$V$2:$V$1001,0),1)&gt;=100000,INDEX($AC$1005:$AS$1005,1,MATCH(COLUMNS($AC$1006:AE1006),$AC$1006:$AS$1006,0))&gt;=100000), " ",IF(INDEX($AC$2:$AS$1001,MATCH(ROWS($V$2:V33),$V$2:$V$1001,0),MATCH(COLUMNS($AC$1006:AE1006),$AC$1006:$AS$1006,0)), HYPERLINK("#",""), HYPERLINK(CONCATENATE("#metadata!", ADDRESS(INDEX($X$2:$X$1001,MATCH(ROWS($V$2:V33),$V$2:$V$1001,0),0), INDEX($AC$1004:$AS$1004,1,MATCH(COLUMNS($AC$1006:AE1006),$AC$1006:$AS$1006,0)))),"Fix")))</f>
        <v xml:space="preserve"> </v>
      </c>
      <c r="E33" s="4" t="str">
        <f ca="1">IF(OR(INDEX($W$2:$W$1001,MATCH(ROWS($V$2:V33),$V$2:$V$1001,0),1)&gt;=100000,INDEX($AC$1005:$AS$1005,1,MATCH(COLUMNS($AC$1006:AF1006),$AC$1006:$AS$1006,0))&gt;=100000), " ",IF(INDEX($AC$2:$AS$1001,MATCH(ROWS($V$2:V33),$V$2:$V$1001,0),MATCH(COLUMNS($AC$1006:AF1006),$AC$1006:$AS$1006,0)), HYPERLINK("#",""), HYPERLINK(CONCATENATE("#metadata!", ADDRESS(INDEX($X$2:$X$1001,MATCH(ROWS($V$2:V33),$V$2:$V$1001,0),0), INDEX($AC$1004:$AS$1004,1,MATCH(COLUMNS($AC$1006:AF1006),$AC$1006:$AS$1006,0)))),"Fix")))</f>
        <v xml:space="preserve"> </v>
      </c>
      <c r="F33" s="4" t="str">
        <f ca="1">IF(OR(INDEX($W$2:$W$1001,MATCH(ROWS($V$2:V33),$V$2:$V$1001,0),1)&gt;=100000,INDEX($AC$1005:$AS$1005,1,MATCH(COLUMNS($AC$1006:AG1006),$AC$1006:$AS$1006,0))&gt;=100000), " ",IF(INDEX($AC$2:$AS$1001,MATCH(ROWS($V$2:V33),$V$2:$V$1001,0),MATCH(COLUMNS($AC$1006:AG1006),$AC$1006:$AS$1006,0)), HYPERLINK("#",""), HYPERLINK(CONCATENATE("#metadata!", ADDRESS(INDEX($X$2:$X$1001,MATCH(ROWS($V$2:V33),$V$2:$V$1001,0),0), INDEX($AC$1004:$AS$1004,1,MATCH(COLUMNS($AC$1006:AG1006),$AC$1006:$AS$1006,0)))),"Fix")))</f>
        <v xml:space="preserve"> </v>
      </c>
      <c r="G33" s="4" t="str">
        <f ca="1">IF(OR(INDEX($W$2:$W$1001,MATCH(ROWS($V$2:V33),$V$2:$V$1001,0),1)&gt;=100000,INDEX($AC$1005:$AS$1005,1,MATCH(COLUMNS($AC$1006:AH1006),$AC$1006:$AS$1006,0))&gt;=100000), " ",IF(INDEX($AC$2:$AS$1001,MATCH(ROWS($V$2:V33),$V$2:$V$1001,0),MATCH(COLUMNS($AC$1006:AH1006),$AC$1006:$AS$1006,0)), HYPERLINK("#",""), HYPERLINK(CONCATENATE("#metadata!", ADDRESS(INDEX($X$2:$X$1001,MATCH(ROWS($V$2:V33),$V$2:$V$1001,0),0), INDEX($AC$1004:$AS$1004,1,MATCH(COLUMNS($AC$1006:AH1006),$AC$1006:$AS$1006,0)))),"Fix")))</f>
        <v xml:space="preserve"> </v>
      </c>
      <c r="H33" s="4" t="str">
        <f ca="1">IF(OR(INDEX($W$2:$W$1001,MATCH(ROWS($V$2:V33),$V$2:$V$1001,0),1)&gt;=100000,INDEX($AC$1005:$AS$1005,1,MATCH(COLUMNS($AC$1006:AI1006),$AC$1006:$AS$1006,0))&gt;=100000), " ",IF(INDEX($AC$2:$AS$1001,MATCH(ROWS($V$2:V33),$V$2:$V$1001,0),MATCH(COLUMNS($AC$1006:AI1006),$AC$1006:$AS$1006,0)), HYPERLINK("#",""), HYPERLINK(CONCATENATE("#metadata!", ADDRESS(INDEX($X$2:$X$1001,MATCH(ROWS($V$2:V33),$V$2:$V$1001,0),0), INDEX($AC$1004:$AS$1004,1,MATCH(COLUMNS($AC$1006:AI1006),$AC$1006:$AS$1006,0)))),"Fix")))</f>
        <v xml:space="preserve"> </v>
      </c>
      <c r="I33" s="4" t="str">
        <f ca="1">IF(OR(INDEX($W$2:$W$1001,MATCH(ROWS($V$2:V33),$V$2:$V$1001,0),1)&gt;=100000,INDEX($AC$1005:$AS$1005,1,MATCH(COLUMNS($AC$1006:AJ1006),$AC$1006:$AS$1006,0))&gt;=100000), " ",IF(INDEX($AC$2:$AS$1001,MATCH(ROWS($V$2:V33),$V$2:$V$1001,0),MATCH(COLUMNS($AC$1006:AJ1006),$AC$1006:$AS$1006,0)), HYPERLINK("#",""), HYPERLINK(CONCATENATE("#metadata!", ADDRESS(INDEX($X$2:$X$1001,MATCH(ROWS($V$2:V33),$V$2:$V$1001,0),0), INDEX($AC$1004:$AS$1004,1,MATCH(COLUMNS($AC$1006:AJ1006),$AC$1006:$AS$1006,0)))),"Fix")))</f>
        <v xml:space="preserve"> </v>
      </c>
      <c r="J33" s="4" t="str">
        <f ca="1">IF(OR(INDEX($W$2:$W$1001,MATCH(ROWS($V$2:V33),$V$2:$V$1001,0),1)&gt;=100000,INDEX($AC$1005:$AS$1005,1,MATCH(COLUMNS($AC$1006:AK1006),$AC$1006:$AS$1006,0))&gt;=100000), " ",IF(INDEX($AC$2:$AS$1001,MATCH(ROWS($V$2:V33),$V$2:$V$1001,0),MATCH(COLUMNS($AC$1006:AK1006),$AC$1006:$AS$1006,0)), HYPERLINK("#",""), HYPERLINK(CONCATENATE("#metadata!", ADDRESS(INDEX($X$2:$X$1001,MATCH(ROWS($V$2:V33),$V$2:$V$1001,0),0), INDEX($AC$1004:$AS$1004,1,MATCH(COLUMNS($AC$1006:AK1006),$AC$1006:$AS$1006,0)))),"Fix")))</f>
        <v xml:space="preserve"> </v>
      </c>
      <c r="K33" s="4" t="str">
        <f ca="1">IF(OR(INDEX($W$2:$W$1001,MATCH(ROWS($V$2:V33),$V$2:$V$1001,0),1)&gt;=100000,INDEX($AC$1005:$AS$1005,1,MATCH(COLUMNS($AC$1006:AL1006),$AC$1006:$AS$1006,0))&gt;=100000), " ",IF(INDEX($AC$2:$AS$1001,MATCH(ROWS($V$2:V33),$V$2:$V$1001,0),MATCH(COLUMNS($AC$1006:AL1006),$AC$1006:$AS$1006,0)), HYPERLINK("#",""), HYPERLINK(CONCATENATE("#metadata!", ADDRESS(INDEX($X$2:$X$1001,MATCH(ROWS($V$2:V33),$V$2:$V$1001,0),0), INDEX($AC$1004:$AS$1004,1,MATCH(COLUMNS($AC$1006:AL1006),$AC$1006:$AS$1006,0)))),"Fix")))</f>
        <v xml:space="preserve"> </v>
      </c>
      <c r="L33" s="4" t="str">
        <f ca="1">IF(OR(INDEX($W$2:$W$1001,MATCH(ROWS($V$2:V33),$V$2:$V$1001,0),1)&gt;=100000,INDEX($AC$1005:$AS$1005,1,MATCH(COLUMNS($AC$1006:AM1006),$AC$1006:$AS$1006,0))&gt;=100000), " ",IF(INDEX($AC$2:$AS$1001,MATCH(ROWS($V$2:V33),$V$2:$V$1001,0),MATCH(COLUMNS($AC$1006:AM1006),$AC$1006:$AS$1006,0)), HYPERLINK("#",""), HYPERLINK(CONCATENATE("#metadata!", ADDRESS(INDEX($X$2:$X$1001,MATCH(ROWS($V$2:V33),$V$2:$V$1001,0),0), INDEX($AC$1004:$AS$1004,1,MATCH(COLUMNS($AC$1006:AM1006),$AC$1006:$AS$1006,0)))),"Fix")))</f>
        <v xml:space="preserve"> </v>
      </c>
      <c r="M33" s="4" t="str">
        <f ca="1">IF(OR(INDEX($W$2:$W$1001,MATCH(ROWS($V$2:V33),$V$2:$V$1001,0),1)&gt;=100000,INDEX($AC$1005:$AS$1005,1,MATCH(COLUMNS($AC$1006:AN1006),$AC$1006:$AS$1006,0))&gt;=100000), " ",IF(INDEX($AC$2:$AS$1001,MATCH(ROWS($V$2:V33),$V$2:$V$1001,0),MATCH(COLUMNS($AC$1006:AN1006),$AC$1006:$AS$1006,0)), HYPERLINK("#",""), HYPERLINK(CONCATENATE("#metadata!", ADDRESS(INDEX($X$2:$X$1001,MATCH(ROWS($V$2:V33),$V$2:$V$1001,0),0), INDEX($AC$1004:$AS$1004,1,MATCH(COLUMNS($AC$1006:AN1006),$AC$1006:$AS$1006,0)))),"Fix")))</f>
        <v xml:space="preserve"> </v>
      </c>
      <c r="N33" s="4" t="str">
        <f ca="1">IF(OR(INDEX($W$2:$W$1001,MATCH(ROWS($V$2:V33),$V$2:$V$1001,0),1)&gt;=100000,INDEX($AC$1005:$AS$1005,1,MATCH(COLUMNS($AC$1006:AO1006),$AC$1006:$AS$1006,0))&gt;=100000), " ",IF(INDEX($AC$2:$AS$1001,MATCH(ROWS($V$2:V33),$V$2:$V$1001,0),MATCH(COLUMNS($AC$1006:AO1006),$AC$1006:$AS$1006,0)), HYPERLINK("#",""), HYPERLINK(CONCATENATE("#metadata!", ADDRESS(INDEX($X$2:$X$1001,MATCH(ROWS($V$2:V33),$V$2:$V$1001,0),0), INDEX($AC$1004:$AS$1004,1,MATCH(COLUMNS($AC$1006:AO1006),$AC$1006:$AS$1006,0)))),"Fix")))</f>
        <v xml:space="preserve"> </v>
      </c>
      <c r="O33" s="4" t="str">
        <f ca="1">IF(OR(INDEX($W$2:$W$1001,MATCH(ROWS($V$2:V33),$V$2:$V$1001,0),1)&gt;=100000,INDEX($AC$1005:$AS$1005,1,MATCH(COLUMNS($AC$1006:AP1006),$AC$1006:$AS$1006,0))&gt;=100000), " ",IF(INDEX($AC$2:$AS$1001,MATCH(ROWS($V$2:V33),$V$2:$V$1001,0),MATCH(COLUMNS($AC$1006:AP1006),$AC$1006:$AS$1006,0)), HYPERLINK("#",""), HYPERLINK(CONCATENATE("#metadata!", ADDRESS(INDEX($X$2:$X$1001,MATCH(ROWS($V$2:V33),$V$2:$V$1001,0),0), INDEX($AC$1004:$AS$1004,1,MATCH(COLUMNS($AC$1006:AP1006),$AC$1006:$AS$1006,0)))),"Fix")))</f>
        <v xml:space="preserve"> </v>
      </c>
      <c r="P33" s="4" t="str">
        <f ca="1">IF(OR(INDEX($W$2:$W$1001,MATCH(ROWS($V$2:V33),$V$2:$V$1001,0),1)&gt;=100000,INDEX($AC$1005:$AS$1005,1,MATCH(COLUMNS($AC$1006:AQ1006),$AC$1006:$AS$1006,0))&gt;=100000), " ",IF(INDEX($AC$2:$AS$1001,MATCH(ROWS($V$2:V33),$V$2:$V$1001,0),MATCH(COLUMNS($AC$1006:AQ1006),$AC$1006:$AS$1006,0)), HYPERLINK("#",""), HYPERLINK(CONCATENATE("#metadata!", ADDRESS(INDEX($X$2:$X$1001,MATCH(ROWS($V$2:V33),$V$2:$V$1001,0),0), INDEX($AC$1004:$AS$1004,1,MATCH(COLUMNS($AC$1006:AQ1006),$AC$1006:$AS$1006,0)))),"Fix")))</f>
        <v xml:space="preserve"> </v>
      </c>
      <c r="Q33" s="4" t="str">
        <f ca="1">IF(OR(INDEX($W$2:$W$1001,MATCH(ROWS($V$2:V33),$V$2:$V$1001,0),1)&gt;=100000,INDEX($AC$1005:$AS$1005,1,MATCH(COLUMNS($AC$1006:AR1006),$AC$1006:$AS$1006,0))&gt;=100000), " ",IF(INDEX($AC$2:$AS$1001,MATCH(ROWS($V$2:V33),$V$2:$V$1001,0),MATCH(COLUMNS($AC$1006:AR1006),$AC$1006:$AS$1006,0)), HYPERLINK("#",""), HYPERLINK(CONCATENATE("#metadata!", ADDRESS(INDEX($X$2:$X$1001,MATCH(ROWS($V$2:V33),$V$2:$V$1001,0),0), INDEX($AC$1004:$AS$1004,1,MATCH(COLUMNS($AC$1006:AR1006),$AC$1006:$AS$1006,0)))),"Fix")))</f>
        <v xml:space="preserve"> </v>
      </c>
      <c r="R33" s="4" t="str">
        <f ca="1">IF(OR(INDEX($W$2:$W$1001,MATCH(ROWS($V$2:V33),$V$2:$V$1001,0),1)&gt;=100000,INDEX($AC$1005:$AS$1005,1,MATCH(COLUMNS($AC$1006:AS1006),$AC$1006:$AS$1006,0))&gt;=100000), " ",IF(INDEX($AC$2:$AS$1001,MATCH(ROWS($V$2:V33),$V$2:$V$1001,0),MATCH(COLUMNS($AC$1006:AS1006),$AC$1006:$AS$1006,0)), HYPERLINK("#",""), HYPERLINK(CONCATENATE("#metadata!", ADDRESS(INDEX($X$2:$X$1001,MATCH(ROWS($V$2:V33),$V$2:$V$1001,0),0), INDEX($AC$1004:$AS$1004,1,MATCH(COLUMNS($AC$1006:AS1006),$AC$1006:$AS$1006,0)))),"Fix")))</f>
        <v xml:space="preserve"> </v>
      </c>
      <c r="V33">
        <v>32</v>
      </c>
      <c r="W33">
        <v>100033</v>
      </c>
      <c r="X33">
        <v>33</v>
      </c>
      <c r="Y33" t="b">
        <f t="shared" si="0"/>
        <v>1</v>
      </c>
      <c r="Z33" t="b">
        <f>COUNTBLANK(metadata!B33:R33)=COLUMNS(metadata!B33:R33)</f>
        <v>1</v>
      </c>
      <c r="AA33" t="str">
        <v/>
      </c>
      <c r="AC33" t="b">
        <f ca="1"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AD33" t="b">
        <f>IF(metadata!C33="",FALSE,ISNUMBER(VALUE(metadata!C33)))</f>
        <v>0</v>
      </c>
      <c r="AE33" t="b">
        <f>AND(IF(metadata!D33="",FALSE,TRUE),EXACT(metadata!D33,"years"))</f>
        <v>0</v>
      </c>
      <c r="AF33" t="b">
        <f>OR(AND(IF(metadata!E33="",FALSE,TRUE),OR(EXACT(metadata!E33,"not applicable"),EXACT(metadata!E33,"missing: not collected"),EXACT(metadata!E33,"missing: not provided"),EXACT(metadata!E33,"missing: restricted access"))),AND(IF(metadata!E33="",FALSE,ISNUMBER(VALUE(metadata!E33))),metadata!E33&gt;0))</f>
        <v>0</v>
      </c>
      <c r="AG33" t="b">
        <f>AND(IF(metadata!F33="",FALSE,TRUE),EXACT(metadata!F33,"Not applicable"))</f>
        <v>0</v>
      </c>
      <c r="AH33" t="b">
        <f>AND(IF(metadata!G33="",FALSE,TRUE),EXACT(metadata!G33,"urban biome"))</f>
        <v>0</v>
      </c>
      <c r="AI33" t="b">
        <f>AND(IF(metadata!H33="",FALSE,TRUE),EXACT(metadata!H33,"human-associated habitat"))</f>
        <v>0</v>
      </c>
      <c r="AJ33" t="b">
        <f>AND(IF(metadata!I33="",FALSE,TRUE),OR(EXACT(metadata!I33,"human-associated"),EXACT(metadata!I33,"human-skin"),EXACT(metadata!I33,"human-oral"),EXACT(metadata!I33,"human-gut"),EXACT(metadata!I33,"human-vaginal")))</f>
        <v>0</v>
      </c>
      <c r="AK33" t="b">
        <f>IF(metadata!J33="",FALSE,ISNUMBER(VALUE(metadata!J33)))</f>
        <v>0</v>
      </c>
      <c r="AL33" t="b">
        <f>AND(IF(metadata!K33="",FALSE,TRUE),EXACT(metadata!K33,"cm"))</f>
        <v>0</v>
      </c>
      <c r="AM33" t="b">
        <f>AND(IF(metadata!L33="",FALSE,TRUE),EXACT(metadata!L33,"human"))</f>
        <v>0</v>
      </c>
      <c r="AN33" t="b">
        <f>AND(IF(metadata!M33="",FALSE,TRUE),EXACT(metadata!M33,"Homo sapiens"))</f>
        <v>0</v>
      </c>
      <c r="AO33" t="b">
        <f>AND(IF(metadata!N33="",FALSE,TRUE),EXACT(metadata!N33,"9606"))</f>
        <v>0</v>
      </c>
      <c r="AP33" t="b">
        <f>IF(metadata!O33="",FALSE,TRUE)</f>
        <v>0</v>
      </c>
      <c r="AQ33" t="b">
        <f>IF(metadata!P33="",FALSE,TRUE)</f>
        <v>0</v>
      </c>
      <c r="AR33" t="b">
        <f>IF(metadata!Q33="",FALSE,ISNUMBER(VALUE(metadata!Q33)))</f>
        <v>0</v>
      </c>
      <c r="AS33" t="b">
        <f>AND(IF(metadata!R33="",FALSE,TRUE),EXACT(metadata!R33,"kg"))</f>
        <v>0</v>
      </c>
    </row>
    <row r="34" spans="1:45" x14ac:dyDescent="0.2">
      <c r="A34" s="5" t="str">
        <f ca="1">IF(B34=" "," ",HYPERLINK(CONCATENATE("#metadata!",ADDRESS(INDEX($X$2:$X$1001,MATCH(ROWS($V$2:V34),$V$2:$V$1001,0),0),1)),INDEX($AA$2:$AA$1001,MATCH(ROWS($V$2:V34),$V$2:$V$1001,0),0)))</f>
        <v xml:space="preserve"> </v>
      </c>
      <c r="B34" s="4" t="str">
        <f ca="1">IF(OR(INDEX($W$2:$W$1001,MATCH(ROWS($V$2:V34),$V$2:$V$1001,0),1)&gt;=100000,INDEX($AC$1005:$AS$1005,1,MATCH(COLUMNS($AC$1006:AC1006),$AC$1006:$AS$1006,0))&gt;=100000), " ",IF(INDEX($AC$2:$AS$1001,MATCH(ROWS($V$2:V34),$V$2:$V$1001,0),MATCH(COLUMNS($AC$1006:AC1006),$AC$1006:$AS$1006,0)), HYPERLINK("#",""), HYPERLINK(CONCATENATE("#metadata!", ADDRESS(INDEX($X$2:$X$1001,MATCH(ROWS($V$2:V34),$V$2:$V$1001,0),0), INDEX($AC$1004:$AS$1004,1,MATCH(COLUMNS($AC$1006:AC1006),$AC$1006:$AS$1006,0)))),"Fix")))</f>
        <v xml:space="preserve"> </v>
      </c>
      <c r="C34" s="4" t="str">
        <f ca="1">IF(OR(INDEX($W$2:$W$1001,MATCH(ROWS($V$2:V34),$V$2:$V$1001,0),1)&gt;=100000,INDEX($AC$1005:$AS$1005,1,MATCH(COLUMNS($AC$1006:AD1006),$AC$1006:$AS$1006,0))&gt;=100000), " ",IF(INDEX($AC$2:$AS$1001,MATCH(ROWS($V$2:V34),$V$2:$V$1001,0),MATCH(COLUMNS($AC$1006:AD1006),$AC$1006:$AS$1006,0)), HYPERLINK("#",""), HYPERLINK(CONCATENATE("#metadata!", ADDRESS(INDEX($X$2:$X$1001,MATCH(ROWS($V$2:V34),$V$2:$V$1001,0),0), INDEX($AC$1004:$AS$1004,1,MATCH(COLUMNS($AC$1006:AD1006),$AC$1006:$AS$1006,0)))),"Fix")))</f>
        <v xml:space="preserve"> </v>
      </c>
      <c r="D34" s="4" t="str">
        <f ca="1">IF(OR(INDEX($W$2:$W$1001,MATCH(ROWS($V$2:V34),$V$2:$V$1001,0),1)&gt;=100000,INDEX($AC$1005:$AS$1005,1,MATCH(COLUMNS($AC$1006:AE1006),$AC$1006:$AS$1006,0))&gt;=100000), " ",IF(INDEX($AC$2:$AS$1001,MATCH(ROWS($V$2:V34),$V$2:$V$1001,0),MATCH(COLUMNS($AC$1006:AE1006),$AC$1006:$AS$1006,0)), HYPERLINK("#",""), HYPERLINK(CONCATENATE("#metadata!", ADDRESS(INDEX($X$2:$X$1001,MATCH(ROWS($V$2:V34),$V$2:$V$1001,0),0), INDEX($AC$1004:$AS$1004,1,MATCH(COLUMNS($AC$1006:AE1006),$AC$1006:$AS$1006,0)))),"Fix")))</f>
        <v xml:space="preserve"> </v>
      </c>
      <c r="E34" s="4" t="str">
        <f ca="1">IF(OR(INDEX($W$2:$W$1001,MATCH(ROWS($V$2:V34),$V$2:$V$1001,0),1)&gt;=100000,INDEX($AC$1005:$AS$1005,1,MATCH(COLUMNS($AC$1006:AF1006),$AC$1006:$AS$1006,0))&gt;=100000), " ",IF(INDEX($AC$2:$AS$1001,MATCH(ROWS($V$2:V34),$V$2:$V$1001,0),MATCH(COLUMNS($AC$1006:AF1006),$AC$1006:$AS$1006,0)), HYPERLINK("#",""), HYPERLINK(CONCATENATE("#metadata!", ADDRESS(INDEX($X$2:$X$1001,MATCH(ROWS($V$2:V34),$V$2:$V$1001,0),0), INDEX($AC$1004:$AS$1004,1,MATCH(COLUMNS($AC$1006:AF1006),$AC$1006:$AS$1006,0)))),"Fix")))</f>
        <v xml:space="preserve"> </v>
      </c>
      <c r="F34" s="4" t="str">
        <f ca="1">IF(OR(INDEX($W$2:$W$1001,MATCH(ROWS($V$2:V34),$V$2:$V$1001,0),1)&gt;=100000,INDEX($AC$1005:$AS$1005,1,MATCH(COLUMNS($AC$1006:AG1006),$AC$1006:$AS$1006,0))&gt;=100000), " ",IF(INDEX($AC$2:$AS$1001,MATCH(ROWS($V$2:V34),$V$2:$V$1001,0),MATCH(COLUMNS($AC$1006:AG1006),$AC$1006:$AS$1006,0)), HYPERLINK("#",""), HYPERLINK(CONCATENATE("#metadata!", ADDRESS(INDEX($X$2:$X$1001,MATCH(ROWS($V$2:V34),$V$2:$V$1001,0),0), INDEX($AC$1004:$AS$1004,1,MATCH(COLUMNS($AC$1006:AG1006),$AC$1006:$AS$1006,0)))),"Fix")))</f>
        <v xml:space="preserve"> </v>
      </c>
      <c r="G34" s="4" t="str">
        <f ca="1">IF(OR(INDEX($W$2:$W$1001,MATCH(ROWS($V$2:V34),$V$2:$V$1001,0),1)&gt;=100000,INDEX($AC$1005:$AS$1005,1,MATCH(COLUMNS($AC$1006:AH1006),$AC$1006:$AS$1006,0))&gt;=100000), " ",IF(INDEX($AC$2:$AS$1001,MATCH(ROWS($V$2:V34),$V$2:$V$1001,0),MATCH(COLUMNS($AC$1006:AH1006),$AC$1006:$AS$1006,0)), HYPERLINK("#",""), HYPERLINK(CONCATENATE("#metadata!", ADDRESS(INDEX($X$2:$X$1001,MATCH(ROWS($V$2:V34),$V$2:$V$1001,0),0), INDEX($AC$1004:$AS$1004,1,MATCH(COLUMNS($AC$1006:AH1006),$AC$1006:$AS$1006,0)))),"Fix")))</f>
        <v xml:space="preserve"> </v>
      </c>
      <c r="H34" s="4" t="str">
        <f ca="1">IF(OR(INDEX($W$2:$W$1001,MATCH(ROWS($V$2:V34),$V$2:$V$1001,0),1)&gt;=100000,INDEX($AC$1005:$AS$1005,1,MATCH(COLUMNS($AC$1006:AI1006),$AC$1006:$AS$1006,0))&gt;=100000), " ",IF(INDEX($AC$2:$AS$1001,MATCH(ROWS($V$2:V34),$V$2:$V$1001,0),MATCH(COLUMNS($AC$1006:AI1006),$AC$1006:$AS$1006,0)), HYPERLINK("#",""), HYPERLINK(CONCATENATE("#metadata!", ADDRESS(INDEX($X$2:$X$1001,MATCH(ROWS($V$2:V34),$V$2:$V$1001,0),0), INDEX($AC$1004:$AS$1004,1,MATCH(COLUMNS($AC$1006:AI1006),$AC$1006:$AS$1006,0)))),"Fix")))</f>
        <v xml:space="preserve"> </v>
      </c>
      <c r="I34" s="4" t="str">
        <f ca="1">IF(OR(INDEX($W$2:$W$1001,MATCH(ROWS($V$2:V34),$V$2:$V$1001,0),1)&gt;=100000,INDEX($AC$1005:$AS$1005,1,MATCH(COLUMNS($AC$1006:AJ1006),$AC$1006:$AS$1006,0))&gt;=100000), " ",IF(INDEX($AC$2:$AS$1001,MATCH(ROWS($V$2:V34),$V$2:$V$1001,0),MATCH(COLUMNS($AC$1006:AJ1006),$AC$1006:$AS$1006,0)), HYPERLINK("#",""), HYPERLINK(CONCATENATE("#metadata!", ADDRESS(INDEX($X$2:$X$1001,MATCH(ROWS($V$2:V34),$V$2:$V$1001,0),0), INDEX($AC$1004:$AS$1004,1,MATCH(COLUMNS($AC$1006:AJ1006),$AC$1006:$AS$1006,0)))),"Fix")))</f>
        <v xml:space="preserve"> </v>
      </c>
      <c r="J34" s="4" t="str">
        <f ca="1">IF(OR(INDEX($W$2:$W$1001,MATCH(ROWS($V$2:V34),$V$2:$V$1001,0),1)&gt;=100000,INDEX($AC$1005:$AS$1005,1,MATCH(COLUMNS($AC$1006:AK1006),$AC$1006:$AS$1006,0))&gt;=100000), " ",IF(INDEX($AC$2:$AS$1001,MATCH(ROWS($V$2:V34),$V$2:$V$1001,0),MATCH(COLUMNS($AC$1006:AK1006),$AC$1006:$AS$1006,0)), HYPERLINK("#",""), HYPERLINK(CONCATENATE("#metadata!", ADDRESS(INDEX($X$2:$X$1001,MATCH(ROWS($V$2:V34),$V$2:$V$1001,0),0), INDEX($AC$1004:$AS$1004,1,MATCH(COLUMNS($AC$1006:AK1006),$AC$1006:$AS$1006,0)))),"Fix")))</f>
        <v xml:space="preserve"> </v>
      </c>
      <c r="K34" s="4" t="str">
        <f ca="1">IF(OR(INDEX($W$2:$W$1001,MATCH(ROWS($V$2:V34),$V$2:$V$1001,0),1)&gt;=100000,INDEX($AC$1005:$AS$1005,1,MATCH(COLUMNS($AC$1006:AL1006),$AC$1006:$AS$1006,0))&gt;=100000), " ",IF(INDEX($AC$2:$AS$1001,MATCH(ROWS($V$2:V34),$V$2:$V$1001,0),MATCH(COLUMNS($AC$1006:AL1006),$AC$1006:$AS$1006,0)), HYPERLINK("#",""), HYPERLINK(CONCATENATE("#metadata!", ADDRESS(INDEX($X$2:$X$1001,MATCH(ROWS($V$2:V34),$V$2:$V$1001,0),0), INDEX($AC$1004:$AS$1004,1,MATCH(COLUMNS($AC$1006:AL1006),$AC$1006:$AS$1006,0)))),"Fix")))</f>
        <v xml:space="preserve"> </v>
      </c>
      <c r="L34" s="4" t="str">
        <f ca="1">IF(OR(INDEX($W$2:$W$1001,MATCH(ROWS($V$2:V34),$V$2:$V$1001,0),1)&gt;=100000,INDEX($AC$1005:$AS$1005,1,MATCH(COLUMNS($AC$1006:AM1006),$AC$1006:$AS$1006,0))&gt;=100000), " ",IF(INDEX($AC$2:$AS$1001,MATCH(ROWS($V$2:V34),$V$2:$V$1001,0),MATCH(COLUMNS($AC$1006:AM1006),$AC$1006:$AS$1006,0)), HYPERLINK("#",""), HYPERLINK(CONCATENATE("#metadata!", ADDRESS(INDEX($X$2:$X$1001,MATCH(ROWS($V$2:V34),$V$2:$V$1001,0),0), INDEX($AC$1004:$AS$1004,1,MATCH(COLUMNS($AC$1006:AM1006),$AC$1006:$AS$1006,0)))),"Fix")))</f>
        <v xml:space="preserve"> </v>
      </c>
      <c r="M34" s="4" t="str">
        <f ca="1">IF(OR(INDEX($W$2:$W$1001,MATCH(ROWS($V$2:V34),$V$2:$V$1001,0),1)&gt;=100000,INDEX($AC$1005:$AS$1005,1,MATCH(COLUMNS($AC$1006:AN1006),$AC$1006:$AS$1006,0))&gt;=100000), " ",IF(INDEX($AC$2:$AS$1001,MATCH(ROWS($V$2:V34),$V$2:$V$1001,0),MATCH(COLUMNS($AC$1006:AN1006),$AC$1006:$AS$1006,0)), HYPERLINK("#",""), HYPERLINK(CONCATENATE("#metadata!", ADDRESS(INDEX($X$2:$X$1001,MATCH(ROWS($V$2:V34),$V$2:$V$1001,0),0), INDEX($AC$1004:$AS$1004,1,MATCH(COLUMNS($AC$1006:AN1006),$AC$1006:$AS$1006,0)))),"Fix")))</f>
        <v xml:space="preserve"> </v>
      </c>
      <c r="N34" s="4" t="str">
        <f ca="1">IF(OR(INDEX($W$2:$W$1001,MATCH(ROWS($V$2:V34),$V$2:$V$1001,0),1)&gt;=100000,INDEX($AC$1005:$AS$1005,1,MATCH(COLUMNS($AC$1006:AO1006),$AC$1006:$AS$1006,0))&gt;=100000), " ",IF(INDEX($AC$2:$AS$1001,MATCH(ROWS($V$2:V34),$V$2:$V$1001,0),MATCH(COLUMNS($AC$1006:AO1006),$AC$1006:$AS$1006,0)), HYPERLINK("#",""), HYPERLINK(CONCATENATE("#metadata!", ADDRESS(INDEX($X$2:$X$1001,MATCH(ROWS($V$2:V34),$V$2:$V$1001,0),0), INDEX($AC$1004:$AS$1004,1,MATCH(COLUMNS($AC$1006:AO1006),$AC$1006:$AS$1006,0)))),"Fix")))</f>
        <v xml:space="preserve"> </v>
      </c>
      <c r="O34" s="4" t="str">
        <f ca="1">IF(OR(INDEX($W$2:$W$1001,MATCH(ROWS($V$2:V34),$V$2:$V$1001,0),1)&gt;=100000,INDEX($AC$1005:$AS$1005,1,MATCH(COLUMNS($AC$1006:AP1006),$AC$1006:$AS$1006,0))&gt;=100000), " ",IF(INDEX($AC$2:$AS$1001,MATCH(ROWS($V$2:V34),$V$2:$V$1001,0),MATCH(COLUMNS($AC$1006:AP1006),$AC$1006:$AS$1006,0)), HYPERLINK("#",""), HYPERLINK(CONCATENATE("#metadata!", ADDRESS(INDEX($X$2:$X$1001,MATCH(ROWS($V$2:V34),$V$2:$V$1001,0),0), INDEX($AC$1004:$AS$1004,1,MATCH(COLUMNS($AC$1006:AP1006),$AC$1006:$AS$1006,0)))),"Fix")))</f>
        <v xml:space="preserve"> </v>
      </c>
      <c r="P34" s="4" t="str">
        <f ca="1">IF(OR(INDEX($W$2:$W$1001,MATCH(ROWS($V$2:V34),$V$2:$V$1001,0),1)&gt;=100000,INDEX($AC$1005:$AS$1005,1,MATCH(COLUMNS($AC$1006:AQ1006),$AC$1006:$AS$1006,0))&gt;=100000), " ",IF(INDEX($AC$2:$AS$1001,MATCH(ROWS($V$2:V34),$V$2:$V$1001,0),MATCH(COLUMNS($AC$1006:AQ1006),$AC$1006:$AS$1006,0)), HYPERLINK("#",""), HYPERLINK(CONCATENATE("#metadata!", ADDRESS(INDEX($X$2:$X$1001,MATCH(ROWS($V$2:V34),$V$2:$V$1001,0),0), INDEX($AC$1004:$AS$1004,1,MATCH(COLUMNS($AC$1006:AQ1006),$AC$1006:$AS$1006,0)))),"Fix")))</f>
        <v xml:space="preserve"> </v>
      </c>
      <c r="Q34" s="4" t="str">
        <f ca="1">IF(OR(INDEX($W$2:$W$1001,MATCH(ROWS($V$2:V34),$V$2:$V$1001,0),1)&gt;=100000,INDEX($AC$1005:$AS$1005,1,MATCH(COLUMNS($AC$1006:AR1006),$AC$1006:$AS$1006,0))&gt;=100000), " ",IF(INDEX($AC$2:$AS$1001,MATCH(ROWS($V$2:V34),$V$2:$V$1001,0),MATCH(COLUMNS($AC$1006:AR1006),$AC$1006:$AS$1006,0)), HYPERLINK("#",""), HYPERLINK(CONCATENATE("#metadata!", ADDRESS(INDEX($X$2:$X$1001,MATCH(ROWS($V$2:V34),$V$2:$V$1001,0),0), INDEX($AC$1004:$AS$1004,1,MATCH(COLUMNS($AC$1006:AR1006),$AC$1006:$AS$1006,0)))),"Fix")))</f>
        <v xml:space="preserve"> </v>
      </c>
      <c r="R34" s="4" t="str">
        <f ca="1">IF(OR(INDEX($W$2:$W$1001,MATCH(ROWS($V$2:V34),$V$2:$V$1001,0),1)&gt;=100000,INDEX($AC$1005:$AS$1005,1,MATCH(COLUMNS($AC$1006:AS1006),$AC$1006:$AS$1006,0))&gt;=100000), " ",IF(INDEX($AC$2:$AS$1001,MATCH(ROWS($V$2:V34),$V$2:$V$1001,0),MATCH(COLUMNS($AC$1006:AS1006),$AC$1006:$AS$1006,0)), HYPERLINK("#",""), HYPERLINK(CONCATENATE("#metadata!", ADDRESS(INDEX($X$2:$X$1001,MATCH(ROWS($V$2:V34),$V$2:$V$1001,0),0), INDEX($AC$1004:$AS$1004,1,MATCH(COLUMNS($AC$1006:AS1006),$AC$1006:$AS$1006,0)))),"Fix")))</f>
        <v xml:space="preserve"> </v>
      </c>
      <c r="V34">
        <v>33</v>
      </c>
      <c r="W34">
        <v>100034</v>
      </c>
      <c r="X34">
        <v>34</v>
      </c>
      <c r="Y34" t="b">
        <f t="shared" si="0"/>
        <v>1</v>
      </c>
      <c r="Z34" t="b">
        <f>COUNTBLANK(metadata!B34:R34)=COLUMNS(metadata!B34:R34)</f>
        <v>1</v>
      </c>
      <c r="AA34" t="str">
        <v/>
      </c>
      <c r="AC34" t="b">
        <f ca="1"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AD34" t="b">
        <f>IF(metadata!C34="",FALSE,ISNUMBER(VALUE(metadata!C34)))</f>
        <v>0</v>
      </c>
      <c r="AE34" t="b">
        <f>AND(IF(metadata!D34="",FALSE,TRUE),EXACT(metadata!D34,"years"))</f>
        <v>0</v>
      </c>
      <c r="AF34" t="b">
        <f>OR(AND(IF(metadata!E34="",FALSE,TRUE),OR(EXACT(metadata!E34,"not applicable"),EXACT(metadata!E34,"missing: not collected"),EXACT(metadata!E34,"missing: not provided"),EXACT(metadata!E34,"missing: restricted access"))),AND(IF(metadata!E34="",FALSE,ISNUMBER(VALUE(metadata!E34))),metadata!E34&gt;0))</f>
        <v>0</v>
      </c>
      <c r="AG34" t="b">
        <f>AND(IF(metadata!F34="",FALSE,TRUE),EXACT(metadata!F34,"Not applicable"))</f>
        <v>0</v>
      </c>
      <c r="AH34" t="b">
        <f>AND(IF(metadata!G34="",FALSE,TRUE),EXACT(metadata!G34,"urban biome"))</f>
        <v>0</v>
      </c>
      <c r="AI34" t="b">
        <f>AND(IF(metadata!H34="",FALSE,TRUE),EXACT(metadata!H34,"human-associated habitat"))</f>
        <v>0</v>
      </c>
      <c r="AJ34" t="b">
        <f>AND(IF(metadata!I34="",FALSE,TRUE),OR(EXACT(metadata!I34,"human-associated"),EXACT(metadata!I34,"human-skin"),EXACT(metadata!I34,"human-oral"),EXACT(metadata!I34,"human-gut"),EXACT(metadata!I34,"human-vaginal")))</f>
        <v>0</v>
      </c>
      <c r="AK34" t="b">
        <f>IF(metadata!J34="",FALSE,ISNUMBER(VALUE(metadata!J34)))</f>
        <v>0</v>
      </c>
      <c r="AL34" t="b">
        <f>AND(IF(metadata!K34="",FALSE,TRUE),EXACT(metadata!K34,"cm"))</f>
        <v>0</v>
      </c>
      <c r="AM34" t="b">
        <f>AND(IF(metadata!L34="",FALSE,TRUE),EXACT(metadata!L34,"human"))</f>
        <v>0</v>
      </c>
      <c r="AN34" t="b">
        <f>AND(IF(metadata!M34="",FALSE,TRUE),EXACT(metadata!M34,"Homo sapiens"))</f>
        <v>0</v>
      </c>
      <c r="AO34" t="b">
        <f>AND(IF(metadata!N34="",FALSE,TRUE),EXACT(metadata!N34,"9606"))</f>
        <v>0</v>
      </c>
      <c r="AP34" t="b">
        <f>IF(metadata!O34="",FALSE,TRUE)</f>
        <v>0</v>
      </c>
      <c r="AQ34" t="b">
        <f>IF(metadata!P34="",FALSE,TRUE)</f>
        <v>0</v>
      </c>
      <c r="AR34" t="b">
        <f>IF(metadata!Q34="",FALSE,ISNUMBER(VALUE(metadata!Q34)))</f>
        <v>0</v>
      </c>
      <c r="AS34" t="b">
        <f>AND(IF(metadata!R34="",FALSE,TRUE),EXACT(metadata!R34,"kg"))</f>
        <v>0</v>
      </c>
    </row>
    <row r="35" spans="1:45" x14ac:dyDescent="0.2">
      <c r="A35" s="5" t="str">
        <f ca="1">IF(B35=" "," ",HYPERLINK(CONCATENATE("#metadata!",ADDRESS(INDEX($X$2:$X$1001,MATCH(ROWS($V$2:V35),$V$2:$V$1001,0),0),1)),INDEX($AA$2:$AA$1001,MATCH(ROWS($V$2:V35),$V$2:$V$1001,0),0)))</f>
        <v xml:space="preserve"> </v>
      </c>
      <c r="B35" s="4" t="str">
        <f ca="1">IF(OR(INDEX($W$2:$W$1001,MATCH(ROWS($V$2:V35),$V$2:$V$1001,0),1)&gt;=100000,INDEX($AC$1005:$AS$1005,1,MATCH(COLUMNS($AC$1006:AC1006),$AC$1006:$AS$1006,0))&gt;=100000), " ",IF(INDEX($AC$2:$AS$1001,MATCH(ROWS($V$2:V35),$V$2:$V$1001,0),MATCH(COLUMNS($AC$1006:AC1006),$AC$1006:$AS$1006,0)), HYPERLINK("#",""), HYPERLINK(CONCATENATE("#metadata!", ADDRESS(INDEX($X$2:$X$1001,MATCH(ROWS($V$2:V35),$V$2:$V$1001,0),0), INDEX($AC$1004:$AS$1004,1,MATCH(COLUMNS($AC$1006:AC1006),$AC$1006:$AS$1006,0)))),"Fix")))</f>
        <v xml:space="preserve"> </v>
      </c>
      <c r="C35" s="4" t="str">
        <f ca="1">IF(OR(INDEX($W$2:$W$1001,MATCH(ROWS($V$2:V35),$V$2:$V$1001,0),1)&gt;=100000,INDEX($AC$1005:$AS$1005,1,MATCH(COLUMNS($AC$1006:AD1006),$AC$1006:$AS$1006,0))&gt;=100000), " ",IF(INDEX($AC$2:$AS$1001,MATCH(ROWS($V$2:V35),$V$2:$V$1001,0),MATCH(COLUMNS($AC$1006:AD1006),$AC$1006:$AS$1006,0)), HYPERLINK("#",""), HYPERLINK(CONCATENATE("#metadata!", ADDRESS(INDEX($X$2:$X$1001,MATCH(ROWS($V$2:V35),$V$2:$V$1001,0),0), INDEX($AC$1004:$AS$1004,1,MATCH(COLUMNS($AC$1006:AD1006),$AC$1006:$AS$1006,0)))),"Fix")))</f>
        <v xml:space="preserve"> </v>
      </c>
      <c r="D35" s="4" t="str">
        <f ca="1">IF(OR(INDEX($W$2:$W$1001,MATCH(ROWS($V$2:V35),$V$2:$V$1001,0),1)&gt;=100000,INDEX($AC$1005:$AS$1005,1,MATCH(COLUMNS($AC$1006:AE1006),$AC$1006:$AS$1006,0))&gt;=100000), " ",IF(INDEX($AC$2:$AS$1001,MATCH(ROWS($V$2:V35),$V$2:$V$1001,0),MATCH(COLUMNS($AC$1006:AE1006),$AC$1006:$AS$1006,0)), HYPERLINK("#",""), HYPERLINK(CONCATENATE("#metadata!", ADDRESS(INDEX($X$2:$X$1001,MATCH(ROWS($V$2:V35),$V$2:$V$1001,0),0), INDEX($AC$1004:$AS$1004,1,MATCH(COLUMNS($AC$1006:AE1006),$AC$1006:$AS$1006,0)))),"Fix")))</f>
        <v xml:space="preserve"> </v>
      </c>
      <c r="E35" s="4" t="str">
        <f ca="1">IF(OR(INDEX($W$2:$W$1001,MATCH(ROWS($V$2:V35),$V$2:$V$1001,0),1)&gt;=100000,INDEX($AC$1005:$AS$1005,1,MATCH(COLUMNS($AC$1006:AF1006),$AC$1006:$AS$1006,0))&gt;=100000), " ",IF(INDEX($AC$2:$AS$1001,MATCH(ROWS($V$2:V35),$V$2:$V$1001,0),MATCH(COLUMNS($AC$1006:AF1006),$AC$1006:$AS$1006,0)), HYPERLINK("#",""), HYPERLINK(CONCATENATE("#metadata!", ADDRESS(INDEX($X$2:$X$1001,MATCH(ROWS($V$2:V35),$V$2:$V$1001,0),0), INDEX($AC$1004:$AS$1004,1,MATCH(COLUMNS($AC$1006:AF1006),$AC$1006:$AS$1006,0)))),"Fix")))</f>
        <v xml:space="preserve"> </v>
      </c>
      <c r="F35" s="4" t="str">
        <f ca="1">IF(OR(INDEX($W$2:$W$1001,MATCH(ROWS($V$2:V35),$V$2:$V$1001,0),1)&gt;=100000,INDEX($AC$1005:$AS$1005,1,MATCH(COLUMNS($AC$1006:AG1006),$AC$1006:$AS$1006,0))&gt;=100000), " ",IF(INDEX($AC$2:$AS$1001,MATCH(ROWS($V$2:V35),$V$2:$V$1001,0),MATCH(COLUMNS($AC$1006:AG1006),$AC$1006:$AS$1006,0)), HYPERLINK("#",""), HYPERLINK(CONCATENATE("#metadata!", ADDRESS(INDEX($X$2:$X$1001,MATCH(ROWS($V$2:V35),$V$2:$V$1001,0),0), INDEX($AC$1004:$AS$1004,1,MATCH(COLUMNS($AC$1006:AG1006),$AC$1006:$AS$1006,0)))),"Fix")))</f>
        <v xml:space="preserve"> </v>
      </c>
      <c r="G35" s="4" t="str">
        <f ca="1">IF(OR(INDEX($W$2:$W$1001,MATCH(ROWS($V$2:V35),$V$2:$V$1001,0),1)&gt;=100000,INDEX($AC$1005:$AS$1005,1,MATCH(COLUMNS($AC$1006:AH1006),$AC$1006:$AS$1006,0))&gt;=100000), " ",IF(INDEX($AC$2:$AS$1001,MATCH(ROWS($V$2:V35),$V$2:$V$1001,0),MATCH(COLUMNS($AC$1006:AH1006),$AC$1006:$AS$1006,0)), HYPERLINK("#",""), HYPERLINK(CONCATENATE("#metadata!", ADDRESS(INDEX($X$2:$X$1001,MATCH(ROWS($V$2:V35),$V$2:$V$1001,0),0), INDEX($AC$1004:$AS$1004,1,MATCH(COLUMNS($AC$1006:AH1006),$AC$1006:$AS$1006,0)))),"Fix")))</f>
        <v xml:space="preserve"> </v>
      </c>
      <c r="H35" s="4" t="str">
        <f ca="1">IF(OR(INDEX($W$2:$W$1001,MATCH(ROWS($V$2:V35),$V$2:$V$1001,0),1)&gt;=100000,INDEX($AC$1005:$AS$1005,1,MATCH(COLUMNS($AC$1006:AI1006),$AC$1006:$AS$1006,0))&gt;=100000), " ",IF(INDEX($AC$2:$AS$1001,MATCH(ROWS($V$2:V35),$V$2:$V$1001,0),MATCH(COLUMNS($AC$1006:AI1006),$AC$1006:$AS$1006,0)), HYPERLINK("#",""), HYPERLINK(CONCATENATE("#metadata!", ADDRESS(INDEX($X$2:$X$1001,MATCH(ROWS($V$2:V35),$V$2:$V$1001,0),0), INDEX($AC$1004:$AS$1004,1,MATCH(COLUMNS($AC$1006:AI1006),$AC$1006:$AS$1006,0)))),"Fix")))</f>
        <v xml:space="preserve"> </v>
      </c>
      <c r="I35" s="4" t="str">
        <f ca="1">IF(OR(INDEX($W$2:$W$1001,MATCH(ROWS($V$2:V35),$V$2:$V$1001,0),1)&gt;=100000,INDEX($AC$1005:$AS$1005,1,MATCH(COLUMNS($AC$1006:AJ1006),$AC$1006:$AS$1006,0))&gt;=100000), " ",IF(INDEX($AC$2:$AS$1001,MATCH(ROWS($V$2:V35),$V$2:$V$1001,0),MATCH(COLUMNS($AC$1006:AJ1006),$AC$1006:$AS$1006,0)), HYPERLINK("#",""), HYPERLINK(CONCATENATE("#metadata!", ADDRESS(INDEX($X$2:$X$1001,MATCH(ROWS($V$2:V35),$V$2:$V$1001,0),0), INDEX($AC$1004:$AS$1004,1,MATCH(COLUMNS($AC$1006:AJ1006),$AC$1006:$AS$1006,0)))),"Fix")))</f>
        <v xml:space="preserve"> </v>
      </c>
      <c r="J35" s="4" t="str">
        <f ca="1">IF(OR(INDEX($W$2:$W$1001,MATCH(ROWS($V$2:V35),$V$2:$V$1001,0),1)&gt;=100000,INDEX($AC$1005:$AS$1005,1,MATCH(COLUMNS($AC$1006:AK1006),$AC$1006:$AS$1006,0))&gt;=100000), " ",IF(INDEX($AC$2:$AS$1001,MATCH(ROWS($V$2:V35),$V$2:$V$1001,0),MATCH(COLUMNS($AC$1006:AK1006),$AC$1006:$AS$1006,0)), HYPERLINK("#",""), HYPERLINK(CONCATENATE("#metadata!", ADDRESS(INDEX($X$2:$X$1001,MATCH(ROWS($V$2:V35),$V$2:$V$1001,0),0), INDEX($AC$1004:$AS$1004,1,MATCH(COLUMNS($AC$1006:AK1006),$AC$1006:$AS$1006,0)))),"Fix")))</f>
        <v xml:space="preserve"> </v>
      </c>
      <c r="K35" s="4" t="str">
        <f ca="1">IF(OR(INDEX($W$2:$W$1001,MATCH(ROWS($V$2:V35),$V$2:$V$1001,0),1)&gt;=100000,INDEX($AC$1005:$AS$1005,1,MATCH(COLUMNS($AC$1006:AL1006),$AC$1006:$AS$1006,0))&gt;=100000), " ",IF(INDEX($AC$2:$AS$1001,MATCH(ROWS($V$2:V35),$V$2:$V$1001,0),MATCH(COLUMNS($AC$1006:AL1006),$AC$1006:$AS$1006,0)), HYPERLINK("#",""), HYPERLINK(CONCATENATE("#metadata!", ADDRESS(INDEX($X$2:$X$1001,MATCH(ROWS($V$2:V35),$V$2:$V$1001,0),0), INDEX($AC$1004:$AS$1004,1,MATCH(COLUMNS($AC$1006:AL1006),$AC$1006:$AS$1006,0)))),"Fix")))</f>
        <v xml:space="preserve"> </v>
      </c>
      <c r="L35" s="4" t="str">
        <f ca="1">IF(OR(INDEX($W$2:$W$1001,MATCH(ROWS($V$2:V35),$V$2:$V$1001,0),1)&gt;=100000,INDEX($AC$1005:$AS$1005,1,MATCH(COLUMNS($AC$1006:AM1006),$AC$1006:$AS$1006,0))&gt;=100000), " ",IF(INDEX($AC$2:$AS$1001,MATCH(ROWS($V$2:V35),$V$2:$V$1001,0),MATCH(COLUMNS($AC$1006:AM1006),$AC$1006:$AS$1006,0)), HYPERLINK("#",""), HYPERLINK(CONCATENATE("#metadata!", ADDRESS(INDEX($X$2:$X$1001,MATCH(ROWS($V$2:V35),$V$2:$V$1001,0),0), INDEX($AC$1004:$AS$1004,1,MATCH(COLUMNS($AC$1006:AM1006),$AC$1006:$AS$1006,0)))),"Fix")))</f>
        <v xml:space="preserve"> </v>
      </c>
      <c r="M35" s="4" t="str">
        <f ca="1">IF(OR(INDEX($W$2:$W$1001,MATCH(ROWS($V$2:V35),$V$2:$V$1001,0),1)&gt;=100000,INDEX($AC$1005:$AS$1005,1,MATCH(COLUMNS($AC$1006:AN1006),$AC$1006:$AS$1006,0))&gt;=100000), " ",IF(INDEX($AC$2:$AS$1001,MATCH(ROWS($V$2:V35),$V$2:$V$1001,0),MATCH(COLUMNS($AC$1006:AN1006),$AC$1006:$AS$1006,0)), HYPERLINK("#",""), HYPERLINK(CONCATENATE("#metadata!", ADDRESS(INDEX($X$2:$X$1001,MATCH(ROWS($V$2:V35),$V$2:$V$1001,0),0), INDEX($AC$1004:$AS$1004,1,MATCH(COLUMNS($AC$1006:AN1006),$AC$1006:$AS$1006,0)))),"Fix")))</f>
        <v xml:space="preserve"> </v>
      </c>
      <c r="N35" s="4" t="str">
        <f ca="1">IF(OR(INDEX($W$2:$W$1001,MATCH(ROWS($V$2:V35),$V$2:$V$1001,0),1)&gt;=100000,INDEX($AC$1005:$AS$1005,1,MATCH(COLUMNS($AC$1006:AO1006),$AC$1006:$AS$1006,0))&gt;=100000), " ",IF(INDEX($AC$2:$AS$1001,MATCH(ROWS($V$2:V35),$V$2:$V$1001,0),MATCH(COLUMNS($AC$1006:AO1006),$AC$1006:$AS$1006,0)), HYPERLINK("#",""), HYPERLINK(CONCATENATE("#metadata!", ADDRESS(INDEX($X$2:$X$1001,MATCH(ROWS($V$2:V35),$V$2:$V$1001,0),0), INDEX($AC$1004:$AS$1004,1,MATCH(COLUMNS($AC$1006:AO1006),$AC$1006:$AS$1006,0)))),"Fix")))</f>
        <v xml:space="preserve"> </v>
      </c>
      <c r="O35" s="4" t="str">
        <f ca="1">IF(OR(INDEX($W$2:$W$1001,MATCH(ROWS($V$2:V35),$V$2:$V$1001,0),1)&gt;=100000,INDEX($AC$1005:$AS$1005,1,MATCH(COLUMNS($AC$1006:AP1006),$AC$1006:$AS$1006,0))&gt;=100000), " ",IF(INDEX($AC$2:$AS$1001,MATCH(ROWS($V$2:V35),$V$2:$V$1001,0),MATCH(COLUMNS($AC$1006:AP1006),$AC$1006:$AS$1006,0)), HYPERLINK("#",""), HYPERLINK(CONCATENATE("#metadata!", ADDRESS(INDEX($X$2:$X$1001,MATCH(ROWS($V$2:V35),$V$2:$V$1001,0),0), INDEX($AC$1004:$AS$1004,1,MATCH(COLUMNS($AC$1006:AP1006),$AC$1006:$AS$1006,0)))),"Fix")))</f>
        <v xml:space="preserve"> </v>
      </c>
      <c r="P35" s="4" t="str">
        <f ca="1">IF(OR(INDEX($W$2:$W$1001,MATCH(ROWS($V$2:V35),$V$2:$V$1001,0),1)&gt;=100000,INDEX($AC$1005:$AS$1005,1,MATCH(COLUMNS($AC$1006:AQ1006),$AC$1006:$AS$1006,0))&gt;=100000), " ",IF(INDEX($AC$2:$AS$1001,MATCH(ROWS($V$2:V35),$V$2:$V$1001,0),MATCH(COLUMNS($AC$1006:AQ1006),$AC$1006:$AS$1006,0)), HYPERLINK("#",""), HYPERLINK(CONCATENATE("#metadata!", ADDRESS(INDEX($X$2:$X$1001,MATCH(ROWS($V$2:V35),$V$2:$V$1001,0),0), INDEX($AC$1004:$AS$1004,1,MATCH(COLUMNS($AC$1006:AQ1006),$AC$1006:$AS$1006,0)))),"Fix")))</f>
        <v xml:space="preserve"> </v>
      </c>
      <c r="Q35" s="4" t="str">
        <f ca="1">IF(OR(INDEX($W$2:$W$1001,MATCH(ROWS($V$2:V35),$V$2:$V$1001,0),1)&gt;=100000,INDEX($AC$1005:$AS$1005,1,MATCH(COLUMNS($AC$1006:AR1006),$AC$1006:$AS$1006,0))&gt;=100000), " ",IF(INDEX($AC$2:$AS$1001,MATCH(ROWS($V$2:V35),$V$2:$V$1001,0),MATCH(COLUMNS($AC$1006:AR1006),$AC$1006:$AS$1006,0)), HYPERLINK("#",""), HYPERLINK(CONCATENATE("#metadata!", ADDRESS(INDEX($X$2:$X$1001,MATCH(ROWS($V$2:V35),$V$2:$V$1001,0),0), INDEX($AC$1004:$AS$1004,1,MATCH(COLUMNS($AC$1006:AR1006),$AC$1006:$AS$1006,0)))),"Fix")))</f>
        <v xml:space="preserve"> </v>
      </c>
      <c r="R35" s="4" t="str">
        <f ca="1">IF(OR(INDEX($W$2:$W$1001,MATCH(ROWS($V$2:V35),$V$2:$V$1001,0),1)&gt;=100000,INDEX($AC$1005:$AS$1005,1,MATCH(COLUMNS($AC$1006:AS1006),$AC$1006:$AS$1006,0))&gt;=100000), " ",IF(INDEX($AC$2:$AS$1001,MATCH(ROWS($V$2:V35),$V$2:$V$1001,0),MATCH(COLUMNS($AC$1006:AS1006),$AC$1006:$AS$1006,0)), HYPERLINK("#",""), HYPERLINK(CONCATENATE("#metadata!", ADDRESS(INDEX($X$2:$X$1001,MATCH(ROWS($V$2:V35),$V$2:$V$1001,0),0), INDEX($AC$1004:$AS$1004,1,MATCH(COLUMNS($AC$1006:AS1006),$AC$1006:$AS$1006,0)))),"Fix")))</f>
        <v xml:space="preserve"> </v>
      </c>
      <c r="V35">
        <v>34</v>
      </c>
      <c r="W35">
        <v>100035</v>
      </c>
      <c r="X35">
        <v>35</v>
      </c>
      <c r="Y35" t="b">
        <f t="shared" si="0"/>
        <v>1</v>
      </c>
      <c r="Z35" t="b">
        <f>COUNTBLANK(metadata!B35:R35)=COLUMNS(metadata!B35:R35)</f>
        <v>1</v>
      </c>
      <c r="AA35" t="str">
        <v/>
      </c>
      <c r="AC35" t="b">
        <f ca="1"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AD35" t="b">
        <f>IF(metadata!C35="",FALSE,ISNUMBER(VALUE(metadata!C35)))</f>
        <v>0</v>
      </c>
      <c r="AE35" t="b">
        <f>AND(IF(metadata!D35="",FALSE,TRUE),EXACT(metadata!D35,"years"))</f>
        <v>0</v>
      </c>
      <c r="AF35" t="b">
        <f>OR(AND(IF(metadata!E35="",FALSE,TRUE),OR(EXACT(metadata!E35,"not applicable"),EXACT(metadata!E35,"missing: not collected"),EXACT(metadata!E35,"missing: not provided"),EXACT(metadata!E35,"missing: restricted access"))),AND(IF(metadata!E35="",FALSE,ISNUMBER(VALUE(metadata!E35))),metadata!E35&gt;0))</f>
        <v>0</v>
      </c>
      <c r="AG35" t="b">
        <f>AND(IF(metadata!F35="",FALSE,TRUE),EXACT(metadata!F35,"Not applicable"))</f>
        <v>0</v>
      </c>
      <c r="AH35" t="b">
        <f>AND(IF(metadata!G35="",FALSE,TRUE),EXACT(metadata!G35,"urban biome"))</f>
        <v>0</v>
      </c>
      <c r="AI35" t="b">
        <f>AND(IF(metadata!H35="",FALSE,TRUE),EXACT(metadata!H35,"human-associated habitat"))</f>
        <v>0</v>
      </c>
      <c r="AJ35" t="b">
        <f>AND(IF(metadata!I35="",FALSE,TRUE),OR(EXACT(metadata!I35,"human-associated"),EXACT(metadata!I35,"human-skin"),EXACT(metadata!I35,"human-oral"),EXACT(metadata!I35,"human-gut"),EXACT(metadata!I35,"human-vaginal")))</f>
        <v>0</v>
      </c>
      <c r="AK35" t="b">
        <f>IF(metadata!J35="",FALSE,ISNUMBER(VALUE(metadata!J35)))</f>
        <v>0</v>
      </c>
      <c r="AL35" t="b">
        <f>AND(IF(metadata!K35="",FALSE,TRUE),EXACT(metadata!K35,"cm"))</f>
        <v>0</v>
      </c>
      <c r="AM35" t="b">
        <f>AND(IF(metadata!L35="",FALSE,TRUE),EXACT(metadata!L35,"human"))</f>
        <v>0</v>
      </c>
      <c r="AN35" t="b">
        <f>AND(IF(metadata!M35="",FALSE,TRUE),EXACT(metadata!M35,"Homo sapiens"))</f>
        <v>0</v>
      </c>
      <c r="AO35" t="b">
        <f>AND(IF(metadata!N35="",FALSE,TRUE),EXACT(metadata!N35,"9606"))</f>
        <v>0</v>
      </c>
      <c r="AP35" t="b">
        <f>IF(metadata!O35="",FALSE,TRUE)</f>
        <v>0</v>
      </c>
      <c r="AQ35" t="b">
        <f>IF(metadata!P35="",FALSE,TRUE)</f>
        <v>0</v>
      </c>
      <c r="AR35" t="b">
        <f>IF(metadata!Q35="",FALSE,ISNUMBER(VALUE(metadata!Q35)))</f>
        <v>0</v>
      </c>
      <c r="AS35" t="b">
        <f>AND(IF(metadata!R35="",FALSE,TRUE),EXACT(metadata!R35,"kg"))</f>
        <v>0</v>
      </c>
    </row>
    <row r="36" spans="1:45" x14ac:dyDescent="0.2">
      <c r="A36" s="5" t="str">
        <f ca="1">IF(B36=" "," ",HYPERLINK(CONCATENATE("#metadata!",ADDRESS(INDEX($X$2:$X$1001,MATCH(ROWS($V$2:V36),$V$2:$V$1001,0),0),1)),INDEX($AA$2:$AA$1001,MATCH(ROWS($V$2:V36),$V$2:$V$1001,0),0)))</f>
        <v xml:space="preserve"> </v>
      </c>
      <c r="B36" s="4" t="str">
        <f ca="1">IF(OR(INDEX($W$2:$W$1001,MATCH(ROWS($V$2:V36),$V$2:$V$1001,0),1)&gt;=100000,INDEX($AC$1005:$AS$1005,1,MATCH(COLUMNS($AC$1006:AC1006),$AC$1006:$AS$1006,0))&gt;=100000), " ",IF(INDEX($AC$2:$AS$1001,MATCH(ROWS($V$2:V36),$V$2:$V$1001,0),MATCH(COLUMNS($AC$1006:AC1006),$AC$1006:$AS$1006,0)), HYPERLINK("#",""), HYPERLINK(CONCATENATE("#metadata!", ADDRESS(INDEX($X$2:$X$1001,MATCH(ROWS($V$2:V36),$V$2:$V$1001,0),0), INDEX($AC$1004:$AS$1004,1,MATCH(COLUMNS($AC$1006:AC1006),$AC$1006:$AS$1006,0)))),"Fix")))</f>
        <v xml:space="preserve"> </v>
      </c>
      <c r="C36" s="4" t="str">
        <f ca="1">IF(OR(INDEX($W$2:$W$1001,MATCH(ROWS($V$2:V36),$V$2:$V$1001,0),1)&gt;=100000,INDEX($AC$1005:$AS$1005,1,MATCH(COLUMNS($AC$1006:AD1006),$AC$1006:$AS$1006,0))&gt;=100000), " ",IF(INDEX($AC$2:$AS$1001,MATCH(ROWS($V$2:V36),$V$2:$V$1001,0),MATCH(COLUMNS($AC$1006:AD1006),$AC$1006:$AS$1006,0)), HYPERLINK("#",""), HYPERLINK(CONCATENATE("#metadata!", ADDRESS(INDEX($X$2:$X$1001,MATCH(ROWS($V$2:V36),$V$2:$V$1001,0),0), INDEX($AC$1004:$AS$1004,1,MATCH(COLUMNS($AC$1006:AD1006),$AC$1006:$AS$1006,0)))),"Fix")))</f>
        <v xml:space="preserve"> </v>
      </c>
      <c r="D36" s="4" t="str">
        <f ca="1">IF(OR(INDEX($W$2:$W$1001,MATCH(ROWS($V$2:V36),$V$2:$V$1001,0),1)&gt;=100000,INDEX($AC$1005:$AS$1005,1,MATCH(COLUMNS($AC$1006:AE1006),$AC$1006:$AS$1006,0))&gt;=100000), " ",IF(INDEX($AC$2:$AS$1001,MATCH(ROWS($V$2:V36),$V$2:$V$1001,0),MATCH(COLUMNS($AC$1006:AE1006),$AC$1006:$AS$1006,0)), HYPERLINK("#",""), HYPERLINK(CONCATENATE("#metadata!", ADDRESS(INDEX($X$2:$X$1001,MATCH(ROWS($V$2:V36),$V$2:$V$1001,0),0), INDEX($AC$1004:$AS$1004,1,MATCH(COLUMNS($AC$1006:AE1006),$AC$1006:$AS$1006,0)))),"Fix")))</f>
        <v xml:space="preserve"> </v>
      </c>
      <c r="E36" s="4" t="str">
        <f ca="1">IF(OR(INDEX($W$2:$W$1001,MATCH(ROWS($V$2:V36),$V$2:$V$1001,0),1)&gt;=100000,INDEX($AC$1005:$AS$1005,1,MATCH(COLUMNS($AC$1006:AF1006),$AC$1006:$AS$1006,0))&gt;=100000), " ",IF(INDEX($AC$2:$AS$1001,MATCH(ROWS($V$2:V36),$V$2:$V$1001,0),MATCH(COLUMNS($AC$1006:AF1006),$AC$1006:$AS$1006,0)), HYPERLINK("#",""), HYPERLINK(CONCATENATE("#metadata!", ADDRESS(INDEX($X$2:$X$1001,MATCH(ROWS($V$2:V36),$V$2:$V$1001,0),0), INDEX($AC$1004:$AS$1004,1,MATCH(COLUMNS($AC$1006:AF1006),$AC$1006:$AS$1006,0)))),"Fix")))</f>
        <v xml:space="preserve"> </v>
      </c>
      <c r="F36" s="4" t="str">
        <f ca="1">IF(OR(INDEX($W$2:$W$1001,MATCH(ROWS($V$2:V36),$V$2:$V$1001,0),1)&gt;=100000,INDEX($AC$1005:$AS$1005,1,MATCH(COLUMNS($AC$1006:AG1006),$AC$1006:$AS$1006,0))&gt;=100000), " ",IF(INDEX($AC$2:$AS$1001,MATCH(ROWS($V$2:V36),$V$2:$V$1001,0),MATCH(COLUMNS($AC$1006:AG1006),$AC$1006:$AS$1006,0)), HYPERLINK("#",""), HYPERLINK(CONCATENATE("#metadata!", ADDRESS(INDEX($X$2:$X$1001,MATCH(ROWS($V$2:V36),$V$2:$V$1001,0),0), INDEX($AC$1004:$AS$1004,1,MATCH(COLUMNS($AC$1006:AG1006),$AC$1006:$AS$1006,0)))),"Fix")))</f>
        <v xml:space="preserve"> </v>
      </c>
      <c r="G36" s="4" t="str">
        <f ca="1">IF(OR(INDEX($W$2:$W$1001,MATCH(ROWS($V$2:V36),$V$2:$V$1001,0),1)&gt;=100000,INDEX($AC$1005:$AS$1005,1,MATCH(COLUMNS($AC$1006:AH1006),$AC$1006:$AS$1006,0))&gt;=100000), " ",IF(INDEX($AC$2:$AS$1001,MATCH(ROWS($V$2:V36),$V$2:$V$1001,0),MATCH(COLUMNS($AC$1006:AH1006),$AC$1006:$AS$1006,0)), HYPERLINK("#",""), HYPERLINK(CONCATENATE("#metadata!", ADDRESS(INDEX($X$2:$X$1001,MATCH(ROWS($V$2:V36),$V$2:$V$1001,0),0), INDEX($AC$1004:$AS$1004,1,MATCH(COLUMNS($AC$1006:AH1006),$AC$1006:$AS$1006,0)))),"Fix")))</f>
        <v xml:space="preserve"> </v>
      </c>
      <c r="H36" s="4" t="str">
        <f ca="1">IF(OR(INDEX($W$2:$W$1001,MATCH(ROWS($V$2:V36),$V$2:$V$1001,0),1)&gt;=100000,INDEX($AC$1005:$AS$1005,1,MATCH(COLUMNS($AC$1006:AI1006),$AC$1006:$AS$1006,0))&gt;=100000), " ",IF(INDEX($AC$2:$AS$1001,MATCH(ROWS($V$2:V36),$V$2:$V$1001,0),MATCH(COLUMNS($AC$1006:AI1006),$AC$1006:$AS$1006,0)), HYPERLINK("#",""), HYPERLINK(CONCATENATE("#metadata!", ADDRESS(INDEX($X$2:$X$1001,MATCH(ROWS($V$2:V36),$V$2:$V$1001,0),0), INDEX($AC$1004:$AS$1004,1,MATCH(COLUMNS($AC$1006:AI1006),$AC$1006:$AS$1006,0)))),"Fix")))</f>
        <v xml:space="preserve"> </v>
      </c>
      <c r="I36" s="4" t="str">
        <f ca="1">IF(OR(INDEX($W$2:$W$1001,MATCH(ROWS($V$2:V36),$V$2:$V$1001,0),1)&gt;=100000,INDEX($AC$1005:$AS$1005,1,MATCH(COLUMNS($AC$1006:AJ1006),$AC$1006:$AS$1006,0))&gt;=100000), " ",IF(INDEX($AC$2:$AS$1001,MATCH(ROWS($V$2:V36),$V$2:$V$1001,0),MATCH(COLUMNS($AC$1006:AJ1006),$AC$1006:$AS$1006,0)), HYPERLINK("#",""), HYPERLINK(CONCATENATE("#metadata!", ADDRESS(INDEX($X$2:$X$1001,MATCH(ROWS($V$2:V36),$V$2:$V$1001,0),0), INDEX($AC$1004:$AS$1004,1,MATCH(COLUMNS($AC$1006:AJ1006),$AC$1006:$AS$1006,0)))),"Fix")))</f>
        <v xml:space="preserve"> </v>
      </c>
      <c r="J36" s="4" t="str">
        <f ca="1">IF(OR(INDEX($W$2:$W$1001,MATCH(ROWS($V$2:V36),$V$2:$V$1001,0),1)&gt;=100000,INDEX($AC$1005:$AS$1005,1,MATCH(COLUMNS($AC$1006:AK1006),$AC$1006:$AS$1006,0))&gt;=100000), " ",IF(INDEX($AC$2:$AS$1001,MATCH(ROWS($V$2:V36),$V$2:$V$1001,0),MATCH(COLUMNS($AC$1006:AK1006),$AC$1006:$AS$1006,0)), HYPERLINK("#",""), HYPERLINK(CONCATENATE("#metadata!", ADDRESS(INDEX($X$2:$X$1001,MATCH(ROWS($V$2:V36),$V$2:$V$1001,0),0), INDEX($AC$1004:$AS$1004,1,MATCH(COLUMNS($AC$1006:AK1006),$AC$1006:$AS$1006,0)))),"Fix")))</f>
        <v xml:space="preserve"> </v>
      </c>
      <c r="K36" s="4" t="str">
        <f ca="1">IF(OR(INDEX($W$2:$W$1001,MATCH(ROWS($V$2:V36),$V$2:$V$1001,0),1)&gt;=100000,INDEX($AC$1005:$AS$1005,1,MATCH(COLUMNS($AC$1006:AL1006),$AC$1006:$AS$1006,0))&gt;=100000), " ",IF(INDEX($AC$2:$AS$1001,MATCH(ROWS($V$2:V36),$V$2:$V$1001,0),MATCH(COLUMNS($AC$1006:AL1006),$AC$1006:$AS$1006,0)), HYPERLINK("#",""), HYPERLINK(CONCATENATE("#metadata!", ADDRESS(INDEX($X$2:$X$1001,MATCH(ROWS($V$2:V36),$V$2:$V$1001,0),0), INDEX($AC$1004:$AS$1004,1,MATCH(COLUMNS($AC$1006:AL1006),$AC$1006:$AS$1006,0)))),"Fix")))</f>
        <v xml:space="preserve"> </v>
      </c>
      <c r="L36" s="4" t="str">
        <f ca="1">IF(OR(INDEX($W$2:$W$1001,MATCH(ROWS($V$2:V36),$V$2:$V$1001,0),1)&gt;=100000,INDEX($AC$1005:$AS$1005,1,MATCH(COLUMNS($AC$1006:AM1006),$AC$1006:$AS$1006,0))&gt;=100000), " ",IF(INDEX($AC$2:$AS$1001,MATCH(ROWS($V$2:V36),$V$2:$V$1001,0),MATCH(COLUMNS($AC$1006:AM1006),$AC$1006:$AS$1006,0)), HYPERLINK("#",""), HYPERLINK(CONCATENATE("#metadata!", ADDRESS(INDEX($X$2:$X$1001,MATCH(ROWS($V$2:V36),$V$2:$V$1001,0),0), INDEX($AC$1004:$AS$1004,1,MATCH(COLUMNS($AC$1006:AM1006),$AC$1006:$AS$1006,0)))),"Fix")))</f>
        <v xml:space="preserve"> </v>
      </c>
      <c r="M36" s="4" t="str">
        <f ca="1">IF(OR(INDEX($W$2:$W$1001,MATCH(ROWS($V$2:V36),$V$2:$V$1001,0),1)&gt;=100000,INDEX($AC$1005:$AS$1005,1,MATCH(COLUMNS($AC$1006:AN1006),$AC$1006:$AS$1006,0))&gt;=100000), " ",IF(INDEX($AC$2:$AS$1001,MATCH(ROWS($V$2:V36),$V$2:$V$1001,0),MATCH(COLUMNS($AC$1006:AN1006),$AC$1006:$AS$1006,0)), HYPERLINK("#",""), HYPERLINK(CONCATENATE("#metadata!", ADDRESS(INDEX($X$2:$X$1001,MATCH(ROWS($V$2:V36),$V$2:$V$1001,0),0), INDEX($AC$1004:$AS$1004,1,MATCH(COLUMNS($AC$1006:AN1006),$AC$1006:$AS$1006,0)))),"Fix")))</f>
        <v xml:space="preserve"> </v>
      </c>
      <c r="N36" s="4" t="str">
        <f ca="1">IF(OR(INDEX($W$2:$W$1001,MATCH(ROWS($V$2:V36),$V$2:$V$1001,0),1)&gt;=100000,INDEX($AC$1005:$AS$1005,1,MATCH(COLUMNS($AC$1006:AO1006),$AC$1006:$AS$1006,0))&gt;=100000), " ",IF(INDEX($AC$2:$AS$1001,MATCH(ROWS($V$2:V36),$V$2:$V$1001,0),MATCH(COLUMNS($AC$1006:AO1006),$AC$1006:$AS$1006,0)), HYPERLINK("#",""), HYPERLINK(CONCATENATE("#metadata!", ADDRESS(INDEX($X$2:$X$1001,MATCH(ROWS($V$2:V36),$V$2:$V$1001,0),0), INDEX($AC$1004:$AS$1004,1,MATCH(COLUMNS($AC$1006:AO1006),$AC$1006:$AS$1006,0)))),"Fix")))</f>
        <v xml:space="preserve"> </v>
      </c>
      <c r="O36" s="4" t="str">
        <f ca="1">IF(OR(INDEX($W$2:$W$1001,MATCH(ROWS($V$2:V36),$V$2:$V$1001,0),1)&gt;=100000,INDEX($AC$1005:$AS$1005,1,MATCH(COLUMNS($AC$1006:AP1006),$AC$1006:$AS$1006,0))&gt;=100000), " ",IF(INDEX($AC$2:$AS$1001,MATCH(ROWS($V$2:V36),$V$2:$V$1001,0),MATCH(COLUMNS($AC$1006:AP1006),$AC$1006:$AS$1006,0)), HYPERLINK("#",""), HYPERLINK(CONCATENATE("#metadata!", ADDRESS(INDEX($X$2:$X$1001,MATCH(ROWS($V$2:V36),$V$2:$V$1001,0),0), INDEX($AC$1004:$AS$1004,1,MATCH(COLUMNS($AC$1006:AP1006),$AC$1006:$AS$1006,0)))),"Fix")))</f>
        <v xml:space="preserve"> </v>
      </c>
      <c r="P36" s="4" t="str">
        <f ca="1">IF(OR(INDEX($W$2:$W$1001,MATCH(ROWS($V$2:V36),$V$2:$V$1001,0),1)&gt;=100000,INDEX($AC$1005:$AS$1005,1,MATCH(COLUMNS($AC$1006:AQ1006),$AC$1006:$AS$1006,0))&gt;=100000), " ",IF(INDEX($AC$2:$AS$1001,MATCH(ROWS($V$2:V36),$V$2:$V$1001,0),MATCH(COLUMNS($AC$1006:AQ1006),$AC$1006:$AS$1006,0)), HYPERLINK("#",""), HYPERLINK(CONCATENATE("#metadata!", ADDRESS(INDEX($X$2:$X$1001,MATCH(ROWS($V$2:V36),$V$2:$V$1001,0),0), INDEX($AC$1004:$AS$1004,1,MATCH(COLUMNS($AC$1006:AQ1006),$AC$1006:$AS$1006,0)))),"Fix")))</f>
        <v xml:space="preserve"> </v>
      </c>
      <c r="Q36" s="4" t="str">
        <f ca="1">IF(OR(INDEX($W$2:$W$1001,MATCH(ROWS($V$2:V36),$V$2:$V$1001,0),1)&gt;=100000,INDEX($AC$1005:$AS$1005,1,MATCH(COLUMNS($AC$1006:AR1006),$AC$1006:$AS$1006,0))&gt;=100000), " ",IF(INDEX($AC$2:$AS$1001,MATCH(ROWS($V$2:V36),$V$2:$V$1001,0),MATCH(COLUMNS($AC$1006:AR1006),$AC$1006:$AS$1006,0)), HYPERLINK("#",""), HYPERLINK(CONCATENATE("#metadata!", ADDRESS(INDEX($X$2:$X$1001,MATCH(ROWS($V$2:V36),$V$2:$V$1001,0),0), INDEX($AC$1004:$AS$1004,1,MATCH(COLUMNS($AC$1006:AR1006),$AC$1006:$AS$1006,0)))),"Fix")))</f>
        <v xml:space="preserve"> </v>
      </c>
      <c r="R36" s="4" t="str">
        <f ca="1">IF(OR(INDEX($W$2:$W$1001,MATCH(ROWS($V$2:V36),$V$2:$V$1001,0),1)&gt;=100000,INDEX($AC$1005:$AS$1005,1,MATCH(COLUMNS($AC$1006:AS1006),$AC$1006:$AS$1006,0))&gt;=100000), " ",IF(INDEX($AC$2:$AS$1001,MATCH(ROWS($V$2:V36),$V$2:$V$1001,0),MATCH(COLUMNS($AC$1006:AS1006),$AC$1006:$AS$1006,0)), HYPERLINK("#",""), HYPERLINK(CONCATENATE("#metadata!", ADDRESS(INDEX($X$2:$X$1001,MATCH(ROWS($V$2:V36),$V$2:$V$1001,0),0), INDEX($AC$1004:$AS$1004,1,MATCH(COLUMNS($AC$1006:AS1006),$AC$1006:$AS$1006,0)))),"Fix")))</f>
        <v xml:space="preserve"> </v>
      </c>
      <c r="V36">
        <v>35</v>
      </c>
      <c r="W36">
        <v>100036</v>
      </c>
      <c r="X36">
        <v>36</v>
      </c>
      <c r="Y36" t="b">
        <f t="shared" si="0"/>
        <v>1</v>
      </c>
      <c r="Z36" t="b">
        <f>COUNTBLANK(metadata!B36:R36)=COLUMNS(metadata!B36:R36)</f>
        <v>1</v>
      </c>
      <c r="AA36" t="str">
        <v/>
      </c>
      <c r="AC36" t="b">
        <f ca="1"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AD36" t="b">
        <f>IF(metadata!C36="",FALSE,ISNUMBER(VALUE(metadata!C36)))</f>
        <v>0</v>
      </c>
      <c r="AE36" t="b">
        <f>AND(IF(metadata!D36="",FALSE,TRUE),EXACT(metadata!D36,"years"))</f>
        <v>0</v>
      </c>
      <c r="AF36" t="b">
        <f>OR(AND(IF(metadata!E36="",FALSE,TRUE),OR(EXACT(metadata!E36,"not applicable"),EXACT(metadata!E36,"missing: not collected"),EXACT(metadata!E36,"missing: not provided"),EXACT(metadata!E36,"missing: restricted access"))),AND(IF(metadata!E36="",FALSE,ISNUMBER(VALUE(metadata!E36))),metadata!E36&gt;0))</f>
        <v>0</v>
      </c>
      <c r="AG36" t="b">
        <f>AND(IF(metadata!F36="",FALSE,TRUE),EXACT(metadata!F36,"Not applicable"))</f>
        <v>0</v>
      </c>
      <c r="AH36" t="b">
        <f>AND(IF(metadata!G36="",FALSE,TRUE),EXACT(metadata!G36,"urban biome"))</f>
        <v>0</v>
      </c>
      <c r="AI36" t="b">
        <f>AND(IF(metadata!H36="",FALSE,TRUE),EXACT(metadata!H36,"human-associated habitat"))</f>
        <v>0</v>
      </c>
      <c r="AJ36" t="b">
        <f>AND(IF(metadata!I36="",FALSE,TRUE),OR(EXACT(metadata!I36,"human-associated"),EXACT(metadata!I36,"human-skin"),EXACT(metadata!I36,"human-oral"),EXACT(metadata!I36,"human-gut"),EXACT(metadata!I36,"human-vaginal")))</f>
        <v>0</v>
      </c>
      <c r="AK36" t="b">
        <f>IF(metadata!J36="",FALSE,ISNUMBER(VALUE(metadata!J36)))</f>
        <v>0</v>
      </c>
      <c r="AL36" t="b">
        <f>AND(IF(metadata!K36="",FALSE,TRUE),EXACT(metadata!K36,"cm"))</f>
        <v>0</v>
      </c>
      <c r="AM36" t="b">
        <f>AND(IF(metadata!L36="",FALSE,TRUE),EXACT(metadata!L36,"human"))</f>
        <v>0</v>
      </c>
      <c r="AN36" t="b">
        <f>AND(IF(metadata!M36="",FALSE,TRUE),EXACT(metadata!M36,"Homo sapiens"))</f>
        <v>0</v>
      </c>
      <c r="AO36" t="b">
        <f>AND(IF(metadata!N36="",FALSE,TRUE),EXACT(metadata!N36,"9606"))</f>
        <v>0</v>
      </c>
      <c r="AP36" t="b">
        <f>IF(metadata!O36="",FALSE,TRUE)</f>
        <v>0</v>
      </c>
      <c r="AQ36" t="b">
        <f>IF(metadata!P36="",FALSE,TRUE)</f>
        <v>0</v>
      </c>
      <c r="AR36" t="b">
        <f>IF(metadata!Q36="",FALSE,ISNUMBER(VALUE(metadata!Q36)))</f>
        <v>0</v>
      </c>
      <c r="AS36" t="b">
        <f>AND(IF(metadata!R36="",FALSE,TRUE),EXACT(metadata!R36,"kg"))</f>
        <v>0</v>
      </c>
    </row>
    <row r="37" spans="1:45" x14ac:dyDescent="0.2">
      <c r="A37" s="5" t="str">
        <f ca="1">IF(B37=" "," ",HYPERLINK(CONCATENATE("#metadata!",ADDRESS(INDEX($X$2:$X$1001,MATCH(ROWS($V$2:V37),$V$2:$V$1001,0),0),1)),INDEX($AA$2:$AA$1001,MATCH(ROWS($V$2:V37),$V$2:$V$1001,0),0)))</f>
        <v xml:space="preserve"> </v>
      </c>
      <c r="B37" s="4" t="str">
        <f ca="1">IF(OR(INDEX($W$2:$W$1001,MATCH(ROWS($V$2:V37),$V$2:$V$1001,0),1)&gt;=100000,INDEX($AC$1005:$AS$1005,1,MATCH(COLUMNS($AC$1006:AC1006),$AC$1006:$AS$1006,0))&gt;=100000), " ",IF(INDEX($AC$2:$AS$1001,MATCH(ROWS($V$2:V37),$V$2:$V$1001,0),MATCH(COLUMNS($AC$1006:AC1006),$AC$1006:$AS$1006,0)), HYPERLINK("#",""), HYPERLINK(CONCATENATE("#metadata!", ADDRESS(INDEX($X$2:$X$1001,MATCH(ROWS($V$2:V37),$V$2:$V$1001,0),0), INDEX($AC$1004:$AS$1004,1,MATCH(COLUMNS($AC$1006:AC1006),$AC$1006:$AS$1006,0)))),"Fix")))</f>
        <v xml:space="preserve"> </v>
      </c>
      <c r="C37" s="4" t="str">
        <f ca="1">IF(OR(INDEX($W$2:$W$1001,MATCH(ROWS($V$2:V37),$V$2:$V$1001,0),1)&gt;=100000,INDEX($AC$1005:$AS$1005,1,MATCH(COLUMNS($AC$1006:AD1006),$AC$1006:$AS$1006,0))&gt;=100000), " ",IF(INDEX($AC$2:$AS$1001,MATCH(ROWS($V$2:V37),$V$2:$V$1001,0),MATCH(COLUMNS($AC$1006:AD1006),$AC$1006:$AS$1006,0)), HYPERLINK("#",""), HYPERLINK(CONCATENATE("#metadata!", ADDRESS(INDEX($X$2:$X$1001,MATCH(ROWS($V$2:V37),$V$2:$V$1001,0),0), INDEX($AC$1004:$AS$1004,1,MATCH(COLUMNS($AC$1006:AD1006),$AC$1006:$AS$1006,0)))),"Fix")))</f>
        <v xml:space="preserve"> </v>
      </c>
      <c r="D37" s="4" t="str">
        <f ca="1">IF(OR(INDEX($W$2:$W$1001,MATCH(ROWS($V$2:V37),$V$2:$V$1001,0),1)&gt;=100000,INDEX($AC$1005:$AS$1005,1,MATCH(COLUMNS($AC$1006:AE1006),$AC$1006:$AS$1006,0))&gt;=100000), " ",IF(INDEX($AC$2:$AS$1001,MATCH(ROWS($V$2:V37),$V$2:$V$1001,0),MATCH(COLUMNS($AC$1006:AE1006),$AC$1006:$AS$1006,0)), HYPERLINK("#",""), HYPERLINK(CONCATENATE("#metadata!", ADDRESS(INDEX($X$2:$X$1001,MATCH(ROWS($V$2:V37),$V$2:$V$1001,0),0), INDEX($AC$1004:$AS$1004,1,MATCH(COLUMNS($AC$1006:AE1006),$AC$1006:$AS$1006,0)))),"Fix")))</f>
        <v xml:space="preserve"> </v>
      </c>
      <c r="E37" s="4" t="str">
        <f ca="1">IF(OR(INDEX($W$2:$W$1001,MATCH(ROWS($V$2:V37),$V$2:$V$1001,0),1)&gt;=100000,INDEX($AC$1005:$AS$1005,1,MATCH(COLUMNS($AC$1006:AF1006),$AC$1006:$AS$1006,0))&gt;=100000), " ",IF(INDEX($AC$2:$AS$1001,MATCH(ROWS($V$2:V37),$V$2:$V$1001,0),MATCH(COLUMNS($AC$1006:AF1006),$AC$1006:$AS$1006,0)), HYPERLINK("#",""), HYPERLINK(CONCATENATE("#metadata!", ADDRESS(INDEX($X$2:$X$1001,MATCH(ROWS($V$2:V37),$V$2:$V$1001,0),0), INDEX($AC$1004:$AS$1004,1,MATCH(COLUMNS($AC$1006:AF1006),$AC$1006:$AS$1006,0)))),"Fix")))</f>
        <v xml:space="preserve"> </v>
      </c>
      <c r="F37" s="4" t="str">
        <f ca="1">IF(OR(INDEX($W$2:$W$1001,MATCH(ROWS($V$2:V37),$V$2:$V$1001,0),1)&gt;=100000,INDEX($AC$1005:$AS$1005,1,MATCH(COLUMNS($AC$1006:AG1006),$AC$1006:$AS$1006,0))&gt;=100000), " ",IF(INDEX($AC$2:$AS$1001,MATCH(ROWS($V$2:V37),$V$2:$V$1001,0),MATCH(COLUMNS($AC$1006:AG1006),$AC$1006:$AS$1006,0)), HYPERLINK("#",""), HYPERLINK(CONCATENATE("#metadata!", ADDRESS(INDEX($X$2:$X$1001,MATCH(ROWS($V$2:V37),$V$2:$V$1001,0),0), INDEX($AC$1004:$AS$1004,1,MATCH(COLUMNS($AC$1006:AG1006),$AC$1006:$AS$1006,0)))),"Fix")))</f>
        <v xml:space="preserve"> </v>
      </c>
      <c r="G37" s="4" t="str">
        <f ca="1">IF(OR(INDEX($W$2:$W$1001,MATCH(ROWS($V$2:V37),$V$2:$V$1001,0),1)&gt;=100000,INDEX($AC$1005:$AS$1005,1,MATCH(COLUMNS($AC$1006:AH1006),$AC$1006:$AS$1006,0))&gt;=100000), " ",IF(INDEX($AC$2:$AS$1001,MATCH(ROWS($V$2:V37),$V$2:$V$1001,0),MATCH(COLUMNS($AC$1006:AH1006),$AC$1006:$AS$1006,0)), HYPERLINK("#",""), HYPERLINK(CONCATENATE("#metadata!", ADDRESS(INDEX($X$2:$X$1001,MATCH(ROWS($V$2:V37),$V$2:$V$1001,0),0), INDEX($AC$1004:$AS$1004,1,MATCH(COLUMNS($AC$1006:AH1006),$AC$1006:$AS$1006,0)))),"Fix")))</f>
        <v xml:space="preserve"> </v>
      </c>
      <c r="H37" s="4" t="str">
        <f ca="1">IF(OR(INDEX($W$2:$W$1001,MATCH(ROWS($V$2:V37),$V$2:$V$1001,0),1)&gt;=100000,INDEX($AC$1005:$AS$1005,1,MATCH(COLUMNS($AC$1006:AI1006),$AC$1006:$AS$1006,0))&gt;=100000), " ",IF(INDEX($AC$2:$AS$1001,MATCH(ROWS($V$2:V37),$V$2:$V$1001,0),MATCH(COLUMNS($AC$1006:AI1006),$AC$1006:$AS$1006,0)), HYPERLINK("#",""), HYPERLINK(CONCATENATE("#metadata!", ADDRESS(INDEX($X$2:$X$1001,MATCH(ROWS($V$2:V37),$V$2:$V$1001,0),0), INDEX($AC$1004:$AS$1004,1,MATCH(COLUMNS($AC$1006:AI1006),$AC$1006:$AS$1006,0)))),"Fix")))</f>
        <v xml:space="preserve"> </v>
      </c>
      <c r="I37" s="4" t="str">
        <f ca="1">IF(OR(INDEX($W$2:$W$1001,MATCH(ROWS($V$2:V37),$V$2:$V$1001,0),1)&gt;=100000,INDEX($AC$1005:$AS$1005,1,MATCH(COLUMNS($AC$1006:AJ1006),$AC$1006:$AS$1006,0))&gt;=100000), " ",IF(INDEX($AC$2:$AS$1001,MATCH(ROWS($V$2:V37),$V$2:$V$1001,0),MATCH(COLUMNS($AC$1006:AJ1006),$AC$1006:$AS$1006,0)), HYPERLINK("#",""), HYPERLINK(CONCATENATE("#metadata!", ADDRESS(INDEX($X$2:$X$1001,MATCH(ROWS($V$2:V37),$V$2:$V$1001,0),0), INDEX($AC$1004:$AS$1004,1,MATCH(COLUMNS($AC$1006:AJ1006),$AC$1006:$AS$1006,0)))),"Fix")))</f>
        <v xml:space="preserve"> </v>
      </c>
      <c r="J37" s="4" t="str">
        <f ca="1">IF(OR(INDEX($W$2:$W$1001,MATCH(ROWS($V$2:V37),$V$2:$V$1001,0),1)&gt;=100000,INDEX($AC$1005:$AS$1005,1,MATCH(COLUMNS($AC$1006:AK1006),$AC$1006:$AS$1006,0))&gt;=100000), " ",IF(INDEX($AC$2:$AS$1001,MATCH(ROWS($V$2:V37),$V$2:$V$1001,0),MATCH(COLUMNS($AC$1006:AK1006),$AC$1006:$AS$1006,0)), HYPERLINK("#",""), HYPERLINK(CONCATENATE("#metadata!", ADDRESS(INDEX($X$2:$X$1001,MATCH(ROWS($V$2:V37),$V$2:$V$1001,0),0), INDEX($AC$1004:$AS$1004,1,MATCH(COLUMNS($AC$1006:AK1006),$AC$1006:$AS$1006,0)))),"Fix")))</f>
        <v xml:space="preserve"> </v>
      </c>
      <c r="K37" s="4" t="str">
        <f ca="1">IF(OR(INDEX($W$2:$W$1001,MATCH(ROWS($V$2:V37),$V$2:$V$1001,0),1)&gt;=100000,INDEX($AC$1005:$AS$1005,1,MATCH(COLUMNS($AC$1006:AL1006),$AC$1006:$AS$1006,0))&gt;=100000), " ",IF(INDEX($AC$2:$AS$1001,MATCH(ROWS($V$2:V37),$V$2:$V$1001,0),MATCH(COLUMNS($AC$1006:AL1006),$AC$1006:$AS$1006,0)), HYPERLINK("#",""), HYPERLINK(CONCATENATE("#metadata!", ADDRESS(INDEX($X$2:$X$1001,MATCH(ROWS($V$2:V37),$V$2:$V$1001,0),0), INDEX($AC$1004:$AS$1004,1,MATCH(COLUMNS($AC$1006:AL1006),$AC$1006:$AS$1006,0)))),"Fix")))</f>
        <v xml:space="preserve"> </v>
      </c>
      <c r="L37" s="4" t="str">
        <f ca="1">IF(OR(INDEX($W$2:$W$1001,MATCH(ROWS($V$2:V37),$V$2:$V$1001,0),1)&gt;=100000,INDEX($AC$1005:$AS$1005,1,MATCH(COLUMNS($AC$1006:AM1006),$AC$1006:$AS$1006,0))&gt;=100000), " ",IF(INDEX($AC$2:$AS$1001,MATCH(ROWS($V$2:V37),$V$2:$V$1001,0),MATCH(COLUMNS($AC$1006:AM1006),$AC$1006:$AS$1006,0)), HYPERLINK("#",""), HYPERLINK(CONCATENATE("#metadata!", ADDRESS(INDEX($X$2:$X$1001,MATCH(ROWS($V$2:V37),$V$2:$V$1001,0),0), INDEX($AC$1004:$AS$1004,1,MATCH(COLUMNS($AC$1006:AM1006),$AC$1006:$AS$1006,0)))),"Fix")))</f>
        <v xml:space="preserve"> </v>
      </c>
      <c r="M37" s="4" t="str">
        <f ca="1">IF(OR(INDEX($W$2:$W$1001,MATCH(ROWS($V$2:V37),$V$2:$V$1001,0),1)&gt;=100000,INDEX($AC$1005:$AS$1005,1,MATCH(COLUMNS($AC$1006:AN1006),$AC$1006:$AS$1006,0))&gt;=100000), " ",IF(INDEX($AC$2:$AS$1001,MATCH(ROWS($V$2:V37),$V$2:$V$1001,0),MATCH(COLUMNS($AC$1006:AN1006),$AC$1006:$AS$1006,0)), HYPERLINK("#",""), HYPERLINK(CONCATENATE("#metadata!", ADDRESS(INDEX($X$2:$X$1001,MATCH(ROWS($V$2:V37),$V$2:$V$1001,0),0), INDEX($AC$1004:$AS$1004,1,MATCH(COLUMNS($AC$1006:AN1006),$AC$1006:$AS$1006,0)))),"Fix")))</f>
        <v xml:space="preserve"> </v>
      </c>
      <c r="N37" s="4" t="str">
        <f ca="1">IF(OR(INDEX($W$2:$W$1001,MATCH(ROWS($V$2:V37),$V$2:$V$1001,0),1)&gt;=100000,INDEX($AC$1005:$AS$1005,1,MATCH(COLUMNS($AC$1006:AO1006),$AC$1006:$AS$1006,0))&gt;=100000), " ",IF(INDEX($AC$2:$AS$1001,MATCH(ROWS($V$2:V37),$V$2:$V$1001,0),MATCH(COLUMNS($AC$1006:AO1006),$AC$1006:$AS$1006,0)), HYPERLINK("#",""), HYPERLINK(CONCATENATE("#metadata!", ADDRESS(INDEX($X$2:$X$1001,MATCH(ROWS($V$2:V37),$V$2:$V$1001,0),0), INDEX($AC$1004:$AS$1004,1,MATCH(COLUMNS($AC$1006:AO1006),$AC$1006:$AS$1006,0)))),"Fix")))</f>
        <v xml:space="preserve"> </v>
      </c>
      <c r="O37" s="4" t="str">
        <f ca="1">IF(OR(INDEX($W$2:$W$1001,MATCH(ROWS($V$2:V37),$V$2:$V$1001,0),1)&gt;=100000,INDEX($AC$1005:$AS$1005,1,MATCH(COLUMNS($AC$1006:AP1006),$AC$1006:$AS$1006,0))&gt;=100000), " ",IF(INDEX($AC$2:$AS$1001,MATCH(ROWS($V$2:V37),$V$2:$V$1001,0),MATCH(COLUMNS($AC$1006:AP1006),$AC$1006:$AS$1006,0)), HYPERLINK("#",""), HYPERLINK(CONCATENATE("#metadata!", ADDRESS(INDEX($X$2:$X$1001,MATCH(ROWS($V$2:V37),$V$2:$V$1001,0),0), INDEX($AC$1004:$AS$1004,1,MATCH(COLUMNS($AC$1006:AP1006),$AC$1006:$AS$1006,0)))),"Fix")))</f>
        <v xml:space="preserve"> </v>
      </c>
      <c r="P37" s="4" t="str">
        <f ca="1">IF(OR(INDEX($W$2:$W$1001,MATCH(ROWS($V$2:V37),$V$2:$V$1001,0),1)&gt;=100000,INDEX($AC$1005:$AS$1005,1,MATCH(COLUMNS($AC$1006:AQ1006),$AC$1006:$AS$1006,0))&gt;=100000), " ",IF(INDEX($AC$2:$AS$1001,MATCH(ROWS($V$2:V37),$V$2:$V$1001,0),MATCH(COLUMNS($AC$1006:AQ1006),$AC$1006:$AS$1006,0)), HYPERLINK("#",""), HYPERLINK(CONCATENATE("#metadata!", ADDRESS(INDEX($X$2:$X$1001,MATCH(ROWS($V$2:V37),$V$2:$V$1001,0),0), INDEX($AC$1004:$AS$1004,1,MATCH(COLUMNS($AC$1006:AQ1006),$AC$1006:$AS$1006,0)))),"Fix")))</f>
        <v xml:space="preserve"> </v>
      </c>
      <c r="Q37" s="4" t="str">
        <f ca="1">IF(OR(INDEX($W$2:$W$1001,MATCH(ROWS($V$2:V37),$V$2:$V$1001,0),1)&gt;=100000,INDEX($AC$1005:$AS$1005,1,MATCH(COLUMNS($AC$1006:AR1006),$AC$1006:$AS$1006,0))&gt;=100000), " ",IF(INDEX($AC$2:$AS$1001,MATCH(ROWS($V$2:V37),$V$2:$V$1001,0),MATCH(COLUMNS($AC$1006:AR1006),$AC$1006:$AS$1006,0)), HYPERLINK("#",""), HYPERLINK(CONCATENATE("#metadata!", ADDRESS(INDEX($X$2:$X$1001,MATCH(ROWS($V$2:V37),$V$2:$V$1001,0),0), INDEX($AC$1004:$AS$1004,1,MATCH(COLUMNS($AC$1006:AR1006),$AC$1006:$AS$1006,0)))),"Fix")))</f>
        <v xml:space="preserve"> </v>
      </c>
      <c r="R37" s="4" t="str">
        <f ca="1">IF(OR(INDEX($W$2:$W$1001,MATCH(ROWS($V$2:V37),$V$2:$V$1001,0),1)&gt;=100000,INDEX($AC$1005:$AS$1005,1,MATCH(COLUMNS($AC$1006:AS1006),$AC$1006:$AS$1006,0))&gt;=100000), " ",IF(INDEX($AC$2:$AS$1001,MATCH(ROWS($V$2:V37),$V$2:$V$1001,0),MATCH(COLUMNS($AC$1006:AS1006),$AC$1006:$AS$1006,0)), HYPERLINK("#",""), HYPERLINK(CONCATENATE("#metadata!", ADDRESS(INDEX($X$2:$X$1001,MATCH(ROWS($V$2:V37),$V$2:$V$1001,0),0), INDEX($AC$1004:$AS$1004,1,MATCH(COLUMNS($AC$1006:AS1006),$AC$1006:$AS$1006,0)))),"Fix")))</f>
        <v xml:space="preserve"> </v>
      </c>
      <c r="V37">
        <v>36</v>
      </c>
      <c r="W37">
        <v>100037</v>
      </c>
      <c r="X37">
        <v>37</v>
      </c>
      <c r="Y37" t="b">
        <f t="shared" si="0"/>
        <v>1</v>
      </c>
      <c r="Z37" t="b">
        <f>COUNTBLANK(metadata!B37:R37)=COLUMNS(metadata!B37:R37)</f>
        <v>1</v>
      </c>
      <c r="AA37" t="str">
        <v/>
      </c>
      <c r="AC37" t="b">
        <f ca="1"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AD37" t="b">
        <f>IF(metadata!C37="",FALSE,ISNUMBER(VALUE(metadata!C37)))</f>
        <v>0</v>
      </c>
      <c r="AE37" t="b">
        <f>AND(IF(metadata!D37="",FALSE,TRUE),EXACT(metadata!D37,"years"))</f>
        <v>0</v>
      </c>
      <c r="AF37" t="b">
        <f>OR(AND(IF(metadata!E37="",FALSE,TRUE),OR(EXACT(metadata!E37,"not applicable"),EXACT(metadata!E37,"missing: not collected"),EXACT(metadata!E37,"missing: not provided"),EXACT(metadata!E37,"missing: restricted access"))),AND(IF(metadata!E37="",FALSE,ISNUMBER(VALUE(metadata!E37))),metadata!E37&gt;0))</f>
        <v>0</v>
      </c>
      <c r="AG37" t="b">
        <f>AND(IF(metadata!F37="",FALSE,TRUE),EXACT(metadata!F37,"Not applicable"))</f>
        <v>0</v>
      </c>
      <c r="AH37" t="b">
        <f>AND(IF(metadata!G37="",FALSE,TRUE),EXACT(metadata!G37,"urban biome"))</f>
        <v>0</v>
      </c>
      <c r="AI37" t="b">
        <f>AND(IF(metadata!H37="",FALSE,TRUE),EXACT(metadata!H37,"human-associated habitat"))</f>
        <v>0</v>
      </c>
      <c r="AJ37" t="b">
        <f>AND(IF(metadata!I37="",FALSE,TRUE),OR(EXACT(metadata!I37,"human-associated"),EXACT(metadata!I37,"human-skin"),EXACT(metadata!I37,"human-oral"),EXACT(metadata!I37,"human-gut"),EXACT(metadata!I37,"human-vaginal")))</f>
        <v>0</v>
      </c>
      <c r="AK37" t="b">
        <f>IF(metadata!J37="",FALSE,ISNUMBER(VALUE(metadata!J37)))</f>
        <v>0</v>
      </c>
      <c r="AL37" t="b">
        <f>AND(IF(metadata!K37="",FALSE,TRUE),EXACT(metadata!K37,"cm"))</f>
        <v>0</v>
      </c>
      <c r="AM37" t="b">
        <f>AND(IF(metadata!L37="",FALSE,TRUE),EXACT(metadata!L37,"human"))</f>
        <v>0</v>
      </c>
      <c r="AN37" t="b">
        <f>AND(IF(metadata!M37="",FALSE,TRUE),EXACT(metadata!M37,"Homo sapiens"))</f>
        <v>0</v>
      </c>
      <c r="AO37" t="b">
        <f>AND(IF(metadata!N37="",FALSE,TRUE),EXACT(metadata!N37,"9606"))</f>
        <v>0</v>
      </c>
      <c r="AP37" t="b">
        <f>IF(metadata!O37="",FALSE,TRUE)</f>
        <v>0</v>
      </c>
      <c r="AQ37" t="b">
        <f>IF(metadata!P37="",FALSE,TRUE)</f>
        <v>0</v>
      </c>
      <c r="AR37" t="b">
        <f>IF(metadata!Q37="",FALSE,ISNUMBER(VALUE(metadata!Q37)))</f>
        <v>0</v>
      </c>
      <c r="AS37" t="b">
        <f>AND(IF(metadata!R37="",FALSE,TRUE),EXACT(metadata!R37,"kg"))</f>
        <v>0</v>
      </c>
    </row>
    <row r="38" spans="1:45" x14ac:dyDescent="0.2">
      <c r="A38" s="5" t="str">
        <f ca="1">IF(B38=" "," ",HYPERLINK(CONCATENATE("#metadata!",ADDRESS(INDEX($X$2:$X$1001,MATCH(ROWS($V$2:V38),$V$2:$V$1001,0),0),1)),INDEX($AA$2:$AA$1001,MATCH(ROWS($V$2:V38),$V$2:$V$1001,0),0)))</f>
        <v xml:space="preserve"> </v>
      </c>
      <c r="B38" s="4" t="str">
        <f ca="1">IF(OR(INDEX($W$2:$W$1001,MATCH(ROWS($V$2:V38),$V$2:$V$1001,0),1)&gt;=100000,INDEX($AC$1005:$AS$1005,1,MATCH(COLUMNS($AC$1006:AC1006),$AC$1006:$AS$1006,0))&gt;=100000), " ",IF(INDEX($AC$2:$AS$1001,MATCH(ROWS($V$2:V38),$V$2:$V$1001,0),MATCH(COLUMNS($AC$1006:AC1006),$AC$1006:$AS$1006,0)), HYPERLINK("#",""), HYPERLINK(CONCATENATE("#metadata!", ADDRESS(INDEX($X$2:$X$1001,MATCH(ROWS($V$2:V38),$V$2:$V$1001,0),0), INDEX($AC$1004:$AS$1004,1,MATCH(COLUMNS($AC$1006:AC1006),$AC$1006:$AS$1006,0)))),"Fix")))</f>
        <v xml:space="preserve"> </v>
      </c>
      <c r="C38" s="4" t="str">
        <f ca="1">IF(OR(INDEX($W$2:$W$1001,MATCH(ROWS($V$2:V38),$V$2:$V$1001,0),1)&gt;=100000,INDEX($AC$1005:$AS$1005,1,MATCH(COLUMNS($AC$1006:AD1006),$AC$1006:$AS$1006,0))&gt;=100000), " ",IF(INDEX($AC$2:$AS$1001,MATCH(ROWS($V$2:V38),$V$2:$V$1001,0),MATCH(COLUMNS($AC$1006:AD1006),$AC$1006:$AS$1006,0)), HYPERLINK("#",""), HYPERLINK(CONCATENATE("#metadata!", ADDRESS(INDEX($X$2:$X$1001,MATCH(ROWS($V$2:V38),$V$2:$V$1001,0),0), INDEX($AC$1004:$AS$1004,1,MATCH(COLUMNS($AC$1006:AD1006),$AC$1006:$AS$1006,0)))),"Fix")))</f>
        <v xml:space="preserve"> </v>
      </c>
      <c r="D38" s="4" t="str">
        <f ca="1">IF(OR(INDEX($W$2:$W$1001,MATCH(ROWS($V$2:V38),$V$2:$V$1001,0),1)&gt;=100000,INDEX($AC$1005:$AS$1005,1,MATCH(COLUMNS($AC$1006:AE1006),$AC$1006:$AS$1006,0))&gt;=100000), " ",IF(INDEX($AC$2:$AS$1001,MATCH(ROWS($V$2:V38),$V$2:$V$1001,0),MATCH(COLUMNS($AC$1006:AE1006),$AC$1006:$AS$1006,0)), HYPERLINK("#",""), HYPERLINK(CONCATENATE("#metadata!", ADDRESS(INDEX($X$2:$X$1001,MATCH(ROWS($V$2:V38),$V$2:$V$1001,0),0), INDEX($AC$1004:$AS$1004,1,MATCH(COLUMNS($AC$1006:AE1006),$AC$1006:$AS$1006,0)))),"Fix")))</f>
        <v xml:space="preserve"> </v>
      </c>
      <c r="E38" s="4" t="str">
        <f ca="1">IF(OR(INDEX($W$2:$W$1001,MATCH(ROWS($V$2:V38),$V$2:$V$1001,0),1)&gt;=100000,INDEX($AC$1005:$AS$1005,1,MATCH(COLUMNS($AC$1006:AF1006),$AC$1006:$AS$1006,0))&gt;=100000), " ",IF(INDEX($AC$2:$AS$1001,MATCH(ROWS($V$2:V38),$V$2:$V$1001,0),MATCH(COLUMNS($AC$1006:AF1006),$AC$1006:$AS$1006,0)), HYPERLINK("#",""), HYPERLINK(CONCATENATE("#metadata!", ADDRESS(INDEX($X$2:$X$1001,MATCH(ROWS($V$2:V38),$V$2:$V$1001,0),0), INDEX($AC$1004:$AS$1004,1,MATCH(COLUMNS($AC$1006:AF1006),$AC$1006:$AS$1006,0)))),"Fix")))</f>
        <v xml:space="preserve"> </v>
      </c>
      <c r="F38" s="4" t="str">
        <f ca="1">IF(OR(INDEX($W$2:$W$1001,MATCH(ROWS($V$2:V38),$V$2:$V$1001,0),1)&gt;=100000,INDEX($AC$1005:$AS$1005,1,MATCH(COLUMNS($AC$1006:AG1006),$AC$1006:$AS$1006,0))&gt;=100000), " ",IF(INDEX($AC$2:$AS$1001,MATCH(ROWS($V$2:V38),$V$2:$V$1001,0),MATCH(COLUMNS($AC$1006:AG1006),$AC$1006:$AS$1006,0)), HYPERLINK("#",""), HYPERLINK(CONCATENATE("#metadata!", ADDRESS(INDEX($X$2:$X$1001,MATCH(ROWS($V$2:V38),$V$2:$V$1001,0),0), INDEX($AC$1004:$AS$1004,1,MATCH(COLUMNS($AC$1006:AG1006),$AC$1006:$AS$1006,0)))),"Fix")))</f>
        <v xml:space="preserve"> </v>
      </c>
      <c r="G38" s="4" t="str">
        <f ca="1">IF(OR(INDEX($W$2:$W$1001,MATCH(ROWS($V$2:V38),$V$2:$V$1001,0),1)&gt;=100000,INDEX($AC$1005:$AS$1005,1,MATCH(COLUMNS($AC$1006:AH1006),$AC$1006:$AS$1006,0))&gt;=100000), " ",IF(INDEX($AC$2:$AS$1001,MATCH(ROWS($V$2:V38),$V$2:$V$1001,0),MATCH(COLUMNS($AC$1006:AH1006),$AC$1006:$AS$1006,0)), HYPERLINK("#",""), HYPERLINK(CONCATENATE("#metadata!", ADDRESS(INDEX($X$2:$X$1001,MATCH(ROWS($V$2:V38),$V$2:$V$1001,0),0), INDEX($AC$1004:$AS$1004,1,MATCH(COLUMNS($AC$1006:AH1006),$AC$1006:$AS$1006,0)))),"Fix")))</f>
        <v xml:space="preserve"> </v>
      </c>
      <c r="H38" s="4" t="str">
        <f ca="1">IF(OR(INDEX($W$2:$W$1001,MATCH(ROWS($V$2:V38),$V$2:$V$1001,0),1)&gt;=100000,INDEX($AC$1005:$AS$1005,1,MATCH(COLUMNS($AC$1006:AI1006),$AC$1006:$AS$1006,0))&gt;=100000), " ",IF(INDEX($AC$2:$AS$1001,MATCH(ROWS($V$2:V38),$V$2:$V$1001,0),MATCH(COLUMNS($AC$1006:AI1006),$AC$1006:$AS$1006,0)), HYPERLINK("#",""), HYPERLINK(CONCATENATE("#metadata!", ADDRESS(INDEX($X$2:$X$1001,MATCH(ROWS($V$2:V38),$V$2:$V$1001,0),0), INDEX($AC$1004:$AS$1004,1,MATCH(COLUMNS($AC$1006:AI1006),$AC$1006:$AS$1006,0)))),"Fix")))</f>
        <v xml:space="preserve"> </v>
      </c>
      <c r="I38" s="4" t="str">
        <f ca="1">IF(OR(INDEX($W$2:$W$1001,MATCH(ROWS($V$2:V38),$V$2:$V$1001,0),1)&gt;=100000,INDEX($AC$1005:$AS$1005,1,MATCH(COLUMNS($AC$1006:AJ1006),$AC$1006:$AS$1006,0))&gt;=100000), " ",IF(INDEX($AC$2:$AS$1001,MATCH(ROWS($V$2:V38),$V$2:$V$1001,0),MATCH(COLUMNS($AC$1006:AJ1006),$AC$1006:$AS$1006,0)), HYPERLINK("#",""), HYPERLINK(CONCATENATE("#metadata!", ADDRESS(INDEX($X$2:$X$1001,MATCH(ROWS($V$2:V38),$V$2:$V$1001,0),0), INDEX($AC$1004:$AS$1004,1,MATCH(COLUMNS($AC$1006:AJ1006),$AC$1006:$AS$1006,0)))),"Fix")))</f>
        <v xml:space="preserve"> </v>
      </c>
      <c r="J38" s="4" t="str">
        <f ca="1">IF(OR(INDEX($W$2:$W$1001,MATCH(ROWS($V$2:V38),$V$2:$V$1001,0),1)&gt;=100000,INDEX($AC$1005:$AS$1005,1,MATCH(COLUMNS($AC$1006:AK1006),$AC$1006:$AS$1006,0))&gt;=100000), " ",IF(INDEX($AC$2:$AS$1001,MATCH(ROWS($V$2:V38),$V$2:$V$1001,0),MATCH(COLUMNS($AC$1006:AK1006),$AC$1006:$AS$1006,0)), HYPERLINK("#",""), HYPERLINK(CONCATENATE("#metadata!", ADDRESS(INDEX($X$2:$X$1001,MATCH(ROWS($V$2:V38),$V$2:$V$1001,0),0), INDEX($AC$1004:$AS$1004,1,MATCH(COLUMNS($AC$1006:AK1006),$AC$1006:$AS$1006,0)))),"Fix")))</f>
        <v xml:space="preserve"> </v>
      </c>
      <c r="K38" s="4" t="str">
        <f ca="1">IF(OR(INDEX($W$2:$W$1001,MATCH(ROWS($V$2:V38),$V$2:$V$1001,0),1)&gt;=100000,INDEX($AC$1005:$AS$1005,1,MATCH(COLUMNS($AC$1006:AL1006),$AC$1006:$AS$1006,0))&gt;=100000), " ",IF(INDEX($AC$2:$AS$1001,MATCH(ROWS($V$2:V38),$V$2:$V$1001,0),MATCH(COLUMNS($AC$1006:AL1006),$AC$1006:$AS$1006,0)), HYPERLINK("#",""), HYPERLINK(CONCATENATE("#metadata!", ADDRESS(INDEX($X$2:$X$1001,MATCH(ROWS($V$2:V38),$V$2:$V$1001,0),0), INDEX($AC$1004:$AS$1004,1,MATCH(COLUMNS($AC$1006:AL1006),$AC$1006:$AS$1006,0)))),"Fix")))</f>
        <v xml:space="preserve"> </v>
      </c>
      <c r="L38" s="4" t="str">
        <f ca="1">IF(OR(INDEX($W$2:$W$1001,MATCH(ROWS($V$2:V38),$V$2:$V$1001,0),1)&gt;=100000,INDEX($AC$1005:$AS$1005,1,MATCH(COLUMNS($AC$1006:AM1006),$AC$1006:$AS$1006,0))&gt;=100000), " ",IF(INDEX($AC$2:$AS$1001,MATCH(ROWS($V$2:V38),$V$2:$V$1001,0),MATCH(COLUMNS($AC$1006:AM1006),$AC$1006:$AS$1006,0)), HYPERLINK("#",""), HYPERLINK(CONCATENATE("#metadata!", ADDRESS(INDEX($X$2:$X$1001,MATCH(ROWS($V$2:V38),$V$2:$V$1001,0),0), INDEX($AC$1004:$AS$1004,1,MATCH(COLUMNS($AC$1006:AM1006),$AC$1006:$AS$1006,0)))),"Fix")))</f>
        <v xml:space="preserve"> </v>
      </c>
      <c r="M38" s="4" t="str">
        <f ca="1">IF(OR(INDEX($W$2:$W$1001,MATCH(ROWS($V$2:V38),$V$2:$V$1001,0),1)&gt;=100000,INDEX($AC$1005:$AS$1005,1,MATCH(COLUMNS($AC$1006:AN1006),$AC$1006:$AS$1006,0))&gt;=100000), " ",IF(INDEX($AC$2:$AS$1001,MATCH(ROWS($V$2:V38),$V$2:$V$1001,0),MATCH(COLUMNS($AC$1006:AN1006),$AC$1006:$AS$1006,0)), HYPERLINK("#",""), HYPERLINK(CONCATENATE("#metadata!", ADDRESS(INDEX($X$2:$X$1001,MATCH(ROWS($V$2:V38),$V$2:$V$1001,0),0), INDEX($AC$1004:$AS$1004,1,MATCH(COLUMNS($AC$1006:AN1006),$AC$1006:$AS$1006,0)))),"Fix")))</f>
        <v xml:space="preserve"> </v>
      </c>
      <c r="N38" s="4" t="str">
        <f ca="1">IF(OR(INDEX($W$2:$W$1001,MATCH(ROWS($V$2:V38),$V$2:$V$1001,0),1)&gt;=100000,INDEX($AC$1005:$AS$1005,1,MATCH(COLUMNS($AC$1006:AO1006),$AC$1006:$AS$1006,0))&gt;=100000), " ",IF(INDEX($AC$2:$AS$1001,MATCH(ROWS($V$2:V38),$V$2:$V$1001,0),MATCH(COLUMNS($AC$1006:AO1006),$AC$1006:$AS$1006,0)), HYPERLINK("#",""), HYPERLINK(CONCATENATE("#metadata!", ADDRESS(INDEX($X$2:$X$1001,MATCH(ROWS($V$2:V38),$V$2:$V$1001,0),0), INDEX($AC$1004:$AS$1004,1,MATCH(COLUMNS($AC$1006:AO1006),$AC$1006:$AS$1006,0)))),"Fix")))</f>
        <v xml:space="preserve"> </v>
      </c>
      <c r="O38" s="4" t="str">
        <f ca="1">IF(OR(INDEX($W$2:$W$1001,MATCH(ROWS($V$2:V38),$V$2:$V$1001,0),1)&gt;=100000,INDEX($AC$1005:$AS$1005,1,MATCH(COLUMNS($AC$1006:AP1006),$AC$1006:$AS$1006,0))&gt;=100000), " ",IF(INDEX($AC$2:$AS$1001,MATCH(ROWS($V$2:V38),$V$2:$V$1001,0),MATCH(COLUMNS($AC$1006:AP1006),$AC$1006:$AS$1006,0)), HYPERLINK("#",""), HYPERLINK(CONCATENATE("#metadata!", ADDRESS(INDEX($X$2:$X$1001,MATCH(ROWS($V$2:V38),$V$2:$V$1001,0),0), INDEX($AC$1004:$AS$1004,1,MATCH(COLUMNS($AC$1006:AP1006),$AC$1006:$AS$1006,0)))),"Fix")))</f>
        <v xml:space="preserve"> </v>
      </c>
      <c r="P38" s="4" t="str">
        <f ca="1">IF(OR(INDEX($W$2:$W$1001,MATCH(ROWS($V$2:V38),$V$2:$V$1001,0),1)&gt;=100000,INDEX($AC$1005:$AS$1005,1,MATCH(COLUMNS($AC$1006:AQ1006),$AC$1006:$AS$1006,0))&gt;=100000), " ",IF(INDEX($AC$2:$AS$1001,MATCH(ROWS($V$2:V38),$V$2:$V$1001,0),MATCH(COLUMNS($AC$1006:AQ1006),$AC$1006:$AS$1006,0)), HYPERLINK("#",""), HYPERLINK(CONCATENATE("#metadata!", ADDRESS(INDEX($X$2:$X$1001,MATCH(ROWS($V$2:V38),$V$2:$V$1001,0),0), INDEX($AC$1004:$AS$1004,1,MATCH(COLUMNS($AC$1006:AQ1006),$AC$1006:$AS$1006,0)))),"Fix")))</f>
        <v xml:space="preserve"> </v>
      </c>
      <c r="Q38" s="4" t="str">
        <f ca="1">IF(OR(INDEX($W$2:$W$1001,MATCH(ROWS($V$2:V38),$V$2:$V$1001,0),1)&gt;=100000,INDEX($AC$1005:$AS$1005,1,MATCH(COLUMNS($AC$1006:AR1006),$AC$1006:$AS$1006,0))&gt;=100000), " ",IF(INDEX($AC$2:$AS$1001,MATCH(ROWS($V$2:V38),$V$2:$V$1001,0),MATCH(COLUMNS($AC$1006:AR1006),$AC$1006:$AS$1006,0)), HYPERLINK("#",""), HYPERLINK(CONCATENATE("#metadata!", ADDRESS(INDEX($X$2:$X$1001,MATCH(ROWS($V$2:V38),$V$2:$V$1001,0),0), INDEX($AC$1004:$AS$1004,1,MATCH(COLUMNS($AC$1006:AR1006),$AC$1006:$AS$1006,0)))),"Fix")))</f>
        <v xml:space="preserve"> </v>
      </c>
      <c r="R38" s="4" t="str">
        <f ca="1">IF(OR(INDEX($W$2:$W$1001,MATCH(ROWS($V$2:V38),$V$2:$V$1001,0),1)&gt;=100000,INDEX($AC$1005:$AS$1005,1,MATCH(COLUMNS($AC$1006:AS1006),$AC$1006:$AS$1006,0))&gt;=100000), " ",IF(INDEX($AC$2:$AS$1001,MATCH(ROWS($V$2:V38),$V$2:$V$1001,0),MATCH(COLUMNS($AC$1006:AS1006),$AC$1006:$AS$1006,0)), HYPERLINK("#",""), HYPERLINK(CONCATENATE("#metadata!", ADDRESS(INDEX($X$2:$X$1001,MATCH(ROWS($V$2:V38),$V$2:$V$1001,0),0), INDEX($AC$1004:$AS$1004,1,MATCH(COLUMNS($AC$1006:AS1006),$AC$1006:$AS$1006,0)))),"Fix")))</f>
        <v xml:space="preserve"> </v>
      </c>
      <c r="V38">
        <v>37</v>
      </c>
      <c r="W38">
        <v>100038</v>
      </c>
      <c r="X38">
        <v>38</v>
      </c>
      <c r="Y38" t="b">
        <f t="shared" si="0"/>
        <v>1</v>
      </c>
      <c r="Z38" t="b">
        <f>COUNTBLANK(metadata!B38:R38)=COLUMNS(metadata!B38:R38)</f>
        <v>1</v>
      </c>
      <c r="AA38" t="str">
        <v/>
      </c>
      <c r="AC38" t="b">
        <f ca="1"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AD38" t="b">
        <f>IF(metadata!C38="",FALSE,ISNUMBER(VALUE(metadata!C38)))</f>
        <v>0</v>
      </c>
      <c r="AE38" t="b">
        <f>AND(IF(metadata!D38="",FALSE,TRUE),EXACT(metadata!D38,"years"))</f>
        <v>0</v>
      </c>
      <c r="AF38" t="b">
        <f>OR(AND(IF(metadata!E38="",FALSE,TRUE),OR(EXACT(metadata!E38,"not applicable"),EXACT(metadata!E38,"missing: not collected"),EXACT(metadata!E38,"missing: not provided"),EXACT(metadata!E38,"missing: restricted access"))),AND(IF(metadata!E38="",FALSE,ISNUMBER(VALUE(metadata!E38))),metadata!E38&gt;0))</f>
        <v>0</v>
      </c>
      <c r="AG38" t="b">
        <f>AND(IF(metadata!F38="",FALSE,TRUE),EXACT(metadata!F38,"Not applicable"))</f>
        <v>0</v>
      </c>
      <c r="AH38" t="b">
        <f>AND(IF(metadata!G38="",FALSE,TRUE),EXACT(metadata!G38,"urban biome"))</f>
        <v>0</v>
      </c>
      <c r="AI38" t="b">
        <f>AND(IF(metadata!H38="",FALSE,TRUE),EXACT(metadata!H38,"human-associated habitat"))</f>
        <v>0</v>
      </c>
      <c r="AJ38" t="b">
        <f>AND(IF(metadata!I38="",FALSE,TRUE),OR(EXACT(metadata!I38,"human-associated"),EXACT(metadata!I38,"human-skin"),EXACT(metadata!I38,"human-oral"),EXACT(metadata!I38,"human-gut"),EXACT(metadata!I38,"human-vaginal")))</f>
        <v>0</v>
      </c>
      <c r="AK38" t="b">
        <f>IF(metadata!J38="",FALSE,ISNUMBER(VALUE(metadata!J38)))</f>
        <v>0</v>
      </c>
      <c r="AL38" t="b">
        <f>AND(IF(metadata!K38="",FALSE,TRUE),EXACT(metadata!K38,"cm"))</f>
        <v>0</v>
      </c>
      <c r="AM38" t="b">
        <f>AND(IF(metadata!L38="",FALSE,TRUE),EXACT(metadata!L38,"human"))</f>
        <v>0</v>
      </c>
      <c r="AN38" t="b">
        <f>AND(IF(metadata!M38="",FALSE,TRUE),EXACT(metadata!M38,"Homo sapiens"))</f>
        <v>0</v>
      </c>
      <c r="AO38" t="b">
        <f>AND(IF(metadata!N38="",FALSE,TRUE),EXACT(metadata!N38,"9606"))</f>
        <v>0</v>
      </c>
      <c r="AP38" t="b">
        <f>IF(metadata!O38="",FALSE,TRUE)</f>
        <v>0</v>
      </c>
      <c r="AQ38" t="b">
        <f>IF(metadata!P38="",FALSE,TRUE)</f>
        <v>0</v>
      </c>
      <c r="AR38" t="b">
        <f>IF(metadata!Q38="",FALSE,ISNUMBER(VALUE(metadata!Q38)))</f>
        <v>0</v>
      </c>
      <c r="AS38" t="b">
        <f>AND(IF(metadata!R38="",FALSE,TRUE),EXACT(metadata!R38,"kg"))</f>
        <v>0</v>
      </c>
    </row>
    <row r="39" spans="1:45" x14ac:dyDescent="0.2">
      <c r="A39" s="5" t="str">
        <f ca="1">IF(B39=" "," ",HYPERLINK(CONCATENATE("#metadata!",ADDRESS(INDEX($X$2:$X$1001,MATCH(ROWS($V$2:V39),$V$2:$V$1001,0),0),1)),INDEX($AA$2:$AA$1001,MATCH(ROWS($V$2:V39),$V$2:$V$1001,0),0)))</f>
        <v xml:space="preserve"> </v>
      </c>
      <c r="B39" s="4" t="str">
        <f ca="1">IF(OR(INDEX($W$2:$W$1001,MATCH(ROWS($V$2:V39),$V$2:$V$1001,0),1)&gt;=100000,INDEX($AC$1005:$AS$1005,1,MATCH(COLUMNS($AC$1006:AC1006),$AC$1006:$AS$1006,0))&gt;=100000), " ",IF(INDEX($AC$2:$AS$1001,MATCH(ROWS($V$2:V39),$V$2:$V$1001,0),MATCH(COLUMNS($AC$1006:AC1006),$AC$1006:$AS$1006,0)), HYPERLINK("#",""), HYPERLINK(CONCATENATE("#metadata!", ADDRESS(INDEX($X$2:$X$1001,MATCH(ROWS($V$2:V39),$V$2:$V$1001,0),0), INDEX($AC$1004:$AS$1004,1,MATCH(COLUMNS($AC$1006:AC1006),$AC$1006:$AS$1006,0)))),"Fix")))</f>
        <v xml:space="preserve"> </v>
      </c>
      <c r="C39" s="4" t="str">
        <f ca="1">IF(OR(INDEX($W$2:$W$1001,MATCH(ROWS($V$2:V39),$V$2:$V$1001,0),1)&gt;=100000,INDEX($AC$1005:$AS$1005,1,MATCH(COLUMNS($AC$1006:AD1006),$AC$1006:$AS$1006,0))&gt;=100000), " ",IF(INDEX($AC$2:$AS$1001,MATCH(ROWS($V$2:V39),$V$2:$V$1001,0),MATCH(COLUMNS($AC$1006:AD1006),$AC$1006:$AS$1006,0)), HYPERLINK("#",""), HYPERLINK(CONCATENATE("#metadata!", ADDRESS(INDEX($X$2:$X$1001,MATCH(ROWS($V$2:V39),$V$2:$V$1001,0),0), INDEX($AC$1004:$AS$1004,1,MATCH(COLUMNS($AC$1006:AD1006),$AC$1006:$AS$1006,0)))),"Fix")))</f>
        <v xml:space="preserve"> </v>
      </c>
      <c r="D39" s="4" t="str">
        <f ca="1">IF(OR(INDEX($W$2:$W$1001,MATCH(ROWS($V$2:V39),$V$2:$V$1001,0),1)&gt;=100000,INDEX($AC$1005:$AS$1005,1,MATCH(COLUMNS($AC$1006:AE1006),$AC$1006:$AS$1006,0))&gt;=100000), " ",IF(INDEX($AC$2:$AS$1001,MATCH(ROWS($V$2:V39),$V$2:$V$1001,0),MATCH(COLUMNS($AC$1006:AE1006),$AC$1006:$AS$1006,0)), HYPERLINK("#",""), HYPERLINK(CONCATENATE("#metadata!", ADDRESS(INDEX($X$2:$X$1001,MATCH(ROWS($V$2:V39),$V$2:$V$1001,0),0), INDEX($AC$1004:$AS$1004,1,MATCH(COLUMNS($AC$1006:AE1006),$AC$1006:$AS$1006,0)))),"Fix")))</f>
        <v xml:space="preserve"> </v>
      </c>
      <c r="E39" s="4" t="str">
        <f ca="1">IF(OR(INDEX($W$2:$W$1001,MATCH(ROWS($V$2:V39),$V$2:$V$1001,0),1)&gt;=100000,INDEX($AC$1005:$AS$1005,1,MATCH(COLUMNS($AC$1006:AF1006),$AC$1006:$AS$1006,0))&gt;=100000), " ",IF(INDEX($AC$2:$AS$1001,MATCH(ROWS($V$2:V39),$V$2:$V$1001,0),MATCH(COLUMNS($AC$1006:AF1006),$AC$1006:$AS$1006,0)), HYPERLINK("#",""), HYPERLINK(CONCATENATE("#metadata!", ADDRESS(INDEX($X$2:$X$1001,MATCH(ROWS($V$2:V39),$V$2:$V$1001,0),0), INDEX($AC$1004:$AS$1004,1,MATCH(COLUMNS($AC$1006:AF1006),$AC$1006:$AS$1006,0)))),"Fix")))</f>
        <v xml:space="preserve"> </v>
      </c>
      <c r="F39" s="4" t="str">
        <f ca="1">IF(OR(INDEX($W$2:$W$1001,MATCH(ROWS($V$2:V39),$V$2:$V$1001,0),1)&gt;=100000,INDEX($AC$1005:$AS$1005,1,MATCH(COLUMNS($AC$1006:AG1006),$AC$1006:$AS$1006,0))&gt;=100000), " ",IF(INDEX($AC$2:$AS$1001,MATCH(ROWS($V$2:V39),$V$2:$V$1001,0),MATCH(COLUMNS($AC$1006:AG1006),$AC$1006:$AS$1006,0)), HYPERLINK("#",""), HYPERLINK(CONCATENATE("#metadata!", ADDRESS(INDEX($X$2:$X$1001,MATCH(ROWS($V$2:V39),$V$2:$V$1001,0),0), INDEX($AC$1004:$AS$1004,1,MATCH(COLUMNS($AC$1006:AG1006),$AC$1006:$AS$1006,0)))),"Fix")))</f>
        <v xml:space="preserve"> </v>
      </c>
      <c r="G39" s="4" t="str">
        <f ca="1">IF(OR(INDEX($W$2:$W$1001,MATCH(ROWS($V$2:V39),$V$2:$V$1001,0),1)&gt;=100000,INDEX($AC$1005:$AS$1005,1,MATCH(COLUMNS($AC$1006:AH1006),$AC$1006:$AS$1006,0))&gt;=100000), " ",IF(INDEX($AC$2:$AS$1001,MATCH(ROWS($V$2:V39),$V$2:$V$1001,0),MATCH(COLUMNS($AC$1006:AH1006),$AC$1006:$AS$1006,0)), HYPERLINK("#",""), HYPERLINK(CONCATENATE("#metadata!", ADDRESS(INDEX($X$2:$X$1001,MATCH(ROWS($V$2:V39),$V$2:$V$1001,0),0), INDEX($AC$1004:$AS$1004,1,MATCH(COLUMNS($AC$1006:AH1006),$AC$1006:$AS$1006,0)))),"Fix")))</f>
        <v xml:space="preserve"> </v>
      </c>
      <c r="H39" s="4" t="str">
        <f ca="1">IF(OR(INDEX($W$2:$W$1001,MATCH(ROWS($V$2:V39),$V$2:$V$1001,0),1)&gt;=100000,INDEX($AC$1005:$AS$1005,1,MATCH(COLUMNS($AC$1006:AI1006),$AC$1006:$AS$1006,0))&gt;=100000), " ",IF(INDEX($AC$2:$AS$1001,MATCH(ROWS($V$2:V39),$V$2:$V$1001,0),MATCH(COLUMNS($AC$1006:AI1006),$AC$1006:$AS$1006,0)), HYPERLINK("#",""), HYPERLINK(CONCATENATE("#metadata!", ADDRESS(INDEX($X$2:$X$1001,MATCH(ROWS($V$2:V39),$V$2:$V$1001,0),0), INDEX($AC$1004:$AS$1004,1,MATCH(COLUMNS($AC$1006:AI1006),$AC$1006:$AS$1006,0)))),"Fix")))</f>
        <v xml:space="preserve"> </v>
      </c>
      <c r="I39" s="4" t="str">
        <f ca="1">IF(OR(INDEX($W$2:$W$1001,MATCH(ROWS($V$2:V39),$V$2:$V$1001,0),1)&gt;=100000,INDEX($AC$1005:$AS$1005,1,MATCH(COLUMNS($AC$1006:AJ1006),$AC$1006:$AS$1006,0))&gt;=100000), " ",IF(INDEX($AC$2:$AS$1001,MATCH(ROWS($V$2:V39),$V$2:$V$1001,0),MATCH(COLUMNS($AC$1006:AJ1006),$AC$1006:$AS$1006,0)), HYPERLINK("#",""), HYPERLINK(CONCATENATE("#metadata!", ADDRESS(INDEX($X$2:$X$1001,MATCH(ROWS($V$2:V39),$V$2:$V$1001,0),0), INDEX($AC$1004:$AS$1004,1,MATCH(COLUMNS($AC$1006:AJ1006),$AC$1006:$AS$1006,0)))),"Fix")))</f>
        <v xml:space="preserve"> </v>
      </c>
      <c r="J39" s="4" t="str">
        <f ca="1">IF(OR(INDEX($W$2:$W$1001,MATCH(ROWS($V$2:V39),$V$2:$V$1001,0),1)&gt;=100000,INDEX($AC$1005:$AS$1005,1,MATCH(COLUMNS($AC$1006:AK1006),$AC$1006:$AS$1006,0))&gt;=100000), " ",IF(INDEX($AC$2:$AS$1001,MATCH(ROWS($V$2:V39),$V$2:$V$1001,0),MATCH(COLUMNS($AC$1006:AK1006),$AC$1006:$AS$1006,0)), HYPERLINK("#",""), HYPERLINK(CONCATENATE("#metadata!", ADDRESS(INDEX($X$2:$X$1001,MATCH(ROWS($V$2:V39),$V$2:$V$1001,0),0), INDEX($AC$1004:$AS$1004,1,MATCH(COLUMNS($AC$1006:AK1006),$AC$1006:$AS$1006,0)))),"Fix")))</f>
        <v xml:space="preserve"> </v>
      </c>
      <c r="K39" s="4" t="str">
        <f ca="1">IF(OR(INDEX($W$2:$W$1001,MATCH(ROWS($V$2:V39),$V$2:$V$1001,0),1)&gt;=100000,INDEX($AC$1005:$AS$1005,1,MATCH(COLUMNS($AC$1006:AL1006),$AC$1006:$AS$1006,0))&gt;=100000), " ",IF(INDEX($AC$2:$AS$1001,MATCH(ROWS($V$2:V39),$V$2:$V$1001,0),MATCH(COLUMNS($AC$1006:AL1006),$AC$1006:$AS$1006,0)), HYPERLINK("#",""), HYPERLINK(CONCATENATE("#metadata!", ADDRESS(INDEX($X$2:$X$1001,MATCH(ROWS($V$2:V39),$V$2:$V$1001,0),0), INDEX($AC$1004:$AS$1004,1,MATCH(COLUMNS($AC$1006:AL1006),$AC$1006:$AS$1006,0)))),"Fix")))</f>
        <v xml:space="preserve"> </v>
      </c>
      <c r="L39" s="4" t="str">
        <f ca="1">IF(OR(INDEX($W$2:$W$1001,MATCH(ROWS($V$2:V39),$V$2:$V$1001,0),1)&gt;=100000,INDEX($AC$1005:$AS$1005,1,MATCH(COLUMNS($AC$1006:AM1006),$AC$1006:$AS$1006,0))&gt;=100000), " ",IF(INDEX($AC$2:$AS$1001,MATCH(ROWS($V$2:V39),$V$2:$V$1001,0),MATCH(COLUMNS($AC$1006:AM1006),$AC$1006:$AS$1006,0)), HYPERLINK("#",""), HYPERLINK(CONCATENATE("#metadata!", ADDRESS(INDEX($X$2:$X$1001,MATCH(ROWS($V$2:V39),$V$2:$V$1001,0),0), INDEX($AC$1004:$AS$1004,1,MATCH(COLUMNS($AC$1006:AM1006),$AC$1006:$AS$1006,0)))),"Fix")))</f>
        <v xml:space="preserve"> </v>
      </c>
      <c r="M39" s="4" t="str">
        <f ca="1">IF(OR(INDEX($W$2:$W$1001,MATCH(ROWS($V$2:V39),$V$2:$V$1001,0),1)&gt;=100000,INDEX($AC$1005:$AS$1005,1,MATCH(COLUMNS($AC$1006:AN1006),$AC$1006:$AS$1006,0))&gt;=100000), " ",IF(INDEX($AC$2:$AS$1001,MATCH(ROWS($V$2:V39),$V$2:$V$1001,0),MATCH(COLUMNS($AC$1006:AN1006),$AC$1006:$AS$1006,0)), HYPERLINK("#",""), HYPERLINK(CONCATENATE("#metadata!", ADDRESS(INDEX($X$2:$X$1001,MATCH(ROWS($V$2:V39),$V$2:$V$1001,0),0), INDEX($AC$1004:$AS$1004,1,MATCH(COLUMNS($AC$1006:AN1006),$AC$1006:$AS$1006,0)))),"Fix")))</f>
        <v xml:space="preserve"> </v>
      </c>
      <c r="N39" s="4" t="str">
        <f ca="1">IF(OR(INDEX($W$2:$W$1001,MATCH(ROWS($V$2:V39),$V$2:$V$1001,0),1)&gt;=100000,INDEX($AC$1005:$AS$1005,1,MATCH(COLUMNS($AC$1006:AO1006),$AC$1006:$AS$1006,0))&gt;=100000), " ",IF(INDEX($AC$2:$AS$1001,MATCH(ROWS($V$2:V39),$V$2:$V$1001,0),MATCH(COLUMNS($AC$1006:AO1006),$AC$1006:$AS$1006,0)), HYPERLINK("#",""), HYPERLINK(CONCATENATE("#metadata!", ADDRESS(INDEX($X$2:$X$1001,MATCH(ROWS($V$2:V39),$V$2:$V$1001,0),0), INDEX($AC$1004:$AS$1004,1,MATCH(COLUMNS($AC$1006:AO1006),$AC$1006:$AS$1006,0)))),"Fix")))</f>
        <v xml:space="preserve"> </v>
      </c>
      <c r="O39" s="4" t="str">
        <f ca="1">IF(OR(INDEX($W$2:$W$1001,MATCH(ROWS($V$2:V39),$V$2:$V$1001,0),1)&gt;=100000,INDEX($AC$1005:$AS$1005,1,MATCH(COLUMNS($AC$1006:AP1006),$AC$1006:$AS$1006,0))&gt;=100000), " ",IF(INDEX($AC$2:$AS$1001,MATCH(ROWS($V$2:V39),$V$2:$V$1001,0),MATCH(COLUMNS($AC$1006:AP1006),$AC$1006:$AS$1006,0)), HYPERLINK("#",""), HYPERLINK(CONCATENATE("#metadata!", ADDRESS(INDEX($X$2:$X$1001,MATCH(ROWS($V$2:V39),$V$2:$V$1001,0),0), INDEX($AC$1004:$AS$1004,1,MATCH(COLUMNS($AC$1006:AP1006),$AC$1006:$AS$1006,0)))),"Fix")))</f>
        <v xml:space="preserve"> </v>
      </c>
      <c r="P39" s="4" t="str">
        <f ca="1">IF(OR(INDEX($W$2:$W$1001,MATCH(ROWS($V$2:V39),$V$2:$V$1001,0),1)&gt;=100000,INDEX($AC$1005:$AS$1005,1,MATCH(COLUMNS($AC$1006:AQ1006),$AC$1006:$AS$1006,0))&gt;=100000), " ",IF(INDEX($AC$2:$AS$1001,MATCH(ROWS($V$2:V39),$V$2:$V$1001,0),MATCH(COLUMNS($AC$1006:AQ1006),$AC$1006:$AS$1006,0)), HYPERLINK("#",""), HYPERLINK(CONCATENATE("#metadata!", ADDRESS(INDEX($X$2:$X$1001,MATCH(ROWS($V$2:V39),$V$2:$V$1001,0),0), INDEX($AC$1004:$AS$1004,1,MATCH(COLUMNS($AC$1006:AQ1006),$AC$1006:$AS$1006,0)))),"Fix")))</f>
        <v xml:space="preserve"> </v>
      </c>
      <c r="Q39" s="4" t="str">
        <f ca="1">IF(OR(INDEX($W$2:$W$1001,MATCH(ROWS($V$2:V39),$V$2:$V$1001,0),1)&gt;=100000,INDEX($AC$1005:$AS$1005,1,MATCH(COLUMNS($AC$1006:AR1006),$AC$1006:$AS$1006,0))&gt;=100000), " ",IF(INDEX($AC$2:$AS$1001,MATCH(ROWS($V$2:V39),$V$2:$V$1001,0),MATCH(COLUMNS($AC$1006:AR1006),$AC$1006:$AS$1006,0)), HYPERLINK("#",""), HYPERLINK(CONCATENATE("#metadata!", ADDRESS(INDEX($X$2:$X$1001,MATCH(ROWS($V$2:V39),$V$2:$V$1001,0),0), INDEX($AC$1004:$AS$1004,1,MATCH(COLUMNS($AC$1006:AR1006),$AC$1006:$AS$1006,0)))),"Fix")))</f>
        <v xml:space="preserve"> </v>
      </c>
      <c r="R39" s="4" t="str">
        <f ca="1">IF(OR(INDEX($W$2:$W$1001,MATCH(ROWS($V$2:V39),$V$2:$V$1001,0),1)&gt;=100000,INDEX($AC$1005:$AS$1005,1,MATCH(COLUMNS($AC$1006:AS1006),$AC$1006:$AS$1006,0))&gt;=100000), " ",IF(INDEX($AC$2:$AS$1001,MATCH(ROWS($V$2:V39),$V$2:$V$1001,0),MATCH(COLUMNS($AC$1006:AS1006),$AC$1006:$AS$1006,0)), HYPERLINK("#",""), HYPERLINK(CONCATENATE("#metadata!", ADDRESS(INDEX($X$2:$X$1001,MATCH(ROWS($V$2:V39),$V$2:$V$1001,0),0), INDEX($AC$1004:$AS$1004,1,MATCH(COLUMNS($AC$1006:AS1006),$AC$1006:$AS$1006,0)))),"Fix")))</f>
        <v xml:space="preserve"> </v>
      </c>
      <c r="V39">
        <v>38</v>
      </c>
      <c r="W39">
        <v>100039</v>
      </c>
      <c r="X39">
        <v>39</v>
      </c>
      <c r="Y39" t="b">
        <f t="shared" si="0"/>
        <v>1</v>
      </c>
      <c r="Z39" t="b">
        <f>COUNTBLANK(metadata!B39:R39)=COLUMNS(metadata!B39:R39)</f>
        <v>1</v>
      </c>
      <c r="AA39" t="str">
        <v/>
      </c>
      <c r="AC39" t="b">
        <f ca="1"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AD39" t="b">
        <f>IF(metadata!C39="",FALSE,ISNUMBER(VALUE(metadata!C39)))</f>
        <v>0</v>
      </c>
      <c r="AE39" t="b">
        <f>AND(IF(metadata!D39="",FALSE,TRUE),EXACT(metadata!D39,"years"))</f>
        <v>0</v>
      </c>
      <c r="AF39" t="b">
        <f>OR(AND(IF(metadata!E39="",FALSE,TRUE),OR(EXACT(metadata!E39,"not applicable"),EXACT(metadata!E39,"missing: not collected"),EXACT(metadata!E39,"missing: not provided"),EXACT(metadata!E39,"missing: restricted access"))),AND(IF(metadata!E39="",FALSE,ISNUMBER(VALUE(metadata!E39))),metadata!E39&gt;0))</f>
        <v>0</v>
      </c>
      <c r="AG39" t="b">
        <f>AND(IF(metadata!F39="",FALSE,TRUE),EXACT(metadata!F39,"Not applicable"))</f>
        <v>0</v>
      </c>
      <c r="AH39" t="b">
        <f>AND(IF(metadata!G39="",FALSE,TRUE),EXACT(metadata!G39,"urban biome"))</f>
        <v>0</v>
      </c>
      <c r="AI39" t="b">
        <f>AND(IF(metadata!H39="",FALSE,TRUE),EXACT(metadata!H39,"human-associated habitat"))</f>
        <v>0</v>
      </c>
      <c r="AJ39" t="b">
        <f>AND(IF(metadata!I39="",FALSE,TRUE),OR(EXACT(metadata!I39,"human-associated"),EXACT(metadata!I39,"human-skin"),EXACT(metadata!I39,"human-oral"),EXACT(metadata!I39,"human-gut"),EXACT(metadata!I39,"human-vaginal")))</f>
        <v>0</v>
      </c>
      <c r="AK39" t="b">
        <f>IF(metadata!J39="",FALSE,ISNUMBER(VALUE(metadata!J39)))</f>
        <v>0</v>
      </c>
      <c r="AL39" t="b">
        <f>AND(IF(metadata!K39="",FALSE,TRUE),EXACT(metadata!K39,"cm"))</f>
        <v>0</v>
      </c>
      <c r="AM39" t="b">
        <f>AND(IF(metadata!L39="",FALSE,TRUE),EXACT(metadata!L39,"human"))</f>
        <v>0</v>
      </c>
      <c r="AN39" t="b">
        <f>AND(IF(metadata!M39="",FALSE,TRUE),EXACT(metadata!M39,"Homo sapiens"))</f>
        <v>0</v>
      </c>
      <c r="AO39" t="b">
        <f>AND(IF(metadata!N39="",FALSE,TRUE),EXACT(metadata!N39,"9606"))</f>
        <v>0</v>
      </c>
      <c r="AP39" t="b">
        <f>IF(metadata!O39="",FALSE,TRUE)</f>
        <v>0</v>
      </c>
      <c r="AQ39" t="b">
        <f>IF(metadata!P39="",FALSE,TRUE)</f>
        <v>0</v>
      </c>
      <c r="AR39" t="b">
        <f>IF(metadata!Q39="",FALSE,ISNUMBER(VALUE(metadata!Q39)))</f>
        <v>0</v>
      </c>
      <c r="AS39" t="b">
        <f>AND(IF(metadata!R39="",FALSE,TRUE),EXACT(metadata!R39,"kg"))</f>
        <v>0</v>
      </c>
    </row>
    <row r="40" spans="1:45" x14ac:dyDescent="0.2">
      <c r="A40" s="5" t="str">
        <f ca="1">IF(B40=" "," ",HYPERLINK(CONCATENATE("#metadata!",ADDRESS(INDEX($X$2:$X$1001,MATCH(ROWS($V$2:V40),$V$2:$V$1001,0),0),1)),INDEX($AA$2:$AA$1001,MATCH(ROWS($V$2:V40),$V$2:$V$1001,0),0)))</f>
        <v xml:space="preserve"> </v>
      </c>
      <c r="B40" s="4" t="str">
        <f ca="1">IF(OR(INDEX($W$2:$W$1001,MATCH(ROWS($V$2:V40),$V$2:$V$1001,0),1)&gt;=100000,INDEX($AC$1005:$AS$1005,1,MATCH(COLUMNS($AC$1006:AC1006),$AC$1006:$AS$1006,0))&gt;=100000), " ",IF(INDEX($AC$2:$AS$1001,MATCH(ROWS($V$2:V40),$V$2:$V$1001,0),MATCH(COLUMNS($AC$1006:AC1006),$AC$1006:$AS$1006,0)), HYPERLINK("#",""), HYPERLINK(CONCATENATE("#metadata!", ADDRESS(INDEX($X$2:$X$1001,MATCH(ROWS($V$2:V40),$V$2:$V$1001,0),0), INDEX($AC$1004:$AS$1004,1,MATCH(COLUMNS($AC$1006:AC1006),$AC$1006:$AS$1006,0)))),"Fix")))</f>
        <v xml:space="preserve"> </v>
      </c>
      <c r="C40" s="4" t="str">
        <f ca="1">IF(OR(INDEX($W$2:$W$1001,MATCH(ROWS($V$2:V40),$V$2:$V$1001,0),1)&gt;=100000,INDEX($AC$1005:$AS$1005,1,MATCH(COLUMNS($AC$1006:AD1006),$AC$1006:$AS$1006,0))&gt;=100000), " ",IF(INDEX($AC$2:$AS$1001,MATCH(ROWS($V$2:V40),$V$2:$V$1001,0),MATCH(COLUMNS($AC$1006:AD1006),$AC$1006:$AS$1006,0)), HYPERLINK("#",""), HYPERLINK(CONCATENATE("#metadata!", ADDRESS(INDEX($X$2:$X$1001,MATCH(ROWS($V$2:V40),$V$2:$V$1001,0),0), INDEX($AC$1004:$AS$1004,1,MATCH(COLUMNS($AC$1006:AD1006),$AC$1006:$AS$1006,0)))),"Fix")))</f>
        <v xml:space="preserve"> </v>
      </c>
      <c r="D40" s="4" t="str">
        <f ca="1">IF(OR(INDEX($W$2:$W$1001,MATCH(ROWS($V$2:V40),$V$2:$V$1001,0),1)&gt;=100000,INDEX($AC$1005:$AS$1005,1,MATCH(COLUMNS($AC$1006:AE1006),$AC$1006:$AS$1006,0))&gt;=100000), " ",IF(INDEX($AC$2:$AS$1001,MATCH(ROWS($V$2:V40),$V$2:$V$1001,0),MATCH(COLUMNS($AC$1006:AE1006),$AC$1006:$AS$1006,0)), HYPERLINK("#",""), HYPERLINK(CONCATENATE("#metadata!", ADDRESS(INDEX($X$2:$X$1001,MATCH(ROWS($V$2:V40),$V$2:$V$1001,0),0), INDEX($AC$1004:$AS$1004,1,MATCH(COLUMNS($AC$1006:AE1006),$AC$1006:$AS$1006,0)))),"Fix")))</f>
        <v xml:space="preserve"> </v>
      </c>
      <c r="E40" s="4" t="str">
        <f ca="1">IF(OR(INDEX($W$2:$W$1001,MATCH(ROWS($V$2:V40),$V$2:$V$1001,0),1)&gt;=100000,INDEX($AC$1005:$AS$1005,1,MATCH(COLUMNS($AC$1006:AF1006),$AC$1006:$AS$1006,0))&gt;=100000), " ",IF(INDEX($AC$2:$AS$1001,MATCH(ROWS($V$2:V40),$V$2:$V$1001,0),MATCH(COLUMNS($AC$1006:AF1006),$AC$1006:$AS$1006,0)), HYPERLINK("#",""), HYPERLINK(CONCATENATE("#metadata!", ADDRESS(INDEX($X$2:$X$1001,MATCH(ROWS($V$2:V40),$V$2:$V$1001,0),0), INDEX($AC$1004:$AS$1004,1,MATCH(COLUMNS($AC$1006:AF1006),$AC$1006:$AS$1006,0)))),"Fix")))</f>
        <v xml:space="preserve"> </v>
      </c>
      <c r="F40" s="4" t="str">
        <f ca="1">IF(OR(INDEX($W$2:$W$1001,MATCH(ROWS($V$2:V40),$V$2:$V$1001,0),1)&gt;=100000,INDEX($AC$1005:$AS$1005,1,MATCH(COLUMNS($AC$1006:AG1006),$AC$1006:$AS$1006,0))&gt;=100000), " ",IF(INDEX($AC$2:$AS$1001,MATCH(ROWS($V$2:V40),$V$2:$V$1001,0),MATCH(COLUMNS($AC$1006:AG1006),$AC$1006:$AS$1006,0)), HYPERLINK("#",""), HYPERLINK(CONCATENATE("#metadata!", ADDRESS(INDEX($X$2:$X$1001,MATCH(ROWS($V$2:V40),$V$2:$V$1001,0),0), INDEX($AC$1004:$AS$1004,1,MATCH(COLUMNS($AC$1006:AG1006),$AC$1006:$AS$1006,0)))),"Fix")))</f>
        <v xml:space="preserve"> </v>
      </c>
      <c r="G40" s="4" t="str">
        <f ca="1">IF(OR(INDEX($W$2:$W$1001,MATCH(ROWS($V$2:V40),$V$2:$V$1001,0),1)&gt;=100000,INDEX($AC$1005:$AS$1005,1,MATCH(COLUMNS($AC$1006:AH1006),$AC$1006:$AS$1006,0))&gt;=100000), " ",IF(INDEX($AC$2:$AS$1001,MATCH(ROWS($V$2:V40),$V$2:$V$1001,0),MATCH(COLUMNS($AC$1006:AH1006),$AC$1006:$AS$1006,0)), HYPERLINK("#",""), HYPERLINK(CONCATENATE("#metadata!", ADDRESS(INDEX($X$2:$X$1001,MATCH(ROWS($V$2:V40),$V$2:$V$1001,0),0), INDEX($AC$1004:$AS$1004,1,MATCH(COLUMNS($AC$1006:AH1006),$AC$1006:$AS$1006,0)))),"Fix")))</f>
        <v xml:space="preserve"> </v>
      </c>
      <c r="H40" s="4" t="str">
        <f ca="1">IF(OR(INDEX($W$2:$W$1001,MATCH(ROWS($V$2:V40),$V$2:$V$1001,0),1)&gt;=100000,INDEX($AC$1005:$AS$1005,1,MATCH(COLUMNS($AC$1006:AI1006),$AC$1006:$AS$1006,0))&gt;=100000), " ",IF(INDEX($AC$2:$AS$1001,MATCH(ROWS($V$2:V40),$V$2:$V$1001,0),MATCH(COLUMNS($AC$1006:AI1006),$AC$1006:$AS$1006,0)), HYPERLINK("#",""), HYPERLINK(CONCATENATE("#metadata!", ADDRESS(INDEX($X$2:$X$1001,MATCH(ROWS($V$2:V40),$V$2:$V$1001,0),0), INDEX($AC$1004:$AS$1004,1,MATCH(COLUMNS($AC$1006:AI1006),$AC$1006:$AS$1006,0)))),"Fix")))</f>
        <v xml:space="preserve"> </v>
      </c>
      <c r="I40" s="4" t="str">
        <f ca="1">IF(OR(INDEX($W$2:$W$1001,MATCH(ROWS($V$2:V40),$V$2:$V$1001,0),1)&gt;=100000,INDEX($AC$1005:$AS$1005,1,MATCH(COLUMNS($AC$1006:AJ1006),$AC$1006:$AS$1006,0))&gt;=100000), " ",IF(INDEX($AC$2:$AS$1001,MATCH(ROWS($V$2:V40),$V$2:$V$1001,0),MATCH(COLUMNS($AC$1006:AJ1006),$AC$1006:$AS$1006,0)), HYPERLINK("#",""), HYPERLINK(CONCATENATE("#metadata!", ADDRESS(INDEX($X$2:$X$1001,MATCH(ROWS($V$2:V40),$V$2:$V$1001,0),0), INDEX($AC$1004:$AS$1004,1,MATCH(COLUMNS($AC$1006:AJ1006),$AC$1006:$AS$1006,0)))),"Fix")))</f>
        <v xml:space="preserve"> </v>
      </c>
      <c r="J40" s="4" t="str">
        <f ca="1">IF(OR(INDEX($W$2:$W$1001,MATCH(ROWS($V$2:V40),$V$2:$V$1001,0),1)&gt;=100000,INDEX($AC$1005:$AS$1005,1,MATCH(COLUMNS($AC$1006:AK1006),$AC$1006:$AS$1006,0))&gt;=100000), " ",IF(INDEX($AC$2:$AS$1001,MATCH(ROWS($V$2:V40),$V$2:$V$1001,0),MATCH(COLUMNS($AC$1006:AK1006),$AC$1006:$AS$1006,0)), HYPERLINK("#",""), HYPERLINK(CONCATENATE("#metadata!", ADDRESS(INDEX($X$2:$X$1001,MATCH(ROWS($V$2:V40),$V$2:$V$1001,0),0), INDEX($AC$1004:$AS$1004,1,MATCH(COLUMNS($AC$1006:AK1006),$AC$1006:$AS$1006,0)))),"Fix")))</f>
        <v xml:space="preserve"> </v>
      </c>
      <c r="K40" s="4" t="str">
        <f ca="1">IF(OR(INDEX($W$2:$W$1001,MATCH(ROWS($V$2:V40),$V$2:$V$1001,0),1)&gt;=100000,INDEX($AC$1005:$AS$1005,1,MATCH(COLUMNS($AC$1006:AL1006),$AC$1006:$AS$1006,0))&gt;=100000), " ",IF(INDEX($AC$2:$AS$1001,MATCH(ROWS($V$2:V40),$V$2:$V$1001,0),MATCH(COLUMNS($AC$1006:AL1006),$AC$1006:$AS$1006,0)), HYPERLINK("#",""), HYPERLINK(CONCATENATE("#metadata!", ADDRESS(INDEX($X$2:$X$1001,MATCH(ROWS($V$2:V40),$V$2:$V$1001,0),0), INDEX($AC$1004:$AS$1004,1,MATCH(COLUMNS($AC$1006:AL1006),$AC$1006:$AS$1006,0)))),"Fix")))</f>
        <v xml:space="preserve"> </v>
      </c>
      <c r="L40" s="4" t="str">
        <f ca="1">IF(OR(INDEX($W$2:$W$1001,MATCH(ROWS($V$2:V40),$V$2:$V$1001,0),1)&gt;=100000,INDEX($AC$1005:$AS$1005,1,MATCH(COLUMNS($AC$1006:AM1006),$AC$1006:$AS$1006,0))&gt;=100000), " ",IF(INDEX($AC$2:$AS$1001,MATCH(ROWS($V$2:V40),$V$2:$V$1001,0),MATCH(COLUMNS($AC$1006:AM1006),$AC$1006:$AS$1006,0)), HYPERLINK("#",""), HYPERLINK(CONCATENATE("#metadata!", ADDRESS(INDEX($X$2:$X$1001,MATCH(ROWS($V$2:V40),$V$2:$V$1001,0),0), INDEX($AC$1004:$AS$1004,1,MATCH(COLUMNS($AC$1006:AM1006),$AC$1006:$AS$1006,0)))),"Fix")))</f>
        <v xml:space="preserve"> </v>
      </c>
      <c r="M40" s="4" t="str">
        <f ca="1">IF(OR(INDEX($W$2:$W$1001,MATCH(ROWS($V$2:V40),$V$2:$V$1001,0),1)&gt;=100000,INDEX($AC$1005:$AS$1005,1,MATCH(COLUMNS($AC$1006:AN1006),$AC$1006:$AS$1006,0))&gt;=100000), " ",IF(INDEX($AC$2:$AS$1001,MATCH(ROWS($V$2:V40),$V$2:$V$1001,0),MATCH(COLUMNS($AC$1006:AN1006),$AC$1006:$AS$1006,0)), HYPERLINK("#",""), HYPERLINK(CONCATENATE("#metadata!", ADDRESS(INDEX($X$2:$X$1001,MATCH(ROWS($V$2:V40),$V$2:$V$1001,0),0), INDEX($AC$1004:$AS$1004,1,MATCH(COLUMNS($AC$1006:AN1006),$AC$1006:$AS$1006,0)))),"Fix")))</f>
        <v xml:space="preserve"> </v>
      </c>
      <c r="N40" s="4" t="str">
        <f ca="1">IF(OR(INDEX($W$2:$W$1001,MATCH(ROWS($V$2:V40),$V$2:$V$1001,0),1)&gt;=100000,INDEX($AC$1005:$AS$1005,1,MATCH(COLUMNS($AC$1006:AO1006),$AC$1006:$AS$1006,0))&gt;=100000), " ",IF(INDEX($AC$2:$AS$1001,MATCH(ROWS($V$2:V40),$V$2:$V$1001,0),MATCH(COLUMNS($AC$1006:AO1006),$AC$1006:$AS$1006,0)), HYPERLINK("#",""), HYPERLINK(CONCATENATE("#metadata!", ADDRESS(INDEX($X$2:$X$1001,MATCH(ROWS($V$2:V40),$V$2:$V$1001,0),0), INDEX($AC$1004:$AS$1004,1,MATCH(COLUMNS($AC$1006:AO1006),$AC$1006:$AS$1006,0)))),"Fix")))</f>
        <v xml:space="preserve"> </v>
      </c>
      <c r="O40" s="4" t="str">
        <f ca="1">IF(OR(INDEX($W$2:$W$1001,MATCH(ROWS($V$2:V40),$V$2:$V$1001,0),1)&gt;=100000,INDEX($AC$1005:$AS$1005,1,MATCH(COLUMNS($AC$1006:AP1006),$AC$1006:$AS$1006,0))&gt;=100000), " ",IF(INDEX($AC$2:$AS$1001,MATCH(ROWS($V$2:V40),$V$2:$V$1001,0),MATCH(COLUMNS($AC$1006:AP1006),$AC$1006:$AS$1006,0)), HYPERLINK("#",""), HYPERLINK(CONCATENATE("#metadata!", ADDRESS(INDEX($X$2:$X$1001,MATCH(ROWS($V$2:V40),$V$2:$V$1001,0),0), INDEX($AC$1004:$AS$1004,1,MATCH(COLUMNS($AC$1006:AP1006),$AC$1006:$AS$1006,0)))),"Fix")))</f>
        <v xml:space="preserve"> </v>
      </c>
      <c r="P40" s="4" t="str">
        <f ca="1">IF(OR(INDEX($W$2:$W$1001,MATCH(ROWS($V$2:V40),$V$2:$V$1001,0),1)&gt;=100000,INDEX($AC$1005:$AS$1005,1,MATCH(COLUMNS($AC$1006:AQ1006),$AC$1006:$AS$1006,0))&gt;=100000), " ",IF(INDEX($AC$2:$AS$1001,MATCH(ROWS($V$2:V40),$V$2:$V$1001,0),MATCH(COLUMNS($AC$1006:AQ1006),$AC$1006:$AS$1006,0)), HYPERLINK("#",""), HYPERLINK(CONCATENATE("#metadata!", ADDRESS(INDEX($X$2:$X$1001,MATCH(ROWS($V$2:V40),$V$2:$V$1001,0),0), INDEX($AC$1004:$AS$1004,1,MATCH(COLUMNS($AC$1006:AQ1006),$AC$1006:$AS$1006,0)))),"Fix")))</f>
        <v xml:space="preserve"> </v>
      </c>
      <c r="Q40" s="4" t="str">
        <f ca="1">IF(OR(INDEX($W$2:$W$1001,MATCH(ROWS($V$2:V40),$V$2:$V$1001,0),1)&gt;=100000,INDEX($AC$1005:$AS$1005,1,MATCH(COLUMNS($AC$1006:AR1006),$AC$1006:$AS$1006,0))&gt;=100000), " ",IF(INDEX($AC$2:$AS$1001,MATCH(ROWS($V$2:V40),$V$2:$V$1001,0),MATCH(COLUMNS($AC$1006:AR1006),$AC$1006:$AS$1006,0)), HYPERLINK("#",""), HYPERLINK(CONCATENATE("#metadata!", ADDRESS(INDEX($X$2:$X$1001,MATCH(ROWS($V$2:V40),$V$2:$V$1001,0),0), INDEX($AC$1004:$AS$1004,1,MATCH(COLUMNS($AC$1006:AR1006),$AC$1006:$AS$1006,0)))),"Fix")))</f>
        <v xml:space="preserve"> </v>
      </c>
      <c r="R40" s="4" t="str">
        <f ca="1">IF(OR(INDEX($W$2:$W$1001,MATCH(ROWS($V$2:V40),$V$2:$V$1001,0),1)&gt;=100000,INDEX($AC$1005:$AS$1005,1,MATCH(COLUMNS($AC$1006:AS1006),$AC$1006:$AS$1006,0))&gt;=100000), " ",IF(INDEX($AC$2:$AS$1001,MATCH(ROWS($V$2:V40),$V$2:$V$1001,0),MATCH(COLUMNS($AC$1006:AS1006),$AC$1006:$AS$1006,0)), HYPERLINK("#",""), HYPERLINK(CONCATENATE("#metadata!", ADDRESS(INDEX($X$2:$X$1001,MATCH(ROWS($V$2:V40),$V$2:$V$1001,0),0), INDEX($AC$1004:$AS$1004,1,MATCH(COLUMNS($AC$1006:AS1006),$AC$1006:$AS$1006,0)))),"Fix")))</f>
        <v xml:space="preserve"> </v>
      </c>
      <c r="V40">
        <v>39</v>
      </c>
      <c r="W40">
        <v>100040</v>
      </c>
      <c r="X40">
        <v>40</v>
      </c>
      <c r="Y40" t="b">
        <f t="shared" si="0"/>
        <v>1</v>
      </c>
      <c r="Z40" t="b">
        <f>COUNTBLANK(metadata!B40:R40)=COLUMNS(metadata!B40:R40)</f>
        <v>1</v>
      </c>
      <c r="AA40" t="str">
        <v/>
      </c>
      <c r="AC40" t="b">
        <f ca="1"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AD40" t="b">
        <f>IF(metadata!C40="",FALSE,ISNUMBER(VALUE(metadata!C40)))</f>
        <v>0</v>
      </c>
      <c r="AE40" t="b">
        <f>AND(IF(metadata!D40="",FALSE,TRUE),EXACT(metadata!D40,"years"))</f>
        <v>0</v>
      </c>
      <c r="AF40" t="b">
        <f>OR(AND(IF(metadata!E40="",FALSE,TRUE),OR(EXACT(metadata!E40,"not applicable"),EXACT(metadata!E40,"missing: not collected"),EXACT(metadata!E40,"missing: not provided"),EXACT(metadata!E40,"missing: restricted access"))),AND(IF(metadata!E40="",FALSE,ISNUMBER(VALUE(metadata!E40))),metadata!E40&gt;0))</f>
        <v>0</v>
      </c>
      <c r="AG40" t="b">
        <f>AND(IF(metadata!F40="",FALSE,TRUE),EXACT(metadata!F40,"Not applicable"))</f>
        <v>0</v>
      </c>
      <c r="AH40" t="b">
        <f>AND(IF(metadata!G40="",FALSE,TRUE),EXACT(metadata!G40,"urban biome"))</f>
        <v>0</v>
      </c>
      <c r="AI40" t="b">
        <f>AND(IF(metadata!H40="",FALSE,TRUE),EXACT(metadata!H40,"human-associated habitat"))</f>
        <v>0</v>
      </c>
      <c r="AJ40" t="b">
        <f>AND(IF(metadata!I40="",FALSE,TRUE),OR(EXACT(metadata!I40,"human-associated"),EXACT(metadata!I40,"human-skin"),EXACT(metadata!I40,"human-oral"),EXACT(metadata!I40,"human-gut"),EXACT(metadata!I40,"human-vaginal")))</f>
        <v>0</v>
      </c>
      <c r="AK40" t="b">
        <f>IF(metadata!J40="",FALSE,ISNUMBER(VALUE(metadata!J40)))</f>
        <v>0</v>
      </c>
      <c r="AL40" t="b">
        <f>AND(IF(metadata!K40="",FALSE,TRUE),EXACT(metadata!K40,"cm"))</f>
        <v>0</v>
      </c>
      <c r="AM40" t="b">
        <f>AND(IF(metadata!L40="",FALSE,TRUE),EXACT(metadata!L40,"human"))</f>
        <v>0</v>
      </c>
      <c r="AN40" t="b">
        <f>AND(IF(metadata!M40="",FALSE,TRUE),EXACT(metadata!M40,"Homo sapiens"))</f>
        <v>0</v>
      </c>
      <c r="AO40" t="b">
        <f>AND(IF(metadata!N40="",FALSE,TRUE),EXACT(metadata!N40,"9606"))</f>
        <v>0</v>
      </c>
      <c r="AP40" t="b">
        <f>IF(metadata!O40="",FALSE,TRUE)</f>
        <v>0</v>
      </c>
      <c r="AQ40" t="b">
        <f>IF(metadata!P40="",FALSE,TRUE)</f>
        <v>0</v>
      </c>
      <c r="AR40" t="b">
        <f>IF(metadata!Q40="",FALSE,ISNUMBER(VALUE(metadata!Q40)))</f>
        <v>0</v>
      </c>
      <c r="AS40" t="b">
        <f>AND(IF(metadata!R40="",FALSE,TRUE),EXACT(metadata!R40,"kg"))</f>
        <v>0</v>
      </c>
    </row>
    <row r="41" spans="1:45" x14ac:dyDescent="0.2">
      <c r="A41" s="5" t="str">
        <f ca="1">IF(B41=" "," ",HYPERLINK(CONCATENATE("#metadata!",ADDRESS(INDEX($X$2:$X$1001,MATCH(ROWS($V$2:V41),$V$2:$V$1001,0),0),1)),INDEX($AA$2:$AA$1001,MATCH(ROWS($V$2:V41),$V$2:$V$1001,0),0)))</f>
        <v xml:space="preserve"> </v>
      </c>
      <c r="B41" s="4" t="str">
        <f ca="1">IF(OR(INDEX($W$2:$W$1001,MATCH(ROWS($V$2:V41),$V$2:$V$1001,0),1)&gt;=100000,INDEX($AC$1005:$AS$1005,1,MATCH(COLUMNS($AC$1006:AC1006),$AC$1006:$AS$1006,0))&gt;=100000), " ",IF(INDEX($AC$2:$AS$1001,MATCH(ROWS($V$2:V41),$V$2:$V$1001,0),MATCH(COLUMNS($AC$1006:AC1006),$AC$1006:$AS$1006,0)), HYPERLINK("#",""), HYPERLINK(CONCATENATE("#metadata!", ADDRESS(INDEX($X$2:$X$1001,MATCH(ROWS($V$2:V41),$V$2:$V$1001,0),0), INDEX($AC$1004:$AS$1004,1,MATCH(COLUMNS($AC$1006:AC1006),$AC$1006:$AS$1006,0)))),"Fix")))</f>
        <v xml:space="preserve"> </v>
      </c>
      <c r="C41" s="4" t="str">
        <f ca="1">IF(OR(INDEX($W$2:$W$1001,MATCH(ROWS($V$2:V41),$V$2:$V$1001,0),1)&gt;=100000,INDEX($AC$1005:$AS$1005,1,MATCH(COLUMNS($AC$1006:AD1006),$AC$1006:$AS$1006,0))&gt;=100000), " ",IF(INDEX($AC$2:$AS$1001,MATCH(ROWS($V$2:V41),$V$2:$V$1001,0),MATCH(COLUMNS($AC$1006:AD1006),$AC$1006:$AS$1006,0)), HYPERLINK("#",""), HYPERLINK(CONCATENATE("#metadata!", ADDRESS(INDEX($X$2:$X$1001,MATCH(ROWS($V$2:V41),$V$2:$V$1001,0),0), INDEX($AC$1004:$AS$1004,1,MATCH(COLUMNS($AC$1006:AD1006),$AC$1006:$AS$1006,0)))),"Fix")))</f>
        <v xml:space="preserve"> </v>
      </c>
      <c r="D41" s="4" t="str">
        <f ca="1">IF(OR(INDEX($W$2:$W$1001,MATCH(ROWS($V$2:V41),$V$2:$V$1001,0),1)&gt;=100000,INDEX($AC$1005:$AS$1005,1,MATCH(COLUMNS($AC$1006:AE1006),$AC$1006:$AS$1006,0))&gt;=100000), " ",IF(INDEX($AC$2:$AS$1001,MATCH(ROWS($V$2:V41),$V$2:$V$1001,0),MATCH(COLUMNS($AC$1006:AE1006),$AC$1006:$AS$1006,0)), HYPERLINK("#",""), HYPERLINK(CONCATENATE("#metadata!", ADDRESS(INDEX($X$2:$X$1001,MATCH(ROWS($V$2:V41),$V$2:$V$1001,0),0), INDEX($AC$1004:$AS$1004,1,MATCH(COLUMNS($AC$1006:AE1006),$AC$1006:$AS$1006,0)))),"Fix")))</f>
        <v xml:space="preserve"> </v>
      </c>
      <c r="E41" s="4" t="str">
        <f ca="1">IF(OR(INDEX($W$2:$W$1001,MATCH(ROWS($V$2:V41),$V$2:$V$1001,0),1)&gt;=100000,INDEX($AC$1005:$AS$1005,1,MATCH(COLUMNS($AC$1006:AF1006),$AC$1006:$AS$1006,0))&gt;=100000), " ",IF(INDEX($AC$2:$AS$1001,MATCH(ROWS($V$2:V41),$V$2:$V$1001,0),MATCH(COLUMNS($AC$1006:AF1006),$AC$1006:$AS$1006,0)), HYPERLINK("#",""), HYPERLINK(CONCATENATE("#metadata!", ADDRESS(INDEX($X$2:$X$1001,MATCH(ROWS($V$2:V41),$V$2:$V$1001,0),0), INDEX($AC$1004:$AS$1004,1,MATCH(COLUMNS($AC$1006:AF1006),$AC$1006:$AS$1006,0)))),"Fix")))</f>
        <v xml:space="preserve"> </v>
      </c>
      <c r="F41" s="4" t="str">
        <f ca="1">IF(OR(INDEX($W$2:$W$1001,MATCH(ROWS($V$2:V41),$V$2:$V$1001,0),1)&gt;=100000,INDEX($AC$1005:$AS$1005,1,MATCH(COLUMNS($AC$1006:AG1006),$AC$1006:$AS$1006,0))&gt;=100000), " ",IF(INDEX($AC$2:$AS$1001,MATCH(ROWS($V$2:V41),$V$2:$V$1001,0),MATCH(COLUMNS($AC$1006:AG1006),$AC$1006:$AS$1006,0)), HYPERLINK("#",""), HYPERLINK(CONCATENATE("#metadata!", ADDRESS(INDEX($X$2:$X$1001,MATCH(ROWS($V$2:V41),$V$2:$V$1001,0),0), INDEX($AC$1004:$AS$1004,1,MATCH(COLUMNS($AC$1006:AG1006),$AC$1006:$AS$1006,0)))),"Fix")))</f>
        <v xml:space="preserve"> </v>
      </c>
      <c r="G41" s="4" t="str">
        <f ca="1">IF(OR(INDEX($W$2:$W$1001,MATCH(ROWS($V$2:V41),$V$2:$V$1001,0),1)&gt;=100000,INDEX($AC$1005:$AS$1005,1,MATCH(COLUMNS($AC$1006:AH1006),$AC$1006:$AS$1006,0))&gt;=100000), " ",IF(INDEX($AC$2:$AS$1001,MATCH(ROWS($V$2:V41),$V$2:$V$1001,0),MATCH(COLUMNS($AC$1006:AH1006),$AC$1006:$AS$1006,0)), HYPERLINK("#",""), HYPERLINK(CONCATENATE("#metadata!", ADDRESS(INDEX($X$2:$X$1001,MATCH(ROWS($V$2:V41),$V$2:$V$1001,0),0), INDEX($AC$1004:$AS$1004,1,MATCH(COLUMNS($AC$1006:AH1006),$AC$1006:$AS$1006,0)))),"Fix")))</f>
        <v xml:space="preserve"> </v>
      </c>
      <c r="H41" s="4" t="str">
        <f ca="1">IF(OR(INDEX($W$2:$W$1001,MATCH(ROWS($V$2:V41),$V$2:$V$1001,0),1)&gt;=100000,INDEX($AC$1005:$AS$1005,1,MATCH(COLUMNS($AC$1006:AI1006),$AC$1006:$AS$1006,0))&gt;=100000), " ",IF(INDEX($AC$2:$AS$1001,MATCH(ROWS($V$2:V41),$V$2:$V$1001,0),MATCH(COLUMNS($AC$1006:AI1006),$AC$1006:$AS$1006,0)), HYPERLINK("#",""), HYPERLINK(CONCATENATE("#metadata!", ADDRESS(INDEX($X$2:$X$1001,MATCH(ROWS($V$2:V41),$V$2:$V$1001,0),0), INDEX($AC$1004:$AS$1004,1,MATCH(COLUMNS($AC$1006:AI1006),$AC$1006:$AS$1006,0)))),"Fix")))</f>
        <v xml:space="preserve"> </v>
      </c>
      <c r="I41" s="4" t="str">
        <f ca="1">IF(OR(INDEX($W$2:$W$1001,MATCH(ROWS($V$2:V41),$V$2:$V$1001,0),1)&gt;=100000,INDEX($AC$1005:$AS$1005,1,MATCH(COLUMNS($AC$1006:AJ1006),$AC$1006:$AS$1006,0))&gt;=100000), " ",IF(INDEX($AC$2:$AS$1001,MATCH(ROWS($V$2:V41),$V$2:$V$1001,0),MATCH(COLUMNS($AC$1006:AJ1006),$AC$1006:$AS$1006,0)), HYPERLINK("#",""), HYPERLINK(CONCATENATE("#metadata!", ADDRESS(INDEX($X$2:$X$1001,MATCH(ROWS($V$2:V41),$V$2:$V$1001,0),0), INDEX($AC$1004:$AS$1004,1,MATCH(COLUMNS($AC$1006:AJ1006),$AC$1006:$AS$1006,0)))),"Fix")))</f>
        <v xml:space="preserve"> </v>
      </c>
      <c r="J41" s="4" t="str">
        <f ca="1">IF(OR(INDEX($W$2:$W$1001,MATCH(ROWS($V$2:V41),$V$2:$V$1001,0),1)&gt;=100000,INDEX($AC$1005:$AS$1005,1,MATCH(COLUMNS($AC$1006:AK1006),$AC$1006:$AS$1006,0))&gt;=100000), " ",IF(INDEX($AC$2:$AS$1001,MATCH(ROWS($V$2:V41),$V$2:$V$1001,0),MATCH(COLUMNS($AC$1006:AK1006),$AC$1006:$AS$1006,0)), HYPERLINK("#",""), HYPERLINK(CONCATENATE("#metadata!", ADDRESS(INDEX($X$2:$X$1001,MATCH(ROWS($V$2:V41),$V$2:$V$1001,0),0), INDEX($AC$1004:$AS$1004,1,MATCH(COLUMNS($AC$1006:AK1006),$AC$1006:$AS$1006,0)))),"Fix")))</f>
        <v xml:space="preserve"> </v>
      </c>
      <c r="K41" s="4" t="str">
        <f ca="1">IF(OR(INDEX($W$2:$W$1001,MATCH(ROWS($V$2:V41),$V$2:$V$1001,0),1)&gt;=100000,INDEX($AC$1005:$AS$1005,1,MATCH(COLUMNS($AC$1006:AL1006),$AC$1006:$AS$1006,0))&gt;=100000), " ",IF(INDEX($AC$2:$AS$1001,MATCH(ROWS($V$2:V41),$V$2:$V$1001,0),MATCH(COLUMNS($AC$1006:AL1006),$AC$1006:$AS$1006,0)), HYPERLINK("#",""), HYPERLINK(CONCATENATE("#metadata!", ADDRESS(INDEX($X$2:$X$1001,MATCH(ROWS($V$2:V41),$V$2:$V$1001,0),0), INDEX($AC$1004:$AS$1004,1,MATCH(COLUMNS($AC$1006:AL1006),$AC$1006:$AS$1006,0)))),"Fix")))</f>
        <v xml:space="preserve"> </v>
      </c>
      <c r="L41" s="4" t="str">
        <f ca="1">IF(OR(INDEX($W$2:$W$1001,MATCH(ROWS($V$2:V41),$V$2:$V$1001,0),1)&gt;=100000,INDEX($AC$1005:$AS$1005,1,MATCH(COLUMNS($AC$1006:AM1006),$AC$1006:$AS$1006,0))&gt;=100000), " ",IF(INDEX($AC$2:$AS$1001,MATCH(ROWS($V$2:V41),$V$2:$V$1001,0),MATCH(COLUMNS($AC$1006:AM1006),$AC$1006:$AS$1006,0)), HYPERLINK("#",""), HYPERLINK(CONCATENATE("#metadata!", ADDRESS(INDEX($X$2:$X$1001,MATCH(ROWS($V$2:V41),$V$2:$V$1001,0),0), INDEX($AC$1004:$AS$1004,1,MATCH(COLUMNS($AC$1006:AM1006),$AC$1006:$AS$1006,0)))),"Fix")))</f>
        <v xml:space="preserve"> </v>
      </c>
      <c r="M41" s="4" t="str">
        <f ca="1">IF(OR(INDEX($W$2:$W$1001,MATCH(ROWS($V$2:V41),$V$2:$V$1001,0),1)&gt;=100000,INDEX($AC$1005:$AS$1005,1,MATCH(COLUMNS($AC$1006:AN1006),$AC$1006:$AS$1006,0))&gt;=100000), " ",IF(INDEX($AC$2:$AS$1001,MATCH(ROWS($V$2:V41),$V$2:$V$1001,0),MATCH(COLUMNS($AC$1006:AN1006),$AC$1006:$AS$1006,0)), HYPERLINK("#",""), HYPERLINK(CONCATENATE("#metadata!", ADDRESS(INDEX($X$2:$X$1001,MATCH(ROWS($V$2:V41),$V$2:$V$1001,0),0), INDEX($AC$1004:$AS$1004,1,MATCH(COLUMNS($AC$1006:AN1006),$AC$1006:$AS$1006,0)))),"Fix")))</f>
        <v xml:space="preserve"> </v>
      </c>
      <c r="N41" s="4" t="str">
        <f ca="1">IF(OR(INDEX($W$2:$W$1001,MATCH(ROWS($V$2:V41),$V$2:$V$1001,0),1)&gt;=100000,INDEX($AC$1005:$AS$1005,1,MATCH(COLUMNS($AC$1006:AO1006),$AC$1006:$AS$1006,0))&gt;=100000), " ",IF(INDEX($AC$2:$AS$1001,MATCH(ROWS($V$2:V41),$V$2:$V$1001,0),MATCH(COLUMNS($AC$1006:AO1006),$AC$1006:$AS$1006,0)), HYPERLINK("#",""), HYPERLINK(CONCATENATE("#metadata!", ADDRESS(INDEX($X$2:$X$1001,MATCH(ROWS($V$2:V41),$V$2:$V$1001,0),0), INDEX($AC$1004:$AS$1004,1,MATCH(COLUMNS($AC$1006:AO1006),$AC$1006:$AS$1006,0)))),"Fix")))</f>
        <v xml:space="preserve"> </v>
      </c>
      <c r="O41" s="4" t="str">
        <f ca="1">IF(OR(INDEX($W$2:$W$1001,MATCH(ROWS($V$2:V41),$V$2:$V$1001,0),1)&gt;=100000,INDEX($AC$1005:$AS$1005,1,MATCH(COLUMNS($AC$1006:AP1006),$AC$1006:$AS$1006,0))&gt;=100000), " ",IF(INDEX($AC$2:$AS$1001,MATCH(ROWS($V$2:V41),$V$2:$V$1001,0),MATCH(COLUMNS($AC$1006:AP1006),$AC$1006:$AS$1006,0)), HYPERLINK("#",""), HYPERLINK(CONCATENATE("#metadata!", ADDRESS(INDEX($X$2:$X$1001,MATCH(ROWS($V$2:V41),$V$2:$V$1001,0),0), INDEX($AC$1004:$AS$1004,1,MATCH(COLUMNS($AC$1006:AP1006),$AC$1006:$AS$1006,0)))),"Fix")))</f>
        <v xml:space="preserve"> </v>
      </c>
      <c r="P41" s="4" t="str">
        <f ca="1">IF(OR(INDEX($W$2:$W$1001,MATCH(ROWS($V$2:V41),$V$2:$V$1001,0),1)&gt;=100000,INDEX($AC$1005:$AS$1005,1,MATCH(COLUMNS($AC$1006:AQ1006),$AC$1006:$AS$1006,0))&gt;=100000), " ",IF(INDEX($AC$2:$AS$1001,MATCH(ROWS($V$2:V41),$V$2:$V$1001,0),MATCH(COLUMNS($AC$1006:AQ1006),$AC$1006:$AS$1006,0)), HYPERLINK("#",""), HYPERLINK(CONCATENATE("#metadata!", ADDRESS(INDEX($X$2:$X$1001,MATCH(ROWS($V$2:V41),$V$2:$V$1001,0),0), INDEX($AC$1004:$AS$1004,1,MATCH(COLUMNS($AC$1006:AQ1006),$AC$1006:$AS$1006,0)))),"Fix")))</f>
        <v xml:space="preserve"> </v>
      </c>
      <c r="Q41" s="4" t="str">
        <f ca="1">IF(OR(INDEX($W$2:$W$1001,MATCH(ROWS($V$2:V41),$V$2:$V$1001,0),1)&gt;=100000,INDEX($AC$1005:$AS$1005,1,MATCH(COLUMNS($AC$1006:AR1006),$AC$1006:$AS$1006,0))&gt;=100000), " ",IF(INDEX($AC$2:$AS$1001,MATCH(ROWS($V$2:V41),$V$2:$V$1001,0),MATCH(COLUMNS($AC$1006:AR1006),$AC$1006:$AS$1006,0)), HYPERLINK("#",""), HYPERLINK(CONCATENATE("#metadata!", ADDRESS(INDEX($X$2:$X$1001,MATCH(ROWS($V$2:V41),$V$2:$V$1001,0),0), INDEX($AC$1004:$AS$1004,1,MATCH(COLUMNS($AC$1006:AR1006),$AC$1006:$AS$1006,0)))),"Fix")))</f>
        <v xml:space="preserve"> </v>
      </c>
      <c r="R41" s="4" t="str">
        <f ca="1">IF(OR(INDEX($W$2:$W$1001,MATCH(ROWS($V$2:V41),$V$2:$V$1001,0),1)&gt;=100000,INDEX($AC$1005:$AS$1005,1,MATCH(COLUMNS($AC$1006:AS1006),$AC$1006:$AS$1006,0))&gt;=100000), " ",IF(INDEX($AC$2:$AS$1001,MATCH(ROWS($V$2:V41),$V$2:$V$1001,0),MATCH(COLUMNS($AC$1006:AS1006),$AC$1006:$AS$1006,0)), HYPERLINK("#",""), HYPERLINK(CONCATENATE("#metadata!", ADDRESS(INDEX($X$2:$X$1001,MATCH(ROWS($V$2:V41),$V$2:$V$1001,0),0), INDEX($AC$1004:$AS$1004,1,MATCH(COLUMNS($AC$1006:AS1006),$AC$1006:$AS$1006,0)))),"Fix")))</f>
        <v xml:space="preserve"> </v>
      </c>
      <c r="V41">
        <v>40</v>
      </c>
      <c r="W41">
        <v>100041</v>
      </c>
      <c r="X41">
        <v>41</v>
      </c>
      <c r="Y41" t="b">
        <f t="shared" si="0"/>
        <v>1</v>
      </c>
      <c r="Z41" t="b">
        <f>COUNTBLANK(metadata!B41:R41)=COLUMNS(metadata!B41:R41)</f>
        <v>1</v>
      </c>
      <c r="AA41" t="str">
        <v/>
      </c>
      <c r="AC41" t="b">
        <f ca="1"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AD41" t="b">
        <f>IF(metadata!C41="",FALSE,ISNUMBER(VALUE(metadata!C41)))</f>
        <v>0</v>
      </c>
      <c r="AE41" t="b">
        <f>AND(IF(metadata!D41="",FALSE,TRUE),EXACT(metadata!D41,"years"))</f>
        <v>0</v>
      </c>
      <c r="AF41" t="b">
        <f>OR(AND(IF(metadata!E41="",FALSE,TRUE),OR(EXACT(metadata!E41,"not applicable"),EXACT(metadata!E41,"missing: not collected"),EXACT(metadata!E41,"missing: not provided"),EXACT(metadata!E41,"missing: restricted access"))),AND(IF(metadata!E41="",FALSE,ISNUMBER(VALUE(metadata!E41))),metadata!E41&gt;0))</f>
        <v>0</v>
      </c>
      <c r="AG41" t="b">
        <f>AND(IF(metadata!F41="",FALSE,TRUE),EXACT(metadata!F41,"Not applicable"))</f>
        <v>0</v>
      </c>
      <c r="AH41" t="b">
        <f>AND(IF(metadata!G41="",FALSE,TRUE),EXACT(metadata!G41,"urban biome"))</f>
        <v>0</v>
      </c>
      <c r="AI41" t="b">
        <f>AND(IF(metadata!H41="",FALSE,TRUE),EXACT(metadata!H41,"human-associated habitat"))</f>
        <v>0</v>
      </c>
      <c r="AJ41" t="b">
        <f>AND(IF(metadata!I41="",FALSE,TRUE),OR(EXACT(metadata!I41,"human-associated"),EXACT(metadata!I41,"human-skin"),EXACT(metadata!I41,"human-oral"),EXACT(metadata!I41,"human-gut"),EXACT(metadata!I41,"human-vaginal")))</f>
        <v>0</v>
      </c>
      <c r="AK41" t="b">
        <f>IF(metadata!J41="",FALSE,ISNUMBER(VALUE(metadata!J41)))</f>
        <v>0</v>
      </c>
      <c r="AL41" t="b">
        <f>AND(IF(metadata!K41="",FALSE,TRUE),EXACT(metadata!K41,"cm"))</f>
        <v>0</v>
      </c>
      <c r="AM41" t="b">
        <f>AND(IF(metadata!L41="",FALSE,TRUE),EXACT(metadata!L41,"human"))</f>
        <v>0</v>
      </c>
      <c r="AN41" t="b">
        <f>AND(IF(metadata!M41="",FALSE,TRUE),EXACT(metadata!M41,"Homo sapiens"))</f>
        <v>0</v>
      </c>
      <c r="AO41" t="b">
        <f>AND(IF(metadata!N41="",FALSE,TRUE),EXACT(metadata!N41,"9606"))</f>
        <v>0</v>
      </c>
      <c r="AP41" t="b">
        <f>IF(metadata!O41="",FALSE,TRUE)</f>
        <v>0</v>
      </c>
      <c r="AQ41" t="b">
        <f>IF(metadata!P41="",FALSE,TRUE)</f>
        <v>0</v>
      </c>
      <c r="AR41" t="b">
        <f>IF(metadata!Q41="",FALSE,ISNUMBER(VALUE(metadata!Q41)))</f>
        <v>0</v>
      </c>
      <c r="AS41" t="b">
        <f>AND(IF(metadata!R41="",FALSE,TRUE),EXACT(metadata!R41,"kg"))</f>
        <v>0</v>
      </c>
    </row>
    <row r="42" spans="1:45" x14ac:dyDescent="0.2">
      <c r="A42" s="5" t="str">
        <f ca="1">IF(B42=" "," ",HYPERLINK(CONCATENATE("#metadata!",ADDRESS(INDEX($X$2:$X$1001,MATCH(ROWS($V$2:V42),$V$2:$V$1001,0),0),1)),INDEX($AA$2:$AA$1001,MATCH(ROWS($V$2:V42),$V$2:$V$1001,0),0)))</f>
        <v xml:space="preserve"> </v>
      </c>
      <c r="B42" s="4" t="str">
        <f ca="1">IF(OR(INDEX($W$2:$W$1001,MATCH(ROWS($V$2:V42),$V$2:$V$1001,0),1)&gt;=100000,INDEX($AC$1005:$AS$1005,1,MATCH(COLUMNS($AC$1006:AC1006),$AC$1006:$AS$1006,0))&gt;=100000), " ",IF(INDEX($AC$2:$AS$1001,MATCH(ROWS($V$2:V42),$V$2:$V$1001,0),MATCH(COLUMNS($AC$1006:AC1006),$AC$1006:$AS$1006,0)), HYPERLINK("#",""), HYPERLINK(CONCATENATE("#metadata!", ADDRESS(INDEX($X$2:$X$1001,MATCH(ROWS($V$2:V42),$V$2:$V$1001,0),0), INDEX($AC$1004:$AS$1004,1,MATCH(COLUMNS($AC$1006:AC1006),$AC$1006:$AS$1006,0)))),"Fix")))</f>
        <v xml:space="preserve"> </v>
      </c>
      <c r="C42" s="4" t="str">
        <f ca="1">IF(OR(INDEX($W$2:$W$1001,MATCH(ROWS($V$2:V42),$V$2:$V$1001,0),1)&gt;=100000,INDEX($AC$1005:$AS$1005,1,MATCH(COLUMNS($AC$1006:AD1006),$AC$1006:$AS$1006,0))&gt;=100000), " ",IF(INDEX($AC$2:$AS$1001,MATCH(ROWS($V$2:V42),$V$2:$V$1001,0),MATCH(COLUMNS($AC$1006:AD1006),$AC$1006:$AS$1006,0)), HYPERLINK("#",""), HYPERLINK(CONCATENATE("#metadata!", ADDRESS(INDEX($X$2:$X$1001,MATCH(ROWS($V$2:V42),$V$2:$V$1001,0),0), INDEX($AC$1004:$AS$1004,1,MATCH(COLUMNS($AC$1006:AD1006),$AC$1006:$AS$1006,0)))),"Fix")))</f>
        <v xml:space="preserve"> </v>
      </c>
      <c r="D42" s="4" t="str">
        <f ca="1">IF(OR(INDEX($W$2:$W$1001,MATCH(ROWS($V$2:V42),$V$2:$V$1001,0),1)&gt;=100000,INDEX($AC$1005:$AS$1005,1,MATCH(COLUMNS($AC$1006:AE1006),$AC$1006:$AS$1006,0))&gt;=100000), " ",IF(INDEX($AC$2:$AS$1001,MATCH(ROWS($V$2:V42),$V$2:$V$1001,0),MATCH(COLUMNS($AC$1006:AE1006),$AC$1006:$AS$1006,0)), HYPERLINK("#",""), HYPERLINK(CONCATENATE("#metadata!", ADDRESS(INDEX($X$2:$X$1001,MATCH(ROWS($V$2:V42),$V$2:$V$1001,0),0), INDEX($AC$1004:$AS$1004,1,MATCH(COLUMNS($AC$1006:AE1006),$AC$1006:$AS$1006,0)))),"Fix")))</f>
        <v xml:space="preserve"> </v>
      </c>
      <c r="E42" s="4" t="str">
        <f ca="1">IF(OR(INDEX($W$2:$W$1001,MATCH(ROWS($V$2:V42),$V$2:$V$1001,0),1)&gt;=100000,INDEX($AC$1005:$AS$1005,1,MATCH(COLUMNS($AC$1006:AF1006),$AC$1006:$AS$1006,0))&gt;=100000), " ",IF(INDEX($AC$2:$AS$1001,MATCH(ROWS($V$2:V42),$V$2:$V$1001,0),MATCH(COLUMNS($AC$1006:AF1006),$AC$1006:$AS$1006,0)), HYPERLINK("#",""), HYPERLINK(CONCATENATE("#metadata!", ADDRESS(INDEX($X$2:$X$1001,MATCH(ROWS($V$2:V42),$V$2:$V$1001,0),0), INDEX($AC$1004:$AS$1004,1,MATCH(COLUMNS($AC$1006:AF1006),$AC$1006:$AS$1006,0)))),"Fix")))</f>
        <v xml:space="preserve"> </v>
      </c>
      <c r="F42" s="4" t="str">
        <f ca="1">IF(OR(INDEX($W$2:$W$1001,MATCH(ROWS($V$2:V42),$V$2:$V$1001,0),1)&gt;=100000,INDEX($AC$1005:$AS$1005,1,MATCH(COLUMNS($AC$1006:AG1006),$AC$1006:$AS$1006,0))&gt;=100000), " ",IF(INDEX($AC$2:$AS$1001,MATCH(ROWS($V$2:V42),$V$2:$V$1001,0),MATCH(COLUMNS($AC$1006:AG1006),$AC$1006:$AS$1006,0)), HYPERLINK("#",""), HYPERLINK(CONCATENATE("#metadata!", ADDRESS(INDEX($X$2:$X$1001,MATCH(ROWS($V$2:V42),$V$2:$V$1001,0),0), INDEX($AC$1004:$AS$1004,1,MATCH(COLUMNS($AC$1006:AG1006),$AC$1006:$AS$1006,0)))),"Fix")))</f>
        <v xml:space="preserve"> </v>
      </c>
      <c r="G42" s="4" t="str">
        <f ca="1">IF(OR(INDEX($W$2:$W$1001,MATCH(ROWS($V$2:V42),$V$2:$V$1001,0),1)&gt;=100000,INDEX($AC$1005:$AS$1005,1,MATCH(COLUMNS($AC$1006:AH1006),$AC$1006:$AS$1006,0))&gt;=100000), " ",IF(INDEX($AC$2:$AS$1001,MATCH(ROWS($V$2:V42),$V$2:$V$1001,0),MATCH(COLUMNS($AC$1006:AH1006),$AC$1006:$AS$1006,0)), HYPERLINK("#",""), HYPERLINK(CONCATENATE("#metadata!", ADDRESS(INDEX($X$2:$X$1001,MATCH(ROWS($V$2:V42),$V$2:$V$1001,0),0), INDEX($AC$1004:$AS$1004,1,MATCH(COLUMNS($AC$1006:AH1006),$AC$1006:$AS$1006,0)))),"Fix")))</f>
        <v xml:space="preserve"> </v>
      </c>
      <c r="H42" s="4" t="str">
        <f ca="1">IF(OR(INDEX($W$2:$W$1001,MATCH(ROWS($V$2:V42),$V$2:$V$1001,0),1)&gt;=100000,INDEX($AC$1005:$AS$1005,1,MATCH(COLUMNS($AC$1006:AI1006),$AC$1006:$AS$1006,0))&gt;=100000), " ",IF(INDEX($AC$2:$AS$1001,MATCH(ROWS($V$2:V42),$V$2:$V$1001,0),MATCH(COLUMNS($AC$1006:AI1006),$AC$1006:$AS$1006,0)), HYPERLINK("#",""), HYPERLINK(CONCATENATE("#metadata!", ADDRESS(INDEX($X$2:$X$1001,MATCH(ROWS($V$2:V42),$V$2:$V$1001,0),0), INDEX($AC$1004:$AS$1004,1,MATCH(COLUMNS($AC$1006:AI1006),$AC$1006:$AS$1006,0)))),"Fix")))</f>
        <v xml:space="preserve"> </v>
      </c>
      <c r="I42" s="4" t="str">
        <f ca="1">IF(OR(INDEX($W$2:$W$1001,MATCH(ROWS($V$2:V42),$V$2:$V$1001,0),1)&gt;=100000,INDEX($AC$1005:$AS$1005,1,MATCH(COLUMNS($AC$1006:AJ1006),$AC$1006:$AS$1006,0))&gt;=100000), " ",IF(INDEX($AC$2:$AS$1001,MATCH(ROWS($V$2:V42),$V$2:$V$1001,0),MATCH(COLUMNS($AC$1006:AJ1006),$AC$1006:$AS$1006,0)), HYPERLINK("#",""), HYPERLINK(CONCATENATE("#metadata!", ADDRESS(INDEX($X$2:$X$1001,MATCH(ROWS($V$2:V42),$V$2:$V$1001,0),0), INDEX($AC$1004:$AS$1004,1,MATCH(COLUMNS($AC$1006:AJ1006),$AC$1006:$AS$1006,0)))),"Fix")))</f>
        <v xml:space="preserve"> </v>
      </c>
      <c r="J42" s="4" t="str">
        <f ca="1">IF(OR(INDEX($W$2:$W$1001,MATCH(ROWS($V$2:V42),$V$2:$V$1001,0),1)&gt;=100000,INDEX($AC$1005:$AS$1005,1,MATCH(COLUMNS($AC$1006:AK1006),$AC$1006:$AS$1006,0))&gt;=100000), " ",IF(INDEX($AC$2:$AS$1001,MATCH(ROWS($V$2:V42),$V$2:$V$1001,0),MATCH(COLUMNS($AC$1006:AK1006),$AC$1006:$AS$1006,0)), HYPERLINK("#",""), HYPERLINK(CONCATENATE("#metadata!", ADDRESS(INDEX($X$2:$X$1001,MATCH(ROWS($V$2:V42),$V$2:$V$1001,0),0), INDEX($AC$1004:$AS$1004,1,MATCH(COLUMNS($AC$1006:AK1006),$AC$1006:$AS$1006,0)))),"Fix")))</f>
        <v xml:space="preserve"> </v>
      </c>
      <c r="K42" s="4" t="str">
        <f ca="1">IF(OR(INDEX($W$2:$W$1001,MATCH(ROWS($V$2:V42),$V$2:$V$1001,0),1)&gt;=100000,INDEX($AC$1005:$AS$1005,1,MATCH(COLUMNS($AC$1006:AL1006),$AC$1006:$AS$1006,0))&gt;=100000), " ",IF(INDEX($AC$2:$AS$1001,MATCH(ROWS($V$2:V42),$V$2:$V$1001,0),MATCH(COLUMNS($AC$1006:AL1006),$AC$1006:$AS$1006,0)), HYPERLINK("#",""), HYPERLINK(CONCATENATE("#metadata!", ADDRESS(INDEX($X$2:$X$1001,MATCH(ROWS($V$2:V42),$V$2:$V$1001,0),0), INDEX($AC$1004:$AS$1004,1,MATCH(COLUMNS($AC$1006:AL1006),$AC$1006:$AS$1006,0)))),"Fix")))</f>
        <v xml:space="preserve"> </v>
      </c>
      <c r="L42" s="4" t="str">
        <f ca="1">IF(OR(INDEX($W$2:$W$1001,MATCH(ROWS($V$2:V42),$V$2:$V$1001,0),1)&gt;=100000,INDEX($AC$1005:$AS$1005,1,MATCH(COLUMNS($AC$1006:AM1006),$AC$1006:$AS$1006,0))&gt;=100000), " ",IF(INDEX($AC$2:$AS$1001,MATCH(ROWS($V$2:V42),$V$2:$V$1001,0),MATCH(COLUMNS($AC$1006:AM1006),$AC$1006:$AS$1006,0)), HYPERLINK("#",""), HYPERLINK(CONCATENATE("#metadata!", ADDRESS(INDEX($X$2:$X$1001,MATCH(ROWS($V$2:V42),$V$2:$V$1001,0),0), INDEX($AC$1004:$AS$1004,1,MATCH(COLUMNS($AC$1006:AM1006),$AC$1006:$AS$1006,0)))),"Fix")))</f>
        <v xml:space="preserve"> </v>
      </c>
      <c r="M42" s="4" t="str">
        <f ca="1">IF(OR(INDEX($W$2:$W$1001,MATCH(ROWS($V$2:V42),$V$2:$V$1001,0),1)&gt;=100000,INDEX($AC$1005:$AS$1005,1,MATCH(COLUMNS($AC$1006:AN1006),$AC$1006:$AS$1006,0))&gt;=100000), " ",IF(INDEX($AC$2:$AS$1001,MATCH(ROWS($V$2:V42),$V$2:$V$1001,0),MATCH(COLUMNS($AC$1006:AN1006),$AC$1006:$AS$1006,0)), HYPERLINK("#",""), HYPERLINK(CONCATENATE("#metadata!", ADDRESS(INDEX($X$2:$X$1001,MATCH(ROWS($V$2:V42),$V$2:$V$1001,0),0), INDEX($AC$1004:$AS$1004,1,MATCH(COLUMNS($AC$1006:AN1006),$AC$1006:$AS$1006,0)))),"Fix")))</f>
        <v xml:space="preserve"> </v>
      </c>
      <c r="N42" s="4" t="str">
        <f ca="1">IF(OR(INDEX($W$2:$W$1001,MATCH(ROWS($V$2:V42),$V$2:$V$1001,0),1)&gt;=100000,INDEX($AC$1005:$AS$1005,1,MATCH(COLUMNS($AC$1006:AO1006),$AC$1006:$AS$1006,0))&gt;=100000), " ",IF(INDEX($AC$2:$AS$1001,MATCH(ROWS($V$2:V42),$V$2:$V$1001,0),MATCH(COLUMNS($AC$1006:AO1006),$AC$1006:$AS$1006,0)), HYPERLINK("#",""), HYPERLINK(CONCATENATE("#metadata!", ADDRESS(INDEX($X$2:$X$1001,MATCH(ROWS($V$2:V42),$V$2:$V$1001,0),0), INDEX($AC$1004:$AS$1004,1,MATCH(COLUMNS($AC$1006:AO1006),$AC$1006:$AS$1006,0)))),"Fix")))</f>
        <v xml:space="preserve"> </v>
      </c>
      <c r="O42" s="4" t="str">
        <f ca="1">IF(OR(INDEX($W$2:$W$1001,MATCH(ROWS($V$2:V42),$V$2:$V$1001,0),1)&gt;=100000,INDEX($AC$1005:$AS$1005,1,MATCH(COLUMNS($AC$1006:AP1006),$AC$1006:$AS$1006,0))&gt;=100000), " ",IF(INDEX($AC$2:$AS$1001,MATCH(ROWS($V$2:V42),$V$2:$V$1001,0),MATCH(COLUMNS($AC$1006:AP1006),$AC$1006:$AS$1006,0)), HYPERLINK("#",""), HYPERLINK(CONCATENATE("#metadata!", ADDRESS(INDEX($X$2:$X$1001,MATCH(ROWS($V$2:V42),$V$2:$V$1001,0),0), INDEX($AC$1004:$AS$1004,1,MATCH(COLUMNS($AC$1006:AP1006),$AC$1006:$AS$1006,0)))),"Fix")))</f>
        <v xml:space="preserve"> </v>
      </c>
      <c r="P42" s="4" t="str">
        <f ca="1">IF(OR(INDEX($W$2:$W$1001,MATCH(ROWS($V$2:V42),$V$2:$V$1001,0),1)&gt;=100000,INDEX($AC$1005:$AS$1005,1,MATCH(COLUMNS($AC$1006:AQ1006),$AC$1006:$AS$1006,0))&gt;=100000), " ",IF(INDEX($AC$2:$AS$1001,MATCH(ROWS($V$2:V42),$V$2:$V$1001,0),MATCH(COLUMNS($AC$1006:AQ1006),$AC$1006:$AS$1006,0)), HYPERLINK("#",""), HYPERLINK(CONCATENATE("#metadata!", ADDRESS(INDEX($X$2:$X$1001,MATCH(ROWS($V$2:V42),$V$2:$V$1001,0),0), INDEX($AC$1004:$AS$1004,1,MATCH(COLUMNS($AC$1006:AQ1006),$AC$1006:$AS$1006,0)))),"Fix")))</f>
        <v xml:space="preserve"> </v>
      </c>
      <c r="Q42" s="4" t="str">
        <f ca="1">IF(OR(INDEX($W$2:$W$1001,MATCH(ROWS($V$2:V42),$V$2:$V$1001,0),1)&gt;=100000,INDEX($AC$1005:$AS$1005,1,MATCH(COLUMNS($AC$1006:AR1006),$AC$1006:$AS$1006,0))&gt;=100000), " ",IF(INDEX($AC$2:$AS$1001,MATCH(ROWS($V$2:V42),$V$2:$V$1001,0),MATCH(COLUMNS($AC$1006:AR1006),$AC$1006:$AS$1006,0)), HYPERLINK("#",""), HYPERLINK(CONCATENATE("#metadata!", ADDRESS(INDEX($X$2:$X$1001,MATCH(ROWS($V$2:V42),$V$2:$V$1001,0),0), INDEX($AC$1004:$AS$1004,1,MATCH(COLUMNS($AC$1006:AR1006),$AC$1006:$AS$1006,0)))),"Fix")))</f>
        <v xml:space="preserve"> </v>
      </c>
      <c r="R42" s="4" t="str">
        <f ca="1">IF(OR(INDEX($W$2:$W$1001,MATCH(ROWS($V$2:V42),$V$2:$V$1001,0),1)&gt;=100000,INDEX($AC$1005:$AS$1005,1,MATCH(COLUMNS($AC$1006:AS1006),$AC$1006:$AS$1006,0))&gt;=100000), " ",IF(INDEX($AC$2:$AS$1001,MATCH(ROWS($V$2:V42),$V$2:$V$1001,0),MATCH(COLUMNS($AC$1006:AS1006),$AC$1006:$AS$1006,0)), HYPERLINK("#",""), HYPERLINK(CONCATENATE("#metadata!", ADDRESS(INDEX($X$2:$X$1001,MATCH(ROWS($V$2:V42),$V$2:$V$1001,0),0), INDEX($AC$1004:$AS$1004,1,MATCH(COLUMNS($AC$1006:AS1006),$AC$1006:$AS$1006,0)))),"Fix")))</f>
        <v xml:space="preserve"> </v>
      </c>
      <c r="V42">
        <v>41</v>
      </c>
      <c r="W42">
        <v>100042</v>
      </c>
      <c r="X42">
        <v>42</v>
      </c>
      <c r="Y42" t="b">
        <f t="shared" si="0"/>
        <v>1</v>
      </c>
      <c r="Z42" t="b">
        <f>COUNTBLANK(metadata!B42:R42)=COLUMNS(metadata!B42:R42)</f>
        <v>1</v>
      </c>
      <c r="AA42" t="str">
        <v/>
      </c>
      <c r="AC42" t="b">
        <f ca="1"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AD42" t="b">
        <f>IF(metadata!C42="",FALSE,ISNUMBER(VALUE(metadata!C42)))</f>
        <v>0</v>
      </c>
      <c r="AE42" t="b">
        <f>AND(IF(metadata!D42="",FALSE,TRUE),EXACT(metadata!D42,"years"))</f>
        <v>0</v>
      </c>
      <c r="AF42" t="b">
        <f>OR(AND(IF(metadata!E42="",FALSE,TRUE),OR(EXACT(metadata!E42,"not applicable"),EXACT(metadata!E42,"missing: not collected"),EXACT(metadata!E42,"missing: not provided"),EXACT(metadata!E42,"missing: restricted access"))),AND(IF(metadata!E42="",FALSE,ISNUMBER(VALUE(metadata!E42))),metadata!E42&gt;0))</f>
        <v>0</v>
      </c>
      <c r="AG42" t="b">
        <f>AND(IF(metadata!F42="",FALSE,TRUE),EXACT(metadata!F42,"Not applicable"))</f>
        <v>0</v>
      </c>
      <c r="AH42" t="b">
        <f>AND(IF(metadata!G42="",FALSE,TRUE),EXACT(metadata!G42,"urban biome"))</f>
        <v>0</v>
      </c>
      <c r="AI42" t="b">
        <f>AND(IF(metadata!H42="",FALSE,TRUE),EXACT(metadata!H42,"human-associated habitat"))</f>
        <v>0</v>
      </c>
      <c r="AJ42" t="b">
        <f>AND(IF(metadata!I42="",FALSE,TRUE),OR(EXACT(metadata!I42,"human-associated"),EXACT(metadata!I42,"human-skin"),EXACT(metadata!I42,"human-oral"),EXACT(metadata!I42,"human-gut"),EXACT(metadata!I42,"human-vaginal")))</f>
        <v>0</v>
      </c>
      <c r="AK42" t="b">
        <f>IF(metadata!J42="",FALSE,ISNUMBER(VALUE(metadata!J42)))</f>
        <v>0</v>
      </c>
      <c r="AL42" t="b">
        <f>AND(IF(metadata!K42="",FALSE,TRUE),EXACT(metadata!K42,"cm"))</f>
        <v>0</v>
      </c>
      <c r="AM42" t="b">
        <f>AND(IF(metadata!L42="",FALSE,TRUE),EXACT(metadata!L42,"human"))</f>
        <v>0</v>
      </c>
      <c r="AN42" t="b">
        <f>AND(IF(metadata!M42="",FALSE,TRUE),EXACT(metadata!M42,"Homo sapiens"))</f>
        <v>0</v>
      </c>
      <c r="AO42" t="b">
        <f>AND(IF(metadata!N42="",FALSE,TRUE),EXACT(metadata!N42,"9606"))</f>
        <v>0</v>
      </c>
      <c r="AP42" t="b">
        <f>IF(metadata!O42="",FALSE,TRUE)</f>
        <v>0</v>
      </c>
      <c r="AQ42" t="b">
        <f>IF(metadata!P42="",FALSE,TRUE)</f>
        <v>0</v>
      </c>
      <c r="AR42" t="b">
        <f>IF(metadata!Q42="",FALSE,ISNUMBER(VALUE(metadata!Q42)))</f>
        <v>0</v>
      </c>
      <c r="AS42" t="b">
        <f>AND(IF(metadata!R42="",FALSE,TRUE),EXACT(metadata!R42,"kg"))</f>
        <v>0</v>
      </c>
    </row>
    <row r="43" spans="1:45" x14ac:dyDescent="0.2">
      <c r="A43" s="5" t="str">
        <f ca="1">IF(B43=" "," ",HYPERLINK(CONCATENATE("#metadata!",ADDRESS(INDEX($X$2:$X$1001,MATCH(ROWS($V$2:V43),$V$2:$V$1001,0),0),1)),INDEX($AA$2:$AA$1001,MATCH(ROWS($V$2:V43),$V$2:$V$1001,0),0)))</f>
        <v xml:space="preserve"> </v>
      </c>
      <c r="B43" s="4" t="str">
        <f ca="1">IF(OR(INDEX($W$2:$W$1001,MATCH(ROWS($V$2:V43),$V$2:$V$1001,0),1)&gt;=100000,INDEX($AC$1005:$AS$1005,1,MATCH(COLUMNS($AC$1006:AC1006),$AC$1006:$AS$1006,0))&gt;=100000), " ",IF(INDEX($AC$2:$AS$1001,MATCH(ROWS($V$2:V43),$V$2:$V$1001,0),MATCH(COLUMNS($AC$1006:AC1006),$AC$1006:$AS$1006,0)), HYPERLINK("#",""), HYPERLINK(CONCATENATE("#metadata!", ADDRESS(INDEX($X$2:$X$1001,MATCH(ROWS($V$2:V43),$V$2:$V$1001,0),0), INDEX($AC$1004:$AS$1004,1,MATCH(COLUMNS($AC$1006:AC1006),$AC$1006:$AS$1006,0)))),"Fix")))</f>
        <v xml:space="preserve"> </v>
      </c>
      <c r="C43" s="4" t="str">
        <f ca="1">IF(OR(INDEX($W$2:$W$1001,MATCH(ROWS($V$2:V43),$V$2:$V$1001,0),1)&gt;=100000,INDEX($AC$1005:$AS$1005,1,MATCH(COLUMNS($AC$1006:AD1006),$AC$1006:$AS$1006,0))&gt;=100000), " ",IF(INDEX($AC$2:$AS$1001,MATCH(ROWS($V$2:V43),$V$2:$V$1001,0),MATCH(COLUMNS($AC$1006:AD1006),$AC$1006:$AS$1006,0)), HYPERLINK("#",""), HYPERLINK(CONCATENATE("#metadata!", ADDRESS(INDEX($X$2:$X$1001,MATCH(ROWS($V$2:V43),$V$2:$V$1001,0),0), INDEX($AC$1004:$AS$1004,1,MATCH(COLUMNS($AC$1006:AD1006),$AC$1006:$AS$1006,0)))),"Fix")))</f>
        <v xml:space="preserve"> </v>
      </c>
      <c r="D43" s="4" t="str">
        <f ca="1">IF(OR(INDEX($W$2:$W$1001,MATCH(ROWS($V$2:V43),$V$2:$V$1001,0),1)&gt;=100000,INDEX($AC$1005:$AS$1005,1,MATCH(COLUMNS($AC$1006:AE1006),$AC$1006:$AS$1006,0))&gt;=100000), " ",IF(INDEX($AC$2:$AS$1001,MATCH(ROWS($V$2:V43),$V$2:$V$1001,0),MATCH(COLUMNS($AC$1006:AE1006),$AC$1006:$AS$1006,0)), HYPERLINK("#",""), HYPERLINK(CONCATENATE("#metadata!", ADDRESS(INDEX($X$2:$X$1001,MATCH(ROWS($V$2:V43),$V$2:$V$1001,0),0), INDEX($AC$1004:$AS$1004,1,MATCH(COLUMNS($AC$1006:AE1006),$AC$1006:$AS$1006,0)))),"Fix")))</f>
        <v xml:space="preserve"> </v>
      </c>
      <c r="E43" s="4" t="str">
        <f ca="1">IF(OR(INDEX($W$2:$W$1001,MATCH(ROWS($V$2:V43),$V$2:$V$1001,0),1)&gt;=100000,INDEX($AC$1005:$AS$1005,1,MATCH(COLUMNS($AC$1006:AF1006),$AC$1006:$AS$1006,0))&gt;=100000), " ",IF(INDEX($AC$2:$AS$1001,MATCH(ROWS($V$2:V43),$V$2:$V$1001,0),MATCH(COLUMNS($AC$1006:AF1006),$AC$1006:$AS$1006,0)), HYPERLINK("#",""), HYPERLINK(CONCATENATE("#metadata!", ADDRESS(INDEX($X$2:$X$1001,MATCH(ROWS($V$2:V43),$V$2:$V$1001,0),0), INDEX($AC$1004:$AS$1004,1,MATCH(COLUMNS($AC$1006:AF1006),$AC$1006:$AS$1006,0)))),"Fix")))</f>
        <v xml:space="preserve"> </v>
      </c>
      <c r="F43" s="4" t="str">
        <f ca="1">IF(OR(INDEX($W$2:$W$1001,MATCH(ROWS($V$2:V43),$V$2:$V$1001,0),1)&gt;=100000,INDEX($AC$1005:$AS$1005,1,MATCH(COLUMNS($AC$1006:AG1006),$AC$1006:$AS$1006,0))&gt;=100000), " ",IF(INDEX($AC$2:$AS$1001,MATCH(ROWS($V$2:V43),$V$2:$V$1001,0),MATCH(COLUMNS($AC$1006:AG1006),$AC$1006:$AS$1006,0)), HYPERLINK("#",""), HYPERLINK(CONCATENATE("#metadata!", ADDRESS(INDEX($X$2:$X$1001,MATCH(ROWS($V$2:V43),$V$2:$V$1001,0),0), INDEX($AC$1004:$AS$1004,1,MATCH(COLUMNS($AC$1006:AG1006),$AC$1006:$AS$1006,0)))),"Fix")))</f>
        <v xml:space="preserve"> </v>
      </c>
      <c r="G43" s="4" t="str">
        <f ca="1">IF(OR(INDEX($W$2:$W$1001,MATCH(ROWS($V$2:V43),$V$2:$V$1001,0),1)&gt;=100000,INDEX($AC$1005:$AS$1005,1,MATCH(COLUMNS($AC$1006:AH1006),$AC$1006:$AS$1006,0))&gt;=100000), " ",IF(INDEX($AC$2:$AS$1001,MATCH(ROWS($V$2:V43),$V$2:$V$1001,0),MATCH(COLUMNS($AC$1006:AH1006),$AC$1006:$AS$1006,0)), HYPERLINK("#",""), HYPERLINK(CONCATENATE("#metadata!", ADDRESS(INDEX($X$2:$X$1001,MATCH(ROWS($V$2:V43),$V$2:$V$1001,0),0), INDEX($AC$1004:$AS$1004,1,MATCH(COLUMNS($AC$1006:AH1006),$AC$1006:$AS$1006,0)))),"Fix")))</f>
        <v xml:space="preserve"> </v>
      </c>
      <c r="H43" s="4" t="str">
        <f ca="1">IF(OR(INDEX($W$2:$W$1001,MATCH(ROWS($V$2:V43),$V$2:$V$1001,0),1)&gt;=100000,INDEX($AC$1005:$AS$1005,1,MATCH(COLUMNS($AC$1006:AI1006),$AC$1006:$AS$1006,0))&gt;=100000), " ",IF(INDEX($AC$2:$AS$1001,MATCH(ROWS($V$2:V43),$V$2:$V$1001,0),MATCH(COLUMNS($AC$1006:AI1006),$AC$1006:$AS$1006,0)), HYPERLINK("#",""), HYPERLINK(CONCATENATE("#metadata!", ADDRESS(INDEX($X$2:$X$1001,MATCH(ROWS($V$2:V43),$V$2:$V$1001,0),0), INDEX($AC$1004:$AS$1004,1,MATCH(COLUMNS($AC$1006:AI1006),$AC$1006:$AS$1006,0)))),"Fix")))</f>
        <v xml:space="preserve"> </v>
      </c>
      <c r="I43" s="4" t="str">
        <f ca="1">IF(OR(INDEX($W$2:$W$1001,MATCH(ROWS($V$2:V43),$V$2:$V$1001,0),1)&gt;=100000,INDEX($AC$1005:$AS$1005,1,MATCH(COLUMNS($AC$1006:AJ1006),$AC$1006:$AS$1006,0))&gt;=100000), " ",IF(INDEX($AC$2:$AS$1001,MATCH(ROWS($V$2:V43),$V$2:$V$1001,0),MATCH(COLUMNS($AC$1006:AJ1006),$AC$1006:$AS$1006,0)), HYPERLINK("#",""), HYPERLINK(CONCATENATE("#metadata!", ADDRESS(INDEX($X$2:$X$1001,MATCH(ROWS($V$2:V43),$V$2:$V$1001,0),0), INDEX($AC$1004:$AS$1004,1,MATCH(COLUMNS($AC$1006:AJ1006),$AC$1006:$AS$1006,0)))),"Fix")))</f>
        <v xml:space="preserve"> </v>
      </c>
      <c r="J43" s="4" t="str">
        <f ca="1">IF(OR(INDEX($W$2:$W$1001,MATCH(ROWS($V$2:V43),$V$2:$V$1001,0),1)&gt;=100000,INDEX($AC$1005:$AS$1005,1,MATCH(COLUMNS($AC$1006:AK1006),$AC$1006:$AS$1006,0))&gt;=100000), " ",IF(INDEX($AC$2:$AS$1001,MATCH(ROWS($V$2:V43),$V$2:$V$1001,0),MATCH(COLUMNS($AC$1006:AK1006),$AC$1006:$AS$1006,0)), HYPERLINK("#",""), HYPERLINK(CONCATENATE("#metadata!", ADDRESS(INDEX($X$2:$X$1001,MATCH(ROWS($V$2:V43),$V$2:$V$1001,0),0), INDEX($AC$1004:$AS$1004,1,MATCH(COLUMNS($AC$1006:AK1006),$AC$1006:$AS$1006,0)))),"Fix")))</f>
        <v xml:space="preserve"> </v>
      </c>
      <c r="K43" s="4" t="str">
        <f ca="1">IF(OR(INDEX($W$2:$W$1001,MATCH(ROWS($V$2:V43),$V$2:$V$1001,0),1)&gt;=100000,INDEX($AC$1005:$AS$1005,1,MATCH(COLUMNS($AC$1006:AL1006),$AC$1006:$AS$1006,0))&gt;=100000), " ",IF(INDEX($AC$2:$AS$1001,MATCH(ROWS($V$2:V43),$V$2:$V$1001,0),MATCH(COLUMNS($AC$1006:AL1006),$AC$1006:$AS$1006,0)), HYPERLINK("#",""), HYPERLINK(CONCATENATE("#metadata!", ADDRESS(INDEX($X$2:$X$1001,MATCH(ROWS($V$2:V43),$V$2:$V$1001,0),0), INDEX($AC$1004:$AS$1004,1,MATCH(COLUMNS($AC$1006:AL1006),$AC$1006:$AS$1006,0)))),"Fix")))</f>
        <v xml:space="preserve"> </v>
      </c>
      <c r="L43" s="4" t="str">
        <f ca="1">IF(OR(INDEX($W$2:$W$1001,MATCH(ROWS($V$2:V43),$V$2:$V$1001,0),1)&gt;=100000,INDEX($AC$1005:$AS$1005,1,MATCH(COLUMNS($AC$1006:AM1006),$AC$1006:$AS$1006,0))&gt;=100000), " ",IF(INDEX($AC$2:$AS$1001,MATCH(ROWS($V$2:V43),$V$2:$V$1001,0),MATCH(COLUMNS($AC$1006:AM1006),$AC$1006:$AS$1006,0)), HYPERLINK("#",""), HYPERLINK(CONCATENATE("#metadata!", ADDRESS(INDEX($X$2:$X$1001,MATCH(ROWS($V$2:V43),$V$2:$V$1001,0),0), INDEX($AC$1004:$AS$1004,1,MATCH(COLUMNS($AC$1006:AM1006),$AC$1006:$AS$1006,0)))),"Fix")))</f>
        <v xml:space="preserve"> </v>
      </c>
      <c r="M43" s="4" t="str">
        <f ca="1">IF(OR(INDEX($W$2:$W$1001,MATCH(ROWS($V$2:V43),$V$2:$V$1001,0),1)&gt;=100000,INDEX($AC$1005:$AS$1005,1,MATCH(COLUMNS($AC$1006:AN1006),$AC$1006:$AS$1006,0))&gt;=100000), " ",IF(INDEX($AC$2:$AS$1001,MATCH(ROWS($V$2:V43),$V$2:$V$1001,0),MATCH(COLUMNS($AC$1006:AN1006),$AC$1006:$AS$1006,0)), HYPERLINK("#",""), HYPERLINK(CONCATENATE("#metadata!", ADDRESS(INDEX($X$2:$X$1001,MATCH(ROWS($V$2:V43),$V$2:$V$1001,0),0), INDEX($AC$1004:$AS$1004,1,MATCH(COLUMNS($AC$1006:AN1006),$AC$1006:$AS$1006,0)))),"Fix")))</f>
        <v xml:space="preserve"> </v>
      </c>
      <c r="N43" s="4" t="str">
        <f ca="1">IF(OR(INDEX($W$2:$W$1001,MATCH(ROWS($V$2:V43),$V$2:$V$1001,0),1)&gt;=100000,INDEX($AC$1005:$AS$1005,1,MATCH(COLUMNS($AC$1006:AO1006),$AC$1006:$AS$1006,0))&gt;=100000), " ",IF(INDEX($AC$2:$AS$1001,MATCH(ROWS($V$2:V43),$V$2:$V$1001,0),MATCH(COLUMNS($AC$1006:AO1006),$AC$1006:$AS$1006,0)), HYPERLINK("#",""), HYPERLINK(CONCATENATE("#metadata!", ADDRESS(INDEX($X$2:$X$1001,MATCH(ROWS($V$2:V43),$V$2:$V$1001,0),0), INDEX($AC$1004:$AS$1004,1,MATCH(COLUMNS($AC$1006:AO1006),$AC$1006:$AS$1006,0)))),"Fix")))</f>
        <v xml:space="preserve"> </v>
      </c>
      <c r="O43" s="4" t="str">
        <f ca="1">IF(OR(INDEX($W$2:$W$1001,MATCH(ROWS($V$2:V43),$V$2:$V$1001,0),1)&gt;=100000,INDEX($AC$1005:$AS$1005,1,MATCH(COLUMNS($AC$1006:AP1006),$AC$1006:$AS$1006,0))&gt;=100000), " ",IF(INDEX($AC$2:$AS$1001,MATCH(ROWS($V$2:V43),$V$2:$V$1001,0),MATCH(COLUMNS($AC$1006:AP1006),$AC$1006:$AS$1006,0)), HYPERLINK("#",""), HYPERLINK(CONCATENATE("#metadata!", ADDRESS(INDEX($X$2:$X$1001,MATCH(ROWS($V$2:V43),$V$2:$V$1001,0),0), INDEX($AC$1004:$AS$1004,1,MATCH(COLUMNS($AC$1006:AP1006),$AC$1006:$AS$1006,0)))),"Fix")))</f>
        <v xml:space="preserve"> </v>
      </c>
      <c r="P43" s="4" t="str">
        <f ca="1">IF(OR(INDEX($W$2:$W$1001,MATCH(ROWS($V$2:V43),$V$2:$V$1001,0),1)&gt;=100000,INDEX($AC$1005:$AS$1005,1,MATCH(COLUMNS($AC$1006:AQ1006),$AC$1006:$AS$1006,0))&gt;=100000), " ",IF(INDEX($AC$2:$AS$1001,MATCH(ROWS($V$2:V43),$V$2:$V$1001,0),MATCH(COLUMNS($AC$1006:AQ1006),$AC$1006:$AS$1006,0)), HYPERLINK("#",""), HYPERLINK(CONCATENATE("#metadata!", ADDRESS(INDEX($X$2:$X$1001,MATCH(ROWS($V$2:V43),$V$2:$V$1001,0),0), INDEX($AC$1004:$AS$1004,1,MATCH(COLUMNS($AC$1006:AQ1006),$AC$1006:$AS$1006,0)))),"Fix")))</f>
        <v xml:space="preserve"> </v>
      </c>
      <c r="Q43" s="4" t="str">
        <f ca="1">IF(OR(INDEX($W$2:$W$1001,MATCH(ROWS($V$2:V43),$V$2:$V$1001,0),1)&gt;=100000,INDEX($AC$1005:$AS$1005,1,MATCH(COLUMNS($AC$1006:AR1006),$AC$1006:$AS$1006,0))&gt;=100000), " ",IF(INDEX($AC$2:$AS$1001,MATCH(ROWS($V$2:V43),$V$2:$V$1001,0),MATCH(COLUMNS($AC$1006:AR1006),$AC$1006:$AS$1006,0)), HYPERLINK("#",""), HYPERLINK(CONCATENATE("#metadata!", ADDRESS(INDEX($X$2:$X$1001,MATCH(ROWS($V$2:V43),$V$2:$V$1001,0),0), INDEX($AC$1004:$AS$1004,1,MATCH(COLUMNS($AC$1006:AR1006),$AC$1006:$AS$1006,0)))),"Fix")))</f>
        <v xml:space="preserve"> </v>
      </c>
      <c r="R43" s="4" t="str">
        <f ca="1">IF(OR(INDEX($W$2:$W$1001,MATCH(ROWS($V$2:V43),$V$2:$V$1001,0),1)&gt;=100000,INDEX($AC$1005:$AS$1005,1,MATCH(COLUMNS($AC$1006:AS1006),$AC$1006:$AS$1006,0))&gt;=100000), " ",IF(INDEX($AC$2:$AS$1001,MATCH(ROWS($V$2:V43),$V$2:$V$1001,0),MATCH(COLUMNS($AC$1006:AS1006),$AC$1006:$AS$1006,0)), HYPERLINK("#",""), HYPERLINK(CONCATENATE("#metadata!", ADDRESS(INDEX($X$2:$X$1001,MATCH(ROWS($V$2:V43),$V$2:$V$1001,0),0), INDEX($AC$1004:$AS$1004,1,MATCH(COLUMNS($AC$1006:AS1006),$AC$1006:$AS$1006,0)))),"Fix")))</f>
        <v xml:space="preserve"> </v>
      </c>
      <c r="V43">
        <v>42</v>
      </c>
      <c r="W43">
        <v>100043</v>
      </c>
      <c r="X43">
        <v>43</v>
      </c>
      <c r="Y43" t="b">
        <f t="shared" si="0"/>
        <v>1</v>
      </c>
      <c r="Z43" t="b">
        <f>COUNTBLANK(metadata!B43:R43)=COLUMNS(metadata!B43:R43)</f>
        <v>1</v>
      </c>
      <c r="AA43" t="str">
        <v/>
      </c>
      <c r="AC43" t="b">
        <f ca="1"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AD43" t="b">
        <f>IF(metadata!C43="",FALSE,ISNUMBER(VALUE(metadata!C43)))</f>
        <v>0</v>
      </c>
      <c r="AE43" t="b">
        <f>AND(IF(metadata!D43="",FALSE,TRUE),EXACT(metadata!D43,"years"))</f>
        <v>0</v>
      </c>
      <c r="AF43" t="b">
        <f>OR(AND(IF(metadata!E43="",FALSE,TRUE),OR(EXACT(metadata!E43,"not applicable"),EXACT(metadata!E43,"missing: not collected"),EXACT(metadata!E43,"missing: not provided"),EXACT(metadata!E43,"missing: restricted access"))),AND(IF(metadata!E43="",FALSE,ISNUMBER(VALUE(metadata!E43))),metadata!E43&gt;0))</f>
        <v>0</v>
      </c>
      <c r="AG43" t="b">
        <f>AND(IF(metadata!F43="",FALSE,TRUE),EXACT(metadata!F43,"Not applicable"))</f>
        <v>0</v>
      </c>
      <c r="AH43" t="b">
        <f>AND(IF(metadata!G43="",FALSE,TRUE),EXACT(metadata!G43,"urban biome"))</f>
        <v>0</v>
      </c>
      <c r="AI43" t="b">
        <f>AND(IF(metadata!H43="",FALSE,TRUE),EXACT(metadata!H43,"human-associated habitat"))</f>
        <v>0</v>
      </c>
      <c r="AJ43" t="b">
        <f>AND(IF(metadata!I43="",FALSE,TRUE),OR(EXACT(metadata!I43,"human-associated"),EXACT(metadata!I43,"human-skin"),EXACT(metadata!I43,"human-oral"),EXACT(metadata!I43,"human-gut"),EXACT(metadata!I43,"human-vaginal")))</f>
        <v>0</v>
      </c>
      <c r="AK43" t="b">
        <f>IF(metadata!J43="",FALSE,ISNUMBER(VALUE(metadata!J43)))</f>
        <v>0</v>
      </c>
      <c r="AL43" t="b">
        <f>AND(IF(metadata!K43="",FALSE,TRUE),EXACT(metadata!K43,"cm"))</f>
        <v>0</v>
      </c>
      <c r="AM43" t="b">
        <f>AND(IF(metadata!L43="",FALSE,TRUE),EXACT(metadata!L43,"human"))</f>
        <v>0</v>
      </c>
      <c r="AN43" t="b">
        <f>AND(IF(metadata!M43="",FALSE,TRUE),EXACT(metadata!M43,"Homo sapiens"))</f>
        <v>0</v>
      </c>
      <c r="AO43" t="b">
        <f>AND(IF(metadata!N43="",FALSE,TRUE),EXACT(metadata!N43,"9606"))</f>
        <v>0</v>
      </c>
      <c r="AP43" t="b">
        <f>IF(metadata!O43="",FALSE,TRUE)</f>
        <v>0</v>
      </c>
      <c r="AQ43" t="b">
        <f>IF(metadata!P43="",FALSE,TRUE)</f>
        <v>0</v>
      </c>
      <c r="AR43" t="b">
        <f>IF(metadata!Q43="",FALSE,ISNUMBER(VALUE(metadata!Q43)))</f>
        <v>0</v>
      </c>
      <c r="AS43" t="b">
        <f>AND(IF(metadata!R43="",FALSE,TRUE),EXACT(metadata!R43,"kg"))</f>
        <v>0</v>
      </c>
    </row>
    <row r="44" spans="1:45" x14ac:dyDescent="0.2">
      <c r="A44" s="5" t="str">
        <f ca="1">IF(B44=" "," ",HYPERLINK(CONCATENATE("#metadata!",ADDRESS(INDEX($X$2:$X$1001,MATCH(ROWS($V$2:V44),$V$2:$V$1001,0),0),1)),INDEX($AA$2:$AA$1001,MATCH(ROWS($V$2:V44),$V$2:$V$1001,0),0)))</f>
        <v xml:space="preserve"> </v>
      </c>
      <c r="B44" s="4" t="str">
        <f ca="1">IF(OR(INDEX($W$2:$W$1001,MATCH(ROWS($V$2:V44),$V$2:$V$1001,0),1)&gt;=100000,INDEX($AC$1005:$AS$1005,1,MATCH(COLUMNS($AC$1006:AC1006),$AC$1006:$AS$1006,0))&gt;=100000), " ",IF(INDEX($AC$2:$AS$1001,MATCH(ROWS($V$2:V44),$V$2:$V$1001,0),MATCH(COLUMNS($AC$1006:AC1006),$AC$1006:$AS$1006,0)), HYPERLINK("#",""), HYPERLINK(CONCATENATE("#metadata!", ADDRESS(INDEX($X$2:$X$1001,MATCH(ROWS($V$2:V44),$V$2:$V$1001,0),0), INDEX($AC$1004:$AS$1004,1,MATCH(COLUMNS($AC$1006:AC1006),$AC$1006:$AS$1006,0)))),"Fix")))</f>
        <v xml:space="preserve"> </v>
      </c>
      <c r="C44" s="4" t="str">
        <f ca="1">IF(OR(INDEX($W$2:$W$1001,MATCH(ROWS($V$2:V44),$V$2:$V$1001,0),1)&gt;=100000,INDEX($AC$1005:$AS$1005,1,MATCH(COLUMNS($AC$1006:AD1006),$AC$1006:$AS$1006,0))&gt;=100000), " ",IF(INDEX($AC$2:$AS$1001,MATCH(ROWS($V$2:V44),$V$2:$V$1001,0),MATCH(COLUMNS($AC$1006:AD1006),$AC$1006:$AS$1006,0)), HYPERLINK("#",""), HYPERLINK(CONCATENATE("#metadata!", ADDRESS(INDEX($X$2:$X$1001,MATCH(ROWS($V$2:V44),$V$2:$V$1001,0),0), INDEX($AC$1004:$AS$1004,1,MATCH(COLUMNS($AC$1006:AD1006),$AC$1006:$AS$1006,0)))),"Fix")))</f>
        <v xml:space="preserve"> </v>
      </c>
      <c r="D44" s="4" t="str">
        <f ca="1">IF(OR(INDEX($W$2:$W$1001,MATCH(ROWS($V$2:V44),$V$2:$V$1001,0),1)&gt;=100000,INDEX($AC$1005:$AS$1005,1,MATCH(COLUMNS($AC$1006:AE1006),$AC$1006:$AS$1006,0))&gt;=100000), " ",IF(INDEX($AC$2:$AS$1001,MATCH(ROWS($V$2:V44),$V$2:$V$1001,0),MATCH(COLUMNS($AC$1006:AE1006),$AC$1006:$AS$1006,0)), HYPERLINK("#",""), HYPERLINK(CONCATENATE("#metadata!", ADDRESS(INDEX($X$2:$X$1001,MATCH(ROWS($V$2:V44),$V$2:$V$1001,0),0), INDEX($AC$1004:$AS$1004,1,MATCH(COLUMNS($AC$1006:AE1006),$AC$1006:$AS$1006,0)))),"Fix")))</f>
        <v xml:space="preserve"> </v>
      </c>
      <c r="E44" s="4" t="str">
        <f ca="1">IF(OR(INDEX($W$2:$W$1001,MATCH(ROWS($V$2:V44),$V$2:$V$1001,0),1)&gt;=100000,INDEX($AC$1005:$AS$1005,1,MATCH(COLUMNS($AC$1006:AF1006),$AC$1006:$AS$1006,0))&gt;=100000), " ",IF(INDEX($AC$2:$AS$1001,MATCH(ROWS($V$2:V44),$V$2:$V$1001,0),MATCH(COLUMNS($AC$1006:AF1006),$AC$1006:$AS$1006,0)), HYPERLINK("#",""), HYPERLINK(CONCATENATE("#metadata!", ADDRESS(INDEX($X$2:$X$1001,MATCH(ROWS($V$2:V44),$V$2:$V$1001,0),0), INDEX($AC$1004:$AS$1004,1,MATCH(COLUMNS($AC$1006:AF1006),$AC$1006:$AS$1006,0)))),"Fix")))</f>
        <v xml:space="preserve"> </v>
      </c>
      <c r="F44" s="4" t="str">
        <f ca="1">IF(OR(INDEX($W$2:$W$1001,MATCH(ROWS($V$2:V44),$V$2:$V$1001,0),1)&gt;=100000,INDEX($AC$1005:$AS$1005,1,MATCH(COLUMNS($AC$1006:AG1006),$AC$1006:$AS$1006,0))&gt;=100000), " ",IF(INDEX($AC$2:$AS$1001,MATCH(ROWS($V$2:V44),$V$2:$V$1001,0),MATCH(COLUMNS($AC$1006:AG1006),$AC$1006:$AS$1006,0)), HYPERLINK("#",""), HYPERLINK(CONCATENATE("#metadata!", ADDRESS(INDEX($X$2:$X$1001,MATCH(ROWS($V$2:V44),$V$2:$V$1001,0),0), INDEX($AC$1004:$AS$1004,1,MATCH(COLUMNS($AC$1006:AG1006),$AC$1006:$AS$1006,0)))),"Fix")))</f>
        <v xml:space="preserve"> </v>
      </c>
      <c r="G44" s="4" t="str">
        <f ca="1">IF(OR(INDEX($W$2:$W$1001,MATCH(ROWS($V$2:V44),$V$2:$V$1001,0),1)&gt;=100000,INDEX($AC$1005:$AS$1005,1,MATCH(COLUMNS($AC$1006:AH1006),$AC$1006:$AS$1006,0))&gt;=100000), " ",IF(INDEX($AC$2:$AS$1001,MATCH(ROWS($V$2:V44),$V$2:$V$1001,0),MATCH(COLUMNS($AC$1006:AH1006),$AC$1006:$AS$1006,0)), HYPERLINK("#",""), HYPERLINK(CONCATENATE("#metadata!", ADDRESS(INDEX($X$2:$X$1001,MATCH(ROWS($V$2:V44),$V$2:$V$1001,0),0), INDEX($AC$1004:$AS$1004,1,MATCH(COLUMNS($AC$1006:AH1006),$AC$1006:$AS$1006,0)))),"Fix")))</f>
        <v xml:space="preserve"> </v>
      </c>
      <c r="H44" s="4" t="str">
        <f ca="1">IF(OR(INDEX($W$2:$W$1001,MATCH(ROWS($V$2:V44),$V$2:$V$1001,0),1)&gt;=100000,INDEX($AC$1005:$AS$1005,1,MATCH(COLUMNS($AC$1006:AI1006),$AC$1006:$AS$1006,0))&gt;=100000), " ",IF(INDEX($AC$2:$AS$1001,MATCH(ROWS($V$2:V44),$V$2:$V$1001,0),MATCH(COLUMNS($AC$1006:AI1006),$AC$1006:$AS$1006,0)), HYPERLINK("#",""), HYPERLINK(CONCATENATE("#metadata!", ADDRESS(INDEX($X$2:$X$1001,MATCH(ROWS($V$2:V44),$V$2:$V$1001,0),0), INDEX($AC$1004:$AS$1004,1,MATCH(COLUMNS($AC$1006:AI1006),$AC$1006:$AS$1006,0)))),"Fix")))</f>
        <v xml:space="preserve"> </v>
      </c>
      <c r="I44" s="4" t="str">
        <f ca="1">IF(OR(INDEX($W$2:$W$1001,MATCH(ROWS($V$2:V44),$V$2:$V$1001,0),1)&gt;=100000,INDEX($AC$1005:$AS$1005,1,MATCH(COLUMNS($AC$1006:AJ1006),$AC$1006:$AS$1006,0))&gt;=100000), " ",IF(INDEX($AC$2:$AS$1001,MATCH(ROWS($V$2:V44),$V$2:$V$1001,0),MATCH(COLUMNS($AC$1006:AJ1006),$AC$1006:$AS$1006,0)), HYPERLINK("#",""), HYPERLINK(CONCATENATE("#metadata!", ADDRESS(INDEX($X$2:$X$1001,MATCH(ROWS($V$2:V44),$V$2:$V$1001,0),0), INDEX($AC$1004:$AS$1004,1,MATCH(COLUMNS($AC$1006:AJ1006),$AC$1006:$AS$1006,0)))),"Fix")))</f>
        <v xml:space="preserve"> </v>
      </c>
      <c r="J44" s="4" t="str">
        <f ca="1">IF(OR(INDEX($W$2:$W$1001,MATCH(ROWS($V$2:V44),$V$2:$V$1001,0),1)&gt;=100000,INDEX($AC$1005:$AS$1005,1,MATCH(COLUMNS($AC$1006:AK1006),$AC$1006:$AS$1006,0))&gt;=100000), " ",IF(INDEX($AC$2:$AS$1001,MATCH(ROWS($V$2:V44),$V$2:$V$1001,0),MATCH(COLUMNS($AC$1006:AK1006),$AC$1006:$AS$1006,0)), HYPERLINK("#",""), HYPERLINK(CONCATENATE("#metadata!", ADDRESS(INDEX($X$2:$X$1001,MATCH(ROWS($V$2:V44),$V$2:$V$1001,0),0), INDEX($AC$1004:$AS$1004,1,MATCH(COLUMNS($AC$1006:AK1006),$AC$1006:$AS$1006,0)))),"Fix")))</f>
        <v xml:space="preserve"> </v>
      </c>
      <c r="K44" s="4" t="str">
        <f ca="1">IF(OR(INDEX($W$2:$W$1001,MATCH(ROWS($V$2:V44),$V$2:$V$1001,0),1)&gt;=100000,INDEX($AC$1005:$AS$1005,1,MATCH(COLUMNS($AC$1006:AL1006),$AC$1006:$AS$1006,0))&gt;=100000), " ",IF(INDEX($AC$2:$AS$1001,MATCH(ROWS($V$2:V44),$V$2:$V$1001,0),MATCH(COLUMNS($AC$1006:AL1006),$AC$1006:$AS$1006,0)), HYPERLINK("#",""), HYPERLINK(CONCATENATE("#metadata!", ADDRESS(INDEX($X$2:$X$1001,MATCH(ROWS($V$2:V44),$V$2:$V$1001,0),0), INDEX($AC$1004:$AS$1004,1,MATCH(COLUMNS($AC$1006:AL1006),$AC$1006:$AS$1006,0)))),"Fix")))</f>
        <v xml:space="preserve"> </v>
      </c>
      <c r="L44" s="4" t="str">
        <f ca="1">IF(OR(INDEX($W$2:$W$1001,MATCH(ROWS($V$2:V44),$V$2:$V$1001,0),1)&gt;=100000,INDEX($AC$1005:$AS$1005,1,MATCH(COLUMNS($AC$1006:AM1006),$AC$1006:$AS$1006,0))&gt;=100000), " ",IF(INDEX($AC$2:$AS$1001,MATCH(ROWS($V$2:V44),$V$2:$V$1001,0),MATCH(COLUMNS($AC$1006:AM1006),$AC$1006:$AS$1006,0)), HYPERLINK("#",""), HYPERLINK(CONCATENATE("#metadata!", ADDRESS(INDEX($X$2:$X$1001,MATCH(ROWS($V$2:V44),$V$2:$V$1001,0),0), INDEX($AC$1004:$AS$1004,1,MATCH(COLUMNS($AC$1006:AM1006),$AC$1006:$AS$1006,0)))),"Fix")))</f>
        <v xml:space="preserve"> </v>
      </c>
      <c r="M44" s="4" t="str">
        <f ca="1">IF(OR(INDEX($W$2:$W$1001,MATCH(ROWS($V$2:V44),$V$2:$V$1001,0),1)&gt;=100000,INDEX($AC$1005:$AS$1005,1,MATCH(COLUMNS($AC$1006:AN1006),$AC$1006:$AS$1006,0))&gt;=100000), " ",IF(INDEX($AC$2:$AS$1001,MATCH(ROWS($V$2:V44),$V$2:$V$1001,0),MATCH(COLUMNS($AC$1006:AN1006),$AC$1006:$AS$1006,0)), HYPERLINK("#",""), HYPERLINK(CONCATENATE("#metadata!", ADDRESS(INDEX($X$2:$X$1001,MATCH(ROWS($V$2:V44),$V$2:$V$1001,0),0), INDEX($AC$1004:$AS$1004,1,MATCH(COLUMNS($AC$1006:AN1006),$AC$1006:$AS$1006,0)))),"Fix")))</f>
        <v xml:space="preserve"> </v>
      </c>
      <c r="N44" s="4" t="str">
        <f ca="1">IF(OR(INDEX($W$2:$W$1001,MATCH(ROWS($V$2:V44),$V$2:$V$1001,0),1)&gt;=100000,INDEX($AC$1005:$AS$1005,1,MATCH(COLUMNS($AC$1006:AO1006),$AC$1006:$AS$1006,0))&gt;=100000), " ",IF(INDEX($AC$2:$AS$1001,MATCH(ROWS($V$2:V44),$V$2:$V$1001,0),MATCH(COLUMNS($AC$1006:AO1006),$AC$1006:$AS$1006,0)), HYPERLINK("#",""), HYPERLINK(CONCATENATE("#metadata!", ADDRESS(INDEX($X$2:$X$1001,MATCH(ROWS($V$2:V44),$V$2:$V$1001,0),0), INDEX($AC$1004:$AS$1004,1,MATCH(COLUMNS($AC$1006:AO1006),$AC$1006:$AS$1006,0)))),"Fix")))</f>
        <v xml:space="preserve"> </v>
      </c>
      <c r="O44" s="4" t="str">
        <f ca="1">IF(OR(INDEX($W$2:$W$1001,MATCH(ROWS($V$2:V44),$V$2:$V$1001,0),1)&gt;=100000,INDEX($AC$1005:$AS$1005,1,MATCH(COLUMNS($AC$1006:AP1006),$AC$1006:$AS$1006,0))&gt;=100000), " ",IF(INDEX($AC$2:$AS$1001,MATCH(ROWS($V$2:V44),$V$2:$V$1001,0),MATCH(COLUMNS($AC$1006:AP1006),$AC$1006:$AS$1006,0)), HYPERLINK("#",""), HYPERLINK(CONCATENATE("#metadata!", ADDRESS(INDEX($X$2:$X$1001,MATCH(ROWS($V$2:V44),$V$2:$V$1001,0),0), INDEX($AC$1004:$AS$1004,1,MATCH(COLUMNS($AC$1006:AP1006),$AC$1006:$AS$1006,0)))),"Fix")))</f>
        <v xml:space="preserve"> </v>
      </c>
      <c r="P44" s="4" t="str">
        <f ca="1">IF(OR(INDEX($W$2:$W$1001,MATCH(ROWS($V$2:V44),$V$2:$V$1001,0),1)&gt;=100000,INDEX($AC$1005:$AS$1005,1,MATCH(COLUMNS($AC$1006:AQ1006),$AC$1006:$AS$1006,0))&gt;=100000), " ",IF(INDEX($AC$2:$AS$1001,MATCH(ROWS($V$2:V44),$V$2:$V$1001,0),MATCH(COLUMNS($AC$1006:AQ1006),$AC$1006:$AS$1006,0)), HYPERLINK("#",""), HYPERLINK(CONCATENATE("#metadata!", ADDRESS(INDEX($X$2:$X$1001,MATCH(ROWS($V$2:V44),$V$2:$V$1001,0),0), INDEX($AC$1004:$AS$1004,1,MATCH(COLUMNS($AC$1006:AQ1006),$AC$1006:$AS$1006,0)))),"Fix")))</f>
        <v xml:space="preserve"> </v>
      </c>
      <c r="Q44" s="4" t="str">
        <f ca="1">IF(OR(INDEX($W$2:$W$1001,MATCH(ROWS($V$2:V44),$V$2:$V$1001,0),1)&gt;=100000,INDEX($AC$1005:$AS$1005,1,MATCH(COLUMNS($AC$1006:AR1006),$AC$1006:$AS$1006,0))&gt;=100000), " ",IF(INDEX($AC$2:$AS$1001,MATCH(ROWS($V$2:V44),$V$2:$V$1001,0),MATCH(COLUMNS($AC$1006:AR1006),$AC$1006:$AS$1006,0)), HYPERLINK("#",""), HYPERLINK(CONCATENATE("#metadata!", ADDRESS(INDEX($X$2:$X$1001,MATCH(ROWS($V$2:V44),$V$2:$V$1001,0),0), INDEX($AC$1004:$AS$1004,1,MATCH(COLUMNS($AC$1006:AR1006),$AC$1006:$AS$1006,0)))),"Fix")))</f>
        <v xml:space="preserve"> </v>
      </c>
      <c r="R44" s="4" t="str">
        <f ca="1">IF(OR(INDEX($W$2:$W$1001,MATCH(ROWS($V$2:V44),$V$2:$V$1001,0),1)&gt;=100000,INDEX($AC$1005:$AS$1005,1,MATCH(COLUMNS($AC$1006:AS1006),$AC$1006:$AS$1006,0))&gt;=100000), " ",IF(INDEX($AC$2:$AS$1001,MATCH(ROWS($V$2:V44),$V$2:$V$1001,0),MATCH(COLUMNS($AC$1006:AS1006),$AC$1006:$AS$1006,0)), HYPERLINK("#",""), HYPERLINK(CONCATENATE("#metadata!", ADDRESS(INDEX($X$2:$X$1001,MATCH(ROWS($V$2:V44),$V$2:$V$1001,0),0), INDEX($AC$1004:$AS$1004,1,MATCH(COLUMNS($AC$1006:AS1006),$AC$1006:$AS$1006,0)))),"Fix")))</f>
        <v xml:space="preserve"> </v>
      </c>
      <c r="V44">
        <v>43</v>
      </c>
      <c r="W44">
        <v>100044</v>
      </c>
      <c r="X44">
        <v>44</v>
      </c>
      <c r="Y44" t="b">
        <f t="shared" si="0"/>
        <v>1</v>
      </c>
      <c r="Z44" t="b">
        <f>COUNTBLANK(metadata!B44:R44)=COLUMNS(metadata!B44:R44)</f>
        <v>1</v>
      </c>
      <c r="AA44" t="str">
        <v/>
      </c>
      <c r="AC44" t="b">
        <f ca="1"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AD44" t="b">
        <f>IF(metadata!C44="",FALSE,ISNUMBER(VALUE(metadata!C44)))</f>
        <v>0</v>
      </c>
      <c r="AE44" t="b">
        <f>AND(IF(metadata!D44="",FALSE,TRUE),EXACT(metadata!D44,"years"))</f>
        <v>0</v>
      </c>
      <c r="AF44" t="b">
        <f>OR(AND(IF(metadata!E44="",FALSE,TRUE),OR(EXACT(metadata!E44,"not applicable"),EXACT(metadata!E44,"missing: not collected"),EXACT(metadata!E44,"missing: not provided"),EXACT(metadata!E44,"missing: restricted access"))),AND(IF(metadata!E44="",FALSE,ISNUMBER(VALUE(metadata!E44))),metadata!E44&gt;0))</f>
        <v>0</v>
      </c>
      <c r="AG44" t="b">
        <f>AND(IF(metadata!F44="",FALSE,TRUE),EXACT(metadata!F44,"Not applicable"))</f>
        <v>0</v>
      </c>
      <c r="AH44" t="b">
        <f>AND(IF(metadata!G44="",FALSE,TRUE),EXACT(metadata!G44,"urban biome"))</f>
        <v>0</v>
      </c>
      <c r="AI44" t="b">
        <f>AND(IF(metadata!H44="",FALSE,TRUE),EXACT(metadata!H44,"human-associated habitat"))</f>
        <v>0</v>
      </c>
      <c r="AJ44" t="b">
        <f>AND(IF(metadata!I44="",FALSE,TRUE),OR(EXACT(metadata!I44,"human-associated"),EXACT(metadata!I44,"human-skin"),EXACT(metadata!I44,"human-oral"),EXACT(metadata!I44,"human-gut"),EXACT(metadata!I44,"human-vaginal")))</f>
        <v>0</v>
      </c>
      <c r="AK44" t="b">
        <f>IF(metadata!J44="",FALSE,ISNUMBER(VALUE(metadata!J44)))</f>
        <v>0</v>
      </c>
      <c r="AL44" t="b">
        <f>AND(IF(metadata!K44="",FALSE,TRUE),EXACT(metadata!K44,"cm"))</f>
        <v>0</v>
      </c>
      <c r="AM44" t="b">
        <f>AND(IF(metadata!L44="",FALSE,TRUE),EXACT(metadata!L44,"human"))</f>
        <v>0</v>
      </c>
      <c r="AN44" t="b">
        <f>AND(IF(metadata!M44="",FALSE,TRUE),EXACT(metadata!M44,"Homo sapiens"))</f>
        <v>0</v>
      </c>
      <c r="AO44" t="b">
        <f>AND(IF(metadata!N44="",FALSE,TRUE),EXACT(metadata!N44,"9606"))</f>
        <v>0</v>
      </c>
      <c r="AP44" t="b">
        <f>IF(metadata!O44="",FALSE,TRUE)</f>
        <v>0</v>
      </c>
      <c r="AQ44" t="b">
        <f>IF(metadata!P44="",FALSE,TRUE)</f>
        <v>0</v>
      </c>
      <c r="AR44" t="b">
        <f>IF(metadata!Q44="",FALSE,ISNUMBER(VALUE(metadata!Q44)))</f>
        <v>0</v>
      </c>
      <c r="AS44" t="b">
        <f>AND(IF(metadata!R44="",FALSE,TRUE),EXACT(metadata!R44,"kg"))</f>
        <v>0</v>
      </c>
    </row>
    <row r="45" spans="1:45" x14ac:dyDescent="0.2">
      <c r="A45" s="5" t="str">
        <f ca="1">IF(B45=" "," ",HYPERLINK(CONCATENATE("#metadata!",ADDRESS(INDEX($X$2:$X$1001,MATCH(ROWS($V$2:V45),$V$2:$V$1001,0),0),1)),INDEX($AA$2:$AA$1001,MATCH(ROWS($V$2:V45),$V$2:$V$1001,0),0)))</f>
        <v xml:space="preserve"> </v>
      </c>
      <c r="B45" s="4" t="str">
        <f ca="1">IF(OR(INDEX($W$2:$W$1001,MATCH(ROWS($V$2:V45),$V$2:$V$1001,0),1)&gt;=100000,INDEX($AC$1005:$AS$1005,1,MATCH(COLUMNS($AC$1006:AC1006),$AC$1006:$AS$1006,0))&gt;=100000), " ",IF(INDEX($AC$2:$AS$1001,MATCH(ROWS($V$2:V45),$V$2:$V$1001,0),MATCH(COLUMNS($AC$1006:AC1006),$AC$1006:$AS$1006,0)), HYPERLINK("#",""), HYPERLINK(CONCATENATE("#metadata!", ADDRESS(INDEX($X$2:$X$1001,MATCH(ROWS($V$2:V45),$V$2:$V$1001,0),0), INDEX($AC$1004:$AS$1004,1,MATCH(COLUMNS($AC$1006:AC1006),$AC$1006:$AS$1006,0)))),"Fix")))</f>
        <v xml:space="preserve"> </v>
      </c>
      <c r="C45" s="4" t="str">
        <f ca="1">IF(OR(INDEX($W$2:$W$1001,MATCH(ROWS($V$2:V45),$V$2:$V$1001,0),1)&gt;=100000,INDEX($AC$1005:$AS$1005,1,MATCH(COLUMNS($AC$1006:AD1006),$AC$1006:$AS$1006,0))&gt;=100000), " ",IF(INDEX($AC$2:$AS$1001,MATCH(ROWS($V$2:V45),$V$2:$V$1001,0),MATCH(COLUMNS($AC$1006:AD1006),$AC$1006:$AS$1006,0)), HYPERLINK("#",""), HYPERLINK(CONCATENATE("#metadata!", ADDRESS(INDEX($X$2:$X$1001,MATCH(ROWS($V$2:V45),$V$2:$V$1001,0),0), INDEX($AC$1004:$AS$1004,1,MATCH(COLUMNS($AC$1006:AD1006),$AC$1006:$AS$1006,0)))),"Fix")))</f>
        <v xml:space="preserve"> </v>
      </c>
      <c r="D45" s="4" t="str">
        <f ca="1">IF(OR(INDEX($W$2:$W$1001,MATCH(ROWS($V$2:V45),$V$2:$V$1001,0),1)&gt;=100000,INDEX($AC$1005:$AS$1005,1,MATCH(COLUMNS($AC$1006:AE1006),$AC$1006:$AS$1006,0))&gt;=100000), " ",IF(INDEX($AC$2:$AS$1001,MATCH(ROWS($V$2:V45),$V$2:$V$1001,0),MATCH(COLUMNS($AC$1006:AE1006),$AC$1006:$AS$1006,0)), HYPERLINK("#",""), HYPERLINK(CONCATENATE("#metadata!", ADDRESS(INDEX($X$2:$X$1001,MATCH(ROWS($V$2:V45),$V$2:$V$1001,0),0), INDEX($AC$1004:$AS$1004,1,MATCH(COLUMNS($AC$1006:AE1006),$AC$1006:$AS$1006,0)))),"Fix")))</f>
        <v xml:space="preserve"> </v>
      </c>
      <c r="E45" s="4" t="str">
        <f ca="1">IF(OR(INDEX($W$2:$W$1001,MATCH(ROWS($V$2:V45),$V$2:$V$1001,0),1)&gt;=100000,INDEX($AC$1005:$AS$1005,1,MATCH(COLUMNS($AC$1006:AF1006),$AC$1006:$AS$1006,0))&gt;=100000), " ",IF(INDEX($AC$2:$AS$1001,MATCH(ROWS($V$2:V45),$V$2:$V$1001,0),MATCH(COLUMNS($AC$1006:AF1006),$AC$1006:$AS$1006,0)), HYPERLINK("#",""), HYPERLINK(CONCATENATE("#metadata!", ADDRESS(INDEX($X$2:$X$1001,MATCH(ROWS($V$2:V45),$V$2:$V$1001,0),0), INDEX($AC$1004:$AS$1004,1,MATCH(COLUMNS($AC$1006:AF1006),$AC$1006:$AS$1006,0)))),"Fix")))</f>
        <v xml:space="preserve"> </v>
      </c>
      <c r="F45" s="4" t="str">
        <f ca="1">IF(OR(INDEX($W$2:$W$1001,MATCH(ROWS($V$2:V45),$V$2:$V$1001,0),1)&gt;=100000,INDEX($AC$1005:$AS$1005,1,MATCH(COLUMNS($AC$1006:AG1006),$AC$1006:$AS$1006,0))&gt;=100000), " ",IF(INDEX($AC$2:$AS$1001,MATCH(ROWS($V$2:V45),$V$2:$V$1001,0),MATCH(COLUMNS($AC$1006:AG1006),$AC$1006:$AS$1006,0)), HYPERLINK("#",""), HYPERLINK(CONCATENATE("#metadata!", ADDRESS(INDEX($X$2:$X$1001,MATCH(ROWS($V$2:V45),$V$2:$V$1001,0),0), INDEX($AC$1004:$AS$1004,1,MATCH(COLUMNS($AC$1006:AG1006),$AC$1006:$AS$1006,0)))),"Fix")))</f>
        <v xml:space="preserve"> </v>
      </c>
      <c r="G45" s="4" t="str">
        <f ca="1">IF(OR(INDEX($W$2:$W$1001,MATCH(ROWS($V$2:V45),$V$2:$V$1001,0),1)&gt;=100000,INDEX($AC$1005:$AS$1005,1,MATCH(COLUMNS($AC$1006:AH1006),$AC$1006:$AS$1006,0))&gt;=100000), " ",IF(INDEX($AC$2:$AS$1001,MATCH(ROWS($V$2:V45),$V$2:$V$1001,0),MATCH(COLUMNS($AC$1006:AH1006),$AC$1006:$AS$1006,0)), HYPERLINK("#",""), HYPERLINK(CONCATENATE("#metadata!", ADDRESS(INDEX($X$2:$X$1001,MATCH(ROWS($V$2:V45),$V$2:$V$1001,0),0), INDEX($AC$1004:$AS$1004,1,MATCH(COLUMNS($AC$1006:AH1006),$AC$1006:$AS$1006,0)))),"Fix")))</f>
        <v xml:space="preserve"> </v>
      </c>
      <c r="H45" s="4" t="str">
        <f ca="1">IF(OR(INDEX($W$2:$W$1001,MATCH(ROWS($V$2:V45),$V$2:$V$1001,0),1)&gt;=100000,INDEX($AC$1005:$AS$1005,1,MATCH(COLUMNS($AC$1006:AI1006),$AC$1006:$AS$1006,0))&gt;=100000), " ",IF(INDEX($AC$2:$AS$1001,MATCH(ROWS($V$2:V45),$V$2:$V$1001,0),MATCH(COLUMNS($AC$1006:AI1006),$AC$1006:$AS$1006,0)), HYPERLINK("#",""), HYPERLINK(CONCATENATE("#metadata!", ADDRESS(INDEX($X$2:$X$1001,MATCH(ROWS($V$2:V45),$V$2:$V$1001,0),0), INDEX($AC$1004:$AS$1004,1,MATCH(COLUMNS($AC$1006:AI1006),$AC$1006:$AS$1006,0)))),"Fix")))</f>
        <v xml:space="preserve"> </v>
      </c>
      <c r="I45" s="4" t="str">
        <f ca="1">IF(OR(INDEX($W$2:$W$1001,MATCH(ROWS($V$2:V45),$V$2:$V$1001,0),1)&gt;=100000,INDEX($AC$1005:$AS$1005,1,MATCH(COLUMNS($AC$1006:AJ1006),$AC$1006:$AS$1006,0))&gt;=100000), " ",IF(INDEX($AC$2:$AS$1001,MATCH(ROWS($V$2:V45),$V$2:$V$1001,0),MATCH(COLUMNS($AC$1006:AJ1006),$AC$1006:$AS$1006,0)), HYPERLINK("#",""), HYPERLINK(CONCATENATE("#metadata!", ADDRESS(INDEX($X$2:$X$1001,MATCH(ROWS($V$2:V45),$V$2:$V$1001,0),0), INDEX($AC$1004:$AS$1004,1,MATCH(COLUMNS($AC$1006:AJ1006),$AC$1006:$AS$1006,0)))),"Fix")))</f>
        <v xml:space="preserve"> </v>
      </c>
      <c r="J45" s="4" t="str">
        <f ca="1">IF(OR(INDEX($W$2:$W$1001,MATCH(ROWS($V$2:V45),$V$2:$V$1001,0),1)&gt;=100000,INDEX($AC$1005:$AS$1005,1,MATCH(COLUMNS($AC$1006:AK1006),$AC$1006:$AS$1006,0))&gt;=100000), " ",IF(INDEX($AC$2:$AS$1001,MATCH(ROWS($V$2:V45),$V$2:$V$1001,0),MATCH(COLUMNS($AC$1006:AK1006),$AC$1006:$AS$1006,0)), HYPERLINK("#",""), HYPERLINK(CONCATENATE("#metadata!", ADDRESS(INDEX($X$2:$X$1001,MATCH(ROWS($V$2:V45),$V$2:$V$1001,0),0), INDEX($AC$1004:$AS$1004,1,MATCH(COLUMNS($AC$1006:AK1006),$AC$1006:$AS$1006,0)))),"Fix")))</f>
        <v xml:space="preserve"> </v>
      </c>
      <c r="K45" s="4" t="str">
        <f ca="1">IF(OR(INDEX($W$2:$W$1001,MATCH(ROWS($V$2:V45),$V$2:$V$1001,0),1)&gt;=100000,INDEX($AC$1005:$AS$1005,1,MATCH(COLUMNS($AC$1006:AL1006),$AC$1006:$AS$1006,0))&gt;=100000), " ",IF(INDEX($AC$2:$AS$1001,MATCH(ROWS($V$2:V45),$V$2:$V$1001,0),MATCH(COLUMNS($AC$1006:AL1006),$AC$1006:$AS$1006,0)), HYPERLINK("#",""), HYPERLINK(CONCATENATE("#metadata!", ADDRESS(INDEX($X$2:$X$1001,MATCH(ROWS($V$2:V45),$V$2:$V$1001,0),0), INDEX($AC$1004:$AS$1004,1,MATCH(COLUMNS($AC$1006:AL1006),$AC$1006:$AS$1006,0)))),"Fix")))</f>
        <v xml:space="preserve"> </v>
      </c>
      <c r="L45" s="4" t="str">
        <f ca="1">IF(OR(INDEX($W$2:$W$1001,MATCH(ROWS($V$2:V45),$V$2:$V$1001,0),1)&gt;=100000,INDEX($AC$1005:$AS$1005,1,MATCH(COLUMNS($AC$1006:AM1006),$AC$1006:$AS$1006,0))&gt;=100000), " ",IF(INDEX($AC$2:$AS$1001,MATCH(ROWS($V$2:V45),$V$2:$V$1001,0),MATCH(COLUMNS($AC$1006:AM1006),$AC$1006:$AS$1006,0)), HYPERLINK("#",""), HYPERLINK(CONCATENATE("#metadata!", ADDRESS(INDEX($X$2:$X$1001,MATCH(ROWS($V$2:V45),$V$2:$V$1001,0),0), INDEX($AC$1004:$AS$1004,1,MATCH(COLUMNS($AC$1006:AM1006),$AC$1006:$AS$1006,0)))),"Fix")))</f>
        <v xml:space="preserve"> </v>
      </c>
      <c r="M45" s="4" t="str">
        <f ca="1">IF(OR(INDEX($W$2:$W$1001,MATCH(ROWS($V$2:V45),$V$2:$V$1001,0),1)&gt;=100000,INDEX($AC$1005:$AS$1005,1,MATCH(COLUMNS($AC$1006:AN1006),$AC$1006:$AS$1006,0))&gt;=100000), " ",IF(INDEX($AC$2:$AS$1001,MATCH(ROWS($V$2:V45),$V$2:$V$1001,0),MATCH(COLUMNS($AC$1006:AN1006),$AC$1006:$AS$1006,0)), HYPERLINK("#",""), HYPERLINK(CONCATENATE("#metadata!", ADDRESS(INDEX($X$2:$X$1001,MATCH(ROWS($V$2:V45),$V$2:$V$1001,0),0), INDEX($AC$1004:$AS$1004,1,MATCH(COLUMNS($AC$1006:AN1006),$AC$1006:$AS$1006,0)))),"Fix")))</f>
        <v xml:space="preserve"> </v>
      </c>
      <c r="N45" s="4" t="str">
        <f ca="1">IF(OR(INDEX($W$2:$W$1001,MATCH(ROWS($V$2:V45),$V$2:$V$1001,0),1)&gt;=100000,INDEX($AC$1005:$AS$1005,1,MATCH(COLUMNS($AC$1006:AO1006),$AC$1006:$AS$1006,0))&gt;=100000), " ",IF(INDEX($AC$2:$AS$1001,MATCH(ROWS($V$2:V45),$V$2:$V$1001,0),MATCH(COLUMNS($AC$1006:AO1006),$AC$1006:$AS$1006,0)), HYPERLINK("#",""), HYPERLINK(CONCATENATE("#metadata!", ADDRESS(INDEX($X$2:$X$1001,MATCH(ROWS($V$2:V45),$V$2:$V$1001,0),0), INDEX($AC$1004:$AS$1004,1,MATCH(COLUMNS($AC$1006:AO1006),$AC$1006:$AS$1006,0)))),"Fix")))</f>
        <v xml:space="preserve"> </v>
      </c>
      <c r="O45" s="4" t="str">
        <f ca="1">IF(OR(INDEX($W$2:$W$1001,MATCH(ROWS($V$2:V45),$V$2:$V$1001,0),1)&gt;=100000,INDEX($AC$1005:$AS$1005,1,MATCH(COLUMNS($AC$1006:AP1006),$AC$1006:$AS$1006,0))&gt;=100000), " ",IF(INDEX($AC$2:$AS$1001,MATCH(ROWS($V$2:V45),$V$2:$V$1001,0),MATCH(COLUMNS($AC$1006:AP1006),$AC$1006:$AS$1006,0)), HYPERLINK("#",""), HYPERLINK(CONCATENATE("#metadata!", ADDRESS(INDEX($X$2:$X$1001,MATCH(ROWS($V$2:V45),$V$2:$V$1001,0),0), INDEX($AC$1004:$AS$1004,1,MATCH(COLUMNS($AC$1006:AP1006),$AC$1006:$AS$1006,0)))),"Fix")))</f>
        <v xml:space="preserve"> </v>
      </c>
      <c r="P45" s="4" t="str">
        <f ca="1">IF(OR(INDEX($W$2:$W$1001,MATCH(ROWS($V$2:V45),$V$2:$V$1001,0),1)&gt;=100000,INDEX($AC$1005:$AS$1005,1,MATCH(COLUMNS($AC$1006:AQ1006),$AC$1006:$AS$1006,0))&gt;=100000), " ",IF(INDEX($AC$2:$AS$1001,MATCH(ROWS($V$2:V45),$V$2:$V$1001,0),MATCH(COLUMNS($AC$1006:AQ1006),$AC$1006:$AS$1006,0)), HYPERLINK("#",""), HYPERLINK(CONCATENATE("#metadata!", ADDRESS(INDEX($X$2:$X$1001,MATCH(ROWS($V$2:V45),$V$2:$V$1001,0),0), INDEX($AC$1004:$AS$1004,1,MATCH(COLUMNS($AC$1006:AQ1006),$AC$1006:$AS$1006,0)))),"Fix")))</f>
        <v xml:space="preserve"> </v>
      </c>
      <c r="Q45" s="4" t="str">
        <f ca="1">IF(OR(INDEX($W$2:$W$1001,MATCH(ROWS($V$2:V45),$V$2:$V$1001,0),1)&gt;=100000,INDEX($AC$1005:$AS$1005,1,MATCH(COLUMNS($AC$1006:AR1006),$AC$1006:$AS$1006,0))&gt;=100000), " ",IF(INDEX($AC$2:$AS$1001,MATCH(ROWS($V$2:V45),$V$2:$V$1001,0),MATCH(COLUMNS($AC$1006:AR1006),$AC$1006:$AS$1006,0)), HYPERLINK("#",""), HYPERLINK(CONCATENATE("#metadata!", ADDRESS(INDEX($X$2:$X$1001,MATCH(ROWS($V$2:V45),$V$2:$V$1001,0),0), INDEX($AC$1004:$AS$1004,1,MATCH(COLUMNS($AC$1006:AR1006),$AC$1006:$AS$1006,0)))),"Fix")))</f>
        <v xml:space="preserve"> </v>
      </c>
      <c r="R45" s="4" t="str">
        <f ca="1">IF(OR(INDEX($W$2:$W$1001,MATCH(ROWS($V$2:V45),$V$2:$V$1001,0),1)&gt;=100000,INDEX($AC$1005:$AS$1005,1,MATCH(COLUMNS($AC$1006:AS1006),$AC$1006:$AS$1006,0))&gt;=100000), " ",IF(INDEX($AC$2:$AS$1001,MATCH(ROWS($V$2:V45),$V$2:$V$1001,0),MATCH(COLUMNS($AC$1006:AS1006),$AC$1006:$AS$1006,0)), HYPERLINK("#",""), HYPERLINK(CONCATENATE("#metadata!", ADDRESS(INDEX($X$2:$X$1001,MATCH(ROWS($V$2:V45),$V$2:$V$1001,0),0), INDEX($AC$1004:$AS$1004,1,MATCH(COLUMNS($AC$1006:AS1006),$AC$1006:$AS$1006,0)))),"Fix")))</f>
        <v xml:space="preserve"> </v>
      </c>
      <c r="V45">
        <v>44</v>
      </c>
      <c r="W45">
        <v>100045</v>
      </c>
      <c r="X45">
        <v>45</v>
      </c>
      <c r="Y45" t="b">
        <f t="shared" si="0"/>
        <v>1</v>
      </c>
      <c r="Z45" t="b">
        <f>COUNTBLANK(metadata!B45:R45)=COLUMNS(metadata!B45:R45)</f>
        <v>1</v>
      </c>
      <c r="AA45" t="str">
        <v/>
      </c>
      <c r="AC45" t="b">
        <f ca="1"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AD45" t="b">
        <f>IF(metadata!C45="",FALSE,ISNUMBER(VALUE(metadata!C45)))</f>
        <v>0</v>
      </c>
      <c r="AE45" t="b">
        <f>AND(IF(metadata!D45="",FALSE,TRUE),EXACT(metadata!D45,"years"))</f>
        <v>0</v>
      </c>
      <c r="AF45" t="b">
        <f>OR(AND(IF(metadata!E45="",FALSE,TRUE),OR(EXACT(metadata!E45,"not applicable"),EXACT(metadata!E45,"missing: not collected"),EXACT(metadata!E45,"missing: not provided"),EXACT(metadata!E45,"missing: restricted access"))),AND(IF(metadata!E45="",FALSE,ISNUMBER(VALUE(metadata!E45))),metadata!E45&gt;0))</f>
        <v>0</v>
      </c>
      <c r="AG45" t="b">
        <f>AND(IF(metadata!F45="",FALSE,TRUE),EXACT(metadata!F45,"Not applicable"))</f>
        <v>0</v>
      </c>
      <c r="AH45" t="b">
        <f>AND(IF(metadata!G45="",FALSE,TRUE),EXACT(metadata!G45,"urban biome"))</f>
        <v>0</v>
      </c>
      <c r="AI45" t="b">
        <f>AND(IF(metadata!H45="",FALSE,TRUE),EXACT(metadata!H45,"human-associated habitat"))</f>
        <v>0</v>
      </c>
      <c r="AJ45" t="b">
        <f>AND(IF(metadata!I45="",FALSE,TRUE),OR(EXACT(metadata!I45,"human-associated"),EXACT(metadata!I45,"human-skin"),EXACT(metadata!I45,"human-oral"),EXACT(metadata!I45,"human-gut"),EXACT(metadata!I45,"human-vaginal")))</f>
        <v>0</v>
      </c>
      <c r="AK45" t="b">
        <f>IF(metadata!J45="",FALSE,ISNUMBER(VALUE(metadata!J45)))</f>
        <v>0</v>
      </c>
      <c r="AL45" t="b">
        <f>AND(IF(metadata!K45="",FALSE,TRUE),EXACT(metadata!K45,"cm"))</f>
        <v>0</v>
      </c>
      <c r="AM45" t="b">
        <f>AND(IF(metadata!L45="",FALSE,TRUE),EXACT(metadata!L45,"human"))</f>
        <v>0</v>
      </c>
      <c r="AN45" t="b">
        <f>AND(IF(metadata!M45="",FALSE,TRUE),EXACT(metadata!M45,"Homo sapiens"))</f>
        <v>0</v>
      </c>
      <c r="AO45" t="b">
        <f>AND(IF(metadata!N45="",FALSE,TRUE),EXACT(metadata!N45,"9606"))</f>
        <v>0</v>
      </c>
      <c r="AP45" t="b">
        <f>IF(metadata!O45="",FALSE,TRUE)</f>
        <v>0</v>
      </c>
      <c r="AQ45" t="b">
        <f>IF(metadata!P45="",FALSE,TRUE)</f>
        <v>0</v>
      </c>
      <c r="AR45" t="b">
        <f>IF(metadata!Q45="",FALSE,ISNUMBER(VALUE(metadata!Q45)))</f>
        <v>0</v>
      </c>
      <c r="AS45" t="b">
        <f>AND(IF(metadata!R45="",FALSE,TRUE),EXACT(metadata!R45,"kg"))</f>
        <v>0</v>
      </c>
    </row>
    <row r="46" spans="1:45" x14ac:dyDescent="0.2">
      <c r="A46" s="5" t="str">
        <f ca="1">IF(B46=" "," ",HYPERLINK(CONCATENATE("#metadata!",ADDRESS(INDEX($X$2:$X$1001,MATCH(ROWS($V$2:V46),$V$2:$V$1001,0),0),1)),INDEX($AA$2:$AA$1001,MATCH(ROWS($V$2:V46),$V$2:$V$1001,0),0)))</f>
        <v xml:space="preserve"> </v>
      </c>
      <c r="B46" s="4" t="str">
        <f ca="1">IF(OR(INDEX($W$2:$W$1001,MATCH(ROWS($V$2:V46),$V$2:$V$1001,0),1)&gt;=100000,INDEX($AC$1005:$AS$1005,1,MATCH(COLUMNS($AC$1006:AC1006),$AC$1006:$AS$1006,0))&gt;=100000), " ",IF(INDEX($AC$2:$AS$1001,MATCH(ROWS($V$2:V46),$V$2:$V$1001,0),MATCH(COLUMNS($AC$1006:AC1006),$AC$1006:$AS$1006,0)), HYPERLINK("#",""), HYPERLINK(CONCATENATE("#metadata!", ADDRESS(INDEX($X$2:$X$1001,MATCH(ROWS($V$2:V46),$V$2:$V$1001,0),0), INDEX($AC$1004:$AS$1004,1,MATCH(COLUMNS($AC$1006:AC1006),$AC$1006:$AS$1006,0)))),"Fix")))</f>
        <v xml:space="preserve"> </v>
      </c>
      <c r="C46" s="4" t="str">
        <f ca="1">IF(OR(INDEX($W$2:$W$1001,MATCH(ROWS($V$2:V46),$V$2:$V$1001,0),1)&gt;=100000,INDEX($AC$1005:$AS$1005,1,MATCH(COLUMNS($AC$1006:AD1006),$AC$1006:$AS$1006,0))&gt;=100000), " ",IF(INDEX($AC$2:$AS$1001,MATCH(ROWS($V$2:V46),$V$2:$V$1001,0),MATCH(COLUMNS($AC$1006:AD1006),$AC$1006:$AS$1006,0)), HYPERLINK("#",""), HYPERLINK(CONCATENATE("#metadata!", ADDRESS(INDEX($X$2:$X$1001,MATCH(ROWS($V$2:V46),$V$2:$V$1001,0),0), INDEX($AC$1004:$AS$1004,1,MATCH(COLUMNS($AC$1006:AD1006),$AC$1006:$AS$1006,0)))),"Fix")))</f>
        <v xml:space="preserve"> </v>
      </c>
      <c r="D46" s="4" t="str">
        <f ca="1">IF(OR(INDEX($W$2:$W$1001,MATCH(ROWS($V$2:V46),$V$2:$V$1001,0),1)&gt;=100000,INDEX($AC$1005:$AS$1005,1,MATCH(COLUMNS($AC$1006:AE1006),$AC$1006:$AS$1006,0))&gt;=100000), " ",IF(INDEX($AC$2:$AS$1001,MATCH(ROWS($V$2:V46),$V$2:$V$1001,0),MATCH(COLUMNS($AC$1006:AE1006),$AC$1006:$AS$1006,0)), HYPERLINK("#",""), HYPERLINK(CONCATENATE("#metadata!", ADDRESS(INDEX($X$2:$X$1001,MATCH(ROWS($V$2:V46),$V$2:$V$1001,0),0), INDEX($AC$1004:$AS$1004,1,MATCH(COLUMNS($AC$1006:AE1006),$AC$1006:$AS$1006,0)))),"Fix")))</f>
        <v xml:space="preserve"> </v>
      </c>
      <c r="E46" s="4" t="str">
        <f ca="1">IF(OR(INDEX($W$2:$W$1001,MATCH(ROWS($V$2:V46),$V$2:$V$1001,0),1)&gt;=100000,INDEX($AC$1005:$AS$1005,1,MATCH(COLUMNS($AC$1006:AF1006),$AC$1006:$AS$1006,0))&gt;=100000), " ",IF(INDEX($AC$2:$AS$1001,MATCH(ROWS($V$2:V46),$V$2:$V$1001,0),MATCH(COLUMNS($AC$1006:AF1006),$AC$1006:$AS$1006,0)), HYPERLINK("#",""), HYPERLINK(CONCATENATE("#metadata!", ADDRESS(INDEX($X$2:$X$1001,MATCH(ROWS($V$2:V46),$V$2:$V$1001,0),0), INDEX($AC$1004:$AS$1004,1,MATCH(COLUMNS($AC$1006:AF1006),$AC$1006:$AS$1006,0)))),"Fix")))</f>
        <v xml:space="preserve"> </v>
      </c>
      <c r="F46" s="4" t="str">
        <f ca="1">IF(OR(INDEX($W$2:$W$1001,MATCH(ROWS($V$2:V46),$V$2:$V$1001,0),1)&gt;=100000,INDEX($AC$1005:$AS$1005,1,MATCH(COLUMNS($AC$1006:AG1006),$AC$1006:$AS$1006,0))&gt;=100000), " ",IF(INDEX($AC$2:$AS$1001,MATCH(ROWS($V$2:V46),$V$2:$V$1001,0),MATCH(COLUMNS($AC$1006:AG1006),$AC$1006:$AS$1006,0)), HYPERLINK("#",""), HYPERLINK(CONCATENATE("#metadata!", ADDRESS(INDEX($X$2:$X$1001,MATCH(ROWS($V$2:V46),$V$2:$V$1001,0),0), INDEX($AC$1004:$AS$1004,1,MATCH(COLUMNS($AC$1006:AG1006),$AC$1006:$AS$1006,0)))),"Fix")))</f>
        <v xml:space="preserve"> </v>
      </c>
      <c r="G46" s="4" t="str">
        <f ca="1">IF(OR(INDEX($W$2:$W$1001,MATCH(ROWS($V$2:V46),$V$2:$V$1001,0),1)&gt;=100000,INDEX($AC$1005:$AS$1005,1,MATCH(COLUMNS($AC$1006:AH1006),$AC$1006:$AS$1006,0))&gt;=100000), " ",IF(INDEX($AC$2:$AS$1001,MATCH(ROWS($V$2:V46),$V$2:$V$1001,0),MATCH(COLUMNS($AC$1006:AH1006),$AC$1006:$AS$1006,0)), HYPERLINK("#",""), HYPERLINK(CONCATENATE("#metadata!", ADDRESS(INDEX($X$2:$X$1001,MATCH(ROWS($V$2:V46),$V$2:$V$1001,0),0), INDEX($AC$1004:$AS$1004,1,MATCH(COLUMNS($AC$1006:AH1006),$AC$1006:$AS$1006,0)))),"Fix")))</f>
        <v xml:space="preserve"> </v>
      </c>
      <c r="H46" s="4" t="str">
        <f ca="1">IF(OR(INDEX($W$2:$W$1001,MATCH(ROWS($V$2:V46),$V$2:$V$1001,0),1)&gt;=100000,INDEX($AC$1005:$AS$1005,1,MATCH(COLUMNS($AC$1006:AI1006),$AC$1006:$AS$1006,0))&gt;=100000), " ",IF(INDEX($AC$2:$AS$1001,MATCH(ROWS($V$2:V46),$V$2:$V$1001,0),MATCH(COLUMNS($AC$1006:AI1006),$AC$1006:$AS$1006,0)), HYPERLINK("#",""), HYPERLINK(CONCATENATE("#metadata!", ADDRESS(INDEX($X$2:$X$1001,MATCH(ROWS($V$2:V46),$V$2:$V$1001,0),0), INDEX($AC$1004:$AS$1004,1,MATCH(COLUMNS($AC$1006:AI1006),$AC$1006:$AS$1006,0)))),"Fix")))</f>
        <v xml:space="preserve"> </v>
      </c>
      <c r="I46" s="4" t="str">
        <f ca="1">IF(OR(INDEX($W$2:$W$1001,MATCH(ROWS($V$2:V46),$V$2:$V$1001,0),1)&gt;=100000,INDEX($AC$1005:$AS$1005,1,MATCH(COLUMNS($AC$1006:AJ1006),$AC$1006:$AS$1006,0))&gt;=100000), " ",IF(INDEX($AC$2:$AS$1001,MATCH(ROWS($V$2:V46),$V$2:$V$1001,0),MATCH(COLUMNS($AC$1006:AJ1006),$AC$1006:$AS$1006,0)), HYPERLINK("#",""), HYPERLINK(CONCATENATE("#metadata!", ADDRESS(INDEX($X$2:$X$1001,MATCH(ROWS($V$2:V46),$V$2:$V$1001,0),0), INDEX($AC$1004:$AS$1004,1,MATCH(COLUMNS($AC$1006:AJ1006),$AC$1006:$AS$1006,0)))),"Fix")))</f>
        <v xml:space="preserve"> </v>
      </c>
      <c r="J46" s="4" t="str">
        <f ca="1">IF(OR(INDEX($W$2:$W$1001,MATCH(ROWS($V$2:V46),$V$2:$V$1001,0),1)&gt;=100000,INDEX($AC$1005:$AS$1005,1,MATCH(COLUMNS($AC$1006:AK1006),$AC$1006:$AS$1006,0))&gt;=100000), " ",IF(INDEX($AC$2:$AS$1001,MATCH(ROWS($V$2:V46),$V$2:$V$1001,0),MATCH(COLUMNS($AC$1006:AK1006),$AC$1006:$AS$1006,0)), HYPERLINK("#",""), HYPERLINK(CONCATENATE("#metadata!", ADDRESS(INDEX($X$2:$X$1001,MATCH(ROWS($V$2:V46),$V$2:$V$1001,0),0), INDEX($AC$1004:$AS$1004,1,MATCH(COLUMNS($AC$1006:AK1006),$AC$1006:$AS$1006,0)))),"Fix")))</f>
        <v xml:space="preserve"> </v>
      </c>
      <c r="K46" s="4" t="str">
        <f ca="1">IF(OR(INDEX($W$2:$W$1001,MATCH(ROWS($V$2:V46),$V$2:$V$1001,0),1)&gt;=100000,INDEX($AC$1005:$AS$1005,1,MATCH(COLUMNS($AC$1006:AL1006),$AC$1006:$AS$1006,0))&gt;=100000), " ",IF(INDEX($AC$2:$AS$1001,MATCH(ROWS($V$2:V46),$V$2:$V$1001,0),MATCH(COLUMNS($AC$1006:AL1006),$AC$1006:$AS$1006,0)), HYPERLINK("#",""), HYPERLINK(CONCATENATE("#metadata!", ADDRESS(INDEX($X$2:$X$1001,MATCH(ROWS($V$2:V46),$V$2:$V$1001,0),0), INDEX($AC$1004:$AS$1004,1,MATCH(COLUMNS($AC$1006:AL1006),$AC$1006:$AS$1006,0)))),"Fix")))</f>
        <v xml:space="preserve"> </v>
      </c>
      <c r="L46" s="4" t="str">
        <f ca="1">IF(OR(INDEX($W$2:$W$1001,MATCH(ROWS($V$2:V46),$V$2:$V$1001,0),1)&gt;=100000,INDEX($AC$1005:$AS$1005,1,MATCH(COLUMNS($AC$1006:AM1006),$AC$1006:$AS$1006,0))&gt;=100000), " ",IF(INDEX($AC$2:$AS$1001,MATCH(ROWS($V$2:V46),$V$2:$V$1001,0),MATCH(COLUMNS($AC$1006:AM1006),$AC$1006:$AS$1006,0)), HYPERLINK("#",""), HYPERLINK(CONCATENATE("#metadata!", ADDRESS(INDEX($X$2:$X$1001,MATCH(ROWS($V$2:V46),$V$2:$V$1001,0),0), INDEX($AC$1004:$AS$1004,1,MATCH(COLUMNS($AC$1006:AM1006),$AC$1006:$AS$1006,0)))),"Fix")))</f>
        <v xml:space="preserve"> </v>
      </c>
      <c r="M46" s="4" t="str">
        <f ca="1">IF(OR(INDEX($W$2:$W$1001,MATCH(ROWS($V$2:V46),$V$2:$V$1001,0),1)&gt;=100000,INDEX($AC$1005:$AS$1005,1,MATCH(COLUMNS($AC$1006:AN1006),$AC$1006:$AS$1006,0))&gt;=100000), " ",IF(INDEX($AC$2:$AS$1001,MATCH(ROWS($V$2:V46),$V$2:$V$1001,0),MATCH(COLUMNS($AC$1006:AN1006),$AC$1006:$AS$1006,0)), HYPERLINK("#",""), HYPERLINK(CONCATENATE("#metadata!", ADDRESS(INDEX($X$2:$X$1001,MATCH(ROWS($V$2:V46),$V$2:$V$1001,0),0), INDEX($AC$1004:$AS$1004,1,MATCH(COLUMNS($AC$1006:AN1006),$AC$1006:$AS$1006,0)))),"Fix")))</f>
        <v xml:space="preserve"> </v>
      </c>
      <c r="N46" s="4" t="str">
        <f ca="1">IF(OR(INDEX($W$2:$W$1001,MATCH(ROWS($V$2:V46),$V$2:$V$1001,0),1)&gt;=100000,INDEX($AC$1005:$AS$1005,1,MATCH(COLUMNS($AC$1006:AO1006),$AC$1006:$AS$1006,0))&gt;=100000), " ",IF(INDEX($AC$2:$AS$1001,MATCH(ROWS($V$2:V46),$V$2:$V$1001,0),MATCH(COLUMNS($AC$1006:AO1006),$AC$1006:$AS$1006,0)), HYPERLINK("#",""), HYPERLINK(CONCATENATE("#metadata!", ADDRESS(INDEX($X$2:$X$1001,MATCH(ROWS($V$2:V46),$V$2:$V$1001,0),0), INDEX($AC$1004:$AS$1004,1,MATCH(COLUMNS($AC$1006:AO1006),$AC$1006:$AS$1006,0)))),"Fix")))</f>
        <v xml:space="preserve"> </v>
      </c>
      <c r="O46" s="4" t="str">
        <f ca="1">IF(OR(INDEX($W$2:$W$1001,MATCH(ROWS($V$2:V46),$V$2:$V$1001,0),1)&gt;=100000,INDEX($AC$1005:$AS$1005,1,MATCH(COLUMNS($AC$1006:AP1006),$AC$1006:$AS$1006,0))&gt;=100000), " ",IF(INDEX($AC$2:$AS$1001,MATCH(ROWS($V$2:V46),$V$2:$V$1001,0),MATCH(COLUMNS($AC$1006:AP1006),$AC$1006:$AS$1006,0)), HYPERLINK("#",""), HYPERLINK(CONCATENATE("#metadata!", ADDRESS(INDEX($X$2:$X$1001,MATCH(ROWS($V$2:V46),$V$2:$V$1001,0),0), INDEX($AC$1004:$AS$1004,1,MATCH(COLUMNS($AC$1006:AP1006),$AC$1006:$AS$1006,0)))),"Fix")))</f>
        <v xml:space="preserve"> </v>
      </c>
      <c r="P46" s="4" t="str">
        <f ca="1">IF(OR(INDEX($W$2:$W$1001,MATCH(ROWS($V$2:V46),$V$2:$V$1001,0),1)&gt;=100000,INDEX($AC$1005:$AS$1005,1,MATCH(COLUMNS($AC$1006:AQ1006),$AC$1006:$AS$1006,0))&gt;=100000), " ",IF(INDEX($AC$2:$AS$1001,MATCH(ROWS($V$2:V46),$V$2:$V$1001,0),MATCH(COLUMNS($AC$1006:AQ1006),$AC$1006:$AS$1006,0)), HYPERLINK("#",""), HYPERLINK(CONCATENATE("#metadata!", ADDRESS(INDEX($X$2:$X$1001,MATCH(ROWS($V$2:V46),$V$2:$V$1001,0),0), INDEX($AC$1004:$AS$1004,1,MATCH(COLUMNS($AC$1006:AQ1006),$AC$1006:$AS$1006,0)))),"Fix")))</f>
        <v xml:space="preserve"> </v>
      </c>
      <c r="Q46" s="4" t="str">
        <f ca="1">IF(OR(INDEX($W$2:$W$1001,MATCH(ROWS($V$2:V46),$V$2:$V$1001,0),1)&gt;=100000,INDEX($AC$1005:$AS$1005,1,MATCH(COLUMNS($AC$1006:AR1006),$AC$1006:$AS$1006,0))&gt;=100000), " ",IF(INDEX($AC$2:$AS$1001,MATCH(ROWS($V$2:V46),$V$2:$V$1001,0),MATCH(COLUMNS($AC$1006:AR1006),$AC$1006:$AS$1006,0)), HYPERLINK("#",""), HYPERLINK(CONCATENATE("#metadata!", ADDRESS(INDEX($X$2:$X$1001,MATCH(ROWS($V$2:V46),$V$2:$V$1001,0),0), INDEX($AC$1004:$AS$1004,1,MATCH(COLUMNS($AC$1006:AR1006),$AC$1006:$AS$1006,0)))),"Fix")))</f>
        <v xml:space="preserve"> </v>
      </c>
      <c r="R46" s="4" t="str">
        <f ca="1">IF(OR(INDEX($W$2:$W$1001,MATCH(ROWS($V$2:V46),$V$2:$V$1001,0),1)&gt;=100000,INDEX($AC$1005:$AS$1005,1,MATCH(COLUMNS($AC$1006:AS1006),$AC$1006:$AS$1006,0))&gt;=100000), " ",IF(INDEX($AC$2:$AS$1001,MATCH(ROWS($V$2:V46),$V$2:$V$1001,0),MATCH(COLUMNS($AC$1006:AS1006),$AC$1006:$AS$1006,0)), HYPERLINK("#",""), HYPERLINK(CONCATENATE("#metadata!", ADDRESS(INDEX($X$2:$X$1001,MATCH(ROWS($V$2:V46),$V$2:$V$1001,0),0), INDEX($AC$1004:$AS$1004,1,MATCH(COLUMNS($AC$1006:AS1006),$AC$1006:$AS$1006,0)))),"Fix")))</f>
        <v xml:space="preserve"> </v>
      </c>
      <c r="V46">
        <v>45</v>
      </c>
      <c r="W46">
        <v>100046</v>
      </c>
      <c r="X46">
        <v>46</v>
      </c>
      <c r="Y46" t="b">
        <f t="shared" si="0"/>
        <v>1</v>
      </c>
      <c r="Z46" t="b">
        <f>COUNTBLANK(metadata!B46:R46)=COLUMNS(metadata!B46:R46)</f>
        <v>1</v>
      </c>
      <c r="AA46" t="str">
        <v/>
      </c>
      <c r="AC46" t="b">
        <f ca="1"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AD46" t="b">
        <f>IF(metadata!C46="",FALSE,ISNUMBER(VALUE(metadata!C46)))</f>
        <v>0</v>
      </c>
      <c r="AE46" t="b">
        <f>AND(IF(metadata!D46="",FALSE,TRUE),EXACT(metadata!D46,"years"))</f>
        <v>0</v>
      </c>
      <c r="AF46" t="b">
        <f>OR(AND(IF(metadata!E46="",FALSE,TRUE),OR(EXACT(metadata!E46,"not applicable"),EXACT(metadata!E46,"missing: not collected"),EXACT(metadata!E46,"missing: not provided"),EXACT(metadata!E46,"missing: restricted access"))),AND(IF(metadata!E46="",FALSE,ISNUMBER(VALUE(metadata!E46))),metadata!E46&gt;0))</f>
        <v>0</v>
      </c>
      <c r="AG46" t="b">
        <f>AND(IF(metadata!F46="",FALSE,TRUE),EXACT(metadata!F46,"Not applicable"))</f>
        <v>0</v>
      </c>
      <c r="AH46" t="b">
        <f>AND(IF(metadata!G46="",FALSE,TRUE),EXACT(metadata!G46,"urban biome"))</f>
        <v>0</v>
      </c>
      <c r="AI46" t="b">
        <f>AND(IF(metadata!H46="",FALSE,TRUE),EXACT(metadata!H46,"human-associated habitat"))</f>
        <v>0</v>
      </c>
      <c r="AJ46" t="b">
        <f>AND(IF(metadata!I46="",FALSE,TRUE),OR(EXACT(metadata!I46,"human-associated"),EXACT(metadata!I46,"human-skin"),EXACT(metadata!I46,"human-oral"),EXACT(metadata!I46,"human-gut"),EXACT(metadata!I46,"human-vaginal")))</f>
        <v>0</v>
      </c>
      <c r="AK46" t="b">
        <f>IF(metadata!J46="",FALSE,ISNUMBER(VALUE(metadata!J46)))</f>
        <v>0</v>
      </c>
      <c r="AL46" t="b">
        <f>AND(IF(metadata!K46="",FALSE,TRUE),EXACT(metadata!K46,"cm"))</f>
        <v>0</v>
      </c>
      <c r="AM46" t="b">
        <f>AND(IF(metadata!L46="",FALSE,TRUE),EXACT(metadata!L46,"human"))</f>
        <v>0</v>
      </c>
      <c r="AN46" t="b">
        <f>AND(IF(metadata!M46="",FALSE,TRUE),EXACT(metadata!M46,"Homo sapiens"))</f>
        <v>0</v>
      </c>
      <c r="AO46" t="b">
        <f>AND(IF(metadata!N46="",FALSE,TRUE),EXACT(metadata!N46,"9606"))</f>
        <v>0</v>
      </c>
      <c r="AP46" t="b">
        <f>IF(metadata!O46="",FALSE,TRUE)</f>
        <v>0</v>
      </c>
      <c r="AQ46" t="b">
        <f>IF(metadata!P46="",FALSE,TRUE)</f>
        <v>0</v>
      </c>
      <c r="AR46" t="b">
        <f>IF(metadata!Q46="",FALSE,ISNUMBER(VALUE(metadata!Q46)))</f>
        <v>0</v>
      </c>
      <c r="AS46" t="b">
        <f>AND(IF(metadata!R46="",FALSE,TRUE),EXACT(metadata!R46,"kg"))</f>
        <v>0</v>
      </c>
    </row>
    <row r="47" spans="1:45" x14ac:dyDescent="0.2">
      <c r="A47" s="5" t="str">
        <f ca="1">IF(B47=" "," ",HYPERLINK(CONCATENATE("#metadata!",ADDRESS(INDEX($X$2:$X$1001,MATCH(ROWS($V$2:V47),$V$2:$V$1001,0),0),1)),INDEX($AA$2:$AA$1001,MATCH(ROWS($V$2:V47),$V$2:$V$1001,0),0)))</f>
        <v xml:space="preserve"> </v>
      </c>
      <c r="B47" s="4" t="str">
        <f ca="1">IF(OR(INDEX($W$2:$W$1001,MATCH(ROWS($V$2:V47),$V$2:$V$1001,0),1)&gt;=100000,INDEX($AC$1005:$AS$1005,1,MATCH(COLUMNS($AC$1006:AC1006),$AC$1006:$AS$1006,0))&gt;=100000), " ",IF(INDEX($AC$2:$AS$1001,MATCH(ROWS($V$2:V47),$V$2:$V$1001,0),MATCH(COLUMNS($AC$1006:AC1006),$AC$1006:$AS$1006,0)), HYPERLINK("#",""), HYPERLINK(CONCATENATE("#metadata!", ADDRESS(INDEX($X$2:$X$1001,MATCH(ROWS($V$2:V47),$V$2:$V$1001,0),0), INDEX($AC$1004:$AS$1004,1,MATCH(COLUMNS($AC$1006:AC1006),$AC$1006:$AS$1006,0)))),"Fix")))</f>
        <v xml:space="preserve"> </v>
      </c>
      <c r="C47" s="4" t="str">
        <f ca="1">IF(OR(INDEX($W$2:$W$1001,MATCH(ROWS($V$2:V47),$V$2:$V$1001,0),1)&gt;=100000,INDEX($AC$1005:$AS$1005,1,MATCH(COLUMNS($AC$1006:AD1006),$AC$1006:$AS$1006,0))&gt;=100000), " ",IF(INDEX($AC$2:$AS$1001,MATCH(ROWS($V$2:V47),$V$2:$V$1001,0),MATCH(COLUMNS($AC$1006:AD1006),$AC$1006:$AS$1006,0)), HYPERLINK("#",""), HYPERLINK(CONCATENATE("#metadata!", ADDRESS(INDEX($X$2:$X$1001,MATCH(ROWS($V$2:V47),$V$2:$V$1001,0),0), INDEX($AC$1004:$AS$1004,1,MATCH(COLUMNS($AC$1006:AD1006),$AC$1006:$AS$1006,0)))),"Fix")))</f>
        <v xml:space="preserve"> </v>
      </c>
      <c r="D47" s="4" t="str">
        <f ca="1">IF(OR(INDEX($W$2:$W$1001,MATCH(ROWS($V$2:V47),$V$2:$V$1001,0),1)&gt;=100000,INDEX($AC$1005:$AS$1005,1,MATCH(COLUMNS($AC$1006:AE1006),$AC$1006:$AS$1006,0))&gt;=100000), " ",IF(INDEX($AC$2:$AS$1001,MATCH(ROWS($V$2:V47),$V$2:$V$1001,0),MATCH(COLUMNS($AC$1006:AE1006),$AC$1006:$AS$1006,0)), HYPERLINK("#",""), HYPERLINK(CONCATENATE("#metadata!", ADDRESS(INDEX($X$2:$X$1001,MATCH(ROWS($V$2:V47),$V$2:$V$1001,0),0), INDEX($AC$1004:$AS$1004,1,MATCH(COLUMNS($AC$1006:AE1006),$AC$1006:$AS$1006,0)))),"Fix")))</f>
        <v xml:space="preserve"> </v>
      </c>
      <c r="E47" s="4" t="str">
        <f ca="1">IF(OR(INDEX($W$2:$W$1001,MATCH(ROWS($V$2:V47),$V$2:$V$1001,0),1)&gt;=100000,INDEX($AC$1005:$AS$1005,1,MATCH(COLUMNS($AC$1006:AF1006),$AC$1006:$AS$1006,0))&gt;=100000), " ",IF(INDEX($AC$2:$AS$1001,MATCH(ROWS($V$2:V47),$V$2:$V$1001,0),MATCH(COLUMNS($AC$1006:AF1006),$AC$1006:$AS$1006,0)), HYPERLINK("#",""), HYPERLINK(CONCATENATE("#metadata!", ADDRESS(INDEX($X$2:$X$1001,MATCH(ROWS($V$2:V47),$V$2:$V$1001,0),0), INDEX($AC$1004:$AS$1004,1,MATCH(COLUMNS($AC$1006:AF1006),$AC$1006:$AS$1006,0)))),"Fix")))</f>
        <v xml:space="preserve"> </v>
      </c>
      <c r="F47" s="4" t="str">
        <f ca="1">IF(OR(INDEX($W$2:$W$1001,MATCH(ROWS($V$2:V47),$V$2:$V$1001,0),1)&gt;=100000,INDEX($AC$1005:$AS$1005,1,MATCH(COLUMNS($AC$1006:AG1006),$AC$1006:$AS$1006,0))&gt;=100000), " ",IF(INDEX($AC$2:$AS$1001,MATCH(ROWS($V$2:V47),$V$2:$V$1001,0),MATCH(COLUMNS($AC$1006:AG1006),$AC$1006:$AS$1006,0)), HYPERLINK("#",""), HYPERLINK(CONCATENATE("#metadata!", ADDRESS(INDEX($X$2:$X$1001,MATCH(ROWS($V$2:V47),$V$2:$V$1001,0),0), INDEX($AC$1004:$AS$1004,1,MATCH(COLUMNS($AC$1006:AG1006),$AC$1006:$AS$1006,0)))),"Fix")))</f>
        <v xml:space="preserve"> </v>
      </c>
      <c r="G47" s="4" t="str">
        <f ca="1">IF(OR(INDEX($W$2:$W$1001,MATCH(ROWS($V$2:V47),$V$2:$V$1001,0),1)&gt;=100000,INDEX($AC$1005:$AS$1005,1,MATCH(COLUMNS($AC$1006:AH1006),$AC$1006:$AS$1006,0))&gt;=100000), " ",IF(INDEX($AC$2:$AS$1001,MATCH(ROWS($V$2:V47),$V$2:$V$1001,0),MATCH(COLUMNS($AC$1006:AH1006),$AC$1006:$AS$1006,0)), HYPERLINK("#",""), HYPERLINK(CONCATENATE("#metadata!", ADDRESS(INDEX($X$2:$X$1001,MATCH(ROWS($V$2:V47),$V$2:$V$1001,0),0), INDEX($AC$1004:$AS$1004,1,MATCH(COLUMNS($AC$1006:AH1006),$AC$1006:$AS$1006,0)))),"Fix")))</f>
        <v xml:space="preserve"> </v>
      </c>
      <c r="H47" s="4" t="str">
        <f ca="1">IF(OR(INDEX($W$2:$W$1001,MATCH(ROWS($V$2:V47),$V$2:$V$1001,0),1)&gt;=100000,INDEX($AC$1005:$AS$1005,1,MATCH(COLUMNS($AC$1006:AI1006),$AC$1006:$AS$1006,0))&gt;=100000), " ",IF(INDEX($AC$2:$AS$1001,MATCH(ROWS($V$2:V47),$V$2:$V$1001,0),MATCH(COLUMNS($AC$1006:AI1006),$AC$1006:$AS$1006,0)), HYPERLINK("#",""), HYPERLINK(CONCATENATE("#metadata!", ADDRESS(INDEX($X$2:$X$1001,MATCH(ROWS($V$2:V47),$V$2:$V$1001,0),0), INDEX($AC$1004:$AS$1004,1,MATCH(COLUMNS($AC$1006:AI1006),$AC$1006:$AS$1006,0)))),"Fix")))</f>
        <v xml:space="preserve"> </v>
      </c>
      <c r="I47" s="4" t="str">
        <f ca="1">IF(OR(INDEX($W$2:$W$1001,MATCH(ROWS($V$2:V47),$V$2:$V$1001,0),1)&gt;=100000,INDEX($AC$1005:$AS$1005,1,MATCH(COLUMNS($AC$1006:AJ1006),$AC$1006:$AS$1006,0))&gt;=100000), " ",IF(INDEX($AC$2:$AS$1001,MATCH(ROWS($V$2:V47),$V$2:$V$1001,0),MATCH(COLUMNS($AC$1006:AJ1006),$AC$1006:$AS$1006,0)), HYPERLINK("#",""), HYPERLINK(CONCATENATE("#metadata!", ADDRESS(INDEX($X$2:$X$1001,MATCH(ROWS($V$2:V47),$V$2:$V$1001,0),0), INDEX($AC$1004:$AS$1004,1,MATCH(COLUMNS($AC$1006:AJ1006),$AC$1006:$AS$1006,0)))),"Fix")))</f>
        <v xml:space="preserve"> </v>
      </c>
      <c r="J47" s="4" t="str">
        <f ca="1">IF(OR(INDEX($W$2:$W$1001,MATCH(ROWS($V$2:V47),$V$2:$V$1001,0),1)&gt;=100000,INDEX($AC$1005:$AS$1005,1,MATCH(COLUMNS($AC$1006:AK1006),$AC$1006:$AS$1006,0))&gt;=100000), " ",IF(INDEX($AC$2:$AS$1001,MATCH(ROWS($V$2:V47),$V$2:$V$1001,0),MATCH(COLUMNS($AC$1006:AK1006),$AC$1006:$AS$1006,0)), HYPERLINK("#",""), HYPERLINK(CONCATENATE("#metadata!", ADDRESS(INDEX($X$2:$X$1001,MATCH(ROWS($V$2:V47),$V$2:$V$1001,0),0), INDEX($AC$1004:$AS$1004,1,MATCH(COLUMNS($AC$1006:AK1006),$AC$1006:$AS$1006,0)))),"Fix")))</f>
        <v xml:space="preserve"> </v>
      </c>
      <c r="K47" s="4" t="str">
        <f ca="1">IF(OR(INDEX($W$2:$W$1001,MATCH(ROWS($V$2:V47),$V$2:$V$1001,0),1)&gt;=100000,INDEX($AC$1005:$AS$1005,1,MATCH(COLUMNS($AC$1006:AL1006),$AC$1006:$AS$1006,0))&gt;=100000), " ",IF(INDEX($AC$2:$AS$1001,MATCH(ROWS($V$2:V47),$V$2:$V$1001,0),MATCH(COLUMNS($AC$1006:AL1006),$AC$1006:$AS$1006,0)), HYPERLINK("#",""), HYPERLINK(CONCATENATE("#metadata!", ADDRESS(INDEX($X$2:$X$1001,MATCH(ROWS($V$2:V47),$V$2:$V$1001,0),0), INDEX($AC$1004:$AS$1004,1,MATCH(COLUMNS($AC$1006:AL1006),$AC$1006:$AS$1006,0)))),"Fix")))</f>
        <v xml:space="preserve"> </v>
      </c>
      <c r="L47" s="4" t="str">
        <f ca="1">IF(OR(INDEX($W$2:$W$1001,MATCH(ROWS($V$2:V47),$V$2:$V$1001,0),1)&gt;=100000,INDEX($AC$1005:$AS$1005,1,MATCH(COLUMNS($AC$1006:AM1006),$AC$1006:$AS$1006,0))&gt;=100000), " ",IF(INDEX($AC$2:$AS$1001,MATCH(ROWS($V$2:V47),$V$2:$V$1001,0),MATCH(COLUMNS($AC$1006:AM1006),$AC$1006:$AS$1006,0)), HYPERLINK("#",""), HYPERLINK(CONCATENATE("#metadata!", ADDRESS(INDEX($X$2:$X$1001,MATCH(ROWS($V$2:V47),$V$2:$V$1001,0),0), INDEX($AC$1004:$AS$1004,1,MATCH(COLUMNS($AC$1006:AM1006),$AC$1006:$AS$1006,0)))),"Fix")))</f>
        <v xml:space="preserve"> </v>
      </c>
      <c r="M47" s="4" t="str">
        <f ca="1">IF(OR(INDEX($W$2:$W$1001,MATCH(ROWS($V$2:V47),$V$2:$V$1001,0),1)&gt;=100000,INDEX($AC$1005:$AS$1005,1,MATCH(COLUMNS($AC$1006:AN1006),$AC$1006:$AS$1006,0))&gt;=100000), " ",IF(INDEX($AC$2:$AS$1001,MATCH(ROWS($V$2:V47),$V$2:$V$1001,0),MATCH(COLUMNS($AC$1006:AN1006),$AC$1006:$AS$1006,0)), HYPERLINK("#",""), HYPERLINK(CONCATENATE("#metadata!", ADDRESS(INDEX($X$2:$X$1001,MATCH(ROWS($V$2:V47),$V$2:$V$1001,0),0), INDEX($AC$1004:$AS$1004,1,MATCH(COLUMNS($AC$1006:AN1006),$AC$1006:$AS$1006,0)))),"Fix")))</f>
        <v xml:space="preserve"> </v>
      </c>
      <c r="N47" s="4" t="str">
        <f ca="1">IF(OR(INDEX($W$2:$W$1001,MATCH(ROWS($V$2:V47),$V$2:$V$1001,0),1)&gt;=100000,INDEX($AC$1005:$AS$1005,1,MATCH(COLUMNS($AC$1006:AO1006),$AC$1006:$AS$1006,0))&gt;=100000), " ",IF(INDEX($AC$2:$AS$1001,MATCH(ROWS($V$2:V47),$V$2:$V$1001,0),MATCH(COLUMNS($AC$1006:AO1006),$AC$1006:$AS$1006,0)), HYPERLINK("#",""), HYPERLINK(CONCATENATE("#metadata!", ADDRESS(INDEX($X$2:$X$1001,MATCH(ROWS($V$2:V47),$V$2:$V$1001,0),0), INDEX($AC$1004:$AS$1004,1,MATCH(COLUMNS($AC$1006:AO1006),$AC$1006:$AS$1006,0)))),"Fix")))</f>
        <v xml:space="preserve"> </v>
      </c>
      <c r="O47" s="4" t="str">
        <f ca="1">IF(OR(INDEX($W$2:$W$1001,MATCH(ROWS($V$2:V47),$V$2:$V$1001,0),1)&gt;=100000,INDEX($AC$1005:$AS$1005,1,MATCH(COLUMNS($AC$1006:AP1006),$AC$1006:$AS$1006,0))&gt;=100000), " ",IF(INDEX($AC$2:$AS$1001,MATCH(ROWS($V$2:V47),$V$2:$V$1001,0),MATCH(COLUMNS($AC$1006:AP1006),$AC$1006:$AS$1006,0)), HYPERLINK("#",""), HYPERLINK(CONCATENATE("#metadata!", ADDRESS(INDEX($X$2:$X$1001,MATCH(ROWS($V$2:V47),$V$2:$V$1001,0),0), INDEX($AC$1004:$AS$1004,1,MATCH(COLUMNS($AC$1006:AP1006),$AC$1006:$AS$1006,0)))),"Fix")))</f>
        <v xml:space="preserve"> </v>
      </c>
      <c r="P47" s="4" t="str">
        <f ca="1">IF(OR(INDEX($W$2:$W$1001,MATCH(ROWS($V$2:V47),$V$2:$V$1001,0),1)&gt;=100000,INDEX($AC$1005:$AS$1005,1,MATCH(COLUMNS($AC$1006:AQ1006),$AC$1006:$AS$1006,0))&gt;=100000), " ",IF(INDEX($AC$2:$AS$1001,MATCH(ROWS($V$2:V47),$V$2:$V$1001,0),MATCH(COLUMNS($AC$1006:AQ1006),$AC$1006:$AS$1006,0)), HYPERLINK("#",""), HYPERLINK(CONCATENATE("#metadata!", ADDRESS(INDEX($X$2:$X$1001,MATCH(ROWS($V$2:V47),$V$2:$V$1001,0),0), INDEX($AC$1004:$AS$1004,1,MATCH(COLUMNS($AC$1006:AQ1006),$AC$1006:$AS$1006,0)))),"Fix")))</f>
        <v xml:space="preserve"> </v>
      </c>
      <c r="Q47" s="4" t="str">
        <f ca="1">IF(OR(INDEX($W$2:$W$1001,MATCH(ROWS($V$2:V47),$V$2:$V$1001,0),1)&gt;=100000,INDEX($AC$1005:$AS$1005,1,MATCH(COLUMNS($AC$1006:AR1006),$AC$1006:$AS$1006,0))&gt;=100000), " ",IF(INDEX($AC$2:$AS$1001,MATCH(ROWS($V$2:V47),$V$2:$V$1001,0),MATCH(COLUMNS($AC$1006:AR1006),$AC$1006:$AS$1006,0)), HYPERLINK("#",""), HYPERLINK(CONCATENATE("#metadata!", ADDRESS(INDEX($X$2:$X$1001,MATCH(ROWS($V$2:V47),$V$2:$V$1001,0),0), INDEX($AC$1004:$AS$1004,1,MATCH(COLUMNS($AC$1006:AR1006),$AC$1006:$AS$1006,0)))),"Fix")))</f>
        <v xml:space="preserve"> </v>
      </c>
      <c r="R47" s="4" t="str">
        <f ca="1">IF(OR(INDEX($W$2:$W$1001,MATCH(ROWS($V$2:V47),$V$2:$V$1001,0),1)&gt;=100000,INDEX($AC$1005:$AS$1005,1,MATCH(COLUMNS($AC$1006:AS1006),$AC$1006:$AS$1006,0))&gt;=100000), " ",IF(INDEX($AC$2:$AS$1001,MATCH(ROWS($V$2:V47),$V$2:$V$1001,0),MATCH(COLUMNS($AC$1006:AS1006),$AC$1006:$AS$1006,0)), HYPERLINK("#",""), HYPERLINK(CONCATENATE("#metadata!", ADDRESS(INDEX($X$2:$X$1001,MATCH(ROWS($V$2:V47),$V$2:$V$1001,0),0), INDEX($AC$1004:$AS$1004,1,MATCH(COLUMNS($AC$1006:AS1006),$AC$1006:$AS$1006,0)))),"Fix")))</f>
        <v xml:space="preserve"> </v>
      </c>
      <c r="V47">
        <v>46</v>
      </c>
      <c r="W47">
        <v>100047</v>
      </c>
      <c r="X47">
        <v>47</v>
      </c>
      <c r="Y47" t="b">
        <f t="shared" si="0"/>
        <v>1</v>
      </c>
      <c r="Z47" t="b">
        <f>COUNTBLANK(metadata!B47:R47)=COLUMNS(metadata!B47:R47)</f>
        <v>1</v>
      </c>
      <c r="AA47" t="str">
        <v/>
      </c>
      <c r="AC47" t="b">
        <f ca="1"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AD47" t="b">
        <f>IF(metadata!C47="",FALSE,ISNUMBER(VALUE(metadata!C47)))</f>
        <v>0</v>
      </c>
      <c r="AE47" t="b">
        <f>AND(IF(metadata!D47="",FALSE,TRUE),EXACT(metadata!D47,"years"))</f>
        <v>0</v>
      </c>
      <c r="AF47" t="b">
        <f>OR(AND(IF(metadata!E47="",FALSE,TRUE),OR(EXACT(metadata!E47,"not applicable"),EXACT(metadata!E47,"missing: not collected"),EXACT(metadata!E47,"missing: not provided"),EXACT(metadata!E47,"missing: restricted access"))),AND(IF(metadata!E47="",FALSE,ISNUMBER(VALUE(metadata!E47))),metadata!E47&gt;0))</f>
        <v>0</v>
      </c>
      <c r="AG47" t="b">
        <f>AND(IF(metadata!F47="",FALSE,TRUE),EXACT(metadata!F47,"Not applicable"))</f>
        <v>0</v>
      </c>
      <c r="AH47" t="b">
        <f>AND(IF(metadata!G47="",FALSE,TRUE),EXACT(metadata!G47,"urban biome"))</f>
        <v>0</v>
      </c>
      <c r="AI47" t="b">
        <f>AND(IF(metadata!H47="",FALSE,TRUE),EXACT(metadata!H47,"human-associated habitat"))</f>
        <v>0</v>
      </c>
      <c r="AJ47" t="b">
        <f>AND(IF(metadata!I47="",FALSE,TRUE),OR(EXACT(metadata!I47,"human-associated"),EXACT(metadata!I47,"human-skin"),EXACT(metadata!I47,"human-oral"),EXACT(metadata!I47,"human-gut"),EXACT(metadata!I47,"human-vaginal")))</f>
        <v>0</v>
      </c>
      <c r="AK47" t="b">
        <f>IF(metadata!J47="",FALSE,ISNUMBER(VALUE(metadata!J47)))</f>
        <v>0</v>
      </c>
      <c r="AL47" t="b">
        <f>AND(IF(metadata!K47="",FALSE,TRUE),EXACT(metadata!K47,"cm"))</f>
        <v>0</v>
      </c>
      <c r="AM47" t="b">
        <f>AND(IF(metadata!L47="",FALSE,TRUE),EXACT(metadata!L47,"human"))</f>
        <v>0</v>
      </c>
      <c r="AN47" t="b">
        <f>AND(IF(metadata!M47="",FALSE,TRUE),EXACT(metadata!M47,"Homo sapiens"))</f>
        <v>0</v>
      </c>
      <c r="AO47" t="b">
        <f>AND(IF(metadata!N47="",FALSE,TRUE),EXACT(metadata!N47,"9606"))</f>
        <v>0</v>
      </c>
      <c r="AP47" t="b">
        <f>IF(metadata!O47="",FALSE,TRUE)</f>
        <v>0</v>
      </c>
      <c r="AQ47" t="b">
        <f>IF(metadata!P47="",FALSE,TRUE)</f>
        <v>0</v>
      </c>
      <c r="AR47" t="b">
        <f>IF(metadata!Q47="",FALSE,ISNUMBER(VALUE(metadata!Q47)))</f>
        <v>0</v>
      </c>
      <c r="AS47" t="b">
        <f>AND(IF(metadata!R47="",FALSE,TRUE),EXACT(metadata!R47,"kg"))</f>
        <v>0</v>
      </c>
    </row>
    <row r="48" spans="1:45" x14ac:dyDescent="0.2">
      <c r="A48" s="5" t="str">
        <f ca="1">IF(B48=" "," ",HYPERLINK(CONCATENATE("#metadata!",ADDRESS(INDEX($X$2:$X$1001,MATCH(ROWS($V$2:V48),$V$2:$V$1001,0),0),1)),INDEX($AA$2:$AA$1001,MATCH(ROWS($V$2:V48),$V$2:$V$1001,0),0)))</f>
        <v xml:space="preserve"> </v>
      </c>
      <c r="B48" s="4" t="str">
        <f ca="1">IF(OR(INDEX($W$2:$W$1001,MATCH(ROWS($V$2:V48),$V$2:$V$1001,0),1)&gt;=100000,INDEX($AC$1005:$AS$1005,1,MATCH(COLUMNS($AC$1006:AC1006),$AC$1006:$AS$1006,0))&gt;=100000), " ",IF(INDEX($AC$2:$AS$1001,MATCH(ROWS($V$2:V48),$V$2:$V$1001,0),MATCH(COLUMNS($AC$1006:AC1006),$AC$1006:$AS$1006,0)), HYPERLINK("#",""), HYPERLINK(CONCATENATE("#metadata!", ADDRESS(INDEX($X$2:$X$1001,MATCH(ROWS($V$2:V48),$V$2:$V$1001,0),0), INDEX($AC$1004:$AS$1004,1,MATCH(COLUMNS($AC$1006:AC1006),$AC$1006:$AS$1006,0)))),"Fix")))</f>
        <v xml:space="preserve"> </v>
      </c>
      <c r="C48" s="4" t="str">
        <f ca="1">IF(OR(INDEX($W$2:$W$1001,MATCH(ROWS($V$2:V48),$V$2:$V$1001,0),1)&gt;=100000,INDEX($AC$1005:$AS$1005,1,MATCH(COLUMNS($AC$1006:AD1006),$AC$1006:$AS$1006,0))&gt;=100000), " ",IF(INDEX($AC$2:$AS$1001,MATCH(ROWS($V$2:V48),$V$2:$V$1001,0),MATCH(COLUMNS($AC$1006:AD1006),$AC$1006:$AS$1006,0)), HYPERLINK("#",""), HYPERLINK(CONCATENATE("#metadata!", ADDRESS(INDEX($X$2:$X$1001,MATCH(ROWS($V$2:V48),$V$2:$V$1001,0),0), INDEX($AC$1004:$AS$1004,1,MATCH(COLUMNS($AC$1006:AD1006),$AC$1006:$AS$1006,0)))),"Fix")))</f>
        <v xml:space="preserve"> </v>
      </c>
      <c r="D48" s="4" t="str">
        <f ca="1">IF(OR(INDEX($W$2:$W$1001,MATCH(ROWS($V$2:V48),$V$2:$V$1001,0),1)&gt;=100000,INDEX($AC$1005:$AS$1005,1,MATCH(COLUMNS($AC$1006:AE1006),$AC$1006:$AS$1006,0))&gt;=100000), " ",IF(INDEX($AC$2:$AS$1001,MATCH(ROWS($V$2:V48),$V$2:$V$1001,0),MATCH(COLUMNS($AC$1006:AE1006),$AC$1006:$AS$1006,0)), HYPERLINK("#",""), HYPERLINK(CONCATENATE("#metadata!", ADDRESS(INDEX($X$2:$X$1001,MATCH(ROWS($V$2:V48),$V$2:$V$1001,0),0), INDEX($AC$1004:$AS$1004,1,MATCH(COLUMNS($AC$1006:AE1006),$AC$1006:$AS$1006,0)))),"Fix")))</f>
        <v xml:space="preserve"> </v>
      </c>
      <c r="E48" s="4" t="str">
        <f ca="1">IF(OR(INDEX($W$2:$W$1001,MATCH(ROWS($V$2:V48),$V$2:$V$1001,0),1)&gt;=100000,INDEX($AC$1005:$AS$1005,1,MATCH(COLUMNS($AC$1006:AF1006),$AC$1006:$AS$1006,0))&gt;=100000), " ",IF(INDEX($AC$2:$AS$1001,MATCH(ROWS($V$2:V48),$V$2:$V$1001,0),MATCH(COLUMNS($AC$1006:AF1006),$AC$1006:$AS$1006,0)), HYPERLINK("#",""), HYPERLINK(CONCATENATE("#metadata!", ADDRESS(INDEX($X$2:$X$1001,MATCH(ROWS($V$2:V48),$V$2:$V$1001,0),0), INDEX($AC$1004:$AS$1004,1,MATCH(COLUMNS($AC$1006:AF1006),$AC$1006:$AS$1006,0)))),"Fix")))</f>
        <v xml:space="preserve"> </v>
      </c>
      <c r="F48" s="4" t="str">
        <f ca="1">IF(OR(INDEX($W$2:$W$1001,MATCH(ROWS($V$2:V48),$V$2:$V$1001,0),1)&gt;=100000,INDEX($AC$1005:$AS$1005,1,MATCH(COLUMNS($AC$1006:AG1006),$AC$1006:$AS$1006,0))&gt;=100000), " ",IF(INDEX($AC$2:$AS$1001,MATCH(ROWS($V$2:V48),$V$2:$V$1001,0),MATCH(COLUMNS($AC$1006:AG1006),$AC$1006:$AS$1006,0)), HYPERLINK("#",""), HYPERLINK(CONCATENATE("#metadata!", ADDRESS(INDEX($X$2:$X$1001,MATCH(ROWS($V$2:V48),$V$2:$V$1001,0),0), INDEX($AC$1004:$AS$1004,1,MATCH(COLUMNS($AC$1006:AG1006),$AC$1006:$AS$1006,0)))),"Fix")))</f>
        <v xml:space="preserve"> </v>
      </c>
      <c r="G48" s="4" t="str">
        <f ca="1">IF(OR(INDEX($W$2:$W$1001,MATCH(ROWS($V$2:V48),$V$2:$V$1001,0),1)&gt;=100000,INDEX($AC$1005:$AS$1005,1,MATCH(COLUMNS($AC$1006:AH1006),$AC$1006:$AS$1006,0))&gt;=100000), " ",IF(INDEX($AC$2:$AS$1001,MATCH(ROWS($V$2:V48),$V$2:$V$1001,0),MATCH(COLUMNS($AC$1006:AH1006),$AC$1006:$AS$1006,0)), HYPERLINK("#",""), HYPERLINK(CONCATENATE("#metadata!", ADDRESS(INDEX($X$2:$X$1001,MATCH(ROWS($V$2:V48),$V$2:$V$1001,0),0), INDEX($AC$1004:$AS$1004,1,MATCH(COLUMNS($AC$1006:AH1006),$AC$1006:$AS$1006,0)))),"Fix")))</f>
        <v xml:space="preserve"> </v>
      </c>
      <c r="H48" s="4" t="str">
        <f ca="1">IF(OR(INDEX($W$2:$W$1001,MATCH(ROWS($V$2:V48),$V$2:$V$1001,0),1)&gt;=100000,INDEX($AC$1005:$AS$1005,1,MATCH(COLUMNS($AC$1006:AI1006),$AC$1006:$AS$1006,0))&gt;=100000), " ",IF(INDEX($AC$2:$AS$1001,MATCH(ROWS($V$2:V48),$V$2:$V$1001,0),MATCH(COLUMNS($AC$1006:AI1006),$AC$1006:$AS$1006,0)), HYPERLINK("#",""), HYPERLINK(CONCATENATE("#metadata!", ADDRESS(INDEX($X$2:$X$1001,MATCH(ROWS($V$2:V48),$V$2:$V$1001,0),0), INDEX($AC$1004:$AS$1004,1,MATCH(COLUMNS($AC$1006:AI1006),$AC$1006:$AS$1006,0)))),"Fix")))</f>
        <v xml:space="preserve"> </v>
      </c>
      <c r="I48" s="4" t="str">
        <f ca="1">IF(OR(INDEX($W$2:$W$1001,MATCH(ROWS($V$2:V48),$V$2:$V$1001,0),1)&gt;=100000,INDEX($AC$1005:$AS$1005,1,MATCH(COLUMNS($AC$1006:AJ1006),$AC$1006:$AS$1006,0))&gt;=100000), " ",IF(INDEX($AC$2:$AS$1001,MATCH(ROWS($V$2:V48),$V$2:$V$1001,0),MATCH(COLUMNS($AC$1006:AJ1006),$AC$1006:$AS$1006,0)), HYPERLINK("#",""), HYPERLINK(CONCATENATE("#metadata!", ADDRESS(INDEX($X$2:$X$1001,MATCH(ROWS($V$2:V48),$V$2:$V$1001,0),0), INDEX($AC$1004:$AS$1004,1,MATCH(COLUMNS($AC$1006:AJ1006),$AC$1006:$AS$1006,0)))),"Fix")))</f>
        <v xml:space="preserve"> </v>
      </c>
      <c r="J48" s="4" t="str">
        <f ca="1">IF(OR(INDEX($W$2:$W$1001,MATCH(ROWS($V$2:V48),$V$2:$V$1001,0),1)&gt;=100000,INDEX($AC$1005:$AS$1005,1,MATCH(COLUMNS($AC$1006:AK1006),$AC$1006:$AS$1006,0))&gt;=100000), " ",IF(INDEX($AC$2:$AS$1001,MATCH(ROWS($V$2:V48),$V$2:$V$1001,0),MATCH(COLUMNS($AC$1006:AK1006),$AC$1006:$AS$1006,0)), HYPERLINK("#",""), HYPERLINK(CONCATENATE("#metadata!", ADDRESS(INDEX($X$2:$X$1001,MATCH(ROWS($V$2:V48),$V$2:$V$1001,0),0), INDEX($AC$1004:$AS$1004,1,MATCH(COLUMNS($AC$1006:AK1006),$AC$1006:$AS$1006,0)))),"Fix")))</f>
        <v xml:space="preserve"> </v>
      </c>
      <c r="K48" s="4" t="str">
        <f ca="1">IF(OR(INDEX($W$2:$W$1001,MATCH(ROWS($V$2:V48),$V$2:$V$1001,0),1)&gt;=100000,INDEX($AC$1005:$AS$1005,1,MATCH(COLUMNS($AC$1006:AL1006),$AC$1006:$AS$1006,0))&gt;=100000), " ",IF(INDEX($AC$2:$AS$1001,MATCH(ROWS($V$2:V48),$V$2:$V$1001,0),MATCH(COLUMNS($AC$1006:AL1006),$AC$1006:$AS$1006,0)), HYPERLINK("#",""), HYPERLINK(CONCATENATE("#metadata!", ADDRESS(INDEX($X$2:$X$1001,MATCH(ROWS($V$2:V48),$V$2:$V$1001,0),0), INDEX($AC$1004:$AS$1004,1,MATCH(COLUMNS($AC$1006:AL1006),$AC$1006:$AS$1006,0)))),"Fix")))</f>
        <v xml:space="preserve"> </v>
      </c>
      <c r="L48" s="4" t="str">
        <f ca="1">IF(OR(INDEX($W$2:$W$1001,MATCH(ROWS($V$2:V48),$V$2:$V$1001,0),1)&gt;=100000,INDEX($AC$1005:$AS$1005,1,MATCH(COLUMNS($AC$1006:AM1006),$AC$1006:$AS$1006,0))&gt;=100000), " ",IF(INDEX($AC$2:$AS$1001,MATCH(ROWS($V$2:V48),$V$2:$V$1001,0),MATCH(COLUMNS($AC$1006:AM1006),$AC$1006:$AS$1006,0)), HYPERLINK("#",""), HYPERLINK(CONCATENATE("#metadata!", ADDRESS(INDEX($X$2:$X$1001,MATCH(ROWS($V$2:V48),$V$2:$V$1001,0),0), INDEX($AC$1004:$AS$1004,1,MATCH(COLUMNS($AC$1006:AM1006),$AC$1006:$AS$1006,0)))),"Fix")))</f>
        <v xml:space="preserve"> </v>
      </c>
      <c r="M48" s="4" t="str">
        <f ca="1">IF(OR(INDEX($W$2:$W$1001,MATCH(ROWS($V$2:V48),$V$2:$V$1001,0),1)&gt;=100000,INDEX($AC$1005:$AS$1005,1,MATCH(COLUMNS($AC$1006:AN1006),$AC$1006:$AS$1006,0))&gt;=100000), " ",IF(INDEX($AC$2:$AS$1001,MATCH(ROWS($V$2:V48),$V$2:$V$1001,0),MATCH(COLUMNS($AC$1006:AN1006),$AC$1006:$AS$1006,0)), HYPERLINK("#",""), HYPERLINK(CONCATENATE("#metadata!", ADDRESS(INDEX($X$2:$X$1001,MATCH(ROWS($V$2:V48),$V$2:$V$1001,0),0), INDEX($AC$1004:$AS$1004,1,MATCH(COLUMNS($AC$1006:AN1006),$AC$1006:$AS$1006,0)))),"Fix")))</f>
        <v xml:space="preserve"> </v>
      </c>
      <c r="N48" s="4" t="str">
        <f ca="1">IF(OR(INDEX($W$2:$W$1001,MATCH(ROWS($V$2:V48),$V$2:$V$1001,0),1)&gt;=100000,INDEX($AC$1005:$AS$1005,1,MATCH(COLUMNS($AC$1006:AO1006),$AC$1006:$AS$1006,0))&gt;=100000), " ",IF(INDEX($AC$2:$AS$1001,MATCH(ROWS($V$2:V48),$V$2:$V$1001,0),MATCH(COLUMNS($AC$1006:AO1006),$AC$1006:$AS$1006,0)), HYPERLINK("#",""), HYPERLINK(CONCATENATE("#metadata!", ADDRESS(INDEX($X$2:$X$1001,MATCH(ROWS($V$2:V48),$V$2:$V$1001,0),0), INDEX($AC$1004:$AS$1004,1,MATCH(COLUMNS($AC$1006:AO1006),$AC$1006:$AS$1006,0)))),"Fix")))</f>
        <v xml:space="preserve"> </v>
      </c>
      <c r="O48" s="4" t="str">
        <f ca="1">IF(OR(INDEX($W$2:$W$1001,MATCH(ROWS($V$2:V48),$V$2:$V$1001,0),1)&gt;=100000,INDEX($AC$1005:$AS$1005,1,MATCH(COLUMNS($AC$1006:AP1006),$AC$1006:$AS$1006,0))&gt;=100000), " ",IF(INDEX($AC$2:$AS$1001,MATCH(ROWS($V$2:V48),$V$2:$V$1001,0),MATCH(COLUMNS($AC$1006:AP1006),$AC$1006:$AS$1006,0)), HYPERLINK("#",""), HYPERLINK(CONCATENATE("#metadata!", ADDRESS(INDEX($X$2:$X$1001,MATCH(ROWS($V$2:V48),$V$2:$V$1001,0),0), INDEX($AC$1004:$AS$1004,1,MATCH(COLUMNS($AC$1006:AP1006),$AC$1006:$AS$1006,0)))),"Fix")))</f>
        <v xml:space="preserve"> </v>
      </c>
      <c r="P48" s="4" t="str">
        <f ca="1">IF(OR(INDEX($W$2:$W$1001,MATCH(ROWS($V$2:V48),$V$2:$V$1001,0),1)&gt;=100000,INDEX($AC$1005:$AS$1005,1,MATCH(COLUMNS($AC$1006:AQ1006),$AC$1006:$AS$1006,0))&gt;=100000), " ",IF(INDEX($AC$2:$AS$1001,MATCH(ROWS($V$2:V48),$V$2:$V$1001,0),MATCH(COLUMNS($AC$1006:AQ1006),$AC$1006:$AS$1006,0)), HYPERLINK("#",""), HYPERLINK(CONCATENATE("#metadata!", ADDRESS(INDEX($X$2:$X$1001,MATCH(ROWS($V$2:V48),$V$2:$V$1001,0),0), INDEX($AC$1004:$AS$1004,1,MATCH(COLUMNS($AC$1006:AQ1006),$AC$1006:$AS$1006,0)))),"Fix")))</f>
        <v xml:space="preserve"> </v>
      </c>
      <c r="Q48" s="4" t="str">
        <f ca="1">IF(OR(INDEX($W$2:$W$1001,MATCH(ROWS($V$2:V48),$V$2:$V$1001,0),1)&gt;=100000,INDEX($AC$1005:$AS$1005,1,MATCH(COLUMNS($AC$1006:AR1006),$AC$1006:$AS$1006,0))&gt;=100000), " ",IF(INDEX($AC$2:$AS$1001,MATCH(ROWS($V$2:V48),$V$2:$V$1001,0),MATCH(COLUMNS($AC$1006:AR1006),$AC$1006:$AS$1006,0)), HYPERLINK("#",""), HYPERLINK(CONCATENATE("#metadata!", ADDRESS(INDEX($X$2:$X$1001,MATCH(ROWS($V$2:V48),$V$2:$V$1001,0),0), INDEX($AC$1004:$AS$1004,1,MATCH(COLUMNS($AC$1006:AR1006),$AC$1006:$AS$1006,0)))),"Fix")))</f>
        <v xml:space="preserve"> </v>
      </c>
      <c r="R48" s="4" t="str">
        <f ca="1">IF(OR(INDEX($W$2:$W$1001,MATCH(ROWS($V$2:V48),$V$2:$V$1001,0),1)&gt;=100000,INDEX($AC$1005:$AS$1005,1,MATCH(COLUMNS($AC$1006:AS1006),$AC$1006:$AS$1006,0))&gt;=100000), " ",IF(INDEX($AC$2:$AS$1001,MATCH(ROWS($V$2:V48),$V$2:$V$1001,0),MATCH(COLUMNS($AC$1006:AS1006),$AC$1006:$AS$1006,0)), HYPERLINK("#",""), HYPERLINK(CONCATENATE("#metadata!", ADDRESS(INDEX($X$2:$X$1001,MATCH(ROWS($V$2:V48),$V$2:$V$1001,0),0), INDEX($AC$1004:$AS$1004,1,MATCH(COLUMNS($AC$1006:AS1006),$AC$1006:$AS$1006,0)))),"Fix")))</f>
        <v xml:space="preserve"> </v>
      </c>
      <c r="V48">
        <v>47</v>
      </c>
      <c r="W48">
        <v>100048</v>
      </c>
      <c r="X48">
        <v>48</v>
      </c>
      <c r="Y48" t="b">
        <f t="shared" si="0"/>
        <v>1</v>
      </c>
      <c r="Z48" t="b">
        <f>COUNTBLANK(metadata!B48:R48)=COLUMNS(metadata!B48:R48)</f>
        <v>1</v>
      </c>
      <c r="AA48" t="str">
        <v/>
      </c>
      <c r="AC48" t="b">
        <f ca="1"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AD48" t="b">
        <f>IF(metadata!C48="",FALSE,ISNUMBER(VALUE(metadata!C48)))</f>
        <v>0</v>
      </c>
      <c r="AE48" t="b">
        <f>AND(IF(metadata!D48="",FALSE,TRUE),EXACT(metadata!D48,"years"))</f>
        <v>0</v>
      </c>
      <c r="AF48" t="b">
        <f>OR(AND(IF(metadata!E48="",FALSE,TRUE),OR(EXACT(metadata!E48,"not applicable"),EXACT(metadata!E48,"missing: not collected"),EXACT(metadata!E48,"missing: not provided"),EXACT(metadata!E48,"missing: restricted access"))),AND(IF(metadata!E48="",FALSE,ISNUMBER(VALUE(metadata!E48))),metadata!E48&gt;0))</f>
        <v>0</v>
      </c>
      <c r="AG48" t="b">
        <f>AND(IF(metadata!F48="",FALSE,TRUE),EXACT(metadata!F48,"Not applicable"))</f>
        <v>0</v>
      </c>
      <c r="AH48" t="b">
        <f>AND(IF(metadata!G48="",FALSE,TRUE),EXACT(metadata!G48,"urban biome"))</f>
        <v>0</v>
      </c>
      <c r="AI48" t="b">
        <f>AND(IF(metadata!H48="",FALSE,TRUE),EXACT(metadata!H48,"human-associated habitat"))</f>
        <v>0</v>
      </c>
      <c r="AJ48" t="b">
        <f>AND(IF(metadata!I48="",FALSE,TRUE),OR(EXACT(metadata!I48,"human-associated"),EXACT(metadata!I48,"human-skin"),EXACT(metadata!I48,"human-oral"),EXACT(metadata!I48,"human-gut"),EXACT(metadata!I48,"human-vaginal")))</f>
        <v>0</v>
      </c>
      <c r="AK48" t="b">
        <f>IF(metadata!J48="",FALSE,ISNUMBER(VALUE(metadata!J48)))</f>
        <v>0</v>
      </c>
      <c r="AL48" t="b">
        <f>AND(IF(metadata!K48="",FALSE,TRUE),EXACT(metadata!K48,"cm"))</f>
        <v>0</v>
      </c>
      <c r="AM48" t="b">
        <f>AND(IF(metadata!L48="",FALSE,TRUE),EXACT(metadata!L48,"human"))</f>
        <v>0</v>
      </c>
      <c r="AN48" t="b">
        <f>AND(IF(metadata!M48="",FALSE,TRUE),EXACT(metadata!M48,"Homo sapiens"))</f>
        <v>0</v>
      </c>
      <c r="AO48" t="b">
        <f>AND(IF(metadata!N48="",FALSE,TRUE),EXACT(metadata!N48,"9606"))</f>
        <v>0</v>
      </c>
      <c r="AP48" t="b">
        <f>IF(metadata!O48="",FALSE,TRUE)</f>
        <v>0</v>
      </c>
      <c r="AQ48" t="b">
        <f>IF(metadata!P48="",FALSE,TRUE)</f>
        <v>0</v>
      </c>
      <c r="AR48" t="b">
        <f>IF(metadata!Q48="",FALSE,ISNUMBER(VALUE(metadata!Q48)))</f>
        <v>0</v>
      </c>
      <c r="AS48" t="b">
        <f>AND(IF(metadata!R48="",FALSE,TRUE),EXACT(metadata!R48,"kg"))</f>
        <v>0</v>
      </c>
    </row>
    <row r="49" spans="1:45" x14ac:dyDescent="0.2">
      <c r="A49" s="5" t="str">
        <f ca="1">IF(B49=" "," ",HYPERLINK(CONCATENATE("#metadata!",ADDRESS(INDEX($X$2:$X$1001,MATCH(ROWS($V$2:V49),$V$2:$V$1001,0),0),1)),INDEX($AA$2:$AA$1001,MATCH(ROWS($V$2:V49),$V$2:$V$1001,0),0)))</f>
        <v xml:space="preserve"> </v>
      </c>
      <c r="B49" s="4" t="str">
        <f ca="1">IF(OR(INDEX($W$2:$W$1001,MATCH(ROWS($V$2:V49),$V$2:$V$1001,0),1)&gt;=100000,INDEX($AC$1005:$AS$1005,1,MATCH(COLUMNS($AC$1006:AC1006),$AC$1006:$AS$1006,0))&gt;=100000), " ",IF(INDEX($AC$2:$AS$1001,MATCH(ROWS($V$2:V49),$V$2:$V$1001,0),MATCH(COLUMNS($AC$1006:AC1006),$AC$1006:$AS$1006,0)), HYPERLINK("#",""), HYPERLINK(CONCATENATE("#metadata!", ADDRESS(INDEX($X$2:$X$1001,MATCH(ROWS($V$2:V49),$V$2:$V$1001,0),0), INDEX($AC$1004:$AS$1004,1,MATCH(COLUMNS($AC$1006:AC1006),$AC$1006:$AS$1006,0)))),"Fix")))</f>
        <v xml:space="preserve"> </v>
      </c>
      <c r="C49" s="4" t="str">
        <f ca="1">IF(OR(INDEX($W$2:$W$1001,MATCH(ROWS($V$2:V49),$V$2:$V$1001,0),1)&gt;=100000,INDEX($AC$1005:$AS$1005,1,MATCH(COLUMNS($AC$1006:AD1006),$AC$1006:$AS$1006,0))&gt;=100000), " ",IF(INDEX($AC$2:$AS$1001,MATCH(ROWS($V$2:V49),$V$2:$V$1001,0),MATCH(COLUMNS($AC$1006:AD1006),$AC$1006:$AS$1006,0)), HYPERLINK("#",""), HYPERLINK(CONCATENATE("#metadata!", ADDRESS(INDEX($X$2:$X$1001,MATCH(ROWS($V$2:V49),$V$2:$V$1001,0),0), INDEX($AC$1004:$AS$1004,1,MATCH(COLUMNS($AC$1006:AD1006),$AC$1006:$AS$1006,0)))),"Fix")))</f>
        <v xml:space="preserve"> </v>
      </c>
      <c r="D49" s="4" t="str">
        <f ca="1">IF(OR(INDEX($W$2:$W$1001,MATCH(ROWS($V$2:V49),$V$2:$V$1001,0),1)&gt;=100000,INDEX($AC$1005:$AS$1005,1,MATCH(COLUMNS($AC$1006:AE1006),$AC$1006:$AS$1006,0))&gt;=100000), " ",IF(INDEX($AC$2:$AS$1001,MATCH(ROWS($V$2:V49),$V$2:$V$1001,0),MATCH(COLUMNS($AC$1006:AE1006),$AC$1006:$AS$1006,0)), HYPERLINK("#",""), HYPERLINK(CONCATENATE("#metadata!", ADDRESS(INDEX($X$2:$X$1001,MATCH(ROWS($V$2:V49),$V$2:$V$1001,0),0), INDEX($AC$1004:$AS$1004,1,MATCH(COLUMNS($AC$1006:AE1006),$AC$1006:$AS$1006,0)))),"Fix")))</f>
        <v xml:space="preserve"> </v>
      </c>
      <c r="E49" s="4" t="str">
        <f ca="1">IF(OR(INDEX($W$2:$W$1001,MATCH(ROWS($V$2:V49),$V$2:$V$1001,0),1)&gt;=100000,INDEX($AC$1005:$AS$1005,1,MATCH(COLUMNS($AC$1006:AF1006),$AC$1006:$AS$1006,0))&gt;=100000), " ",IF(INDEX($AC$2:$AS$1001,MATCH(ROWS($V$2:V49),$V$2:$V$1001,0),MATCH(COLUMNS($AC$1006:AF1006),$AC$1006:$AS$1006,0)), HYPERLINK("#",""), HYPERLINK(CONCATENATE("#metadata!", ADDRESS(INDEX($X$2:$X$1001,MATCH(ROWS($V$2:V49),$V$2:$V$1001,0),0), INDEX($AC$1004:$AS$1004,1,MATCH(COLUMNS($AC$1006:AF1006),$AC$1006:$AS$1006,0)))),"Fix")))</f>
        <v xml:space="preserve"> </v>
      </c>
      <c r="F49" s="4" t="str">
        <f ca="1">IF(OR(INDEX($W$2:$W$1001,MATCH(ROWS($V$2:V49),$V$2:$V$1001,0),1)&gt;=100000,INDEX($AC$1005:$AS$1005,1,MATCH(COLUMNS($AC$1006:AG1006),$AC$1006:$AS$1006,0))&gt;=100000), " ",IF(INDEX($AC$2:$AS$1001,MATCH(ROWS($V$2:V49),$V$2:$V$1001,0),MATCH(COLUMNS($AC$1006:AG1006),$AC$1006:$AS$1006,0)), HYPERLINK("#",""), HYPERLINK(CONCATENATE("#metadata!", ADDRESS(INDEX($X$2:$X$1001,MATCH(ROWS($V$2:V49),$V$2:$V$1001,0),0), INDEX($AC$1004:$AS$1004,1,MATCH(COLUMNS($AC$1006:AG1006),$AC$1006:$AS$1006,0)))),"Fix")))</f>
        <v xml:space="preserve"> </v>
      </c>
      <c r="G49" s="4" t="str">
        <f ca="1">IF(OR(INDEX($W$2:$W$1001,MATCH(ROWS($V$2:V49),$V$2:$V$1001,0),1)&gt;=100000,INDEX($AC$1005:$AS$1005,1,MATCH(COLUMNS($AC$1006:AH1006),$AC$1006:$AS$1006,0))&gt;=100000), " ",IF(INDEX($AC$2:$AS$1001,MATCH(ROWS($V$2:V49),$V$2:$V$1001,0),MATCH(COLUMNS($AC$1006:AH1006),$AC$1006:$AS$1006,0)), HYPERLINK("#",""), HYPERLINK(CONCATENATE("#metadata!", ADDRESS(INDEX($X$2:$X$1001,MATCH(ROWS($V$2:V49),$V$2:$V$1001,0),0), INDEX($AC$1004:$AS$1004,1,MATCH(COLUMNS($AC$1006:AH1006),$AC$1006:$AS$1006,0)))),"Fix")))</f>
        <v xml:space="preserve"> </v>
      </c>
      <c r="H49" s="4" t="str">
        <f ca="1">IF(OR(INDEX($W$2:$W$1001,MATCH(ROWS($V$2:V49),$V$2:$V$1001,0),1)&gt;=100000,INDEX($AC$1005:$AS$1005,1,MATCH(COLUMNS($AC$1006:AI1006),$AC$1006:$AS$1006,0))&gt;=100000), " ",IF(INDEX($AC$2:$AS$1001,MATCH(ROWS($V$2:V49),$V$2:$V$1001,0),MATCH(COLUMNS($AC$1006:AI1006),$AC$1006:$AS$1006,0)), HYPERLINK("#",""), HYPERLINK(CONCATENATE("#metadata!", ADDRESS(INDEX($X$2:$X$1001,MATCH(ROWS($V$2:V49),$V$2:$V$1001,0),0), INDEX($AC$1004:$AS$1004,1,MATCH(COLUMNS($AC$1006:AI1006),$AC$1006:$AS$1006,0)))),"Fix")))</f>
        <v xml:space="preserve"> </v>
      </c>
      <c r="I49" s="4" t="str">
        <f ca="1">IF(OR(INDEX($W$2:$W$1001,MATCH(ROWS($V$2:V49),$V$2:$V$1001,0),1)&gt;=100000,INDEX($AC$1005:$AS$1005,1,MATCH(COLUMNS($AC$1006:AJ1006),$AC$1006:$AS$1006,0))&gt;=100000), " ",IF(INDEX($AC$2:$AS$1001,MATCH(ROWS($V$2:V49),$V$2:$V$1001,0),MATCH(COLUMNS($AC$1006:AJ1006),$AC$1006:$AS$1006,0)), HYPERLINK("#",""), HYPERLINK(CONCATENATE("#metadata!", ADDRESS(INDEX($X$2:$X$1001,MATCH(ROWS($V$2:V49),$V$2:$V$1001,0),0), INDEX($AC$1004:$AS$1004,1,MATCH(COLUMNS($AC$1006:AJ1006),$AC$1006:$AS$1006,0)))),"Fix")))</f>
        <v xml:space="preserve"> </v>
      </c>
      <c r="J49" s="4" t="str">
        <f ca="1">IF(OR(INDEX($W$2:$W$1001,MATCH(ROWS($V$2:V49),$V$2:$V$1001,0),1)&gt;=100000,INDEX($AC$1005:$AS$1005,1,MATCH(COLUMNS($AC$1006:AK1006),$AC$1006:$AS$1006,0))&gt;=100000), " ",IF(INDEX($AC$2:$AS$1001,MATCH(ROWS($V$2:V49),$V$2:$V$1001,0),MATCH(COLUMNS($AC$1006:AK1006),$AC$1006:$AS$1006,0)), HYPERLINK("#",""), HYPERLINK(CONCATENATE("#metadata!", ADDRESS(INDEX($X$2:$X$1001,MATCH(ROWS($V$2:V49),$V$2:$V$1001,0),0), INDEX($AC$1004:$AS$1004,1,MATCH(COLUMNS($AC$1006:AK1006),$AC$1006:$AS$1006,0)))),"Fix")))</f>
        <v xml:space="preserve"> </v>
      </c>
      <c r="K49" s="4" t="str">
        <f ca="1">IF(OR(INDEX($W$2:$W$1001,MATCH(ROWS($V$2:V49),$V$2:$V$1001,0),1)&gt;=100000,INDEX($AC$1005:$AS$1005,1,MATCH(COLUMNS($AC$1006:AL1006),$AC$1006:$AS$1006,0))&gt;=100000), " ",IF(INDEX($AC$2:$AS$1001,MATCH(ROWS($V$2:V49),$V$2:$V$1001,0),MATCH(COLUMNS($AC$1006:AL1006),$AC$1006:$AS$1006,0)), HYPERLINK("#",""), HYPERLINK(CONCATENATE("#metadata!", ADDRESS(INDEX($X$2:$X$1001,MATCH(ROWS($V$2:V49),$V$2:$V$1001,0),0), INDEX($AC$1004:$AS$1004,1,MATCH(COLUMNS($AC$1006:AL1006),$AC$1006:$AS$1006,0)))),"Fix")))</f>
        <v xml:space="preserve"> </v>
      </c>
      <c r="L49" s="4" t="str">
        <f ca="1">IF(OR(INDEX($W$2:$W$1001,MATCH(ROWS($V$2:V49),$V$2:$V$1001,0),1)&gt;=100000,INDEX($AC$1005:$AS$1005,1,MATCH(COLUMNS($AC$1006:AM1006),$AC$1006:$AS$1006,0))&gt;=100000), " ",IF(INDEX($AC$2:$AS$1001,MATCH(ROWS($V$2:V49),$V$2:$V$1001,0),MATCH(COLUMNS($AC$1006:AM1006),$AC$1006:$AS$1006,0)), HYPERLINK("#",""), HYPERLINK(CONCATENATE("#metadata!", ADDRESS(INDEX($X$2:$X$1001,MATCH(ROWS($V$2:V49),$V$2:$V$1001,0),0), INDEX($AC$1004:$AS$1004,1,MATCH(COLUMNS($AC$1006:AM1006),$AC$1006:$AS$1006,0)))),"Fix")))</f>
        <v xml:space="preserve"> </v>
      </c>
      <c r="M49" s="4" t="str">
        <f ca="1">IF(OR(INDEX($W$2:$W$1001,MATCH(ROWS($V$2:V49),$V$2:$V$1001,0),1)&gt;=100000,INDEX($AC$1005:$AS$1005,1,MATCH(COLUMNS($AC$1006:AN1006),$AC$1006:$AS$1006,0))&gt;=100000), " ",IF(INDEX($AC$2:$AS$1001,MATCH(ROWS($V$2:V49),$V$2:$V$1001,0),MATCH(COLUMNS($AC$1006:AN1006),$AC$1006:$AS$1006,0)), HYPERLINK("#",""), HYPERLINK(CONCATENATE("#metadata!", ADDRESS(INDEX($X$2:$X$1001,MATCH(ROWS($V$2:V49),$V$2:$V$1001,0),0), INDEX($AC$1004:$AS$1004,1,MATCH(COLUMNS($AC$1006:AN1006),$AC$1006:$AS$1006,0)))),"Fix")))</f>
        <v xml:space="preserve"> </v>
      </c>
      <c r="N49" s="4" t="str">
        <f ca="1">IF(OR(INDEX($W$2:$W$1001,MATCH(ROWS($V$2:V49),$V$2:$V$1001,0),1)&gt;=100000,INDEX($AC$1005:$AS$1005,1,MATCH(COLUMNS($AC$1006:AO1006),$AC$1006:$AS$1006,0))&gt;=100000), " ",IF(INDEX($AC$2:$AS$1001,MATCH(ROWS($V$2:V49),$V$2:$V$1001,0),MATCH(COLUMNS($AC$1006:AO1006),$AC$1006:$AS$1006,0)), HYPERLINK("#",""), HYPERLINK(CONCATENATE("#metadata!", ADDRESS(INDEX($X$2:$X$1001,MATCH(ROWS($V$2:V49),$V$2:$V$1001,0),0), INDEX($AC$1004:$AS$1004,1,MATCH(COLUMNS($AC$1006:AO1006),$AC$1006:$AS$1006,0)))),"Fix")))</f>
        <v xml:space="preserve"> </v>
      </c>
      <c r="O49" s="4" t="str">
        <f ca="1">IF(OR(INDEX($W$2:$W$1001,MATCH(ROWS($V$2:V49),$V$2:$V$1001,0),1)&gt;=100000,INDEX($AC$1005:$AS$1005,1,MATCH(COLUMNS($AC$1006:AP1006),$AC$1006:$AS$1006,0))&gt;=100000), " ",IF(INDEX($AC$2:$AS$1001,MATCH(ROWS($V$2:V49),$V$2:$V$1001,0),MATCH(COLUMNS($AC$1006:AP1006),$AC$1006:$AS$1006,0)), HYPERLINK("#",""), HYPERLINK(CONCATENATE("#metadata!", ADDRESS(INDEX($X$2:$X$1001,MATCH(ROWS($V$2:V49),$V$2:$V$1001,0),0), INDEX($AC$1004:$AS$1004,1,MATCH(COLUMNS($AC$1006:AP1006),$AC$1006:$AS$1006,0)))),"Fix")))</f>
        <v xml:space="preserve"> </v>
      </c>
      <c r="P49" s="4" t="str">
        <f ca="1">IF(OR(INDEX($W$2:$W$1001,MATCH(ROWS($V$2:V49),$V$2:$V$1001,0),1)&gt;=100000,INDEX($AC$1005:$AS$1005,1,MATCH(COLUMNS($AC$1006:AQ1006),$AC$1006:$AS$1006,0))&gt;=100000), " ",IF(INDEX($AC$2:$AS$1001,MATCH(ROWS($V$2:V49),$V$2:$V$1001,0),MATCH(COLUMNS($AC$1006:AQ1006),$AC$1006:$AS$1006,0)), HYPERLINK("#",""), HYPERLINK(CONCATENATE("#metadata!", ADDRESS(INDEX($X$2:$X$1001,MATCH(ROWS($V$2:V49),$V$2:$V$1001,0),0), INDEX($AC$1004:$AS$1004,1,MATCH(COLUMNS($AC$1006:AQ1006),$AC$1006:$AS$1006,0)))),"Fix")))</f>
        <v xml:space="preserve"> </v>
      </c>
      <c r="Q49" s="4" t="str">
        <f ca="1">IF(OR(INDEX($W$2:$W$1001,MATCH(ROWS($V$2:V49),$V$2:$V$1001,0),1)&gt;=100000,INDEX($AC$1005:$AS$1005,1,MATCH(COLUMNS($AC$1006:AR1006),$AC$1006:$AS$1006,0))&gt;=100000), " ",IF(INDEX($AC$2:$AS$1001,MATCH(ROWS($V$2:V49),$V$2:$V$1001,0),MATCH(COLUMNS($AC$1006:AR1006),$AC$1006:$AS$1006,0)), HYPERLINK("#",""), HYPERLINK(CONCATENATE("#metadata!", ADDRESS(INDEX($X$2:$X$1001,MATCH(ROWS($V$2:V49),$V$2:$V$1001,0),0), INDEX($AC$1004:$AS$1004,1,MATCH(COLUMNS($AC$1006:AR1006),$AC$1006:$AS$1006,0)))),"Fix")))</f>
        <v xml:space="preserve"> </v>
      </c>
      <c r="R49" s="4" t="str">
        <f ca="1">IF(OR(INDEX($W$2:$W$1001,MATCH(ROWS($V$2:V49),$V$2:$V$1001,0),1)&gt;=100000,INDEX($AC$1005:$AS$1005,1,MATCH(COLUMNS($AC$1006:AS1006),$AC$1006:$AS$1006,0))&gt;=100000), " ",IF(INDEX($AC$2:$AS$1001,MATCH(ROWS($V$2:V49),$V$2:$V$1001,0),MATCH(COLUMNS($AC$1006:AS1006),$AC$1006:$AS$1006,0)), HYPERLINK("#",""), HYPERLINK(CONCATENATE("#metadata!", ADDRESS(INDEX($X$2:$X$1001,MATCH(ROWS($V$2:V49),$V$2:$V$1001,0),0), INDEX($AC$1004:$AS$1004,1,MATCH(COLUMNS($AC$1006:AS1006),$AC$1006:$AS$1006,0)))),"Fix")))</f>
        <v xml:space="preserve"> </v>
      </c>
      <c r="V49">
        <v>48</v>
      </c>
      <c r="W49">
        <v>100049</v>
      </c>
      <c r="X49">
        <v>49</v>
      </c>
      <c r="Y49" t="b">
        <f t="shared" si="0"/>
        <v>1</v>
      </c>
      <c r="Z49" t="b">
        <f>COUNTBLANK(metadata!B49:R49)=COLUMNS(metadata!B49:R49)</f>
        <v>1</v>
      </c>
      <c r="AA49" t="str">
        <v/>
      </c>
      <c r="AC49" t="b">
        <f ca="1"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AD49" t="b">
        <f>IF(metadata!C49="",FALSE,ISNUMBER(VALUE(metadata!C49)))</f>
        <v>0</v>
      </c>
      <c r="AE49" t="b">
        <f>AND(IF(metadata!D49="",FALSE,TRUE),EXACT(metadata!D49,"years"))</f>
        <v>0</v>
      </c>
      <c r="AF49" t="b">
        <f>OR(AND(IF(metadata!E49="",FALSE,TRUE),OR(EXACT(metadata!E49,"not applicable"),EXACT(metadata!E49,"missing: not collected"),EXACT(metadata!E49,"missing: not provided"),EXACT(metadata!E49,"missing: restricted access"))),AND(IF(metadata!E49="",FALSE,ISNUMBER(VALUE(metadata!E49))),metadata!E49&gt;0))</f>
        <v>0</v>
      </c>
      <c r="AG49" t="b">
        <f>AND(IF(metadata!F49="",FALSE,TRUE),EXACT(metadata!F49,"Not applicable"))</f>
        <v>0</v>
      </c>
      <c r="AH49" t="b">
        <f>AND(IF(metadata!G49="",FALSE,TRUE),EXACT(metadata!G49,"urban biome"))</f>
        <v>0</v>
      </c>
      <c r="AI49" t="b">
        <f>AND(IF(metadata!H49="",FALSE,TRUE),EXACT(metadata!H49,"human-associated habitat"))</f>
        <v>0</v>
      </c>
      <c r="AJ49" t="b">
        <f>AND(IF(metadata!I49="",FALSE,TRUE),OR(EXACT(metadata!I49,"human-associated"),EXACT(metadata!I49,"human-skin"),EXACT(metadata!I49,"human-oral"),EXACT(metadata!I49,"human-gut"),EXACT(metadata!I49,"human-vaginal")))</f>
        <v>0</v>
      </c>
      <c r="AK49" t="b">
        <f>IF(metadata!J49="",FALSE,ISNUMBER(VALUE(metadata!J49)))</f>
        <v>0</v>
      </c>
      <c r="AL49" t="b">
        <f>AND(IF(metadata!K49="",FALSE,TRUE),EXACT(metadata!K49,"cm"))</f>
        <v>0</v>
      </c>
      <c r="AM49" t="b">
        <f>AND(IF(metadata!L49="",FALSE,TRUE),EXACT(metadata!L49,"human"))</f>
        <v>0</v>
      </c>
      <c r="AN49" t="b">
        <f>AND(IF(metadata!M49="",FALSE,TRUE),EXACT(metadata!M49,"Homo sapiens"))</f>
        <v>0</v>
      </c>
      <c r="AO49" t="b">
        <f>AND(IF(metadata!N49="",FALSE,TRUE),EXACT(metadata!N49,"9606"))</f>
        <v>0</v>
      </c>
      <c r="AP49" t="b">
        <f>IF(metadata!O49="",FALSE,TRUE)</f>
        <v>0</v>
      </c>
      <c r="AQ49" t="b">
        <f>IF(metadata!P49="",FALSE,TRUE)</f>
        <v>0</v>
      </c>
      <c r="AR49" t="b">
        <f>IF(metadata!Q49="",FALSE,ISNUMBER(VALUE(metadata!Q49)))</f>
        <v>0</v>
      </c>
      <c r="AS49" t="b">
        <f>AND(IF(metadata!R49="",FALSE,TRUE),EXACT(metadata!R49,"kg"))</f>
        <v>0</v>
      </c>
    </row>
    <row r="50" spans="1:45" x14ac:dyDescent="0.2">
      <c r="A50" s="5" t="str">
        <f ca="1">IF(B50=" "," ",HYPERLINK(CONCATENATE("#metadata!",ADDRESS(INDEX($X$2:$X$1001,MATCH(ROWS($V$2:V50),$V$2:$V$1001,0),0),1)),INDEX($AA$2:$AA$1001,MATCH(ROWS($V$2:V50),$V$2:$V$1001,0),0)))</f>
        <v xml:space="preserve"> </v>
      </c>
      <c r="B50" s="4" t="str">
        <f ca="1">IF(OR(INDEX($W$2:$W$1001,MATCH(ROWS($V$2:V50),$V$2:$V$1001,0),1)&gt;=100000,INDEX($AC$1005:$AS$1005,1,MATCH(COLUMNS($AC$1006:AC1006),$AC$1006:$AS$1006,0))&gt;=100000), " ",IF(INDEX($AC$2:$AS$1001,MATCH(ROWS($V$2:V50),$V$2:$V$1001,0),MATCH(COLUMNS($AC$1006:AC1006),$AC$1006:$AS$1006,0)), HYPERLINK("#",""), HYPERLINK(CONCATENATE("#metadata!", ADDRESS(INDEX($X$2:$X$1001,MATCH(ROWS($V$2:V50),$V$2:$V$1001,0),0), INDEX($AC$1004:$AS$1004,1,MATCH(COLUMNS($AC$1006:AC1006),$AC$1006:$AS$1006,0)))),"Fix")))</f>
        <v xml:space="preserve"> </v>
      </c>
      <c r="C50" s="4" t="str">
        <f ca="1">IF(OR(INDEX($W$2:$W$1001,MATCH(ROWS($V$2:V50),$V$2:$V$1001,0),1)&gt;=100000,INDEX($AC$1005:$AS$1005,1,MATCH(COLUMNS($AC$1006:AD1006),$AC$1006:$AS$1006,0))&gt;=100000), " ",IF(INDEX($AC$2:$AS$1001,MATCH(ROWS($V$2:V50),$V$2:$V$1001,0),MATCH(COLUMNS($AC$1006:AD1006),$AC$1006:$AS$1006,0)), HYPERLINK("#",""), HYPERLINK(CONCATENATE("#metadata!", ADDRESS(INDEX($X$2:$X$1001,MATCH(ROWS($V$2:V50),$V$2:$V$1001,0),0), INDEX($AC$1004:$AS$1004,1,MATCH(COLUMNS($AC$1006:AD1006),$AC$1006:$AS$1006,0)))),"Fix")))</f>
        <v xml:space="preserve"> </v>
      </c>
      <c r="D50" s="4" t="str">
        <f ca="1">IF(OR(INDEX($W$2:$W$1001,MATCH(ROWS($V$2:V50),$V$2:$V$1001,0),1)&gt;=100000,INDEX($AC$1005:$AS$1005,1,MATCH(COLUMNS($AC$1006:AE1006),$AC$1006:$AS$1006,0))&gt;=100000), " ",IF(INDEX($AC$2:$AS$1001,MATCH(ROWS($V$2:V50),$V$2:$V$1001,0),MATCH(COLUMNS($AC$1006:AE1006),$AC$1006:$AS$1006,0)), HYPERLINK("#",""), HYPERLINK(CONCATENATE("#metadata!", ADDRESS(INDEX($X$2:$X$1001,MATCH(ROWS($V$2:V50),$V$2:$V$1001,0),0), INDEX($AC$1004:$AS$1004,1,MATCH(COLUMNS($AC$1006:AE1006),$AC$1006:$AS$1006,0)))),"Fix")))</f>
        <v xml:space="preserve"> </v>
      </c>
      <c r="E50" s="4" t="str">
        <f ca="1">IF(OR(INDEX($W$2:$W$1001,MATCH(ROWS($V$2:V50),$V$2:$V$1001,0),1)&gt;=100000,INDEX($AC$1005:$AS$1005,1,MATCH(COLUMNS($AC$1006:AF1006),$AC$1006:$AS$1006,0))&gt;=100000), " ",IF(INDEX($AC$2:$AS$1001,MATCH(ROWS($V$2:V50),$V$2:$V$1001,0),MATCH(COLUMNS($AC$1006:AF1006),$AC$1006:$AS$1006,0)), HYPERLINK("#",""), HYPERLINK(CONCATENATE("#metadata!", ADDRESS(INDEX($X$2:$X$1001,MATCH(ROWS($V$2:V50),$V$2:$V$1001,0),0), INDEX($AC$1004:$AS$1004,1,MATCH(COLUMNS($AC$1006:AF1006),$AC$1006:$AS$1006,0)))),"Fix")))</f>
        <v xml:space="preserve"> </v>
      </c>
      <c r="F50" s="4" t="str">
        <f ca="1">IF(OR(INDEX($W$2:$W$1001,MATCH(ROWS($V$2:V50),$V$2:$V$1001,0),1)&gt;=100000,INDEX($AC$1005:$AS$1005,1,MATCH(COLUMNS($AC$1006:AG1006),$AC$1006:$AS$1006,0))&gt;=100000), " ",IF(INDEX($AC$2:$AS$1001,MATCH(ROWS($V$2:V50),$V$2:$V$1001,0),MATCH(COLUMNS($AC$1006:AG1006),$AC$1006:$AS$1006,0)), HYPERLINK("#",""), HYPERLINK(CONCATENATE("#metadata!", ADDRESS(INDEX($X$2:$X$1001,MATCH(ROWS($V$2:V50),$V$2:$V$1001,0),0), INDEX($AC$1004:$AS$1004,1,MATCH(COLUMNS($AC$1006:AG1006),$AC$1006:$AS$1006,0)))),"Fix")))</f>
        <v xml:space="preserve"> </v>
      </c>
      <c r="G50" s="4" t="str">
        <f ca="1">IF(OR(INDEX($W$2:$W$1001,MATCH(ROWS($V$2:V50),$V$2:$V$1001,0),1)&gt;=100000,INDEX($AC$1005:$AS$1005,1,MATCH(COLUMNS($AC$1006:AH1006),$AC$1006:$AS$1006,0))&gt;=100000), " ",IF(INDEX($AC$2:$AS$1001,MATCH(ROWS($V$2:V50),$V$2:$V$1001,0),MATCH(COLUMNS($AC$1006:AH1006),$AC$1006:$AS$1006,0)), HYPERLINK("#",""), HYPERLINK(CONCATENATE("#metadata!", ADDRESS(INDEX($X$2:$X$1001,MATCH(ROWS($V$2:V50),$V$2:$V$1001,0),0), INDEX($AC$1004:$AS$1004,1,MATCH(COLUMNS($AC$1006:AH1006),$AC$1006:$AS$1006,0)))),"Fix")))</f>
        <v xml:space="preserve"> </v>
      </c>
      <c r="H50" s="4" t="str">
        <f ca="1">IF(OR(INDEX($W$2:$W$1001,MATCH(ROWS($V$2:V50),$V$2:$V$1001,0),1)&gt;=100000,INDEX($AC$1005:$AS$1005,1,MATCH(COLUMNS($AC$1006:AI1006),$AC$1006:$AS$1006,0))&gt;=100000), " ",IF(INDEX($AC$2:$AS$1001,MATCH(ROWS($V$2:V50),$V$2:$V$1001,0),MATCH(COLUMNS($AC$1006:AI1006),$AC$1006:$AS$1006,0)), HYPERLINK("#",""), HYPERLINK(CONCATENATE("#metadata!", ADDRESS(INDEX($X$2:$X$1001,MATCH(ROWS($V$2:V50),$V$2:$V$1001,0),0), INDEX($AC$1004:$AS$1004,1,MATCH(COLUMNS($AC$1006:AI1006),$AC$1006:$AS$1006,0)))),"Fix")))</f>
        <v xml:space="preserve"> </v>
      </c>
      <c r="I50" s="4" t="str">
        <f ca="1">IF(OR(INDEX($W$2:$W$1001,MATCH(ROWS($V$2:V50),$V$2:$V$1001,0),1)&gt;=100000,INDEX($AC$1005:$AS$1005,1,MATCH(COLUMNS($AC$1006:AJ1006),$AC$1006:$AS$1006,0))&gt;=100000), " ",IF(INDEX($AC$2:$AS$1001,MATCH(ROWS($V$2:V50),$V$2:$V$1001,0),MATCH(COLUMNS($AC$1006:AJ1006),$AC$1006:$AS$1006,0)), HYPERLINK("#",""), HYPERLINK(CONCATENATE("#metadata!", ADDRESS(INDEX($X$2:$X$1001,MATCH(ROWS($V$2:V50),$V$2:$V$1001,0),0), INDEX($AC$1004:$AS$1004,1,MATCH(COLUMNS($AC$1006:AJ1006),$AC$1006:$AS$1006,0)))),"Fix")))</f>
        <v xml:space="preserve"> </v>
      </c>
      <c r="J50" s="4" t="str">
        <f ca="1">IF(OR(INDEX($W$2:$W$1001,MATCH(ROWS($V$2:V50),$V$2:$V$1001,0),1)&gt;=100000,INDEX($AC$1005:$AS$1005,1,MATCH(COLUMNS($AC$1006:AK1006),$AC$1006:$AS$1006,0))&gt;=100000), " ",IF(INDEX($AC$2:$AS$1001,MATCH(ROWS($V$2:V50),$V$2:$V$1001,0),MATCH(COLUMNS($AC$1006:AK1006),$AC$1006:$AS$1006,0)), HYPERLINK("#",""), HYPERLINK(CONCATENATE("#metadata!", ADDRESS(INDEX($X$2:$X$1001,MATCH(ROWS($V$2:V50),$V$2:$V$1001,0),0), INDEX($AC$1004:$AS$1004,1,MATCH(COLUMNS($AC$1006:AK1006),$AC$1006:$AS$1006,0)))),"Fix")))</f>
        <v xml:space="preserve"> </v>
      </c>
      <c r="K50" s="4" t="str">
        <f ca="1">IF(OR(INDEX($W$2:$W$1001,MATCH(ROWS($V$2:V50),$V$2:$V$1001,0),1)&gt;=100000,INDEX($AC$1005:$AS$1005,1,MATCH(COLUMNS($AC$1006:AL1006),$AC$1006:$AS$1006,0))&gt;=100000), " ",IF(INDEX($AC$2:$AS$1001,MATCH(ROWS($V$2:V50),$V$2:$V$1001,0),MATCH(COLUMNS($AC$1006:AL1006),$AC$1006:$AS$1006,0)), HYPERLINK("#",""), HYPERLINK(CONCATENATE("#metadata!", ADDRESS(INDEX($X$2:$X$1001,MATCH(ROWS($V$2:V50),$V$2:$V$1001,0),0), INDEX($AC$1004:$AS$1004,1,MATCH(COLUMNS($AC$1006:AL1006),$AC$1006:$AS$1006,0)))),"Fix")))</f>
        <v xml:space="preserve"> </v>
      </c>
      <c r="L50" s="4" t="str">
        <f ca="1">IF(OR(INDEX($W$2:$W$1001,MATCH(ROWS($V$2:V50),$V$2:$V$1001,0),1)&gt;=100000,INDEX($AC$1005:$AS$1005,1,MATCH(COLUMNS($AC$1006:AM1006),$AC$1006:$AS$1006,0))&gt;=100000), " ",IF(INDEX($AC$2:$AS$1001,MATCH(ROWS($V$2:V50),$V$2:$V$1001,0),MATCH(COLUMNS($AC$1006:AM1006),$AC$1006:$AS$1006,0)), HYPERLINK("#",""), HYPERLINK(CONCATENATE("#metadata!", ADDRESS(INDEX($X$2:$X$1001,MATCH(ROWS($V$2:V50),$V$2:$V$1001,0),0), INDEX($AC$1004:$AS$1004,1,MATCH(COLUMNS($AC$1006:AM1006),$AC$1006:$AS$1006,0)))),"Fix")))</f>
        <v xml:space="preserve"> </v>
      </c>
      <c r="M50" s="4" t="str">
        <f ca="1">IF(OR(INDEX($W$2:$W$1001,MATCH(ROWS($V$2:V50),$V$2:$V$1001,0),1)&gt;=100000,INDEX($AC$1005:$AS$1005,1,MATCH(COLUMNS($AC$1006:AN1006),$AC$1006:$AS$1006,0))&gt;=100000), " ",IF(INDEX($AC$2:$AS$1001,MATCH(ROWS($V$2:V50),$V$2:$V$1001,0),MATCH(COLUMNS($AC$1006:AN1006),$AC$1006:$AS$1006,0)), HYPERLINK("#",""), HYPERLINK(CONCATENATE("#metadata!", ADDRESS(INDEX($X$2:$X$1001,MATCH(ROWS($V$2:V50),$V$2:$V$1001,0),0), INDEX($AC$1004:$AS$1004,1,MATCH(COLUMNS($AC$1006:AN1006),$AC$1006:$AS$1006,0)))),"Fix")))</f>
        <v xml:space="preserve"> </v>
      </c>
      <c r="N50" s="4" t="str">
        <f ca="1">IF(OR(INDEX($W$2:$W$1001,MATCH(ROWS($V$2:V50),$V$2:$V$1001,0),1)&gt;=100000,INDEX($AC$1005:$AS$1005,1,MATCH(COLUMNS($AC$1006:AO1006),$AC$1006:$AS$1006,0))&gt;=100000), " ",IF(INDEX($AC$2:$AS$1001,MATCH(ROWS($V$2:V50),$V$2:$V$1001,0),MATCH(COLUMNS($AC$1006:AO1006),$AC$1006:$AS$1006,0)), HYPERLINK("#",""), HYPERLINK(CONCATENATE("#metadata!", ADDRESS(INDEX($X$2:$X$1001,MATCH(ROWS($V$2:V50),$V$2:$V$1001,0),0), INDEX($AC$1004:$AS$1004,1,MATCH(COLUMNS($AC$1006:AO1006),$AC$1006:$AS$1006,0)))),"Fix")))</f>
        <v xml:space="preserve"> </v>
      </c>
      <c r="O50" s="4" t="str">
        <f ca="1">IF(OR(INDEX($W$2:$W$1001,MATCH(ROWS($V$2:V50),$V$2:$V$1001,0),1)&gt;=100000,INDEX($AC$1005:$AS$1005,1,MATCH(COLUMNS($AC$1006:AP1006),$AC$1006:$AS$1006,0))&gt;=100000), " ",IF(INDEX($AC$2:$AS$1001,MATCH(ROWS($V$2:V50),$V$2:$V$1001,0),MATCH(COLUMNS($AC$1006:AP1006),$AC$1006:$AS$1006,0)), HYPERLINK("#",""), HYPERLINK(CONCATENATE("#metadata!", ADDRESS(INDEX($X$2:$X$1001,MATCH(ROWS($V$2:V50),$V$2:$V$1001,0),0), INDEX($AC$1004:$AS$1004,1,MATCH(COLUMNS($AC$1006:AP1006),$AC$1006:$AS$1006,0)))),"Fix")))</f>
        <v xml:space="preserve"> </v>
      </c>
      <c r="P50" s="4" t="str">
        <f ca="1">IF(OR(INDEX($W$2:$W$1001,MATCH(ROWS($V$2:V50),$V$2:$V$1001,0),1)&gt;=100000,INDEX($AC$1005:$AS$1005,1,MATCH(COLUMNS($AC$1006:AQ1006),$AC$1006:$AS$1006,0))&gt;=100000), " ",IF(INDEX($AC$2:$AS$1001,MATCH(ROWS($V$2:V50),$V$2:$V$1001,0),MATCH(COLUMNS($AC$1006:AQ1006),$AC$1006:$AS$1006,0)), HYPERLINK("#",""), HYPERLINK(CONCATENATE("#metadata!", ADDRESS(INDEX($X$2:$X$1001,MATCH(ROWS($V$2:V50),$V$2:$V$1001,0),0), INDEX($AC$1004:$AS$1004,1,MATCH(COLUMNS($AC$1006:AQ1006),$AC$1006:$AS$1006,0)))),"Fix")))</f>
        <v xml:space="preserve"> </v>
      </c>
      <c r="Q50" s="4" t="str">
        <f ca="1">IF(OR(INDEX($W$2:$W$1001,MATCH(ROWS($V$2:V50),$V$2:$V$1001,0),1)&gt;=100000,INDEX($AC$1005:$AS$1005,1,MATCH(COLUMNS($AC$1006:AR1006),$AC$1006:$AS$1006,0))&gt;=100000), " ",IF(INDEX($AC$2:$AS$1001,MATCH(ROWS($V$2:V50),$V$2:$V$1001,0),MATCH(COLUMNS($AC$1006:AR1006),$AC$1006:$AS$1006,0)), HYPERLINK("#",""), HYPERLINK(CONCATENATE("#metadata!", ADDRESS(INDEX($X$2:$X$1001,MATCH(ROWS($V$2:V50),$V$2:$V$1001,0),0), INDEX($AC$1004:$AS$1004,1,MATCH(COLUMNS($AC$1006:AR1006),$AC$1006:$AS$1006,0)))),"Fix")))</f>
        <v xml:space="preserve"> </v>
      </c>
      <c r="R50" s="4" t="str">
        <f ca="1">IF(OR(INDEX($W$2:$W$1001,MATCH(ROWS($V$2:V50),$V$2:$V$1001,0),1)&gt;=100000,INDEX($AC$1005:$AS$1005,1,MATCH(COLUMNS($AC$1006:AS1006),$AC$1006:$AS$1006,0))&gt;=100000), " ",IF(INDEX($AC$2:$AS$1001,MATCH(ROWS($V$2:V50),$V$2:$V$1001,0),MATCH(COLUMNS($AC$1006:AS1006),$AC$1006:$AS$1006,0)), HYPERLINK("#",""), HYPERLINK(CONCATENATE("#metadata!", ADDRESS(INDEX($X$2:$X$1001,MATCH(ROWS($V$2:V50),$V$2:$V$1001,0),0), INDEX($AC$1004:$AS$1004,1,MATCH(COLUMNS($AC$1006:AS1006),$AC$1006:$AS$1006,0)))),"Fix")))</f>
        <v xml:space="preserve"> </v>
      </c>
      <c r="V50">
        <v>49</v>
      </c>
      <c r="W50">
        <v>100050</v>
      </c>
      <c r="X50">
        <v>50</v>
      </c>
      <c r="Y50" t="b">
        <f t="shared" si="0"/>
        <v>1</v>
      </c>
      <c r="Z50" t="b">
        <f>COUNTBLANK(metadata!B50:R50)=COLUMNS(metadata!B50:R50)</f>
        <v>1</v>
      </c>
      <c r="AA50" t="str">
        <v/>
      </c>
      <c r="AC50" t="b">
        <f ca="1"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AD50" t="b">
        <f>IF(metadata!C50="",FALSE,ISNUMBER(VALUE(metadata!C50)))</f>
        <v>0</v>
      </c>
      <c r="AE50" t="b">
        <f>AND(IF(metadata!D50="",FALSE,TRUE),EXACT(metadata!D50,"years"))</f>
        <v>0</v>
      </c>
      <c r="AF50" t="b">
        <f>OR(AND(IF(metadata!E50="",FALSE,TRUE),OR(EXACT(metadata!E50,"not applicable"),EXACT(metadata!E50,"missing: not collected"),EXACT(metadata!E50,"missing: not provided"),EXACT(metadata!E50,"missing: restricted access"))),AND(IF(metadata!E50="",FALSE,ISNUMBER(VALUE(metadata!E50))),metadata!E50&gt;0))</f>
        <v>0</v>
      </c>
      <c r="AG50" t="b">
        <f>AND(IF(metadata!F50="",FALSE,TRUE),EXACT(metadata!F50,"Not applicable"))</f>
        <v>0</v>
      </c>
      <c r="AH50" t="b">
        <f>AND(IF(metadata!G50="",FALSE,TRUE),EXACT(metadata!G50,"urban biome"))</f>
        <v>0</v>
      </c>
      <c r="AI50" t="b">
        <f>AND(IF(metadata!H50="",FALSE,TRUE),EXACT(metadata!H50,"human-associated habitat"))</f>
        <v>0</v>
      </c>
      <c r="AJ50" t="b">
        <f>AND(IF(metadata!I50="",FALSE,TRUE),OR(EXACT(metadata!I50,"human-associated"),EXACT(metadata!I50,"human-skin"),EXACT(metadata!I50,"human-oral"),EXACT(metadata!I50,"human-gut"),EXACT(metadata!I50,"human-vaginal")))</f>
        <v>0</v>
      </c>
      <c r="AK50" t="b">
        <f>IF(metadata!J50="",FALSE,ISNUMBER(VALUE(metadata!J50)))</f>
        <v>0</v>
      </c>
      <c r="AL50" t="b">
        <f>AND(IF(metadata!K50="",FALSE,TRUE),EXACT(metadata!K50,"cm"))</f>
        <v>0</v>
      </c>
      <c r="AM50" t="b">
        <f>AND(IF(metadata!L50="",FALSE,TRUE),EXACT(metadata!L50,"human"))</f>
        <v>0</v>
      </c>
      <c r="AN50" t="b">
        <f>AND(IF(metadata!M50="",FALSE,TRUE),EXACT(metadata!M50,"Homo sapiens"))</f>
        <v>0</v>
      </c>
      <c r="AO50" t="b">
        <f>AND(IF(metadata!N50="",FALSE,TRUE),EXACT(metadata!N50,"9606"))</f>
        <v>0</v>
      </c>
      <c r="AP50" t="b">
        <f>IF(metadata!O50="",FALSE,TRUE)</f>
        <v>0</v>
      </c>
      <c r="AQ50" t="b">
        <f>IF(metadata!P50="",FALSE,TRUE)</f>
        <v>0</v>
      </c>
      <c r="AR50" t="b">
        <f>IF(metadata!Q50="",FALSE,ISNUMBER(VALUE(metadata!Q50)))</f>
        <v>0</v>
      </c>
      <c r="AS50" t="b">
        <f>AND(IF(metadata!R50="",FALSE,TRUE),EXACT(metadata!R50,"kg"))</f>
        <v>0</v>
      </c>
    </row>
    <row r="51" spans="1:45" x14ac:dyDescent="0.2">
      <c r="A51" s="5" t="str">
        <f ca="1">IF(B51=" "," ",HYPERLINK(CONCATENATE("#metadata!",ADDRESS(INDEX($X$2:$X$1001,MATCH(ROWS($V$2:V51),$V$2:$V$1001,0),0),1)),INDEX($AA$2:$AA$1001,MATCH(ROWS($V$2:V51),$V$2:$V$1001,0),0)))</f>
        <v xml:space="preserve"> </v>
      </c>
      <c r="B51" s="4" t="str">
        <f ca="1">IF(OR(INDEX($W$2:$W$1001,MATCH(ROWS($V$2:V51),$V$2:$V$1001,0),1)&gt;=100000,INDEX($AC$1005:$AS$1005,1,MATCH(COLUMNS($AC$1006:AC1006),$AC$1006:$AS$1006,0))&gt;=100000), " ",IF(INDEX($AC$2:$AS$1001,MATCH(ROWS($V$2:V51),$V$2:$V$1001,0),MATCH(COLUMNS($AC$1006:AC1006),$AC$1006:$AS$1006,0)), HYPERLINK("#",""), HYPERLINK(CONCATENATE("#metadata!", ADDRESS(INDEX($X$2:$X$1001,MATCH(ROWS($V$2:V51),$V$2:$V$1001,0),0), INDEX($AC$1004:$AS$1004,1,MATCH(COLUMNS($AC$1006:AC1006),$AC$1006:$AS$1006,0)))),"Fix")))</f>
        <v xml:space="preserve"> </v>
      </c>
      <c r="C51" s="4" t="str">
        <f ca="1">IF(OR(INDEX($W$2:$W$1001,MATCH(ROWS($V$2:V51),$V$2:$V$1001,0),1)&gt;=100000,INDEX($AC$1005:$AS$1005,1,MATCH(COLUMNS($AC$1006:AD1006),$AC$1006:$AS$1006,0))&gt;=100000), " ",IF(INDEX($AC$2:$AS$1001,MATCH(ROWS($V$2:V51),$V$2:$V$1001,0),MATCH(COLUMNS($AC$1006:AD1006),$AC$1006:$AS$1006,0)), HYPERLINK("#",""), HYPERLINK(CONCATENATE("#metadata!", ADDRESS(INDEX($X$2:$X$1001,MATCH(ROWS($V$2:V51),$V$2:$V$1001,0),0), INDEX($AC$1004:$AS$1004,1,MATCH(COLUMNS($AC$1006:AD1006),$AC$1006:$AS$1006,0)))),"Fix")))</f>
        <v xml:space="preserve"> </v>
      </c>
      <c r="D51" s="4" t="str">
        <f ca="1">IF(OR(INDEX($W$2:$W$1001,MATCH(ROWS($V$2:V51),$V$2:$V$1001,0),1)&gt;=100000,INDEX($AC$1005:$AS$1005,1,MATCH(COLUMNS($AC$1006:AE1006),$AC$1006:$AS$1006,0))&gt;=100000), " ",IF(INDEX($AC$2:$AS$1001,MATCH(ROWS($V$2:V51),$V$2:$V$1001,0),MATCH(COLUMNS($AC$1006:AE1006),$AC$1006:$AS$1006,0)), HYPERLINK("#",""), HYPERLINK(CONCATENATE("#metadata!", ADDRESS(INDEX($X$2:$X$1001,MATCH(ROWS($V$2:V51),$V$2:$V$1001,0),0), INDEX($AC$1004:$AS$1004,1,MATCH(COLUMNS($AC$1006:AE1006),$AC$1006:$AS$1006,0)))),"Fix")))</f>
        <v xml:space="preserve"> </v>
      </c>
      <c r="E51" s="4" t="str">
        <f ca="1">IF(OR(INDEX($W$2:$W$1001,MATCH(ROWS($V$2:V51),$V$2:$V$1001,0),1)&gt;=100000,INDEX($AC$1005:$AS$1005,1,MATCH(COLUMNS($AC$1006:AF1006),$AC$1006:$AS$1006,0))&gt;=100000), " ",IF(INDEX($AC$2:$AS$1001,MATCH(ROWS($V$2:V51),$V$2:$V$1001,0),MATCH(COLUMNS($AC$1006:AF1006),$AC$1006:$AS$1006,0)), HYPERLINK("#",""), HYPERLINK(CONCATENATE("#metadata!", ADDRESS(INDEX($X$2:$X$1001,MATCH(ROWS($V$2:V51),$V$2:$V$1001,0),0), INDEX($AC$1004:$AS$1004,1,MATCH(COLUMNS($AC$1006:AF1006),$AC$1006:$AS$1006,0)))),"Fix")))</f>
        <v xml:space="preserve"> </v>
      </c>
      <c r="F51" s="4" t="str">
        <f ca="1">IF(OR(INDEX($W$2:$W$1001,MATCH(ROWS($V$2:V51),$V$2:$V$1001,0),1)&gt;=100000,INDEX($AC$1005:$AS$1005,1,MATCH(COLUMNS($AC$1006:AG1006),$AC$1006:$AS$1006,0))&gt;=100000), " ",IF(INDEX($AC$2:$AS$1001,MATCH(ROWS($V$2:V51),$V$2:$V$1001,0),MATCH(COLUMNS($AC$1006:AG1006),$AC$1006:$AS$1006,0)), HYPERLINK("#",""), HYPERLINK(CONCATENATE("#metadata!", ADDRESS(INDEX($X$2:$X$1001,MATCH(ROWS($V$2:V51),$V$2:$V$1001,0),0), INDEX($AC$1004:$AS$1004,1,MATCH(COLUMNS($AC$1006:AG1006),$AC$1006:$AS$1006,0)))),"Fix")))</f>
        <v xml:space="preserve"> </v>
      </c>
      <c r="G51" s="4" t="str">
        <f ca="1">IF(OR(INDEX($W$2:$W$1001,MATCH(ROWS($V$2:V51),$V$2:$V$1001,0),1)&gt;=100000,INDEX($AC$1005:$AS$1005,1,MATCH(COLUMNS($AC$1006:AH1006),$AC$1006:$AS$1006,0))&gt;=100000), " ",IF(INDEX($AC$2:$AS$1001,MATCH(ROWS($V$2:V51),$V$2:$V$1001,0),MATCH(COLUMNS($AC$1006:AH1006),$AC$1006:$AS$1006,0)), HYPERLINK("#",""), HYPERLINK(CONCATENATE("#metadata!", ADDRESS(INDEX($X$2:$X$1001,MATCH(ROWS($V$2:V51),$V$2:$V$1001,0),0), INDEX($AC$1004:$AS$1004,1,MATCH(COLUMNS($AC$1006:AH1006),$AC$1006:$AS$1006,0)))),"Fix")))</f>
        <v xml:space="preserve"> </v>
      </c>
      <c r="H51" s="4" t="str">
        <f ca="1">IF(OR(INDEX($W$2:$W$1001,MATCH(ROWS($V$2:V51),$V$2:$V$1001,0),1)&gt;=100000,INDEX($AC$1005:$AS$1005,1,MATCH(COLUMNS($AC$1006:AI1006),$AC$1006:$AS$1006,0))&gt;=100000), " ",IF(INDEX($AC$2:$AS$1001,MATCH(ROWS($V$2:V51),$V$2:$V$1001,0),MATCH(COLUMNS($AC$1006:AI1006),$AC$1006:$AS$1006,0)), HYPERLINK("#",""), HYPERLINK(CONCATENATE("#metadata!", ADDRESS(INDEX($X$2:$X$1001,MATCH(ROWS($V$2:V51),$V$2:$V$1001,0),0), INDEX($AC$1004:$AS$1004,1,MATCH(COLUMNS($AC$1006:AI1006),$AC$1006:$AS$1006,0)))),"Fix")))</f>
        <v xml:space="preserve"> </v>
      </c>
      <c r="I51" s="4" t="str">
        <f ca="1">IF(OR(INDEX($W$2:$W$1001,MATCH(ROWS($V$2:V51),$V$2:$V$1001,0),1)&gt;=100000,INDEX($AC$1005:$AS$1005,1,MATCH(COLUMNS($AC$1006:AJ1006),$AC$1006:$AS$1006,0))&gt;=100000), " ",IF(INDEX($AC$2:$AS$1001,MATCH(ROWS($V$2:V51),$V$2:$V$1001,0),MATCH(COLUMNS($AC$1006:AJ1006),$AC$1006:$AS$1006,0)), HYPERLINK("#",""), HYPERLINK(CONCATENATE("#metadata!", ADDRESS(INDEX($X$2:$X$1001,MATCH(ROWS($V$2:V51),$V$2:$V$1001,0),0), INDEX($AC$1004:$AS$1004,1,MATCH(COLUMNS($AC$1006:AJ1006),$AC$1006:$AS$1006,0)))),"Fix")))</f>
        <v xml:space="preserve"> </v>
      </c>
      <c r="J51" s="4" t="str">
        <f ca="1">IF(OR(INDEX($W$2:$W$1001,MATCH(ROWS($V$2:V51),$V$2:$V$1001,0),1)&gt;=100000,INDEX($AC$1005:$AS$1005,1,MATCH(COLUMNS($AC$1006:AK1006),$AC$1006:$AS$1006,0))&gt;=100000), " ",IF(INDEX($AC$2:$AS$1001,MATCH(ROWS($V$2:V51),$V$2:$V$1001,0),MATCH(COLUMNS($AC$1006:AK1006),$AC$1006:$AS$1006,0)), HYPERLINK("#",""), HYPERLINK(CONCATENATE("#metadata!", ADDRESS(INDEX($X$2:$X$1001,MATCH(ROWS($V$2:V51),$V$2:$V$1001,0),0), INDEX($AC$1004:$AS$1004,1,MATCH(COLUMNS($AC$1006:AK1006),$AC$1006:$AS$1006,0)))),"Fix")))</f>
        <v xml:space="preserve"> </v>
      </c>
      <c r="K51" s="4" t="str">
        <f ca="1">IF(OR(INDEX($W$2:$W$1001,MATCH(ROWS($V$2:V51),$V$2:$V$1001,0),1)&gt;=100000,INDEX($AC$1005:$AS$1005,1,MATCH(COLUMNS($AC$1006:AL1006),$AC$1006:$AS$1006,0))&gt;=100000), " ",IF(INDEX($AC$2:$AS$1001,MATCH(ROWS($V$2:V51),$V$2:$V$1001,0),MATCH(COLUMNS($AC$1006:AL1006),$AC$1006:$AS$1006,0)), HYPERLINK("#",""), HYPERLINK(CONCATENATE("#metadata!", ADDRESS(INDEX($X$2:$X$1001,MATCH(ROWS($V$2:V51),$V$2:$V$1001,0),0), INDEX($AC$1004:$AS$1004,1,MATCH(COLUMNS($AC$1006:AL1006),$AC$1006:$AS$1006,0)))),"Fix")))</f>
        <v xml:space="preserve"> </v>
      </c>
      <c r="L51" s="4" t="str">
        <f ca="1">IF(OR(INDEX($W$2:$W$1001,MATCH(ROWS($V$2:V51),$V$2:$V$1001,0),1)&gt;=100000,INDEX($AC$1005:$AS$1005,1,MATCH(COLUMNS($AC$1006:AM1006),$AC$1006:$AS$1006,0))&gt;=100000), " ",IF(INDEX($AC$2:$AS$1001,MATCH(ROWS($V$2:V51),$V$2:$V$1001,0),MATCH(COLUMNS($AC$1006:AM1006),$AC$1006:$AS$1006,0)), HYPERLINK("#",""), HYPERLINK(CONCATENATE("#metadata!", ADDRESS(INDEX($X$2:$X$1001,MATCH(ROWS($V$2:V51),$V$2:$V$1001,0),0), INDEX($AC$1004:$AS$1004,1,MATCH(COLUMNS($AC$1006:AM1006),$AC$1006:$AS$1006,0)))),"Fix")))</f>
        <v xml:space="preserve"> </v>
      </c>
      <c r="M51" s="4" t="str">
        <f ca="1">IF(OR(INDEX($W$2:$W$1001,MATCH(ROWS($V$2:V51),$V$2:$V$1001,0),1)&gt;=100000,INDEX($AC$1005:$AS$1005,1,MATCH(COLUMNS($AC$1006:AN1006),$AC$1006:$AS$1006,0))&gt;=100000), " ",IF(INDEX($AC$2:$AS$1001,MATCH(ROWS($V$2:V51),$V$2:$V$1001,0),MATCH(COLUMNS($AC$1006:AN1006),$AC$1006:$AS$1006,0)), HYPERLINK("#",""), HYPERLINK(CONCATENATE("#metadata!", ADDRESS(INDEX($X$2:$X$1001,MATCH(ROWS($V$2:V51),$V$2:$V$1001,0),0), INDEX($AC$1004:$AS$1004,1,MATCH(COLUMNS($AC$1006:AN1006),$AC$1006:$AS$1006,0)))),"Fix")))</f>
        <v xml:space="preserve"> </v>
      </c>
      <c r="N51" s="4" t="str">
        <f ca="1">IF(OR(INDEX($W$2:$W$1001,MATCH(ROWS($V$2:V51),$V$2:$V$1001,0),1)&gt;=100000,INDEX($AC$1005:$AS$1005,1,MATCH(COLUMNS($AC$1006:AO1006),$AC$1006:$AS$1006,0))&gt;=100000), " ",IF(INDEX($AC$2:$AS$1001,MATCH(ROWS($V$2:V51),$V$2:$V$1001,0),MATCH(COLUMNS($AC$1006:AO1006),$AC$1006:$AS$1006,0)), HYPERLINK("#",""), HYPERLINK(CONCATENATE("#metadata!", ADDRESS(INDEX($X$2:$X$1001,MATCH(ROWS($V$2:V51),$V$2:$V$1001,0),0), INDEX($AC$1004:$AS$1004,1,MATCH(COLUMNS($AC$1006:AO1006),$AC$1006:$AS$1006,0)))),"Fix")))</f>
        <v xml:space="preserve"> </v>
      </c>
      <c r="O51" s="4" t="str">
        <f ca="1">IF(OR(INDEX($W$2:$W$1001,MATCH(ROWS($V$2:V51),$V$2:$V$1001,0),1)&gt;=100000,INDEX($AC$1005:$AS$1005,1,MATCH(COLUMNS($AC$1006:AP1006),$AC$1006:$AS$1006,0))&gt;=100000), " ",IF(INDEX($AC$2:$AS$1001,MATCH(ROWS($V$2:V51),$V$2:$V$1001,0),MATCH(COLUMNS($AC$1006:AP1006),$AC$1006:$AS$1006,0)), HYPERLINK("#",""), HYPERLINK(CONCATENATE("#metadata!", ADDRESS(INDEX($X$2:$X$1001,MATCH(ROWS($V$2:V51),$V$2:$V$1001,0),0), INDEX($AC$1004:$AS$1004,1,MATCH(COLUMNS($AC$1006:AP1006),$AC$1006:$AS$1006,0)))),"Fix")))</f>
        <v xml:space="preserve"> </v>
      </c>
      <c r="P51" s="4" t="str">
        <f ca="1">IF(OR(INDEX($W$2:$W$1001,MATCH(ROWS($V$2:V51),$V$2:$V$1001,0),1)&gt;=100000,INDEX($AC$1005:$AS$1005,1,MATCH(COLUMNS($AC$1006:AQ1006),$AC$1006:$AS$1006,0))&gt;=100000), " ",IF(INDEX($AC$2:$AS$1001,MATCH(ROWS($V$2:V51),$V$2:$V$1001,0),MATCH(COLUMNS($AC$1006:AQ1006),$AC$1006:$AS$1006,0)), HYPERLINK("#",""), HYPERLINK(CONCATENATE("#metadata!", ADDRESS(INDEX($X$2:$X$1001,MATCH(ROWS($V$2:V51),$V$2:$V$1001,0),0), INDEX($AC$1004:$AS$1004,1,MATCH(COLUMNS($AC$1006:AQ1006),$AC$1006:$AS$1006,0)))),"Fix")))</f>
        <v xml:space="preserve"> </v>
      </c>
      <c r="Q51" s="4" t="str">
        <f ca="1">IF(OR(INDEX($W$2:$W$1001,MATCH(ROWS($V$2:V51),$V$2:$V$1001,0),1)&gt;=100000,INDEX($AC$1005:$AS$1005,1,MATCH(COLUMNS($AC$1006:AR1006),$AC$1006:$AS$1006,0))&gt;=100000), " ",IF(INDEX($AC$2:$AS$1001,MATCH(ROWS($V$2:V51),$V$2:$V$1001,0),MATCH(COLUMNS($AC$1006:AR1006),$AC$1006:$AS$1006,0)), HYPERLINK("#",""), HYPERLINK(CONCATENATE("#metadata!", ADDRESS(INDEX($X$2:$X$1001,MATCH(ROWS($V$2:V51),$V$2:$V$1001,0),0), INDEX($AC$1004:$AS$1004,1,MATCH(COLUMNS($AC$1006:AR1006),$AC$1006:$AS$1006,0)))),"Fix")))</f>
        <v xml:space="preserve"> </v>
      </c>
      <c r="R51" s="4" t="str">
        <f ca="1">IF(OR(INDEX($W$2:$W$1001,MATCH(ROWS($V$2:V51),$V$2:$V$1001,0),1)&gt;=100000,INDEX($AC$1005:$AS$1005,1,MATCH(COLUMNS($AC$1006:AS1006),$AC$1006:$AS$1006,0))&gt;=100000), " ",IF(INDEX($AC$2:$AS$1001,MATCH(ROWS($V$2:V51),$V$2:$V$1001,0),MATCH(COLUMNS($AC$1006:AS1006),$AC$1006:$AS$1006,0)), HYPERLINK("#",""), HYPERLINK(CONCATENATE("#metadata!", ADDRESS(INDEX($X$2:$X$1001,MATCH(ROWS($V$2:V51),$V$2:$V$1001,0),0), INDEX($AC$1004:$AS$1004,1,MATCH(COLUMNS($AC$1006:AS1006),$AC$1006:$AS$1006,0)))),"Fix")))</f>
        <v xml:space="preserve"> </v>
      </c>
      <c r="V51">
        <v>50</v>
      </c>
      <c r="W51">
        <v>100051</v>
      </c>
      <c r="X51">
        <v>51</v>
      </c>
      <c r="Y51" t="b">
        <f t="shared" si="0"/>
        <v>1</v>
      </c>
      <c r="Z51" t="b">
        <f>COUNTBLANK(metadata!B51:R51)=COLUMNS(metadata!B51:R51)</f>
        <v>1</v>
      </c>
      <c r="AA51" t="str">
        <v/>
      </c>
      <c r="AC51" t="b">
        <f ca="1"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AD51" t="b">
        <f>IF(metadata!C51="",FALSE,ISNUMBER(VALUE(metadata!C51)))</f>
        <v>0</v>
      </c>
      <c r="AE51" t="b">
        <f>AND(IF(metadata!D51="",FALSE,TRUE),EXACT(metadata!D51,"years"))</f>
        <v>0</v>
      </c>
      <c r="AF51" t="b">
        <f>OR(AND(IF(metadata!E51="",FALSE,TRUE),OR(EXACT(metadata!E51,"not applicable"),EXACT(metadata!E51,"missing: not collected"),EXACT(metadata!E51,"missing: not provided"),EXACT(metadata!E51,"missing: restricted access"))),AND(IF(metadata!E51="",FALSE,ISNUMBER(VALUE(metadata!E51))),metadata!E51&gt;0))</f>
        <v>0</v>
      </c>
      <c r="AG51" t="b">
        <f>AND(IF(metadata!F51="",FALSE,TRUE),EXACT(metadata!F51,"Not applicable"))</f>
        <v>0</v>
      </c>
      <c r="AH51" t="b">
        <f>AND(IF(metadata!G51="",FALSE,TRUE),EXACT(metadata!G51,"urban biome"))</f>
        <v>0</v>
      </c>
      <c r="AI51" t="b">
        <f>AND(IF(metadata!H51="",FALSE,TRUE),EXACT(metadata!H51,"human-associated habitat"))</f>
        <v>0</v>
      </c>
      <c r="AJ51" t="b">
        <f>AND(IF(metadata!I51="",FALSE,TRUE),OR(EXACT(metadata!I51,"human-associated"),EXACT(metadata!I51,"human-skin"),EXACT(metadata!I51,"human-oral"),EXACT(metadata!I51,"human-gut"),EXACT(metadata!I51,"human-vaginal")))</f>
        <v>0</v>
      </c>
      <c r="AK51" t="b">
        <f>IF(metadata!J51="",FALSE,ISNUMBER(VALUE(metadata!J51)))</f>
        <v>0</v>
      </c>
      <c r="AL51" t="b">
        <f>AND(IF(metadata!K51="",FALSE,TRUE),EXACT(metadata!K51,"cm"))</f>
        <v>0</v>
      </c>
      <c r="AM51" t="b">
        <f>AND(IF(metadata!L51="",FALSE,TRUE),EXACT(metadata!L51,"human"))</f>
        <v>0</v>
      </c>
      <c r="AN51" t="b">
        <f>AND(IF(metadata!M51="",FALSE,TRUE),EXACT(metadata!M51,"Homo sapiens"))</f>
        <v>0</v>
      </c>
      <c r="AO51" t="b">
        <f>AND(IF(metadata!N51="",FALSE,TRUE),EXACT(metadata!N51,"9606"))</f>
        <v>0</v>
      </c>
      <c r="AP51" t="b">
        <f>IF(metadata!O51="",FALSE,TRUE)</f>
        <v>0</v>
      </c>
      <c r="AQ51" t="b">
        <f>IF(metadata!P51="",FALSE,TRUE)</f>
        <v>0</v>
      </c>
      <c r="AR51" t="b">
        <f>IF(metadata!Q51="",FALSE,ISNUMBER(VALUE(metadata!Q51)))</f>
        <v>0</v>
      </c>
      <c r="AS51" t="b">
        <f>AND(IF(metadata!R51="",FALSE,TRUE),EXACT(metadata!R51,"kg"))</f>
        <v>0</v>
      </c>
    </row>
    <row r="52" spans="1:45" x14ac:dyDescent="0.2">
      <c r="A52" s="5" t="str">
        <f ca="1">IF(B52=" "," ",HYPERLINK(CONCATENATE("#metadata!",ADDRESS(INDEX($X$2:$X$1001,MATCH(ROWS($V$2:V52),$V$2:$V$1001,0),0),1)),INDEX($AA$2:$AA$1001,MATCH(ROWS($V$2:V52),$V$2:$V$1001,0),0)))</f>
        <v xml:space="preserve"> </v>
      </c>
      <c r="B52" s="4" t="str">
        <f ca="1">IF(OR(INDEX($W$2:$W$1001,MATCH(ROWS($V$2:V52),$V$2:$V$1001,0),1)&gt;=100000,INDEX($AC$1005:$AS$1005,1,MATCH(COLUMNS($AC$1006:AC1006),$AC$1006:$AS$1006,0))&gt;=100000), " ",IF(INDEX($AC$2:$AS$1001,MATCH(ROWS($V$2:V52),$V$2:$V$1001,0),MATCH(COLUMNS($AC$1006:AC1006),$AC$1006:$AS$1006,0)), HYPERLINK("#",""), HYPERLINK(CONCATENATE("#metadata!", ADDRESS(INDEX($X$2:$X$1001,MATCH(ROWS($V$2:V52),$V$2:$V$1001,0),0), INDEX($AC$1004:$AS$1004,1,MATCH(COLUMNS($AC$1006:AC1006),$AC$1006:$AS$1006,0)))),"Fix")))</f>
        <v xml:space="preserve"> </v>
      </c>
      <c r="C52" s="4" t="str">
        <f ca="1">IF(OR(INDEX($W$2:$W$1001,MATCH(ROWS($V$2:V52),$V$2:$V$1001,0),1)&gt;=100000,INDEX($AC$1005:$AS$1005,1,MATCH(COLUMNS($AC$1006:AD1006),$AC$1006:$AS$1006,0))&gt;=100000), " ",IF(INDEX($AC$2:$AS$1001,MATCH(ROWS($V$2:V52),$V$2:$V$1001,0),MATCH(COLUMNS($AC$1006:AD1006),$AC$1006:$AS$1006,0)), HYPERLINK("#",""), HYPERLINK(CONCATENATE("#metadata!", ADDRESS(INDEX($X$2:$X$1001,MATCH(ROWS($V$2:V52),$V$2:$V$1001,0),0), INDEX($AC$1004:$AS$1004,1,MATCH(COLUMNS($AC$1006:AD1006),$AC$1006:$AS$1006,0)))),"Fix")))</f>
        <v xml:space="preserve"> </v>
      </c>
      <c r="D52" s="4" t="str">
        <f ca="1">IF(OR(INDEX($W$2:$W$1001,MATCH(ROWS($V$2:V52),$V$2:$V$1001,0),1)&gt;=100000,INDEX($AC$1005:$AS$1005,1,MATCH(COLUMNS($AC$1006:AE1006),$AC$1006:$AS$1006,0))&gt;=100000), " ",IF(INDEX($AC$2:$AS$1001,MATCH(ROWS($V$2:V52),$V$2:$V$1001,0),MATCH(COLUMNS($AC$1006:AE1006),$AC$1006:$AS$1006,0)), HYPERLINK("#",""), HYPERLINK(CONCATENATE("#metadata!", ADDRESS(INDEX($X$2:$X$1001,MATCH(ROWS($V$2:V52),$V$2:$V$1001,0),0), INDEX($AC$1004:$AS$1004,1,MATCH(COLUMNS($AC$1006:AE1006),$AC$1006:$AS$1006,0)))),"Fix")))</f>
        <v xml:space="preserve"> </v>
      </c>
      <c r="E52" s="4" t="str">
        <f ca="1">IF(OR(INDEX($W$2:$W$1001,MATCH(ROWS($V$2:V52),$V$2:$V$1001,0),1)&gt;=100000,INDEX($AC$1005:$AS$1005,1,MATCH(COLUMNS($AC$1006:AF1006),$AC$1006:$AS$1006,0))&gt;=100000), " ",IF(INDEX($AC$2:$AS$1001,MATCH(ROWS($V$2:V52),$V$2:$V$1001,0),MATCH(COLUMNS($AC$1006:AF1006),$AC$1006:$AS$1006,0)), HYPERLINK("#",""), HYPERLINK(CONCATENATE("#metadata!", ADDRESS(INDEX($X$2:$X$1001,MATCH(ROWS($V$2:V52),$V$2:$V$1001,0),0), INDEX($AC$1004:$AS$1004,1,MATCH(COLUMNS($AC$1006:AF1006),$AC$1006:$AS$1006,0)))),"Fix")))</f>
        <v xml:space="preserve"> </v>
      </c>
      <c r="F52" s="4" t="str">
        <f ca="1">IF(OR(INDEX($W$2:$W$1001,MATCH(ROWS($V$2:V52),$V$2:$V$1001,0),1)&gt;=100000,INDEX($AC$1005:$AS$1005,1,MATCH(COLUMNS($AC$1006:AG1006),$AC$1006:$AS$1006,0))&gt;=100000), " ",IF(INDEX($AC$2:$AS$1001,MATCH(ROWS($V$2:V52),$V$2:$V$1001,0),MATCH(COLUMNS($AC$1006:AG1006),$AC$1006:$AS$1006,0)), HYPERLINK("#",""), HYPERLINK(CONCATENATE("#metadata!", ADDRESS(INDEX($X$2:$X$1001,MATCH(ROWS($V$2:V52),$V$2:$V$1001,0),0), INDEX($AC$1004:$AS$1004,1,MATCH(COLUMNS($AC$1006:AG1006),$AC$1006:$AS$1006,0)))),"Fix")))</f>
        <v xml:space="preserve"> </v>
      </c>
      <c r="G52" s="4" t="str">
        <f ca="1">IF(OR(INDEX($W$2:$W$1001,MATCH(ROWS($V$2:V52),$V$2:$V$1001,0),1)&gt;=100000,INDEX($AC$1005:$AS$1005,1,MATCH(COLUMNS($AC$1006:AH1006),$AC$1006:$AS$1006,0))&gt;=100000), " ",IF(INDEX($AC$2:$AS$1001,MATCH(ROWS($V$2:V52),$V$2:$V$1001,0),MATCH(COLUMNS($AC$1006:AH1006),$AC$1006:$AS$1006,0)), HYPERLINK("#",""), HYPERLINK(CONCATENATE("#metadata!", ADDRESS(INDEX($X$2:$X$1001,MATCH(ROWS($V$2:V52),$V$2:$V$1001,0),0), INDEX($AC$1004:$AS$1004,1,MATCH(COLUMNS($AC$1006:AH1006),$AC$1006:$AS$1006,0)))),"Fix")))</f>
        <v xml:space="preserve"> </v>
      </c>
      <c r="H52" s="4" t="str">
        <f ca="1">IF(OR(INDEX($W$2:$W$1001,MATCH(ROWS($V$2:V52),$V$2:$V$1001,0),1)&gt;=100000,INDEX($AC$1005:$AS$1005,1,MATCH(COLUMNS($AC$1006:AI1006),$AC$1006:$AS$1006,0))&gt;=100000), " ",IF(INDEX($AC$2:$AS$1001,MATCH(ROWS($V$2:V52),$V$2:$V$1001,0),MATCH(COLUMNS($AC$1006:AI1006),$AC$1006:$AS$1006,0)), HYPERLINK("#",""), HYPERLINK(CONCATENATE("#metadata!", ADDRESS(INDEX($X$2:$X$1001,MATCH(ROWS($V$2:V52),$V$2:$V$1001,0),0), INDEX($AC$1004:$AS$1004,1,MATCH(COLUMNS($AC$1006:AI1006),$AC$1006:$AS$1006,0)))),"Fix")))</f>
        <v xml:space="preserve"> </v>
      </c>
      <c r="I52" s="4" t="str">
        <f ca="1">IF(OR(INDEX($W$2:$W$1001,MATCH(ROWS($V$2:V52),$V$2:$V$1001,0),1)&gt;=100000,INDEX($AC$1005:$AS$1005,1,MATCH(COLUMNS($AC$1006:AJ1006),$AC$1006:$AS$1006,0))&gt;=100000), " ",IF(INDEX($AC$2:$AS$1001,MATCH(ROWS($V$2:V52),$V$2:$V$1001,0),MATCH(COLUMNS($AC$1006:AJ1006),$AC$1006:$AS$1006,0)), HYPERLINK("#",""), HYPERLINK(CONCATENATE("#metadata!", ADDRESS(INDEX($X$2:$X$1001,MATCH(ROWS($V$2:V52),$V$2:$V$1001,0),0), INDEX($AC$1004:$AS$1004,1,MATCH(COLUMNS($AC$1006:AJ1006),$AC$1006:$AS$1006,0)))),"Fix")))</f>
        <v xml:space="preserve"> </v>
      </c>
      <c r="J52" s="4" t="str">
        <f ca="1">IF(OR(INDEX($W$2:$W$1001,MATCH(ROWS($V$2:V52),$V$2:$V$1001,0),1)&gt;=100000,INDEX($AC$1005:$AS$1005,1,MATCH(COLUMNS($AC$1006:AK1006),$AC$1006:$AS$1006,0))&gt;=100000), " ",IF(INDEX($AC$2:$AS$1001,MATCH(ROWS($V$2:V52),$V$2:$V$1001,0),MATCH(COLUMNS($AC$1006:AK1006),$AC$1006:$AS$1006,0)), HYPERLINK("#",""), HYPERLINK(CONCATENATE("#metadata!", ADDRESS(INDEX($X$2:$X$1001,MATCH(ROWS($V$2:V52),$V$2:$V$1001,0),0), INDEX($AC$1004:$AS$1004,1,MATCH(COLUMNS($AC$1006:AK1006),$AC$1006:$AS$1006,0)))),"Fix")))</f>
        <v xml:space="preserve"> </v>
      </c>
      <c r="K52" s="4" t="str">
        <f ca="1">IF(OR(INDEX($W$2:$W$1001,MATCH(ROWS($V$2:V52),$V$2:$V$1001,0),1)&gt;=100000,INDEX($AC$1005:$AS$1005,1,MATCH(COLUMNS($AC$1006:AL1006),$AC$1006:$AS$1006,0))&gt;=100000), " ",IF(INDEX($AC$2:$AS$1001,MATCH(ROWS($V$2:V52),$V$2:$V$1001,0),MATCH(COLUMNS($AC$1006:AL1006),$AC$1006:$AS$1006,0)), HYPERLINK("#",""), HYPERLINK(CONCATENATE("#metadata!", ADDRESS(INDEX($X$2:$X$1001,MATCH(ROWS($V$2:V52),$V$2:$V$1001,0),0), INDEX($AC$1004:$AS$1004,1,MATCH(COLUMNS($AC$1006:AL1006),$AC$1006:$AS$1006,0)))),"Fix")))</f>
        <v xml:space="preserve"> </v>
      </c>
      <c r="L52" s="4" t="str">
        <f ca="1">IF(OR(INDEX($W$2:$W$1001,MATCH(ROWS($V$2:V52),$V$2:$V$1001,0),1)&gt;=100000,INDEX($AC$1005:$AS$1005,1,MATCH(COLUMNS($AC$1006:AM1006),$AC$1006:$AS$1006,0))&gt;=100000), " ",IF(INDEX($AC$2:$AS$1001,MATCH(ROWS($V$2:V52),$V$2:$V$1001,0),MATCH(COLUMNS($AC$1006:AM1006),$AC$1006:$AS$1006,0)), HYPERLINK("#",""), HYPERLINK(CONCATENATE("#metadata!", ADDRESS(INDEX($X$2:$X$1001,MATCH(ROWS($V$2:V52),$V$2:$V$1001,0),0), INDEX($AC$1004:$AS$1004,1,MATCH(COLUMNS($AC$1006:AM1006),$AC$1006:$AS$1006,0)))),"Fix")))</f>
        <v xml:space="preserve"> </v>
      </c>
      <c r="M52" s="4" t="str">
        <f ca="1">IF(OR(INDEX($W$2:$W$1001,MATCH(ROWS($V$2:V52),$V$2:$V$1001,0),1)&gt;=100000,INDEX($AC$1005:$AS$1005,1,MATCH(COLUMNS($AC$1006:AN1006),$AC$1006:$AS$1006,0))&gt;=100000), " ",IF(INDEX($AC$2:$AS$1001,MATCH(ROWS($V$2:V52),$V$2:$V$1001,0),MATCH(COLUMNS($AC$1006:AN1006),$AC$1006:$AS$1006,0)), HYPERLINK("#",""), HYPERLINK(CONCATENATE("#metadata!", ADDRESS(INDEX($X$2:$X$1001,MATCH(ROWS($V$2:V52),$V$2:$V$1001,0),0), INDEX($AC$1004:$AS$1004,1,MATCH(COLUMNS($AC$1006:AN1006),$AC$1006:$AS$1006,0)))),"Fix")))</f>
        <v xml:space="preserve"> </v>
      </c>
      <c r="N52" s="4" t="str">
        <f ca="1">IF(OR(INDEX($W$2:$W$1001,MATCH(ROWS($V$2:V52),$V$2:$V$1001,0),1)&gt;=100000,INDEX($AC$1005:$AS$1005,1,MATCH(COLUMNS($AC$1006:AO1006),$AC$1006:$AS$1006,0))&gt;=100000), " ",IF(INDEX($AC$2:$AS$1001,MATCH(ROWS($V$2:V52),$V$2:$V$1001,0),MATCH(COLUMNS($AC$1006:AO1006),$AC$1006:$AS$1006,0)), HYPERLINK("#",""), HYPERLINK(CONCATENATE("#metadata!", ADDRESS(INDEX($X$2:$X$1001,MATCH(ROWS($V$2:V52),$V$2:$V$1001,0),0), INDEX($AC$1004:$AS$1004,1,MATCH(COLUMNS($AC$1006:AO1006),$AC$1006:$AS$1006,0)))),"Fix")))</f>
        <v xml:space="preserve"> </v>
      </c>
      <c r="O52" s="4" t="str">
        <f ca="1">IF(OR(INDEX($W$2:$W$1001,MATCH(ROWS($V$2:V52),$V$2:$V$1001,0),1)&gt;=100000,INDEX($AC$1005:$AS$1005,1,MATCH(COLUMNS($AC$1006:AP1006),$AC$1006:$AS$1006,0))&gt;=100000), " ",IF(INDEX($AC$2:$AS$1001,MATCH(ROWS($V$2:V52),$V$2:$V$1001,0),MATCH(COLUMNS($AC$1006:AP1006),$AC$1006:$AS$1006,0)), HYPERLINK("#",""), HYPERLINK(CONCATENATE("#metadata!", ADDRESS(INDEX($X$2:$X$1001,MATCH(ROWS($V$2:V52),$V$2:$V$1001,0),0), INDEX($AC$1004:$AS$1004,1,MATCH(COLUMNS($AC$1006:AP1006),$AC$1006:$AS$1006,0)))),"Fix")))</f>
        <v xml:space="preserve"> </v>
      </c>
      <c r="P52" s="4" t="str">
        <f ca="1">IF(OR(INDEX($W$2:$W$1001,MATCH(ROWS($V$2:V52),$V$2:$V$1001,0),1)&gt;=100000,INDEX($AC$1005:$AS$1005,1,MATCH(COLUMNS($AC$1006:AQ1006),$AC$1006:$AS$1006,0))&gt;=100000), " ",IF(INDEX($AC$2:$AS$1001,MATCH(ROWS($V$2:V52),$V$2:$V$1001,0),MATCH(COLUMNS($AC$1006:AQ1006),$AC$1006:$AS$1006,0)), HYPERLINK("#",""), HYPERLINK(CONCATENATE("#metadata!", ADDRESS(INDEX($X$2:$X$1001,MATCH(ROWS($V$2:V52),$V$2:$V$1001,0),0), INDEX($AC$1004:$AS$1004,1,MATCH(COLUMNS($AC$1006:AQ1006),$AC$1006:$AS$1006,0)))),"Fix")))</f>
        <v xml:space="preserve"> </v>
      </c>
      <c r="Q52" s="4" t="str">
        <f ca="1">IF(OR(INDEX($W$2:$W$1001,MATCH(ROWS($V$2:V52),$V$2:$V$1001,0),1)&gt;=100000,INDEX($AC$1005:$AS$1005,1,MATCH(COLUMNS($AC$1006:AR1006),$AC$1006:$AS$1006,0))&gt;=100000), " ",IF(INDEX($AC$2:$AS$1001,MATCH(ROWS($V$2:V52),$V$2:$V$1001,0),MATCH(COLUMNS($AC$1006:AR1006),$AC$1006:$AS$1006,0)), HYPERLINK("#",""), HYPERLINK(CONCATENATE("#metadata!", ADDRESS(INDEX($X$2:$X$1001,MATCH(ROWS($V$2:V52),$V$2:$V$1001,0),0), INDEX($AC$1004:$AS$1004,1,MATCH(COLUMNS($AC$1006:AR1006),$AC$1006:$AS$1006,0)))),"Fix")))</f>
        <v xml:space="preserve"> </v>
      </c>
      <c r="R52" s="4" t="str">
        <f ca="1">IF(OR(INDEX($W$2:$W$1001,MATCH(ROWS($V$2:V52),$V$2:$V$1001,0),1)&gt;=100000,INDEX($AC$1005:$AS$1005,1,MATCH(COLUMNS($AC$1006:AS1006),$AC$1006:$AS$1006,0))&gt;=100000), " ",IF(INDEX($AC$2:$AS$1001,MATCH(ROWS($V$2:V52),$V$2:$V$1001,0),MATCH(COLUMNS($AC$1006:AS1006),$AC$1006:$AS$1006,0)), HYPERLINK("#",""), HYPERLINK(CONCATENATE("#metadata!", ADDRESS(INDEX($X$2:$X$1001,MATCH(ROWS($V$2:V52),$V$2:$V$1001,0),0), INDEX($AC$1004:$AS$1004,1,MATCH(COLUMNS($AC$1006:AS1006),$AC$1006:$AS$1006,0)))),"Fix")))</f>
        <v xml:space="preserve"> </v>
      </c>
      <c r="V52">
        <v>51</v>
      </c>
      <c r="W52">
        <v>100052</v>
      </c>
      <c r="X52">
        <v>52</v>
      </c>
      <c r="Y52" t="b">
        <f t="shared" si="0"/>
        <v>1</v>
      </c>
      <c r="Z52" t="b">
        <f>COUNTBLANK(metadata!B52:R52)=COLUMNS(metadata!B52:R52)</f>
        <v>1</v>
      </c>
      <c r="AA52" t="str">
        <v/>
      </c>
      <c r="AC52" t="b">
        <f ca="1"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AD52" t="b">
        <f>IF(metadata!C52="",FALSE,ISNUMBER(VALUE(metadata!C52)))</f>
        <v>0</v>
      </c>
      <c r="AE52" t="b">
        <f>AND(IF(metadata!D52="",FALSE,TRUE),EXACT(metadata!D52,"years"))</f>
        <v>0</v>
      </c>
      <c r="AF52" t="b">
        <f>OR(AND(IF(metadata!E52="",FALSE,TRUE),OR(EXACT(metadata!E52,"not applicable"),EXACT(metadata!E52,"missing: not collected"),EXACT(metadata!E52,"missing: not provided"),EXACT(metadata!E52,"missing: restricted access"))),AND(IF(metadata!E52="",FALSE,ISNUMBER(VALUE(metadata!E52))),metadata!E52&gt;0))</f>
        <v>0</v>
      </c>
      <c r="AG52" t="b">
        <f>AND(IF(metadata!F52="",FALSE,TRUE),EXACT(metadata!F52,"Not applicable"))</f>
        <v>0</v>
      </c>
      <c r="AH52" t="b">
        <f>AND(IF(metadata!G52="",FALSE,TRUE),EXACT(metadata!G52,"urban biome"))</f>
        <v>0</v>
      </c>
      <c r="AI52" t="b">
        <f>AND(IF(metadata!H52="",FALSE,TRUE),EXACT(metadata!H52,"human-associated habitat"))</f>
        <v>0</v>
      </c>
      <c r="AJ52" t="b">
        <f>AND(IF(metadata!I52="",FALSE,TRUE),OR(EXACT(metadata!I52,"human-associated"),EXACT(metadata!I52,"human-skin"),EXACT(metadata!I52,"human-oral"),EXACT(metadata!I52,"human-gut"),EXACT(metadata!I52,"human-vaginal")))</f>
        <v>0</v>
      </c>
      <c r="AK52" t="b">
        <f>IF(metadata!J52="",FALSE,ISNUMBER(VALUE(metadata!J52)))</f>
        <v>0</v>
      </c>
      <c r="AL52" t="b">
        <f>AND(IF(metadata!K52="",FALSE,TRUE),EXACT(metadata!K52,"cm"))</f>
        <v>0</v>
      </c>
      <c r="AM52" t="b">
        <f>AND(IF(metadata!L52="",FALSE,TRUE),EXACT(metadata!L52,"human"))</f>
        <v>0</v>
      </c>
      <c r="AN52" t="b">
        <f>AND(IF(metadata!M52="",FALSE,TRUE),EXACT(metadata!M52,"Homo sapiens"))</f>
        <v>0</v>
      </c>
      <c r="AO52" t="b">
        <f>AND(IF(metadata!N52="",FALSE,TRUE),EXACT(metadata!N52,"9606"))</f>
        <v>0</v>
      </c>
      <c r="AP52" t="b">
        <f>IF(metadata!O52="",FALSE,TRUE)</f>
        <v>0</v>
      </c>
      <c r="AQ52" t="b">
        <f>IF(metadata!P52="",FALSE,TRUE)</f>
        <v>0</v>
      </c>
      <c r="AR52" t="b">
        <f>IF(metadata!Q52="",FALSE,ISNUMBER(VALUE(metadata!Q52)))</f>
        <v>0</v>
      </c>
      <c r="AS52" t="b">
        <f>AND(IF(metadata!R52="",FALSE,TRUE),EXACT(metadata!R52,"kg"))</f>
        <v>0</v>
      </c>
    </row>
    <row r="53" spans="1:45" x14ac:dyDescent="0.2">
      <c r="A53" s="5" t="str">
        <f ca="1">IF(B53=" "," ",HYPERLINK(CONCATENATE("#metadata!",ADDRESS(INDEX($X$2:$X$1001,MATCH(ROWS($V$2:V53),$V$2:$V$1001,0),0),1)),INDEX($AA$2:$AA$1001,MATCH(ROWS($V$2:V53),$V$2:$V$1001,0),0)))</f>
        <v xml:space="preserve"> </v>
      </c>
      <c r="B53" s="4" t="str">
        <f ca="1">IF(OR(INDEX($W$2:$W$1001,MATCH(ROWS($V$2:V53),$V$2:$V$1001,0),1)&gt;=100000,INDEX($AC$1005:$AS$1005,1,MATCH(COLUMNS($AC$1006:AC1006),$AC$1006:$AS$1006,0))&gt;=100000), " ",IF(INDEX($AC$2:$AS$1001,MATCH(ROWS($V$2:V53),$V$2:$V$1001,0),MATCH(COLUMNS($AC$1006:AC1006),$AC$1006:$AS$1006,0)), HYPERLINK("#",""), HYPERLINK(CONCATENATE("#metadata!", ADDRESS(INDEX($X$2:$X$1001,MATCH(ROWS($V$2:V53),$V$2:$V$1001,0),0), INDEX($AC$1004:$AS$1004,1,MATCH(COLUMNS($AC$1006:AC1006),$AC$1006:$AS$1006,0)))),"Fix")))</f>
        <v xml:space="preserve"> </v>
      </c>
      <c r="C53" s="4" t="str">
        <f ca="1">IF(OR(INDEX($W$2:$W$1001,MATCH(ROWS($V$2:V53),$V$2:$V$1001,0),1)&gt;=100000,INDEX($AC$1005:$AS$1005,1,MATCH(COLUMNS($AC$1006:AD1006),$AC$1006:$AS$1006,0))&gt;=100000), " ",IF(INDEX($AC$2:$AS$1001,MATCH(ROWS($V$2:V53),$V$2:$V$1001,0),MATCH(COLUMNS($AC$1006:AD1006),$AC$1006:$AS$1006,0)), HYPERLINK("#",""), HYPERLINK(CONCATENATE("#metadata!", ADDRESS(INDEX($X$2:$X$1001,MATCH(ROWS($V$2:V53),$V$2:$V$1001,0),0), INDEX($AC$1004:$AS$1004,1,MATCH(COLUMNS($AC$1006:AD1006),$AC$1006:$AS$1006,0)))),"Fix")))</f>
        <v xml:space="preserve"> </v>
      </c>
      <c r="D53" s="4" t="str">
        <f ca="1">IF(OR(INDEX($W$2:$W$1001,MATCH(ROWS($V$2:V53),$V$2:$V$1001,0),1)&gt;=100000,INDEX($AC$1005:$AS$1005,1,MATCH(COLUMNS($AC$1006:AE1006),$AC$1006:$AS$1006,0))&gt;=100000), " ",IF(INDEX($AC$2:$AS$1001,MATCH(ROWS($V$2:V53),$V$2:$V$1001,0),MATCH(COLUMNS($AC$1006:AE1006),$AC$1006:$AS$1006,0)), HYPERLINK("#",""), HYPERLINK(CONCATENATE("#metadata!", ADDRESS(INDEX($X$2:$X$1001,MATCH(ROWS($V$2:V53),$V$2:$V$1001,0),0), INDEX($AC$1004:$AS$1004,1,MATCH(COLUMNS($AC$1006:AE1006),$AC$1006:$AS$1006,0)))),"Fix")))</f>
        <v xml:space="preserve"> </v>
      </c>
      <c r="E53" s="4" t="str">
        <f ca="1">IF(OR(INDEX($W$2:$W$1001,MATCH(ROWS($V$2:V53),$V$2:$V$1001,0),1)&gt;=100000,INDEX($AC$1005:$AS$1005,1,MATCH(COLUMNS($AC$1006:AF1006),$AC$1006:$AS$1006,0))&gt;=100000), " ",IF(INDEX($AC$2:$AS$1001,MATCH(ROWS($V$2:V53),$V$2:$V$1001,0),MATCH(COLUMNS($AC$1006:AF1006),$AC$1006:$AS$1006,0)), HYPERLINK("#",""), HYPERLINK(CONCATENATE("#metadata!", ADDRESS(INDEX($X$2:$X$1001,MATCH(ROWS($V$2:V53),$V$2:$V$1001,0),0), INDEX($AC$1004:$AS$1004,1,MATCH(COLUMNS($AC$1006:AF1006),$AC$1006:$AS$1006,0)))),"Fix")))</f>
        <v xml:space="preserve"> </v>
      </c>
      <c r="F53" s="4" t="str">
        <f ca="1">IF(OR(INDEX($W$2:$W$1001,MATCH(ROWS($V$2:V53),$V$2:$V$1001,0),1)&gt;=100000,INDEX($AC$1005:$AS$1005,1,MATCH(COLUMNS($AC$1006:AG1006),$AC$1006:$AS$1006,0))&gt;=100000), " ",IF(INDEX($AC$2:$AS$1001,MATCH(ROWS($V$2:V53),$V$2:$V$1001,0),MATCH(COLUMNS($AC$1006:AG1006),$AC$1006:$AS$1006,0)), HYPERLINK("#",""), HYPERLINK(CONCATENATE("#metadata!", ADDRESS(INDEX($X$2:$X$1001,MATCH(ROWS($V$2:V53),$V$2:$V$1001,0),0), INDEX($AC$1004:$AS$1004,1,MATCH(COLUMNS($AC$1006:AG1006),$AC$1006:$AS$1006,0)))),"Fix")))</f>
        <v xml:space="preserve"> </v>
      </c>
      <c r="G53" s="4" t="str">
        <f ca="1">IF(OR(INDEX($W$2:$W$1001,MATCH(ROWS($V$2:V53),$V$2:$V$1001,0),1)&gt;=100000,INDEX($AC$1005:$AS$1005,1,MATCH(COLUMNS($AC$1006:AH1006),$AC$1006:$AS$1006,0))&gt;=100000), " ",IF(INDEX($AC$2:$AS$1001,MATCH(ROWS($V$2:V53),$V$2:$V$1001,0),MATCH(COLUMNS($AC$1006:AH1006),$AC$1006:$AS$1006,0)), HYPERLINK("#",""), HYPERLINK(CONCATENATE("#metadata!", ADDRESS(INDEX($X$2:$X$1001,MATCH(ROWS($V$2:V53),$V$2:$V$1001,0),0), INDEX($AC$1004:$AS$1004,1,MATCH(COLUMNS($AC$1006:AH1006),$AC$1006:$AS$1006,0)))),"Fix")))</f>
        <v xml:space="preserve"> </v>
      </c>
      <c r="H53" s="4" t="str">
        <f ca="1">IF(OR(INDEX($W$2:$W$1001,MATCH(ROWS($V$2:V53),$V$2:$V$1001,0),1)&gt;=100000,INDEX($AC$1005:$AS$1005,1,MATCH(COLUMNS($AC$1006:AI1006),$AC$1006:$AS$1006,0))&gt;=100000), " ",IF(INDEX($AC$2:$AS$1001,MATCH(ROWS($V$2:V53),$V$2:$V$1001,0),MATCH(COLUMNS($AC$1006:AI1006),$AC$1006:$AS$1006,0)), HYPERLINK("#",""), HYPERLINK(CONCATENATE("#metadata!", ADDRESS(INDEX($X$2:$X$1001,MATCH(ROWS($V$2:V53),$V$2:$V$1001,0),0), INDEX($AC$1004:$AS$1004,1,MATCH(COLUMNS($AC$1006:AI1006),$AC$1006:$AS$1006,0)))),"Fix")))</f>
        <v xml:space="preserve"> </v>
      </c>
      <c r="I53" s="4" t="str">
        <f ca="1">IF(OR(INDEX($W$2:$W$1001,MATCH(ROWS($V$2:V53),$V$2:$V$1001,0),1)&gt;=100000,INDEX($AC$1005:$AS$1005,1,MATCH(COLUMNS($AC$1006:AJ1006),$AC$1006:$AS$1006,0))&gt;=100000), " ",IF(INDEX($AC$2:$AS$1001,MATCH(ROWS($V$2:V53),$V$2:$V$1001,0),MATCH(COLUMNS($AC$1006:AJ1006),$AC$1006:$AS$1006,0)), HYPERLINK("#",""), HYPERLINK(CONCATENATE("#metadata!", ADDRESS(INDEX($X$2:$X$1001,MATCH(ROWS($V$2:V53),$V$2:$V$1001,0),0), INDEX($AC$1004:$AS$1004,1,MATCH(COLUMNS($AC$1006:AJ1006),$AC$1006:$AS$1006,0)))),"Fix")))</f>
        <v xml:space="preserve"> </v>
      </c>
      <c r="J53" s="4" t="str">
        <f ca="1">IF(OR(INDEX($W$2:$W$1001,MATCH(ROWS($V$2:V53),$V$2:$V$1001,0),1)&gt;=100000,INDEX($AC$1005:$AS$1005,1,MATCH(COLUMNS($AC$1006:AK1006),$AC$1006:$AS$1006,0))&gt;=100000), " ",IF(INDEX($AC$2:$AS$1001,MATCH(ROWS($V$2:V53),$V$2:$V$1001,0),MATCH(COLUMNS($AC$1006:AK1006),$AC$1006:$AS$1006,0)), HYPERLINK("#",""), HYPERLINK(CONCATENATE("#metadata!", ADDRESS(INDEX($X$2:$X$1001,MATCH(ROWS($V$2:V53),$V$2:$V$1001,0),0), INDEX($AC$1004:$AS$1004,1,MATCH(COLUMNS($AC$1006:AK1006),$AC$1006:$AS$1006,0)))),"Fix")))</f>
        <v xml:space="preserve"> </v>
      </c>
      <c r="K53" s="4" t="str">
        <f ca="1">IF(OR(INDEX($W$2:$W$1001,MATCH(ROWS($V$2:V53),$V$2:$V$1001,0),1)&gt;=100000,INDEX($AC$1005:$AS$1005,1,MATCH(COLUMNS($AC$1006:AL1006),$AC$1006:$AS$1006,0))&gt;=100000), " ",IF(INDEX($AC$2:$AS$1001,MATCH(ROWS($V$2:V53),$V$2:$V$1001,0),MATCH(COLUMNS($AC$1006:AL1006),$AC$1006:$AS$1006,0)), HYPERLINK("#",""), HYPERLINK(CONCATENATE("#metadata!", ADDRESS(INDEX($X$2:$X$1001,MATCH(ROWS($V$2:V53),$V$2:$V$1001,0),0), INDEX($AC$1004:$AS$1004,1,MATCH(COLUMNS($AC$1006:AL1006),$AC$1006:$AS$1006,0)))),"Fix")))</f>
        <v xml:space="preserve"> </v>
      </c>
      <c r="L53" s="4" t="str">
        <f ca="1">IF(OR(INDEX($W$2:$W$1001,MATCH(ROWS($V$2:V53),$V$2:$V$1001,0),1)&gt;=100000,INDEX($AC$1005:$AS$1005,1,MATCH(COLUMNS($AC$1006:AM1006),$AC$1006:$AS$1006,0))&gt;=100000), " ",IF(INDEX($AC$2:$AS$1001,MATCH(ROWS($V$2:V53),$V$2:$V$1001,0),MATCH(COLUMNS($AC$1006:AM1006),$AC$1006:$AS$1006,0)), HYPERLINK("#",""), HYPERLINK(CONCATENATE("#metadata!", ADDRESS(INDEX($X$2:$X$1001,MATCH(ROWS($V$2:V53),$V$2:$V$1001,0),0), INDEX($AC$1004:$AS$1004,1,MATCH(COLUMNS($AC$1006:AM1006),$AC$1006:$AS$1006,0)))),"Fix")))</f>
        <v xml:space="preserve"> </v>
      </c>
      <c r="M53" s="4" t="str">
        <f ca="1">IF(OR(INDEX($W$2:$W$1001,MATCH(ROWS($V$2:V53),$V$2:$V$1001,0),1)&gt;=100000,INDEX($AC$1005:$AS$1005,1,MATCH(COLUMNS($AC$1006:AN1006),$AC$1006:$AS$1006,0))&gt;=100000), " ",IF(INDEX($AC$2:$AS$1001,MATCH(ROWS($V$2:V53),$V$2:$V$1001,0),MATCH(COLUMNS($AC$1006:AN1006),$AC$1006:$AS$1006,0)), HYPERLINK("#",""), HYPERLINK(CONCATENATE("#metadata!", ADDRESS(INDEX($X$2:$X$1001,MATCH(ROWS($V$2:V53),$V$2:$V$1001,0),0), INDEX($AC$1004:$AS$1004,1,MATCH(COLUMNS($AC$1006:AN1006),$AC$1006:$AS$1006,0)))),"Fix")))</f>
        <v xml:space="preserve"> </v>
      </c>
      <c r="N53" s="4" t="str">
        <f ca="1">IF(OR(INDEX($W$2:$W$1001,MATCH(ROWS($V$2:V53),$V$2:$V$1001,0),1)&gt;=100000,INDEX($AC$1005:$AS$1005,1,MATCH(COLUMNS($AC$1006:AO1006),$AC$1006:$AS$1006,0))&gt;=100000), " ",IF(INDEX($AC$2:$AS$1001,MATCH(ROWS($V$2:V53),$V$2:$V$1001,0),MATCH(COLUMNS($AC$1006:AO1006),$AC$1006:$AS$1006,0)), HYPERLINK("#",""), HYPERLINK(CONCATENATE("#metadata!", ADDRESS(INDEX($X$2:$X$1001,MATCH(ROWS($V$2:V53),$V$2:$V$1001,0),0), INDEX($AC$1004:$AS$1004,1,MATCH(COLUMNS($AC$1006:AO1006),$AC$1006:$AS$1006,0)))),"Fix")))</f>
        <v xml:space="preserve"> </v>
      </c>
      <c r="O53" s="4" t="str">
        <f ca="1">IF(OR(INDEX($W$2:$W$1001,MATCH(ROWS($V$2:V53),$V$2:$V$1001,0),1)&gt;=100000,INDEX($AC$1005:$AS$1005,1,MATCH(COLUMNS($AC$1006:AP1006),$AC$1006:$AS$1006,0))&gt;=100000), " ",IF(INDEX($AC$2:$AS$1001,MATCH(ROWS($V$2:V53),$V$2:$V$1001,0),MATCH(COLUMNS($AC$1006:AP1006),$AC$1006:$AS$1006,0)), HYPERLINK("#",""), HYPERLINK(CONCATENATE("#metadata!", ADDRESS(INDEX($X$2:$X$1001,MATCH(ROWS($V$2:V53),$V$2:$V$1001,0),0), INDEX($AC$1004:$AS$1004,1,MATCH(COLUMNS($AC$1006:AP1006),$AC$1006:$AS$1006,0)))),"Fix")))</f>
        <v xml:space="preserve"> </v>
      </c>
      <c r="P53" s="4" t="str">
        <f ca="1">IF(OR(INDEX($W$2:$W$1001,MATCH(ROWS($V$2:V53),$V$2:$V$1001,0),1)&gt;=100000,INDEX($AC$1005:$AS$1005,1,MATCH(COLUMNS($AC$1006:AQ1006),$AC$1006:$AS$1006,0))&gt;=100000), " ",IF(INDEX($AC$2:$AS$1001,MATCH(ROWS($V$2:V53),$V$2:$V$1001,0),MATCH(COLUMNS($AC$1006:AQ1006),$AC$1006:$AS$1006,0)), HYPERLINK("#",""), HYPERLINK(CONCATENATE("#metadata!", ADDRESS(INDEX($X$2:$X$1001,MATCH(ROWS($V$2:V53),$V$2:$V$1001,0),0), INDEX($AC$1004:$AS$1004,1,MATCH(COLUMNS($AC$1006:AQ1006),$AC$1006:$AS$1006,0)))),"Fix")))</f>
        <v xml:space="preserve"> </v>
      </c>
      <c r="Q53" s="4" t="str">
        <f ca="1">IF(OR(INDEX($W$2:$W$1001,MATCH(ROWS($V$2:V53),$V$2:$V$1001,0),1)&gt;=100000,INDEX($AC$1005:$AS$1005,1,MATCH(COLUMNS($AC$1006:AR1006),$AC$1006:$AS$1006,0))&gt;=100000), " ",IF(INDEX($AC$2:$AS$1001,MATCH(ROWS($V$2:V53),$V$2:$V$1001,0),MATCH(COLUMNS($AC$1006:AR1006),$AC$1006:$AS$1006,0)), HYPERLINK("#",""), HYPERLINK(CONCATENATE("#metadata!", ADDRESS(INDEX($X$2:$X$1001,MATCH(ROWS($V$2:V53),$V$2:$V$1001,0),0), INDEX($AC$1004:$AS$1004,1,MATCH(COLUMNS($AC$1006:AR1006),$AC$1006:$AS$1006,0)))),"Fix")))</f>
        <v xml:space="preserve"> </v>
      </c>
      <c r="R53" s="4" t="str">
        <f ca="1">IF(OR(INDEX($W$2:$W$1001,MATCH(ROWS($V$2:V53),$V$2:$V$1001,0),1)&gt;=100000,INDEX($AC$1005:$AS$1005,1,MATCH(COLUMNS($AC$1006:AS1006),$AC$1006:$AS$1006,0))&gt;=100000), " ",IF(INDEX($AC$2:$AS$1001,MATCH(ROWS($V$2:V53),$V$2:$V$1001,0),MATCH(COLUMNS($AC$1006:AS1006),$AC$1006:$AS$1006,0)), HYPERLINK("#",""), HYPERLINK(CONCATENATE("#metadata!", ADDRESS(INDEX($X$2:$X$1001,MATCH(ROWS($V$2:V53),$V$2:$V$1001,0),0), INDEX($AC$1004:$AS$1004,1,MATCH(COLUMNS($AC$1006:AS1006),$AC$1006:$AS$1006,0)))),"Fix")))</f>
        <v xml:space="preserve"> </v>
      </c>
      <c r="V53">
        <v>52</v>
      </c>
      <c r="W53">
        <v>100053</v>
      </c>
      <c r="X53">
        <v>53</v>
      </c>
      <c r="Y53" t="b">
        <f t="shared" si="0"/>
        <v>1</v>
      </c>
      <c r="Z53" t="b">
        <f>COUNTBLANK(metadata!B53:R53)=COLUMNS(metadata!B53:R53)</f>
        <v>1</v>
      </c>
      <c r="AA53" t="str">
        <v/>
      </c>
      <c r="AC53" t="b">
        <f ca="1"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AD53" t="b">
        <f>IF(metadata!C53="",FALSE,ISNUMBER(VALUE(metadata!C53)))</f>
        <v>0</v>
      </c>
      <c r="AE53" t="b">
        <f>AND(IF(metadata!D53="",FALSE,TRUE),EXACT(metadata!D53,"years"))</f>
        <v>0</v>
      </c>
      <c r="AF53" t="b">
        <f>OR(AND(IF(metadata!E53="",FALSE,TRUE),OR(EXACT(metadata!E53,"not applicable"),EXACT(metadata!E53,"missing: not collected"),EXACT(metadata!E53,"missing: not provided"),EXACT(metadata!E53,"missing: restricted access"))),AND(IF(metadata!E53="",FALSE,ISNUMBER(VALUE(metadata!E53))),metadata!E53&gt;0))</f>
        <v>0</v>
      </c>
      <c r="AG53" t="b">
        <f>AND(IF(metadata!F53="",FALSE,TRUE),EXACT(metadata!F53,"Not applicable"))</f>
        <v>0</v>
      </c>
      <c r="AH53" t="b">
        <f>AND(IF(metadata!G53="",FALSE,TRUE),EXACT(metadata!G53,"urban biome"))</f>
        <v>0</v>
      </c>
      <c r="AI53" t="b">
        <f>AND(IF(metadata!H53="",FALSE,TRUE),EXACT(metadata!H53,"human-associated habitat"))</f>
        <v>0</v>
      </c>
      <c r="AJ53" t="b">
        <f>AND(IF(metadata!I53="",FALSE,TRUE),OR(EXACT(metadata!I53,"human-associated"),EXACT(metadata!I53,"human-skin"),EXACT(metadata!I53,"human-oral"),EXACT(metadata!I53,"human-gut"),EXACT(metadata!I53,"human-vaginal")))</f>
        <v>0</v>
      </c>
      <c r="AK53" t="b">
        <f>IF(metadata!J53="",FALSE,ISNUMBER(VALUE(metadata!J53)))</f>
        <v>0</v>
      </c>
      <c r="AL53" t="b">
        <f>AND(IF(metadata!K53="",FALSE,TRUE),EXACT(metadata!K53,"cm"))</f>
        <v>0</v>
      </c>
      <c r="AM53" t="b">
        <f>AND(IF(metadata!L53="",FALSE,TRUE),EXACT(metadata!L53,"human"))</f>
        <v>0</v>
      </c>
      <c r="AN53" t="b">
        <f>AND(IF(metadata!M53="",FALSE,TRUE),EXACT(metadata!M53,"Homo sapiens"))</f>
        <v>0</v>
      </c>
      <c r="AO53" t="b">
        <f>AND(IF(metadata!N53="",FALSE,TRUE),EXACT(metadata!N53,"9606"))</f>
        <v>0</v>
      </c>
      <c r="AP53" t="b">
        <f>IF(metadata!O53="",FALSE,TRUE)</f>
        <v>0</v>
      </c>
      <c r="AQ53" t="b">
        <f>IF(metadata!P53="",FALSE,TRUE)</f>
        <v>0</v>
      </c>
      <c r="AR53" t="b">
        <f>IF(metadata!Q53="",FALSE,ISNUMBER(VALUE(metadata!Q53)))</f>
        <v>0</v>
      </c>
      <c r="AS53" t="b">
        <f>AND(IF(metadata!R53="",FALSE,TRUE),EXACT(metadata!R53,"kg"))</f>
        <v>0</v>
      </c>
    </row>
    <row r="54" spans="1:45" x14ac:dyDescent="0.2">
      <c r="A54" s="5" t="str">
        <f ca="1">IF(B54=" "," ",HYPERLINK(CONCATENATE("#metadata!",ADDRESS(INDEX($X$2:$X$1001,MATCH(ROWS($V$2:V54),$V$2:$V$1001,0),0),1)),INDEX($AA$2:$AA$1001,MATCH(ROWS($V$2:V54),$V$2:$V$1001,0),0)))</f>
        <v xml:space="preserve"> </v>
      </c>
      <c r="B54" s="4" t="str">
        <f ca="1">IF(OR(INDEX($W$2:$W$1001,MATCH(ROWS($V$2:V54),$V$2:$V$1001,0),1)&gt;=100000,INDEX($AC$1005:$AS$1005,1,MATCH(COLUMNS($AC$1006:AC1006),$AC$1006:$AS$1006,0))&gt;=100000), " ",IF(INDEX($AC$2:$AS$1001,MATCH(ROWS($V$2:V54),$V$2:$V$1001,0),MATCH(COLUMNS($AC$1006:AC1006),$AC$1006:$AS$1006,0)), HYPERLINK("#",""), HYPERLINK(CONCATENATE("#metadata!", ADDRESS(INDEX($X$2:$X$1001,MATCH(ROWS($V$2:V54),$V$2:$V$1001,0),0), INDEX($AC$1004:$AS$1004,1,MATCH(COLUMNS($AC$1006:AC1006),$AC$1006:$AS$1006,0)))),"Fix")))</f>
        <v xml:space="preserve"> </v>
      </c>
      <c r="C54" s="4" t="str">
        <f ca="1">IF(OR(INDEX($W$2:$W$1001,MATCH(ROWS($V$2:V54),$V$2:$V$1001,0),1)&gt;=100000,INDEX($AC$1005:$AS$1005,1,MATCH(COLUMNS($AC$1006:AD1006),$AC$1006:$AS$1006,0))&gt;=100000), " ",IF(INDEX($AC$2:$AS$1001,MATCH(ROWS($V$2:V54),$V$2:$V$1001,0),MATCH(COLUMNS($AC$1006:AD1006),$AC$1006:$AS$1006,0)), HYPERLINK("#",""), HYPERLINK(CONCATENATE("#metadata!", ADDRESS(INDEX($X$2:$X$1001,MATCH(ROWS($V$2:V54),$V$2:$V$1001,0),0), INDEX($AC$1004:$AS$1004,1,MATCH(COLUMNS($AC$1006:AD1006),$AC$1006:$AS$1006,0)))),"Fix")))</f>
        <v xml:space="preserve"> </v>
      </c>
      <c r="D54" s="4" t="str">
        <f ca="1">IF(OR(INDEX($W$2:$W$1001,MATCH(ROWS($V$2:V54),$V$2:$V$1001,0),1)&gt;=100000,INDEX($AC$1005:$AS$1005,1,MATCH(COLUMNS($AC$1006:AE1006),$AC$1006:$AS$1006,0))&gt;=100000), " ",IF(INDEX($AC$2:$AS$1001,MATCH(ROWS($V$2:V54),$V$2:$V$1001,0),MATCH(COLUMNS($AC$1006:AE1006),$AC$1006:$AS$1006,0)), HYPERLINK("#",""), HYPERLINK(CONCATENATE("#metadata!", ADDRESS(INDEX($X$2:$X$1001,MATCH(ROWS($V$2:V54),$V$2:$V$1001,0),0), INDEX($AC$1004:$AS$1004,1,MATCH(COLUMNS($AC$1006:AE1006),$AC$1006:$AS$1006,0)))),"Fix")))</f>
        <v xml:space="preserve"> </v>
      </c>
      <c r="E54" s="4" t="str">
        <f ca="1">IF(OR(INDEX($W$2:$W$1001,MATCH(ROWS($V$2:V54),$V$2:$V$1001,0),1)&gt;=100000,INDEX($AC$1005:$AS$1005,1,MATCH(COLUMNS($AC$1006:AF1006),$AC$1006:$AS$1006,0))&gt;=100000), " ",IF(INDEX($AC$2:$AS$1001,MATCH(ROWS($V$2:V54),$V$2:$V$1001,0),MATCH(COLUMNS($AC$1006:AF1006),$AC$1006:$AS$1006,0)), HYPERLINK("#",""), HYPERLINK(CONCATENATE("#metadata!", ADDRESS(INDEX($X$2:$X$1001,MATCH(ROWS($V$2:V54),$V$2:$V$1001,0),0), INDEX($AC$1004:$AS$1004,1,MATCH(COLUMNS($AC$1006:AF1006),$AC$1006:$AS$1006,0)))),"Fix")))</f>
        <v xml:space="preserve"> </v>
      </c>
      <c r="F54" s="4" t="str">
        <f ca="1">IF(OR(INDEX($W$2:$W$1001,MATCH(ROWS($V$2:V54),$V$2:$V$1001,0),1)&gt;=100000,INDEX($AC$1005:$AS$1005,1,MATCH(COLUMNS($AC$1006:AG1006),$AC$1006:$AS$1006,0))&gt;=100000), " ",IF(INDEX($AC$2:$AS$1001,MATCH(ROWS($V$2:V54),$V$2:$V$1001,0),MATCH(COLUMNS($AC$1006:AG1006),$AC$1006:$AS$1006,0)), HYPERLINK("#",""), HYPERLINK(CONCATENATE("#metadata!", ADDRESS(INDEX($X$2:$X$1001,MATCH(ROWS($V$2:V54),$V$2:$V$1001,0),0), INDEX($AC$1004:$AS$1004,1,MATCH(COLUMNS($AC$1006:AG1006),$AC$1006:$AS$1006,0)))),"Fix")))</f>
        <v xml:space="preserve"> </v>
      </c>
      <c r="G54" s="4" t="str">
        <f ca="1">IF(OR(INDEX($W$2:$W$1001,MATCH(ROWS($V$2:V54),$V$2:$V$1001,0),1)&gt;=100000,INDEX($AC$1005:$AS$1005,1,MATCH(COLUMNS($AC$1006:AH1006),$AC$1006:$AS$1006,0))&gt;=100000), " ",IF(INDEX($AC$2:$AS$1001,MATCH(ROWS($V$2:V54),$V$2:$V$1001,0),MATCH(COLUMNS($AC$1006:AH1006),$AC$1006:$AS$1006,0)), HYPERLINK("#",""), HYPERLINK(CONCATENATE("#metadata!", ADDRESS(INDEX($X$2:$X$1001,MATCH(ROWS($V$2:V54),$V$2:$V$1001,0),0), INDEX($AC$1004:$AS$1004,1,MATCH(COLUMNS($AC$1006:AH1006),$AC$1006:$AS$1006,0)))),"Fix")))</f>
        <v xml:space="preserve"> </v>
      </c>
      <c r="H54" s="4" t="str">
        <f ca="1">IF(OR(INDEX($W$2:$W$1001,MATCH(ROWS($V$2:V54),$V$2:$V$1001,0),1)&gt;=100000,INDEX($AC$1005:$AS$1005,1,MATCH(COLUMNS($AC$1006:AI1006),$AC$1006:$AS$1006,0))&gt;=100000), " ",IF(INDEX($AC$2:$AS$1001,MATCH(ROWS($V$2:V54),$V$2:$V$1001,0),MATCH(COLUMNS($AC$1006:AI1006),$AC$1006:$AS$1006,0)), HYPERLINK("#",""), HYPERLINK(CONCATENATE("#metadata!", ADDRESS(INDEX($X$2:$X$1001,MATCH(ROWS($V$2:V54),$V$2:$V$1001,0),0), INDEX($AC$1004:$AS$1004,1,MATCH(COLUMNS($AC$1006:AI1006),$AC$1006:$AS$1006,0)))),"Fix")))</f>
        <v xml:space="preserve"> </v>
      </c>
      <c r="I54" s="4" t="str">
        <f ca="1">IF(OR(INDEX($W$2:$W$1001,MATCH(ROWS($V$2:V54),$V$2:$V$1001,0),1)&gt;=100000,INDEX($AC$1005:$AS$1005,1,MATCH(COLUMNS($AC$1006:AJ1006),$AC$1006:$AS$1006,0))&gt;=100000), " ",IF(INDEX($AC$2:$AS$1001,MATCH(ROWS($V$2:V54),$V$2:$V$1001,0),MATCH(COLUMNS($AC$1006:AJ1006),$AC$1006:$AS$1006,0)), HYPERLINK("#",""), HYPERLINK(CONCATENATE("#metadata!", ADDRESS(INDEX($X$2:$X$1001,MATCH(ROWS($V$2:V54),$V$2:$V$1001,0),0), INDEX($AC$1004:$AS$1004,1,MATCH(COLUMNS($AC$1006:AJ1006),$AC$1006:$AS$1006,0)))),"Fix")))</f>
        <v xml:space="preserve"> </v>
      </c>
      <c r="J54" s="4" t="str">
        <f ca="1">IF(OR(INDEX($W$2:$W$1001,MATCH(ROWS($V$2:V54),$V$2:$V$1001,0),1)&gt;=100000,INDEX($AC$1005:$AS$1005,1,MATCH(COLUMNS($AC$1006:AK1006),$AC$1006:$AS$1006,0))&gt;=100000), " ",IF(INDEX($AC$2:$AS$1001,MATCH(ROWS($V$2:V54),$V$2:$V$1001,0),MATCH(COLUMNS($AC$1006:AK1006),$AC$1006:$AS$1006,0)), HYPERLINK("#",""), HYPERLINK(CONCATENATE("#metadata!", ADDRESS(INDEX($X$2:$X$1001,MATCH(ROWS($V$2:V54),$V$2:$V$1001,0),0), INDEX($AC$1004:$AS$1004,1,MATCH(COLUMNS($AC$1006:AK1006),$AC$1006:$AS$1006,0)))),"Fix")))</f>
        <v xml:space="preserve"> </v>
      </c>
      <c r="K54" s="4" t="str">
        <f ca="1">IF(OR(INDEX($W$2:$W$1001,MATCH(ROWS($V$2:V54),$V$2:$V$1001,0),1)&gt;=100000,INDEX($AC$1005:$AS$1005,1,MATCH(COLUMNS($AC$1006:AL1006),$AC$1006:$AS$1006,0))&gt;=100000), " ",IF(INDEX($AC$2:$AS$1001,MATCH(ROWS($V$2:V54),$V$2:$V$1001,0),MATCH(COLUMNS($AC$1006:AL1006),$AC$1006:$AS$1006,0)), HYPERLINK("#",""), HYPERLINK(CONCATENATE("#metadata!", ADDRESS(INDEX($X$2:$X$1001,MATCH(ROWS($V$2:V54),$V$2:$V$1001,0),0), INDEX($AC$1004:$AS$1004,1,MATCH(COLUMNS($AC$1006:AL1006),$AC$1006:$AS$1006,0)))),"Fix")))</f>
        <v xml:space="preserve"> </v>
      </c>
      <c r="L54" s="4" t="str">
        <f ca="1">IF(OR(INDEX($W$2:$W$1001,MATCH(ROWS($V$2:V54),$V$2:$V$1001,0),1)&gt;=100000,INDEX($AC$1005:$AS$1005,1,MATCH(COLUMNS($AC$1006:AM1006),$AC$1006:$AS$1006,0))&gt;=100000), " ",IF(INDEX($AC$2:$AS$1001,MATCH(ROWS($V$2:V54),$V$2:$V$1001,0),MATCH(COLUMNS($AC$1006:AM1006),$AC$1006:$AS$1006,0)), HYPERLINK("#",""), HYPERLINK(CONCATENATE("#metadata!", ADDRESS(INDEX($X$2:$X$1001,MATCH(ROWS($V$2:V54),$V$2:$V$1001,0),0), INDEX($AC$1004:$AS$1004,1,MATCH(COLUMNS($AC$1006:AM1006),$AC$1006:$AS$1006,0)))),"Fix")))</f>
        <v xml:space="preserve"> </v>
      </c>
      <c r="M54" s="4" t="str">
        <f ca="1">IF(OR(INDEX($W$2:$W$1001,MATCH(ROWS($V$2:V54),$V$2:$V$1001,0),1)&gt;=100000,INDEX($AC$1005:$AS$1005,1,MATCH(COLUMNS($AC$1006:AN1006),$AC$1006:$AS$1006,0))&gt;=100000), " ",IF(INDEX($AC$2:$AS$1001,MATCH(ROWS($V$2:V54),$V$2:$V$1001,0),MATCH(COLUMNS($AC$1006:AN1006),$AC$1006:$AS$1006,0)), HYPERLINK("#",""), HYPERLINK(CONCATENATE("#metadata!", ADDRESS(INDEX($X$2:$X$1001,MATCH(ROWS($V$2:V54),$V$2:$V$1001,0),0), INDEX($AC$1004:$AS$1004,1,MATCH(COLUMNS($AC$1006:AN1006),$AC$1006:$AS$1006,0)))),"Fix")))</f>
        <v xml:space="preserve"> </v>
      </c>
      <c r="N54" s="4" t="str">
        <f ca="1">IF(OR(INDEX($W$2:$W$1001,MATCH(ROWS($V$2:V54),$V$2:$V$1001,0),1)&gt;=100000,INDEX($AC$1005:$AS$1005,1,MATCH(COLUMNS($AC$1006:AO1006),$AC$1006:$AS$1006,0))&gt;=100000), " ",IF(INDEX($AC$2:$AS$1001,MATCH(ROWS($V$2:V54),$V$2:$V$1001,0),MATCH(COLUMNS($AC$1006:AO1006),$AC$1006:$AS$1006,0)), HYPERLINK("#",""), HYPERLINK(CONCATENATE("#metadata!", ADDRESS(INDEX($X$2:$X$1001,MATCH(ROWS($V$2:V54),$V$2:$V$1001,0),0), INDEX($AC$1004:$AS$1004,1,MATCH(COLUMNS($AC$1006:AO1006),$AC$1006:$AS$1006,0)))),"Fix")))</f>
        <v xml:space="preserve"> </v>
      </c>
      <c r="O54" s="4" t="str">
        <f ca="1">IF(OR(INDEX($W$2:$W$1001,MATCH(ROWS($V$2:V54),$V$2:$V$1001,0),1)&gt;=100000,INDEX($AC$1005:$AS$1005,1,MATCH(COLUMNS($AC$1006:AP1006),$AC$1006:$AS$1006,0))&gt;=100000), " ",IF(INDEX($AC$2:$AS$1001,MATCH(ROWS($V$2:V54),$V$2:$V$1001,0),MATCH(COLUMNS($AC$1006:AP1006),$AC$1006:$AS$1006,0)), HYPERLINK("#",""), HYPERLINK(CONCATENATE("#metadata!", ADDRESS(INDEX($X$2:$X$1001,MATCH(ROWS($V$2:V54),$V$2:$V$1001,0),0), INDEX($AC$1004:$AS$1004,1,MATCH(COLUMNS($AC$1006:AP1006),$AC$1006:$AS$1006,0)))),"Fix")))</f>
        <v xml:space="preserve"> </v>
      </c>
      <c r="P54" s="4" t="str">
        <f ca="1">IF(OR(INDEX($W$2:$W$1001,MATCH(ROWS($V$2:V54),$V$2:$V$1001,0),1)&gt;=100000,INDEX($AC$1005:$AS$1005,1,MATCH(COLUMNS($AC$1006:AQ1006),$AC$1006:$AS$1006,0))&gt;=100000), " ",IF(INDEX($AC$2:$AS$1001,MATCH(ROWS($V$2:V54),$V$2:$V$1001,0),MATCH(COLUMNS($AC$1006:AQ1006),$AC$1006:$AS$1006,0)), HYPERLINK("#",""), HYPERLINK(CONCATENATE("#metadata!", ADDRESS(INDEX($X$2:$X$1001,MATCH(ROWS($V$2:V54),$V$2:$V$1001,0),0), INDEX($AC$1004:$AS$1004,1,MATCH(COLUMNS($AC$1006:AQ1006),$AC$1006:$AS$1006,0)))),"Fix")))</f>
        <v xml:space="preserve"> </v>
      </c>
      <c r="Q54" s="4" t="str">
        <f ca="1">IF(OR(INDEX($W$2:$W$1001,MATCH(ROWS($V$2:V54),$V$2:$V$1001,0),1)&gt;=100000,INDEX($AC$1005:$AS$1005,1,MATCH(COLUMNS($AC$1006:AR1006),$AC$1006:$AS$1006,0))&gt;=100000), " ",IF(INDEX($AC$2:$AS$1001,MATCH(ROWS($V$2:V54),$V$2:$V$1001,0),MATCH(COLUMNS($AC$1006:AR1006),$AC$1006:$AS$1006,0)), HYPERLINK("#",""), HYPERLINK(CONCATENATE("#metadata!", ADDRESS(INDEX($X$2:$X$1001,MATCH(ROWS($V$2:V54),$V$2:$V$1001,0),0), INDEX($AC$1004:$AS$1004,1,MATCH(COLUMNS($AC$1006:AR1006),$AC$1006:$AS$1006,0)))),"Fix")))</f>
        <v xml:space="preserve"> </v>
      </c>
      <c r="R54" s="4" t="str">
        <f ca="1">IF(OR(INDEX($W$2:$W$1001,MATCH(ROWS($V$2:V54),$V$2:$V$1001,0),1)&gt;=100000,INDEX($AC$1005:$AS$1005,1,MATCH(COLUMNS($AC$1006:AS1006),$AC$1006:$AS$1006,0))&gt;=100000), " ",IF(INDEX($AC$2:$AS$1001,MATCH(ROWS($V$2:V54),$V$2:$V$1001,0),MATCH(COLUMNS($AC$1006:AS1006),$AC$1006:$AS$1006,0)), HYPERLINK("#",""), HYPERLINK(CONCATENATE("#metadata!", ADDRESS(INDEX($X$2:$X$1001,MATCH(ROWS($V$2:V54),$V$2:$V$1001,0),0), INDEX($AC$1004:$AS$1004,1,MATCH(COLUMNS($AC$1006:AS1006),$AC$1006:$AS$1006,0)))),"Fix")))</f>
        <v xml:space="preserve"> </v>
      </c>
      <c r="V54">
        <v>53</v>
      </c>
      <c r="W54">
        <v>100054</v>
      </c>
      <c r="X54">
        <v>54</v>
      </c>
      <c r="Y54" t="b">
        <f t="shared" si="0"/>
        <v>1</v>
      </c>
      <c r="Z54" t="b">
        <f>COUNTBLANK(metadata!B54:R54)=COLUMNS(metadata!B54:R54)</f>
        <v>1</v>
      </c>
      <c r="AA54" t="str">
        <v/>
      </c>
      <c r="AC54" t="b">
        <f ca="1"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AD54" t="b">
        <f>IF(metadata!C54="",FALSE,ISNUMBER(VALUE(metadata!C54)))</f>
        <v>0</v>
      </c>
      <c r="AE54" t="b">
        <f>AND(IF(metadata!D54="",FALSE,TRUE),EXACT(metadata!D54,"years"))</f>
        <v>0</v>
      </c>
      <c r="AF54" t="b">
        <f>OR(AND(IF(metadata!E54="",FALSE,TRUE),OR(EXACT(metadata!E54,"not applicable"),EXACT(metadata!E54,"missing: not collected"),EXACT(metadata!E54,"missing: not provided"),EXACT(metadata!E54,"missing: restricted access"))),AND(IF(metadata!E54="",FALSE,ISNUMBER(VALUE(metadata!E54))),metadata!E54&gt;0))</f>
        <v>0</v>
      </c>
      <c r="AG54" t="b">
        <f>AND(IF(metadata!F54="",FALSE,TRUE),EXACT(metadata!F54,"Not applicable"))</f>
        <v>0</v>
      </c>
      <c r="AH54" t="b">
        <f>AND(IF(metadata!G54="",FALSE,TRUE),EXACT(metadata!G54,"urban biome"))</f>
        <v>0</v>
      </c>
      <c r="AI54" t="b">
        <f>AND(IF(metadata!H54="",FALSE,TRUE),EXACT(metadata!H54,"human-associated habitat"))</f>
        <v>0</v>
      </c>
      <c r="AJ54" t="b">
        <f>AND(IF(metadata!I54="",FALSE,TRUE),OR(EXACT(metadata!I54,"human-associated"),EXACT(metadata!I54,"human-skin"),EXACT(metadata!I54,"human-oral"),EXACT(metadata!I54,"human-gut"),EXACT(metadata!I54,"human-vaginal")))</f>
        <v>0</v>
      </c>
      <c r="AK54" t="b">
        <f>IF(metadata!J54="",FALSE,ISNUMBER(VALUE(metadata!J54)))</f>
        <v>0</v>
      </c>
      <c r="AL54" t="b">
        <f>AND(IF(metadata!K54="",FALSE,TRUE),EXACT(metadata!K54,"cm"))</f>
        <v>0</v>
      </c>
      <c r="AM54" t="b">
        <f>AND(IF(metadata!L54="",FALSE,TRUE),EXACT(metadata!L54,"human"))</f>
        <v>0</v>
      </c>
      <c r="AN54" t="b">
        <f>AND(IF(metadata!M54="",FALSE,TRUE),EXACT(metadata!M54,"Homo sapiens"))</f>
        <v>0</v>
      </c>
      <c r="AO54" t="b">
        <f>AND(IF(metadata!N54="",FALSE,TRUE),EXACT(metadata!N54,"9606"))</f>
        <v>0</v>
      </c>
      <c r="AP54" t="b">
        <f>IF(metadata!O54="",FALSE,TRUE)</f>
        <v>0</v>
      </c>
      <c r="AQ54" t="b">
        <f>IF(metadata!P54="",FALSE,TRUE)</f>
        <v>0</v>
      </c>
      <c r="AR54" t="b">
        <f>IF(metadata!Q54="",FALSE,ISNUMBER(VALUE(metadata!Q54)))</f>
        <v>0</v>
      </c>
      <c r="AS54" t="b">
        <f>AND(IF(metadata!R54="",FALSE,TRUE),EXACT(metadata!R54,"kg"))</f>
        <v>0</v>
      </c>
    </row>
    <row r="55" spans="1:45" x14ac:dyDescent="0.2">
      <c r="A55" s="5" t="str">
        <f ca="1">IF(B55=" "," ",HYPERLINK(CONCATENATE("#metadata!",ADDRESS(INDEX($X$2:$X$1001,MATCH(ROWS($V$2:V55),$V$2:$V$1001,0),0),1)),INDEX($AA$2:$AA$1001,MATCH(ROWS($V$2:V55),$V$2:$V$1001,0),0)))</f>
        <v xml:space="preserve"> </v>
      </c>
      <c r="B55" s="4" t="str">
        <f ca="1">IF(OR(INDEX($W$2:$W$1001,MATCH(ROWS($V$2:V55),$V$2:$V$1001,0),1)&gt;=100000,INDEX($AC$1005:$AS$1005,1,MATCH(COLUMNS($AC$1006:AC1006),$AC$1006:$AS$1006,0))&gt;=100000), " ",IF(INDEX($AC$2:$AS$1001,MATCH(ROWS($V$2:V55),$V$2:$V$1001,0),MATCH(COLUMNS($AC$1006:AC1006),$AC$1006:$AS$1006,0)), HYPERLINK("#",""), HYPERLINK(CONCATENATE("#metadata!", ADDRESS(INDEX($X$2:$X$1001,MATCH(ROWS($V$2:V55),$V$2:$V$1001,0),0), INDEX($AC$1004:$AS$1004,1,MATCH(COLUMNS($AC$1006:AC1006),$AC$1006:$AS$1006,0)))),"Fix")))</f>
        <v xml:space="preserve"> </v>
      </c>
      <c r="C55" s="4" t="str">
        <f ca="1">IF(OR(INDEX($W$2:$W$1001,MATCH(ROWS($V$2:V55),$V$2:$V$1001,0),1)&gt;=100000,INDEX($AC$1005:$AS$1005,1,MATCH(COLUMNS($AC$1006:AD1006),$AC$1006:$AS$1006,0))&gt;=100000), " ",IF(INDEX($AC$2:$AS$1001,MATCH(ROWS($V$2:V55),$V$2:$V$1001,0),MATCH(COLUMNS($AC$1006:AD1006),$AC$1006:$AS$1006,0)), HYPERLINK("#",""), HYPERLINK(CONCATENATE("#metadata!", ADDRESS(INDEX($X$2:$X$1001,MATCH(ROWS($V$2:V55),$V$2:$V$1001,0),0), INDEX($AC$1004:$AS$1004,1,MATCH(COLUMNS($AC$1006:AD1006),$AC$1006:$AS$1006,0)))),"Fix")))</f>
        <v xml:space="preserve"> </v>
      </c>
      <c r="D55" s="4" t="str">
        <f ca="1">IF(OR(INDEX($W$2:$W$1001,MATCH(ROWS($V$2:V55),$V$2:$V$1001,0),1)&gt;=100000,INDEX($AC$1005:$AS$1005,1,MATCH(COLUMNS($AC$1006:AE1006),$AC$1006:$AS$1006,0))&gt;=100000), " ",IF(INDEX($AC$2:$AS$1001,MATCH(ROWS($V$2:V55),$V$2:$V$1001,0),MATCH(COLUMNS($AC$1006:AE1006),$AC$1006:$AS$1006,0)), HYPERLINK("#",""), HYPERLINK(CONCATENATE("#metadata!", ADDRESS(INDEX($X$2:$X$1001,MATCH(ROWS($V$2:V55),$V$2:$V$1001,0),0), INDEX($AC$1004:$AS$1004,1,MATCH(COLUMNS($AC$1006:AE1006),$AC$1006:$AS$1006,0)))),"Fix")))</f>
        <v xml:space="preserve"> </v>
      </c>
      <c r="E55" s="4" t="str">
        <f ca="1">IF(OR(INDEX($W$2:$W$1001,MATCH(ROWS($V$2:V55),$V$2:$V$1001,0),1)&gt;=100000,INDEX($AC$1005:$AS$1005,1,MATCH(COLUMNS($AC$1006:AF1006),$AC$1006:$AS$1006,0))&gt;=100000), " ",IF(INDEX($AC$2:$AS$1001,MATCH(ROWS($V$2:V55),$V$2:$V$1001,0),MATCH(COLUMNS($AC$1006:AF1006),$AC$1006:$AS$1006,0)), HYPERLINK("#",""), HYPERLINK(CONCATENATE("#metadata!", ADDRESS(INDEX($X$2:$X$1001,MATCH(ROWS($V$2:V55),$V$2:$V$1001,0),0), INDEX($AC$1004:$AS$1004,1,MATCH(COLUMNS($AC$1006:AF1006),$AC$1006:$AS$1006,0)))),"Fix")))</f>
        <v xml:space="preserve"> </v>
      </c>
      <c r="F55" s="4" t="str">
        <f ca="1">IF(OR(INDEX($W$2:$W$1001,MATCH(ROWS($V$2:V55),$V$2:$V$1001,0),1)&gt;=100000,INDEX($AC$1005:$AS$1005,1,MATCH(COLUMNS($AC$1006:AG1006),$AC$1006:$AS$1006,0))&gt;=100000), " ",IF(INDEX($AC$2:$AS$1001,MATCH(ROWS($V$2:V55),$V$2:$V$1001,0),MATCH(COLUMNS($AC$1006:AG1006),$AC$1006:$AS$1006,0)), HYPERLINK("#",""), HYPERLINK(CONCATENATE("#metadata!", ADDRESS(INDEX($X$2:$X$1001,MATCH(ROWS($V$2:V55),$V$2:$V$1001,0),0), INDEX($AC$1004:$AS$1004,1,MATCH(COLUMNS($AC$1006:AG1006),$AC$1006:$AS$1006,0)))),"Fix")))</f>
        <v xml:space="preserve"> </v>
      </c>
      <c r="G55" s="4" t="str">
        <f ca="1">IF(OR(INDEX($W$2:$W$1001,MATCH(ROWS($V$2:V55),$V$2:$V$1001,0),1)&gt;=100000,INDEX($AC$1005:$AS$1005,1,MATCH(COLUMNS($AC$1006:AH1006),$AC$1006:$AS$1006,0))&gt;=100000), " ",IF(INDEX($AC$2:$AS$1001,MATCH(ROWS($V$2:V55),$V$2:$V$1001,0),MATCH(COLUMNS($AC$1006:AH1006),$AC$1006:$AS$1006,0)), HYPERLINK("#",""), HYPERLINK(CONCATENATE("#metadata!", ADDRESS(INDEX($X$2:$X$1001,MATCH(ROWS($V$2:V55),$V$2:$V$1001,0),0), INDEX($AC$1004:$AS$1004,1,MATCH(COLUMNS($AC$1006:AH1006),$AC$1006:$AS$1006,0)))),"Fix")))</f>
        <v xml:space="preserve"> </v>
      </c>
      <c r="H55" s="4" t="str">
        <f ca="1">IF(OR(INDEX($W$2:$W$1001,MATCH(ROWS($V$2:V55),$V$2:$V$1001,0),1)&gt;=100000,INDEX($AC$1005:$AS$1005,1,MATCH(COLUMNS($AC$1006:AI1006),$AC$1006:$AS$1006,0))&gt;=100000), " ",IF(INDEX($AC$2:$AS$1001,MATCH(ROWS($V$2:V55),$V$2:$V$1001,0),MATCH(COLUMNS($AC$1006:AI1006),$AC$1006:$AS$1006,0)), HYPERLINK("#",""), HYPERLINK(CONCATENATE("#metadata!", ADDRESS(INDEX($X$2:$X$1001,MATCH(ROWS($V$2:V55),$V$2:$V$1001,0),0), INDEX($AC$1004:$AS$1004,1,MATCH(COLUMNS($AC$1006:AI1006),$AC$1006:$AS$1006,0)))),"Fix")))</f>
        <v xml:space="preserve"> </v>
      </c>
      <c r="I55" s="4" t="str">
        <f ca="1">IF(OR(INDEX($W$2:$W$1001,MATCH(ROWS($V$2:V55),$V$2:$V$1001,0),1)&gt;=100000,INDEX($AC$1005:$AS$1005,1,MATCH(COLUMNS($AC$1006:AJ1006),$AC$1006:$AS$1006,0))&gt;=100000), " ",IF(INDEX($AC$2:$AS$1001,MATCH(ROWS($V$2:V55),$V$2:$V$1001,0),MATCH(COLUMNS($AC$1006:AJ1006),$AC$1006:$AS$1006,0)), HYPERLINK("#",""), HYPERLINK(CONCATENATE("#metadata!", ADDRESS(INDEX($X$2:$X$1001,MATCH(ROWS($V$2:V55),$V$2:$V$1001,0),0), INDEX($AC$1004:$AS$1004,1,MATCH(COLUMNS($AC$1006:AJ1006),$AC$1006:$AS$1006,0)))),"Fix")))</f>
        <v xml:space="preserve"> </v>
      </c>
      <c r="J55" s="4" t="str">
        <f ca="1">IF(OR(INDEX($W$2:$W$1001,MATCH(ROWS($V$2:V55),$V$2:$V$1001,0),1)&gt;=100000,INDEX($AC$1005:$AS$1005,1,MATCH(COLUMNS($AC$1006:AK1006),$AC$1006:$AS$1006,0))&gt;=100000), " ",IF(INDEX($AC$2:$AS$1001,MATCH(ROWS($V$2:V55),$V$2:$V$1001,0),MATCH(COLUMNS($AC$1006:AK1006),$AC$1006:$AS$1006,0)), HYPERLINK("#",""), HYPERLINK(CONCATENATE("#metadata!", ADDRESS(INDEX($X$2:$X$1001,MATCH(ROWS($V$2:V55),$V$2:$V$1001,0),0), INDEX($AC$1004:$AS$1004,1,MATCH(COLUMNS($AC$1006:AK1006),$AC$1006:$AS$1006,0)))),"Fix")))</f>
        <v xml:space="preserve"> </v>
      </c>
      <c r="K55" s="4" t="str">
        <f ca="1">IF(OR(INDEX($W$2:$W$1001,MATCH(ROWS($V$2:V55),$V$2:$V$1001,0),1)&gt;=100000,INDEX($AC$1005:$AS$1005,1,MATCH(COLUMNS($AC$1006:AL1006),$AC$1006:$AS$1006,0))&gt;=100000), " ",IF(INDEX($AC$2:$AS$1001,MATCH(ROWS($V$2:V55),$V$2:$V$1001,0),MATCH(COLUMNS($AC$1006:AL1006),$AC$1006:$AS$1006,0)), HYPERLINK("#",""), HYPERLINK(CONCATENATE("#metadata!", ADDRESS(INDEX($X$2:$X$1001,MATCH(ROWS($V$2:V55),$V$2:$V$1001,0),0), INDEX($AC$1004:$AS$1004,1,MATCH(COLUMNS($AC$1006:AL1006),$AC$1006:$AS$1006,0)))),"Fix")))</f>
        <v xml:space="preserve"> </v>
      </c>
      <c r="L55" s="4" t="str">
        <f ca="1">IF(OR(INDEX($W$2:$W$1001,MATCH(ROWS($V$2:V55),$V$2:$V$1001,0),1)&gt;=100000,INDEX($AC$1005:$AS$1005,1,MATCH(COLUMNS($AC$1006:AM1006),$AC$1006:$AS$1006,0))&gt;=100000), " ",IF(INDEX($AC$2:$AS$1001,MATCH(ROWS($V$2:V55),$V$2:$V$1001,0),MATCH(COLUMNS($AC$1006:AM1006),$AC$1006:$AS$1006,0)), HYPERLINK("#",""), HYPERLINK(CONCATENATE("#metadata!", ADDRESS(INDEX($X$2:$X$1001,MATCH(ROWS($V$2:V55),$V$2:$V$1001,0),0), INDEX($AC$1004:$AS$1004,1,MATCH(COLUMNS($AC$1006:AM1006),$AC$1006:$AS$1006,0)))),"Fix")))</f>
        <v xml:space="preserve"> </v>
      </c>
      <c r="M55" s="4" t="str">
        <f ca="1">IF(OR(INDEX($W$2:$W$1001,MATCH(ROWS($V$2:V55),$V$2:$V$1001,0),1)&gt;=100000,INDEX($AC$1005:$AS$1005,1,MATCH(COLUMNS($AC$1006:AN1006),$AC$1006:$AS$1006,0))&gt;=100000), " ",IF(INDEX($AC$2:$AS$1001,MATCH(ROWS($V$2:V55),$V$2:$V$1001,0),MATCH(COLUMNS($AC$1006:AN1006),$AC$1006:$AS$1006,0)), HYPERLINK("#",""), HYPERLINK(CONCATENATE("#metadata!", ADDRESS(INDEX($X$2:$X$1001,MATCH(ROWS($V$2:V55),$V$2:$V$1001,0),0), INDEX($AC$1004:$AS$1004,1,MATCH(COLUMNS($AC$1006:AN1006),$AC$1006:$AS$1006,0)))),"Fix")))</f>
        <v xml:space="preserve"> </v>
      </c>
      <c r="N55" s="4" t="str">
        <f ca="1">IF(OR(INDEX($W$2:$W$1001,MATCH(ROWS($V$2:V55),$V$2:$V$1001,0),1)&gt;=100000,INDEX($AC$1005:$AS$1005,1,MATCH(COLUMNS($AC$1006:AO1006),$AC$1006:$AS$1006,0))&gt;=100000), " ",IF(INDEX($AC$2:$AS$1001,MATCH(ROWS($V$2:V55),$V$2:$V$1001,0),MATCH(COLUMNS($AC$1006:AO1006),$AC$1006:$AS$1006,0)), HYPERLINK("#",""), HYPERLINK(CONCATENATE("#metadata!", ADDRESS(INDEX($X$2:$X$1001,MATCH(ROWS($V$2:V55),$V$2:$V$1001,0),0), INDEX($AC$1004:$AS$1004,1,MATCH(COLUMNS($AC$1006:AO1006),$AC$1006:$AS$1006,0)))),"Fix")))</f>
        <v xml:space="preserve"> </v>
      </c>
      <c r="O55" s="4" t="str">
        <f ca="1">IF(OR(INDEX($W$2:$W$1001,MATCH(ROWS($V$2:V55),$V$2:$V$1001,0),1)&gt;=100000,INDEX($AC$1005:$AS$1005,1,MATCH(COLUMNS($AC$1006:AP1006),$AC$1006:$AS$1006,0))&gt;=100000), " ",IF(INDEX($AC$2:$AS$1001,MATCH(ROWS($V$2:V55),$V$2:$V$1001,0),MATCH(COLUMNS($AC$1006:AP1006),$AC$1006:$AS$1006,0)), HYPERLINK("#",""), HYPERLINK(CONCATENATE("#metadata!", ADDRESS(INDEX($X$2:$X$1001,MATCH(ROWS($V$2:V55),$V$2:$V$1001,0),0), INDEX($AC$1004:$AS$1004,1,MATCH(COLUMNS($AC$1006:AP1006),$AC$1006:$AS$1006,0)))),"Fix")))</f>
        <v xml:space="preserve"> </v>
      </c>
      <c r="P55" s="4" t="str">
        <f ca="1">IF(OR(INDEX($W$2:$W$1001,MATCH(ROWS($V$2:V55),$V$2:$V$1001,0),1)&gt;=100000,INDEX($AC$1005:$AS$1005,1,MATCH(COLUMNS($AC$1006:AQ1006),$AC$1006:$AS$1006,0))&gt;=100000), " ",IF(INDEX($AC$2:$AS$1001,MATCH(ROWS($V$2:V55),$V$2:$V$1001,0),MATCH(COLUMNS($AC$1006:AQ1006),$AC$1006:$AS$1006,0)), HYPERLINK("#",""), HYPERLINK(CONCATENATE("#metadata!", ADDRESS(INDEX($X$2:$X$1001,MATCH(ROWS($V$2:V55),$V$2:$V$1001,0),0), INDEX($AC$1004:$AS$1004,1,MATCH(COLUMNS($AC$1006:AQ1006),$AC$1006:$AS$1006,0)))),"Fix")))</f>
        <v xml:space="preserve"> </v>
      </c>
      <c r="Q55" s="4" t="str">
        <f ca="1">IF(OR(INDEX($W$2:$W$1001,MATCH(ROWS($V$2:V55),$V$2:$V$1001,0),1)&gt;=100000,INDEX($AC$1005:$AS$1005,1,MATCH(COLUMNS($AC$1006:AR1006),$AC$1006:$AS$1006,0))&gt;=100000), " ",IF(INDEX($AC$2:$AS$1001,MATCH(ROWS($V$2:V55),$V$2:$V$1001,0),MATCH(COLUMNS($AC$1006:AR1006),$AC$1006:$AS$1006,0)), HYPERLINK("#",""), HYPERLINK(CONCATENATE("#metadata!", ADDRESS(INDEX($X$2:$X$1001,MATCH(ROWS($V$2:V55),$V$2:$V$1001,0),0), INDEX($AC$1004:$AS$1004,1,MATCH(COLUMNS($AC$1006:AR1006),$AC$1006:$AS$1006,0)))),"Fix")))</f>
        <v xml:space="preserve"> </v>
      </c>
      <c r="R55" s="4" t="str">
        <f ca="1">IF(OR(INDEX($W$2:$W$1001,MATCH(ROWS($V$2:V55),$V$2:$V$1001,0),1)&gt;=100000,INDEX($AC$1005:$AS$1005,1,MATCH(COLUMNS($AC$1006:AS1006),$AC$1006:$AS$1006,0))&gt;=100000), " ",IF(INDEX($AC$2:$AS$1001,MATCH(ROWS($V$2:V55),$V$2:$V$1001,0),MATCH(COLUMNS($AC$1006:AS1006),$AC$1006:$AS$1006,0)), HYPERLINK("#",""), HYPERLINK(CONCATENATE("#metadata!", ADDRESS(INDEX($X$2:$X$1001,MATCH(ROWS($V$2:V55),$V$2:$V$1001,0),0), INDEX($AC$1004:$AS$1004,1,MATCH(COLUMNS($AC$1006:AS1006),$AC$1006:$AS$1006,0)))),"Fix")))</f>
        <v xml:space="preserve"> </v>
      </c>
      <c r="V55">
        <v>54</v>
      </c>
      <c r="W55">
        <v>100055</v>
      </c>
      <c r="X55">
        <v>55</v>
      </c>
      <c r="Y55" t="b">
        <f t="shared" si="0"/>
        <v>1</v>
      </c>
      <c r="Z55" t="b">
        <f>COUNTBLANK(metadata!B55:R55)=COLUMNS(metadata!B55:R55)</f>
        <v>1</v>
      </c>
      <c r="AA55" t="str">
        <v/>
      </c>
      <c r="AC55" t="b">
        <f ca="1"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AD55" t="b">
        <f>IF(metadata!C55="",FALSE,ISNUMBER(VALUE(metadata!C55)))</f>
        <v>0</v>
      </c>
      <c r="AE55" t="b">
        <f>AND(IF(metadata!D55="",FALSE,TRUE),EXACT(metadata!D55,"years"))</f>
        <v>0</v>
      </c>
      <c r="AF55" t="b">
        <f>OR(AND(IF(metadata!E55="",FALSE,TRUE),OR(EXACT(metadata!E55,"not applicable"),EXACT(metadata!E55,"missing: not collected"),EXACT(metadata!E55,"missing: not provided"),EXACT(metadata!E55,"missing: restricted access"))),AND(IF(metadata!E55="",FALSE,ISNUMBER(VALUE(metadata!E55))),metadata!E55&gt;0))</f>
        <v>0</v>
      </c>
      <c r="AG55" t="b">
        <f>AND(IF(metadata!F55="",FALSE,TRUE),EXACT(metadata!F55,"Not applicable"))</f>
        <v>0</v>
      </c>
      <c r="AH55" t="b">
        <f>AND(IF(metadata!G55="",FALSE,TRUE),EXACT(metadata!G55,"urban biome"))</f>
        <v>0</v>
      </c>
      <c r="AI55" t="b">
        <f>AND(IF(metadata!H55="",FALSE,TRUE),EXACT(metadata!H55,"human-associated habitat"))</f>
        <v>0</v>
      </c>
      <c r="AJ55" t="b">
        <f>AND(IF(metadata!I55="",FALSE,TRUE),OR(EXACT(metadata!I55,"human-associated"),EXACT(metadata!I55,"human-skin"),EXACT(metadata!I55,"human-oral"),EXACT(metadata!I55,"human-gut"),EXACT(metadata!I55,"human-vaginal")))</f>
        <v>0</v>
      </c>
      <c r="AK55" t="b">
        <f>IF(metadata!J55="",FALSE,ISNUMBER(VALUE(metadata!J55)))</f>
        <v>0</v>
      </c>
      <c r="AL55" t="b">
        <f>AND(IF(metadata!K55="",FALSE,TRUE),EXACT(metadata!K55,"cm"))</f>
        <v>0</v>
      </c>
      <c r="AM55" t="b">
        <f>AND(IF(metadata!L55="",FALSE,TRUE),EXACT(metadata!L55,"human"))</f>
        <v>0</v>
      </c>
      <c r="AN55" t="b">
        <f>AND(IF(metadata!M55="",FALSE,TRUE),EXACT(metadata!M55,"Homo sapiens"))</f>
        <v>0</v>
      </c>
      <c r="AO55" t="b">
        <f>AND(IF(metadata!N55="",FALSE,TRUE),EXACT(metadata!N55,"9606"))</f>
        <v>0</v>
      </c>
      <c r="AP55" t="b">
        <f>IF(metadata!O55="",FALSE,TRUE)</f>
        <v>0</v>
      </c>
      <c r="AQ55" t="b">
        <f>IF(metadata!P55="",FALSE,TRUE)</f>
        <v>0</v>
      </c>
      <c r="AR55" t="b">
        <f>IF(metadata!Q55="",FALSE,ISNUMBER(VALUE(metadata!Q55)))</f>
        <v>0</v>
      </c>
      <c r="AS55" t="b">
        <f>AND(IF(metadata!R55="",FALSE,TRUE),EXACT(metadata!R55,"kg"))</f>
        <v>0</v>
      </c>
    </row>
    <row r="56" spans="1:45" x14ac:dyDescent="0.2">
      <c r="A56" s="5" t="str">
        <f ca="1">IF(B56=" "," ",HYPERLINK(CONCATENATE("#metadata!",ADDRESS(INDEX($X$2:$X$1001,MATCH(ROWS($V$2:V56),$V$2:$V$1001,0),0),1)),INDEX($AA$2:$AA$1001,MATCH(ROWS($V$2:V56),$V$2:$V$1001,0),0)))</f>
        <v xml:space="preserve"> </v>
      </c>
      <c r="B56" s="4" t="str">
        <f ca="1">IF(OR(INDEX($W$2:$W$1001,MATCH(ROWS($V$2:V56),$V$2:$V$1001,0),1)&gt;=100000,INDEX($AC$1005:$AS$1005,1,MATCH(COLUMNS($AC$1006:AC1006),$AC$1006:$AS$1006,0))&gt;=100000), " ",IF(INDEX($AC$2:$AS$1001,MATCH(ROWS($V$2:V56),$V$2:$V$1001,0),MATCH(COLUMNS($AC$1006:AC1006),$AC$1006:$AS$1006,0)), HYPERLINK("#",""), HYPERLINK(CONCATENATE("#metadata!", ADDRESS(INDEX($X$2:$X$1001,MATCH(ROWS($V$2:V56),$V$2:$V$1001,0),0), INDEX($AC$1004:$AS$1004,1,MATCH(COLUMNS($AC$1006:AC1006),$AC$1006:$AS$1006,0)))),"Fix")))</f>
        <v xml:space="preserve"> </v>
      </c>
      <c r="C56" s="4" t="str">
        <f ca="1">IF(OR(INDEX($W$2:$W$1001,MATCH(ROWS($V$2:V56),$V$2:$V$1001,0),1)&gt;=100000,INDEX($AC$1005:$AS$1005,1,MATCH(COLUMNS($AC$1006:AD1006),$AC$1006:$AS$1006,0))&gt;=100000), " ",IF(INDEX($AC$2:$AS$1001,MATCH(ROWS($V$2:V56),$V$2:$V$1001,0),MATCH(COLUMNS($AC$1006:AD1006),$AC$1006:$AS$1006,0)), HYPERLINK("#",""), HYPERLINK(CONCATENATE("#metadata!", ADDRESS(INDEX($X$2:$X$1001,MATCH(ROWS($V$2:V56),$V$2:$V$1001,0),0), INDEX($AC$1004:$AS$1004,1,MATCH(COLUMNS($AC$1006:AD1006),$AC$1006:$AS$1006,0)))),"Fix")))</f>
        <v xml:space="preserve"> </v>
      </c>
      <c r="D56" s="4" t="str">
        <f ca="1">IF(OR(INDEX($W$2:$W$1001,MATCH(ROWS($V$2:V56),$V$2:$V$1001,0),1)&gt;=100000,INDEX($AC$1005:$AS$1005,1,MATCH(COLUMNS($AC$1006:AE1006),$AC$1006:$AS$1006,0))&gt;=100000), " ",IF(INDEX($AC$2:$AS$1001,MATCH(ROWS($V$2:V56),$V$2:$V$1001,0),MATCH(COLUMNS($AC$1006:AE1006),$AC$1006:$AS$1006,0)), HYPERLINK("#",""), HYPERLINK(CONCATENATE("#metadata!", ADDRESS(INDEX($X$2:$X$1001,MATCH(ROWS($V$2:V56),$V$2:$V$1001,0),0), INDEX($AC$1004:$AS$1004,1,MATCH(COLUMNS($AC$1006:AE1006),$AC$1006:$AS$1006,0)))),"Fix")))</f>
        <v xml:space="preserve"> </v>
      </c>
      <c r="E56" s="4" t="str">
        <f ca="1">IF(OR(INDEX($W$2:$W$1001,MATCH(ROWS($V$2:V56),$V$2:$V$1001,0),1)&gt;=100000,INDEX($AC$1005:$AS$1005,1,MATCH(COLUMNS($AC$1006:AF1006),$AC$1006:$AS$1006,0))&gt;=100000), " ",IF(INDEX($AC$2:$AS$1001,MATCH(ROWS($V$2:V56),$V$2:$V$1001,0),MATCH(COLUMNS($AC$1006:AF1006),$AC$1006:$AS$1006,0)), HYPERLINK("#",""), HYPERLINK(CONCATENATE("#metadata!", ADDRESS(INDEX($X$2:$X$1001,MATCH(ROWS($V$2:V56),$V$2:$V$1001,0),0), INDEX($AC$1004:$AS$1004,1,MATCH(COLUMNS($AC$1006:AF1006),$AC$1006:$AS$1006,0)))),"Fix")))</f>
        <v xml:space="preserve"> </v>
      </c>
      <c r="F56" s="4" t="str">
        <f ca="1">IF(OR(INDEX($W$2:$W$1001,MATCH(ROWS($V$2:V56),$V$2:$V$1001,0),1)&gt;=100000,INDEX($AC$1005:$AS$1005,1,MATCH(COLUMNS($AC$1006:AG1006),$AC$1006:$AS$1006,0))&gt;=100000), " ",IF(INDEX($AC$2:$AS$1001,MATCH(ROWS($V$2:V56),$V$2:$V$1001,0),MATCH(COLUMNS($AC$1006:AG1006),$AC$1006:$AS$1006,0)), HYPERLINK("#",""), HYPERLINK(CONCATENATE("#metadata!", ADDRESS(INDEX($X$2:$X$1001,MATCH(ROWS($V$2:V56),$V$2:$V$1001,0),0), INDEX($AC$1004:$AS$1004,1,MATCH(COLUMNS($AC$1006:AG1006),$AC$1006:$AS$1006,0)))),"Fix")))</f>
        <v xml:space="preserve"> </v>
      </c>
      <c r="G56" s="4" t="str">
        <f ca="1">IF(OR(INDEX($W$2:$W$1001,MATCH(ROWS($V$2:V56),$V$2:$V$1001,0),1)&gt;=100000,INDEX($AC$1005:$AS$1005,1,MATCH(COLUMNS($AC$1006:AH1006),$AC$1006:$AS$1006,0))&gt;=100000), " ",IF(INDEX($AC$2:$AS$1001,MATCH(ROWS($V$2:V56),$V$2:$V$1001,0),MATCH(COLUMNS($AC$1006:AH1006),$AC$1006:$AS$1006,0)), HYPERLINK("#",""), HYPERLINK(CONCATENATE("#metadata!", ADDRESS(INDEX($X$2:$X$1001,MATCH(ROWS($V$2:V56),$V$2:$V$1001,0),0), INDEX($AC$1004:$AS$1004,1,MATCH(COLUMNS($AC$1006:AH1006),$AC$1006:$AS$1006,0)))),"Fix")))</f>
        <v xml:space="preserve"> </v>
      </c>
      <c r="H56" s="4" t="str">
        <f ca="1">IF(OR(INDEX($W$2:$W$1001,MATCH(ROWS($V$2:V56),$V$2:$V$1001,0),1)&gt;=100000,INDEX($AC$1005:$AS$1005,1,MATCH(COLUMNS($AC$1006:AI1006),$AC$1006:$AS$1006,0))&gt;=100000), " ",IF(INDEX($AC$2:$AS$1001,MATCH(ROWS($V$2:V56),$V$2:$V$1001,0),MATCH(COLUMNS($AC$1006:AI1006),$AC$1006:$AS$1006,0)), HYPERLINK("#",""), HYPERLINK(CONCATENATE("#metadata!", ADDRESS(INDEX($X$2:$X$1001,MATCH(ROWS($V$2:V56),$V$2:$V$1001,0),0), INDEX($AC$1004:$AS$1004,1,MATCH(COLUMNS($AC$1006:AI1006),$AC$1006:$AS$1006,0)))),"Fix")))</f>
        <v xml:space="preserve"> </v>
      </c>
      <c r="I56" s="4" t="str">
        <f ca="1">IF(OR(INDEX($W$2:$W$1001,MATCH(ROWS($V$2:V56),$V$2:$V$1001,0),1)&gt;=100000,INDEX($AC$1005:$AS$1005,1,MATCH(COLUMNS($AC$1006:AJ1006),$AC$1006:$AS$1006,0))&gt;=100000), " ",IF(INDEX($AC$2:$AS$1001,MATCH(ROWS($V$2:V56),$V$2:$V$1001,0),MATCH(COLUMNS($AC$1006:AJ1006),$AC$1006:$AS$1006,0)), HYPERLINK("#",""), HYPERLINK(CONCATENATE("#metadata!", ADDRESS(INDEX($X$2:$X$1001,MATCH(ROWS($V$2:V56),$V$2:$V$1001,0),0), INDEX($AC$1004:$AS$1004,1,MATCH(COLUMNS($AC$1006:AJ1006),$AC$1006:$AS$1006,0)))),"Fix")))</f>
        <v xml:space="preserve"> </v>
      </c>
      <c r="J56" s="4" t="str">
        <f ca="1">IF(OR(INDEX($W$2:$W$1001,MATCH(ROWS($V$2:V56),$V$2:$V$1001,0),1)&gt;=100000,INDEX($AC$1005:$AS$1005,1,MATCH(COLUMNS($AC$1006:AK1006),$AC$1006:$AS$1006,0))&gt;=100000), " ",IF(INDEX($AC$2:$AS$1001,MATCH(ROWS($V$2:V56),$V$2:$V$1001,0),MATCH(COLUMNS($AC$1006:AK1006),$AC$1006:$AS$1006,0)), HYPERLINK("#",""), HYPERLINK(CONCATENATE("#metadata!", ADDRESS(INDEX($X$2:$X$1001,MATCH(ROWS($V$2:V56),$V$2:$V$1001,0),0), INDEX($AC$1004:$AS$1004,1,MATCH(COLUMNS($AC$1006:AK1006),$AC$1006:$AS$1006,0)))),"Fix")))</f>
        <v xml:space="preserve"> </v>
      </c>
      <c r="K56" s="4" t="str">
        <f ca="1">IF(OR(INDEX($W$2:$W$1001,MATCH(ROWS($V$2:V56),$V$2:$V$1001,0),1)&gt;=100000,INDEX($AC$1005:$AS$1005,1,MATCH(COLUMNS($AC$1006:AL1006),$AC$1006:$AS$1006,0))&gt;=100000), " ",IF(INDEX($AC$2:$AS$1001,MATCH(ROWS($V$2:V56),$V$2:$V$1001,0),MATCH(COLUMNS($AC$1006:AL1006),$AC$1006:$AS$1006,0)), HYPERLINK("#",""), HYPERLINK(CONCATENATE("#metadata!", ADDRESS(INDEX($X$2:$X$1001,MATCH(ROWS($V$2:V56),$V$2:$V$1001,0),0), INDEX($AC$1004:$AS$1004,1,MATCH(COLUMNS($AC$1006:AL1006),$AC$1006:$AS$1006,0)))),"Fix")))</f>
        <v xml:space="preserve"> </v>
      </c>
      <c r="L56" s="4" t="str">
        <f ca="1">IF(OR(INDEX($W$2:$W$1001,MATCH(ROWS($V$2:V56),$V$2:$V$1001,0),1)&gt;=100000,INDEX($AC$1005:$AS$1005,1,MATCH(COLUMNS($AC$1006:AM1006),$AC$1006:$AS$1006,0))&gt;=100000), " ",IF(INDEX($AC$2:$AS$1001,MATCH(ROWS($V$2:V56),$V$2:$V$1001,0),MATCH(COLUMNS($AC$1006:AM1006),$AC$1006:$AS$1006,0)), HYPERLINK("#",""), HYPERLINK(CONCATENATE("#metadata!", ADDRESS(INDEX($X$2:$X$1001,MATCH(ROWS($V$2:V56),$V$2:$V$1001,0),0), INDEX($AC$1004:$AS$1004,1,MATCH(COLUMNS($AC$1006:AM1006),$AC$1006:$AS$1006,0)))),"Fix")))</f>
        <v xml:space="preserve"> </v>
      </c>
      <c r="M56" s="4" t="str">
        <f ca="1">IF(OR(INDEX($W$2:$W$1001,MATCH(ROWS($V$2:V56),$V$2:$V$1001,0),1)&gt;=100000,INDEX($AC$1005:$AS$1005,1,MATCH(COLUMNS($AC$1006:AN1006),$AC$1006:$AS$1006,0))&gt;=100000), " ",IF(INDEX($AC$2:$AS$1001,MATCH(ROWS($V$2:V56),$V$2:$V$1001,0),MATCH(COLUMNS($AC$1006:AN1006),$AC$1006:$AS$1006,0)), HYPERLINK("#",""), HYPERLINK(CONCATENATE("#metadata!", ADDRESS(INDEX($X$2:$X$1001,MATCH(ROWS($V$2:V56),$V$2:$V$1001,0),0), INDEX($AC$1004:$AS$1004,1,MATCH(COLUMNS($AC$1006:AN1006),$AC$1006:$AS$1006,0)))),"Fix")))</f>
        <v xml:space="preserve"> </v>
      </c>
      <c r="N56" s="4" t="str">
        <f ca="1">IF(OR(INDEX($W$2:$W$1001,MATCH(ROWS($V$2:V56),$V$2:$V$1001,0),1)&gt;=100000,INDEX($AC$1005:$AS$1005,1,MATCH(COLUMNS($AC$1006:AO1006),$AC$1006:$AS$1006,0))&gt;=100000), " ",IF(INDEX($AC$2:$AS$1001,MATCH(ROWS($V$2:V56),$V$2:$V$1001,0),MATCH(COLUMNS($AC$1006:AO1006),$AC$1006:$AS$1006,0)), HYPERLINK("#",""), HYPERLINK(CONCATENATE("#metadata!", ADDRESS(INDEX($X$2:$X$1001,MATCH(ROWS($V$2:V56),$V$2:$V$1001,0),0), INDEX($AC$1004:$AS$1004,1,MATCH(COLUMNS($AC$1006:AO1006),$AC$1006:$AS$1006,0)))),"Fix")))</f>
        <v xml:space="preserve"> </v>
      </c>
      <c r="O56" s="4" t="str">
        <f ca="1">IF(OR(INDEX($W$2:$W$1001,MATCH(ROWS($V$2:V56),$V$2:$V$1001,0),1)&gt;=100000,INDEX($AC$1005:$AS$1005,1,MATCH(COLUMNS($AC$1006:AP1006),$AC$1006:$AS$1006,0))&gt;=100000), " ",IF(INDEX($AC$2:$AS$1001,MATCH(ROWS($V$2:V56),$V$2:$V$1001,0),MATCH(COLUMNS($AC$1006:AP1006),$AC$1006:$AS$1006,0)), HYPERLINK("#",""), HYPERLINK(CONCATENATE("#metadata!", ADDRESS(INDEX($X$2:$X$1001,MATCH(ROWS($V$2:V56),$V$2:$V$1001,0),0), INDEX($AC$1004:$AS$1004,1,MATCH(COLUMNS($AC$1006:AP1006),$AC$1006:$AS$1006,0)))),"Fix")))</f>
        <v xml:space="preserve"> </v>
      </c>
      <c r="P56" s="4" t="str">
        <f ca="1">IF(OR(INDEX($W$2:$W$1001,MATCH(ROWS($V$2:V56),$V$2:$V$1001,0),1)&gt;=100000,INDEX($AC$1005:$AS$1005,1,MATCH(COLUMNS($AC$1006:AQ1006),$AC$1006:$AS$1006,0))&gt;=100000), " ",IF(INDEX($AC$2:$AS$1001,MATCH(ROWS($V$2:V56),$V$2:$V$1001,0),MATCH(COLUMNS($AC$1006:AQ1006),$AC$1006:$AS$1006,0)), HYPERLINK("#",""), HYPERLINK(CONCATENATE("#metadata!", ADDRESS(INDEX($X$2:$X$1001,MATCH(ROWS($V$2:V56),$V$2:$V$1001,0),0), INDEX($AC$1004:$AS$1004,1,MATCH(COLUMNS($AC$1006:AQ1006),$AC$1006:$AS$1006,0)))),"Fix")))</f>
        <v xml:space="preserve"> </v>
      </c>
      <c r="Q56" s="4" t="str">
        <f ca="1">IF(OR(INDEX($W$2:$W$1001,MATCH(ROWS($V$2:V56),$V$2:$V$1001,0),1)&gt;=100000,INDEX($AC$1005:$AS$1005,1,MATCH(COLUMNS($AC$1006:AR1006),$AC$1006:$AS$1006,0))&gt;=100000), " ",IF(INDEX($AC$2:$AS$1001,MATCH(ROWS($V$2:V56),$V$2:$V$1001,0),MATCH(COLUMNS($AC$1006:AR1006),$AC$1006:$AS$1006,0)), HYPERLINK("#",""), HYPERLINK(CONCATENATE("#metadata!", ADDRESS(INDEX($X$2:$X$1001,MATCH(ROWS($V$2:V56),$V$2:$V$1001,0),0), INDEX($AC$1004:$AS$1004,1,MATCH(COLUMNS($AC$1006:AR1006),$AC$1006:$AS$1006,0)))),"Fix")))</f>
        <v xml:space="preserve"> </v>
      </c>
      <c r="R56" s="4" t="str">
        <f ca="1">IF(OR(INDEX($W$2:$W$1001,MATCH(ROWS($V$2:V56),$V$2:$V$1001,0),1)&gt;=100000,INDEX($AC$1005:$AS$1005,1,MATCH(COLUMNS($AC$1006:AS1006),$AC$1006:$AS$1006,0))&gt;=100000), " ",IF(INDEX($AC$2:$AS$1001,MATCH(ROWS($V$2:V56),$V$2:$V$1001,0),MATCH(COLUMNS($AC$1006:AS1006),$AC$1006:$AS$1006,0)), HYPERLINK("#",""), HYPERLINK(CONCATENATE("#metadata!", ADDRESS(INDEX($X$2:$X$1001,MATCH(ROWS($V$2:V56),$V$2:$V$1001,0),0), INDEX($AC$1004:$AS$1004,1,MATCH(COLUMNS($AC$1006:AS1006),$AC$1006:$AS$1006,0)))),"Fix")))</f>
        <v xml:space="preserve"> </v>
      </c>
      <c r="V56">
        <v>55</v>
      </c>
      <c r="W56">
        <v>100056</v>
      </c>
      <c r="X56">
        <v>56</v>
      </c>
      <c r="Y56" t="b">
        <f t="shared" si="0"/>
        <v>1</v>
      </c>
      <c r="Z56" t="b">
        <f>COUNTBLANK(metadata!B56:R56)=COLUMNS(metadata!B56:R56)</f>
        <v>1</v>
      </c>
      <c r="AA56" t="str">
        <v/>
      </c>
      <c r="AC56" t="b">
        <f ca="1"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AD56" t="b">
        <f>IF(metadata!C56="",FALSE,ISNUMBER(VALUE(metadata!C56)))</f>
        <v>0</v>
      </c>
      <c r="AE56" t="b">
        <f>AND(IF(metadata!D56="",FALSE,TRUE),EXACT(metadata!D56,"years"))</f>
        <v>0</v>
      </c>
      <c r="AF56" t="b">
        <f>OR(AND(IF(metadata!E56="",FALSE,TRUE),OR(EXACT(metadata!E56,"not applicable"),EXACT(metadata!E56,"missing: not collected"),EXACT(metadata!E56,"missing: not provided"),EXACT(metadata!E56,"missing: restricted access"))),AND(IF(metadata!E56="",FALSE,ISNUMBER(VALUE(metadata!E56))),metadata!E56&gt;0))</f>
        <v>0</v>
      </c>
      <c r="AG56" t="b">
        <f>AND(IF(metadata!F56="",FALSE,TRUE),EXACT(metadata!F56,"Not applicable"))</f>
        <v>0</v>
      </c>
      <c r="AH56" t="b">
        <f>AND(IF(metadata!G56="",FALSE,TRUE),EXACT(metadata!G56,"urban biome"))</f>
        <v>0</v>
      </c>
      <c r="AI56" t="b">
        <f>AND(IF(metadata!H56="",FALSE,TRUE),EXACT(metadata!H56,"human-associated habitat"))</f>
        <v>0</v>
      </c>
      <c r="AJ56" t="b">
        <f>AND(IF(metadata!I56="",FALSE,TRUE),OR(EXACT(metadata!I56,"human-associated"),EXACT(metadata!I56,"human-skin"),EXACT(metadata!I56,"human-oral"),EXACT(metadata!I56,"human-gut"),EXACT(metadata!I56,"human-vaginal")))</f>
        <v>0</v>
      </c>
      <c r="AK56" t="b">
        <f>IF(metadata!J56="",FALSE,ISNUMBER(VALUE(metadata!J56)))</f>
        <v>0</v>
      </c>
      <c r="AL56" t="b">
        <f>AND(IF(metadata!K56="",FALSE,TRUE),EXACT(metadata!K56,"cm"))</f>
        <v>0</v>
      </c>
      <c r="AM56" t="b">
        <f>AND(IF(metadata!L56="",FALSE,TRUE),EXACT(metadata!L56,"human"))</f>
        <v>0</v>
      </c>
      <c r="AN56" t="b">
        <f>AND(IF(metadata!M56="",FALSE,TRUE),EXACT(metadata!M56,"Homo sapiens"))</f>
        <v>0</v>
      </c>
      <c r="AO56" t="b">
        <f>AND(IF(metadata!N56="",FALSE,TRUE),EXACT(metadata!N56,"9606"))</f>
        <v>0</v>
      </c>
      <c r="AP56" t="b">
        <f>IF(metadata!O56="",FALSE,TRUE)</f>
        <v>0</v>
      </c>
      <c r="AQ56" t="b">
        <f>IF(metadata!P56="",FALSE,TRUE)</f>
        <v>0</v>
      </c>
      <c r="AR56" t="b">
        <f>IF(metadata!Q56="",FALSE,ISNUMBER(VALUE(metadata!Q56)))</f>
        <v>0</v>
      </c>
      <c r="AS56" t="b">
        <f>AND(IF(metadata!R56="",FALSE,TRUE),EXACT(metadata!R56,"kg"))</f>
        <v>0</v>
      </c>
    </row>
    <row r="57" spans="1:45" x14ac:dyDescent="0.2">
      <c r="A57" s="5" t="str">
        <f ca="1">IF(B57=" "," ",HYPERLINK(CONCATENATE("#metadata!",ADDRESS(INDEX($X$2:$X$1001,MATCH(ROWS($V$2:V57),$V$2:$V$1001,0),0),1)),INDEX($AA$2:$AA$1001,MATCH(ROWS($V$2:V57),$V$2:$V$1001,0),0)))</f>
        <v xml:space="preserve"> </v>
      </c>
      <c r="B57" s="4" t="str">
        <f ca="1">IF(OR(INDEX($W$2:$W$1001,MATCH(ROWS($V$2:V57),$V$2:$V$1001,0),1)&gt;=100000,INDEX($AC$1005:$AS$1005,1,MATCH(COLUMNS($AC$1006:AC1006),$AC$1006:$AS$1006,0))&gt;=100000), " ",IF(INDEX($AC$2:$AS$1001,MATCH(ROWS($V$2:V57),$V$2:$V$1001,0),MATCH(COLUMNS($AC$1006:AC1006),$AC$1006:$AS$1006,0)), HYPERLINK("#",""), HYPERLINK(CONCATENATE("#metadata!", ADDRESS(INDEX($X$2:$X$1001,MATCH(ROWS($V$2:V57),$V$2:$V$1001,0),0), INDEX($AC$1004:$AS$1004,1,MATCH(COLUMNS($AC$1006:AC1006),$AC$1006:$AS$1006,0)))),"Fix")))</f>
        <v xml:space="preserve"> </v>
      </c>
      <c r="C57" s="4" t="str">
        <f ca="1">IF(OR(INDEX($W$2:$W$1001,MATCH(ROWS($V$2:V57),$V$2:$V$1001,0),1)&gt;=100000,INDEX($AC$1005:$AS$1005,1,MATCH(COLUMNS($AC$1006:AD1006),$AC$1006:$AS$1006,0))&gt;=100000), " ",IF(INDEX($AC$2:$AS$1001,MATCH(ROWS($V$2:V57),$V$2:$V$1001,0),MATCH(COLUMNS($AC$1006:AD1006),$AC$1006:$AS$1006,0)), HYPERLINK("#",""), HYPERLINK(CONCATENATE("#metadata!", ADDRESS(INDEX($X$2:$X$1001,MATCH(ROWS($V$2:V57),$V$2:$V$1001,0),0), INDEX($AC$1004:$AS$1004,1,MATCH(COLUMNS($AC$1006:AD1006),$AC$1006:$AS$1006,0)))),"Fix")))</f>
        <v xml:space="preserve"> </v>
      </c>
      <c r="D57" s="4" t="str">
        <f ca="1">IF(OR(INDEX($W$2:$W$1001,MATCH(ROWS($V$2:V57),$V$2:$V$1001,0),1)&gt;=100000,INDEX($AC$1005:$AS$1005,1,MATCH(COLUMNS($AC$1006:AE1006),$AC$1006:$AS$1006,0))&gt;=100000), " ",IF(INDEX($AC$2:$AS$1001,MATCH(ROWS($V$2:V57),$V$2:$V$1001,0),MATCH(COLUMNS($AC$1006:AE1006),$AC$1006:$AS$1006,0)), HYPERLINK("#",""), HYPERLINK(CONCATENATE("#metadata!", ADDRESS(INDEX($X$2:$X$1001,MATCH(ROWS($V$2:V57),$V$2:$V$1001,0),0), INDEX($AC$1004:$AS$1004,1,MATCH(COLUMNS($AC$1006:AE1006),$AC$1006:$AS$1006,0)))),"Fix")))</f>
        <v xml:space="preserve"> </v>
      </c>
      <c r="E57" s="4" t="str">
        <f ca="1">IF(OR(INDEX($W$2:$W$1001,MATCH(ROWS($V$2:V57),$V$2:$V$1001,0),1)&gt;=100000,INDEX($AC$1005:$AS$1005,1,MATCH(COLUMNS($AC$1006:AF1006),$AC$1006:$AS$1006,0))&gt;=100000), " ",IF(INDEX($AC$2:$AS$1001,MATCH(ROWS($V$2:V57),$V$2:$V$1001,0),MATCH(COLUMNS($AC$1006:AF1006),$AC$1006:$AS$1006,0)), HYPERLINK("#",""), HYPERLINK(CONCATENATE("#metadata!", ADDRESS(INDEX($X$2:$X$1001,MATCH(ROWS($V$2:V57),$V$2:$V$1001,0),0), INDEX($AC$1004:$AS$1004,1,MATCH(COLUMNS($AC$1006:AF1006),$AC$1006:$AS$1006,0)))),"Fix")))</f>
        <v xml:space="preserve"> </v>
      </c>
      <c r="F57" s="4" t="str">
        <f ca="1">IF(OR(INDEX($W$2:$W$1001,MATCH(ROWS($V$2:V57),$V$2:$V$1001,0),1)&gt;=100000,INDEX($AC$1005:$AS$1005,1,MATCH(COLUMNS($AC$1006:AG1006),$AC$1006:$AS$1006,0))&gt;=100000), " ",IF(INDEX($AC$2:$AS$1001,MATCH(ROWS($V$2:V57),$V$2:$V$1001,0),MATCH(COLUMNS($AC$1006:AG1006),$AC$1006:$AS$1006,0)), HYPERLINK("#",""), HYPERLINK(CONCATENATE("#metadata!", ADDRESS(INDEX($X$2:$X$1001,MATCH(ROWS($V$2:V57),$V$2:$V$1001,0),0), INDEX($AC$1004:$AS$1004,1,MATCH(COLUMNS($AC$1006:AG1006),$AC$1006:$AS$1006,0)))),"Fix")))</f>
        <v xml:space="preserve"> </v>
      </c>
      <c r="G57" s="4" t="str">
        <f ca="1">IF(OR(INDEX($W$2:$W$1001,MATCH(ROWS($V$2:V57),$V$2:$V$1001,0),1)&gt;=100000,INDEX($AC$1005:$AS$1005,1,MATCH(COLUMNS($AC$1006:AH1006),$AC$1006:$AS$1006,0))&gt;=100000), " ",IF(INDEX($AC$2:$AS$1001,MATCH(ROWS($V$2:V57),$V$2:$V$1001,0),MATCH(COLUMNS($AC$1006:AH1006),$AC$1006:$AS$1006,0)), HYPERLINK("#",""), HYPERLINK(CONCATENATE("#metadata!", ADDRESS(INDEX($X$2:$X$1001,MATCH(ROWS($V$2:V57),$V$2:$V$1001,0),0), INDEX($AC$1004:$AS$1004,1,MATCH(COLUMNS($AC$1006:AH1006),$AC$1006:$AS$1006,0)))),"Fix")))</f>
        <v xml:space="preserve"> </v>
      </c>
      <c r="H57" s="4" t="str">
        <f ca="1">IF(OR(INDEX($W$2:$W$1001,MATCH(ROWS($V$2:V57),$V$2:$V$1001,0),1)&gt;=100000,INDEX($AC$1005:$AS$1005,1,MATCH(COLUMNS($AC$1006:AI1006),$AC$1006:$AS$1006,0))&gt;=100000), " ",IF(INDEX($AC$2:$AS$1001,MATCH(ROWS($V$2:V57),$V$2:$V$1001,0),MATCH(COLUMNS($AC$1006:AI1006),$AC$1006:$AS$1006,0)), HYPERLINK("#",""), HYPERLINK(CONCATENATE("#metadata!", ADDRESS(INDEX($X$2:$X$1001,MATCH(ROWS($V$2:V57),$V$2:$V$1001,0),0), INDEX($AC$1004:$AS$1004,1,MATCH(COLUMNS($AC$1006:AI1006),$AC$1006:$AS$1006,0)))),"Fix")))</f>
        <v xml:space="preserve"> </v>
      </c>
      <c r="I57" s="4" t="str">
        <f ca="1">IF(OR(INDEX($W$2:$W$1001,MATCH(ROWS($V$2:V57),$V$2:$V$1001,0),1)&gt;=100000,INDEX($AC$1005:$AS$1005,1,MATCH(COLUMNS($AC$1006:AJ1006),$AC$1006:$AS$1006,0))&gt;=100000), " ",IF(INDEX($AC$2:$AS$1001,MATCH(ROWS($V$2:V57),$V$2:$V$1001,0),MATCH(COLUMNS($AC$1006:AJ1006),$AC$1006:$AS$1006,0)), HYPERLINK("#",""), HYPERLINK(CONCATENATE("#metadata!", ADDRESS(INDEX($X$2:$X$1001,MATCH(ROWS($V$2:V57),$V$2:$V$1001,0),0), INDEX($AC$1004:$AS$1004,1,MATCH(COLUMNS($AC$1006:AJ1006),$AC$1006:$AS$1006,0)))),"Fix")))</f>
        <v xml:space="preserve"> </v>
      </c>
      <c r="J57" s="4" t="str">
        <f ca="1">IF(OR(INDEX($W$2:$W$1001,MATCH(ROWS($V$2:V57),$V$2:$V$1001,0),1)&gt;=100000,INDEX($AC$1005:$AS$1005,1,MATCH(COLUMNS($AC$1006:AK1006),$AC$1006:$AS$1006,0))&gt;=100000), " ",IF(INDEX($AC$2:$AS$1001,MATCH(ROWS($V$2:V57),$V$2:$V$1001,0),MATCH(COLUMNS($AC$1006:AK1006),$AC$1006:$AS$1006,0)), HYPERLINK("#",""), HYPERLINK(CONCATENATE("#metadata!", ADDRESS(INDEX($X$2:$X$1001,MATCH(ROWS($V$2:V57),$V$2:$V$1001,0),0), INDEX($AC$1004:$AS$1004,1,MATCH(COLUMNS($AC$1006:AK1006),$AC$1006:$AS$1006,0)))),"Fix")))</f>
        <v xml:space="preserve"> </v>
      </c>
      <c r="K57" s="4" t="str">
        <f ca="1">IF(OR(INDEX($W$2:$W$1001,MATCH(ROWS($V$2:V57),$V$2:$V$1001,0),1)&gt;=100000,INDEX($AC$1005:$AS$1005,1,MATCH(COLUMNS($AC$1006:AL1006),$AC$1006:$AS$1006,0))&gt;=100000), " ",IF(INDEX($AC$2:$AS$1001,MATCH(ROWS($V$2:V57),$V$2:$V$1001,0),MATCH(COLUMNS($AC$1006:AL1006),$AC$1006:$AS$1006,0)), HYPERLINK("#",""), HYPERLINK(CONCATENATE("#metadata!", ADDRESS(INDEX($X$2:$X$1001,MATCH(ROWS($V$2:V57),$V$2:$V$1001,0),0), INDEX($AC$1004:$AS$1004,1,MATCH(COLUMNS($AC$1006:AL1006),$AC$1006:$AS$1006,0)))),"Fix")))</f>
        <v xml:space="preserve"> </v>
      </c>
      <c r="L57" s="4" t="str">
        <f ca="1">IF(OR(INDEX($W$2:$W$1001,MATCH(ROWS($V$2:V57),$V$2:$V$1001,0),1)&gt;=100000,INDEX($AC$1005:$AS$1005,1,MATCH(COLUMNS($AC$1006:AM1006),$AC$1006:$AS$1006,0))&gt;=100000), " ",IF(INDEX($AC$2:$AS$1001,MATCH(ROWS($V$2:V57),$V$2:$V$1001,0),MATCH(COLUMNS($AC$1006:AM1006),$AC$1006:$AS$1006,0)), HYPERLINK("#",""), HYPERLINK(CONCATENATE("#metadata!", ADDRESS(INDEX($X$2:$X$1001,MATCH(ROWS($V$2:V57),$V$2:$V$1001,0),0), INDEX($AC$1004:$AS$1004,1,MATCH(COLUMNS($AC$1006:AM1006),$AC$1006:$AS$1006,0)))),"Fix")))</f>
        <v xml:space="preserve"> </v>
      </c>
      <c r="M57" s="4" t="str">
        <f ca="1">IF(OR(INDEX($W$2:$W$1001,MATCH(ROWS($V$2:V57),$V$2:$V$1001,0),1)&gt;=100000,INDEX($AC$1005:$AS$1005,1,MATCH(COLUMNS($AC$1006:AN1006),$AC$1006:$AS$1006,0))&gt;=100000), " ",IF(INDEX($AC$2:$AS$1001,MATCH(ROWS($V$2:V57),$V$2:$V$1001,0),MATCH(COLUMNS($AC$1006:AN1006),$AC$1006:$AS$1006,0)), HYPERLINK("#",""), HYPERLINK(CONCATENATE("#metadata!", ADDRESS(INDEX($X$2:$X$1001,MATCH(ROWS($V$2:V57),$V$2:$V$1001,0),0), INDEX($AC$1004:$AS$1004,1,MATCH(COLUMNS($AC$1006:AN1006),$AC$1006:$AS$1006,0)))),"Fix")))</f>
        <v xml:space="preserve"> </v>
      </c>
      <c r="N57" s="4" t="str">
        <f ca="1">IF(OR(INDEX($W$2:$W$1001,MATCH(ROWS($V$2:V57),$V$2:$V$1001,0),1)&gt;=100000,INDEX($AC$1005:$AS$1005,1,MATCH(COLUMNS($AC$1006:AO1006),$AC$1006:$AS$1006,0))&gt;=100000), " ",IF(INDEX($AC$2:$AS$1001,MATCH(ROWS($V$2:V57),$V$2:$V$1001,0),MATCH(COLUMNS($AC$1006:AO1006),$AC$1006:$AS$1006,0)), HYPERLINK("#",""), HYPERLINK(CONCATENATE("#metadata!", ADDRESS(INDEX($X$2:$X$1001,MATCH(ROWS($V$2:V57),$V$2:$V$1001,0),0), INDEX($AC$1004:$AS$1004,1,MATCH(COLUMNS($AC$1006:AO1006),$AC$1006:$AS$1006,0)))),"Fix")))</f>
        <v xml:space="preserve"> </v>
      </c>
      <c r="O57" s="4" t="str">
        <f ca="1">IF(OR(INDEX($W$2:$W$1001,MATCH(ROWS($V$2:V57),$V$2:$V$1001,0),1)&gt;=100000,INDEX($AC$1005:$AS$1005,1,MATCH(COLUMNS($AC$1006:AP1006),$AC$1006:$AS$1006,0))&gt;=100000), " ",IF(INDEX($AC$2:$AS$1001,MATCH(ROWS($V$2:V57),$V$2:$V$1001,0),MATCH(COLUMNS($AC$1006:AP1006),$AC$1006:$AS$1006,0)), HYPERLINK("#",""), HYPERLINK(CONCATENATE("#metadata!", ADDRESS(INDEX($X$2:$X$1001,MATCH(ROWS($V$2:V57),$V$2:$V$1001,0),0), INDEX($AC$1004:$AS$1004,1,MATCH(COLUMNS($AC$1006:AP1006),$AC$1006:$AS$1006,0)))),"Fix")))</f>
        <v xml:space="preserve"> </v>
      </c>
      <c r="P57" s="4" t="str">
        <f ca="1">IF(OR(INDEX($W$2:$W$1001,MATCH(ROWS($V$2:V57),$V$2:$V$1001,0),1)&gt;=100000,INDEX($AC$1005:$AS$1005,1,MATCH(COLUMNS($AC$1006:AQ1006),$AC$1006:$AS$1006,0))&gt;=100000), " ",IF(INDEX($AC$2:$AS$1001,MATCH(ROWS($V$2:V57),$V$2:$V$1001,0),MATCH(COLUMNS($AC$1006:AQ1006),$AC$1006:$AS$1006,0)), HYPERLINK("#",""), HYPERLINK(CONCATENATE("#metadata!", ADDRESS(INDEX($X$2:$X$1001,MATCH(ROWS($V$2:V57),$V$2:$V$1001,0),0), INDEX($AC$1004:$AS$1004,1,MATCH(COLUMNS($AC$1006:AQ1006),$AC$1006:$AS$1006,0)))),"Fix")))</f>
        <v xml:space="preserve"> </v>
      </c>
      <c r="Q57" s="4" t="str">
        <f ca="1">IF(OR(INDEX($W$2:$W$1001,MATCH(ROWS($V$2:V57),$V$2:$V$1001,0),1)&gt;=100000,INDEX($AC$1005:$AS$1005,1,MATCH(COLUMNS($AC$1006:AR1006),$AC$1006:$AS$1006,0))&gt;=100000), " ",IF(INDEX($AC$2:$AS$1001,MATCH(ROWS($V$2:V57),$V$2:$V$1001,0),MATCH(COLUMNS($AC$1006:AR1006),$AC$1006:$AS$1006,0)), HYPERLINK("#",""), HYPERLINK(CONCATENATE("#metadata!", ADDRESS(INDEX($X$2:$X$1001,MATCH(ROWS($V$2:V57),$V$2:$V$1001,0),0), INDEX($AC$1004:$AS$1004,1,MATCH(COLUMNS($AC$1006:AR1006),$AC$1006:$AS$1006,0)))),"Fix")))</f>
        <v xml:space="preserve"> </v>
      </c>
      <c r="R57" s="4" t="str">
        <f ca="1">IF(OR(INDEX($W$2:$W$1001,MATCH(ROWS($V$2:V57),$V$2:$V$1001,0),1)&gt;=100000,INDEX($AC$1005:$AS$1005,1,MATCH(COLUMNS($AC$1006:AS1006),$AC$1006:$AS$1006,0))&gt;=100000), " ",IF(INDEX($AC$2:$AS$1001,MATCH(ROWS($V$2:V57),$V$2:$V$1001,0),MATCH(COLUMNS($AC$1006:AS1006),$AC$1006:$AS$1006,0)), HYPERLINK("#",""), HYPERLINK(CONCATENATE("#metadata!", ADDRESS(INDEX($X$2:$X$1001,MATCH(ROWS($V$2:V57),$V$2:$V$1001,0),0), INDEX($AC$1004:$AS$1004,1,MATCH(COLUMNS($AC$1006:AS1006),$AC$1006:$AS$1006,0)))),"Fix")))</f>
        <v xml:space="preserve"> </v>
      </c>
      <c r="V57">
        <v>56</v>
      </c>
      <c r="W57">
        <v>100057</v>
      </c>
      <c r="X57">
        <v>57</v>
      </c>
      <c r="Y57" t="b">
        <f t="shared" si="0"/>
        <v>1</v>
      </c>
      <c r="Z57" t="b">
        <f>COUNTBLANK(metadata!B57:R57)=COLUMNS(metadata!B57:R57)</f>
        <v>1</v>
      </c>
      <c r="AA57" t="str">
        <v/>
      </c>
      <c r="AC57" t="b">
        <f ca="1"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AD57" t="b">
        <f>IF(metadata!C57="",FALSE,ISNUMBER(VALUE(metadata!C57)))</f>
        <v>0</v>
      </c>
      <c r="AE57" t="b">
        <f>AND(IF(metadata!D57="",FALSE,TRUE),EXACT(metadata!D57,"years"))</f>
        <v>0</v>
      </c>
      <c r="AF57" t="b">
        <f>OR(AND(IF(metadata!E57="",FALSE,TRUE),OR(EXACT(metadata!E57,"not applicable"),EXACT(metadata!E57,"missing: not collected"),EXACT(metadata!E57,"missing: not provided"),EXACT(metadata!E57,"missing: restricted access"))),AND(IF(metadata!E57="",FALSE,ISNUMBER(VALUE(metadata!E57))),metadata!E57&gt;0))</f>
        <v>0</v>
      </c>
      <c r="AG57" t="b">
        <f>AND(IF(metadata!F57="",FALSE,TRUE),EXACT(metadata!F57,"Not applicable"))</f>
        <v>0</v>
      </c>
      <c r="AH57" t="b">
        <f>AND(IF(metadata!G57="",FALSE,TRUE),EXACT(metadata!G57,"urban biome"))</f>
        <v>0</v>
      </c>
      <c r="AI57" t="b">
        <f>AND(IF(metadata!H57="",FALSE,TRUE),EXACT(metadata!H57,"human-associated habitat"))</f>
        <v>0</v>
      </c>
      <c r="AJ57" t="b">
        <f>AND(IF(metadata!I57="",FALSE,TRUE),OR(EXACT(metadata!I57,"human-associated"),EXACT(metadata!I57,"human-skin"),EXACT(metadata!I57,"human-oral"),EXACT(metadata!I57,"human-gut"),EXACT(metadata!I57,"human-vaginal")))</f>
        <v>0</v>
      </c>
      <c r="AK57" t="b">
        <f>IF(metadata!J57="",FALSE,ISNUMBER(VALUE(metadata!J57)))</f>
        <v>0</v>
      </c>
      <c r="AL57" t="b">
        <f>AND(IF(metadata!K57="",FALSE,TRUE),EXACT(metadata!K57,"cm"))</f>
        <v>0</v>
      </c>
      <c r="AM57" t="b">
        <f>AND(IF(metadata!L57="",FALSE,TRUE),EXACT(metadata!L57,"human"))</f>
        <v>0</v>
      </c>
      <c r="AN57" t="b">
        <f>AND(IF(metadata!M57="",FALSE,TRUE),EXACT(metadata!M57,"Homo sapiens"))</f>
        <v>0</v>
      </c>
      <c r="AO57" t="b">
        <f>AND(IF(metadata!N57="",FALSE,TRUE),EXACT(metadata!N57,"9606"))</f>
        <v>0</v>
      </c>
      <c r="AP57" t="b">
        <f>IF(metadata!O57="",FALSE,TRUE)</f>
        <v>0</v>
      </c>
      <c r="AQ57" t="b">
        <f>IF(metadata!P57="",FALSE,TRUE)</f>
        <v>0</v>
      </c>
      <c r="AR57" t="b">
        <f>IF(metadata!Q57="",FALSE,ISNUMBER(VALUE(metadata!Q57)))</f>
        <v>0</v>
      </c>
      <c r="AS57" t="b">
        <f>AND(IF(metadata!R57="",FALSE,TRUE),EXACT(metadata!R57,"kg"))</f>
        <v>0</v>
      </c>
    </row>
    <row r="58" spans="1:45" x14ac:dyDescent="0.2">
      <c r="A58" s="5" t="str">
        <f ca="1">IF(B58=" "," ",HYPERLINK(CONCATENATE("#metadata!",ADDRESS(INDEX($X$2:$X$1001,MATCH(ROWS($V$2:V58),$V$2:$V$1001,0),0),1)),INDEX($AA$2:$AA$1001,MATCH(ROWS($V$2:V58),$V$2:$V$1001,0),0)))</f>
        <v xml:space="preserve"> </v>
      </c>
      <c r="B58" s="4" t="str">
        <f ca="1">IF(OR(INDEX($W$2:$W$1001,MATCH(ROWS($V$2:V58),$V$2:$V$1001,0),1)&gt;=100000,INDEX($AC$1005:$AS$1005,1,MATCH(COLUMNS($AC$1006:AC1006),$AC$1006:$AS$1006,0))&gt;=100000), " ",IF(INDEX($AC$2:$AS$1001,MATCH(ROWS($V$2:V58),$V$2:$V$1001,0),MATCH(COLUMNS($AC$1006:AC1006),$AC$1006:$AS$1006,0)), HYPERLINK("#",""), HYPERLINK(CONCATENATE("#metadata!", ADDRESS(INDEX($X$2:$X$1001,MATCH(ROWS($V$2:V58),$V$2:$V$1001,0),0), INDEX($AC$1004:$AS$1004,1,MATCH(COLUMNS($AC$1006:AC1006),$AC$1006:$AS$1006,0)))),"Fix")))</f>
        <v xml:space="preserve"> </v>
      </c>
      <c r="C58" s="4" t="str">
        <f ca="1">IF(OR(INDEX($W$2:$W$1001,MATCH(ROWS($V$2:V58),$V$2:$V$1001,0),1)&gt;=100000,INDEX($AC$1005:$AS$1005,1,MATCH(COLUMNS($AC$1006:AD1006),$AC$1006:$AS$1006,0))&gt;=100000), " ",IF(INDEX($AC$2:$AS$1001,MATCH(ROWS($V$2:V58),$V$2:$V$1001,0),MATCH(COLUMNS($AC$1006:AD1006),$AC$1006:$AS$1006,0)), HYPERLINK("#",""), HYPERLINK(CONCATENATE("#metadata!", ADDRESS(INDEX($X$2:$X$1001,MATCH(ROWS($V$2:V58),$V$2:$V$1001,0),0), INDEX($AC$1004:$AS$1004,1,MATCH(COLUMNS($AC$1006:AD1006),$AC$1006:$AS$1006,0)))),"Fix")))</f>
        <v xml:space="preserve"> </v>
      </c>
      <c r="D58" s="4" t="str">
        <f ca="1">IF(OR(INDEX($W$2:$W$1001,MATCH(ROWS($V$2:V58),$V$2:$V$1001,0),1)&gt;=100000,INDEX($AC$1005:$AS$1005,1,MATCH(COLUMNS($AC$1006:AE1006),$AC$1006:$AS$1006,0))&gt;=100000), " ",IF(INDEX($AC$2:$AS$1001,MATCH(ROWS($V$2:V58),$V$2:$V$1001,0),MATCH(COLUMNS($AC$1006:AE1006),$AC$1006:$AS$1006,0)), HYPERLINK("#",""), HYPERLINK(CONCATENATE("#metadata!", ADDRESS(INDEX($X$2:$X$1001,MATCH(ROWS($V$2:V58),$V$2:$V$1001,0),0), INDEX($AC$1004:$AS$1004,1,MATCH(COLUMNS($AC$1006:AE1006),$AC$1006:$AS$1006,0)))),"Fix")))</f>
        <v xml:space="preserve"> </v>
      </c>
      <c r="E58" s="4" t="str">
        <f ca="1">IF(OR(INDEX($W$2:$W$1001,MATCH(ROWS($V$2:V58),$V$2:$V$1001,0),1)&gt;=100000,INDEX($AC$1005:$AS$1005,1,MATCH(COLUMNS($AC$1006:AF1006),$AC$1006:$AS$1006,0))&gt;=100000), " ",IF(INDEX($AC$2:$AS$1001,MATCH(ROWS($V$2:V58),$V$2:$V$1001,0),MATCH(COLUMNS($AC$1006:AF1006),$AC$1006:$AS$1006,0)), HYPERLINK("#",""), HYPERLINK(CONCATENATE("#metadata!", ADDRESS(INDEX($X$2:$X$1001,MATCH(ROWS($V$2:V58),$V$2:$V$1001,0),0), INDEX($AC$1004:$AS$1004,1,MATCH(COLUMNS($AC$1006:AF1006),$AC$1006:$AS$1006,0)))),"Fix")))</f>
        <v xml:space="preserve"> </v>
      </c>
      <c r="F58" s="4" t="str">
        <f ca="1">IF(OR(INDEX($W$2:$W$1001,MATCH(ROWS($V$2:V58),$V$2:$V$1001,0),1)&gt;=100000,INDEX($AC$1005:$AS$1005,1,MATCH(COLUMNS($AC$1006:AG1006),$AC$1006:$AS$1006,0))&gt;=100000), " ",IF(INDEX($AC$2:$AS$1001,MATCH(ROWS($V$2:V58),$V$2:$V$1001,0),MATCH(COLUMNS($AC$1006:AG1006),$AC$1006:$AS$1006,0)), HYPERLINK("#",""), HYPERLINK(CONCATENATE("#metadata!", ADDRESS(INDEX($X$2:$X$1001,MATCH(ROWS($V$2:V58),$V$2:$V$1001,0),0), INDEX($AC$1004:$AS$1004,1,MATCH(COLUMNS($AC$1006:AG1006),$AC$1006:$AS$1006,0)))),"Fix")))</f>
        <v xml:space="preserve"> </v>
      </c>
      <c r="G58" s="4" t="str">
        <f ca="1">IF(OR(INDEX($W$2:$W$1001,MATCH(ROWS($V$2:V58),$V$2:$V$1001,0),1)&gt;=100000,INDEX($AC$1005:$AS$1005,1,MATCH(COLUMNS($AC$1006:AH1006),$AC$1006:$AS$1006,0))&gt;=100000), " ",IF(INDEX($AC$2:$AS$1001,MATCH(ROWS($V$2:V58),$V$2:$V$1001,0),MATCH(COLUMNS($AC$1006:AH1006),$AC$1006:$AS$1006,0)), HYPERLINK("#",""), HYPERLINK(CONCATENATE("#metadata!", ADDRESS(INDEX($X$2:$X$1001,MATCH(ROWS($V$2:V58),$V$2:$V$1001,0),0), INDEX($AC$1004:$AS$1004,1,MATCH(COLUMNS($AC$1006:AH1006),$AC$1006:$AS$1006,0)))),"Fix")))</f>
        <v xml:space="preserve"> </v>
      </c>
      <c r="H58" s="4" t="str">
        <f ca="1">IF(OR(INDEX($W$2:$W$1001,MATCH(ROWS($V$2:V58),$V$2:$V$1001,0),1)&gt;=100000,INDEX($AC$1005:$AS$1005,1,MATCH(COLUMNS($AC$1006:AI1006),$AC$1006:$AS$1006,0))&gt;=100000), " ",IF(INDEX($AC$2:$AS$1001,MATCH(ROWS($V$2:V58),$V$2:$V$1001,0),MATCH(COLUMNS($AC$1006:AI1006),$AC$1006:$AS$1006,0)), HYPERLINK("#",""), HYPERLINK(CONCATENATE("#metadata!", ADDRESS(INDEX($X$2:$X$1001,MATCH(ROWS($V$2:V58),$V$2:$V$1001,0),0), INDEX($AC$1004:$AS$1004,1,MATCH(COLUMNS($AC$1006:AI1006),$AC$1006:$AS$1006,0)))),"Fix")))</f>
        <v xml:space="preserve"> </v>
      </c>
      <c r="I58" s="4" t="str">
        <f ca="1">IF(OR(INDEX($W$2:$W$1001,MATCH(ROWS($V$2:V58),$V$2:$V$1001,0),1)&gt;=100000,INDEX($AC$1005:$AS$1005,1,MATCH(COLUMNS($AC$1006:AJ1006),$AC$1006:$AS$1006,0))&gt;=100000), " ",IF(INDEX($AC$2:$AS$1001,MATCH(ROWS($V$2:V58),$V$2:$V$1001,0),MATCH(COLUMNS($AC$1006:AJ1006),$AC$1006:$AS$1006,0)), HYPERLINK("#",""), HYPERLINK(CONCATENATE("#metadata!", ADDRESS(INDEX($X$2:$X$1001,MATCH(ROWS($V$2:V58),$V$2:$V$1001,0),0), INDEX($AC$1004:$AS$1004,1,MATCH(COLUMNS($AC$1006:AJ1006),$AC$1006:$AS$1006,0)))),"Fix")))</f>
        <v xml:space="preserve"> </v>
      </c>
      <c r="J58" s="4" t="str">
        <f ca="1">IF(OR(INDEX($W$2:$W$1001,MATCH(ROWS($V$2:V58),$V$2:$V$1001,0),1)&gt;=100000,INDEX($AC$1005:$AS$1005,1,MATCH(COLUMNS($AC$1006:AK1006),$AC$1006:$AS$1006,0))&gt;=100000), " ",IF(INDEX($AC$2:$AS$1001,MATCH(ROWS($V$2:V58),$V$2:$V$1001,0),MATCH(COLUMNS($AC$1006:AK1006),$AC$1006:$AS$1006,0)), HYPERLINK("#",""), HYPERLINK(CONCATENATE("#metadata!", ADDRESS(INDEX($X$2:$X$1001,MATCH(ROWS($V$2:V58),$V$2:$V$1001,0),0), INDEX($AC$1004:$AS$1004,1,MATCH(COLUMNS($AC$1006:AK1006),$AC$1006:$AS$1006,0)))),"Fix")))</f>
        <v xml:space="preserve"> </v>
      </c>
      <c r="K58" s="4" t="str">
        <f ca="1">IF(OR(INDEX($W$2:$W$1001,MATCH(ROWS($V$2:V58),$V$2:$V$1001,0),1)&gt;=100000,INDEX($AC$1005:$AS$1005,1,MATCH(COLUMNS($AC$1006:AL1006),$AC$1006:$AS$1006,0))&gt;=100000), " ",IF(INDEX($AC$2:$AS$1001,MATCH(ROWS($V$2:V58),$V$2:$V$1001,0),MATCH(COLUMNS($AC$1006:AL1006),$AC$1006:$AS$1006,0)), HYPERLINK("#",""), HYPERLINK(CONCATENATE("#metadata!", ADDRESS(INDEX($X$2:$X$1001,MATCH(ROWS($V$2:V58),$V$2:$V$1001,0),0), INDEX($AC$1004:$AS$1004,1,MATCH(COLUMNS($AC$1006:AL1006),$AC$1006:$AS$1006,0)))),"Fix")))</f>
        <v xml:space="preserve"> </v>
      </c>
      <c r="L58" s="4" t="str">
        <f ca="1">IF(OR(INDEX($W$2:$W$1001,MATCH(ROWS($V$2:V58),$V$2:$V$1001,0),1)&gt;=100000,INDEX($AC$1005:$AS$1005,1,MATCH(COLUMNS($AC$1006:AM1006),$AC$1006:$AS$1006,0))&gt;=100000), " ",IF(INDEX($AC$2:$AS$1001,MATCH(ROWS($V$2:V58),$V$2:$V$1001,0),MATCH(COLUMNS($AC$1006:AM1006),$AC$1006:$AS$1006,0)), HYPERLINK("#",""), HYPERLINK(CONCATENATE("#metadata!", ADDRESS(INDEX($X$2:$X$1001,MATCH(ROWS($V$2:V58),$V$2:$V$1001,0),0), INDEX($AC$1004:$AS$1004,1,MATCH(COLUMNS($AC$1006:AM1006),$AC$1006:$AS$1006,0)))),"Fix")))</f>
        <v xml:space="preserve"> </v>
      </c>
      <c r="M58" s="4" t="str">
        <f ca="1">IF(OR(INDEX($W$2:$W$1001,MATCH(ROWS($V$2:V58),$V$2:$V$1001,0),1)&gt;=100000,INDEX($AC$1005:$AS$1005,1,MATCH(COLUMNS($AC$1006:AN1006),$AC$1006:$AS$1006,0))&gt;=100000), " ",IF(INDEX($AC$2:$AS$1001,MATCH(ROWS($V$2:V58),$V$2:$V$1001,0),MATCH(COLUMNS($AC$1006:AN1006),$AC$1006:$AS$1006,0)), HYPERLINK("#",""), HYPERLINK(CONCATENATE("#metadata!", ADDRESS(INDEX($X$2:$X$1001,MATCH(ROWS($V$2:V58),$V$2:$V$1001,0),0), INDEX($AC$1004:$AS$1004,1,MATCH(COLUMNS($AC$1006:AN1006),$AC$1006:$AS$1006,0)))),"Fix")))</f>
        <v xml:space="preserve"> </v>
      </c>
      <c r="N58" s="4" t="str">
        <f ca="1">IF(OR(INDEX($W$2:$W$1001,MATCH(ROWS($V$2:V58),$V$2:$V$1001,0),1)&gt;=100000,INDEX($AC$1005:$AS$1005,1,MATCH(COLUMNS($AC$1006:AO1006),$AC$1006:$AS$1006,0))&gt;=100000), " ",IF(INDEX($AC$2:$AS$1001,MATCH(ROWS($V$2:V58),$V$2:$V$1001,0),MATCH(COLUMNS($AC$1006:AO1006),$AC$1006:$AS$1006,0)), HYPERLINK("#",""), HYPERLINK(CONCATENATE("#metadata!", ADDRESS(INDEX($X$2:$X$1001,MATCH(ROWS($V$2:V58),$V$2:$V$1001,0),0), INDEX($AC$1004:$AS$1004,1,MATCH(COLUMNS($AC$1006:AO1006),$AC$1006:$AS$1006,0)))),"Fix")))</f>
        <v xml:space="preserve"> </v>
      </c>
      <c r="O58" s="4" t="str">
        <f ca="1">IF(OR(INDEX($W$2:$W$1001,MATCH(ROWS($V$2:V58),$V$2:$V$1001,0),1)&gt;=100000,INDEX($AC$1005:$AS$1005,1,MATCH(COLUMNS($AC$1006:AP1006),$AC$1006:$AS$1006,0))&gt;=100000), " ",IF(INDEX($AC$2:$AS$1001,MATCH(ROWS($V$2:V58),$V$2:$V$1001,0),MATCH(COLUMNS($AC$1006:AP1006),$AC$1006:$AS$1006,0)), HYPERLINK("#",""), HYPERLINK(CONCATENATE("#metadata!", ADDRESS(INDEX($X$2:$X$1001,MATCH(ROWS($V$2:V58),$V$2:$V$1001,0),0), INDEX($AC$1004:$AS$1004,1,MATCH(COLUMNS($AC$1006:AP1006),$AC$1006:$AS$1006,0)))),"Fix")))</f>
        <v xml:space="preserve"> </v>
      </c>
      <c r="P58" s="4" t="str">
        <f ca="1">IF(OR(INDEX($W$2:$W$1001,MATCH(ROWS($V$2:V58),$V$2:$V$1001,0),1)&gt;=100000,INDEX($AC$1005:$AS$1005,1,MATCH(COLUMNS($AC$1006:AQ1006),$AC$1006:$AS$1006,0))&gt;=100000), " ",IF(INDEX($AC$2:$AS$1001,MATCH(ROWS($V$2:V58),$V$2:$V$1001,0),MATCH(COLUMNS($AC$1006:AQ1006),$AC$1006:$AS$1006,0)), HYPERLINK("#",""), HYPERLINK(CONCATENATE("#metadata!", ADDRESS(INDEX($X$2:$X$1001,MATCH(ROWS($V$2:V58),$V$2:$V$1001,0),0), INDEX($AC$1004:$AS$1004,1,MATCH(COLUMNS($AC$1006:AQ1006),$AC$1006:$AS$1006,0)))),"Fix")))</f>
        <v xml:space="preserve"> </v>
      </c>
      <c r="Q58" s="4" t="str">
        <f ca="1">IF(OR(INDEX($W$2:$W$1001,MATCH(ROWS($V$2:V58),$V$2:$V$1001,0),1)&gt;=100000,INDEX($AC$1005:$AS$1005,1,MATCH(COLUMNS($AC$1006:AR1006),$AC$1006:$AS$1006,0))&gt;=100000), " ",IF(INDEX($AC$2:$AS$1001,MATCH(ROWS($V$2:V58),$V$2:$V$1001,0),MATCH(COLUMNS($AC$1006:AR1006),$AC$1006:$AS$1006,0)), HYPERLINK("#",""), HYPERLINK(CONCATENATE("#metadata!", ADDRESS(INDEX($X$2:$X$1001,MATCH(ROWS($V$2:V58),$V$2:$V$1001,0),0), INDEX($AC$1004:$AS$1004,1,MATCH(COLUMNS($AC$1006:AR1006),$AC$1006:$AS$1006,0)))),"Fix")))</f>
        <v xml:space="preserve"> </v>
      </c>
      <c r="R58" s="4" t="str">
        <f ca="1">IF(OR(INDEX($W$2:$W$1001,MATCH(ROWS($V$2:V58),$V$2:$V$1001,0),1)&gt;=100000,INDEX($AC$1005:$AS$1005,1,MATCH(COLUMNS($AC$1006:AS1006),$AC$1006:$AS$1006,0))&gt;=100000), " ",IF(INDEX($AC$2:$AS$1001,MATCH(ROWS($V$2:V58),$V$2:$V$1001,0),MATCH(COLUMNS($AC$1006:AS1006),$AC$1006:$AS$1006,0)), HYPERLINK("#",""), HYPERLINK(CONCATENATE("#metadata!", ADDRESS(INDEX($X$2:$X$1001,MATCH(ROWS($V$2:V58),$V$2:$V$1001,0),0), INDEX($AC$1004:$AS$1004,1,MATCH(COLUMNS($AC$1006:AS1006),$AC$1006:$AS$1006,0)))),"Fix")))</f>
        <v xml:space="preserve"> </v>
      </c>
      <c r="V58">
        <v>57</v>
      </c>
      <c r="W58">
        <v>100058</v>
      </c>
      <c r="X58">
        <v>58</v>
      </c>
      <c r="Y58" t="b">
        <f t="shared" si="0"/>
        <v>1</v>
      </c>
      <c r="Z58" t="b">
        <f>COUNTBLANK(metadata!B58:R58)=COLUMNS(metadata!B58:R58)</f>
        <v>1</v>
      </c>
      <c r="AA58" t="str">
        <v/>
      </c>
      <c r="AC58" t="b">
        <f ca="1"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AD58" t="b">
        <f>IF(metadata!C58="",FALSE,ISNUMBER(VALUE(metadata!C58)))</f>
        <v>0</v>
      </c>
      <c r="AE58" t="b">
        <f>AND(IF(metadata!D58="",FALSE,TRUE),EXACT(metadata!D58,"years"))</f>
        <v>0</v>
      </c>
      <c r="AF58" t="b">
        <f>OR(AND(IF(metadata!E58="",FALSE,TRUE),OR(EXACT(metadata!E58,"not applicable"),EXACT(metadata!E58,"missing: not collected"),EXACT(metadata!E58,"missing: not provided"),EXACT(metadata!E58,"missing: restricted access"))),AND(IF(metadata!E58="",FALSE,ISNUMBER(VALUE(metadata!E58))),metadata!E58&gt;0))</f>
        <v>0</v>
      </c>
      <c r="AG58" t="b">
        <f>AND(IF(metadata!F58="",FALSE,TRUE),EXACT(metadata!F58,"Not applicable"))</f>
        <v>0</v>
      </c>
      <c r="AH58" t="b">
        <f>AND(IF(metadata!G58="",FALSE,TRUE),EXACT(metadata!G58,"urban biome"))</f>
        <v>0</v>
      </c>
      <c r="AI58" t="b">
        <f>AND(IF(metadata!H58="",FALSE,TRUE),EXACT(metadata!H58,"human-associated habitat"))</f>
        <v>0</v>
      </c>
      <c r="AJ58" t="b">
        <f>AND(IF(metadata!I58="",FALSE,TRUE),OR(EXACT(metadata!I58,"human-associated"),EXACT(metadata!I58,"human-skin"),EXACT(metadata!I58,"human-oral"),EXACT(metadata!I58,"human-gut"),EXACT(metadata!I58,"human-vaginal")))</f>
        <v>0</v>
      </c>
      <c r="AK58" t="b">
        <f>IF(metadata!J58="",FALSE,ISNUMBER(VALUE(metadata!J58)))</f>
        <v>0</v>
      </c>
      <c r="AL58" t="b">
        <f>AND(IF(metadata!K58="",FALSE,TRUE),EXACT(metadata!K58,"cm"))</f>
        <v>0</v>
      </c>
      <c r="AM58" t="b">
        <f>AND(IF(metadata!L58="",FALSE,TRUE),EXACT(metadata!L58,"human"))</f>
        <v>0</v>
      </c>
      <c r="AN58" t="b">
        <f>AND(IF(metadata!M58="",FALSE,TRUE),EXACT(metadata!M58,"Homo sapiens"))</f>
        <v>0</v>
      </c>
      <c r="AO58" t="b">
        <f>AND(IF(metadata!N58="",FALSE,TRUE),EXACT(metadata!N58,"9606"))</f>
        <v>0</v>
      </c>
      <c r="AP58" t="b">
        <f>IF(metadata!O58="",FALSE,TRUE)</f>
        <v>0</v>
      </c>
      <c r="AQ58" t="b">
        <f>IF(metadata!P58="",FALSE,TRUE)</f>
        <v>0</v>
      </c>
      <c r="AR58" t="b">
        <f>IF(metadata!Q58="",FALSE,ISNUMBER(VALUE(metadata!Q58)))</f>
        <v>0</v>
      </c>
      <c r="AS58" t="b">
        <f>AND(IF(metadata!R58="",FALSE,TRUE),EXACT(metadata!R58,"kg"))</f>
        <v>0</v>
      </c>
    </row>
    <row r="59" spans="1:45" x14ac:dyDescent="0.2">
      <c r="A59" s="5" t="str">
        <f ca="1">IF(B59=" "," ",HYPERLINK(CONCATENATE("#metadata!",ADDRESS(INDEX($X$2:$X$1001,MATCH(ROWS($V$2:V59),$V$2:$V$1001,0),0),1)),INDEX($AA$2:$AA$1001,MATCH(ROWS($V$2:V59),$V$2:$V$1001,0),0)))</f>
        <v xml:space="preserve"> </v>
      </c>
      <c r="B59" s="4" t="str">
        <f ca="1">IF(OR(INDEX($W$2:$W$1001,MATCH(ROWS($V$2:V59),$V$2:$V$1001,0),1)&gt;=100000,INDEX($AC$1005:$AS$1005,1,MATCH(COLUMNS($AC$1006:AC1006),$AC$1006:$AS$1006,0))&gt;=100000), " ",IF(INDEX($AC$2:$AS$1001,MATCH(ROWS($V$2:V59),$V$2:$V$1001,0),MATCH(COLUMNS($AC$1006:AC1006),$AC$1006:$AS$1006,0)), HYPERLINK("#",""), HYPERLINK(CONCATENATE("#metadata!", ADDRESS(INDEX($X$2:$X$1001,MATCH(ROWS($V$2:V59),$V$2:$V$1001,0),0), INDEX($AC$1004:$AS$1004,1,MATCH(COLUMNS($AC$1006:AC1006),$AC$1006:$AS$1006,0)))),"Fix")))</f>
        <v xml:space="preserve"> </v>
      </c>
      <c r="C59" s="4" t="str">
        <f ca="1">IF(OR(INDEX($W$2:$W$1001,MATCH(ROWS($V$2:V59),$V$2:$V$1001,0),1)&gt;=100000,INDEX($AC$1005:$AS$1005,1,MATCH(COLUMNS($AC$1006:AD1006),$AC$1006:$AS$1006,0))&gt;=100000), " ",IF(INDEX($AC$2:$AS$1001,MATCH(ROWS($V$2:V59),$V$2:$V$1001,0),MATCH(COLUMNS($AC$1006:AD1006),$AC$1006:$AS$1006,0)), HYPERLINK("#",""), HYPERLINK(CONCATENATE("#metadata!", ADDRESS(INDEX($X$2:$X$1001,MATCH(ROWS($V$2:V59),$V$2:$V$1001,0),0), INDEX($AC$1004:$AS$1004,1,MATCH(COLUMNS($AC$1006:AD1006),$AC$1006:$AS$1006,0)))),"Fix")))</f>
        <v xml:space="preserve"> </v>
      </c>
      <c r="D59" s="4" t="str">
        <f ca="1">IF(OR(INDEX($W$2:$W$1001,MATCH(ROWS($V$2:V59),$V$2:$V$1001,0),1)&gt;=100000,INDEX($AC$1005:$AS$1005,1,MATCH(COLUMNS($AC$1006:AE1006),$AC$1006:$AS$1006,0))&gt;=100000), " ",IF(INDEX($AC$2:$AS$1001,MATCH(ROWS($V$2:V59),$V$2:$V$1001,0),MATCH(COLUMNS($AC$1006:AE1006),$AC$1006:$AS$1006,0)), HYPERLINK("#",""), HYPERLINK(CONCATENATE("#metadata!", ADDRESS(INDEX($X$2:$X$1001,MATCH(ROWS($V$2:V59),$V$2:$V$1001,0),0), INDEX($AC$1004:$AS$1004,1,MATCH(COLUMNS($AC$1006:AE1006),$AC$1006:$AS$1006,0)))),"Fix")))</f>
        <v xml:space="preserve"> </v>
      </c>
      <c r="E59" s="4" t="str">
        <f ca="1">IF(OR(INDEX($W$2:$W$1001,MATCH(ROWS($V$2:V59),$V$2:$V$1001,0),1)&gt;=100000,INDEX($AC$1005:$AS$1005,1,MATCH(COLUMNS($AC$1006:AF1006),$AC$1006:$AS$1006,0))&gt;=100000), " ",IF(INDEX($AC$2:$AS$1001,MATCH(ROWS($V$2:V59),$V$2:$V$1001,0),MATCH(COLUMNS($AC$1006:AF1006),$AC$1006:$AS$1006,0)), HYPERLINK("#",""), HYPERLINK(CONCATENATE("#metadata!", ADDRESS(INDEX($X$2:$X$1001,MATCH(ROWS($V$2:V59),$V$2:$V$1001,0),0), INDEX($AC$1004:$AS$1004,1,MATCH(COLUMNS($AC$1006:AF1006),$AC$1006:$AS$1006,0)))),"Fix")))</f>
        <v xml:space="preserve"> </v>
      </c>
      <c r="F59" s="4" t="str">
        <f ca="1">IF(OR(INDEX($W$2:$W$1001,MATCH(ROWS($V$2:V59),$V$2:$V$1001,0),1)&gt;=100000,INDEX($AC$1005:$AS$1005,1,MATCH(COLUMNS($AC$1006:AG1006),$AC$1006:$AS$1006,0))&gt;=100000), " ",IF(INDEX($AC$2:$AS$1001,MATCH(ROWS($V$2:V59),$V$2:$V$1001,0),MATCH(COLUMNS($AC$1006:AG1006),$AC$1006:$AS$1006,0)), HYPERLINK("#",""), HYPERLINK(CONCATENATE("#metadata!", ADDRESS(INDEX($X$2:$X$1001,MATCH(ROWS($V$2:V59),$V$2:$V$1001,0),0), INDEX($AC$1004:$AS$1004,1,MATCH(COLUMNS($AC$1006:AG1006),$AC$1006:$AS$1006,0)))),"Fix")))</f>
        <v xml:space="preserve"> </v>
      </c>
      <c r="G59" s="4" t="str">
        <f ca="1">IF(OR(INDEX($W$2:$W$1001,MATCH(ROWS($V$2:V59),$V$2:$V$1001,0),1)&gt;=100000,INDEX($AC$1005:$AS$1005,1,MATCH(COLUMNS($AC$1006:AH1006),$AC$1006:$AS$1006,0))&gt;=100000), " ",IF(INDEX($AC$2:$AS$1001,MATCH(ROWS($V$2:V59),$V$2:$V$1001,0),MATCH(COLUMNS($AC$1006:AH1006),$AC$1006:$AS$1006,0)), HYPERLINK("#",""), HYPERLINK(CONCATENATE("#metadata!", ADDRESS(INDEX($X$2:$X$1001,MATCH(ROWS($V$2:V59),$V$2:$V$1001,0),0), INDEX($AC$1004:$AS$1004,1,MATCH(COLUMNS($AC$1006:AH1006),$AC$1006:$AS$1006,0)))),"Fix")))</f>
        <v xml:space="preserve"> </v>
      </c>
      <c r="H59" s="4" t="str">
        <f ca="1">IF(OR(INDEX($W$2:$W$1001,MATCH(ROWS($V$2:V59),$V$2:$V$1001,0),1)&gt;=100000,INDEX($AC$1005:$AS$1005,1,MATCH(COLUMNS($AC$1006:AI1006),$AC$1006:$AS$1006,0))&gt;=100000), " ",IF(INDEX($AC$2:$AS$1001,MATCH(ROWS($V$2:V59),$V$2:$V$1001,0),MATCH(COLUMNS($AC$1006:AI1006),$AC$1006:$AS$1006,0)), HYPERLINK("#",""), HYPERLINK(CONCATENATE("#metadata!", ADDRESS(INDEX($X$2:$X$1001,MATCH(ROWS($V$2:V59),$V$2:$V$1001,0),0), INDEX($AC$1004:$AS$1004,1,MATCH(COLUMNS($AC$1006:AI1006),$AC$1006:$AS$1006,0)))),"Fix")))</f>
        <v xml:space="preserve"> </v>
      </c>
      <c r="I59" s="4" t="str">
        <f ca="1">IF(OR(INDEX($W$2:$W$1001,MATCH(ROWS($V$2:V59),$V$2:$V$1001,0),1)&gt;=100000,INDEX($AC$1005:$AS$1005,1,MATCH(COLUMNS($AC$1006:AJ1006),$AC$1006:$AS$1006,0))&gt;=100000), " ",IF(INDEX($AC$2:$AS$1001,MATCH(ROWS($V$2:V59),$V$2:$V$1001,0),MATCH(COLUMNS($AC$1006:AJ1006),$AC$1006:$AS$1006,0)), HYPERLINK("#",""), HYPERLINK(CONCATENATE("#metadata!", ADDRESS(INDEX($X$2:$X$1001,MATCH(ROWS($V$2:V59),$V$2:$V$1001,0),0), INDEX($AC$1004:$AS$1004,1,MATCH(COLUMNS($AC$1006:AJ1006),$AC$1006:$AS$1006,0)))),"Fix")))</f>
        <v xml:space="preserve"> </v>
      </c>
      <c r="J59" s="4" t="str">
        <f ca="1">IF(OR(INDEX($W$2:$W$1001,MATCH(ROWS($V$2:V59),$V$2:$V$1001,0),1)&gt;=100000,INDEX($AC$1005:$AS$1005,1,MATCH(COLUMNS($AC$1006:AK1006),$AC$1006:$AS$1006,0))&gt;=100000), " ",IF(INDEX($AC$2:$AS$1001,MATCH(ROWS($V$2:V59),$V$2:$V$1001,0),MATCH(COLUMNS($AC$1006:AK1006),$AC$1006:$AS$1006,0)), HYPERLINK("#",""), HYPERLINK(CONCATENATE("#metadata!", ADDRESS(INDEX($X$2:$X$1001,MATCH(ROWS($V$2:V59),$V$2:$V$1001,0),0), INDEX($AC$1004:$AS$1004,1,MATCH(COLUMNS($AC$1006:AK1006),$AC$1006:$AS$1006,0)))),"Fix")))</f>
        <v xml:space="preserve"> </v>
      </c>
      <c r="K59" s="4" t="str">
        <f ca="1">IF(OR(INDEX($W$2:$W$1001,MATCH(ROWS($V$2:V59),$V$2:$V$1001,0),1)&gt;=100000,INDEX($AC$1005:$AS$1005,1,MATCH(COLUMNS($AC$1006:AL1006),$AC$1006:$AS$1006,0))&gt;=100000), " ",IF(INDEX($AC$2:$AS$1001,MATCH(ROWS($V$2:V59),$V$2:$V$1001,0),MATCH(COLUMNS($AC$1006:AL1006),$AC$1006:$AS$1006,0)), HYPERLINK("#",""), HYPERLINK(CONCATENATE("#metadata!", ADDRESS(INDEX($X$2:$X$1001,MATCH(ROWS($V$2:V59),$V$2:$V$1001,0),0), INDEX($AC$1004:$AS$1004,1,MATCH(COLUMNS($AC$1006:AL1006),$AC$1006:$AS$1006,0)))),"Fix")))</f>
        <v xml:space="preserve"> </v>
      </c>
      <c r="L59" s="4" t="str">
        <f ca="1">IF(OR(INDEX($W$2:$W$1001,MATCH(ROWS($V$2:V59),$V$2:$V$1001,0),1)&gt;=100000,INDEX($AC$1005:$AS$1005,1,MATCH(COLUMNS($AC$1006:AM1006),$AC$1006:$AS$1006,0))&gt;=100000), " ",IF(INDEX($AC$2:$AS$1001,MATCH(ROWS($V$2:V59),$V$2:$V$1001,0),MATCH(COLUMNS($AC$1006:AM1006),$AC$1006:$AS$1006,0)), HYPERLINK("#",""), HYPERLINK(CONCATENATE("#metadata!", ADDRESS(INDEX($X$2:$X$1001,MATCH(ROWS($V$2:V59),$V$2:$V$1001,0),0), INDEX($AC$1004:$AS$1004,1,MATCH(COLUMNS($AC$1006:AM1006),$AC$1006:$AS$1006,0)))),"Fix")))</f>
        <v xml:space="preserve"> </v>
      </c>
      <c r="M59" s="4" t="str">
        <f ca="1">IF(OR(INDEX($W$2:$W$1001,MATCH(ROWS($V$2:V59),$V$2:$V$1001,0),1)&gt;=100000,INDEX($AC$1005:$AS$1005,1,MATCH(COLUMNS($AC$1006:AN1006),$AC$1006:$AS$1006,0))&gt;=100000), " ",IF(INDEX($AC$2:$AS$1001,MATCH(ROWS($V$2:V59),$V$2:$V$1001,0),MATCH(COLUMNS($AC$1006:AN1006),$AC$1006:$AS$1006,0)), HYPERLINK("#",""), HYPERLINK(CONCATENATE("#metadata!", ADDRESS(INDEX($X$2:$X$1001,MATCH(ROWS($V$2:V59),$V$2:$V$1001,0),0), INDEX($AC$1004:$AS$1004,1,MATCH(COLUMNS($AC$1006:AN1006),$AC$1006:$AS$1006,0)))),"Fix")))</f>
        <v xml:space="preserve"> </v>
      </c>
      <c r="N59" s="4" t="str">
        <f ca="1">IF(OR(INDEX($W$2:$W$1001,MATCH(ROWS($V$2:V59),$V$2:$V$1001,0),1)&gt;=100000,INDEX($AC$1005:$AS$1005,1,MATCH(COLUMNS($AC$1006:AO1006),$AC$1006:$AS$1006,0))&gt;=100000), " ",IF(INDEX($AC$2:$AS$1001,MATCH(ROWS($V$2:V59),$V$2:$V$1001,0),MATCH(COLUMNS($AC$1006:AO1006),$AC$1006:$AS$1006,0)), HYPERLINK("#",""), HYPERLINK(CONCATENATE("#metadata!", ADDRESS(INDEX($X$2:$X$1001,MATCH(ROWS($V$2:V59),$V$2:$V$1001,0),0), INDEX($AC$1004:$AS$1004,1,MATCH(COLUMNS($AC$1006:AO1006),$AC$1006:$AS$1006,0)))),"Fix")))</f>
        <v xml:space="preserve"> </v>
      </c>
      <c r="O59" s="4" t="str">
        <f ca="1">IF(OR(INDEX($W$2:$W$1001,MATCH(ROWS($V$2:V59),$V$2:$V$1001,0),1)&gt;=100000,INDEX($AC$1005:$AS$1005,1,MATCH(COLUMNS($AC$1006:AP1006),$AC$1006:$AS$1006,0))&gt;=100000), " ",IF(INDEX($AC$2:$AS$1001,MATCH(ROWS($V$2:V59),$V$2:$V$1001,0),MATCH(COLUMNS($AC$1006:AP1006),$AC$1006:$AS$1006,0)), HYPERLINK("#",""), HYPERLINK(CONCATENATE("#metadata!", ADDRESS(INDEX($X$2:$X$1001,MATCH(ROWS($V$2:V59),$V$2:$V$1001,0),0), INDEX($AC$1004:$AS$1004,1,MATCH(COLUMNS($AC$1006:AP1006),$AC$1006:$AS$1006,0)))),"Fix")))</f>
        <v xml:space="preserve"> </v>
      </c>
      <c r="P59" s="4" t="str">
        <f ca="1">IF(OR(INDEX($W$2:$W$1001,MATCH(ROWS($V$2:V59),$V$2:$V$1001,0),1)&gt;=100000,INDEX($AC$1005:$AS$1005,1,MATCH(COLUMNS($AC$1006:AQ1006),$AC$1006:$AS$1006,0))&gt;=100000), " ",IF(INDEX($AC$2:$AS$1001,MATCH(ROWS($V$2:V59),$V$2:$V$1001,0),MATCH(COLUMNS($AC$1006:AQ1006),$AC$1006:$AS$1006,0)), HYPERLINK("#",""), HYPERLINK(CONCATENATE("#metadata!", ADDRESS(INDEX($X$2:$X$1001,MATCH(ROWS($V$2:V59),$V$2:$V$1001,0),0), INDEX($AC$1004:$AS$1004,1,MATCH(COLUMNS($AC$1006:AQ1006),$AC$1006:$AS$1006,0)))),"Fix")))</f>
        <v xml:space="preserve"> </v>
      </c>
      <c r="Q59" s="4" t="str">
        <f ca="1">IF(OR(INDEX($W$2:$W$1001,MATCH(ROWS($V$2:V59),$V$2:$V$1001,0),1)&gt;=100000,INDEX($AC$1005:$AS$1005,1,MATCH(COLUMNS($AC$1006:AR1006),$AC$1006:$AS$1006,0))&gt;=100000), " ",IF(INDEX($AC$2:$AS$1001,MATCH(ROWS($V$2:V59),$V$2:$V$1001,0),MATCH(COLUMNS($AC$1006:AR1006),$AC$1006:$AS$1006,0)), HYPERLINK("#",""), HYPERLINK(CONCATENATE("#metadata!", ADDRESS(INDEX($X$2:$X$1001,MATCH(ROWS($V$2:V59),$V$2:$V$1001,0),0), INDEX($AC$1004:$AS$1004,1,MATCH(COLUMNS($AC$1006:AR1006),$AC$1006:$AS$1006,0)))),"Fix")))</f>
        <v xml:space="preserve"> </v>
      </c>
      <c r="R59" s="4" t="str">
        <f ca="1">IF(OR(INDEX($W$2:$W$1001,MATCH(ROWS($V$2:V59),$V$2:$V$1001,0),1)&gt;=100000,INDEX($AC$1005:$AS$1005,1,MATCH(COLUMNS($AC$1006:AS1006),$AC$1006:$AS$1006,0))&gt;=100000), " ",IF(INDEX($AC$2:$AS$1001,MATCH(ROWS($V$2:V59),$V$2:$V$1001,0),MATCH(COLUMNS($AC$1006:AS1006),$AC$1006:$AS$1006,0)), HYPERLINK("#",""), HYPERLINK(CONCATENATE("#metadata!", ADDRESS(INDEX($X$2:$X$1001,MATCH(ROWS($V$2:V59),$V$2:$V$1001,0),0), INDEX($AC$1004:$AS$1004,1,MATCH(COLUMNS($AC$1006:AS1006),$AC$1006:$AS$1006,0)))),"Fix")))</f>
        <v xml:space="preserve"> </v>
      </c>
      <c r="V59">
        <v>58</v>
      </c>
      <c r="W59">
        <v>100059</v>
      </c>
      <c r="X59">
        <v>59</v>
      </c>
      <c r="Y59" t="b">
        <f t="shared" si="0"/>
        <v>1</v>
      </c>
      <c r="Z59" t="b">
        <f>COUNTBLANK(metadata!B59:R59)=COLUMNS(metadata!B59:R59)</f>
        <v>1</v>
      </c>
      <c r="AA59" t="str">
        <v/>
      </c>
      <c r="AC59" t="b">
        <f ca="1"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AD59" t="b">
        <f>IF(metadata!C59="",FALSE,ISNUMBER(VALUE(metadata!C59)))</f>
        <v>0</v>
      </c>
      <c r="AE59" t="b">
        <f>AND(IF(metadata!D59="",FALSE,TRUE),EXACT(metadata!D59,"years"))</f>
        <v>0</v>
      </c>
      <c r="AF59" t="b">
        <f>OR(AND(IF(metadata!E59="",FALSE,TRUE),OR(EXACT(metadata!E59,"not applicable"),EXACT(metadata!E59,"missing: not collected"),EXACT(metadata!E59,"missing: not provided"),EXACT(metadata!E59,"missing: restricted access"))),AND(IF(metadata!E59="",FALSE,ISNUMBER(VALUE(metadata!E59))),metadata!E59&gt;0))</f>
        <v>0</v>
      </c>
      <c r="AG59" t="b">
        <f>AND(IF(metadata!F59="",FALSE,TRUE),EXACT(metadata!F59,"Not applicable"))</f>
        <v>0</v>
      </c>
      <c r="AH59" t="b">
        <f>AND(IF(metadata!G59="",FALSE,TRUE),EXACT(metadata!G59,"urban biome"))</f>
        <v>0</v>
      </c>
      <c r="AI59" t="b">
        <f>AND(IF(metadata!H59="",FALSE,TRUE),EXACT(metadata!H59,"human-associated habitat"))</f>
        <v>0</v>
      </c>
      <c r="AJ59" t="b">
        <f>AND(IF(metadata!I59="",FALSE,TRUE),OR(EXACT(metadata!I59,"human-associated"),EXACT(metadata!I59,"human-skin"),EXACT(metadata!I59,"human-oral"),EXACT(metadata!I59,"human-gut"),EXACT(metadata!I59,"human-vaginal")))</f>
        <v>0</v>
      </c>
      <c r="AK59" t="b">
        <f>IF(metadata!J59="",FALSE,ISNUMBER(VALUE(metadata!J59)))</f>
        <v>0</v>
      </c>
      <c r="AL59" t="b">
        <f>AND(IF(metadata!K59="",FALSE,TRUE),EXACT(metadata!K59,"cm"))</f>
        <v>0</v>
      </c>
      <c r="AM59" t="b">
        <f>AND(IF(metadata!L59="",FALSE,TRUE),EXACT(metadata!L59,"human"))</f>
        <v>0</v>
      </c>
      <c r="AN59" t="b">
        <f>AND(IF(metadata!M59="",FALSE,TRUE),EXACT(metadata!M59,"Homo sapiens"))</f>
        <v>0</v>
      </c>
      <c r="AO59" t="b">
        <f>AND(IF(metadata!N59="",FALSE,TRUE),EXACT(metadata!N59,"9606"))</f>
        <v>0</v>
      </c>
      <c r="AP59" t="b">
        <f>IF(metadata!O59="",FALSE,TRUE)</f>
        <v>0</v>
      </c>
      <c r="AQ59" t="b">
        <f>IF(metadata!P59="",FALSE,TRUE)</f>
        <v>0</v>
      </c>
      <c r="AR59" t="b">
        <f>IF(metadata!Q59="",FALSE,ISNUMBER(VALUE(metadata!Q59)))</f>
        <v>0</v>
      </c>
      <c r="AS59" t="b">
        <f>AND(IF(metadata!R59="",FALSE,TRUE),EXACT(metadata!R59,"kg"))</f>
        <v>0</v>
      </c>
    </row>
    <row r="60" spans="1:45" x14ac:dyDescent="0.2">
      <c r="A60" s="5" t="str">
        <f ca="1">IF(B60=" "," ",HYPERLINK(CONCATENATE("#metadata!",ADDRESS(INDEX($X$2:$X$1001,MATCH(ROWS($V$2:V60),$V$2:$V$1001,0),0),1)),INDEX($AA$2:$AA$1001,MATCH(ROWS($V$2:V60),$V$2:$V$1001,0),0)))</f>
        <v xml:space="preserve"> </v>
      </c>
      <c r="B60" s="4" t="str">
        <f ca="1">IF(OR(INDEX($W$2:$W$1001,MATCH(ROWS($V$2:V60),$V$2:$V$1001,0),1)&gt;=100000,INDEX($AC$1005:$AS$1005,1,MATCH(COLUMNS($AC$1006:AC1006),$AC$1006:$AS$1006,0))&gt;=100000), " ",IF(INDEX($AC$2:$AS$1001,MATCH(ROWS($V$2:V60),$V$2:$V$1001,0),MATCH(COLUMNS($AC$1006:AC1006),$AC$1006:$AS$1006,0)), HYPERLINK("#",""), HYPERLINK(CONCATENATE("#metadata!", ADDRESS(INDEX($X$2:$X$1001,MATCH(ROWS($V$2:V60),$V$2:$V$1001,0),0), INDEX($AC$1004:$AS$1004,1,MATCH(COLUMNS($AC$1006:AC1006),$AC$1006:$AS$1006,0)))),"Fix")))</f>
        <v xml:space="preserve"> </v>
      </c>
      <c r="C60" s="4" t="str">
        <f ca="1">IF(OR(INDEX($W$2:$W$1001,MATCH(ROWS($V$2:V60),$V$2:$V$1001,0),1)&gt;=100000,INDEX($AC$1005:$AS$1005,1,MATCH(COLUMNS($AC$1006:AD1006),$AC$1006:$AS$1006,0))&gt;=100000), " ",IF(INDEX($AC$2:$AS$1001,MATCH(ROWS($V$2:V60),$V$2:$V$1001,0),MATCH(COLUMNS($AC$1006:AD1006),$AC$1006:$AS$1006,0)), HYPERLINK("#",""), HYPERLINK(CONCATENATE("#metadata!", ADDRESS(INDEX($X$2:$X$1001,MATCH(ROWS($V$2:V60),$V$2:$V$1001,0),0), INDEX($AC$1004:$AS$1004,1,MATCH(COLUMNS($AC$1006:AD1006),$AC$1006:$AS$1006,0)))),"Fix")))</f>
        <v xml:space="preserve"> </v>
      </c>
      <c r="D60" s="4" t="str">
        <f ca="1">IF(OR(INDEX($W$2:$W$1001,MATCH(ROWS($V$2:V60),$V$2:$V$1001,0),1)&gt;=100000,INDEX($AC$1005:$AS$1005,1,MATCH(COLUMNS($AC$1006:AE1006),$AC$1006:$AS$1006,0))&gt;=100000), " ",IF(INDEX($AC$2:$AS$1001,MATCH(ROWS($V$2:V60),$V$2:$V$1001,0),MATCH(COLUMNS($AC$1006:AE1006),$AC$1006:$AS$1006,0)), HYPERLINK("#",""), HYPERLINK(CONCATENATE("#metadata!", ADDRESS(INDEX($X$2:$X$1001,MATCH(ROWS($V$2:V60),$V$2:$V$1001,0),0), INDEX($AC$1004:$AS$1004,1,MATCH(COLUMNS($AC$1006:AE1006),$AC$1006:$AS$1006,0)))),"Fix")))</f>
        <v xml:space="preserve"> </v>
      </c>
      <c r="E60" s="4" t="str">
        <f ca="1">IF(OR(INDEX($W$2:$W$1001,MATCH(ROWS($V$2:V60),$V$2:$V$1001,0),1)&gt;=100000,INDEX($AC$1005:$AS$1005,1,MATCH(COLUMNS($AC$1006:AF1006),$AC$1006:$AS$1006,0))&gt;=100000), " ",IF(INDEX($AC$2:$AS$1001,MATCH(ROWS($V$2:V60),$V$2:$V$1001,0),MATCH(COLUMNS($AC$1006:AF1006),$AC$1006:$AS$1006,0)), HYPERLINK("#",""), HYPERLINK(CONCATENATE("#metadata!", ADDRESS(INDEX($X$2:$X$1001,MATCH(ROWS($V$2:V60),$V$2:$V$1001,0),0), INDEX($AC$1004:$AS$1004,1,MATCH(COLUMNS($AC$1006:AF1006),$AC$1006:$AS$1006,0)))),"Fix")))</f>
        <v xml:space="preserve"> </v>
      </c>
      <c r="F60" s="4" t="str">
        <f ca="1">IF(OR(INDEX($W$2:$W$1001,MATCH(ROWS($V$2:V60),$V$2:$V$1001,0),1)&gt;=100000,INDEX($AC$1005:$AS$1005,1,MATCH(COLUMNS($AC$1006:AG1006),$AC$1006:$AS$1006,0))&gt;=100000), " ",IF(INDEX($AC$2:$AS$1001,MATCH(ROWS($V$2:V60),$V$2:$V$1001,0),MATCH(COLUMNS($AC$1006:AG1006),$AC$1006:$AS$1006,0)), HYPERLINK("#",""), HYPERLINK(CONCATENATE("#metadata!", ADDRESS(INDEX($X$2:$X$1001,MATCH(ROWS($V$2:V60),$V$2:$V$1001,0),0), INDEX($AC$1004:$AS$1004,1,MATCH(COLUMNS($AC$1006:AG1006),$AC$1006:$AS$1006,0)))),"Fix")))</f>
        <v xml:space="preserve"> </v>
      </c>
      <c r="G60" s="4" t="str">
        <f ca="1">IF(OR(INDEX($W$2:$W$1001,MATCH(ROWS($V$2:V60),$V$2:$V$1001,0),1)&gt;=100000,INDEX($AC$1005:$AS$1005,1,MATCH(COLUMNS($AC$1006:AH1006),$AC$1006:$AS$1006,0))&gt;=100000), " ",IF(INDEX($AC$2:$AS$1001,MATCH(ROWS($V$2:V60),$V$2:$V$1001,0),MATCH(COLUMNS($AC$1006:AH1006),$AC$1006:$AS$1006,0)), HYPERLINK("#",""), HYPERLINK(CONCATENATE("#metadata!", ADDRESS(INDEX($X$2:$X$1001,MATCH(ROWS($V$2:V60),$V$2:$V$1001,0),0), INDEX($AC$1004:$AS$1004,1,MATCH(COLUMNS($AC$1006:AH1006),$AC$1006:$AS$1006,0)))),"Fix")))</f>
        <v xml:space="preserve"> </v>
      </c>
      <c r="H60" s="4" t="str">
        <f ca="1">IF(OR(INDEX($W$2:$W$1001,MATCH(ROWS($V$2:V60),$V$2:$V$1001,0),1)&gt;=100000,INDEX($AC$1005:$AS$1005,1,MATCH(COLUMNS($AC$1006:AI1006),$AC$1006:$AS$1006,0))&gt;=100000), " ",IF(INDEX($AC$2:$AS$1001,MATCH(ROWS($V$2:V60),$V$2:$V$1001,0),MATCH(COLUMNS($AC$1006:AI1006),$AC$1006:$AS$1006,0)), HYPERLINK("#",""), HYPERLINK(CONCATENATE("#metadata!", ADDRESS(INDEX($X$2:$X$1001,MATCH(ROWS($V$2:V60),$V$2:$V$1001,0),0), INDEX($AC$1004:$AS$1004,1,MATCH(COLUMNS($AC$1006:AI1006),$AC$1006:$AS$1006,0)))),"Fix")))</f>
        <v xml:space="preserve"> </v>
      </c>
      <c r="I60" s="4" t="str">
        <f ca="1">IF(OR(INDEX($W$2:$W$1001,MATCH(ROWS($V$2:V60),$V$2:$V$1001,0),1)&gt;=100000,INDEX($AC$1005:$AS$1005,1,MATCH(COLUMNS($AC$1006:AJ1006),$AC$1006:$AS$1006,0))&gt;=100000), " ",IF(INDEX($AC$2:$AS$1001,MATCH(ROWS($V$2:V60),$V$2:$V$1001,0),MATCH(COLUMNS($AC$1006:AJ1006),$AC$1006:$AS$1006,0)), HYPERLINK("#",""), HYPERLINK(CONCATENATE("#metadata!", ADDRESS(INDEX($X$2:$X$1001,MATCH(ROWS($V$2:V60),$V$2:$V$1001,0),0), INDEX($AC$1004:$AS$1004,1,MATCH(COLUMNS($AC$1006:AJ1006),$AC$1006:$AS$1006,0)))),"Fix")))</f>
        <v xml:space="preserve"> </v>
      </c>
      <c r="J60" s="4" t="str">
        <f ca="1">IF(OR(INDEX($W$2:$W$1001,MATCH(ROWS($V$2:V60),$V$2:$V$1001,0),1)&gt;=100000,INDEX($AC$1005:$AS$1005,1,MATCH(COLUMNS($AC$1006:AK1006),$AC$1006:$AS$1006,0))&gt;=100000), " ",IF(INDEX($AC$2:$AS$1001,MATCH(ROWS($V$2:V60),$V$2:$V$1001,0),MATCH(COLUMNS($AC$1006:AK1006),$AC$1006:$AS$1006,0)), HYPERLINK("#",""), HYPERLINK(CONCATENATE("#metadata!", ADDRESS(INDEX($X$2:$X$1001,MATCH(ROWS($V$2:V60),$V$2:$V$1001,0),0), INDEX($AC$1004:$AS$1004,1,MATCH(COLUMNS($AC$1006:AK1006),$AC$1006:$AS$1006,0)))),"Fix")))</f>
        <v xml:space="preserve"> </v>
      </c>
      <c r="K60" s="4" t="str">
        <f ca="1">IF(OR(INDEX($W$2:$W$1001,MATCH(ROWS($V$2:V60),$V$2:$V$1001,0),1)&gt;=100000,INDEX($AC$1005:$AS$1005,1,MATCH(COLUMNS($AC$1006:AL1006),$AC$1006:$AS$1006,0))&gt;=100000), " ",IF(INDEX($AC$2:$AS$1001,MATCH(ROWS($V$2:V60),$V$2:$V$1001,0),MATCH(COLUMNS($AC$1006:AL1006),$AC$1006:$AS$1006,0)), HYPERLINK("#",""), HYPERLINK(CONCATENATE("#metadata!", ADDRESS(INDEX($X$2:$X$1001,MATCH(ROWS($V$2:V60),$V$2:$V$1001,0),0), INDEX($AC$1004:$AS$1004,1,MATCH(COLUMNS($AC$1006:AL1006),$AC$1006:$AS$1006,0)))),"Fix")))</f>
        <v xml:space="preserve"> </v>
      </c>
      <c r="L60" s="4" t="str">
        <f ca="1">IF(OR(INDEX($W$2:$W$1001,MATCH(ROWS($V$2:V60),$V$2:$V$1001,0),1)&gt;=100000,INDEX($AC$1005:$AS$1005,1,MATCH(COLUMNS($AC$1006:AM1006),$AC$1006:$AS$1006,0))&gt;=100000), " ",IF(INDEX($AC$2:$AS$1001,MATCH(ROWS($V$2:V60),$V$2:$V$1001,0),MATCH(COLUMNS($AC$1006:AM1006),$AC$1006:$AS$1006,0)), HYPERLINK("#",""), HYPERLINK(CONCATENATE("#metadata!", ADDRESS(INDEX($X$2:$X$1001,MATCH(ROWS($V$2:V60),$V$2:$V$1001,0),0), INDEX($AC$1004:$AS$1004,1,MATCH(COLUMNS($AC$1006:AM1006),$AC$1006:$AS$1006,0)))),"Fix")))</f>
        <v xml:space="preserve"> </v>
      </c>
      <c r="M60" s="4" t="str">
        <f ca="1">IF(OR(INDEX($W$2:$W$1001,MATCH(ROWS($V$2:V60),$V$2:$V$1001,0),1)&gt;=100000,INDEX($AC$1005:$AS$1005,1,MATCH(COLUMNS($AC$1006:AN1006),$AC$1006:$AS$1006,0))&gt;=100000), " ",IF(INDEX($AC$2:$AS$1001,MATCH(ROWS($V$2:V60),$V$2:$V$1001,0),MATCH(COLUMNS($AC$1006:AN1006),$AC$1006:$AS$1006,0)), HYPERLINK("#",""), HYPERLINK(CONCATENATE("#metadata!", ADDRESS(INDEX($X$2:$X$1001,MATCH(ROWS($V$2:V60),$V$2:$V$1001,0),0), INDEX($AC$1004:$AS$1004,1,MATCH(COLUMNS($AC$1006:AN1006),$AC$1006:$AS$1006,0)))),"Fix")))</f>
        <v xml:space="preserve"> </v>
      </c>
      <c r="N60" s="4" t="str">
        <f ca="1">IF(OR(INDEX($W$2:$W$1001,MATCH(ROWS($V$2:V60),$V$2:$V$1001,0),1)&gt;=100000,INDEX($AC$1005:$AS$1005,1,MATCH(COLUMNS($AC$1006:AO1006),$AC$1006:$AS$1006,0))&gt;=100000), " ",IF(INDEX($AC$2:$AS$1001,MATCH(ROWS($V$2:V60),$V$2:$V$1001,0),MATCH(COLUMNS($AC$1006:AO1006),$AC$1006:$AS$1006,0)), HYPERLINK("#",""), HYPERLINK(CONCATENATE("#metadata!", ADDRESS(INDEX($X$2:$X$1001,MATCH(ROWS($V$2:V60),$V$2:$V$1001,0),0), INDEX($AC$1004:$AS$1004,1,MATCH(COLUMNS($AC$1006:AO1006),$AC$1006:$AS$1006,0)))),"Fix")))</f>
        <v xml:space="preserve"> </v>
      </c>
      <c r="O60" s="4" t="str">
        <f ca="1">IF(OR(INDEX($W$2:$W$1001,MATCH(ROWS($V$2:V60),$V$2:$V$1001,0),1)&gt;=100000,INDEX($AC$1005:$AS$1005,1,MATCH(COLUMNS($AC$1006:AP1006),$AC$1006:$AS$1006,0))&gt;=100000), " ",IF(INDEX($AC$2:$AS$1001,MATCH(ROWS($V$2:V60),$V$2:$V$1001,0),MATCH(COLUMNS($AC$1006:AP1006),$AC$1006:$AS$1006,0)), HYPERLINK("#",""), HYPERLINK(CONCATENATE("#metadata!", ADDRESS(INDEX($X$2:$X$1001,MATCH(ROWS($V$2:V60),$V$2:$V$1001,0),0), INDEX($AC$1004:$AS$1004,1,MATCH(COLUMNS($AC$1006:AP1006),$AC$1006:$AS$1006,0)))),"Fix")))</f>
        <v xml:space="preserve"> </v>
      </c>
      <c r="P60" s="4" t="str">
        <f ca="1">IF(OR(INDEX($W$2:$W$1001,MATCH(ROWS($V$2:V60),$V$2:$V$1001,0),1)&gt;=100000,INDEX($AC$1005:$AS$1005,1,MATCH(COLUMNS($AC$1006:AQ1006),$AC$1006:$AS$1006,0))&gt;=100000), " ",IF(INDEX($AC$2:$AS$1001,MATCH(ROWS($V$2:V60),$V$2:$V$1001,0),MATCH(COLUMNS($AC$1006:AQ1006),$AC$1006:$AS$1006,0)), HYPERLINK("#",""), HYPERLINK(CONCATENATE("#metadata!", ADDRESS(INDEX($X$2:$X$1001,MATCH(ROWS($V$2:V60),$V$2:$V$1001,0),0), INDEX($AC$1004:$AS$1004,1,MATCH(COLUMNS($AC$1006:AQ1006),$AC$1006:$AS$1006,0)))),"Fix")))</f>
        <v xml:space="preserve"> </v>
      </c>
      <c r="Q60" s="4" t="str">
        <f ca="1">IF(OR(INDEX($W$2:$W$1001,MATCH(ROWS($V$2:V60),$V$2:$V$1001,0),1)&gt;=100000,INDEX($AC$1005:$AS$1005,1,MATCH(COLUMNS($AC$1006:AR1006),$AC$1006:$AS$1006,0))&gt;=100000), " ",IF(INDEX($AC$2:$AS$1001,MATCH(ROWS($V$2:V60),$V$2:$V$1001,0),MATCH(COLUMNS($AC$1006:AR1006),$AC$1006:$AS$1006,0)), HYPERLINK("#",""), HYPERLINK(CONCATENATE("#metadata!", ADDRESS(INDEX($X$2:$X$1001,MATCH(ROWS($V$2:V60),$V$2:$V$1001,0),0), INDEX($AC$1004:$AS$1004,1,MATCH(COLUMNS($AC$1006:AR1006),$AC$1006:$AS$1006,0)))),"Fix")))</f>
        <v xml:space="preserve"> </v>
      </c>
      <c r="R60" s="4" t="str">
        <f ca="1">IF(OR(INDEX($W$2:$W$1001,MATCH(ROWS($V$2:V60),$V$2:$V$1001,0),1)&gt;=100000,INDEX($AC$1005:$AS$1005,1,MATCH(COLUMNS($AC$1006:AS1006),$AC$1006:$AS$1006,0))&gt;=100000), " ",IF(INDEX($AC$2:$AS$1001,MATCH(ROWS($V$2:V60),$V$2:$V$1001,0),MATCH(COLUMNS($AC$1006:AS1006),$AC$1006:$AS$1006,0)), HYPERLINK("#",""), HYPERLINK(CONCATENATE("#metadata!", ADDRESS(INDEX($X$2:$X$1001,MATCH(ROWS($V$2:V60),$V$2:$V$1001,0),0), INDEX($AC$1004:$AS$1004,1,MATCH(COLUMNS($AC$1006:AS1006),$AC$1006:$AS$1006,0)))),"Fix")))</f>
        <v xml:space="preserve"> </v>
      </c>
      <c r="V60">
        <v>59</v>
      </c>
      <c r="W60">
        <v>100060</v>
      </c>
      <c r="X60">
        <v>60</v>
      </c>
      <c r="Y60" t="b">
        <f t="shared" si="0"/>
        <v>1</v>
      </c>
      <c r="Z60" t="b">
        <f>COUNTBLANK(metadata!B60:R60)=COLUMNS(metadata!B60:R60)</f>
        <v>1</v>
      </c>
      <c r="AA60" t="str">
        <v/>
      </c>
      <c r="AC60" t="b">
        <f ca="1"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AD60" t="b">
        <f>IF(metadata!C60="",FALSE,ISNUMBER(VALUE(metadata!C60)))</f>
        <v>0</v>
      </c>
      <c r="AE60" t="b">
        <f>AND(IF(metadata!D60="",FALSE,TRUE),EXACT(metadata!D60,"years"))</f>
        <v>0</v>
      </c>
      <c r="AF60" t="b">
        <f>OR(AND(IF(metadata!E60="",FALSE,TRUE),OR(EXACT(metadata!E60,"not applicable"),EXACT(metadata!E60,"missing: not collected"),EXACT(metadata!E60,"missing: not provided"),EXACT(metadata!E60,"missing: restricted access"))),AND(IF(metadata!E60="",FALSE,ISNUMBER(VALUE(metadata!E60))),metadata!E60&gt;0))</f>
        <v>0</v>
      </c>
      <c r="AG60" t="b">
        <f>AND(IF(metadata!F60="",FALSE,TRUE),EXACT(metadata!F60,"Not applicable"))</f>
        <v>0</v>
      </c>
      <c r="AH60" t="b">
        <f>AND(IF(metadata!G60="",FALSE,TRUE),EXACT(metadata!G60,"urban biome"))</f>
        <v>0</v>
      </c>
      <c r="AI60" t="b">
        <f>AND(IF(metadata!H60="",FALSE,TRUE),EXACT(metadata!H60,"human-associated habitat"))</f>
        <v>0</v>
      </c>
      <c r="AJ60" t="b">
        <f>AND(IF(metadata!I60="",FALSE,TRUE),OR(EXACT(metadata!I60,"human-associated"),EXACT(metadata!I60,"human-skin"),EXACT(metadata!I60,"human-oral"),EXACT(metadata!I60,"human-gut"),EXACT(metadata!I60,"human-vaginal")))</f>
        <v>0</v>
      </c>
      <c r="AK60" t="b">
        <f>IF(metadata!J60="",FALSE,ISNUMBER(VALUE(metadata!J60)))</f>
        <v>0</v>
      </c>
      <c r="AL60" t="b">
        <f>AND(IF(metadata!K60="",FALSE,TRUE),EXACT(metadata!K60,"cm"))</f>
        <v>0</v>
      </c>
      <c r="AM60" t="b">
        <f>AND(IF(metadata!L60="",FALSE,TRUE),EXACT(metadata!L60,"human"))</f>
        <v>0</v>
      </c>
      <c r="AN60" t="b">
        <f>AND(IF(metadata!M60="",FALSE,TRUE),EXACT(metadata!M60,"Homo sapiens"))</f>
        <v>0</v>
      </c>
      <c r="AO60" t="b">
        <f>AND(IF(metadata!N60="",FALSE,TRUE),EXACT(metadata!N60,"9606"))</f>
        <v>0</v>
      </c>
      <c r="AP60" t="b">
        <f>IF(metadata!O60="",FALSE,TRUE)</f>
        <v>0</v>
      </c>
      <c r="AQ60" t="b">
        <f>IF(metadata!P60="",FALSE,TRUE)</f>
        <v>0</v>
      </c>
      <c r="AR60" t="b">
        <f>IF(metadata!Q60="",FALSE,ISNUMBER(VALUE(metadata!Q60)))</f>
        <v>0</v>
      </c>
      <c r="AS60" t="b">
        <f>AND(IF(metadata!R60="",FALSE,TRUE),EXACT(metadata!R60,"kg"))</f>
        <v>0</v>
      </c>
    </row>
    <row r="61" spans="1:45" x14ac:dyDescent="0.2">
      <c r="A61" s="5" t="str">
        <f ca="1">IF(B61=" "," ",HYPERLINK(CONCATENATE("#metadata!",ADDRESS(INDEX($X$2:$X$1001,MATCH(ROWS($V$2:V61),$V$2:$V$1001,0),0),1)),INDEX($AA$2:$AA$1001,MATCH(ROWS($V$2:V61),$V$2:$V$1001,0),0)))</f>
        <v xml:space="preserve"> </v>
      </c>
      <c r="B61" s="4" t="str">
        <f ca="1">IF(OR(INDEX($W$2:$W$1001,MATCH(ROWS($V$2:V61),$V$2:$V$1001,0),1)&gt;=100000,INDEX($AC$1005:$AS$1005,1,MATCH(COLUMNS($AC$1006:AC1006),$AC$1006:$AS$1006,0))&gt;=100000), " ",IF(INDEX($AC$2:$AS$1001,MATCH(ROWS($V$2:V61),$V$2:$V$1001,0),MATCH(COLUMNS($AC$1006:AC1006),$AC$1006:$AS$1006,0)), HYPERLINK("#",""), HYPERLINK(CONCATENATE("#metadata!", ADDRESS(INDEX($X$2:$X$1001,MATCH(ROWS($V$2:V61),$V$2:$V$1001,0),0), INDEX($AC$1004:$AS$1004,1,MATCH(COLUMNS($AC$1006:AC1006),$AC$1006:$AS$1006,0)))),"Fix")))</f>
        <v xml:space="preserve"> </v>
      </c>
      <c r="C61" s="4" t="str">
        <f ca="1">IF(OR(INDEX($W$2:$W$1001,MATCH(ROWS($V$2:V61),$V$2:$V$1001,0),1)&gt;=100000,INDEX($AC$1005:$AS$1005,1,MATCH(COLUMNS($AC$1006:AD1006),$AC$1006:$AS$1006,0))&gt;=100000), " ",IF(INDEX($AC$2:$AS$1001,MATCH(ROWS($V$2:V61),$V$2:$V$1001,0),MATCH(COLUMNS($AC$1006:AD1006),$AC$1006:$AS$1006,0)), HYPERLINK("#",""), HYPERLINK(CONCATENATE("#metadata!", ADDRESS(INDEX($X$2:$X$1001,MATCH(ROWS($V$2:V61),$V$2:$V$1001,0),0), INDEX($AC$1004:$AS$1004,1,MATCH(COLUMNS($AC$1006:AD1006),$AC$1006:$AS$1006,0)))),"Fix")))</f>
        <v xml:space="preserve"> </v>
      </c>
      <c r="D61" s="4" t="str">
        <f ca="1">IF(OR(INDEX($W$2:$W$1001,MATCH(ROWS($V$2:V61),$V$2:$V$1001,0),1)&gt;=100000,INDEX($AC$1005:$AS$1005,1,MATCH(COLUMNS($AC$1006:AE1006),$AC$1006:$AS$1006,0))&gt;=100000), " ",IF(INDEX($AC$2:$AS$1001,MATCH(ROWS($V$2:V61),$V$2:$V$1001,0),MATCH(COLUMNS($AC$1006:AE1006),$AC$1006:$AS$1006,0)), HYPERLINK("#",""), HYPERLINK(CONCATENATE("#metadata!", ADDRESS(INDEX($X$2:$X$1001,MATCH(ROWS($V$2:V61),$V$2:$V$1001,0),0), INDEX($AC$1004:$AS$1004,1,MATCH(COLUMNS($AC$1006:AE1006),$AC$1006:$AS$1006,0)))),"Fix")))</f>
        <v xml:space="preserve"> </v>
      </c>
      <c r="E61" s="4" t="str">
        <f ca="1">IF(OR(INDEX($W$2:$W$1001,MATCH(ROWS($V$2:V61),$V$2:$V$1001,0),1)&gt;=100000,INDEX($AC$1005:$AS$1005,1,MATCH(COLUMNS($AC$1006:AF1006),$AC$1006:$AS$1006,0))&gt;=100000), " ",IF(INDEX($AC$2:$AS$1001,MATCH(ROWS($V$2:V61),$V$2:$V$1001,0),MATCH(COLUMNS($AC$1006:AF1006),$AC$1006:$AS$1006,0)), HYPERLINK("#",""), HYPERLINK(CONCATENATE("#metadata!", ADDRESS(INDEX($X$2:$X$1001,MATCH(ROWS($V$2:V61),$V$2:$V$1001,0),0), INDEX($AC$1004:$AS$1004,1,MATCH(COLUMNS($AC$1006:AF1006),$AC$1006:$AS$1006,0)))),"Fix")))</f>
        <v xml:space="preserve"> </v>
      </c>
      <c r="F61" s="4" t="str">
        <f ca="1">IF(OR(INDEX($W$2:$W$1001,MATCH(ROWS($V$2:V61),$V$2:$V$1001,0),1)&gt;=100000,INDEX($AC$1005:$AS$1005,1,MATCH(COLUMNS($AC$1006:AG1006),$AC$1006:$AS$1006,0))&gt;=100000), " ",IF(INDEX($AC$2:$AS$1001,MATCH(ROWS($V$2:V61),$V$2:$V$1001,0),MATCH(COLUMNS($AC$1006:AG1006),$AC$1006:$AS$1006,0)), HYPERLINK("#",""), HYPERLINK(CONCATENATE("#metadata!", ADDRESS(INDEX($X$2:$X$1001,MATCH(ROWS($V$2:V61),$V$2:$V$1001,0),0), INDEX($AC$1004:$AS$1004,1,MATCH(COLUMNS($AC$1006:AG1006),$AC$1006:$AS$1006,0)))),"Fix")))</f>
        <v xml:space="preserve"> </v>
      </c>
      <c r="G61" s="4" t="str">
        <f ca="1">IF(OR(INDEX($W$2:$W$1001,MATCH(ROWS($V$2:V61),$V$2:$V$1001,0),1)&gt;=100000,INDEX($AC$1005:$AS$1005,1,MATCH(COLUMNS($AC$1006:AH1006),$AC$1006:$AS$1006,0))&gt;=100000), " ",IF(INDEX($AC$2:$AS$1001,MATCH(ROWS($V$2:V61),$V$2:$V$1001,0),MATCH(COLUMNS($AC$1006:AH1006),$AC$1006:$AS$1006,0)), HYPERLINK("#",""), HYPERLINK(CONCATENATE("#metadata!", ADDRESS(INDEX($X$2:$X$1001,MATCH(ROWS($V$2:V61),$V$2:$V$1001,0),0), INDEX($AC$1004:$AS$1004,1,MATCH(COLUMNS($AC$1006:AH1006),$AC$1006:$AS$1006,0)))),"Fix")))</f>
        <v xml:space="preserve"> </v>
      </c>
      <c r="H61" s="4" t="str">
        <f ca="1">IF(OR(INDEX($W$2:$W$1001,MATCH(ROWS($V$2:V61),$V$2:$V$1001,0),1)&gt;=100000,INDEX($AC$1005:$AS$1005,1,MATCH(COLUMNS($AC$1006:AI1006),$AC$1006:$AS$1006,0))&gt;=100000), " ",IF(INDEX($AC$2:$AS$1001,MATCH(ROWS($V$2:V61),$V$2:$V$1001,0),MATCH(COLUMNS($AC$1006:AI1006),$AC$1006:$AS$1006,0)), HYPERLINK("#",""), HYPERLINK(CONCATENATE("#metadata!", ADDRESS(INDEX($X$2:$X$1001,MATCH(ROWS($V$2:V61),$V$2:$V$1001,0),0), INDEX($AC$1004:$AS$1004,1,MATCH(COLUMNS($AC$1006:AI1006),$AC$1006:$AS$1006,0)))),"Fix")))</f>
        <v xml:space="preserve"> </v>
      </c>
      <c r="I61" s="4" t="str">
        <f ca="1">IF(OR(INDEX($W$2:$W$1001,MATCH(ROWS($V$2:V61),$V$2:$V$1001,0),1)&gt;=100000,INDEX($AC$1005:$AS$1005,1,MATCH(COLUMNS($AC$1006:AJ1006),$AC$1006:$AS$1006,0))&gt;=100000), " ",IF(INDEX($AC$2:$AS$1001,MATCH(ROWS($V$2:V61),$V$2:$V$1001,0),MATCH(COLUMNS($AC$1006:AJ1006),$AC$1006:$AS$1006,0)), HYPERLINK("#",""), HYPERLINK(CONCATENATE("#metadata!", ADDRESS(INDEX($X$2:$X$1001,MATCH(ROWS($V$2:V61),$V$2:$V$1001,0),0), INDEX($AC$1004:$AS$1004,1,MATCH(COLUMNS($AC$1006:AJ1006),$AC$1006:$AS$1006,0)))),"Fix")))</f>
        <v xml:space="preserve"> </v>
      </c>
      <c r="J61" s="4" t="str">
        <f ca="1">IF(OR(INDEX($W$2:$W$1001,MATCH(ROWS($V$2:V61),$V$2:$V$1001,0),1)&gt;=100000,INDEX($AC$1005:$AS$1005,1,MATCH(COLUMNS($AC$1006:AK1006),$AC$1006:$AS$1006,0))&gt;=100000), " ",IF(INDEX($AC$2:$AS$1001,MATCH(ROWS($V$2:V61),$V$2:$V$1001,0),MATCH(COLUMNS($AC$1006:AK1006),$AC$1006:$AS$1006,0)), HYPERLINK("#",""), HYPERLINK(CONCATENATE("#metadata!", ADDRESS(INDEX($X$2:$X$1001,MATCH(ROWS($V$2:V61),$V$2:$V$1001,0),0), INDEX($AC$1004:$AS$1004,1,MATCH(COLUMNS($AC$1006:AK1006),$AC$1006:$AS$1006,0)))),"Fix")))</f>
        <v xml:space="preserve"> </v>
      </c>
      <c r="K61" s="4" t="str">
        <f ca="1">IF(OR(INDEX($W$2:$W$1001,MATCH(ROWS($V$2:V61),$V$2:$V$1001,0),1)&gt;=100000,INDEX($AC$1005:$AS$1005,1,MATCH(COLUMNS($AC$1006:AL1006),$AC$1006:$AS$1006,0))&gt;=100000), " ",IF(INDEX($AC$2:$AS$1001,MATCH(ROWS($V$2:V61),$V$2:$V$1001,0),MATCH(COLUMNS($AC$1006:AL1006),$AC$1006:$AS$1006,0)), HYPERLINK("#",""), HYPERLINK(CONCATENATE("#metadata!", ADDRESS(INDEX($X$2:$X$1001,MATCH(ROWS($V$2:V61),$V$2:$V$1001,0),0), INDEX($AC$1004:$AS$1004,1,MATCH(COLUMNS($AC$1006:AL1006),$AC$1006:$AS$1006,0)))),"Fix")))</f>
        <v xml:space="preserve"> </v>
      </c>
      <c r="L61" s="4" t="str">
        <f ca="1">IF(OR(INDEX($W$2:$W$1001,MATCH(ROWS($V$2:V61),$V$2:$V$1001,0),1)&gt;=100000,INDEX($AC$1005:$AS$1005,1,MATCH(COLUMNS($AC$1006:AM1006),$AC$1006:$AS$1006,0))&gt;=100000), " ",IF(INDEX($AC$2:$AS$1001,MATCH(ROWS($V$2:V61),$V$2:$V$1001,0),MATCH(COLUMNS($AC$1006:AM1006),$AC$1006:$AS$1006,0)), HYPERLINK("#",""), HYPERLINK(CONCATENATE("#metadata!", ADDRESS(INDEX($X$2:$X$1001,MATCH(ROWS($V$2:V61),$V$2:$V$1001,0),0), INDEX($AC$1004:$AS$1004,1,MATCH(COLUMNS($AC$1006:AM1006),$AC$1006:$AS$1006,0)))),"Fix")))</f>
        <v xml:space="preserve"> </v>
      </c>
      <c r="M61" s="4" t="str">
        <f ca="1">IF(OR(INDEX($W$2:$W$1001,MATCH(ROWS($V$2:V61),$V$2:$V$1001,0),1)&gt;=100000,INDEX($AC$1005:$AS$1005,1,MATCH(COLUMNS($AC$1006:AN1006),$AC$1006:$AS$1006,0))&gt;=100000), " ",IF(INDEX($AC$2:$AS$1001,MATCH(ROWS($V$2:V61),$V$2:$V$1001,0),MATCH(COLUMNS($AC$1006:AN1006),$AC$1006:$AS$1006,0)), HYPERLINK("#",""), HYPERLINK(CONCATENATE("#metadata!", ADDRESS(INDEX($X$2:$X$1001,MATCH(ROWS($V$2:V61),$V$2:$V$1001,0),0), INDEX($AC$1004:$AS$1004,1,MATCH(COLUMNS($AC$1006:AN1006),$AC$1006:$AS$1006,0)))),"Fix")))</f>
        <v xml:space="preserve"> </v>
      </c>
      <c r="N61" s="4" t="str">
        <f ca="1">IF(OR(INDEX($W$2:$W$1001,MATCH(ROWS($V$2:V61),$V$2:$V$1001,0),1)&gt;=100000,INDEX($AC$1005:$AS$1005,1,MATCH(COLUMNS($AC$1006:AO1006),$AC$1006:$AS$1006,0))&gt;=100000), " ",IF(INDEX($AC$2:$AS$1001,MATCH(ROWS($V$2:V61),$V$2:$V$1001,0),MATCH(COLUMNS($AC$1006:AO1006),$AC$1006:$AS$1006,0)), HYPERLINK("#",""), HYPERLINK(CONCATENATE("#metadata!", ADDRESS(INDEX($X$2:$X$1001,MATCH(ROWS($V$2:V61),$V$2:$V$1001,0),0), INDEX($AC$1004:$AS$1004,1,MATCH(COLUMNS($AC$1006:AO1006),$AC$1006:$AS$1006,0)))),"Fix")))</f>
        <v xml:space="preserve"> </v>
      </c>
      <c r="O61" s="4" t="str">
        <f ca="1">IF(OR(INDEX($W$2:$W$1001,MATCH(ROWS($V$2:V61),$V$2:$V$1001,0),1)&gt;=100000,INDEX($AC$1005:$AS$1005,1,MATCH(COLUMNS($AC$1006:AP1006),$AC$1006:$AS$1006,0))&gt;=100000), " ",IF(INDEX($AC$2:$AS$1001,MATCH(ROWS($V$2:V61),$V$2:$V$1001,0),MATCH(COLUMNS($AC$1006:AP1006),$AC$1006:$AS$1006,0)), HYPERLINK("#",""), HYPERLINK(CONCATENATE("#metadata!", ADDRESS(INDEX($X$2:$X$1001,MATCH(ROWS($V$2:V61),$V$2:$V$1001,0),0), INDEX($AC$1004:$AS$1004,1,MATCH(COLUMNS($AC$1006:AP1006),$AC$1006:$AS$1006,0)))),"Fix")))</f>
        <v xml:space="preserve"> </v>
      </c>
      <c r="P61" s="4" t="str">
        <f ca="1">IF(OR(INDEX($W$2:$W$1001,MATCH(ROWS($V$2:V61),$V$2:$V$1001,0),1)&gt;=100000,INDEX($AC$1005:$AS$1005,1,MATCH(COLUMNS($AC$1006:AQ1006),$AC$1006:$AS$1006,0))&gt;=100000), " ",IF(INDEX($AC$2:$AS$1001,MATCH(ROWS($V$2:V61),$V$2:$V$1001,0),MATCH(COLUMNS($AC$1006:AQ1006),$AC$1006:$AS$1006,0)), HYPERLINK("#",""), HYPERLINK(CONCATENATE("#metadata!", ADDRESS(INDEX($X$2:$X$1001,MATCH(ROWS($V$2:V61),$V$2:$V$1001,0),0), INDEX($AC$1004:$AS$1004,1,MATCH(COLUMNS($AC$1006:AQ1006),$AC$1006:$AS$1006,0)))),"Fix")))</f>
        <v xml:space="preserve"> </v>
      </c>
      <c r="Q61" s="4" t="str">
        <f ca="1">IF(OR(INDEX($W$2:$W$1001,MATCH(ROWS($V$2:V61),$V$2:$V$1001,0),1)&gt;=100000,INDEX($AC$1005:$AS$1005,1,MATCH(COLUMNS($AC$1006:AR1006),$AC$1006:$AS$1006,0))&gt;=100000), " ",IF(INDEX($AC$2:$AS$1001,MATCH(ROWS($V$2:V61),$V$2:$V$1001,0),MATCH(COLUMNS($AC$1006:AR1006),$AC$1006:$AS$1006,0)), HYPERLINK("#",""), HYPERLINK(CONCATENATE("#metadata!", ADDRESS(INDEX($X$2:$X$1001,MATCH(ROWS($V$2:V61),$V$2:$V$1001,0),0), INDEX($AC$1004:$AS$1004,1,MATCH(COLUMNS($AC$1006:AR1006),$AC$1006:$AS$1006,0)))),"Fix")))</f>
        <v xml:space="preserve"> </v>
      </c>
      <c r="R61" s="4" t="str">
        <f ca="1">IF(OR(INDEX($W$2:$W$1001,MATCH(ROWS($V$2:V61),$V$2:$V$1001,0),1)&gt;=100000,INDEX($AC$1005:$AS$1005,1,MATCH(COLUMNS($AC$1006:AS1006),$AC$1006:$AS$1006,0))&gt;=100000), " ",IF(INDEX($AC$2:$AS$1001,MATCH(ROWS($V$2:V61),$V$2:$V$1001,0),MATCH(COLUMNS($AC$1006:AS1006),$AC$1006:$AS$1006,0)), HYPERLINK("#",""), HYPERLINK(CONCATENATE("#metadata!", ADDRESS(INDEX($X$2:$X$1001,MATCH(ROWS($V$2:V61),$V$2:$V$1001,0),0), INDEX($AC$1004:$AS$1004,1,MATCH(COLUMNS($AC$1006:AS1006),$AC$1006:$AS$1006,0)))),"Fix")))</f>
        <v xml:space="preserve"> </v>
      </c>
      <c r="V61">
        <v>60</v>
      </c>
      <c r="W61">
        <v>100061</v>
      </c>
      <c r="X61">
        <v>61</v>
      </c>
      <c r="Y61" t="b">
        <f t="shared" si="0"/>
        <v>1</v>
      </c>
      <c r="Z61" t="b">
        <f>COUNTBLANK(metadata!B61:R61)=COLUMNS(metadata!B61:R61)</f>
        <v>1</v>
      </c>
      <c r="AA61" t="str">
        <v/>
      </c>
      <c r="AC61" t="b">
        <f ca="1"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AD61" t="b">
        <f>IF(metadata!C61="",FALSE,ISNUMBER(VALUE(metadata!C61)))</f>
        <v>0</v>
      </c>
      <c r="AE61" t="b">
        <f>AND(IF(metadata!D61="",FALSE,TRUE),EXACT(metadata!D61,"years"))</f>
        <v>0</v>
      </c>
      <c r="AF61" t="b">
        <f>OR(AND(IF(metadata!E61="",FALSE,TRUE),OR(EXACT(metadata!E61,"not applicable"),EXACT(metadata!E61,"missing: not collected"),EXACT(metadata!E61,"missing: not provided"),EXACT(metadata!E61,"missing: restricted access"))),AND(IF(metadata!E61="",FALSE,ISNUMBER(VALUE(metadata!E61))),metadata!E61&gt;0))</f>
        <v>0</v>
      </c>
      <c r="AG61" t="b">
        <f>AND(IF(metadata!F61="",FALSE,TRUE),EXACT(metadata!F61,"Not applicable"))</f>
        <v>0</v>
      </c>
      <c r="AH61" t="b">
        <f>AND(IF(metadata!G61="",FALSE,TRUE),EXACT(metadata!G61,"urban biome"))</f>
        <v>0</v>
      </c>
      <c r="AI61" t="b">
        <f>AND(IF(metadata!H61="",FALSE,TRUE),EXACT(metadata!H61,"human-associated habitat"))</f>
        <v>0</v>
      </c>
      <c r="AJ61" t="b">
        <f>AND(IF(metadata!I61="",FALSE,TRUE),OR(EXACT(metadata!I61,"human-associated"),EXACT(metadata!I61,"human-skin"),EXACT(metadata!I61,"human-oral"),EXACT(metadata!I61,"human-gut"),EXACT(metadata!I61,"human-vaginal")))</f>
        <v>0</v>
      </c>
      <c r="AK61" t="b">
        <f>IF(metadata!J61="",FALSE,ISNUMBER(VALUE(metadata!J61)))</f>
        <v>0</v>
      </c>
      <c r="AL61" t="b">
        <f>AND(IF(metadata!K61="",FALSE,TRUE),EXACT(metadata!K61,"cm"))</f>
        <v>0</v>
      </c>
      <c r="AM61" t="b">
        <f>AND(IF(metadata!L61="",FALSE,TRUE),EXACT(metadata!L61,"human"))</f>
        <v>0</v>
      </c>
      <c r="AN61" t="b">
        <f>AND(IF(metadata!M61="",FALSE,TRUE),EXACT(metadata!M61,"Homo sapiens"))</f>
        <v>0</v>
      </c>
      <c r="AO61" t="b">
        <f>AND(IF(metadata!N61="",FALSE,TRUE),EXACT(metadata!N61,"9606"))</f>
        <v>0</v>
      </c>
      <c r="AP61" t="b">
        <f>IF(metadata!O61="",FALSE,TRUE)</f>
        <v>0</v>
      </c>
      <c r="AQ61" t="b">
        <f>IF(metadata!P61="",FALSE,TRUE)</f>
        <v>0</v>
      </c>
      <c r="AR61" t="b">
        <f>IF(metadata!Q61="",FALSE,ISNUMBER(VALUE(metadata!Q61)))</f>
        <v>0</v>
      </c>
      <c r="AS61" t="b">
        <f>AND(IF(metadata!R61="",FALSE,TRUE),EXACT(metadata!R61,"kg"))</f>
        <v>0</v>
      </c>
    </row>
    <row r="62" spans="1:45" x14ac:dyDescent="0.2">
      <c r="A62" s="5" t="str">
        <f ca="1">IF(B62=" "," ",HYPERLINK(CONCATENATE("#metadata!",ADDRESS(INDEX($X$2:$X$1001,MATCH(ROWS($V$2:V62),$V$2:$V$1001,0),0),1)),INDEX($AA$2:$AA$1001,MATCH(ROWS($V$2:V62),$V$2:$V$1001,0),0)))</f>
        <v xml:space="preserve"> </v>
      </c>
      <c r="B62" s="4" t="str">
        <f ca="1">IF(OR(INDEX($W$2:$W$1001,MATCH(ROWS($V$2:V62),$V$2:$V$1001,0),1)&gt;=100000,INDEX($AC$1005:$AS$1005,1,MATCH(COLUMNS($AC$1006:AC1006),$AC$1006:$AS$1006,0))&gt;=100000), " ",IF(INDEX($AC$2:$AS$1001,MATCH(ROWS($V$2:V62),$V$2:$V$1001,0),MATCH(COLUMNS($AC$1006:AC1006),$AC$1006:$AS$1006,0)), HYPERLINK("#",""), HYPERLINK(CONCATENATE("#metadata!", ADDRESS(INDEX($X$2:$X$1001,MATCH(ROWS($V$2:V62),$V$2:$V$1001,0),0), INDEX($AC$1004:$AS$1004,1,MATCH(COLUMNS($AC$1006:AC1006),$AC$1006:$AS$1006,0)))),"Fix")))</f>
        <v xml:space="preserve"> </v>
      </c>
      <c r="C62" s="4" t="str">
        <f ca="1">IF(OR(INDEX($W$2:$W$1001,MATCH(ROWS($V$2:V62),$V$2:$V$1001,0),1)&gt;=100000,INDEX($AC$1005:$AS$1005,1,MATCH(COLUMNS($AC$1006:AD1006),$AC$1006:$AS$1006,0))&gt;=100000), " ",IF(INDEX($AC$2:$AS$1001,MATCH(ROWS($V$2:V62),$V$2:$V$1001,0),MATCH(COLUMNS($AC$1006:AD1006),$AC$1006:$AS$1006,0)), HYPERLINK("#",""), HYPERLINK(CONCATENATE("#metadata!", ADDRESS(INDEX($X$2:$X$1001,MATCH(ROWS($V$2:V62),$V$2:$V$1001,0),0), INDEX($AC$1004:$AS$1004,1,MATCH(COLUMNS($AC$1006:AD1006),$AC$1006:$AS$1006,0)))),"Fix")))</f>
        <v xml:space="preserve"> </v>
      </c>
      <c r="D62" s="4" t="str">
        <f ca="1">IF(OR(INDEX($W$2:$W$1001,MATCH(ROWS($V$2:V62),$V$2:$V$1001,0),1)&gt;=100000,INDEX($AC$1005:$AS$1005,1,MATCH(COLUMNS($AC$1006:AE1006),$AC$1006:$AS$1006,0))&gt;=100000), " ",IF(INDEX($AC$2:$AS$1001,MATCH(ROWS($V$2:V62),$V$2:$V$1001,0),MATCH(COLUMNS($AC$1006:AE1006),$AC$1006:$AS$1006,0)), HYPERLINK("#",""), HYPERLINK(CONCATENATE("#metadata!", ADDRESS(INDEX($X$2:$X$1001,MATCH(ROWS($V$2:V62),$V$2:$V$1001,0),0), INDEX($AC$1004:$AS$1004,1,MATCH(COLUMNS($AC$1006:AE1006),$AC$1006:$AS$1006,0)))),"Fix")))</f>
        <v xml:space="preserve"> </v>
      </c>
      <c r="E62" s="4" t="str">
        <f ca="1">IF(OR(INDEX($W$2:$W$1001,MATCH(ROWS($V$2:V62),$V$2:$V$1001,0),1)&gt;=100000,INDEX($AC$1005:$AS$1005,1,MATCH(COLUMNS($AC$1006:AF1006),$AC$1006:$AS$1006,0))&gt;=100000), " ",IF(INDEX($AC$2:$AS$1001,MATCH(ROWS($V$2:V62),$V$2:$V$1001,0),MATCH(COLUMNS($AC$1006:AF1006),$AC$1006:$AS$1006,0)), HYPERLINK("#",""), HYPERLINK(CONCATENATE("#metadata!", ADDRESS(INDEX($X$2:$X$1001,MATCH(ROWS($V$2:V62),$V$2:$V$1001,0),0), INDEX($AC$1004:$AS$1004,1,MATCH(COLUMNS($AC$1006:AF1006),$AC$1006:$AS$1006,0)))),"Fix")))</f>
        <v xml:space="preserve"> </v>
      </c>
      <c r="F62" s="4" t="str">
        <f ca="1">IF(OR(INDEX($W$2:$W$1001,MATCH(ROWS($V$2:V62),$V$2:$V$1001,0),1)&gt;=100000,INDEX($AC$1005:$AS$1005,1,MATCH(COLUMNS($AC$1006:AG1006),$AC$1006:$AS$1006,0))&gt;=100000), " ",IF(INDEX($AC$2:$AS$1001,MATCH(ROWS($V$2:V62),$V$2:$V$1001,0),MATCH(COLUMNS($AC$1006:AG1006),$AC$1006:$AS$1006,0)), HYPERLINK("#",""), HYPERLINK(CONCATENATE("#metadata!", ADDRESS(INDEX($X$2:$X$1001,MATCH(ROWS($V$2:V62),$V$2:$V$1001,0),0), INDEX($AC$1004:$AS$1004,1,MATCH(COLUMNS($AC$1006:AG1006),$AC$1006:$AS$1006,0)))),"Fix")))</f>
        <v xml:space="preserve"> </v>
      </c>
      <c r="G62" s="4" t="str">
        <f ca="1">IF(OR(INDEX($W$2:$W$1001,MATCH(ROWS($V$2:V62),$V$2:$V$1001,0),1)&gt;=100000,INDEX($AC$1005:$AS$1005,1,MATCH(COLUMNS($AC$1006:AH1006),$AC$1006:$AS$1006,0))&gt;=100000), " ",IF(INDEX($AC$2:$AS$1001,MATCH(ROWS($V$2:V62),$V$2:$V$1001,0),MATCH(COLUMNS($AC$1006:AH1006),$AC$1006:$AS$1006,0)), HYPERLINK("#",""), HYPERLINK(CONCATENATE("#metadata!", ADDRESS(INDEX($X$2:$X$1001,MATCH(ROWS($V$2:V62),$V$2:$V$1001,0),0), INDEX($AC$1004:$AS$1004,1,MATCH(COLUMNS($AC$1006:AH1006),$AC$1006:$AS$1006,0)))),"Fix")))</f>
        <v xml:space="preserve"> </v>
      </c>
      <c r="H62" s="4" t="str">
        <f ca="1">IF(OR(INDEX($W$2:$W$1001,MATCH(ROWS($V$2:V62),$V$2:$V$1001,0),1)&gt;=100000,INDEX($AC$1005:$AS$1005,1,MATCH(COLUMNS($AC$1006:AI1006),$AC$1006:$AS$1006,0))&gt;=100000), " ",IF(INDEX($AC$2:$AS$1001,MATCH(ROWS($V$2:V62),$V$2:$V$1001,0),MATCH(COLUMNS($AC$1006:AI1006),$AC$1006:$AS$1006,0)), HYPERLINK("#",""), HYPERLINK(CONCATENATE("#metadata!", ADDRESS(INDEX($X$2:$X$1001,MATCH(ROWS($V$2:V62),$V$2:$V$1001,0),0), INDEX($AC$1004:$AS$1004,1,MATCH(COLUMNS($AC$1006:AI1006),$AC$1006:$AS$1006,0)))),"Fix")))</f>
        <v xml:space="preserve"> </v>
      </c>
      <c r="I62" s="4" t="str">
        <f ca="1">IF(OR(INDEX($W$2:$W$1001,MATCH(ROWS($V$2:V62),$V$2:$V$1001,0),1)&gt;=100000,INDEX($AC$1005:$AS$1005,1,MATCH(COLUMNS($AC$1006:AJ1006),$AC$1006:$AS$1006,0))&gt;=100000), " ",IF(INDEX($AC$2:$AS$1001,MATCH(ROWS($V$2:V62),$V$2:$V$1001,0),MATCH(COLUMNS($AC$1006:AJ1006),$AC$1006:$AS$1006,0)), HYPERLINK("#",""), HYPERLINK(CONCATENATE("#metadata!", ADDRESS(INDEX($X$2:$X$1001,MATCH(ROWS($V$2:V62),$V$2:$V$1001,0),0), INDEX($AC$1004:$AS$1004,1,MATCH(COLUMNS($AC$1006:AJ1006),$AC$1006:$AS$1006,0)))),"Fix")))</f>
        <v xml:space="preserve"> </v>
      </c>
      <c r="J62" s="4" t="str">
        <f ca="1">IF(OR(INDEX($W$2:$W$1001,MATCH(ROWS($V$2:V62),$V$2:$V$1001,0),1)&gt;=100000,INDEX($AC$1005:$AS$1005,1,MATCH(COLUMNS($AC$1006:AK1006),$AC$1006:$AS$1006,0))&gt;=100000), " ",IF(INDEX($AC$2:$AS$1001,MATCH(ROWS($V$2:V62),$V$2:$V$1001,0),MATCH(COLUMNS($AC$1006:AK1006),$AC$1006:$AS$1006,0)), HYPERLINK("#",""), HYPERLINK(CONCATENATE("#metadata!", ADDRESS(INDEX($X$2:$X$1001,MATCH(ROWS($V$2:V62),$V$2:$V$1001,0),0), INDEX($AC$1004:$AS$1004,1,MATCH(COLUMNS($AC$1006:AK1006),$AC$1006:$AS$1006,0)))),"Fix")))</f>
        <v xml:space="preserve"> </v>
      </c>
      <c r="K62" s="4" t="str">
        <f ca="1">IF(OR(INDEX($W$2:$W$1001,MATCH(ROWS($V$2:V62),$V$2:$V$1001,0),1)&gt;=100000,INDEX($AC$1005:$AS$1005,1,MATCH(COLUMNS($AC$1006:AL1006),$AC$1006:$AS$1006,0))&gt;=100000), " ",IF(INDEX($AC$2:$AS$1001,MATCH(ROWS($V$2:V62),$V$2:$V$1001,0),MATCH(COLUMNS($AC$1006:AL1006),$AC$1006:$AS$1006,0)), HYPERLINK("#",""), HYPERLINK(CONCATENATE("#metadata!", ADDRESS(INDEX($X$2:$X$1001,MATCH(ROWS($V$2:V62),$V$2:$V$1001,0),0), INDEX($AC$1004:$AS$1004,1,MATCH(COLUMNS($AC$1006:AL1006),$AC$1006:$AS$1006,0)))),"Fix")))</f>
        <v xml:space="preserve"> </v>
      </c>
      <c r="L62" s="4" t="str">
        <f ca="1">IF(OR(INDEX($W$2:$W$1001,MATCH(ROWS($V$2:V62),$V$2:$V$1001,0),1)&gt;=100000,INDEX($AC$1005:$AS$1005,1,MATCH(COLUMNS($AC$1006:AM1006),$AC$1006:$AS$1006,0))&gt;=100000), " ",IF(INDEX($AC$2:$AS$1001,MATCH(ROWS($V$2:V62),$V$2:$V$1001,0),MATCH(COLUMNS($AC$1006:AM1006),$AC$1006:$AS$1006,0)), HYPERLINK("#",""), HYPERLINK(CONCATENATE("#metadata!", ADDRESS(INDEX($X$2:$X$1001,MATCH(ROWS($V$2:V62),$V$2:$V$1001,0),0), INDEX($AC$1004:$AS$1004,1,MATCH(COLUMNS($AC$1006:AM1006),$AC$1006:$AS$1006,0)))),"Fix")))</f>
        <v xml:space="preserve"> </v>
      </c>
      <c r="M62" s="4" t="str">
        <f ca="1">IF(OR(INDEX($W$2:$W$1001,MATCH(ROWS($V$2:V62),$V$2:$V$1001,0),1)&gt;=100000,INDEX($AC$1005:$AS$1005,1,MATCH(COLUMNS($AC$1006:AN1006),$AC$1006:$AS$1006,0))&gt;=100000), " ",IF(INDEX($AC$2:$AS$1001,MATCH(ROWS($V$2:V62),$V$2:$V$1001,0),MATCH(COLUMNS($AC$1006:AN1006),$AC$1006:$AS$1006,0)), HYPERLINK("#",""), HYPERLINK(CONCATENATE("#metadata!", ADDRESS(INDEX($X$2:$X$1001,MATCH(ROWS($V$2:V62),$V$2:$V$1001,0),0), INDEX($AC$1004:$AS$1004,1,MATCH(COLUMNS($AC$1006:AN1006),$AC$1006:$AS$1006,0)))),"Fix")))</f>
        <v xml:space="preserve"> </v>
      </c>
      <c r="N62" s="4" t="str">
        <f ca="1">IF(OR(INDEX($W$2:$W$1001,MATCH(ROWS($V$2:V62),$V$2:$V$1001,0),1)&gt;=100000,INDEX($AC$1005:$AS$1005,1,MATCH(COLUMNS($AC$1006:AO1006),$AC$1006:$AS$1006,0))&gt;=100000), " ",IF(INDEX($AC$2:$AS$1001,MATCH(ROWS($V$2:V62),$V$2:$V$1001,0),MATCH(COLUMNS($AC$1006:AO1006),$AC$1006:$AS$1006,0)), HYPERLINK("#",""), HYPERLINK(CONCATENATE("#metadata!", ADDRESS(INDEX($X$2:$X$1001,MATCH(ROWS($V$2:V62),$V$2:$V$1001,0),0), INDEX($AC$1004:$AS$1004,1,MATCH(COLUMNS($AC$1006:AO1006),$AC$1006:$AS$1006,0)))),"Fix")))</f>
        <v xml:space="preserve"> </v>
      </c>
      <c r="O62" s="4" t="str">
        <f ca="1">IF(OR(INDEX($W$2:$W$1001,MATCH(ROWS($V$2:V62),$V$2:$V$1001,0),1)&gt;=100000,INDEX($AC$1005:$AS$1005,1,MATCH(COLUMNS($AC$1006:AP1006),$AC$1006:$AS$1006,0))&gt;=100000), " ",IF(INDEX($AC$2:$AS$1001,MATCH(ROWS($V$2:V62),$V$2:$V$1001,0),MATCH(COLUMNS($AC$1006:AP1006),$AC$1006:$AS$1006,0)), HYPERLINK("#",""), HYPERLINK(CONCATENATE("#metadata!", ADDRESS(INDEX($X$2:$X$1001,MATCH(ROWS($V$2:V62),$V$2:$V$1001,0),0), INDEX($AC$1004:$AS$1004,1,MATCH(COLUMNS($AC$1006:AP1006),$AC$1006:$AS$1006,0)))),"Fix")))</f>
        <v xml:space="preserve"> </v>
      </c>
      <c r="P62" s="4" t="str">
        <f ca="1">IF(OR(INDEX($W$2:$W$1001,MATCH(ROWS($V$2:V62),$V$2:$V$1001,0),1)&gt;=100000,INDEX($AC$1005:$AS$1005,1,MATCH(COLUMNS($AC$1006:AQ1006),$AC$1006:$AS$1006,0))&gt;=100000), " ",IF(INDEX($AC$2:$AS$1001,MATCH(ROWS($V$2:V62),$V$2:$V$1001,0),MATCH(COLUMNS($AC$1006:AQ1006),$AC$1006:$AS$1006,0)), HYPERLINK("#",""), HYPERLINK(CONCATENATE("#metadata!", ADDRESS(INDEX($X$2:$X$1001,MATCH(ROWS($V$2:V62),$V$2:$V$1001,0),0), INDEX($AC$1004:$AS$1004,1,MATCH(COLUMNS($AC$1006:AQ1006),$AC$1006:$AS$1006,0)))),"Fix")))</f>
        <v xml:space="preserve"> </v>
      </c>
      <c r="Q62" s="4" t="str">
        <f ca="1">IF(OR(INDEX($W$2:$W$1001,MATCH(ROWS($V$2:V62),$V$2:$V$1001,0),1)&gt;=100000,INDEX($AC$1005:$AS$1005,1,MATCH(COLUMNS($AC$1006:AR1006),$AC$1006:$AS$1006,0))&gt;=100000), " ",IF(INDEX($AC$2:$AS$1001,MATCH(ROWS($V$2:V62),$V$2:$V$1001,0),MATCH(COLUMNS($AC$1006:AR1006),$AC$1006:$AS$1006,0)), HYPERLINK("#",""), HYPERLINK(CONCATENATE("#metadata!", ADDRESS(INDEX($X$2:$X$1001,MATCH(ROWS($V$2:V62),$V$2:$V$1001,0),0), INDEX($AC$1004:$AS$1004,1,MATCH(COLUMNS($AC$1006:AR1006),$AC$1006:$AS$1006,0)))),"Fix")))</f>
        <v xml:space="preserve"> </v>
      </c>
      <c r="R62" s="4" t="str">
        <f ca="1">IF(OR(INDEX($W$2:$W$1001,MATCH(ROWS($V$2:V62),$V$2:$V$1001,0),1)&gt;=100000,INDEX($AC$1005:$AS$1005,1,MATCH(COLUMNS($AC$1006:AS1006),$AC$1006:$AS$1006,0))&gt;=100000), " ",IF(INDEX($AC$2:$AS$1001,MATCH(ROWS($V$2:V62),$V$2:$V$1001,0),MATCH(COLUMNS($AC$1006:AS1006),$AC$1006:$AS$1006,0)), HYPERLINK("#",""), HYPERLINK(CONCATENATE("#metadata!", ADDRESS(INDEX($X$2:$X$1001,MATCH(ROWS($V$2:V62),$V$2:$V$1001,0),0), INDEX($AC$1004:$AS$1004,1,MATCH(COLUMNS($AC$1006:AS1006),$AC$1006:$AS$1006,0)))),"Fix")))</f>
        <v xml:space="preserve"> </v>
      </c>
      <c r="V62">
        <v>61</v>
      </c>
      <c r="W62">
        <v>100062</v>
      </c>
      <c r="X62">
        <v>62</v>
      </c>
      <c r="Y62" t="b">
        <f t="shared" si="0"/>
        <v>1</v>
      </c>
      <c r="Z62" t="b">
        <f>COUNTBLANK(metadata!B62:R62)=COLUMNS(metadata!B62:R62)</f>
        <v>1</v>
      </c>
      <c r="AA62" t="str">
        <v/>
      </c>
      <c r="AC62" t="b">
        <f ca="1"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AD62" t="b">
        <f>IF(metadata!C62="",FALSE,ISNUMBER(VALUE(metadata!C62)))</f>
        <v>0</v>
      </c>
      <c r="AE62" t="b">
        <f>AND(IF(metadata!D62="",FALSE,TRUE),EXACT(metadata!D62,"years"))</f>
        <v>0</v>
      </c>
      <c r="AF62" t="b">
        <f>OR(AND(IF(metadata!E62="",FALSE,TRUE),OR(EXACT(metadata!E62,"not applicable"),EXACT(metadata!E62,"missing: not collected"),EXACT(metadata!E62,"missing: not provided"),EXACT(metadata!E62,"missing: restricted access"))),AND(IF(metadata!E62="",FALSE,ISNUMBER(VALUE(metadata!E62))),metadata!E62&gt;0))</f>
        <v>0</v>
      </c>
      <c r="AG62" t="b">
        <f>AND(IF(metadata!F62="",FALSE,TRUE),EXACT(metadata!F62,"Not applicable"))</f>
        <v>0</v>
      </c>
      <c r="AH62" t="b">
        <f>AND(IF(metadata!G62="",FALSE,TRUE),EXACT(metadata!G62,"urban biome"))</f>
        <v>0</v>
      </c>
      <c r="AI62" t="b">
        <f>AND(IF(metadata!H62="",FALSE,TRUE),EXACT(metadata!H62,"human-associated habitat"))</f>
        <v>0</v>
      </c>
      <c r="AJ62" t="b">
        <f>AND(IF(metadata!I62="",FALSE,TRUE),OR(EXACT(metadata!I62,"human-associated"),EXACT(metadata!I62,"human-skin"),EXACT(metadata!I62,"human-oral"),EXACT(metadata!I62,"human-gut"),EXACT(metadata!I62,"human-vaginal")))</f>
        <v>0</v>
      </c>
      <c r="AK62" t="b">
        <f>IF(metadata!J62="",FALSE,ISNUMBER(VALUE(metadata!J62)))</f>
        <v>0</v>
      </c>
      <c r="AL62" t="b">
        <f>AND(IF(metadata!K62="",FALSE,TRUE),EXACT(metadata!K62,"cm"))</f>
        <v>0</v>
      </c>
      <c r="AM62" t="b">
        <f>AND(IF(metadata!L62="",FALSE,TRUE),EXACT(metadata!L62,"human"))</f>
        <v>0</v>
      </c>
      <c r="AN62" t="b">
        <f>AND(IF(metadata!M62="",FALSE,TRUE),EXACT(metadata!M62,"Homo sapiens"))</f>
        <v>0</v>
      </c>
      <c r="AO62" t="b">
        <f>AND(IF(metadata!N62="",FALSE,TRUE),EXACT(metadata!N62,"9606"))</f>
        <v>0</v>
      </c>
      <c r="AP62" t="b">
        <f>IF(metadata!O62="",FALSE,TRUE)</f>
        <v>0</v>
      </c>
      <c r="AQ62" t="b">
        <f>IF(metadata!P62="",FALSE,TRUE)</f>
        <v>0</v>
      </c>
      <c r="AR62" t="b">
        <f>IF(metadata!Q62="",FALSE,ISNUMBER(VALUE(metadata!Q62)))</f>
        <v>0</v>
      </c>
      <c r="AS62" t="b">
        <f>AND(IF(metadata!R62="",FALSE,TRUE),EXACT(metadata!R62,"kg"))</f>
        <v>0</v>
      </c>
    </row>
    <row r="63" spans="1:45" x14ac:dyDescent="0.2">
      <c r="A63" s="5" t="str">
        <f ca="1">IF(B63=" "," ",HYPERLINK(CONCATENATE("#metadata!",ADDRESS(INDEX($X$2:$X$1001,MATCH(ROWS($V$2:V63),$V$2:$V$1001,0),0),1)),INDEX($AA$2:$AA$1001,MATCH(ROWS($V$2:V63),$V$2:$V$1001,0),0)))</f>
        <v xml:space="preserve"> </v>
      </c>
      <c r="B63" s="4" t="str">
        <f ca="1">IF(OR(INDEX($W$2:$W$1001,MATCH(ROWS($V$2:V63),$V$2:$V$1001,0),1)&gt;=100000,INDEX($AC$1005:$AS$1005,1,MATCH(COLUMNS($AC$1006:AC1006),$AC$1006:$AS$1006,0))&gt;=100000), " ",IF(INDEX($AC$2:$AS$1001,MATCH(ROWS($V$2:V63),$V$2:$V$1001,0),MATCH(COLUMNS($AC$1006:AC1006),$AC$1006:$AS$1006,0)), HYPERLINK("#",""), HYPERLINK(CONCATENATE("#metadata!", ADDRESS(INDEX($X$2:$X$1001,MATCH(ROWS($V$2:V63),$V$2:$V$1001,0),0), INDEX($AC$1004:$AS$1004,1,MATCH(COLUMNS($AC$1006:AC1006),$AC$1006:$AS$1006,0)))),"Fix")))</f>
        <v xml:space="preserve"> </v>
      </c>
      <c r="C63" s="4" t="str">
        <f ca="1">IF(OR(INDEX($W$2:$W$1001,MATCH(ROWS($V$2:V63),$V$2:$V$1001,0),1)&gt;=100000,INDEX($AC$1005:$AS$1005,1,MATCH(COLUMNS($AC$1006:AD1006),$AC$1006:$AS$1006,0))&gt;=100000), " ",IF(INDEX($AC$2:$AS$1001,MATCH(ROWS($V$2:V63),$V$2:$V$1001,0),MATCH(COLUMNS($AC$1006:AD1006),$AC$1006:$AS$1006,0)), HYPERLINK("#",""), HYPERLINK(CONCATENATE("#metadata!", ADDRESS(INDEX($X$2:$X$1001,MATCH(ROWS($V$2:V63),$V$2:$V$1001,0),0), INDEX($AC$1004:$AS$1004,1,MATCH(COLUMNS($AC$1006:AD1006),$AC$1006:$AS$1006,0)))),"Fix")))</f>
        <v xml:space="preserve"> </v>
      </c>
      <c r="D63" s="4" t="str">
        <f ca="1">IF(OR(INDEX($W$2:$W$1001,MATCH(ROWS($V$2:V63),$V$2:$V$1001,0),1)&gt;=100000,INDEX($AC$1005:$AS$1005,1,MATCH(COLUMNS($AC$1006:AE1006),$AC$1006:$AS$1006,0))&gt;=100000), " ",IF(INDEX($AC$2:$AS$1001,MATCH(ROWS($V$2:V63),$V$2:$V$1001,0),MATCH(COLUMNS($AC$1006:AE1006),$AC$1006:$AS$1006,0)), HYPERLINK("#",""), HYPERLINK(CONCATENATE("#metadata!", ADDRESS(INDEX($X$2:$X$1001,MATCH(ROWS($V$2:V63),$V$2:$V$1001,0),0), INDEX($AC$1004:$AS$1004,1,MATCH(COLUMNS($AC$1006:AE1006),$AC$1006:$AS$1006,0)))),"Fix")))</f>
        <v xml:space="preserve"> </v>
      </c>
      <c r="E63" s="4" t="str">
        <f ca="1">IF(OR(INDEX($W$2:$W$1001,MATCH(ROWS($V$2:V63),$V$2:$V$1001,0),1)&gt;=100000,INDEX($AC$1005:$AS$1005,1,MATCH(COLUMNS($AC$1006:AF1006),$AC$1006:$AS$1006,0))&gt;=100000), " ",IF(INDEX($AC$2:$AS$1001,MATCH(ROWS($V$2:V63),$V$2:$V$1001,0),MATCH(COLUMNS($AC$1006:AF1006),$AC$1006:$AS$1006,0)), HYPERLINK("#",""), HYPERLINK(CONCATENATE("#metadata!", ADDRESS(INDEX($X$2:$X$1001,MATCH(ROWS($V$2:V63),$V$2:$V$1001,0),0), INDEX($AC$1004:$AS$1004,1,MATCH(COLUMNS($AC$1006:AF1006),$AC$1006:$AS$1006,0)))),"Fix")))</f>
        <v xml:space="preserve"> </v>
      </c>
      <c r="F63" s="4" t="str">
        <f ca="1">IF(OR(INDEX($W$2:$W$1001,MATCH(ROWS($V$2:V63),$V$2:$V$1001,0),1)&gt;=100000,INDEX($AC$1005:$AS$1005,1,MATCH(COLUMNS($AC$1006:AG1006),$AC$1006:$AS$1006,0))&gt;=100000), " ",IF(INDEX($AC$2:$AS$1001,MATCH(ROWS($V$2:V63),$V$2:$V$1001,0),MATCH(COLUMNS($AC$1006:AG1006),$AC$1006:$AS$1006,0)), HYPERLINK("#",""), HYPERLINK(CONCATENATE("#metadata!", ADDRESS(INDEX($X$2:$X$1001,MATCH(ROWS($V$2:V63),$V$2:$V$1001,0),0), INDEX($AC$1004:$AS$1004,1,MATCH(COLUMNS($AC$1006:AG1006),$AC$1006:$AS$1006,0)))),"Fix")))</f>
        <v xml:space="preserve"> </v>
      </c>
      <c r="G63" s="4" t="str">
        <f ca="1">IF(OR(INDEX($W$2:$W$1001,MATCH(ROWS($V$2:V63),$V$2:$V$1001,0),1)&gt;=100000,INDEX($AC$1005:$AS$1005,1,MATCH(COLUMNS($AC$1006:AH1006),$AC$1006:$AS$1006,0))&gt;=100000), " ",IF(INDEX($AC$2:$AS$1001,MATCH(ROWS($V$2:V63),$V$2:$V$1001,0),MATCH(COLUMNS($AC$1006:AH1006),$AC$1006:$AS$1006,0)), HYPERLINK("#",""), HYPERLINK(CONCATENATE("#metadata!", ADDRESS(INDEX($X$2:$X$1001,MATCH(ROWS($V$2:V63),$V$2:$V$1001,0),0), INDEX($AC$1004:$AS$1004,1,MATCH(COLUMNS($AC$1006:AH1006),$AC$1006:$AS$1006,0)))),"Fix")))</f>
        <v xml:space="preserve"> </v>
      </c>
      <c r="H63" s="4" t="str">
        <f ca="1">IF(OR(INDEX($W$2:$W$1001,MATCH(ROWS($V$2:V63),$V$2:$V$1001,0),1)&gt;=100000,INDEX($AC$1005:$AS$1005,1,MATCH(COLUMNS($AC$1006:AI1006),$AC$1006:$AS$1006,0))&gt;=100000), " ",IF(INDEX($AC$2:$AS$1001,MATCH(ROWS($V$2:V63),$V$2:$V$1001,0),MATCH(COLUMNS($AC$1006:AI1006),$AC$1006:$AS$1006,0)), HYPERLINK("#",""), HYPERLINK(CONCATENATE("#metadata!", ADDRESS(INDEX($X$2:$X$1001,MATCH(ROWS($V$2:V63),$V$2:$V$1001,0),0), INDEX($AC$1004:$AS$1004,1,MATCH(COLUMNS($AC$1006:AI1006),$AC$1006:$AS$1006,0)))),"Fix")))</f>
        <v xml:space="preserve"> </v>
      </c>
      <c r="I63" s="4" t="str">
        <f ca="1">IF(OR(INDEX($W$2:$W$1001,MATCH(ROWS($V$2:V63),$V$2:$V$1001,0),1)&gt;=100000,INDEX($AC$1005:$AS$1005,1,MATCH(COLUMNS($AC$1006:AJ1006),$AC$1006:$AS$1006,0))&gt;=100000), " ",IF(INDEX($AC$2:$AS$1001,MATCH(ROWS($V$2:V63),$V$2:$V$1001,0),MATCH(COLUMNS($AC$1006:AJ1006),$AC$1006:$AS$1006,0)), HYPERLINK("#",""), HYPERLINK(CONCATENATE("#metadata!", ADDRESS(INDEX($X$2:$X$1001,MATCH(ROWS($V$2:V63),$V$2:$V$1001,0),0), INDEX($AC$1004:$AS$1004,1,MATCH(COLUMNS($AC$1006:AJ1006),$AC$1006:$AS$1006,0)))),"Fix")))</f>
        <v xml:space="preserve"> </v>
      </c>
      <c r="J63" s="4" t="str">
        <f ca="1">IF(OR(INDEX($W$2:$W$1001,MATCH(ROWS($V$2:V63),$V$2:$V$1001,0),1)&gt;=100000,INDEX($AC$1005:$AS$1005,1,MATCH(COLUMNS($AC$1006:AK1006),$AC$1006:$AS$1006,0))&gt;=100000), " ",IF(INDEX($AC$2:$AS$1001,MATCH(ROWS($V$2:V63),$V$2:$V$1001,0),MATCH(COLUMNS($AC$1006:AK1006),$AC$1006:$AS$1006,0)), HYPERLINK("#",""), HYPERLINK(CONCATENATE("#metadata!", ADDRESS(INDEX($X$2:$X$1001,MATCH(ROWS($V$2:V63),$V$2:$V$1001,0),0), INDEX($AC$1004:$AS$1004,1,MATCH(COLUMNS($AC$1006:AK1006),$AC$1006:$AS$1006,0)))),"Fix")))</f>
        <v xml:space="preserve"> </v>
      </c>
      <c r="K63" s="4" t="str">
        <f ca="1">IF(OR(INDEX($W$2:$W$1001,MATCH(ROWS($V$2:V63),$V$2:$V$1001,0),1)&gt;=100000,INDEX($AC$1005:$AS$1005,1,MATCH(COLUMNS($AC$1006:AL1006),$AC$1006:$AS$1006,0))&gt;=100000), " ",IF(INDEX($AC$2:$AS$1001,MATCH(ROWS($V$2:V63),$V$2:$V$1001,0),MATCH(COLUMNS($AC$1006:AL1006),$AC$1006:$AS$1006,0)), HYPERLINK("#",""), HYPERLINK(CONCATENATE("#metadata!", ADDRESS(INDEX($X$2:$X$1001,MATCH(ROWS($V$2:V63),$V$2:$V$1001,0),0), INDEX($AC$1004:$AS$1004,1,MATCH(COLUMNS($AC$1006:AL1006),$AC$1006:$AS$1006,0)))),"Fix")))</f>
        <v xml:space="preserve"> </v>
      </c>
      <c r="L63" s="4" t="str">
        <f ca="1">IF(OR(INDEX($W$2:$W$1001,MATCH(ROWS($V$2:V63),$V$2:$V$1001,0),1)&gt;=100000,INDEX($AC$1005:$AS$1005,1,MATCH(COLUMNS($AC$1006:AM1006),$AC$1006:$AS$1006,0))&gt;=100000), " ",IF(INDEX($AC$2:$AS$1001,MATCH(ROWS($V$2:V63),$V$2:$V$1001,0),MATCH(COLUMNS($AC$1006:AM1006),$AC$1006:$AS$1006,0)), HYPERLINK("#",""), HYPERLINK(CONCATENATE("#metadata!", ADDRESS(INDEX($X$2:$X$1001,MATCH(ROWS($V$2:V63),$V$2:$V$1001,0),0), INDEX($AC$1004:$AS$1004,1,MATCH(COLUMNS($AC$1006:AM1006),$AC$1006:$AS$1006,0)))),"Fix")))</f>
        <v xml:space="preserve"> </v>
      </c>
      <c r="M63" s="4" t="str">
        <f ca="1">IF(OR(INDEX($W$2:$W$1001,MATCH(ROWS($V$2:V63),$V$2:$V$1001,0),1)&gt;=100000,INDEX($AC$1005:$AS$1005,1,MATCH(COLUMNS($AC$1006:AN1006),$AC$1006:$AS$1006,0))&gt;=100000), " ",IF(INDEX($AC$2:$AS$1001,MATCH(ROWS($V$2:V63),$V$2:$V$1001,0),MATCH(COLUMNS($AC$1006:AN1006),$AC$1006:$AS$1006,0)), HYPERLINK("#",""), HYPERLINK(CONCATENATE("#metadata!", ADDRESS(INDEX($X$2:$X$1001,MATCH(ROWS($V$2:V63),$V$2:$V$1001,0),0), INDEX($AC$1004:$AS$1004,1,MATCH(COLUMNS($AC$1006:AN1006),$AC$1006:$AS$1006,0)))),"Fix")))</f>
        <v xml:space="preserve"> </v>
      </c>
      <c r="N63" s="4" t="str">
        <f ca="1">IF(OR(INDEX($W$2:$W$1001,MATCH(ROWS($V$2:V63),$V$2:$V$1001,0),1)&gt;=100000,INDEX($AC$1005:$AS$1005,1,MATCH(COLUMNS($AC$1006:AO1006),$AC$1006:$AS$1006,0))&gt;=100000), " ",IF(INDEX($AC$2:$AS$1001,MATCH(ROWS($V$2:V63),$V$2:$V$1001,0),MATCH(COLUMNS($AC$1006:AO1006),$AC$1006:$AS$1006,0)), HYPERLINK("#",""), HYPERLINK(CONCATENATE("#metadata!", ADDRESS(INDEX($X$2:$X$1001,MATCH(ROWS($V$2:V63),$V$2:$V$1001,0),0), INDEX($AC$1004:$AS$1004,1,MATCH(COLUMNS($AC$1006:AO1006),$AC$1006:$AS$1006,0)))),"Fix")))</f>
        <v xml:space="preserve"> </v>
      </c>
      <c r="O63" s="4" t="str">
        <f ca="1">IF(OR(INDEX($W$2:$W$1001,MATCH(ROWS($V$2:V63),$V$2:$V$1001,0),1)&gt;=100000,INDEX($AC$1005:$AS$1005,1,MATCH(COLUMNS($AC$1006:AP1006),$AC$1006:$AS$1006,0))&gt;=100000), " ",IF(INDEX($AC$2:$AS$1001,MATCH(ROWS($V$2:V63),$V$2:$V$1001,0),MATCH(COLUMNS($AC$1006:AP1006),$AC$1006:$AS$1006,0)), HYPERLINK("#",""), HYPERLINK(CONCATENATE("#metadata!", ADDRESS(INDEX($X$2:$X$1001,MATCH(ROWS($V$2:V63),$V$2:$V$1001,0),0), INDEX($AC$1004:$AS$1004,1,MATCH(COLUMNS($AC$1006:AP1006),$AC$1006:$AS$1006,0)))),"Fix")))</f>
        <v xml:space="preserve"> </v>
      </c>
      <c r="P63" s="4" t="str">
        <f ca="1">IF(OR(INDEX($W$2:$W$1001,MATCH(ROWS($V$2:V63),$V$2:$V$1001,0),1)&gt;=100000,INDEX($AC$1005:$AS$1005,1,MATCH(COLUMNS($AC$1006:AQ1006),$AC$1006:$AS$1006,0))&gt;=100000), " ",IF(INDEX($AC$2:$AS$1001,MATCH(ROWS($V$2:V63),$V$2:$V$1001,0),MATCH(COLUMNS($AC$1006:AQ1006),$AC$1006:$AS$1006,0)), HYPERLINK("#",""), HYPERLINK(CONCATENATE("#metadata!", ADDRESS(INDEX($X$2:$X$1001,MATCH(ROWS($V$2:V63),$V$2:$V$1001,0),0), INDEX($AC$1004:$AS$1004,1,MATCH(COLUMNS($AC$1006:AQ1006),$AC$1006:$AS$1006,0)))),"Fix")))</f>
        <v xml:space="preserve"> </v>
      </c>
      <c r="Q63" s="4" t="str">
        <f ca="1">IF(OR(INDEX($W$2:$W$1001,MATCH(ROWS($V$2:V63),$V$2:$V$1001,0),1)&gt;=100000,INDEX($AC$1005:$AS$1005,1,MATCH(COLUMNS($AC$1006:AR1006),$AC$1006:$AS$1006,0))&gt;=100000), " ",IF(INDEX($AC$2:$AS$1001,MATCH(ROWS($V$2:V63),$V$2:$V$1001,0),MATCH(COLUMNS($AC$1006:AR1006),$AC$1006:$AS$1006,0)), HYPERLINK("#",""), HYPERLINK(CONCATENATE("#metadata!", ADDRESS(INDEX($X$2:$X$1001,MATCH(ROWS($V$2:V63),$V$2:$V$1001,0),0), INDEX($AC$1004:$AS$1004,1,MATCH(COLUMNS($AC$1006:AR1006),$AC$1006:$AS$1006,0)))),"Fix")))</f>
        <v xml:space="preserve"> </v>
      </c>
      <c r="R63" s="4" t="str">
        <f ca="1">IF(OR(INDEX($W$2:$W$1001,MATCH(ROWS($V$2:V63),$V$2:$V$1001,0),1)&gt;=100000,INDEX($AC$1005:$AS$1005,1,MATCH(COLUMNS($AC$1006:AS1006),$AC$1006:$AS$1006,0))&gt;=100000), " ",IF(INDEX($AC$2:$AS$1001,MATCH(ROWS($V$2:V63),$V$2:$V$1001,0),MATCH(COLUMNS($AC$1006:AS1006),$AC$1006:$AS$1006,0)), HYPERLINK("#",""), HYPERLINK(CONCATENATE("#metadata!", ADDRESS(INDEX($X$2:$X$1001,MATCH(ROWS($V$2:V63),$V$2:$V$1001,0),0), INDEX($AC$1004:$AS$1004,1,MATCH(COLUMNS($AC$1006:AS1006),$AC$1006:$AS$1006,0)))),"Fix")))</f>
        <v xml:space="preserve"> </v>
      </c>
      <c r="V63">
        <v>62</v>
      </c>
      <c r="W63">
        <v>100063</v>
      </c>
      <c r="X63">
        <v>63</v>
      </c>
      <c r="Y63" t="b">
        <f t="shared" si="0"/>
        <v>1</v>
      </c>
      <c r="Z63" t="b">
        <f>COUNTBLANK(metadata!B63:R63)=COLUMNS(metadata!B63:R63)</f>
        <v>1</v>
      </c>
      <c r="AA63" t="str">
        <v/>
      </c>
      <c r="AC63" t="b">
        <f ca="1"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AD63" t="b">
        <f>IF(metadata!C63="",FALSE,ISNUMBER(VALUE(metadata!C63)))</f>
        <v>0</v>
      </c>
      <c r="AE63" t="b">
        <f>AND(IF(metadata!D63="",FALSE,TRUE),EXACT(metadata!D63,"years"))</f>
        <v>0</v>
      </c>
      <c r="AF63" t="b">
        <f>OR(AND(IF(metadata!E63="",FALSE,TRUE),OR(EXACT(metadata!E63,"not applicable"),EXACT(metadata!E63,"missing: not collected"),EXACT(metadata!E63,"missing: not provided"),EXACT(metadata!E63,"missing: restricted access"))),AND(IF(metadata!E63="",FALSE,ISNUMBER(VALUE(metadata!E63))),metadata!E63&gt;0))</f>
        <v>0</v>
      </c>
      <c r="AG63" t="b">
        <f>AND(IF(metadata!F63="",FALSE,TRUE),EXACT(metadata!F63,"Not applicable"))</f>
        <v>0</v>
      </c>
      <c r="AH63" t="b">
        <f>AND(IF(metadata!G63="",FALSE,TRUE),EXACT(metadata!G63,"urban biome"))</f>
        <v>0</v>
      </c>
      <c r="AI63" t="b">
        <f>AND(IF(metadata!H63="",FALSE,TRUE),EXACT(metadata!H63,"human-associated habitat"))</f>
        <v>0</v>
      </c>
      <c r="AJ63" t="b">
        <f>AND(IF(metadata!I63="",FALSE,TRUE),OR(EXACT(metadata!I63,"human-associated"),EXACT(metadata!I63,"human-skin"),EXACT(metadata!I63,"human-oral"),EXACT(metadata!I63,"human-gut"),EXACT(metadata!I63,"human-vaginal")))</f>
        <v>0</v>
      </c>
      <c r="AK63" t="b">
        <f>IF(metadata!J63="",FALSE,ISNUMBER(VALUE(metadata!J63)))</f>
        <v>0</v>
      </c>
      <c r="AL63" t="b">
        <f>AND(IF(metadata!K63="",FALSE,TRUE),EXACT(metadata!K63,"cm"))</f>
        <v>0</v>
      </c>
      <c r="AM63" t="b">
        <f>AND(IF(metadata!L63="",FALSE,TRUE),EXACT(metadata!L63,"human"))</f>
        <v>0</v>
      </c>
      <c r="AN63" t="b">
        <f>AND(IF(metadata!M63="",FALSE,TRUE),EXACT(metadata!M63,"Homo sapiens"))</f>
        <v>0</v>
      </c>
      <c r="AO63" t="b">
        <f>AND(IF(metadata!N63="",FALSE,TRUE),EXACT(metadata!N63,"9606"))</f>
        <v>0</v>
      </c>
      <c r="AP63" t="b">
        <f>IF(metadata!O63="",FALSE,TRUE)</f>
        <v>0</v>
      </c>
      <c r="AQ63" t="b">
        <f>IF(metadata!P63="",FALSE,TRUE)</f>
        <v>0</v>
      </c>
      <c r="AR63" t="b">
        <f>IF(metadata!Q63="",FALSE,ISNUMBER(VALUE(metadata!Q63)))</f>
        <v>0</v>
      </c>
      <c r="AS63" t="b">
        <f>AND(IF(metadata!R63="",FALSE,TRUE),EXACT(metadata!R63,"kg"))</f>
        <v>0</v>
      </c>
    </row>
    <row r="64" spans="1:45" x14ac:dyDescent="0.2">
      <c r="A64" s="5" t="str">
        <f ca="1">IF(B64=" "," ",HYPERLINK(CONCATENATE("#metadata!",ADDRESS(INDEX($X$2:$X$1001,MATCH(ROWS($V$2:V64),$V$2:$V$1001,0),0),1)),INDEX($AA$2:$AA$1001,MATCH(ROWS($V$2:V64),$V$2:$V$1001,0),0)))</f>
        <v xml:space="preserve"> </v>
      </c>
      <c r="B64" s="4" t="str">
        <f ca="1">IF(OR(INDEX($W$2:$W$1001,MATCH(ROWS($V$2:V64),$V$2:$V$1001,0),1)&gt;=100000,INDEX($AC$1005:$AS$1005,1,MATCH(COLUMNS($AC$1006:AC1006),$AC$1006:$AS$1006,0))&gt;=100000), " ",IF(INDEX($AC$2:$AS$1001,MATCH(ROWS($V$2:V64),$V$2:$V$1001,0),MATCH(COLUMNS($AC$1006:AC1006),$AC$1006:$AS$1006,0)), HYPERLINK("#",""), HYPERLINK(CONCATENATE("#metadata!", ADDRESS(INDEX($X$2:$X$1001,MATCH(ROWS($V$2:V64),$V$2:$V$1001,0),0), INDEX($AC$1004:$AS$1004,1,MATCH(COLUMNS($AC$1006:AC1006),$AC$1006:$AS$1006,0)))),"Fix")))</f>
        <v xml:space="preserve"> </v>
      </c>
      <c r="C64" s="4" t="str">
        <f ca="1">IF(OR(INDEX($W$2:$W$1001,MATCH(ROWS($V$2:V64),$V$2:$V$1001,0),1)&gt;=100000,INDEX($AC$1005:$AS$1005,1,MATCH(COLUMNS($AC$1006:AD1006),$AC$1006:$AS$1006,0))&gt;=100000), " ",IF(INDEX($AC$2:$AS$1001,MATCH(ROWS($V$2:V64),$V$2:$V$1001,0),MATCH(COLUMNS($AC$1006:AD1006),$AC$1006:$AS$1006,0)), HYPERLINK("#",""), HYPERLINK(CONCATENATE("#metadata!", ADDRESS(INDEX($X$2:$X$1001,MATCH(ROWS($V$2:V64),$V$2:$V$1001,0),0), INDEX($AC$1004:$AS$1004,1,MATCH(COLUMNS($AC$1006:AD1006),$AC$1006:$AS$1006,0)))),"Fix")))</f>
        <v xml:space="preserve"> </v>
      </c>
      <c r="D64" s="4" t="str">
        <f ca="1">IF(OR(INDEX($W$2:$W$1001,MATCH(ROWS($V$2:V64),$V$2:$V$1001,0),1)&gt;=100000,INDEX($AC$1005:$AS$1005,1,MATCH(COLUMNS($AC$1006:AE1006),$AC$1006:$AS$1006,0))&gt;=100000), " ",IF(INDEX($AC$2:$AS$1001,MATCH(ROWS($V$2:V64),$V$2:$V$1001,0),MATCH(COLUMNS($AC$1006:AE1006),$AC$1006:$AS$1006,0)), HYPERLINK("#",""), HYPERLINK(CONCATENATE("#metadata!", ADDRESS(INDEX($X$2:$X$1001,MATCH(ROWS($V$2:V64),$V$2:$V$1001,0),0), INDEX($AC$1004:$AS$1004,1,MATCH(COLUMNS($AC$1006:AE1006),$AC$1006:$AS$1006,0)))),"Fix")))</f>
        <v xml:space="preserve"> </v>
      </c>
      <c r="E64" s="4" t="str">
        <f ca="1">IF(OR(INDEX($W$2:$W$1001,MATCH(ROWS($V$2:V64),$V$2:$V$1001,0),1)&gt;=100000,INDEX($AC$1005:$AS$1005,1,MATCH(COLUMNS($AC$1006:AF1006),$AC$1006:$AS$1006,0))&gt;=100000), " ",IF(INDEX($AC$2:$AS$1001,MATCH(ROWS($V$2:V64),$V$2:$V$1001,0),MATCH(COLUMNS($AC$1006:AF1006),$AC$1006:$AS$1006,0)), HYPERLINK("#",""), HYPERLINK(CONCATENATE("#metadata!", ADDRESS(INDEX($X$2:$X$1001,MATCH(ROWS($V$2:V64),$V$2:$V$1001,0),0), INDEX($AC$1004:$AS$1004,1,MATCH(COLUMNS($AC$1006:AF1006),$AC$1006:$AS$1006,0)))),"Fix")))</f>
        <v xml:space="preserve"> </v>
      </c>
      <c r="F64" s="4" t="str">
        <f ca="1">IF(OR(INDEX($W$2:$W$1001,MATCH(ROWS($V$2:V64),$V$2:$V$1001,0),1)&gt;=100000,INDEX($AC$1005:$AS$1005,1,MATCH(COLUMNS($AC$1006:AG1006),$AC$1006:$AS$1006,0))&gt;=100000), " ",IF(INDEX($AC$2:$AS$1001,MATCH(ROWS($V$2:V64),$V$2:$V$1001,0),MATCH(COLUMNS($AC$1006:AG1006),$AC$1006:$AS$1006,0)), HYPERLINK("#",""), HYPERLINK(CONCATENATE("#metadata!", ADDRESS(INDEX($X$2:$X$1001,MATCH(ROWS($V$2:V64),$V$2:$V$1001,0),0), INDEX($AC$1004:$AS$1004,1,MATCH(COLUMNS($AC$1006:AG1006),$AC$1006:$AS$1006,0)))),"Fix")))</f>
        <v xml:space="preserve"> </v>
      </c>
      <c r="G64" s="4" t="str">
        <f ca="1">IF(OR(INDEX($W$2:$W$1001,MATCH(ROWS($V$2:V64),$V$2:$V$1001,0),1)&gt;=100000,INDEX($AC$1005:$AS$1005,1,MATCH(COLUMNS($AC$1006:AH1006),$AC$1006:$AS$1006,0))&gt;=100000), " ",IF(INDEX($AC$2:$AS$1001,MATCH(ROWS($V$2:V64),$V$2:$V$1001,0),MATCH(COLUMNS($AC$1006:AH1006),$AC$1006:$AS$1006,0)), HYPERLINK("#",""), HYPERLINK(CONCATENATE("#metadata!", ADDRESS(INDEX($X$2:$X$1001,MATCH(ROWS($V$2:V64),$V$2:$V$1001,0),0), INDEX($AC$1004:$AS$1004,1,MATCH(COLUMNS($AC$1006:AH1006),$AC$1006:$AS$1006,0)))),"Fix")))</f>
        <v xml:space="preserve"> </v>
      </c>
      <c r="H64" s="4" t="str">
        <f ca="1">IF(OR(INDEX($W$2:$W$1001,MATCH(ROWS($V$2:V64),$V$2:$V$1001,0),1)&gt;=100000,INDEX($AC$1005:$AS$1005,1,MATCH(COLUMNS($AC$1006:AI1006),$AC$1006:$AS$1006,0))&gt;=100000), " ",IF(INDEX($AC$2:$AS$1001,MATCH(ROWS($V$2:V64),$V$2:$V$1001,0),MATCH(COLUMNS($AC$1006:AI1006),$AC$1006:$AS$1006,0)), HYPERLINK("#",""), HYPERLINK(CONCATENATE("#metadata!", ADDRESS(INDEX($X$2:$X$1001,MATCH(ROWS($V$2:V64),$V$2:$V$1001,0),0), INDEX($AC$1004:$AS$1004,1,MATCH(COLUMNS($AC$1006:AI1006),$AC$1006:$AS$1006,0)))),"Fix")))</f>
        <v xml:space="preserve"> </v>
      </c>
      <c r="I64" s="4" t="str">
        <f ca="1">IF(OR(INDEX($W$2:$W$1001,MATCH(ROWS($V$2:V64),$V$2:$V$1001,0),1)&gt;=100000,INDEX($AC$1005:$AS$1005,1,MATCH(COLUMNS($AC$1006:AJ1006),$AC$1006:$AS$1006,0))&gt;=100000), " ",IF(INDEX($AC$2:$AS$1001,MATCH(ROWS($V$2:V64),$V$2:$V$1001,0),MATCH(COLUMNS($AC$1006:AJ1006),$AC$1006:$AS$1006,0)), HYPERLINK("#",""), HYPERLINK(CONCATENATE("#metadata!", ADDRESS(INDEX($X$2:$X$1001,MATCH(ROWS($V$2:V64),$V$2:$V$1001,0),0), INDEX($AC$1004:$AS$1004,1,MATCH(COLUMNS($AC$1006:AJ1006),$AC$1006:$AS$1006,0)))),"Fix")))</f>
        <v xml:space="preserve"> </v>
      </c>
      <c r="J64" s="4" t="str">
        <f ca="1">IF(OR(INDEX($W$2:$W$1001,MATCH(ROWS($V$2:V64),$V$2:$V$1001,0),1)&gt;=100000,INDEX($AC$1005:$AS$1005,1,MATCH(COLUMNS($AC$1006:AK1006),$AC$1006:$AS$1006,0))&gt;=100000), " ",IF(INDEX($AC$2:$AS$1001,MATCH(ROWS($V$2:V64),$V$2:$V$1001,0),MATCH(COLUMNS($AC$1006:AK1006),$AC$1006:$AS$1006,0)), HYPERLINK("#",""), HYPERLINK(CONCATENATE("#metadata!", ADDRESS(INDEX($X$2:$X$1001,MATCH(ROWS($V$2:V64),$V$2:$V$1001,0),0), INDEX($AC$1004:$AS$1004,1,MATCH(COLUMNS($AC$1006:AK1006),$AC$1006:$AS$1006,0)))),"Fix")))</f>
        <v xml:space="preserve"> </v>
      </c>
      <c r="K64" s="4" t="str">
        <f ca="1">IF(OR(INDEX($W$2:$W$1001,MATCH(ROWS($V$2:V64),$V$2:$V$1001,0),1)&gt;=100000,INDEX($AC$1005:$AS$1005,1,MATCH(COLUMNS($AC$1006:AL1006),$AC$1006:$AS$1006,0))&gt;=100000), " ",IF(INDEX($AC$2:$AS$1001,MATCH(ROWS($V$2:V64),$V$2:$V$1001,0),MATCH(COLUMNS($AC$1006:AL1006),$AC$1006:$AS$1006,0)), HYPERLINK("#",""), HYPERLINK(CONCATENATE("#metadata!", ADDRESS(INDEX($X$2:$X$1001,MATCH(ROWS($V$2:V64),$V$2:$V$1001,0),0), INDEX($AC$1004:$AS$1004,1,MATCH(COLUMNS($AC$1006:AL1006),$AC$1006:$AS$1006,0)))),"Fix")))</f>
        <v xml:space="preserve"> </v>
      </c>
      <c r="L64" s="4" t="str">
        <f ca="1">IF(OR(INDEX($W$2:$W$1001,MATCH(ROWS($V$2:V64),$V$2:$V$1001,0),1)&gt;=100000,INDEX($AC$1005:$AS$1005,1,MATCH(COLUMNS($AC$1006:AM1006),$AC$1006:$AS$1006,0))&gt;=100000), " ",IF(INDEX($AC$2:$AS$1001,MATCH(ROWS($V$2:V64),$V$2:$V$1001,0),MATCH(COLUMNS($AC$1006:AM1006),$AC$1006:$AS$1006,0)), HYPERLINK("#",""), HYPERLINK(CONCATENATE("#metadata!", ADDRESS(INDEX($X$2:$X$1001,MATCH(ROWS($V$2:V64),$V$2:$V$1001,0),0), INDEX($AC$1004:$AS$1004,1,MATCH(COLUMNS($AC$1006:AM1006),$AC$1006:$AS$1006,0)))),"Fix")))</f>
        <v xml:space="preserve"> </v>
      </c>
      <c r="M64" s="4" t="str">
        <f ca="1">IF(OR(INDEX($W$2:$W$1001,MATCH(ROWS($V$2:V64),$V$2:$V$1001,0),1)&gt;=100000,INDEX($AC$1005:$AS$1005,1,MATCH(COLUMNS($AC$1006:AN1006),$AC$1006:$AS$1006,0))&gt;=100000), " ",IF(INDEX($AC$2:$AS$1001,MATCH(ROWS($V$2:V64),$V$2:$V$1001,0),MATCH(COLUMNS($AC$1006:AN1006),$AC$1006:$AS$1006,0)), HYPERLINK("#",""), HYPERLINK(CONCATENATE("#metadata!", ADDRESS(INDEX($X$2:$X$1001,MATCH(ROWS($V$2:V64),$V$2:$V$1001,0),0), INDEX($AC$1004:$AS$1004,1,MATCH(COLUMNS($AC$1006:AN1006),$AC$1006:$AS$1006,0)))),"Fix")))</f>
        <v xml:space="preserve"> </v>
      </c>
      <c r="N64" s="4" t="str">
        <f ca="1">IF(OR(INDEX($W$2:$W$1001,MATCH(ROWS($V$2:V64),$V$2:$V$1001,0),1)&gt;=100000,INDEX($AC$1005:$AS$1005,1,MATCH(COLUMNS($AC$1006:AO1006),$AC$1006:$AS$1006,0))&gt;=100000), " ",IF(INDEX($AC$2:$AS$1001,MATCH(ROWS($V$2:V64),$V$2:$V$1001,0),MATCH(COLUMNS($AC$1006:AO1006),$AC$1006:$AS$1006,0)), HYPERLINK("#",""), HYPERLINK(CONCATENATE("#metadata!", ADDRESS(INDEX($X$2:$X$1001,MATCH(ROWS($V$2:V64),$V$2:$V$1001,0),0), INDEX($AC$1004:$AS$1004,1,MATCH(COLUMNS($AC$1006:AO1006),$AC$1006:$AS$1006,0)))),"Fix")))</f>
        <v xml:space="preserve"> </v>
      </c>
      <c r="O64" s="4" t="str">
        <f ca="1">IF(OR(INDEX($W$2:$W$1001,MATCH(ROWS($V$2:V64),$V$2:$V$1001,0),1)&gt;=100000,INDEX($AC$1005:$AS$1005,1,MATCH(COLUMNS($AC$1006:AP1006),$AC$1006:$AS$1006,0))&gt;=100000), " ",IF(INDEX($AC$2:$AS$1001,MATCH(ROWS($V$2:V64),$V$2:$V$1001,0),MATCH(COLUMNS($AC$1006:AP1006),$AC$1006:$AS$1006,0)), HYPERLINK("#",""), HYPERLINK(CONCATENATE("#metadata!", ADDRESS(INDEX($X$2:$X$1001,MATCH(ROWS($V$2:V64),$V$2:$V$1001,0),0), INDEX($AC$1004:$AS$1004,1,MATCH(COLUMNS($AC$1006:AP1006),$AC$1006:$AS$1006,0)))),"Fix")))</f>
        <v xml:space="preserve"> </v>
      </c>
      <c r="P64" s="4" t="str">
        <f ca="1">IF(OR(INDEX($W$2:$W$1001,MATCH(ROWS($V$2:V64),$V$2:$V$1001,0),1)&gt;=100000,INDEX($AC$1005:$AS$1005,1,MATCH(COLUMNS($AC$1006:AQ1006),$AC$1006:$AS$1006,0))&gt;=100000), " ",IF(INDEX($AC$2:$AS$1001,MATCH(ROWS($V$2:V64),$V$2:$V$1001,0),MATCH(COLUMNS($AC$1006:AQ1006),$AC$1006:$AS$1006,0)), HYPERLINK("#",""), HYPERLINK(CONCATENATE("#metadata!", ADDRESS(INDEX($X$2:$X$1001,MATCH(ROWS($V$2:V64),$V$2:$V$1001,0),0), INDEX($AC$1004:$AS$1004,1,MATCH(COLUMNS($AC$1006:AQ1006),$AC$1006:$AS$1006,0)))),"Fix")))</f>
        <v xml:space="preserve"> </v>
      </c>
      <c r="Q64" s="4" t="str">
        <f ca="1">IF(OR(INDEX($W$2:$W$1001,MATCH(ROWS($V$2:V64),$V$2:$V$1001,0),1)&gt;=100000,INDEX($AC$1005:$AS$1005,1,MATCH(COLUMNS($AC$1006:AR1006),$AC$1006:$AS$1006,0))&gt;=100000), " ",IF(INDEX($AC$2:$AS$1001,MATCH(ROWS($V$2:V64),$V$2:$V$1001,0),MATCH(COLUMNS($AC$1006:AR1006),$AC$1006:$AS$1006,0)), HYPERLINK("#",""), HYPERLINK(CONCATENATE("#metadata!", ADDRESS(INDEX($X$2:$X$1001,MATCH(ROWS($V$2:V64),$V$2:$V$1001,0),0), INDEX($AC$1004:$AS$1004,1,MATCH(COLUMNS($AC$1006:AR1006),$AC$1006:$AS$1006,0)))),"Fix")))</f>
        <v xml:space="preserve"> </v>
      </c>
      <c r="R64" s="4" t="str">
        <f ca="1">IF(OR(INDEX($W$2:$W$1001,MATCH(ROWS($V$2:V64),$V$2:$V$1001,0),1)&gt;=100000,INDEX($AC$1005:$AS$1005,1,MATCH(COLUMNS($AC$1006:AS1006),$AC$1006:$AS$1006,0))&gt;=100000), " ",IF(INDEX($AC$2:$AS$1001,MATCH(ROWS($V$2:V64),$V$2:$V$1001,0),MATCH(COLUMNS($AC$1006:AS1006),$AC$1006:$AS$1006,0)), HYPERLINK("#",""), HYPERLINK(CONCATENATE("#metadata!", ADDRESS(INDEX($X$2:$X$1001,MATCH(ROWS($V$2:V64),$V$2:$V$1001,0),0), INDEX($AC$1004:$AS$1004,1,MATCH(COLUMNS($AC$1006:AS1006),$AC$1006:$AS$1006,0)))),"Fix")))</f>
        <v xml:space="preserve"> </v>
      </c>
      <c r="V64">
        <v>63</v>
      </c>
      <c r="W64">
        <v>100064</v>
      </c>
      <c r="X64">
        <v>64</v>
      </c>
      <c r="Y64" t="b">
        <f t="shared" si="0"/>
        <v>1</v>
      </c>
      <c r="Z64" t="b">
        <f>COUNTBLANK(metadata!B64:R64)=COLUMNS(metadata!B64:R64)</f>
        <v>1</v>
      </c>
      <c r="AA64" t="str">
        <v/>
      </c>
      <c r="AC64" t="b">
        <f ca="1"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AD64" t="b">
        <f>IF(metadata!C64="",FALSE,ISNUMBER(VALUE(metadata!C64)))</f>
        <v>0</v>
      </c>
      <c r="AE64" t="b">
        <f>AND(IF(metadata!D64="",FALSE,TRUE),EXACT(metadata!D64,"years"))</f>
        <v>0</v>
      </c>
      <c r="AF64" t="b">
        <f>OR(AND(IF(metadata!E64="",FALSE,TRUE),OR(EXACT(metadata!E64,"not applicable"),EXACT(metadata!E64,"missing: not collected"),EXACT(metadata!E64,"missing: not provided"),EXACT(metadata!E64,"missing: restricted access"))),AND(IF(metadata!E64="",FALSE,ISNUMBER(VALUE(metadata!E64))),metadata!E64&gt;0))</f>
        <v>0</v>
      </c>
      <c r="AG64" t="b">
        <f>AND(IF(metadata!F64="",FALSE,TRUE),EXACT(metadata!F64,"Not applicable"))</f>
        <v>0</v>
      </c>
      <c r="AH64" t="b">
        <f>AND(IF(metadata!G64="",FALSE,TRUE),EXACT(metadata!G64,"urban biome"))</f>
        <v>0</v>
      </c>
      <c r="AI64" t="b">
        <f>AND(IF(metadata!H64="",FALSE,TRUE),EXACT(metadata!H64,"human-associated habitat"))</f>
        <v>0</v>
      </c>
      <c r="AJ64" t="b">
        <f>AND(IF(metadata!I64="",FALSE,TRUE),OR(EXACT(metadata!I64,"human-associated"),EXACT(metadata!I64,"human-skin"),EXACT(metadata!I64,"human-oral"),EXACT(metadata!I64,"human-gut"),EXACT(metadata!I64,"human-vaginal")))</f>
        <v>0</v>
      </c>
      <c r="AK64" t="b">
        <f>IF(metadata!J64="",FALSE,ISNUMBER(VALUE(metadata!J64)))</f>
        <v>0</v>
      </c>
      <c r="AL64" t="b">
        <f>AND(IF(metadata!K64="",FALSE,TRUE),EXACT(metadata!K64,"cm"))</f>
        <v>0</v>
      </c>
      <c r="AM64" t="b">
        <f>AND(IF(metadata!L64="",FALSE,TRUE),EXACT(metadata!L64,"human"))</f>
        <v>0</v>
      </c>
      <c r="AN64" t="b">
        <f>AND(IF(metadata!M64="",FALSE,TRUE),EXACT(metadata!M64,"Homo sapiens"))</f>
        <v>0</v>
      </c>
      <c r="AO64" t="b">
        <f>AND(IF(metadata!N64="",FALSE,TRUE),EXACT(metadata!N64,"9606"))</f>
        <v>0</v>
      </c>
      <c r="AP64" t="b">
        <f>IF(metadata!O64="",FALSE,TRUE)</f>
        <v>0</v>
      </c>
      <c r="AQ64" t="b">
        <f>IF(metadata!P64="",FALSE,TRUE)</f>
        <v>0</v>
      </c>
      <c r="AR64" t="b">
        <f>IF(metadata!Q64="",FALSE,ISNUMBER(VALUE(metadata!Q64)))</f>
        <v>0</v>
      </c>
      <c r="AS64" t="b">
        <f>AND(IF(metadata!R64="",FALSE,TRUE),EXACT(metadata!R64,"kg"))</f>
        <v>0</v>
      </c>
    </row>
    <row r="65" spans="1:45" x14ac:dyDescent="0.2">
      <c r="A65" s="5" t="str">
        <f ca="1">IF(B65=" "," ",HYPERLINK(CONCATENATE("#metadata!",ADDRESS(INDEX($X$2:$X$1001,MATCH(ROWS($V$2:V65),$V$2:$V$1001,0),0),1)),INDEX($AA$2:$AA$1001,MATCH(ROWS($V$2:V65),$V$2:$V$1001,0),0)))</f>
        <v xml:space="preserve"> </v>
      </c>
      <c r="B65" s="4" t="str">
        <f ca="1">IF(OR(INDEX($W$2:$W$1001,MATCH(ROWS($V$2:V65),$V$2:$V$1001,0),1)&gt;=100000,INDEX($AC$1005:$AS$1005,1,MATCH(COLUMNS($AC$1006:AC1006),$AC$1006:$AS$1006,0))&gt;=100000), " ",IF(INDEX($AC$2:$AS$1001,MATCH(ROWS($V$2:V65),$V$2:$V$1001,0),MATCH(COLUMNS($AC$1006:AC1006),$AC$1006:$AS$1006,0)), HYPERLINK("#",""), HYPERLINK(CONCATENATE("#metadata!", ADDRESS(INDEX($X$2:$X$1001,MATCH(ROWS($V$2:V65),$V$2:$V$1001,0),0), INDEX($AC$1004:$AS$1004,1,MATCH(COLUMNS($AC$1006:AC1006),$AC$1006:$AS$1006,0)))),"Fix")))</f>
        <v xml:space="preserve"> </v>
      </c>
      <c r="C65" s="4" t="str">
        <f ca="1">IF(OR(INDEX($W$2:$W$1001,MATCH(ROWS($V$2:V65),$V$2:$V$1001,0),1)&gt;=100000,INDEX($AC$1005:$AS$1005,1,MATCH(COLUMNS($AC$1006:AD1006),$AC$1006:$AS$1006,0))&gt;=100000), " ",IF(INDEX($AC$2:$AS$1001,MATCH(ROWS($V$2:V65),$V$2:$V$1001,0),MATCH(COLUMNS($AC$1006:AD1006),$AC$1006:$AS$1006,0)), HYPERLINK("#",""), HYPERLINK(CONCATENATE("#metadata!", ADDRESS(INDEX($X$2:$X$1001,MATCH(ROWS($V$2:V65),$V$2:$V$1001,0),0), INDEX($AC$1004:$AS$1004,1,MATCH(COLUMNS($AC$1006:AD1006),$AC$1006:$AS$1006,0)))),"Fix")))</f>
        <v xml:space="preserve"> </v>
      </c>
      <c r="D65" s="4" t="str">
        <f ca="1">IF(OR(INDEX($W$2:$W$1001,MATCH(ROWS($V$2:V65),$V$2:$V$1001,0),1)&gt;=100000,INDEX($AC$1005:$AS$1005,1,MATCH(COLUMNS($AC$1006:AE1006),$AC$1006:$AS$1006,0))&gt;=100000), " ",IF(INDEX($AC$2:$AS$1001,MATCH(ROWS($V$2:V65),$V$2:$V$1001,0),MATCH(COLUMNS($AC$1006:AE1006),$AC$1006:$AS$1006,0)), HYPERLINK("#",""), HYPERLINK(CONCATENATE("#metadata!", ADDRESS(INDEX($X$2:$X$1001,MATCH(ROWS($V$2:V65),$V$2:$V$1001,0),0), INDEX($AC$1004:$AS$1004,1,MATCH(COLUMNS($AC$1006:AE1006),$AC$1006:$AS$1006,0)))),"Fix")))</f>
        <v xml:space="preserve"> </v>
      </c>
      <c r="E65" s="4" t="str">
        <f ca="1">IF(OR(INDEX($W$2:$W$1001,MATCH(ROWS($V$2:V65),$V$2:$V$1001,0),1)&gt;=100000,INDEX($AC$1005:$AS$1005,1,MATCH(COLUMNS($AC$1006:AF1006),$AC$1006:$AS$1006,0))&gt;=100000), " ",IF(INDEX($AC$2:$AS$1001,MATCH(ROWS($V$2:V65),$V$2:$V$1001,0),MATCH(COLUMNS($AC$1006:AF1006),$AC$1006:$AS$1006,0)), HYPERLINK("#",""), HYPERLINK(CONCATENATE("#metadata!", ADDRESS(INDEX($X$2:$X$1001,MATCH(ROWS($V$2:V65),$V$2:$V$1001,0),0), INDEX($AC$1004:$AS$1004,1,MATCH(COLUMNS($AC$1006:AF1006),$AC$1006:$AS$1006,0)))),"Fix")))</f>
        <v xml:space="preserve"> </v>
      </c>
      <c r="F65" s="4" t="str">
        <f ca="1">IF(OR(INDEX($W$2:$W$1001,MATCH(ROWS($V$2:V65),$V$2:$V$1001,0),1)&gt;=100000,INDEX($AC$1005:$AS$1005,1,MATCH(COLUMNS($AC$1006:AG1006),$AC$1006:$AS$1006,0))&gt;=100000), " ",IF(INDEX($AC$2:$AS$1001,MATCH(ROWS($V$2:V65),$V$2:$V$1001,0),MATCH(COLUMNS($AC$1006:AG1006),$AC$1006:$AS$1006,0)), HYPERLINK("#",""), HYPERLINK(CONCATENATE("#metadata!", ADDRESS(INDEX($X$2:$X$1001,MATCH(ROWS($V$2:V65),$V$2:$V$1001,0),0), INDEX($AC$1004:$AS$1004,1,MATCH(COLUMNS($AC$1006:AG1006),$AC$1006:$AS$1006,0)))),"Fix")))</f>
        <v xml:space="preserve"> </v>
      </c>
      <c r="G65" s="4" t="str">
        <f ca="1">IF(OR(INDEX($W$2:$W$1001,MATCH(ROWS($V$2:V65),$V$2:$V$1001,0),1)&gt;=100000,INDEX($AC$1005:$AS$1005,1,MATCH(COLUMNS($AC$1006:AH1006),$AC$1006:$AS$1006,0))&gt;=100000), " ",IF(INDEX($AC$2:$AS$1001,MATCH(ROWS($V$2:V65),$V$2:$V$1001,0),MATCH(COLUMNS($AC$1006:AH1006),$AC$1006:$AS$1006,0)), HYPERLINK("#",""), HYPERLINK(CONCATENATE("#metadata!", ADDRESS(INDEX($X$2:$X$1001,MATCH(ROWS($V$2:V65),$V$2:$V$1001,0),0), INDEX($AC$1004:$AS$1004,1,MATCH(COLUMNS($AC$1006:AH1006),$AC$1006:$AS$1006,0)))),"Fix")))</f>
        <v xml:space="preserve"> </v>
      </c>
      <c r="H65" s="4" t="str">
        <f ca="1">IF(OR(INDEX($W$2:$W$1001,MATCH(ROWS($V$2:V65),$V$2:$V$1001,0),1)&gt;=100000,INDEX($AC$1005:$AS$1005,1,MATCH(COLUMNS($AC$1006:AI1006),$AC$1006:$AS$1006,0))&gt;=100000), " ",IF(INDEX($AC$2:$AS$1001,MATCH(ROWS($V$2:V65),$V$2:$V$1001,0),MATCH(COLUMNS($AC$1006:AI1006),$AC$1006:$AS$1006,0)), HYPERLINK("#",""), HYPERLINK(CONCATENATE("#metadata!", ADDRESS(INDEX($X$2:$X$1001,MATCH(ROWS($V$2:V65),$V$2:$V$1001,0),0), INDEX($AC$1004:$AS$1004,1,MATCH(COLUMNS($AC$1006:AI1006),$AC$1006:$AS$1006,0)))),"Fix")))</f>
        <v xml:space="preserve"> </v>
      </c>
      <c r="I65" s="4" t="str">
        <f ca="1">IF(OR(INDEX($W$2:$W$1001,MATCH(ROWS($V$2:V65),$V$2:$V$1001,0),1)&gt;=100000,INDEX($AC$1005:$AS$1005,1,MATCH(COLUMNS($AC$1006:AJ1006),$AC$1006:$AS$1006,0))&gt;=100000), " ",IF(INDEX($AC$2:$AS$1001,MATCH(ROWS($V$2:V65),$V$2:$V$1001,0),MATCH(COLUMNS($AC$1006:AJ1006),$AC$1006:$AS$1006,0)), HYPERLINK("#",""), HYPERLINK(CONCATENATE("#metadata!", ADDRESS(INDEX($X$2:$X$1001,MATCH(ROWS($V$2:V65),$V$2:$V$1001,0),0), INDEX($AC$1004:$AS$1004,1,MATCH(COLUMNS($AC$1006:AJ1006),$AC$1006:$AS$1006,0)))),"Fix")))</f>
        <v xml:space="preserve"> </v>
      </c>
      <c r="J65" s="4" t="str">
        <f ca="1">IF(OR(INDEX($W$2:$W$1001,MATCH(ROWS($V$2:V65),$V$2:$V$1001,0),1)&gt;=100000,INDEX($AC$1005:$AS$1005,1,MATCH(COLUMNS($AC$1006:AK1006),$AC$1006:$AS$1006,0))&gt;=100000), " ",IF(INDEX($AC$2:$AS$1001,MATCH(ROWS($V$2:V65),$V$2:$V$1001,0),MATCH(COLUMNS($AC$1006:AK1006),$AC$1006:$AS$1006,0)), HYPERLINK("#",""), HYPERLINK(CONCATENATE("#metadata!", ADDRESS(INDEX($X$2:$X$1001,MATCH(ROWS($V$2:V65),$V$2:$V$1001,0),0), INDEX($AC$1004:$AS$1004,1,MATCH(COLUMNS($AC$1006:AK1006),$AC$1006:$AS$1006,0)))),"Fix")))</f>
        <v xml:space="preserve"> </v>
      </c>
      <c r="K65" s="4" t="str">
        <f ca="1">IF(OR(INDEX($W$2:$W$1001,MATCH(ROWS($V$2:V65),$V$2:$V$1001,0),1)&gt;=100000,INDEX($AC$1005:$AS$1005,1,MATCH(COLUMNS($AC$1006:AL1006),$AC$1006:$AS$1006,0))&gt;=100000), " ",IF(INDEX($AC$2:$AS$1001,MATCH(ROWS($V$2:V65),$V$2:$V$1001,0),MATCH(COLUMNS($AC$1006:AL1006),$AC$1006:$AS$1006,0)), HYPERLINK("#",""), HYPERLINK(CONCATENATE("#metadata!", ADDRESS(INDEX($X$2:$X$1001,MATCH(ROWS($V$2:V65),$V$2:$V$1001,0),0), INDEX($AC$1004:$AS$1004,1,MATCH(COLUMNS($AC$1006:AL1006),$AC$1006:$AS$1006,0)))),"Fix")))</f>
        <v xml:space="preserve"> </v>
      </c>
      <c r="L65" s="4" t="str">
        <f ca="1">IF(OR(INDEX($W$2:$W$1001,MATCH(ROWS($V$2:V65),$V$2:$V$1001,0),1)&gt;=100000,INDEX($AC$1005:$AS$1005,1,MATCH(COLUMNS($AC$1006:AM1006),$AC$1006:$AS$1006,0))&gt;=100000), " ",IF(INDEX($AC$2:$AS$1001,MATCH(ROWS($V$2:V65),$V$2:$V$1001,0),MATCH(COLUMNS($AC$1006:AM1006),$AC$1006:$AS$1006,0)), HYPERLINK("#",""), HYPERLINK(CONCATENATE("#metadata!", ADDRESS(INDEX($X$2:$X$1001,MATCH(ROWS($V$2:V65),$V$2:$V$1001,0),0), INDEX($AC$1004:$AS$1004,1,MATCH(COLUMNS($AC$1006:AM1006),$AC$1006:$AS$1006,0)))),"Fix")))</f>
        <v xml:space="preserve"> </v>
      </c>
      <c r="M65" s="4" t="str">
        <f ca="1">IF(OR(INDEX($W$2:$W$1001,MATCH(ROWS($V$2:V65),$V$2:$V$1001,0),1)&gt;=100000,INDEX($AC$1005:$AS$1005,1,MATCH(COLUMNS($AC$1006:AN1006),$AC$1006:$AS$1006,0))&gt;=100000), " ",IF(INDEX($AC$2:$AS$1001,MATCH(ROWS($V$2:V65),$V$2:$V$1001,0),MATCH(COLUMNS($AC$1006:AN1006),$AC$1006:$AS$1006,0)), HYPERLINK("#",""), HYPERLINK(CONCATENATE("#metadata!", ADDRESS(INDEX($X$2:$X$1001,MATCH(ROWS($V$2:V65),$V$2:$V$1001,0),0), INDEX($AC$1004:$AS$1004,1,MATCH(COLUMNS($AC$1006:AN1006),$AC$1006:$AS$1006,0)))),"Fix")))</f>
        <v xml:space="preserve"> </v>
      </c>
      <c r="N65" s="4" t="str">
        <f ca="1">IF(OR(INDEX($W$2:$W$1001,MATCH(ROWS($V$2:V65),$V$2:$V$1001,0),1)&gt;=100000,INDEX($AC$1005:$AS$1005,1,MATCH(COLUMNS($AC$1006:AO1006),$AC$1006:$AS$1006,0))&gt;=100000), " ",IF(INDEX($AC$2:$AS$1001,MATCH(ROWS($V$2:V65),$V$2:$V$1001,0),MATCH(COLUMNS($AC$1006:AO1006),$AC$1006:$AS$1006,0)), HYPERLINK("#",""), HYPERLINK(CONCATENATE("#metadata!", ADDRESS(INDEX($X$2:$X$1001,MATCH(ROWS($V$2:V65),$V$2:$V$1001,0),0), INDEX($AC$1004:$AS$1004,1,MATCH(COLUMNS($AC$1006:AO1006),$AC$1006:$AS$1006,0)))),"Fix")))</f>
        <v xml:space="preserve"> </v>
      </c>
      <c r="O65" s="4" t="str">
        <f ca="1">IF(OR(INDEX($W$2:$W$1001,MATCH(ROWS($V$2:V65),$V$2:$V$1001,0),1)&gt;=100000,INDEX($AC$1005:$AS$1005,1,MATCH(COLUMNS($AC$1006:AP1006),$AC$1006:$AS$1006,0))&gt;=100000), " ",IF(INDEX($AC$2:$AS$1001,MATCH(ROWS($V$2:V65),$V$2:$V$1001,0),MATCH(COLUMNS($AC$1006:AP1006),$AC$1006:$AS$1006,0)), HYPERLINK("#",""), HYPERLINK(CONCATENATE("#metadata!", ADDRESS(INDEX($X$2:$X$1001,MATCH(ROWS($V$2:V65),$V$2:$V$1001,0),0), INDEX($AC$1004:$AS$1004,1,MATCH(COLUMNS($AC$1006:AP1006),$AC$1006:$AS$1006,0)))),"Fix")))</f>
        <v xml:space="preserve"> </v>
      </c>
      <c r="P65" s="4" t="str">
        <f ca="1">IF(OR(INDEX($W$2:$W$1001,MATCH(ROWS($V$2:V65),$V$2:$V$1001,0),1)&gt;=100000,INDEX($AC$1005:$AS$1005,1,MATCH(COLUMNS($AC$1006:AQ1006),$AC$1006:$AS$1006,0))&gt;=100000), " ",IF(INDEX($AC$2:$AS$1001,MATCH(ROWS($V$2:V65),$V$2:$V$1001,0),MATCH(COLUMNS($AC$1006:AQ1006),$AC$1006:$AS$1006,0)), HYPERLINK("#",""), HYPERLINK(CONCATENATE("#metadata!", ADDRESS(INDEX($X$2:$X$1001,MATCH(ROWS($V$2:V65),$V$2:$V$1001,0),0), INDEX($AC$1004:$AS$1004,1,MATCH(COLUMNS($AC$1006:AQ1006),$AC$1006:$AS$1006,0)))),"Fix")))</f>
        <v xml:space="preserve"> </v>
      </c>
      <c r="Q65" s="4" t="str">
        <f ca="1">IF(OR(INDEX($W$2:$W$1001,MATCH(ROWS($V$2:V65),$V$2:$V$1001,0),1)&gt;=100000,INDEX($AC$1005:$AS$1005,1,MATCH(COLUMNS($AC$1006:AR1006),$AC$1006:$AS$1006,0))&gt;=100000), " ",IF(INDEX($AC$2:$AS$1001,MATCH(ROWS($V$2:V65),$V$2:$V$1001,0),MATCH(COLUMNS($AC$1006:AR1006),$AC$1006:$AS$1006,0)), HYPERLINK("#",""), HYPERLINK(CONCATENATE("#metadata!", ADDRESS(INDEX($X$2:$X$1001,MATCH(ROWS($V$2:V65),$V$2:$V$1001,0),0), INDEX($AC$1004:$AS$1004,1,MATCH(COLUMNS($AC$1006:AR1006),$AC$1006:$AS$1006,0)))),"Fix")))</f>
        <v xml:space="preserve"> </v>
      </c>
      <c r="R65" s="4" t="str">
        <f ca="1">IF(OR(INDEX($W$2:$W$1001,MATCH(ROWS($V$2:V65),$V$2:$V$1001,0),1)&gt;=100000,INDEX($AC$1005:$AS$1005,1,MATCH(COLUMNS($AC$1006:AS1006),$AC$1006:$AS$1006,0))&gt;=100000), " ",IF(INDEX($AC$2:$AS$1001,MATCH(ROWS($V$2:V65),$V$2:$V$1001,0),MATCH(COLUMNS($AC$1006:AS1006),$AC$1006:$AS$1006,0)), HYPERLINK("#",""), HYPERLINK(CONCATENATE("#metadata!", ADDRESS(INDEX($X$2:$X$1001,MATCH(ROWS($V$2:V65),$V$2:$V$1001,0),0), INDEX($AC$1004:$AS$1004,1,MATCH(COLUMNS($AC$1006:AS1006),$AC$1006:$AS$1006,0)))),"Fix")))</f>
        <v xml:space="preserve"> </v>
      </c>
      <c r="V65">
        <v>64</v>
      </c>
      <c r="W65">
        <v>100065</v>
      </c>
      <c r="X65">
        <v>65</v>
      </c>
      <c r="Y65" t="b">
        <f t="shared" si="0"/>
        <v>1</v>
      </c>
      <c r="Z65" t="b">
        <f>COUNTBLANK(metadata!B65:R65)=COLUMNS(metadata!B65:R65)</f>
        <v>1</v>
      </c>
      <c r="AA65" t="str">
        <v/>
      </c>
      <c r="AC65" t="b">
        <f ca="1"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AD65" t="b">
        <f>IF(metadata!C65="",FALSE,ISNUMBER(VALUE(metadata!C65)))</f>
        <v>0</v>
      </c>
      <c r="AE65" t="b">
        <f>AND(IF(metadata!D65="",FALSE,TRUE),EXACT(metadata!D65,"years"))</f>
        <v>0</v>
      </c>
      <c r="AF65" t="b">
        <f>OR(AND(IF(metadata!E65="",FALSE,TRUE),OR(EXACT(metadata!E65,"not applicable"),EXACT(metadata!E65,"missing: not collected"),EXACT(metadata!E65,"missing: not provided"),EXACT(metadata!E65,"missing: restricted access"))),AND(IF(metadata!E65="",FALSE,ISNUMBER(VALUE(metadata!E65))),metadata!E65&gt;0))</f>
        <v>0</v>
      </c>
      <c r="AG65" t="b">
        <f>AND(IF(metadata!F65="",FALSE,TRUE),EXACT(metadata!F65,"Not applicable"))</f>
        <v>0</v>
      </c>
      <c r="AH65" t="b">
        <f>AND(IF(metadata!G65="",FALSE,TRUE),EXACT(metadata!G65,"urban biome"))</f>
        <v>0</v>
      </c>
      <c r="AI65" t="b">
        <f>AND(IF(metadata!H65="",FALSE,TRUE),EXACT(metadata!H65,"human-associated habitat"))</f>
        <v>0</v>
      </c>
      <c r="AJ65" t="b">
        <f>AND(IF(metadata!I65="",FALSE,TRUE),OR(EXACT(metadata!I65,"human-associated"),EXACT(metadata!I65,"human-skin"),EXACT(metadata!I65,"human-oral"),EXACT(metadata!I65,"human-gut"),EXACT(metadata!I65,"human-vaginal")))</f>
        <v>0</v>
      </c>
      <c r="AK65" t="b">
        <f>IF(metadata!J65="",FALSE,ISNUMBER(VALUE(metadata!J65)))</f>
        <v>0</v>
      </c>
      <c r="AL65" t="b">
        <f>AND(IF(metadata!K65="",FALSE,TRUE),EXACT(metadata!K65,"cm"))</f>
        <v>0</v>
      </c>
      <c r="AM65" t="b">
        <f>AND(IF(metadata!L65="",FALSE,TRUE),EXACT(metadata!L65,"human"))</f>
        <v>0</v>
      </c>
      <c r="AN65" t="b">
        <f>AND(IF(metadata!M65="",FALSE,TRUE),EXACT(metadata!M65,"Homo sapiens"))</f>
        <v>0</v>
      </c>
      <c r="AO65" t="b">
        <f>AND(IF(metadata!N65="",FALSE,TRUE),EXACT(metadata!N65,"9606"))</f>
        <v>0</v>
      </c>
      <c r="AP65" t="b">
        <f>IF(metadata!O65="",FALSE,TRUE)</f>
        <v>0</v>
      </c>
      <c r="AQ65" t="b">
        <f>IF(metadata!P65="",FALSE,TRUE)</f>
        <v>0</v>
      </c>
      <c r="AR65" t="b">
        <f>IF(metadata!Q65="",FALSE,ISNUMBER(VALUE(metadata!Q65)))</f>
        <v>0</v>
      </c>
      <c r="AS65" t="b">
        <f>AND(IF(metadata!R65="",FALSE,TRUE),EXACT(metadata!R65,"kg"))</f>
        <v>0</v>
      </c>
    </row>
    <row r="66" spans="1:45" x14ac:dyDescent="0.2">
      <c r="A66" s="5" t="str">
        <f ca="1">IF(B66=" "," ",HYPERLINK(CONCATENATE("#metadata!",ADDRESS(INDEX($X$2:$X$1001,MATCH(ROWS($V$2:V66),$V$2:$V$1001,0),0),1)),INDEX($AA$2:$AA$1001,MATCH(ROWS($V$2:V66),$V$2:$V$1001,0),0)))</f>
        <v xml:space="preserve"> </v>
      </c>
      <c r="B66" s="4" t="str">
        <f ca="1">IF(OR(INDEX($W$2:$W$1001,MATCH(ROWS($V$2:V66),$V$2:$V$1001,0),1)&gt;=100000,INDEX($AC$1005:$AS$1005,1,MATCH(COLUMNS($AC$1006:AC1006),$AC$1006:$AS$1006,0))&gt;=100000), " ",IF(INDEX($AC$2:$AS$1001,MATCH(ROWS($V$2:V66),$V$2:$V$1001,0),MATCH(COLUMNS($AC$1006:AC1006),$AC$1006:$AS$1006,0)), HYPERLINK("#",""), HYPERLINK(CONCATENATE("#metadata!", ADDRESS(INDEX($X$2:$X$1001,MATCH(ROWS($V$2:V66),$V$2:$V$1001,0),0), INDEX($AC$1004:$AS$1004,1,MATCH(COLUMNS($AC$1006:AC1006),$AC$1006:$AS$1006,0)))),"Fix")))</f>
        <v xml:space="preserve"> </v>
      </c>
      <c r="C66" s="4" t="str">
        <f ca="1">IF(OR(INDEX($W$2:$W$1001,MATCH(ROWS($V$2:V66),$V$2:$V$1001,0),1)&gt;=100000,INDEX($AC$1005:$AS$1005,1,MATCH(COLUMNS($AC$1006:AD1006),$AC$1006:$AS$1006,0))&gt;=100000), " ",IF(INDEX($AC$2:$AS$1001,MATCH(ROWS($V$2:V66),$V$2:$V$1001,0),MATCH(COLUMNS($AC$1006:AD1006),$AC$1006:$AS$1006,0)), HYPERLINK("#",""), HYPERLINK(CONCATENATE("#metadata!", ADDRESS(INDEX($X$2:$X$1001,MATCH(ROWS($V$2:V66),$V$2:$V$1001,0),0), INDEX($AC$1004:$AS$1004,1,MATCH(COLUMNS($AC$1006:AD1006),$AC$1006:$AS$1006,0)))),"Fix")))</f>
        <v xml:space="preserve"> </v>
      </c>
      <c r="D66" s="4" t="str">
        <f ca="1">IF(OR(INDEX($W$2:$W$1001,MATCH(ROWS($V$2:V66),$V$2:$V$1001,0),1)&gt;=100000,INDEX($AC$1005:$AS$1005,1,MATCH(COLUMNS($AC$1006:AE1006),$AC$1006:$AS$1006,0))&gt;=100000), " ",IF(INDEX($AC$2:$AS$1001,MATCH(ROWS($V$2:V66),$V$2:$V$1001,0),MATCH(COLUMNS($AC$1006:AE1006),$AC$1006:$AS$1006,0)), HYPERLINK("#",""), HYPERLINK(CONCATENATE("#metadata!", ADDRESS(INDEX($X$2:$X$1001,MATCH(ROWS($V$2:V66),$V$2:$V$1001,0),0), INDEX($AC$1004:$AS$1004,1,MATCH(COLUMNS($AC$1006:AE1006),$AC$1006:$AS$1006,0)))),"Fix")))</f>
        <v xml:space="preserve"> </v>
      </c>
      <c r="E66" s="4" t="str">
        <f ca="1">IF(OR(INDEX($W$2:$W$1001,MATCH(ROWS($V$2:V66),$V$2:$V$1001,0),1)&gt;=100000,INDEX($AC$1005:$AS$1005,1,MATCH(COLUMNS($AC$1006:AF1006),$AC$1006:$AS$1006,0))&gt;=100000), " ",IF(INDEX($AC$2:$AS$1001,MATCH(ROWS($V$2:V66),$V$2:$V$1001,0),MATCH(COLUMNS($AC$1006:AF1006),$AC$1006:$AS$1006,0)), HYPERLINK("#",""), HYPERLINK(CONCATENATE("#metadata!", ADDRESS(INDEX($X$2:$X$1001,MATCH(ROWS($V$2:V66),$V$2:$V$1001,0),0), INDEX($AC$1004:$AS$1004,1,MATCH(COLUMNS($AC$1006:AF1006),$AC$1006:$AS$1006,0)))),"Fix")))</f>
        <v xml:space="preserve"> </v>
      </c>
      <c r="F66" s="4" t="str">
        <f ca="1">IF(OR(INDEX($W$2:$W$1001,MATCH(ROWS($V$2:V66),$V$2:$V$1001,0),1)&gt;=100000,INDEX($AC$1005:$AS$1005,1,MATCH(COLUMNS($AC$1006:AG1006),$AC$1006:$AS$1006,0))&gt;=100000), " ",IF(INDEX($AC$2:$AS$1001,MATCH(ROWS($V$2:V66),$V$2:$V$1001,0),MATCH(COLUMNS($AC$1006:AG1006),$AC$1006:$AS$1006,0)), HYPERLINK("#",""), HYPERLINK(CONCATENATE("#metadata!", ADDRESS(INDEX($X$2:$X$1001,MATCH(ROWS($V$2:V66),$V$2:$V$1001,0),0), INDEX($AC$1004:$AS$1004,1,MATCH(COLUMNS($AC$1006:AG1006),$AC$1006:$AS$1006,0)))),"Fix")))</f>
        <v xml:space="preserve"> </v>
      </c>
      <c r="G66" s="4" t="str">
        <f ca="1">IF(OR(INDEX($W$2:$W$1001,MATCH(ROWS($V$2:V66),$V$2:$V$1001,0),1)&gt;=100000,INDEX($AC$1005:$AS$1005,1,MATCH(COLUMNS($AC$1006:AH1006),$AC$1006:$AS$1006,0))&gt;=100000), " ",IF(INDEX($AC$2:$AS$1001,MATCH(ROWS($V$2:V66),$V$2:$V$1001,0),MATCH(COLUMNS($AC$1006:AH1006),$AC$1006:$AS$1006,0)), HYPERLINK("#",""), HYPERLINK(CONCATENATE("#metadata!", ADDRESS(INDEX($X$2:$X$1001,MATCH(ROWS($V$2:V66),$V$2:$V$1001,0),0), INDEX($AC$1004:$AS$1004,1,MATCH(COLUMNS($AC$1006:AH1006),$AC$1006:$AS$1006,0)))),"Fix")))</f>
        <v xml:space="preserve"> </v>
      </c>
      <c r="H66" s="4" t="str">
        <f ca="1">IF(OR(INDEX($W$2:$W$1001,MATCH(ROWS($V$2:V66),$V$2:$V$1001,0),1)&gt;=100000,INDEX($AC$1005:$AS$1005,1,MATCH(COLUMNS($AC$1006:AI1006),$AC$1006:$AS$1006,0))&gt;=100000), " ",IF(INDEX($AC$2:$AS$1001,MATCH(ROWS($V$2:V66),$V$2:$V$1001,0),MATCH(COLUMNS($AC$1006:AI1006),$AC$1006:$AS$1006,0)), HYPERLINK("#",""), HYPERLINK(CONCATENATE("#metadata!", ADDRESS(INDEX($X$2:$X$1001,MATCH(ROWS($V$2:V66),$V$2:$V$1001,0),0), INDEX($AC$1004:$AS$1004,1,MATCH(COLUMNS($AC$1006:AI1006),$AC$1006:$AS$1006,0)))),"Fix")))</f>
        <v xml:space="preserve"> </v>
      </c>
      <c r="I66" s="4" t="str">
        <f ca="1">IF(OR(INDEX($W$2:$W$1001,MATCH(ROWS($V$2:V66),$V$2:$V$1001,0),1)&gt;=100000,INDEX($AC$1005:$AS$1005,1,MATCH(COLUMNS($AC$1006:AJ1006),$AC$1006:$AS$1006,0))&gt;=100000), " ",IF(INDEX($AC$2:$AS$1001,MATCH(ROWS($V$2:V66),$V$2:$V$1001,0),MATCH(COLUMNS($AC$1006:AJ1006),$AC$1006:$AS$1006,0)), HYPERLINK("#",""), HYPERLINK(CONCATENATE("#metadata!", ADDRESS(INDEX($X$2:$X$1001,MATCH(ROWS($V$2:V66),$V$2:$V$1001,0),0), INDEX($AC$1004:$AS$1004,1,MATCH(COLUMNS($AC$1006:AJ1006),$AC$1006:$AS$1006,0)))),"Fix")))</f>
        <v xml:space="preserve"> </v>
      </c>
      <c r="J66" s="4" t="str">
        <f ca="1">IF(OR(INDEX($W$2:$W$1001,MATCH(ROWS($V$2:V66),$V$2:$V$1001,0),1)&gt;=100000,INDEX($AC$1005:$AS$1005,1,MATCH(COLUMNS($AC$1006:AK1006),$AC$1006:$AS$1006,0))&gt;=100000), " ",IF(INDEX($AC$2:$AS$1001,MATCH(ROWS($V$2:V66),$V$2:$V$1001,0),MATCH(COLUMNS($AC$1006:AK1006),$AC$1006:$AS$1006,0)), HYPERLINK("#",""), HYPERLINK(CONCATENATE("#metadata!", ADDRESS(INDEX($X$2:$X$1001,MATCH(ROWS($V$2:V66),$V$2:$V$1001,0),0), INDEX($AC$1004:$AS$1004,1,MATCH(COLUMNS($AC$1006:AK1006),$AC$1006:$AS$1006,0)))),"Fix")))</f>
        <v xml:space="preserve"> </v>
      </c>
      <c r="K66" s="4" t="str">
        <f ca="1">IF(OR(INDEX($W$2:$W$1001,MATCH(ROWS($V$2:V66),$V$2:$V$1001,0),1)&gt;=100000,INDEX($AC$1005:$AS$1005,1,MATCH(COLUMNS($AC$1006:AL1006),$AC$1006:$AS$1006,0))&gt;=100000), " ",IF(INDEX($AC$2:$AS$1001,MATCH(ROWS($V$2:V66),$V$2:$V$1001,0),MATCH(COLUMNS($AC$1006:AL1006),$AC$1006:$AS$1006,0)), HYPERLINK("#",""), HYPERLINK(CONCATENATE("#metadata!", ADDRESS(INDEX($X$2:$X$1001,MATCH(ROWS($V$2:V66),$V$2:$V$1001,0),0), INDEX($AC$1004:$AS$1004,1,MATCH(COLUMNS($AC$1006:AL1006),$AC$1006:$AS$1006,0)))),"Fix")))</f>
        <v xml:space="preserve"> </v>
      </c>
      <c r="L66" s="4" t="str">
        <f ca="1">IF(OR(INDEX($W$2:$W$1001,MATCH(ROWS($V$2:V66),$V$2:$V$1001,0),1)&gt;=100000,INDEX($AC$1005:$AS$1005,1,MATCH(COLUMNS($AC$1006:AM1006),$AC$1006:$AS$1006,0))&gt;=100000), " ",IF(INDEX($AC$2:$AS$1001,MATCH(ROWS($V$2:V66),$V$2:$V$1001,0),MATCH(COLUMNS($AC$1006:AM1006),$AC$1006:$AS$1006,0)), HYPERLINK("#",""), HYPERLINK(CONCATENATE("#metadata!", ADDRESS(INDEX($X$2:$X$1001,MATCH(ROWS($V$2:V66),$V$2:$V$1001,0),0), INDEX($AC$1004:$AS$1004,1,MATCH(COLUMNS($AC$1006:AM1006),$AC$1006:$AS$1006,0)))),"Fix")))</f>
        <v xml:space="preserve"> </v>
      </c>
      <c r="M66" s="4" t="str">
        <f ca="1">IF(OR(INDEX($W$2:$W$1001,MATCH(ROWS($V$2:V66),$V$2:$V$1001,0),1)&gt;=100000,INDEX($AC$1005:$AS$1005,1,MATCH(COLUMNS($AC$1006:AN1006),$AC$1006:$AS$1006,0))&gt;=100000), " ",IF(INDEX($AC$2:$AS$1001,MATCH(ROWS($V$2:V66),$V$2:$V$1001,0),MATCH(COLUMNS($AC$1006:AN1006),$AC$1006:$AS$1006,0)), HYPERLINK("#",""), HYPERLINK(CONCATENATE("#metadata!", ADDRESS(INDEX($X$2:$X$1001,MATCH(ROWS($V$2:V66),$V$2:$V$1001,0),0), INDEX($AC$1004:$AS$1004,1,MATCH(COLUMNS($AC$1006:AN1006),$AC$1006:$AS$1006,0)))),"Fix")))</f>
        <v xml:space="preserve"> </v>
      </c>
      <c r="N66" s="4" t="str">
        <f ca="1">IF(OR(INDEX($W$2:$W$1001,MATCH(ROWS($V$2:V66),$V$2:$V$1001,0),1)&gt;=100000,INDEX($AC$1005:$AS$1005,1,MATCH(COLUMNS($AC$1006:AO1006),$AC$1006:$AS$1006,0))&gt;=100000), " ",IF(INDEX($AC$2:$AS$1001,MATCH(ROWS($V$2:V66),$V$2:$V$1001,0),MATCH(COLUMNS($AC$1006:AO1006),$AC$1006:$AS$1006,0)), HYPERLINK("#",""), HYPERLINK(CONCATENATE("#metadata!", ADDRESS(INDEX($X$2:$X$1001,MATCH(ROWS($V$2:V66),$V$2:$V$1001,0),0), INDEX($AC$1004:$AS$1004,1,MATCH(COLUMNS($AC$1006:AO1006),$AC$1006:$AS$1006,0)))),"Fix")))</f>
        <v xml:space="preserve"> </v>
      </c>
      <c r="O66" s="4" t="str">
        <f ca="1">IF(OR(INDEX($W$2:$W$1001,MATCH(ROWS($V$2:V66),$V$2:$V$1001,0),1)&gt;=100000,INDEX($AC$1005:$AS$1005,1,MATCH(COLUMNS($AC$1006:AP1006),$AC$1006:$AS$1006,0))&gt;=100000), " ",IF(INDEX($AC$2:$AS$1001,MATCH(ROWS($V$2:V66),$V$2:$V$1001,0),MATCH(COLUMNS($AC$1006:AP1006),$AC$1006:$AS$1006,0)), HYPERLINK("#",""), HYPERLINK(CONCATENATE("#metadata!", ADDRESS(INDEX($X$2:$X$1001,MATCH(ROWS($V$2:V66),$V$2:$V$1001,0),0), INDEX($AC$1004:$AS$1004,1,MATCH(COLUMNS($AC$1006:AP1006),$AC$1006:$AS$1006,0)))),"Fix")))</f>
        <v xml:space="preserve"> </v>
      </c>
      <c r="P66" s="4" t="str">
        <f ca="1">IF(OR(INDEX($W$2:$W$1001,MATCH(ROWS($V$2:V66),$V$2:$V$1001,0),1)&gt;=100000,INDEX($AC$1005:$AS$1005,1,MATCH(COLUMNS($AC$1006:AQ1006),$AC$1006:$AS$1006,0))&gt;=100000), " ",IF(INDEX($AC$2:$AS$1001,MATCH(ROWS($V$2:V66),$V$2:$V$1001,0),MATCH(COLUMNS($AC$1006:AQ1006),$AC$1006:$AS$1006,0)), HYPERLINK("#",""), HYPERLINK(CONCATENATE("#metadata!", ADDRESS(INDEX($X$2:$X$1001,MATCH(ROWS($V$2:V66),$V$2:$V$1001,0),0), INDEX($AC$1004:$AS$1004,1,MATCH(COLUMNS($AC$1006:AQ1006),$AC$1006:$AS$1006,0)))),"Fix")))</f>
        <v xml:space="preserve"> </v>
      </c>
      <c r="Q66" s="4" t="str">
        <f ca="1">IF(OR(INDEX($W$2:$W$1001,MATCH(ROWS($V$2:V66),$V$2:$V$1001,0),1)&gt;=100000,INDEX($AC$1005:$AS$1005,1,MATCH(COLUMNS($AC$1006:AR1006),$AC$1006:$AS$1006,0))&gt;=100000), " ",IF(INDEX($AC$2:$AS$1001,MATCH(ROWS($V$2:V66),$V$2:$V$1001,0),MATCH(COLUMNS($AC$1006:AR1006),$AC$1006:$AS$1006,0)), HYPERLINK("#",""), HYPERLINK(CONCATENATE("#metadata!", ADDRESS(INDEX($X$2:$X$1001,MATCH(ROWS($V$2:V66),$V$2:$V$1001,0),0), INDEX($AC$1004:$AS$1004,1,MATCH(COLUMNS($AC$1006:AR1006),$AC$1006:$AS$1006,0)))),"Fix")))</f>
        <v xml:space="preserve"> </v>
      </c>
      <c r="R66" s="4" t="str">
        <f ca="1">IF(OR(INDEX($W$2:$W$1001,MATCH(ROWS($V$2:V66),$V$2:$V$1001,0),1)&gt;=100000,INDEX($AC$1005:$AS$1005,1,MATCH(COLUMNS($AC$1006:AS1006),$AC$1006:$AS$1006,0))&gt;=100000), " ",IF(INDEX($AC$2:$AS$1001,MATCH(ROWS($V$2:V66),$V$2:$V$1001,0),MATCH(COLUMNS($AC$1006:AS1006),$AC$1006:$AS$1006,0)), HYPERLINK("#",""), HYPERLINK(CONCATENATE("#metadata!", ADDRESS(INDEX($X$2:$X$1001,MATCH(ROWS($V$2:V66),$V$2:$V$1001,0),0), INDEX($AC$1004:$AS$1004,1,MATCH(COLUMNS($AC$1006:AS1006),$AC$1006:$AS$1006,0)))),"Fix")))</f>
        <v xml:space="preserve"> </v>
      </c>
      <c r="V66">
        <v>65</v>
      </c>
      <c r="W66">
        <v>100066</v>
      </c>
      <c r="X66">
        <v>66</v>
      </c>
      <c r="Y66" t="b">
        <f t="shared" ref="Y66:Y129" si="1">IF(Z66,TRUE,AND(AC66:AS66))</f>
        <v>1</v>
      </c>
      <c r="Z66" t="b">
        <f>COUNTBLANK(metadata!B66:R66)=COLUMNS(metadata!B66:R66)</f>
        <v>1</v>
      </c>
      <c r="AA66" t="str">
        <v/>
      </c>
      <c r="AC66" t="b">
        <f ca="1"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AD66" t="b">
        <f>IF(metadata!C66="",FALSE,ISNUMBER(VALUE(metadata!C66)))</f>
        <v>0</v>
      </c>
      <c r="AE66" t="b">
        <f>AND(IF(metadata!D66="",FALSE,TRUE),EXACT(metadata!D66,"years"))</f>
        <v>0</v>
      </c>
      <c r="AF66" t="b">
        <f>OR(AND(IF(metadata!E66="",FALSE,TRUE),OR(EXACT(metadata!E66,"not applicable"),EXACT(metadata!E66,"missing: not collected"),EXACT(metadata!E66,"missing: not provided"),EXACT(metadata!E66,"missing: restricted access"))),AND(IF(metadata!E66="",FALSE,ISNUMBER(VALUE(metadata!E66))),metadata!E66&gt;0))</f>
        <v>0</v>
      </c>
      <c r="AG66" t="b">
        <f>AND(IF(metadata!F66="",FALSE,TRUE),EXACT(metadata!F66,"Not applicable"))</f>
        <v>0</v>
      </c>
      <c r="AH66" t="b">
        <f>AND(IF(metadata!G66="",FALSE,TRUE),EXACT(metadata!G66,"urban biome"))</f>
        <v>0</v>
      </c>
      <c r="AI66" t="b">
        <f>AND(IF(metadata!H66="",FALSE,TRUE),EXACT(metadata!H66,"human-associated habitat"))</f>
        <v>0</v>
      </c>
      <c r="AJ66" t="b">
        <f>AND(IF(metadata!I66="",FALSE,TRUE),OR(EXACT(metadata!I66,"human-associated"),EXACT(metadata!I66,"human-skin"),EXACT(metadata!I66,"human-oral"),EXACT(metadata!I66,"human-gut"),EXACT(metadata!I66,"human-vaginal")))</f>
        <v>0</v>
      </c>
      <c r="AK66" t="b">
        <f>IF(metadata!J66="",FALSE,ISNUMBER(VALUE(metadata!J66)))</f>
        <v>0</v>
      </c>
      <c r="AL66" t="b">
        <f>AND(IF(metadata!K66="",FALSE,TRUE),EXACT(metadata!K66,"cm"))</f>
        <v>0</v>
      </c>
      <c r="AM66" t="b">
        <f>AND(IF(metadata!L66="",FALSE,TRUE),EXACT(metadata!L66,"human"))</f>
        <v>0</v>
      </c>
      <c r="AN66" t="b">
        <f>AND(IF(metadata!M66="",FALSE,TRUE),EXACT(metadata!M66,"Homo sapiens"))</f>
        <v>0</v>
      </c>
      <c r="AO66" t="b">
        <f>AND(IF(metadata!N66="",FALSE,TRUE),EXACT(metadata!N66,"9606"))</f>
        <v>0</v>
      </c>
      <c r="AP66" t="b">
        <f>IF(metadata!O66="",FALSE,TRUE)</f>
        <v>0</v>
      </c>
      <c r="AQ66" t="b">
        <f>IF(metadata!P66="",FALSE,TRUE)</f>
        <v>0</v>
      </c>
      <c r="AR66" t="b">
        <f>IF(metadata!Q66="",FALSE,ISNUMBER(VALUE(metadata!Q66)))</f>
        <v>0</v>
      </c>
      <c r="AS66" t="b">
        <f>AND(IF(metadata!R66="",FALSE,TRUE),EXACT(metadata!R66,"kg"))</f>
        <v>0</v>
      </c>
    </row>
    <row r="67" spans="1:45" x14ac:dyDescent="0.2">
      <c r="A67" s="5" t="str">
        <f ca="1">IF(B67=" "," ",HYPERLINK(CONCATENATE("#metadata!",ADDRESS(INDEX($X$2:$X$1001,MATCH(ROWS($V$2:V67),$V$2:$V$1001,0),0),1)),INDEX($AA$2:$AA$1001,MATCH(ROWS($V$2:V67),$V$2:$V$1001,0),0)))</f>
        <v xml:space="preserve"> </v>
      </c>
      <c r="B67" s="4" t="str">
        <f ca="1">IF(OR(INDEX($W$2:$W$1001,MATCH(ROWS($V$2:V67),$V$2:$V$1001,0),1)&gt;=100000,INDEX($AC$1005:$AS$1005,1,MATCH(COLUMNS($AC$1006:AC1006),$AC$1006:$AS$1006,0))&gt;=100000), " ",IF(INDEX($AC$2:$AS$1001,MATCH(ROWS($V$2:V67),$V$2:$V$1001,0),MATCH(COLUMNS($AC$1006:AC1006),$AC$1006:$AS$1006,0)), HYPERLINK("#",""), HYPERLINK(CONCATENATE("#metadata!", ADDRESS(INDEX($X$2:$X$1001,MATCH(ROWS($V$2:V67),$V$2:$V$1001,0),0), INDEX($AC$1004:$AS$1004,1,MATCH(COLUMNS($AC$1006:AC1006),$AC$1006:$AS$1006,0)))),"Fix")))</f>
        <v xml:space="preserve"> </v>
      </c>
      <c r="C67" s="4" t="str">
        <f ca="1">IF(OR(INDEX($W$2:$W$1001,MATCH(ROWS($V$2:V67),$V$2:$V$1001,0),1)&gt;=100000,INDEX($AC$1005:$AS$1005,1,MATCH(COLUMNS($AC$1006:AD1006),$AC$1006:$AS$1006,0))&gt;=100000), " ",IF(INDEX($AC$2:$AS$1001,MATCH(ROWS($V$2:V67),$V$2:$V$1001,0),MATCH(COLUMNS($AC$1006:AD1006),$AC$1006:$AS$1006,0)), HYPERLINK("#",""), HYPERLINK(CONCATENATE("#metadata!", ADDRESS(INDEX($X$2:$X$1001,MATCH(ROWS($V$2:V67),$V$2:$V$1001,0),0), INDEX($AC$1004:$AS$1004,1,MATCH(COLUMNS($AC$1006:AD1006),$AC$1006:$AS$1006,0)))),"Fix")))</f>
        <v xml:space="preserve"> </v>
      </c>
      <c r="D67" s="4" t="str">
        <f ca="1">IF(OR(INDEX($W$2:$W$1001,MATCH(ROWS($V$2:V67),$V$2:$V$1001,0),1)&gt;=100000,INDEX($AC$1005:$AS$1005,1,MATCH(COLUMNS($AC$1006:AE1006),$AC$1006:$AS$1006,0))&gt;=100000), " ",IF(INDEX($AC$2:$AS$1001,MATCH(ROWS($V$2:V67),$V$2:$V$1001,0),MATCH(COLUMNS($AC$1006:AE1006),$AC$1006:$AS$1006,0)), HYPERLINK("#",""), HYPERLINK(CONCATENATE("#metadata!", ADDRESS(INDEX($X$2:$X$1001,MATCH(ROWS($V$2:V67),$V$2:$V$1001,0),0), INDEX($AC$1004:$AS$1004,1,MATCH(COLUMNS($AC$1006:AE1006),$AC$1006:$AS$1006,0)))),"Fix")))</f>
        <v xml:space="preserve"> </v>
      </c>
      <c r="E67" s="4" t="str">
        <f ca="1">IF(OR(INDEX($W$2:$W$1001,MATCH(ROWS($V$2:V67),$V$2:$V$1001,0),1)&gt;=100000,INDEX($AC$1005:$AS$1005,1,MATCH(COLUMNS($AC$1006:AF1006),$AC$1006:$AS$1006,0))&gt;=100000), " ",IF(INDEX($AC$2:$AS$1001,MATCH(ROWS($V$2:V67),$V$2:$V$1001,0),MATCH(COLUMNS($AC$1006:AF1006),$AC$1006:$AS$1006,0)), HYPERLINK("#",""), HYPERLINK(CONCATENATE("#metadata!", ADDRESS(INDEX($X$2:$X$1001,MATCH(ROWS($V$2:V67),$V$2:$V$1001,0),0), INDEX($AC$1004:$AS$1004,1,MATCH(COLUMNS($AC$1006:AF1006),$AC$1006:$AS$1006,0)))),"Fix")))</f>
        <v xml:space="preserve"> </v>
      </c>
      <c r="F67" s="4" t="str">
        <f ca="1">IF(OR(INDEX($W$2:$W$1001,MATCH(ROWS($V$2:V67),$V$2:$V$1001,0),1)&gt;=100000,INDEX($AC$1005:$AS$1005,1,MATCH(COLUMNS($AC$1006:AG1006),$AC$1006:$AS$1006,0))&gt;=100000), " ",IF(INDEX($AC$2:$AS$1001,MATCH(ROWS($V$2:V67),$V$2:$V$1001,0),MATCH(COLUMNS($AC$1006:AG1006),$AC$1006:$AS$1006,0)), HYPERLINK("#",""), HYPERLINK(CONCATENATE("#metadata!", ADDRESS(INDEX($X$2:$X$1001,MATCH(ROWS($V$2:V67),$V$2:$V$1001,0),0), INDEX($AC$1004:$AS$1004,1,MATCH(COLUMNS($AC$1006:AG1006),$AC$1006:$AS$1006,0)))),"Fix")))</f>
        <v xml:space="preserve"> </v>
      </c>
      <c r="G67" s="4" t="str">
        <f ca="1">IF(OR(INDEX($W$2:$W$1001,MATCH(ROWS($V$2:V67),$V$2:$V$1001,0),1)&gt;=100000,INDEX($AC$1005:$AS$1005,1,MATCH(COLUMNS($AC$1006:AH1006),$AC$1006:$AS$1006,0))&gt;=100000), " ",IF(INDEX($AC$2:$AS$1001,MATCH(ROWS($V$2:V67),$V$2:$V$1001,0),MATCH(COLUMNS($AC$1006:AH1006),$AC$1006:$AS$1006,0)), HYPERLINK("#",""), HYPERLINK(CONCATENATE("#metadata!", ADDRESS(INDEX($X$2:$X$1001,MATCH(ROWS($V$2:V67),$V$2:$V$1001,0),0), INDEX($AC$1004:$AS$1004,1,MATCH(COLUMNS($AC$1006:AH1006),$AC$1006:$AS$1006,0)))),"Fix")))</f>
        <v xml:space="preserve"> </v>
      </c>
      <c r="H67" s="4" t="str">
        <f ca="1">IF(OR(INDEX($W$2:$W$1001,MATCH(ROWS($V$2:V67),$V$2:$V$1001,0),1)&gt;=100000,INDEX($AC$1005:$AS$1005,1,MATCH(COLUMNS($AC$1006:AI1006),$AC$1006:$AS$1006,0))&gt;=100000), " ",IF(INDEX($AC$2:$AS$1001,MATCH(ROWS($V$2:V67),$V$2:$V$1001,0),MATCH(COLUMNS($AC$1006:AI1006),$AC$1006:$AS$1006,0)), HYPERLINK("#",""), HYPERLINK(CONCATENATE("#metadata!", ADDRESS(INDEX($X$2:$X$1001,MATCH(ROWS($V$2:V67),$V$2:$V$1001,0),0), INDEX($AC$1004:$AS$1004,1,MATCH(COLUMNS($AC$1006:AI1006),$AC$1006:$AS$1006,0)))),"Fix")))</f>
        <v xml:space="preserve"> </v>
      </c>
      <c r="I67" s="4" t="str">
        <f ca="1">IF(OR(INDEX($W$2:$W$1001,MATCH(ROWS($V$2:V67),$V$2:$V$1001,0),1)&gt;=100000,INDEX($AC$1005:$AS$1005,1,MATCH(COLUMNS($AC$1006:AJ1006),$AC$1006:$AS$1006,0))&gt;=100000), " ",IF(INDEX($AC$2:$AS$1001,MATCH(ROWS($V$2:V67),$V$2:$V$1001,0),MATCH(COLUMNS($AC$1006:AJ1006),$AC$1006:$AS$1006,0)), HYPERLINK("#",""), HYPERLINK(CONCATENATE("#metadata!", ADDRESS(INDEX($X$2:$X$1001,MATCH(ROWS($V$2:V67),$V$2:$V$1001,0),0), INDEX($AC$1004:$AS$1004,1,MATCH(COLUMNS($AC$1006:AJ1006),$AC$1006:$AS$1006,0)))),"Fix")))</f>
        <v xml:space="preserve"> </v>
      </c>
      <c r="J67" s="4" t="str">
        <f ca="1">IF(OR(INDEX($W$2:$W$1001,MATCH(ROWS($V$2:V67),$V$2:$V$1001,0),1)&gt;=100000,INDEX($AC$1005:$AS$1005,1,MATCH(COLUMNS($AC$1006:AK1006),$AC$1006:$AS$1006,0))&gt;=100000), " ",IF(INDEX($AC$2:$AS$1001,MATCH(ROWS($V$2:V67),$V$2:$V$1001,0),MATCH(COLUMNS($AC$1006:AK1006),$AC$1006:$AS$1006,0)), HYPERLINK("#",""), HYPERLINK(CONCATENATE("#metadata!", ADDRESS(INDEX($X$2:$X$1001,MATCH(ROWS($V$2:V67),$V$2:$V$1001,0),0), INDEX($AC$1004:$AS$1004,1,MATCH(COLUMNS($AC$1006:AK1006),$AC$1006:$AS$1006,0)))),"Fix")))</f>
        <v xml:space="preserve"> </v>
      </c>
      <c r="K67" s="4" t="str">
        <f ca="1">IF(OR(INDEX($W$2:$W$1001,MATCH(ROWS($V$2:V67),$V$2:$V$1001,0),1)&gt;=100000,INDEX($AC$1005:$AS$1005,1,MATCH(COLUMNS($AC$1006:AL1006),$AC$1006:$AS$1006,0))&gt;=100000), " ",IF(INDEX($AC$2:$AS$1001,MATCH(ROWS($V$2:V67),$V$2:$V$1001,0),MATCH(COLUMNS($AC$1006:AL1006),$AC$1006:$AS$1006,0)), HYPERLINK("#",""), HYPERLINK(CONCATENATE("#metadata!", ADDRESS(INDEX($X$2:$X$1001,MATCH(ROWS($V$2:V67),$V$2:$V$1001,0),0), INDEX($AC$1004:$AS$1004,1,MATCH(COLUMNS($AC$1006:AL1006),$AC$1006:$AS$1006,0)))),"Fix")))</f>
        <v xml:space="preserve"> </v>
      </c>
      <c r="L67" s="4" t="str">
        <f ca="1">IF(OR(INDEX($W$2:$W$1001,MATCH(ROWS($V$2:V67),$V$2:$V$1001,0),1)&gt;=100000,INDEX($AC$1005:$AS$1005,1,MATCH(COLUMNS($AC$1006:AM1006),$AC$1006:$AS$1006,0))&gt;=100000), " ",IF(INDEX($AC$2:$AS$1001,MATCH(ROWS($V$2:V67),$V$2:$V$1001,0),MATCH(COLUMNS($AC$1006:AM1006),$AC$1006:$AS$1006,0)), HYPERLINK("#",""), HYPERLINK(CONCATENATE("#metadata!", ADDRESS(INDEX($X$2:$X$1001,MATCH(ROWS($V$2:V67),$V$2:$V$1001,0),0), INDEX($AC$1004:$AS$1004,1,MATCH(COLUMNS($AC$1006:AM1006),$AC$1006:$AS$1006,0)))),"Fix")))</f>
        <v xml:space="preserve"> </v>
      </c>
      <c r="M67" s="4" t="str">
        <f ca="1">IF(OR(INDEX($W$2:$W$1001,MATCH(ROWS($V$2:V67),$V$2:$V$1001,0),1)&gt;=100000,INDEX($AC$1005:$AS$1005,1,MATCH(COLUMNS($AC$1006:AN1006),$AC$1006:$AS$1006,0))&gt;=100000), " ",IF(INDEX($AC$2:$AS$1001,MATCH(ROWS($V$2:V67),$V$2:$V$1001,0),MATCH(COLUMNS($AC$1006:AN1006),$AC$1006:$AS$1006,0)), HYPERLINK("#",""), HYPERLINK(CONCATENATE("#metadata!", ADDRESS(INDEX($X$2:$X$1001,MATCH(ROWS($V$2:V67),$V$2:$V$1001,0),0), INDEX($AC$1004:$AS$1004,1,MATCH(COLUMNS($AC$1006:AN1006),$AC$1006:$AS$1006,0)))),"Fix")))</f>
        <v xml:space="preserve"> </v>
      </c>
      <c r="N67" s="4" t="str">
        <f ca="1">IF(OR(INDEX($W$2:$W$1001,MATCH(ROWS($V$2:V67),$V$2:$V$1001,0),1)&gt;=100000,INDEX($AC$1005:$AS$1005,1,MATCH(COLUMNS($AC$1006:AO1006),$AC$1006:$AS$1006,0))&gt;=100000), " ",IF(INDEX($AC$2:$AS$1001,MATCH(ROWS($V$2:V67),$V$2:$V$1001,0),MATCH(COLUMNS($AC$1006:AO1006),$AC$1006:$AS$1006,0)), HYPERLINK("#",""), HYPERLINK(CONCATENATE("#metadata!", ADDRESS(INDEX($X$2:$X$1001,MATCH(ROWS($V$2:V67),$V$2:$V$1001,0),0), INDEX($AC$1004:$AS$1004,1,MATCH(COLUMNS($AC$1006:AO1006),$AC$1006:$AS$1006,0)))),"Fix")))</f>
        <v xml:space="preserve"> </v>
      </c>
      <c r="O67" s="4" t="str">
        <f ca="1">IF(OR(INDEX($W$2:$W$1001,MATCH(ROWS($V$2:V67),$V$2:$V$1001,0),1)&gt;=100000,INDEX($AC$1005:$AS$1005,1,MATCH(COLUMNS($AC$1006:AP1006),$AC$1006:$AS$1006,0))&gt;=100000), " ",IF(INDEX($AC$2:$AS$1001,MATCH(ROWS($V$2:V67),$V$2:$V$1001,0),MATCH(COLUMNS($AC$1006:AP1006),$AC$1006:$AS$1006,0)), HYPERLINK("#",""), HYPERLINK(CONCATENATE("#metadata!", ADDRESS(INDEX($X$2:$X$1001,MATCH(ROWS($V$2:V67),$V$2:$V$1001,0),0), INDEX($AC$1004:$AS$1004,1,MATCH(COLUMNS($AC$1006:AP1006),$AC$1006:$AS$1006,0)))),"Fix")))</f>
        <v xml:space="preserve"> </v>
      </c>
      <c r="P67" s="4" t="str">
        <f ca="1">IF(OR(INDEX($W$2:$W$1001,MATCH(ROWS($V$2:V67),$V$2:$V$1001,0),1)&gt;=100000,INDEX($AC$1005:$AS$1005,1,MATCH(COLUMNS($AC$1006:AQ1006),$AC$1006:$AS$1006,0))&gt;=100000), " ",IF(INDEX($AC$2:$AS$1001,MATCH(ROWS($V$2:V67),$V$2:$V$1001,0),MATCH(COLUMNS($AC$1006:AQ1006),$AC$1006:$AS$1006,0)), HYPERLINK("#",""), HYPERLINK(CONCATENATE("#metadata!", ADDRESS(INDEX($X$2:$X$1001,MATCH(ROWS($V$2:V67),$V$2:$V$1001,0),0), INDEX($AC$1004:$AS$1004,1,MATCH(COLUMNS($AC$1006:AQ1006),$AC$1006:$AS$1006,0)))),"Fix")))</f>
        <v xml:space="preserve"> </v>
      </c>
      <c r="Q67" s="4" t="str">
        <f ca="1">IF(OR(INDEX($W$2:$W$1001,MATCH(ROWS($V$2:V67),$V$2:$V$1001,0),1)&gt;=100000,INDEX($AC$1005:$AS$1005,1,MATCH(COLUMNS($AC$1006:AR1006),$AC$1006:$AS$1006,0))&gt;=100000), " ",IF(INDEX($AC$2:$AS$1001,MATCH(ROWS($V$2:V67),$V$2:$V$1001,0),MATCH(COLUMNS($AC$1006:AR1006),$AC$1006:$AS$1006,0)), HYPERLINK("#",""), HYPERLINK(CONCATENATE("#metadata!", ADDRESS(INDEX($X$2:$X$1001,MATCH(ROWS($V$2:V67),$V$2:$V$1001,0),0), INDEX($AC$1004:$AS$1004,1,MATCH(COLUMNS($AC$1006:AR1006),$AC$1006:$AS$1006,0)))),"Fix")))</f>
        <v xml:space="preserve"> </v>
      </c>
      <c r="R67" s="4" t="str">
        <f ca="1">IF(OR(INDEX($W$2:$W$1001,MATCH(ROWS($V$2:V67),$V$2:$V$1001,0),1)&gt;=100000,INDEX($AC$1005:$AS$1005,1,MATCH(COLUMNS($AC$1006:AS1006),$AC$1006:$AS$1006,0))&gt;=100000), " ",IF(INDEX($AC$2:$AS$1001,MATCH(ROWS($V$2:V67),$V$2:$V$1001,0),MATCH(COLUMNS($AC$1006:AS1006),$AC$1006:$AS$1006,0)), HYPERLINK("#",""), HYPERLINK(CONCATENATE("#metadata!", ADDRESS(INDEX($X$2:$X$1001,MATCH(ROWS($V$2:V67),$V$2:$V$1001,0),0), INDEX($AC$1004:$AS$1004,1,MATCH(COLUMNS($AC$1006:AS1006),$AC$1006:$AS$1006,0)))),"Fix")))</f>
        <v xml:space="preserve"> </v>
      </c>
      <c r="V67">
        <v>66</v>
      </c>
      <c r="W67">
        <v>100067</v>
      </c>
      <c r="X67">
        <v>67</v>
      </c>
      <c r="Y67" t="b">
        <f t="shared" si="1"/>
        <v>1</v>
      </c>
      <c r="Z67" t="b">
        <f>COUNTBLANK(metadata!B67:R67)=COLUMNS(metadata!B67:R67)</f>
        <v>1</v>
      </c>
      <c r="AA67" t="str">
        <v/>
      </c>
      <c r="AC67" t="b">
        <f ca="1"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AD67" t="b">
        <f>IF(metadata!C67="",FALSE,ISNUMBER(VALUE(metadata!C67)))</f>
        <v>0</v>
      </c>
      <c r="AE67" t="b">
        <f>AND(IF(metadata!D67="",FALSE,TRUE),EXACT(metadata!D67,"years"))</f>
        <v>0</v>
      </c>
      <c r="AF67" t="b">
        <f>OR(AND(IF(metadata!E67="",FALSE,TRUE),OR(EXACT(metadata!E67,"not applicable"),EXACT(metadata!E67,"missing: not collected"),EXACT(metadata!E67,"missing: not provided"),EXACT(metadata!E67,"missing: restricted access"))),AND(IF(metadata!E67="",FALSE,ISNUMBER(VALUE(metadata!E67))),metadata!E67&gt;0))</f>
        <v>0</v>
      </c>
      <c r="AG67" t="b">
        <f>AND(IF(metadata!F67="",FALSE,TRUE),EXACT(metadata!F67,"Not applicable"))</f>
        <v>0</v>
      </c>
      <c r="AH67" t="b">
        <f>AND(IF(metadata!G67="",FALSE,TRUE),EXACT(metadata!G67,"urban biome"))</f>
        <v>0</v>
      </c>
      <c r="AI67" t="b">
        <f>AND(IF(metadata!H67="",FALSE,TRUE),EXACT(metadata!H67,"human-associated habitat"))</f>
        <v>0</v>
      </c>
      <c r="AJ67" t="b">
        <f>AND(IF(metadata!I67="",FALSE,TRUE),OR(EXACT(metadata!I67,"human-associated"),EXACT(metadata!I67,"human-skin"),EXACT(metadata!I67,"human-oral"),EXACT(metadata!I67,"human-gut"),EXACT(metadata!I67,"human-vaginal")))</f>
        <v>0</v>
      </c>
      <c r="AK67" t="b">
        <f>IF(metadata!J67="",FALSE,ISNUMBER(VALUE(metadata!J67)))</f>
        <v>0</v>
      </c>
      <c r="AL67" t="b">
        <f>AND(IF(metadata!K67="",FALSE,TRUE),EXACT(metadata!K67,"cm"))</f>
        <v>0</v>
      </c>
      <c r="AM67" t="b">
        <f>AND(IF(metadata!L67="",FALSE,TRUE),EXACT(metadata!L67,"human"))</f>
        <v>0</v>
      </c>
      <c r="AN67" t="b">
        <f>AND(IF(metadata!M67="",FALSE,TRUE),EXACT(metadata!M67,"Homo sapiens"))</f>
        <v>0</v>
      </c>
      <c r="AO67" t="b">
        <f>AND(IF(metadata!N67="",FALSE,TRUE),EXACT(metadata!N67,"9606"))</f>
        <v>0</v>
      </c>
      <c r="AP67" t="b">
        <f>IF(metadata!O67="",FALSE,TRUE)</f>
        <v>0</v>
      </c>
      <c r="AQ67" t="b">
        <f>IF(metadata!P67="",FALSE,TRUE)</f>
        <v>0</v>
      </c>
      <c r="AR67" t="b">
        <f>IF(metadata!Q67="",FALSE,ISNUMBER(VALUE(metadata!Q67)))</f>
        <v>0</v>
      </c>
      <c r="AS67" t="b">
        <f>AND(IF(metadata!R67="",FALSE,TRUE),EXACT(metadata!R67,"kg"))</f>
        <v>0</v>
      </c>
    </row>
    <row r="68" spans="1:45" x14ac:dyDescent="0.2">
      <c r="A68" s="5" t="str">
        <f ca="1">IF(B68=" "," ",HYPERLINK(CONCATENATE("#metadata!",ADDRESS(INDEX($X$2:$X$1001,MATCH(ROWS($V$2:V68),$V$2:$V$1001,0),0),1)),INDEX($AA$2:$AA$1001,MATCH(ROWS($V$2:V68),$V$2:$V$1001,0),0)))</f>
        <v xml:space="preserve"> </v>
      </c>
      <c r="B68" s="4" t="str">
        <f ca="1">IF(OR(INDEX($W$2:$W$1001,MATCH(ROWS($V$2:V68),$V$2:$V$1001,0),1)&gt;=100000,INDEX($AC$1005:$AS$1005,1,MATCH(COLUMNS($AC$1006:AC1006),$AC$1006:$AS$1006,0))&gt;=100000), " ",IF(INDEX($AC$2:$AS$1001,MATCH(ROWS($V$2:V68),$V$2:$V$1001,0),MATCH(COLUMNS($AC$1006:AC1006),$AC$1006:$AS$1006,0)), HYPERLINK("#",""), HYPERLINK(CONCATENATE("#metadata!", ADDRESS(INDEX($X$2:$X$1001,MATCH(ROWS($V$2:V68),$V$2:$V$1001,0),0), INDEX($AC$1004:$AS$1004,1,MATCH(COLUMNS($AC$1006:AC1006),$AC$1006:$AS$1006,0)))),"Fix")))</f>
        <v xml:space="preserve"> </v>
      </c>
      <c r="C68" s="4" t="str">
        <f ca="1">IF(OR(INDEX($W$2:$W$1001,MATCH(ROWS($V$2:V68),$V$2:$V$1001,0),1)&gt;=100000,INDEX($AC$1005:$AS$1005,1,MATCH(COLUMNS($AC$1006:AD1006),$AC$1006:$AS$1006,0))&gt;=100000), " ",IF(INDEX($AC$2:$AS$1001,MATCH(ROWS($V$2:V68),$V$2:$V$1001,0),MATCH(COLUMNS($AC$1006:AD1006),$AC$1006:$AS$1006,0)), HYPERLINK("#",""), HYPERLINK(CONCATENATE("#metadata!", ADDRESS(INDEX($X$2:$X$1001,MATCH(ROWS($V$2:V68),$V$2:$V$1001,0),0), INDEX($AC$1004:$AS$1004,1,MATCH(COLUMNS($AC$1006:AD1006),$AC$1006:$AS$1006,0)))),"Fix")))</f>
        <v xml:space="preserve"> </v>
      </c>
      <c r="D68" s="4" t="str">
        <f ca="1">IF(OR(INDEX($W$2:$W$1001,MATCH(ROWS($V$2:V68),$V$2:$V$1001,0),1)&gt;=100000,INDEX($AC$1005:$AS$1005,1,MATCH(COLUMNS($AC$1006:AE1006),$AC$1006:$AS$1006,0))&gt;=100000), " ",IF(INDEX($AC$2:$AS$1001,MATCH(ROWS($V$2:V68),$V$2:$V$1001,0),MATCH(COLUMNS($AC$1006:AE1006),$AC$1006:$AS$1006,0)), HYPERLINK("#",""), HYPERLINK(CONCATENATE("#metadata!", ADDRESS(INDEX($X$2:$X$1001,MATCH(ROWS($V$2:V68),$V$2:$V$1001,0),0), INDEX($AC$1004:$AS$1004,1,MATCH(COLUMNS($AC$1006:AE1006),$AC$1006:$AS$1006,0)))),"Fix")))</f>
        <v xml:space="preserve"> </v>
      </c>
      <c r="E68" s="4" t="str">
        <f ca="1">IF(OR(INDEX($W$2:$W$1001,MATCH(ROWS($V$2:V68),$V$2:$V$1001,0),1)&gt;=100000,INDEX($AC$1005:$AS$1005,1,MATCH(COLUMNS($AC$1006:AF1006),$AC$1006:$AS$1006,0))&gt;=100000), " ",IF(INDEX($AC$2:$AS$1001,MATCH(ROWS($V$2:V68),$V$2:$V$1001,0),MATCH(COLUMNS($AC$1006:AF1006),$AC$1006:$AS$1006,0)), HYPERLINK("#",""), HYPERLINK(CONCATENATE("#metadata!", ADDRESS(INDEX($X$2:$X$1001,MATCH(ROWS($V$2:V68),$V$2:$V$1001,0),0), INDEX($AC$1004:$AS$1004,1,MATCH(COLUMNS($AC$1006:AF1006),$AC$1006:$AS$1006,0)))),"Fix")))</f>
        <v xml:space="preserve"> </v>
      </c>
      <c r="F68" s="4" t="str">
        <f ca="1">IF(OR(INDEX($W$2:$W$1001,MATCH(ROWS($V$2:V68),$V$2:$V$1001,0),1)&gt;=100000,INDEX($AC$1005:$AS$1005,1,MATCH(COLUMNS($AC$1006:AG1006),$AC$1006:$AS$1006,0))&gt;=100000), " ",IF(INDEX($AC$2:$AS$1001,MATCH(ROWS($V$2:V68),$V$2:$V$1001,0),MATCH(COLUMNS($AC$1006:AG1006),$AC$1006:$AS$1006,0)), HYPERLINK("#",""), HYPERLINK(CONCATENATE("#metadata!", ADDRESS(INDEX($X$2:$X$1001,MATCH(ROWS($V$2:V68),$V$2:$V$1001,0),0), INDEX($AC$1004:$AS$1004,1,MATCH(COLUMNS($AC$1006:AG1006),$AC$1006:$AS$1006,0)))),"Fix")))</f>
        <v xml:space="preserve"> </v>
      </c>
      <c r="G68" s="4" t="str">
        <f ca="1">IF(OR(INDEX($W$2:$W$1001,MATCH(ROWS($V$2:V68),$V$2:$V$1001,0),1)&gt;=100000,INDEX($AC$1005:$AS$1005,1,MATCH(COLUMNS($AC$1006:AH1006),$AC$1006:$AS$1006,0))&gt;=100000), " ",IF(INDEX($AC$2:$AS$1001,MATCH(ROWS($V$2:V68),$V$2:$V$1001,0),MATCH(COLUMNS($AC$1006:AH1006),$AC$1006:$AS$1006,0)), HYPERLINK("#",""), HYPERLINK(CONCATENATE("#metadata!", ADDRESS(INDEX($X$2:$X$1001,MATCH(ROWS($V$2:V68),$V$2:$V$1001,0),0), INDEX($AC$1004:$AS$1004,1,MATCH(COLUMNS($AC$1006:AH1006),$AC$1006:$AS$1006,0)))),"Fix")))</f>
        <v xml:space="preserve"> </v>
      </c>
      <c r="H68" s="4" t="str">
        <f ca="1">IF(OR(INDEX($W$2:$W$1001,MATCH(ROWS($V$2:V68),$V$2:$V$1001,0),1)&gt;=100000,INDEX($AC$1005:$AS$1005,1,MATCH(COLUMNS($AC$1006:AI1006),$AC$1006:$AS$1006,0))&gt;=100000), " ",IF(INDEX($AC$2:$AS$1001,MATCH(ROWS($V$2:V68),$V$2:$V$1001,0),MATCH(COLUMNS($AC$1006:AI1006),$AC$1006:$AS$1006,0)), HYPERLINK("#",""), HYPERLINK(CONCATENATE("#metadata!", ADDRESS(INDEX($X$2:$X$1001,MATCH(ROWS($V$2:V68),$V$2:$V$1001,0),0), INDEX($AC$1004:$AS$1004,1,MATCH(COLUMNS($AC$1006:AI1006),$AC$1006:$AS$1006,0)))),"Fix")))</f>
        <v xml:space="preserve"> </v>
      </c>
      <c r="I68" s="4" t="str">
        <f ca="1">IF(OR(INDEX($W$2:$W$1001,MATCH(ROWS($V$2:V68),$V$2:$V$1001,0),1)&gt;=100000,INDEX($AC$1005:$AS$1005,1,MATCH(COLUMNS($AC$1006:AJ1006),$AC$1006:$AS$1006,0))&gt;=100000), " ",IF(INDEX($AC$2:$AS$1001,MATCH(ROWS($V$2:V68),$V$2:$V$1001,0),MATCH(COLUMNS($AC$1006:AJ1006),$AC$1006:$AS$1006,0)), HYPERLINK("#",""), HYPERLINK(CONCATENATE("#metadata!", ADDRESS(INDEX($X$2:$X$1001,MATCH(ROWS($V$2:V68),$V$2:$V$1001,0),0), INDEX($AC$1004:$AS$1004,1,MATCH(COLUMNS($AC$1006:AJ1006),$AC$1006:$AS$1006,0)))),"Fix")))</f>
        <v xml:space="preserve"> </v>
      </c>
      <c r="J68" s="4" t="str">
        <f ca="1">IF(OR(INDEX($W$2:$W$1001,MATCH(ROWS($V$2:V68),$V$2:$V$1001,0),1)&gt;=100000,INDEX($AC$1005:$AS$1005,1,MATCH(COLUMNS($AC$1006:AK1006),$AC$1006:$AS$1006,0))&gt;=100000), " ",IF(INDEX($AC$2:$AS$1001,MATCH(ROWS($V$2:V68),$V$2:$V$1001,0),MATCH(COLUMNS($AC$1006:AK1006),$AC$1006:$AS$1006,0)), HYPERLINK("#",""), HYPERLINK(CONCATENATE("#metadata!", ADDRESS(INDEX($X$2:$X$1001,MATCH(ROWS($V$2:V68),$V$2:$V$1001,0),0), INDEX($AC$1004:$AS$1004,1,MATCH(COLUMNS($AC$1006:AK1006),$AC$1006:$AS$1006,0)))),"Fix")))</f>
        <v xml:space="preserve"> </v>
      </c>
      <c r="K68" s="4" t="str">
        <f ca="1">IF(OR(INDEX($W$2:$W$1001,MATCH(ROWS($V$2:V68),$V$2:$V$1001,0),1)&gt;=100000,INDEX($AC$1005:$AS$1005,1,MATCH(COLUMNS($AC$1006:AL1006),$AC$1006:$AS$1006,0))&gt;=100000), " ",IF(INDEX($AC$2:$AS$1001,MATCH(ROWS($V$2:V68),$V$2:$V$1001,0),MATCH(COLUMNS($AC$1006:AL1006),$AC$1006:$AS$1006,0)), HYPERLINK("#",""), HYPERLINK(CONCATENATE("#metadata!", ADDRESS(INDEX($X$2:$X$1001,MATCH(ROWS($V$2:V68),$V$2:$V$1001,0),0), INDEX($AC$1004:$AS$1004,1,MATCH(COLUMNS($AC$1006:AL1006),$AC$1006:$AS$1006,0)))),"Fix")))</f>
        <v xml:space="preserve"> </v>
      </c>
      <c r="L68" s="4" t="str">
        <f ca="1">IF(OR(INDEX($W$2:$W$1001,MATCH(ROWS($V$2:V68),$V$2:$V$1001,0),1)&gt;=100000,INDEX($AC$1005:$AS$1005,1,MATCH(COLUMNS($AC$1006:AM1006),$AC$1006:$AS$1006,0))&gt;=100000), " ",IF(INDEX($AC$2:$AS$1001,MATCH(ROWS($V$2:V68),$V$2:$V$1001,0),MATCH(COLUMNS($AC$1006:AM1006),$AC$1006:$AS$1006,0)), HYPERLINK("#",""), HYPERLINK(CONCATENATE("#metadata!", ADDRESS(INDEX($X$2:$X$1001,MATCH(ROWS($V$2:V68),$V$2:$V$1001,0),0), INDEX($AC$1004:$AS$1004,1,MATCH(COLUMNS($AC$1006:AM1006),$AC$1006:$AS$1006,0)))),"Fix")))</f>
        <v xml:space="preserve"> </v>
      </c>
      <c r="M68" s="4" t="str">
        <f ca="1">IF(OR(INDEX($W$2:$W$1001,MATCH(ROWS($V$2:V68),$V$2:$V$1001,0),1)&gt;=100000,INDEX($AC$1005:$AS$1005,1,MATCH(COLUMNS($AC$1006:AN1006),$AC$1006:$AS$1006,0))&gt;=100000), " ",IF(INDEX($AC$2:$AS$1001,MATCH(ROWS($V$2:V68),$V$2:$V$1001,0),MATCH(COLUMNS($AC$1006:AN1006),$AC$1006:$AS$1006,0)), HYPERLINK("#",""), HYPERLINK(CONCATENATE("#metadata!", ADDRESS(INDEX($X$2:$X$1001,MATCH(ROWS($V$2:V68),$V$2:$V$1001,0),0), INDEX($AC$1004:$AS$1004,1,MATCH(COLUMNS($AC$1006:AN1006),$AC$1006:$AS$1006,0)))),"Fix")))</f>
        <v xml:space="preserve"> </v>
      </c>
      <c r="N68" s="4" t="str">
        <f ca="1">IF(OR(INDEX($W$2:$W$1001,MATCH(ROWS($V$2:V68),$V$2:$V$1001,0),1)&gt;=100000,INDEX($AC$1005:$AS$1005,1,MATCH(COLUMNS($AC$1006:AO1006),$AC$1006:$AS$1006,0))&gt;=100000), " ",IF(INDEX($AC$2:$AS$1001,MATCH(ROWS($V$2:V68),$V$2:$V$1001,0),MATCH(COLUMNS($AC$1006:AO1006),$AC$1006:$AS$1006,0)), HYPERLINK("#",""), HYPERLINK(CONCATENATE("#metadata!", ADDRESS(INDEX($X$2:$X$1001,MATCH(ROWS($V$2:V68),$V$2:$V$1001,0),0), INDEX($AC$1004:$AS$1004,1,MATCH(COLUMNS($AC$1006:AO1006),$AC$1006:$AS$1006,0)))),"Fix")))</f>
        <v xml:space="preserve"> </v>
      </c>
      <c r="O68" s="4" t="str">
        <f ca="1">IF(OR(INDEX($W$2:$W$1001,MATCH(ROWS($V$2:V68),$V$2:$V$1001,0),1)&gt;=100000,INDEX($AC$1005:$AS$1005,1,MATCH(COLUMNS($AC$1006:AP1006),$AC$1006:$AS$1006,0))&gt;=100000), " ",IF(INDEX($AC$2:$AS$1001,MATCH(ROWS($V$2:V68),$V$2:$V$1001,0),MATCH(COLUMNS($AC$1006:AP1006),$AC$1006:$AS$1006,0)), HYPERLINK("#",""), HYPERLINK(CONCATENATE("#metadata!", ADDRESS(INDEX($X$2:$X$1001,MATCH(ROWS($V$2:V68),$V$2:$V$1001,0),0), INDEX($AC$1004:$AS$1004,1,MATCH(COLUMNS($AC$1006:AP1006),$AC$1006:$AS$1006,0)))),"Fix")))</f>
        <v xml:space="preserve"> </v>
      </c>
      <c r="P68" s="4" t="str">
        <f ca="1">IF(OR(INDEX($W$2:$W$1001,MATCH(ROWS($V$2:V68),$V$2:$V$1001,0),1)&gt;=100000,INDEX($AC$1005:$AS$1005,1,MATCH(COLUMNS($AC$1006:AQ1006),$AC$1006:$AS$1006,0))&gt;=100000), " ",IF(INDEX($AC$2:$AS$1001,MATCH(ROWS($V$2:V68),$V$2:$V$1001,0),MATCH(COLUMNS($AC$1006:AQ1006),$AC$1006:$AS$1006,0)), HYPERLINK("#",""), HYPERLINK(CONCATENATE("#metadata!", ADDRESS(INDEX($X$2:$X$1001,MATCH(ROWS($V$2:V68),$V$2:$V$1001,0),0), INDEX($AC$1004:$AS$1004,1,MATCH(COLUMNS($AC$1006:AQ1006),$AC$1006:$AS$1006,0)))),"Fix")))</f>
        <v xml:space="preserve"> </v>
      </c>
      <c r="Q68" s="4" t="str">
        <f ca="1">IF(OR(INDEX($W$2:$W$1001,MATCH(ROWS($V$2:V68),$V$2:$V$1001,0),1)&gt;=100000,INDEX($AC$1005:$AS$1005,1,MATCH(COLUMNS($AC$1006:AR1006),$AC$1006:$AS$1006,0))&gt;=100000), " ",IF(INDEX($AC$2:$AS$1001,MATCH(ROWS($V$2:V68),$V$2:$V$1001,0),MATCH(COLUMNS($AC$1006:AR1006),$AC$1006:$AS$1006,0)), HYPERLINK("#",""), HYPERLINK(CONCATENATE("#metadata!", ADDRESS(INDEX($X$2:$X$1001,MATCH(ROWS($V$2:V68),$V$2:$V$1001,0),0), INDEX($AC$1004:$AS$1004,1,MATCH(COLUMNS($AC$1006:AR1006),$AC$1006:$AS$1006,0)))),"Fix")))</f>
        <v xml:space="preserve"> </v>
      </c>
      <c r="R68" s="4" t="str">
        <f ca="1">IF(OR(INDEX($W$2:$W$1001,MATCH(ROWS($V$2:V68),$V$2:$V$1001,0),1)&gt;=100000,INDEX($AC$1005:$AS$1005,1,MATCH(COLUMNS($AC$1006:AS1006),$AC$1006:$AS$1006,0))&gt;=100000), " ",IF(INDEX($AC$2:$AS$1001,MATCH(ROWS($V$2:V68),$V$2:$V$1001,0),MATCH(COLUMNS($AC$1006:AS1006),$AC$1006:$AS$1006,0)), HYPERLINK("#",""), HYPERLINK(CONCATENATE("#metadata!", ADDRESS(INDEX($X$2:$X$1001,MATCH(ROWS($V$2:V68),$V$2:$V$1001,0),0), INDEX($AC$1004:$AS$1004,1,MATCH(COLUMNS($AC$1006:AS1006),$AC$1006:$AS$1006,0)))),"Fix")))</f>
        <v xml:space="preserve"> </v>
      </c>
      <c r="V68">
        <v>67</v>
      </c>
      <c r="W68">
        <v>100068</v>
      </c>
      <c r="X68">
        <v>68</v>
      </c>
      <c r="Y68" t="b">
        <f t="shared" si="1"/>
        <v>1</v>
      </c>
      <c r="Z68" t="b">
        <f>COUNTBLANK(metadata!B68:R68)=COLUMNS(metadata!B68:R68)</f>
        <v>1</v>
      </c>
      <c r="AA68" t="str">
        <v/>
      </c>
      <c r="AC68" t="b">
        <f ca="1"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AD68" t="b">
        <f>IF(metadata!C68="",FALSE,ISNUMBER(VALUE(metadata!C68)))</f>
        <v>0</v>
      </c>
      <c r="AE68" t="b">
        <f>AND(IF(metadata!D68="",FALSE,TRUE),EXACT(metadata!D68,"years"))</f>
        <v>0</v>
      </c>
      <c r="AF68" t="b">
        <f>OR(AND(IF(metadata!E68="",FALSE,TRUE),OR(EXACT(metadata!E68,"not applicable"),EXACT(metadata!E68,"missing: not collected"),EXACT(metadata!E68,"missing: not provided"),EXACT(metadata!E68,"missing: restricted access"))),AND(IF(metadata!E68="",FALSE,ISNUMBER(VALUE(metadata!E68))),metadata!E68&gt;0))</f>
        <v>0</v>
      </c>
      <c r="AG68" t="b">
        <f>AND(IF(metadata!F68="",FALSE,TRUE),EXACT(metadata!F68,"Not applicable"))</f>
        <v>0</v>
      </c>
      <c r="AH68" t="b">
        <f>AND(IF(metadata!G68="",FALSE,TRUE),EXACT(metadata!G68,"urban biome"))</f>
        <v>0</v>
      </c>
      <c r="AI68" t="b">
        <f>AND(IF(metadata!H68="",FALSE,TRUE),EXACT(metadata!H68,"human-associated habitat"))</f>
        <v>0</v>
      </c>
      <c r="AJ68" t="b">
        <f>AND(IF(metadata!I68="",FALSE,TRUE),OR(EXACT(metadata!I68,"human-associated"),EXACT(metadata!I68,"human-skin"),EXACT(metadata!I68,"human-oral"),EXACT(metadata!I68,"human-gut"),EXACT(metadata!I68,"human-vaginal")))</f>
        <v>0</v>
      </c>
      <c r="AK68" t="b">
        <f>IF(metadata!J68="",FALSE,ISNUMBER(VALUE(metadata!J68)))</f>
        <v>0</v>
      </c>
      <c r="AL68" t="b">
        <f>AND(IF(metadata!K68="",FALSE,TRUE),EXACT(metadata!K68,"cm"))</f>
        <v>0</v>
      </c>
      <c r="AM68" t="b">
        <f>AND(IF(metadata!L68="",FALSE,TRUE),EXACT(metadata!L68,"human"))</f>
        <v>0</v>
      </c>
      <c r="AN68" t="b">
        <f>AND(IF(metadata!M68="",FALSE,TRUE),EXACT(metadata!M68,"Homo sapiens"))</f>
        <v>0</v>
      </c>
      <c r="AO68" t="b">
        <f>AND(IF(metadata!N68="",FALSE,TRUE),EXACT(metadata!N68,"9606"))</f>
        <v>0</v>
      </c>
      <c r="AP68" t="b">
        <f>IF(metadata!O68="",FALSE,TRUE)</f>
        <v>0</v>
      </c>
      <c r="AQ68" t="b">
        <f>IF(metadata!P68="",FALSE,TRUE)</f>
        <v>0</v>
      </c>
      <c r="AR68" t="b">
        <f>IF(metadata!Q68="",FALSE,ISNUMBER(VALUE(metadata!Q68)))</f>
        <v>0</v>
      </c>
      <c r="AS68" t="b">
        <f>AND(IF(metadata!R68="",FALSE,TRUE),EXACT(metadata!R68,"kg"))</f>
        <v>0</v>
      </c>
    </row>
    <row r="69" spans="1:45" x14ac:dyDescent="0.2">
      <c r="A69" s="5" t="str">
        <f ca="1">IF(B69=" "," ",HYPERLINK(CONCATENATE("#metadata!",ADDRESS(INDEX($X$2:$X$1001,MATCH(ROWS($V$2:V69),$V$2:$V$1001,0),0),1)),INDEX($AA$2:$AA$1001,MATCH(ROWS($V$2:V69),$V$2:$V$1001,0),0)))</f>
        <v xml:space="preserve"> </v>
      </c>
      <c r="B69" s="4" t="str">
        <f ca="1">IF(OR(INDEX($W$2:$W$1001,MATCH(ROWS($V$2:V69),$V$2:$V$1001,0),1)&gt;=100000,INDEX($AC$1005:$AS$1005,1,MATCH(COLUMNS($AC$1006:AC1006),$AC$1006:$AS$1006,0))&gt;=100000), " ",IF(INDEX($AC$2:$AS$1001,MATCH(ROWS($V$2:V69),$V$2:$V$1001,0),MATCH(COLUMNS($AC$1006:AC1006),$AC$1006:$AS$1006,0)), HYPERLINK("#",""), HYPERLINK(CONCATENATE("#metadata!", ADDRESS(INDEX($X$2:$X$1001,MATCH(ROWS($V$2:V69),$V$2:$V$1001,0),0), INDEX($AC$1004:$AS$1004,1,MATCH(COLUMNS($AC$1006:AC1006),$AC$1006:$AS$1006,0)))),"Fix")))</f>
        <v xml:space="preserve"> </v>
      </c>
      <c r="C69" s="4" t="str">
        <f ca="1">IF(OR(INDEX($W$2:$W$1001,MATCH(ROWS($V$2:V69),$V$2:$V$1001,0),1)&gt;=100000,INDEX($AC$1005:$AS$1005,1,MATCH(COLUMNS($AC$1006:AD1006),$AC$1006:$AS$1006,0))&gt;=100000), " ",IF(INDEX($AC$2:$AS$1001,MATCH(ROWS($V$2:V69),$V$2:$V$1001,0),MATCH(COLUMNS($AC$1006:AD1006),$AC$1006:$AS$1006,0)), HYPERLINK("#",""), HYPERLINK(CONCATENATE("#metadata!", ADDRESS(INDEX($X$2:$X$1001,MATCH(ROWS($V$2:V69),$V$2:$V$1001,0),0), INDEX($AC$1004:$AS$1004,1,MATCH(COLUMNS($AC$1006:AD1006),$AC$1006:$AS$1006,0)))),"Fix")))</f>
        <v xml:space="preserve"> </v>
      </c>
      <c r="D69" s="4" t="str">
        <f ca="1">IF(OR(INDEX($W$2:$W$1001,MATCH(ROWS($V$2:V69),$V$2:$V$1001,0),1)&gt;=100000,INDEX($AC$1005:$AS$1005,1,MATCH(COLUMNS($AC$1006:AE1006),$AC$1006:$AS$1006,0))&gt;=100000), " ",IF(INDEX($AC$2:$AS$1001,MATCH(ROWS($V$2:V69),$V$2:$V$1001,0),MATCH(COLUMNS($AC$1006:AE1006),$AC$1006:$AS$1006,0)), HYPERLINK("#",""), HYPERLINK(CONCATENATE("#metadata!", ADDRESS(INDEX($X$2:$X$1001,MATCH(ROWS($V$2:V69),$V$2:$V$1001,0),0), INDEX($AC$1004:$AS$1004,1,MATCH(COLUMNS($AC$1006:AE1006),$AC$1006:$AS$1006,0)))),"Fix")))</f>
        <v xml:space="preserve"> </v>
      </c>
      <c r="E69" s="4" t="str">
        <f ca="1">IF(OR(INDEX($W$2:$W$1001,MATCH(ROWS($V$2:V69),$V$2:$V$1001,0),1)&gt;=100000,INDEX($AC$1005:$AS$1005,1,MATCH(COLUMNS($AC$1006:AF1006),$AC$1006:$AS$1006,0))&gt;=100000), " ",IF(INDEX($AC$2:$AS$1001,MATCH(ROWS($V$2:V69),$V$2:$V$1001,0),MATCH(COLUMNS($AC$1006:AF1006),$AC$1006:$AS$1006,0)), HYPERLINK("#",""), HYPERLINK(CONCATENATE("#metadata!", ADDRESS(INDEX($X$2:$X$1001,MATCH(ROWS($V$2:V69),$V$2:$V$1001,0),0), INDEX($AC$1004:$AS$1004,1,MATCH(COLUMNS($AC$1006:AF1006),$AC$1006:$AS$1006,0)))),"Fix")))</f>
        <v xml:space="preserve"> </v>
      </c>
      <c r="F69" s="4" t="str">
        <f ca="1">IF(OR(INDEX($W$2:$W$1001,MATCH(ROWS($V$2:V69),$V$2:$V$1001,0),1)&gt;=100000,INDEX($AC$1005:$AS$1005,1,MATCH(COLUMNS($AC$1006:AG1006),$AC$1006:$AS$1006,0))&gt;=100000), " ",IF(INDEX($AC$2:$AS$1001,MATCH(ROWS($V$2:V69),$V$2:$V$1001,0),MATCH(COLUMNS($AC$1006:AG1006),$AC$1006:$AS$1006,0)), HYPERLINK("#",""), HYPERLINK(CONCATENATE("#metadata!", ADDRESS(INDEX($X$2:$X$1001,MATCH(ROWS($V$2:V69),$V$2:$V$1001,0),0), INDEX($AC$1004:$AS$1004,1,MATCH(COLUMNS($AC$1006:AG1006),$AC$1006:$AS$1006,0)))),"Fix")))</f>
        <v xml:space="preserve"> </v>
      </c>
      <c r="G69" s="4" t="str">
        <f ca="1">IF(OR(INDEX($W$2:$W$1001,MATCH(ROWS($V$2:V69),$V$2:$V$1001,0),1)&gt;=100000,INDEX($AC$1005:$AS$1005,1,MATCH(COLUMNS($AC$1006:AH1006),$AC$1006:$AS$1006,0))&gt;=100000), " ",IF(INDEX($AC$2:$AS$1001,MATCH(ROWS($V$2:V69),$V$2:$V$1001,0),MATCH(COLUMNS($AC$1006:AH1006),$AC$1006:$AS$1006,0)), HYPERLINK("#",""), HYPERLINK(CONCATENATE("#metadata!", ADDRESS(INDEX($X$2:$X$1001,MATCH(ROWS($V$2:V69),$V$2:$V$1001,0),0), INDEX($AC$1004:$AS$1004,1,MATCH(COLUMNS($AC$1006:AH1006),$AC$1006:$AS$1006,0)))),"Fix")))</f>
        <v xml:space="preserve"> </v>
      </c>
      <c r="H69" s="4" t="str">
        <f ca="1">IF(OR(INDEX($W$2:$W$1001,MATCH(ROWS($V$2:V69),$V$2:$V$1001,0),1)&gt;=100000,INDEX($AC$1005:$AS$1005,1,MATCH(COLUMNS($AC$1006:AI1006),$AC$1006:$AS$1006,0))&gt;=100000), " ",IF(INDEX($AC$2:$AS$1001,MATCH(ROWS($V$2:V69),$V$2:$V$1001,0),MATCH(COLUMNS($AC$1006:AI1006),$AC$1006:$AS$1006,0)), HYPERLINK("#",""), HYPERLINK(CONCATENATE("#metadata!", ADDRESS(INDEX($X$2:$X$1001,MATCH(ROWS($V$2:V69),$V$2:$V$1001,0),0), INDEX($AC$1004:$AS$1004,1,MATCH(COLUMNS($AC$1006:AI1006),$AC$1006:$AS$1006,0)))),"Fix")))</f>
        <v xml:space="preserve"> </v>
      </c>
      <c r="I69" s="4" t="str">
        <f ca="1">IF(OR(INDEX($W$2:$W$1001,MATCH(ROWS($V$2:V69),$V$2:$V$1001,0),1)&gt;=100000,INDEX($AC$1005:$AS$1005,1,MATCH(COLUMNS($AC$1006:AJ1006),$AC$1006:$AS$1006,0))&gt;=100000), " ",IF(INDEX($AC$2:$AS$1001,MATCH(ROWS($V$2:V69),$V$2:$V$1001,0),MATCH(COLUMNS($AC$1006:AJ1006),$AC$1006:$AS$1006,0)), HYPERLINK("#",""), HYPERLINK(CONCATENATE("#metadata!", ADDRESS(INDEX($X$2:$X$1001,MATCH(ROWS($V$2:V69),$V$2:$V$1001,0),0), INDEX($AC$1004:$AS$1004,1,MATCH(COLUMNS($AC$1006:AJ1006),$AC$1006:$AS$1006,0)))),"Fix")))</f>
        <v xml:space="preserve"> </v>
      </c>
      <c r="J69" s="4" t="str">
        <f ca="1">IF(OR(INDEX($W$2:$W$1001,MATCH(ROWS($V$2:V69),$V$2:$V$1001,0),1)&gt;=100000,INDEX($AC$1005:$AS$1005,1,MATCH(COLUMNS($AC$1006:AK1006),$AC$1006:$AS$1006,0))&gt;=100000), " ",IF(INDEX($AC$2:$AS$1001,MATCH(ROWS($V$2:V69),$V$2:$V$1001,0),MATCH(COLUMNS($AC$1006:AK1006),$AC$1006:$AS$1006,0)), HYPERLINK("#",""), HYPERLINK(CONCATENATE("#metadata!", ADDRESS(INDEX($X$2:$X$1001,MATCH(ROWS($V$2:V69),$V$2:$V$1001,0),0), INDEX($AC$1004:$AS$1004,1,MATCH(COLUMNS($AC$1006:AK1006),$AC$1006:$AS$1006,0)))),"Fix")))</f>
        <v xml:space="preserve"> </v>
      </c>
      <c r="K69" s="4" t="str">
        <f ca="1">IF(OR(INDEX($W$2:$W$1001,MATCH(ROWS($V$2:V69),$V$2:$V$1001,0),1)&gt;=100000,INDEX($AC$1005:$AS$1005,1,MATCH(COLUMNS($AC$1006:AL1006),$AC$1006:$AS$1006,0))&gt;=100000), " ",IF(INDEX($AC$2:$AS$1001,MATCH(ROWS($V$2:V69),$V$2:$V$1001,0),MATCH(COLUMNS($AC$1006:AL1006),$AC$1006:$AS$1006,0)), HYPERLINK("#",""), HYPERLINK(CONCATENATE("#metadata!", ADDRESS(INDEX($X$2:$X$1001,MATCH(ROWS($V$2:V69),$V$2:$V$1001,0),0), INDEX($AC$1004:$AS$1004,1,MATCH(COLUMNS($AC$1006:AL1006),$AC$1006:$AS$1006,0)))),"Fix")))</f>
        <v xml:space="preserve"> </v>
      </c>
      <c r="L69" s="4" t="str">
        <f ca="1">IF(OR(INDEX($W$2:$W$1001,MATCH(ROWS($V$2:V69),$V$2:$V$1001,0),1)&gt;=100000,INDEX($AC$1005:$AS$1005,1,MATCH(COLUMNS($AC$1006:AM1006),$AC$1006:$AS$1006,0))&gt;=100000), " ",IF(INDEX($AC$2:$AS$1001,MATCH(ROWS($V$2:V69),$V$2:$V$1001,0),MATCH(COLUMNS($AC$1006:AM1006),$AC$1006:$AS$1006,0)), HYPERLINK("#",""), HYPERLINK(CONCATENATE("#metadata!", ADDRESS(INDEX($X$2:$X$1001,MATCH(ROWS($V$2:V69),$V$2:$V$1001,0),0), INDEX($AC$1004:$AS$1004,1,MATCH(COLUMNS($AC$1006:AM1006),$AC$1006:$AS$1006,0)))),"Fix")))</f>
        <v xml:space="preserve"> </v>
      </c>
      <c r="M69" s="4" t="str">
        <f ca="1">IF(OR(INDEX($W$2:$W$1001,MATCH(ROWS($V$2:V69),$V$2:$V$1001,0),1)&gt;=100000,INDEX($AC$1005:$AS$1005,1,MATCH(COLUMNS($AC$1006:AN1006),$AC$1006:$AS$1006,0))&gt;=100000), " ",IF(INDEX($AC$2:$AS$1001,MATCH(ROWS($V$2:V69),$V$2:$V$1001,0),MATCH(COLUMNS($AC$1006:AN1006),$AC$1006:$AS$1006,0)), HYPERLINK("#",""), HYPERLINK(CONCATENATE("#metadata!", ADDRESS(INDEX($X$2:$X$1001,MATCH(ROWS($V$2:V69),$V$2:$V$1001,0),0), INDEX($AC$1004:$AS$1004,1,MATCH(COLUMNS($AC$1006:AN1006),$AC$1006:$AS$1006,0)))),"Fix")))</f>
        <v xml:space="preserve"> </v>
      </c>
      <c r="N69" s="4" t="str">
        <f ca="1">IF(OR(INDEX($W$2:$W$1001,MATCH(ROWS($V$2:V69),$V$2:$V$1001,0),1)&gt;=100000,INDEX($AC$1005:$AS$1005,1,MATCH(COLUMNS($AC$1006:AO1006),$AC$1006:$AS$1006,0))&gt;=100000), " ",IF(INDEX($AC$2:$AS$1001,MATCH(ROWS($V$2:V69),$V$2:$V$1001,0),MATCH(COLUMNS($AC$1006:AO1006),$AC$1006:$AS$1006,0)), HYPERLINK("#",""), HYPERLINK(CONCATENATE("#metadata!", ADDRESS(INDEX($X$2:$X$1001,MATCH(ROWS($V$2:V69),$V$2:$V$1001,0),0), INDEX($AC$1004:$AS$1004,1,MATCH(COLUMNS($AC$1006:AO1006),$AC$1006:$AS$1006,0)))),"Fix")))</f>
        <v xml:space="preserve"> </v>
      </c>
      <c r="O69" s="4" t="str">
        <f ca="1">IF(OR(INDEX($W$2:$W$1001,MATCH(ROWS($V$2:V69),$V$2:$V$1001,0),1)&gt;=100000,INDEX($AC$1005:$AS$1005,1,MATCH(COLUMNS($AC$1006:AP1006),$AC$1006:$AS$1006,0))&gt;=100000), " ",IF(INDEX($AC$2:$AS$1001,MATCH(ROWS($V$2:V69),$V$2:$V$1001,0),MATCH(COLUMNS($AC$1006:AP1006),$AC$1006:$AS$1006,0)), HYPERLINK("#",""), HYPERLINK(CONCATENATE("#metadata!", ADDRESS(INDEX($X$2:$X$1001,MATCH(ROWS($V$2:V69),$V$2:$V$1001,0),0), INDEX($AC$1004:$AS$1004,1,MATCH(COLUMNS($AC$1006:AP1006),$AC$1006:$AS$1006,0)))),"Fix")))</f>
        <v xml:space="preserve"> </v>
      </c>
      <c r="P69" s="4" t="str">
        <f ca="1">IF(OR(INDEX($W$2:$W$1001,MATCH(ROWS($V$2:V69),$V$2:$V$1001,0),1)&gt;=100000,INDEX($AC$1005:$AS$1005,1,MATCH(COLUMNS($AC$1006:AQ1006),$AC$1006:$AS$1006,0))&gt;=100000), " ",IF(INDEX($AC$2:$AS$1001,MATCH(ROWS($V$2:V69),$V$2:$V$1001,0),MATCH(COLUMNS($AC$1006:AQ1006),$AC$1006:$AS$1006,0)), HYPERLINK("#",""), HYPERLINK(CONCATENATE("#metadata!", ADDRESS(INDEX($X$2:$X$1001,MATCH(ROWS($V$2:V69),$V$2:$V$1001,0),0), INDEX($AC$1004:$AS$1004,1,MATCH(COLUMNS($AC$1006:AQ1006),$AC$1006:$AS$1006,0)))),"Fix")))</f>
        <v xml:space="preserve"> </v>
      </c>
      <c r="Q69" s="4" t="str">
        <f ca="1">IF(OR(INDEX($W$2:$W$1001,MATCH(ROWS($V$2:V69),$V$2:$V$1001,0),1)&gt;=100000,INDEX($AC$1005:$AS$1005,1,MATCH(COLUMNS($AC$1006:AR1006),$AC$1006:$AS$1006,0))&gt;=100000), " ",IF(INDEX($AC$2:$AS$1001,MATCH(ROWS($V$2:V69),$V$2:$V$1001,0),MATCH(COLUMNS($AC$1006:AR1006),$AC$1006:$AS$1006,0)), HYPERLINK("#",""), HYPERLINK(CONCATENATE("#metadata!", ADDRESS(INDEX($X$2:$X$1001,MATCH(ROWS($V$2:V69),$V$2:$V$1001,0),0), INDEX($AC$1004:$AS$1004,1,MATCH(COLUMNS($AC$1006:AR1006),$AC$1006:$AS$1006,0)))),"Fix")))</f>
        <v xml:space="preserve"> </v>
      </c>
      <c r="R69" s="4" t="str">
        <f ca="1">IF(OR(INDEX($W$2:$W$1001,MATCH(ROWS($V$2:V69),$V$2:$V$1001,0),1)&gt;=100000,INDEX($AC$1005:$AS$1005,1,MATCH(COLUMNS($AC$1006:AS1006),$AC$1006:$AS$1006,0))&gt;=100000), " ",IF(INDEX($AC$2:$AS$1001,MATCH(ROWS($V$2:V69),$V$2:$V$1001,0),MATCH(COLUMNS($AC$1006:AS1006),$AC$1006:$AS$1006,0)), HYPERLINK("#",""), HYPERLINK(CONCATENATE("#metadata!", ADDRESS(INDEX($X$2:$X$1001,MATCH(ROWS($V$2:V69),$V$2:$V$1001,0),0), INDEX($AC$1004:$AS$1004,1,MATCH(COLUMNS($AC$1006:AS1006),$AC$1006:$AS$1006,0)))),"Fix")))</f>
        <v xml:space="preserve"> </v>
      </c>
      <c r="V69">
        <v>68</v>
      </c>
      <c r="W69">
        <v>100069</v>
      </c>
      <c r="X69">
        <v>69</v>
      </c>
      <c r="Y69" t="b">
        <f t="shared" si="1"/>
        <v>1</v>
      </c>
      <c r="Z69" t="b">
        <f>COUNTBLANK(metadata!B69:R69)=COLUMNS(metadata!B69:R69)</f>
        <v>1</v>
      </c>
      <c r="AA69" t="str">
        <v/>
      </c>
      <c r="AC69" t="b">
        <f ca="1"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AD69" t="b">
        <f>IF(metadata!C69="",FALSE,ISNUMBER(VALUE(metadata!C69)))</f>
        <v>0</v>
      </c>
      <c r="AE69" t="b">
        <f>AND(IF(metadata!D69="",FALSE,TRUE),EXACT(metadata!D69,"years"))</f>
        <v>0</v>
      </c>
      <c r="AF69" t="b">
        <f>OR(AND(IF(metadata!E69="",FALSE,TRUE),OR(EXACT(metadata!E69,"not applicable"),EXACT(metadata!E69,"missing: not collected"),EXACT(metadata!E69,"missing: not provided"),EXACT(metadata!E69,"missing: restricted access"))),AND(IF(metadata!E69="",FALSE,ISNUMBER(VALUE(metadata!E69))),metadata!E69&gt;0))</f>
        <v>0</v>
      </c>
      <c r="AG69" t="b">
        <f>AND(IF(metadata!F69="",FALSE,TRUE),EXACT(metadata!F69,"Not applicable"))</f>
        <v>0</v>
      </c>
      <c r="AH69" t="b">
        <f>AND(IF(metadata!G69="",FALSE,TRUE),EXACT(metadata!G69,"urban biome"))</f>
        <v>0</v>
      </c>
      <c r="AI69" t="b">
        <f>AND(IF(metadata!H69="",FALSE,TRUE),EXACT(metadata!H69,"human-associated habitat"))</f>
        <v>0</v>
      </c>
      <c r="AJ69" t="b">
        <f>AND(IF(metadata!I69="",FALSE,TRUE),OR(EXACT(metadata!I69,"human-associated"),EXACT(metadata!I69,"human-skin"),EXACT(metadata!I69,"human-oral"),EXACT(metadata!I69,"human-gut"),EXACT(metadata!I69,"human-vaginal")))</f>
        <v>0</v>
      </c>
      <c r="AK69" t="b">
        <f>IF(metadata!J69="",FALSE,ISNUMBER(VALUE(metadata!J69)))</f>
        <v>0</v>
      </c>
      <c r="AL69" t="b">
        <f>AND(IF(metadata!K69="",FALSE,TRUE),EXACT(metadata!K69,"cm"))</f>
        <v>0</v>
      </c>
      <c r="AM69" t="b">
        <f>AND(IF(metadata!L69="",FALSE,TRUE),EXACT(metadata!L69,"human"))</f>
        <v>0</v>
      </c>
      <c r="AN69" t="b">
        <f>AND(IF(metadata!M69="",FALSE,TRUE),EXACT(metadata!M69,"Homo sapiens"))</f>
        <v>0</v>
      </c>
      <c r="AO69" t="b">
        <f>AND(IF(metadata!N69="",FALSE,TRUE),EXACT(metadata!N69,"9606"))</f>
        <v>0</v>
      </c>
      <c r="AP69" t="b">
        <f>IF(metadata!O69="",FALSE,TRUE)</f>
        <v>0</v>
      </c>
      <c r="AQ69" t="b">
        <f>IF(metadata!P69="",FALSE,TRUE)</f>
        <v>0</v>
      </c>
      <c r="AR69" t="b">
        <f>IF(metadata!Q69="",FALSE,ISNUMBER(VALUE(metadata!Q69)))</f>
        <v>0</v>
      </c>
      <c r="AS69" t="b">
        <f>AND(IF(metadata!R69="",FALSE,TRUE),EXACT(metadata!R69,"kg"))</f>
        <v>0</v>
      </c>
    </row>
    <row r="70" spans="1:45" x14ac:dyDescent="0.2">
      <c r="A70" s="5" t="str">
        <f ca="1">IF(B70=" "," ",HYPERLINK(CONCATENATE("#metadata!",ADDRESS(INDEX($X$2:$X$1001,MATCH(ROWS($V$2:V70),$V$2:$V$1001,0),0),1)),INDEX($AA$2:$AA$1001,MATCH(ROWS($V$2:V70),$V$2:$V$1001,0),0)))</f>
        <v xml:space="preserve"> </v>
      </c>
      <c r="B70" s="4" t="str">
        <f ca="1">IF(OR(INDEX($W$2:$W$1001,MATCH(ROWS($V$2:V70),$V$2:$V$1001,0),1)&gt;=100000,INDEX($AC$1005:$AS$1005,1,MATCH(COLUMNS($AC$1006:AC1006),$AC$1006:$AS$1006,0))&gt;=100000), " ",IF(INDEX($AC$2:$AS$1001,MATCH(ROWS($V$2:V70),$V$2:$V$1001,0),MATCH(COLUMNS($AC$1006:AC1006),$AC$1006:$AS$1006,0)), HYPERLINK("#",""), HYPERLINK(CONCATENATE("#metadata!", ADDRESS(INDEX($X$2:$X$1001,MATCH(ROWS($V$2:V70),$V$2:$V$1001,0),0), INDEX($AC$1004:$AS$1004,1,MATCH(COLUMNS($AC$1006:AC1006),$AC$1006:$AS$1006,0)))),"Fix")))</f>
        <v xml:space="preserve"> </v>
      </c>
      <c r="C70" s="4" t="str">
        <f ca="1">IF(OR(INDEX($W$2:$W$1001,MATCH(ROWS($V$2:V70),$V$2:$V$1001,0),1)&gt;=100000,INDEX($AC$1005:$AS$1005,1,MATCH(COLUMNS($AC$1006:AD1006),$AC$1006:$AS$1006,0))&gt;=100000), " ",IF(INDEX($AC$2:$AS$1001,MATCH(ROWS($V$2:V70),$V$2:$V$1001,0),MATCH(COLUMNS($AC$1006:AD1006),$AC$1006:$AS$1006,0)), HYPERLINK("#",""), HYPERLINK(CONCATENATE("#metadata!", ADDRESS(INDEX($X$2:$X$1001,MATCH(ROWS($V$2:V70),$V$2:$V$1001,0),0), INDEX($AC$1004:$AS$1004,1,MATCH(COLUMNS($AC$1006:AD1006),$AC$1006:$AS$1006,0)))),"Fix")))</f>
        <v xml:space="preserve"> </v>
      </c>
      <c r="D70" s="4" t="str">
        <f ca="1">IF(OR(INDEX($W$2:$W$1001,MATCH(ROWS($V$2:V70),$V$2:$V$1001,0),1)&gt;=100000,INDEX($AC$1005:$AS$1005,1,MATCH(COLUMNS($AC$1006:AE1006),$AC$1006:$AS$1006,0))&gt;=100000), " ",IF(INDEX($AC$2:$AS$1001,MATCH(ROWS($V$2:V70),$V$2:$V$1001,0),MATCH(COLUMNS($AC$1006:AE1006),$AC$1006:$AS$1006,0)), HYPERLINK("#",""), HYPERLINK(CONCATENATE("#metadata!", ADDRESS(INDEX($X$2:$X$1001,MATCH(ROWS($V$2:V70),$V$2:$V$1001,0),0), INDEX($AC$1004:$AS$1004,1,MATCH(COLUMNS($AC$1006:AE1006),$AC$1006:$AS$1006,0)))),"Fix")))</f>
        <v xml:space="preserve"> </v>
      </c>
      <c r="E70" s="4" t="str">
        <f ca="1">IF(OR(INDEX($W$2:$W$1001,MATCH(ROWS($V$2:V70),$V$2:$V$1001,0),1)&gt;=100000,INDEX($AC$1005:$AS$1005,1,MATCH(COLUMNS($AC$1006:AF1006),$AC$1006:$AS$1006,0))&gt;=100000), " ",IF(INDEX($AC$2:$AS$1001,MATCH(ROWS($V$2:V70),$V$2:$V$1001,0),MATCH(COLUMNS($AC$1006:AF1006),$AC$1006:$AS$1006,0)), HYPERLINK("#",""), HYPERLINK(CONCATENATE("#metadata!", ADDRESS(INDEX($X$2:$X$1001,MATCH(ROWS($V$2:V70),$V$2:$V$1001,0),0), INDEX($AC$1004:$AS$1004,1,MATCH(COLUMNS($AC$1006:AF1006),$AC$1006:$AS$1006,0)))),"Fix")))</f>
        <v xml:space="preserve"> </v>
      </c>
      <c r="F70" s="4" t="str">
        <f ca="1">IF(OR(INDEX($W$2:$W$1001,MATCH(ROWS($V$2:V70),$V$2:$V$1001,0),1)&gt;=100000,INDEX($AC$1005:$AS$1005,1,MATCH(COLUMNS($AC$1006:AG1006),$AC$1006:$AS$1006,0))&gt;=100000), " ",IF(INDEX($AC$2:$AS$1001,MATCH(ROWS($V$2:V70),$V$2:$V$1001,0),MATCH(COLUMNS($AC$1006:AG1006),$AC$1006:$AS$1006,0)), HYPERLINK("#",""), HYPERLINK(CONCATENATE("#metadata!", ADDRESS(INDEX($X$2:$X$1001,MATCH(ROWS($V$2:V70),$V$2:$V$1001,0),0), INDEX($AC$1004:$AS$1004,1,MATCH(COLUMNS($AC$1006:AG1006),$AC$1006:$AS$1006,0)))),"Fix")))</f>
        <v xml:space="preserve"> </v>
      </c>
      <c r="G70" s="4" t="str">
        <f ca="1">IF(OR(INDEX($W$2:$W$1001,MATCH(ROWS($V$2:V70),$V$2:$V$1001,0),1)&gt;=100000,INDEX($AC$1005:$AS$1005,1,MATCH(COLUMNS($AC$1006:AH1006),$AC$1006:$AS$1006,0))&gt;=100000), " ",IF(INDEX($AC$2:$AS$1001,MATCH(ROWS($V$2:V70),$V$2:$V$1001,0),MATCH(COLUMNS($AC$1006:AH1006),$AC$1006:$AS$1006,0)), HYPERLINK("#",""), HYPERLINK(CONCATENATE("#metadata!", ADDRESS(INDEX($X$2:$X$1001,MATCH(ROWS($V$2:V70),$V$2:$V$1001,0),0), INDEX($AC$1004:$AS$1004,1,MATCH(COLUMNS($AC$1006:AH1006),$AC$1006:$AS$1006,0)))),"Fix")))</f>
        <v xml:space="preserve"> </v>
      </c>
      <c r="H70" s="4" t="str">
        <f ca="1">IF(OR(INDEX($W$2:$W$1001,MATCH(ROWS($V$2:V70),$V$2:$V$1001,0),1)&gt;=100000,INDEX($AC$1005:$AS$1005,1,MATCH(COLUMNS($AC$1006:AI1006),$AC$1006:$AS$1006,0))&gt;=100000), " ",IF(INDEX($AC$2:$AS$1001,MATCH(ROWS($V$2:V70),$V$2:$V$1001,0),MATCH(COLUMNS($AC$1006:AI1006),$AC$1006:$AS$1006,0)), HYPERLINK("#",""), HYPERLINK(CONCATENATE("#metadata!", ADDRESS(INDEX($X$2:$X$1001,MATCH(ROWS($V$2:V70),$V$2:$V$1001,0),0), INDEX($AC$1004:$AS$1004,1,MATCH(COLUMNS($AC$1006:AI1006),$AC$1006:$AS$1006,0)))),"Fix")))</f>
        <v xml:space="preserve"> </v>
      </c>
      <c r="I70" s="4" t="str">
        <f ca="1">IF(OR(INDEX($W$2:$W$1001,MATCH(ROWS($V$2:V70),$V$2:$V$1001,0),1)&gt;=100000,INDEX($AC$1005:$AS$1005,1,MATCH(COLUMNS($AC$1006:AJ1006),$AC$1006:$AS$1006,0))&gt;=100000), " ",IF(INDEX($AC$2:$AS$1001,MATCH(ROWS($V$2:V70),$V$2:$V$1001,0),MATCH(COLUMNS($AC$1006:AJ1006),$AC$1006:$AS$1006,0)), HYPERLINK("#",""), HYPERLINK(CONCATENATE("#metadata!", ADDRESS(INDEX($X$2:$X$1001,MATCH(ROWS($V$2:V70),$V$2:$V$1001,0),0), INDEX($AC$1004:$AS$1004,1,MATCH(COLUMNS($AC$1006:AJ1006),$AC$1006:$AS$1006,0)))),"Fix")))</f>
        <v xml:space="preserve"> </v>
      </c>
      <c r="J70" s="4" t="str">
        <f ca="1">IF(OR(INDEX($W$2:$W$1001,MATCH(ROWS($V$2:V70),$V$2:$V$1001,0),1)&gt;=100000,INDEX($AC$1005:$AS$1005,1,MATCH(COLUMNS($AC$1006:AK1006),$AC$1006:$AS$1006,0))&gt;=100000), " ",IF(INDEX($AC$2:$AS$1001,MATCH(ROWS($V$2:V70),$V$2:$V$1001,0),MATCH(COLUMNS($AC$1006:AK1006),$AC$1006:$AS$1006,0)), HYPERLINK("#",""), HYPERLINK(CONCATENATE("#metadata!", ADDRESS(INDEX($X$2:$X$1001,MATCH(ROWS($V$2:V70),$V$2:$V$1001,0),0), INDEX($AC$1004:$AS$1004,1,MATCH(COLUMNS($AC$1006:AK1006),$AC$1006:$AS$1006,0)))),"Fix")))</f>
        <v xml:space="preserve"> </v>
      </c>
      <c r="K70" s="4" t="str">
        <f ca="1">IF(OR(INDEX($W$2:$W$1001,MATCH(ROWS($V$2:V70),$V$2:$V$1001,0),1)&gt;=100000,INDEX($AC$1005:$AS$1005,1,MATCH(COLUMNS($AC$1006:AL1006),$AC$1006:$AS$1006,0))&gt;=100000), " ",IF(INDEX($AC$2:$AS$1001,MATCH(ROWS($V$2:V70),$V$2:$V$1001,0),MATCH(COLUMNS($AC$1006:AL1006),$AC$1006:$AS$1006,0)), HYPERLINK("#",""), HYPERLINK(CONCATENATE("#metadata!", ADDRESS(INDEX($X$2:$X$1001,MATCH(ROWS($V$2:V70),$V$2:$V$1001,0),0), INDEX($AC$1004:$AS$1004,1,MATCH(COLUMNS($AC$1006:AL1006),$AC$1006:$AS$1006,0)))),"Fix")))</f>
        <v xml:space="preserve"> </v>
      </c>
      <c r="L70" s="4" t="str">
        <f ca="1">IF(OR(INDEX($W$2:$W$1001,MATCH(ROWS($V$2:V70),$V$2:$V$1001,0),1)&gt;=100000,INDEX($AC$1005:$AS$1005,1,MATCH(COLUMNS($AC$1006:AM1006),$AC$1006:$AS$1006,0))&gt;=100000), " ",IF(INDEX($AC$2:$AS$1001,MATCH(ROWS($V$2:V70),$V$2:$V$1001,0),MATCH(COLUMNS($AC$1006:AM1006),$AC$1006:$AS$1006,0)), HYPERLINK("#",""), HYPERLINK(CONCATENATE("#metadata!", ADDRESS(INDEX($X$2:$X$1001,MATCH(ROWS($V$2:V70),$V$2:$V$1001,0),0), INDEX($AC$1004:$AS$1004,1,MATCH(COLUMNS($AC$1006:AM1006),$AC$1006:$AS$1006,0)))),"Fix")))</f>
        <v xml:space="preserve"> </v>
      </c>
      <c r="M70" s="4" t="str">
        <f ca="1">IF(OR(INDEX($W$2:$W$1001,MATCH(ROWS($V$2:V70),$V$2:$V$1001,0),1)&gt;=100000,INDEX($AC$1005:$AS$1005,1,MATCH(COLUMNS($AC$1006:AN1006),$AC$1006:$AS$1006,0))&gt;=100000), " ",IF(INDEX($AC$2:$AS$1001,MATCH(ROWS($V$2:V70),$V$2:$V$1001,0),MATCH(COLUMNS($AC$1006:AN1006),$AC$1006:$AS$1006,0)), HYPERLINK("#",""), HYPERLINK(CONCATENATE("#metadata!", ADDRESS(INDEX($X$2:$X$1001,MATCH(ROWS($V$2:V70),$V$2:$V$1001,0),0), INDEX($AC$1004:$AS$1004,1,MATCH(COLUMNS($AC$1006:AN1006),$AC$1006:$AS$1006,0)))),"Fix")))</f>
        <v xml:space="preserve"> </v>
      </c>
      <c r="N70" s="4" t="str">
        <f ca="1">IF(OR(INDEX($W$2:$W$1001,MATCH(ROWS($V$2:V70),$V$2:$V$1001,0),1)&gt;=100000,INDEX($AC$1005:$AS$1005,1,MATCH(COLUMNS($AC$1006:AO1006),$AC$1006:$AS$1006,0))&gt;=100000), " ",IF(INDEX($AC$2:$AS$1001,MATCH(ROWS($V$2:V70),$V$2:$V$1001,0),MATCH(COLUMNS($AC$1006:AO1006),$AC$1006:$AS$1006,0)), HYPERLINK("#",""), HYPERLINK(CONCATENATE("#metadata!", ADDRESS(INDEX($X$2:$X$1001,MATCH(ROWS($V$2:V70),$V$2:$V$1001,0),0), INDEX($AC$1004:$AS$1004,1,MATCH(COLUMNS($AC$1006:AO1006),$AC$1006:$AS$1006,0)))),"Fix")))</f>
        <v xml:space="preserve"> </v>
      </c>
      <c r="O70" s="4" t="str">
        <f ca="1">IF(OR(INDEX($W$2:$W$1001,MATCH(ROWS($V$2:V70),$V$2:$V$1001,0),1)&gt;=100000,INDEX($AC$1005:$AS$1005,1,MATCH(COLUMNS($AC$1006:AP1006),$AC$1006:$AS$1006,0))&gt;=100000), " ",IF(INDEX($AC$2:$AS$1001,MATCH(ROWS($V$2:V70),$V$2:$V$1001,0),MATCH(COLUMNS($AC$1006:AP1006),$AC$1006:$AS$1006,0)), HYPERLINK("#",""), HYPERLINK(CONCATENATE("#metadata!", ADDRESS(INDEX($X$2:$X$1001,MATCH(ROWS($V$2:V70),$V$2:$V$1001,0),0), INDEX($AC$1004:$AS$1004,1,MATCH(COLUMNS($AC$1006:AP1006),$AC$1006:$AS$1006,0)))),"Fix")))</f>
        <v xml:space="preserve"> </v>
      </c>
      <c r="P70" s="4" t="str">
        <f ca="1">IF(OR(INDEX($W$2:$W$1001,MATCH(ROWS($V$2:V70),$V$2:$V$1001,0),1)&gt;=100000,INDEX($AC$1005:$AS$1005,1,MATCH(COLUMNS($AC$1006:AQ1006),$AC$1006:$AS$1006,0))&gt;=100000), " ",IF(INDEX($AC$2:$AS$1001,MATCH(ROWS($V$2:V70),$V$2:$V$1001,0),MATCH(COLUMNS($AC$1006:AQ1006),$AC$1006:$AS$1006,0)), HYPERLINK("#",""), HYPERLINK(CONCATENATE("#metadata!", ADDRESS(INDEX($X$2:$X$1001,MATCH(ROWS($V$2:V70),$V$2:$V$1001,0),0), INDEX($AC$1004:$AS$1004,1,MATCH(COLUMNS($AC$1006:AQ1006),$AC$1006:$AS$1006,0)))),"Fix")))</f>
        <v xml:space="preserve"> </v>
      </c>
      <c r="Q70" s="4" t="str">
        <f ca="1">IF(OR(INDEX($W$2:$W$1001,MATCH(ROWS($V$2:V70),$V$2:$V$1001,0),1)&gt;=100000,INDEX($AC$1005:$AS$1005,1,MATCH(COLUMNS($AC$1006:AR1006),$AC$1006:$AS$1006,0))&gt;=100000), " ",IF(INDEX($AC$2:$AS$1001,MATCH(ROWS($V$2:V70),$V$2:$V$1001,0),MATCH(COLUMNS($AC$1006:AR1006),$AC$1006:$AS$1006,0)), HYPERLINK("#",""), HYPERLINK(CONCATENATE("#metadata!", ADDRESS(INDEX($X$2:$X$1001,MATCH(ROWS($V$2:V70),$V$2:$V$1001,0),0), INDEX($AC$1004:$AS$1004,1,MATCH(COLUMNS($AC$1006:AR1006),$AC$1006:$AS$1006,0)))),"Fix")))</f>
        <v xml:space="preserve"> </v>
      </c>
      <c r="R70" s="4" t="str">
        <f ca="1">IF(OR(INDEX($W$2:$W$1001,MATCH(ROWS($V$2:V70),$V$2:$V$1001,0),1)&gt;=100000,INDEX($AC$1005:$AS$1005,1,MATCH(COLUMNS($AC$1006:AS1006),$AC$1006:$AS$1006,0))&gt;=100000), " ",IF(INDEX($AC$2:$AS$1001,MATCH(ROWS($V$2:V70),$V$2:$V$1001,0),MATCH(COLUMNS($AC$1006:AS1006),$AC$1006:$AS$1006,0)), HYPERLINK("#",""), HYPERLINK(CONCATENATE("#metadata!", ADDRESS(INDEX($X$2:$X$1001,MATCH(ROWS($V$2:V70),$V$2:$V$1001,0),0), INDEX($AC$1004:$AS$1004,1,MATCH(COLUMNS($AC$1006:AS1006),$AC$1006:$AS$1006,0)))),"Fix")))</f>
        <v xml:space="preserve"> </v>
      </c>
      <c r="V70">
        <v>69</v>
      </c>
      <c r="W70">
        <v>100070</v>
      </c>
      <c r="X70">
        <v>70</v>
      </c>
      <c r="Y70" t="b">
        <f t="shared" si="1"/>
        <v>1</v>
      </c>
      <c r="Z70" t="b">
        <f>COUNTBLANK(metadata!B70:R70)=COLUMNS(metadata!B70:R70)</f>
        <v>1</v>
      </c>
      <c r="AA70" t="str">
        <v/>
      </c>
      <c r="AC70" t="b">
        <f ca="1"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AD70" t="b">
        <f>IF(metadata!C70="",FALSE,ISNUMBER(VALUE(metadata!C70)))</f>
        <v>0</v>
      </c>
      <c r="AE70" t="b">
        <f>AND(IF(metadata!D70="",FALSE,TRUE),EXACT(metadata!D70,"years"))</f>
        <v>0</v>
      </c>
      <c r="AF70" t="b">
        <f>OR(AND(IF(metadata!E70="",FALSE,TRUE),OR(EXACT(metadata!E70,"not applicable"),EXACT(metadata!E70,"missing: not collected"),EXACT(metadata!E70,"missing: not provided"),EXACT(metadata!E70,"missing: restricted access"))),AND(IF(metadata!E70="",FALSE,ISNUMBER(VALUE(metadata!E70))),metadata!E70&gt;0))</f>
        <v>0</v>
      </c>
      <c r="AG70" t="b">
        <f>AND(IF(metadata!F70="",FALSE,TRUE),EXACT(metadata!F70,"Not applicable"))</f>
        <v>0</v>
      </c>
      <c r="AH70" t="b">
        <f>AND(IF(metadata!G70="",FALSE,TRUE),EXACT(metadata!G70,"urban biome"))</f>
        <v>0</v>
      </c>
      <c r="AI70" t="b">
        <f>AND(IF(metadata!H70="",FALSE,TRUE),EXACT(metadata!H70,"human-associated habitat"))</f>
        <v>0</v>
      </c>
      <c r="AJ70" t="b">
        <f>AND(IF(metadata!I70="",FALSE,TRUE),OR(EXACT(metadata!I70,"human-associated"),EXACT(metadata!I70,"human-skin"),EXACT(metadata!I70,"human-oral"),EXACT(metadata!I70,"human-gut"),EXACT(metadata!I70,"human-vaginal")))</f>
        <v>0</v>
      </c>
      <c r="AK70" t="b">
        <f>IF(metadata!J70="",FALSE,ISNUMBER(VALUE(metadata!J70)))</f>
        <v>0</v>
      </c>
      <c r="AL70" t="b">
        <f>AND(IF(metadata!K70="",FALSE,TRUE),EXACT(metadata!K70,"cm"))</f>
        <v>0</v>
      </c>
      <c r="AM70" t="b">
        <f>AND(IF(metadata!L70="",FALSE,TRUE),EXACT(metadata!L70,"human"))</f>
        <v>0</v>
      </c>
      <c r="AN70" t="b">
        <f>AND(IF(metadata!M70="",FALSE,TRUE),EXACT(metadata!M70,"Homo sapiens"))</f>
        <v>0</v>
      </c>
      <c r="AO70" t="b">
        <f>AND(IF(metadata!N70="",FALSE,TRUE),EXACT(metadata!N70,"9606"))</f>
        <v>0</v>
      </c>
      <c r="AP70" t="b">
        <f>IF(metadata!O70="",FALSE,TRUE)</f>
        <v>0</v>
      </c>
      <c r="AQ70" t="b">
        <f>IF(metadata!P70="",FALSE,TRUE)</f>
        <v>0</v>
      </c>
      <c r="AR70" t="b">
        <f>IF(metadata!Q70="",FALSE,ISNUMBER(VALUE(metadata!Q70)))</f>
        <v>0</v>
      </c>
      <c r="AS70" t="b">
        <f>AND(IF(metadata!R70="",FALSE,TRUE),EXACT(metadata!R70,"kg"))</f>
        <v>0</v>
      </c>
    </row>
    <row r="71" spans="1:45" x14ac:dyDescent="0.2">
      <c r="A71" s="5" t="str">
        <f ca="1">IF(B71=" "," ",HYPERLINK(CONCATENATE("#metadata!",ADDRESS(INDEX($X$2:$X$1001,MATCH(ROWS($V$2:V71),$V$2:$V$1001,0),0),1)),INDEX($AA$2:$AA$1001,MATCH(ROWS($V$2:V71),$V$2:$V$1001,0),0)))</f>
        <v xml:space="preserve"> </v>
      </c>
      <c r="B71" s="4" t="str">
        <f ca="1">IF(OR(INDEX($W$2:$W$1001,MATCH(ROWS($V$2:V71),$V$2:$V$1001,0),1)&gt;=100000,INDEX($AC$1005:$AS$1005,1,MATCH(COLUMNS($AC$1006:AC1006),$AC$1006:$AS$1006,0))&gt;=100000), " ",IF(INDEX($AC$2:$AS$1001,MATCH(ROWS($V$2:V71),$V$2:$V$1001,0),MATCH(COLUMNS($AC$1006:AC1006),$AC$1006:$AS$1006,0)), HYPERLINK("#",""), HYPERLINK(CONCATENATE("#metadata!", ADDRESS(INDEX($X$2:$X$1001,MATCH(ROWS($V$2:V71),$V$2:$V$1001,0),0), INDEX($AC$1004:$AS$1004,1,MATCH(COLUMNS($AC$1006:AC1006),$AC$1006:$AS$1006,0)))),"Fix")))</f>
        <v xml:space="preserve"> </v>
      </c>
      <c r="C71" s="4" t="str">
        <f ca="1">IF(OR(INDEX($W$2:$W$1001,MATCH(ROWS($V$2:V71),$V$2:$V$1001,0),1)&gt;=100000,INDEX($AC$1005:$AS$1005,1,MATCH(COLUMNS($AC$1006:AD1006),$AC$1006:$AS$1006,0))&gt;=100000), " ",IF(INDEX($AC$2:$AS$1001,MATCH(ROWS($V$2:V71),$V$2:$V$1001,0),MATCH(COLUMNS($AC$1006:AD1006),$AC$1006:$AS$1006,0)), HYPERLINK("#",""), HYPERLINK(CONCATENATE("#metadata!", ADDRESS(INDEX($X$2:$X$1001,MATCH(ROWS($V$2:V71),$V$2:$V$1001,0),0), INDEX($AC$1004:$AS$1004,1,MATCH(COLUMNS($AC$1006:AD1006),$AC$1006:$AS$1006,0)))),"Fix")))</f>
        <v xml:space="preserve"> </v>
      </c>
      <c r="D71" s="4" t="str">
        <f ca="1">IF(OR(INDEX($W$2:$W$1001,MATCH(ROWS($V$2:V71),$V$2:$V$1001,0),1)&gt;=100000,INDEX($AC$1005:$AS$1005,1,MATCH(COLUMNS($AC$1006:AE1006),$AC$1006:$AS$1006,0))&gt;=100000), " ",IF(INDEX($AC$2:$AS$1001,MATCH(ROWS($V$2:V71),$V$2:$V$1001,0),MATCH(COLUMNS($AC$1006:AE1006),$AC$1006:$AS$1006,0)), HYPERLINK("#",""), HYPERLINK(CONCATENATE("#metadata!", ADDRESS(INDEX($X$2:$X$1001,MATCH(ROWS($V$2:V71),$V$2:$V$1001,0),0), INDEX($AC$1004:$AS$1004,1,MATCH(COLUMNS($AC$1006:AE1006),$AC$1006:$AS$1006,0)))),"Fix")))</f>
        <v xml:space="preserve"> </v>
      </c>
      <c r="E71" s="4" t="str">
        <f ca="1">IF(OR(INDEX($W$2:$W$1001,MATCH(ROWS($V$2:V71),$V$2:$V$1001,0),1)&gt;=100000,INDEX($AC$1005:$AS$1005,1,MATCH(COLUMNS($AC$1006:AF1006),$AC$1006:$AS$1006,0))&gt;=100000), " ",IF(INDEX($AC$2:$AS$1001,MATCH(ROWS($V$2:V71),$V$2:$V$1001,0),MATCH(COLUMNS($AC$1006:AF1006),$AC$1006:$AS$1006,0)), HYPERLINK("#",""), HYPERLINK(CONCATENATE("#metadata!", ADDRESS(INDEX($X$2:$X$1001,MATCH(ROWS($V$2:V71),$V$2:$V$1001,0),0), INDEX($AC$1004:$AS$1004,1,MATCH(COLUMNS($AC$1006:AF1006),$AC$1006:$AS$1006,0)))),"Fix")))</f>
        <v xml:space="preserve"> </v>
      </c>
      <c r="F71" s="4" t="str">
        <f ca="1">IF(OR(INDEX($W$2:$W$1001,MATCH(ROWS($V$2:V71),$V$2:$V$1001,0),1)&gt;=100000,INDEX($AC$1005:$AS$1005,1,MATCH(COLUMNS($AC$1006:AG1006),$AC$1006:$AS$1006,0))&gt;=100000), " ",IF(INDEX($AC$2:$AS$1001,MATCH(ROWS($V$2:V71),$V$2:$V$1001,0),MATCH(COLUMNS($AC$1006:AG1006),$AC$1006:$AS$1006,0)), HYPERLINK("#",""), HYPERLINK(CONCATENATE("#metadata!", ADDRESS(INDEX($X$2:$X$1001,MATCH(ROWS($V$2:V71),$V$2:$V$1001,0),0), INDEX($AC$1004:$AS$1004,1,MATCH(COLUMNS($AC$1006:AG1006),$AC$1006:$AS$1006,0)))),"Fix")))</f>
        <v xml:space="preserve"> </v>
      </c>
      <c r="G71" s="4" t="str">
        <f ca="1">IF(OR(INDEX($W$2:$W$1001,MATCH(ROWS($V$2:V71),$V$2:$V$1001,0),1)&gt;=100000,INDEX($AC$1005:$AS$1005,1,MATCH(COLUMNS($AC$1006:AH1006),$AC$1006:$AS$1006,0))&gt;=100000), " ",IF(INDEX($AC$2:$AS$1001,MATCH(ROWS($V$2:V71),$V$2:$V$1001,0),MATCH(COLUMNS($AC$1006:AH1006),$AC$1006:$AS$1006,0)), HYPERLINK("#",""), HYPERLINK(CONCATENATE("#metadata!", ADDRESS(INDEX($X$2:$X$1001,MATCH(ROWS($V$2:V71),$V$2:$V$1001,0),0), INDEX($AC$1004:$AS$1004,1,MATCH(COLUMNS($AC$1006:AH1006),$AC$1006:$AS$1006,0)))),"Fix")))</f>
        <v xml:space="preserve"> </v>
      </c>
      <c r="H71" s="4" t="str">
        <f ca="1">IF(OR(INDEX($W$2:$W$1001,MATCH(ROWS($V$2:V71),$V$2:$V$1001,0),1)&gt;=100000,INDEX($AC$1005:$AS$1005,1,MATCH(COLUMNS($AC$1006:AI1006),$AC$1006:$AS$1006,0))&gt;=100000), " ",IF(INDEX($AC$2:$AS$1001,MATCH(ROWS($V$2:V71),$V$2:$V$1001,0),MATCH(COLUMNS($AC$1006:AI1006),$AC$1006:$AS$1006,0)), HYPERLINK("#",""), HYPERLINK(CONCATENATE("#metadata!", ADDRESS(INDEX($X$2:$X$1001,MATCH(ROWS($V$2:V71),$V$2:$V$1001,0),0), INDEX($AC$1004:$AS$1004,1,MATCH(COLUMNS($AC$1006:AI1006),$AC$1006:$AS$1006,0)))),"Fix")))</f>
        <v xml:space="preserve"> </v>
      </c>
      <c r="I71" s="4" t="str">
        <f ca="1">IF(OR(INDEX($W$2:$W$1001,MATCH(ROWS($V$2:V71),$V$2:$V$1001,0),1)&gt;=100000,INDEX($AC$1005:$AS$1005,1,MATCH(COLUMNS($AC$1006:AJ1006),$AC$1006:$AS$1006,0))&gt;=100000), " ",IF(INDEX($AC$2:$AS$1001,MATCH(ROWS($V$2:V71),$V$2:$V$1001,0),MATCH(COLUMNS($AC$1006:AJ1006),$AC$1006:$AS$1006,0)), HYPERLINK("#",""), HYPERLINK(CONCATENATE("#metadata!", ADDRESS(INDEX($X$2:$X$1001,MATCH(ROWS($V$2:V71),$V$2:$V$1001,0),0), INDEX($AC$1004:$AS$1004,1,MATCH(COLUMNS($AC$1006:AJ1006),$AC$1006:$AS$1006,0)))),"Fix")))</f>
        <v xml:space="preserve"> </v>
      </c>
      <c r="J71" s="4" t="str">
        <f ca="1">IF(OR(INDEX($W$2:$W$1001,MATCH(ROWS($V$2:V71),$V$2:$V$1001,0),1)&gt;=100000,INDEX($AC$1005:$AS$1005,1,MATCH(COLUMNS($AC$1006:AK1006),$AC$1006:$AS$1006,0))&gt;=100000), " ",IF(INDEX($AC$2:$AS$1001,MATCH(ROWS($V$2:V71),$V$2:$V$1001,0),MATCH(COLUMNS($AC$1006:AK1006),$AC$1006:$AS$1006,0)), HYPERLINK("#",""), HYPERLINK(CONCATENATE("#metadata!", ADDRESS(INDEX($X$2:$X$1001,MATCH(ROWS($V$2:V71),$V$2:$V$1001,0),0), INDEX($AC$1004:$AS$1004,1,MATCH(COLUMNS($AC$1006:AK1006),$AC$1006:$AS$1006,0)))),"Fix")))</f>
        <v xml:space="preserve"> </v>
      </c>
      <c r="K71" s="4" t="str">
        <f ca="1">IF(OR(INDEX($W$2:$W$1001,MATCH(ROWS($V$2:V71),$V$2:$V$1001,0),1)&gt;=100000,INDEX($AC$1005:$AS$1005,1,MATCH(COLUMNS($AC$1006:AL1006),$AC$1006:$AS$1006,0))&gt;=100000), " ",IF(INDEX($AC$2:$AS$1001,MATCH(ROWS($V$2:V71),$V$2:$V$1001,0),MATCH(COLUMNS($AC$1006:AL1006),$AC$1006:$AS$1006,0)), HYPERLINK("#",""), HYPERLINK(CONCATENATE("#metadata!", ADDRESS(INDEX($X$2:$X$1001,MATCH(ROWS($V$2:V71),$V$2:$V$1001,0),0), INDEX($AC$1004:$AS$1004,1,MATCH(COLUMNS($AC$1006:AL1006),$AC$1006:$AS$1006,0)))),"Fix")))</f>
        <v xml:space="preserve"> </v>
      </c>
      <c r="L71" s="4" t="str">
        <f ca="1">IF(OR(INDEX($W$2:$W$1001,MATCH(ROWS($V$2:V71),$V$2:$V$1001,0),1)&gt;=100000,INDEX($AC$1005:$AS$1005,1,MATCH(COLUMNS($AC$1006:AM1006),$AC$1006:$AS$1006,0))&gt;=100000), " ",IF(INDEX($AC$2:$AS$1001,MATCH(ROWS($V$2:V71),$V$2:$V$1001,0),MATCH(COLUMNS($AC$1006:AM1006),$AC$1006:$AS$1006,0)), HYPERLINK("#",""), HYPERLINK(CONCATENATE("#metadata!", ADDRESS(INDEX($X$2:$X$1001,MATCH(ROWS($V$2:V71),$V$2:$V$1001,0),0), INDEX($AC$1004:$AS$1004,1,MATCH(COLUMNS($AC$1006:AM1006),$AC$1006:$AS$1006,0)))),"Fix")))</f>
        <v xml:space="preserve"> </v>
      </c>
      <c r="M71" s="4" t="str">
        <f ca="1">IF(OR(INDEX($W$2:$W$1001,MATCH(ROWS($V$2:V71),$V$2:$V$1001,0),1)&gt;=100000,INDEX($AC$1005:$AS$1005,1,MATCH(COLUMNS($AC$1006:AN1006),$AC$1006:$AS$1006,0))&gt;=100000), " ",IF(INDEX($AC$2:$AS$1001,MATCH(ROWS($V$2:V71),$V$2:$V$1001,0),MATCH(COLUMNS($AC$1006:AN1006),$AC$1006:$AS$1006,0)), HYPERLINK("#",""), HYPERLINK(CONCATENATE("#metadata!", ADDRESS(INDEX($X$2:$X$1001,MATCH(ROWS($V$2:V71),$V$2:$V$1001,0),0), INDEX($AC$1004:$AS$1004,1,MATCH(COLUMNS($AC$1006:AN1006),$AC$1006:$AS$1006,0)))),"Fix")))</f>
        <v xml:space="preserve"> </v>
      </c>
      <c r="N71" s="4" t="str">
        <f ca="1">IF(OR(INDEX($W$2:$W$1001,MATCH(ROWS($V$2:V71),$V$2:$V$1001,0),1)&gt;=100000,INDEX($AC$1005:$AS$1005,1,MATCH(COLUMNS($AC$1006:AO1006),$AC$1006:$AS$1006,0))&gt;=100000), " ",IF(INDEX($AC$2:$AS$1001,MATCH(ROWS($V$2:V71),$V$2:$V$1001,0),MATCH(COLUMNS($AC$1006:AO1006),$AC$1006:$AS$1006,0)), HYPERLINK("#",""), HYPERLINK(CONCATENATE("#metadata!", ADDRESS(INDEX($X$2:$X$1001,MATCH(ROWS($V$2:V71),$V$2:$V$1001,0),0), INDEX($AC$1004:$AS$1004,1,MATCH(COLUMNS($AC$1006:AO1006),$AC$1006:$AS$1006,0)))),"Fix")))</f>
        <v xml:space="preserve"> </v>
      </c>
      <c r="O71" s="4" t="str">
        <f ca="1">IF(OR(INDEX($W$2:$W$1001,MATCH(ROWS($V$2:V71),$V$2:$V$1001,0),1)&gt;=100000,INDEX($AC$1005:$AS$1005,1,MATCH(COLUMNS($AC$1006:AP1006),$AC$1006:$AS$1006,0))&gt;=100000), " ",IF(INDEX($AC$2:$AS$1001,MATCH(ROWS($V$2:V71),$V$2:$V$1001,0),MATCH(COLUMNS($AC$1006:AP1006),$AC$1006:$AS$1006,0)), HYPERLINK("#",""), HYPERLINK(CONCATENATE("#metadata!", ADDRESS(INDEX($X$2:$X$1001,MATCH(ROWS($V$2:V71),$V$2:$V$1001,0),0), INDEX($AC$1004:$AS$1004,1,MATCH(COLUMNS($AC$1006:AP1006),$AC$1006:$AS$1006,0)))),"Fix")))</f>
        <v xml:space="preserve"> </v>
      </c>
      <c r="P71" s="4" t="str">
        <f ca="1">IF(OR(INDEX($W$2:$W$1001,MATCH(ROWS($V$2:V71),$V$2:$V$1001,0),1)&gt;=100000,INDEX($AC$1005:$AS$1005,1,MATCH(COLUMNS($AC$1006:AQ1006),$AC$1006:$AS$1006,0))&gt;=100000), " ",IF(INDEX($AC$2:$AS$1001,MATCH(ROWS($V$2:V71),$V$2:$V$1001,0),MATCH(COLUMNS($AC$1006:AQ1006),$AC$1006:$AS$1006,0)), HYPERLINK("#",""), HYPERLINK(CONCATENATE("#metadata!", ADDRESS(INDEX($X$2:$X$1001,MATCH(ROWS($V$2:V71),$V$2:$V$1001,0),0), INDEX($AC$1004:$AS$1004,1,MATCH(COLUMNS($AC$1006:AQ1006),$AC$1006:$AS$1006,0)))),"Fix")))</f>
        <v xml:space="preserve"> </v>
      </c>
      <c r="Q71" s="4" t="str">
        <f ca="1">IF(OR(INDEX($W$2:$W$1001,MATCH(ROWS($V$2:V71),$V$2:$V$1001,0),1)&gt;=100000,INDEX($AC$1005:$AS$1005,1,MATCH(COLUMNS($AC$1006:AR1006),$AC$1006:$AS$1006,0))&gt;=100000), " ",IF(INDEX($AC$2:$AS$1001,MATCH(ROWS($V$2:V71),$V$2:$V$1001,0),MATCH(COLUMNS($AC$1006:AR1006),$AC$1006:$AS$1006,0)), HYPERLINK("#",""), HYPERLINK(CONCATENATE("#metadata!", ADDRESS(INDEX($X$2:$X$1001,MATCH(ROWS($V$2:V71),$V$2:$V$1001,0),0), INDEX($AC$1004:$AS$1004,1,MATCH(COLUMNS($AC$1006:AR1006),$AC$1006:$AS$1006,0)))),"Fix")))</f>
        <v xml:space="preserve"> </v>
      </c>
      <c r="R71" s="4" t="str">
        <f ca="1">IF(OR(INDEX($W$2:$W$1001,MATCH(ROWS($V$2:V71),$V$2:$V$1001,0),1)&gt;=100000,INDEX($AC$1005:$AS$1005,1,MATCH(COLUMNS($AC$1006:AS1006),$AC$1006:$AS$1006,0))&gt;=100000), " ",IF(INDEX($AC$2:$AS$1001,MATCH(ROWS($V$2:V71),$V$2:$V$1001,0),MATCH(COLUMNS($AC$1006:AS1006),$AC$1006:$AS$1006,0)), HYPERLINK("#",""), HYPERLINK(CONCATENATE("#metadata!", ADDRESS(INDEX($X$2:$X$1001,MATCH(ROWS($V$2:V71),$V$2:$V$1001,0),0), INDEX($AC$1004:$AS$1004,1,MATCH(COLUMNS($AC$1006:AS1006),$AC$1006:$AS$1006,0)))),"Fix")))</f>
        <v xml:space="preserve"> </v>
      </c>
      <c r="V71">
        <v>70</v>
      </c>
      <c r="W71">
        <v>100071</v>
      </c>
      <c r="X71">
        <v>71</v>
      </c>
      <c r="Y71" t="b">
        <f t="shared" si="1"/>
        <v>1</v>
      </c>
      <c r="Z71" t="b">
        <f>COUNTBLANK(metadata!B71:R71)=COLUMNS(metadata!B71:R71)</f>
        <v>1</v>
      </c>
      <c r="AA71" t="str">
        <v/>
      </c>
      <c r="AC71" t="b">
        <f ca="1"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AD71" t="b">
        <f>IF(metadata!C71="",FALSE,ISNUMBER(VALUE(metadata!C71)))</f>
        <v>0</v>
      </c>
      <c r="AE71" t="b">
        <f>AND(IF(metadata!D71="",FALSE,TRUE),EXACT(metadata!D71,"years"))</f>
        <v>0</v>
      </c>
      <c r="AF71" t="b">
        <f>OR(AND(IF(metadata!E71="",FALSE,TRUE),OR(EXACT(metadata!E71,"not applicable"),EXACT(metadata!E71,"missing: not collected"),EXACT(metadata!E71,"missing: not provided"),EXACT(metadata!E71,"missing: restricted access"))),AND(IF(metadata!E71="",FALSE,ISNUMBER(VALUE(metadata!E71))),metadata!E71&gt;0))</f>
        <v>0</v>
      </c>
      <c r="AG71" t="b">
        <f>AND(IF(metadata!F71="",FALSE,TRUE),EXACT(metadata!F71,"Not applicable"))</f>
        <v>0</v>
      </c>
      <c r="AH71" t="b">
        <f>AND(IF(metadata!G71="",FALSE,TRUE),EXACT(metadata!G71,"urban biome"))</f>
        <v>0</v>
      </c>
      <c r="AI71" t="b">
        <f>AND(IF(metadata!H71="",FALSE,TRUE),EXACT(metadata!H71,"human-associated habitat"))</f>
        <v>0</v>
      </c>
      <c r="AJ71" t="b">
        <f>AND(IF(metadata!I71="",FALSE,TRUE),OR(EXACT(metadata!I71,"human-associated"),EXACT(metadata!I71,"human-skin"),EXACT(metadata!I71,"human-oral"),EXACT(metadata!I71,"human-gut"),EXACT(metadata!I71,"human-vaginal")))</f>
        <v>0</v>
      </c>
      <c r="AK71" t="b">
        <f>IF(metadata!J71="",FALSE,ISNUMBER(VALUE(metadata!J71)))</f>
        <v>0</v>
      </c>
      <c r="AL71" t="b">
        <f>AND(IF(metadata!K71="",FALSE,TRUE),EXACT(metadata!K71,"cm"))</f>
        <v>0</v>
      </c>
      <c r="AM71" t="b">
        <f>AND(IF(metadata!L71="",FALSE,TRUE),EXACT(metadata!L71,"human"))</f>
        <v>0</v>
      </c>
      <c r="AN71" t="b">
        <f>AND(IF(metadata!M71="",FALSE,TRUE),EXACT(metadata!M71,"Homo sapiens"))</f>
        <v>0</v>
      </c>
      <c r="AO71" t="b">
        <f>AND(IF(metadata!N71="",FALSE,TRUE),EXACT(metadata!N71,"9606"))</f>
        <v>0</v>
      </c>
      <c r="AP71" t="b">
        <f>IF(metadata!O71="",FALSE,TRUE)</f>
        <v>0</v>
      </c>
      <c r="AQ71" t="b">
        <f>IF(metadata!P71="",FALSE,TRUE)</f>
        <v>0</v>
      </c>
      <c r="AR71" t="b">
        <f>IF(metadata!Q71="",FALSE,ISNUMBER(VALUE(metadata!Q71)))</f>
        <v>0</v>
      </c>
      <c r="AS71" t="b">
        <f>AND(IF(metadata!R71="",FALSE,TRUE),EXACT(metadata!R71,"kg"))</f>
        <v>0</v>
      </c>
    </row>
    <row r="72" spans="1:45" x14ac:dyDescent="0.2">
      <c r="A72" s="5" t="str">
        <f ca="1">IF(B72=" "," ",HYPERLINK(CONCATENATE("#metadata!",ADDRESS(INDEX($X$2:$X$1001,MATCH(ROWS($V$2:V72),$V$2:$V$1001,0),0),1)),INDEX($AA$2:$AA$1001,MATCH(ROWS($V$2:V72),$V$2:$V$1001,0),0)))</f>
        <v xml:space="preserve"> </v>
      </c>
      <c r="B72" s="4" t="str">
        <f ca="1">IF(OR(INDEX($W$2:$W$1001,MATCH(ROWS($V$2:V72),$V$2:$V$1001,0),1)&gt;=100000,INDEX($AC$1005:$AS$1005,1,MATCH(COLUMNS($AC$1006:AC1006),$AC$1006:$AS$1006,0))&gt;=100000), " ",IF(INDEX($AC$2:$AS$1001,MATCH(ROWS($V$2:V72),$V$2:$V$1001,0),MATCH(COLUMNS($AC$1006:AC1006),$AC$1006:$AS$1006,0)), HYPERLINK("#",""), HYPERLINK(CONCATENATE("#metadata!", ADDRESS(INDEX($X$2:$X$1001,MATCH(ROWS($V$2:V72),$V$2:$V$1001,0),0), INDEX($AC$1004:$AS$1004,1,MATCH(COLUMNS($AC$1006:AC1006),$AC$1006:$AS$1006,0)))),"Fix")))</f>
        <v xml:space="preserve"> </v>
      </c>
      <c r="C72" s="4" t="str">
        <f ca="1">IF(OR(INDEX($W$2:$W$1001,MATCH(ROWS($V$2:V72),$V$2:$V$1001,0),1)&gt;=100000,INDEX($AC$1005:$AS$1005,1,MATCH(COLUMNS($AC$1006:AD1006),$AC$1006:$AS$1006,0))&gt;=100000), " ",IF(INDEX($AC$2:$AS$1001,MATCH(ROWS($V$2:V72),$V$2:$V$1001,0),MATCH(COLUMNS($AC$1006:AD1006),$AC$1006:$AS$1006,0)), HYPERLINK("#",""), HYPERLINK(CONCATENATE("#metadata!", ADDRESS(INDEX($X$2:$X$1001,MATCH(ROWS($V$2:V72),$V$2:$V$1001,0),0), INDEX($AC$1004:$AS$1004,1,MATCH(COLUMNS($AC$1006:AD1006),$AC$1006:$AS$1006,0)))),"Fix")))</f>
        <v xml:space="preserve"> </v>
      </c>
      <c r="D72" s="4" t="str">
        <f ca="1">IF(OR(INDEX($W$2:$W$1001,MATCH(ROWS($V$2:V72),$V$2:$V$1001,0),1)&gt;=100000,INDEX($AC$1005:$AS$1005,1,MATCH(COLUMNS($AC$1006:AE1006),$AC$1006:$AS$1006,0))&gt;=100000), " ",IF(INDEX($AC$2:$AS$1001,MATCH(ROWS($V$2:V72),$V$2:$V$1001,0),MATCH(COLUMNS($AC$1006:AE1006),$AC$1006:$AS$1006,0)), HYPERLINK("#",""), HYPERLINK(CONCATENATE("#metadata!", ADDRESS(INDEX($X$2:$X$1001,MATCH(ROWS($V$2:V72),$V$2:$V$1001,0),0), INDEX($AC$1004:$AS$1004,1,MATCH(COLUMNS($AC$1006:AE1006),$AC$1006:$AS$1006,0)))),"Fix")))</f>
        <v xml:space="preserve"> </v>
      </c>
      <c r="E72" s="4" t="str">
        <f ca="1">IF(OR(INDEX($W$2:$W$1001,MATCH(ROWS($V$2:V72),$V$2:$V$1001,0),1)&gt;=100000,INDEX($AC$1005:$AS$1005,1,MATCH(COLUMNS($AC$1006:AF1006),$AC$1006:$AS$1006,0))&gt;=100000), " ",IF(INDEX($AC$2:$AS$1001,MATCH(ROWS($V$2:V72),$V$2:$V$1001,0),MATCH(COLUMNS($AC$1006:AF1006),$AC$1006:$AS$1006,0)), HYPERLINK("#",""), HYPERLINK(CONCATENATE("#metadata!", ADDRESS(INDEX($X$2:$X$1001,MATCH(ROWS($V$2:V72),$V$2:$V$1001,0),0), INDEX($AC$1004:$AS$1004,1,MATCH(COLUMNS($AC$1006:AF1006),$AC$1006:$AS$1006,0)))),"Fix")))</f>
        <v xml:space="preserve"> </v>
      </c>
      <c r="F72" s="4" t="str">
        <f ca="1">IF(OR(INDEX($W$2:$W$1001,MATCH(ROWS($V$2:V72),$V$2:$V$1001,0),1)&gt;=100000,INDEX($AC$1005:$AS$1005,1,MATCH(COLUMNS($AC$1006:AG1006),$AC$1006:$AS$1006,0))&gt;=100000), " ",IF(INDEX($AC$2:$AS$1001,MATCH(ROWS($V$2:V72),$V$2:$V$1001,0),MATCH(COLUMNS($AC$1006:AG1006),$AC$1006:$AS$1006,0)), HYPERLINK("#",""), HYPERLINK(CONCATENATE("#metadata!", ADDRESS(INDEX($X$2:$X$1001,MATCH(ROWS($V$2:V72),$V$2:$V$1001,0),0), INDEX($AC$1004:$AS$1004,1,MATCH(COLUMNS($AC$1006:AG1006),$AC$1006:$AS$1006,0)))),"Fix")))</f>
        <v xml:space="preserve"> </v>
      </c>
      <c r="G72" s="4" t="str">
        <f ca="1">IF(OR(INDEX($W$2:$W$1001,MATCH(ROWS($V$2:V72),$V$2:$V$1001,0),1)&gt;=100000,INDEX($AC$1005:$AS$1005,1,MATCH(COLUMNS($AC$1006:AH1006),$AC$1006:$AS$1006,0))&gt;=100000), " ",IF(INDEX($AC$2:$AS$1001,MATCH(ROWS($V$2:V72),$V$2:$V$1001,0),MATCH(COLUMNS($AC$1006:AH1006),$AC$1006:$AS$1006,0)), HYPERLINK("#",""), HYPERLINK(CONCATENATE("#metadata!", ADDRESS(INDEX($X$2:$X$1001,MATCH(ROWS($V$2:V72),$V$2:$V$1001,0),0), INDEX($AC$1004:$AS$1004,1,MATCH(COLUMNS($AC$1006:AH1006),$AC$1006:$AS$1006,0)))),"Fix")))</f>
        <v xml:space="preserve"> </v>
      </c>
      <c r="H72" s="4" t="str">
        <f ca="1">IF(OR(INDEX($W$2:$W$1001,MATCH(ROWS($V$2:V72),$V$2:$V$1001,0),1)&gt;=100000,INDEX($AC$1005:$AS$1005,1,MATCH(COLUMNS($AC$1006:AI1006),$AC$1006:$AS$1006,0))&gt;=100000), " ",IF(INDEX($AC$2:$AS$1001,MATCH(ROWS($V$2:V72),$V$2:$V$1001,0),MATCH(COLUMNS($AC$1006:AI1006),$AC$1006:$AS$1006,0)), HYPERLINK("#",""), HYPERLINK(CONCATENATE("#metadata!", ADDRESS(INDEX($X$2:$X$1001,MATCH(ROWS($V$2:V72),$V$2:$V$1001,0),0), INDEX($AC$1004:$AS$1004,1,MATCH(COLUMNS($AC$1006:AI1006),$AC$1006:$AS$1006,0)))),"Fix")))</f>
        <v xml:space="preserve"> </v>
      </c>
      <c r="I72" s="4" t="str">
        <f ca="1">IF(OR(INDEX($W$2:$W$1001,MATCH(ROWS($V$2:V72),$V$2:$V$1001,0),1)&gt;=100000,INDEX($AC$1005:$AS$1005,1,MATCH(COLUMNS($AC$1006:AJ1006),$AC$1006:$AS$1006,0))&gt;=100000), " ",IF(INDEX($AC$2:$AS$1001,MATCH(ROWS($V$2:V72),$V$2:$V$1001,0),MATCH(COLUMNS($AC$1006:AJ1006),$AC$1006:$AS$1006,0)), HYPERLINK("#",""), HYPERLINK(CONCATENATE("#metadata!", ADDRESS(INDEX($X$2:$X$1001,MATCH(ROWS($V$2:V72),$V$2:$V$1001,0),0), INDEX($AC$1004:$AS$1004,1,MATCH(COLUMNS($AC$1006:AJ1006),$AC$1006:$AS$1006,0)))),"Fix")))</f>
        <v xml:space="preserve"> </v>
      </c>
      <c r="J72" s="4" t="str">
        <f ca="1">IF(OR(INDEX($W$2:$W$1001,MATCH(ROWS($V$2:V72),$V$2:$V$1001,0),1)&gt;=100000,INDEX($AC$1005:$AS$1005,1,MATCH(COLUMNS($AC$1006:AK1006),$AC$1006:$AS$1006,0))&gt;=100000), " ",IF(INDEX($AC$2:$AS$1001,MATCH(ROWS($V$2:V72),$V$2:$V$1001,0),MATCH(COLUMNS($AC$1006:AK1006),$AC$1006:$AS$1006,0)), HYPERLINK("#",""), HYPERLINK(CONCATENATE("#metadata!", ADDRESS(INDEX($X$2:$X$1001,MATCH(ROWS($V$2:V72),$V$2:$V$1001,0),0), INDEX($AC$1004:$AS$1004,1,MATCH(COLUMNS($AC$1006:AK1006),$AC$1006:$AS$1006,0)))),"Fix")))</f>
        <v xml:space="preserve"> </v>
      </c>
      <c r="K72" s="4" t="str">
        <f ca="1">IF(OR(INDEX($W$2:$W$1001,MATCH(ROWS($V$2:V72),$V$2:$V$1001,0),1)&gt;=100000,INDEX($AC$1005:$AS$1005,1,MATCH(COLUMNS($AC$1006:AL1006),$AC$1006:$AS$1006,0))&gt;=100000), " ",IF(INDEX($AC$2:$AS$1001,MATCH(ROWS($V$2:V72),$V$2:$V$1001,0),MATCH(COLUMNS($AC$1006:AL1006),$AC$1006:$AS$1006,0)), HYPERLINK("#",""), HYPERLINK(CONCATENATE("#metadata!", ADDRESS(INDEX($X$2:$X$1001,MATCH(ROWS($V$2:V72),$V$2:$V$1001,0),0), INDEX($AC$1004:$AS$1004,1,MATCH(COLUMNS($AC$1006:AL1006),$AC$1006:$AS$1006,0)))),"Fix")))</f>
        <v xml:space="preserve"> </v>
      </c>
      <c r="L72" s="4" t="str">
        <f ca="1">IF(OR(INDEX($W$2:$W$1001,MATCH(ROWS($V$2:V72),$V$2:$V$1001,0),1)&gt;=100000,INDEX($AC$1005:$AS$1005,1,MATCH(COLUMNS($AC$1006:AM1006),$AC$1006:$AS$1006,0))&gt;=100000), " ",IF(INDEX($AC$2:$AS$1001,MATCH(ROWS($V$2:V72),$V$2:$V$1001,0),MATCH(COLUMNS($AC$1006:AM1006),$AC$1006:$AS$1006,0)), HYPERLINK("#",""), HYPERLINK(CONCATENATE("#metadata!", ADDRESS(INDEX($X$2:$X$1001,MATCH(ROWS($V$2:V72),$V$2:$V$1001,0),0), INDEX($AC$1004:$AS$1004,1,MATCH(COLUMNS($AC$1006:AM1006),$AC$1006:$AS$1006,0)))),"Fix")))</f>
        <v xml:space="preserve"> </v>
      </c>
      <c r="M72" s="4" t="str">
        <f ca="1">IF(OR(INDEX($W$2:$W$1001,MATCH(ROWS($V$2:V72),$V$2:$V$1001,0),1)&gt;=100000,INDEX($AC$1005:$AS$1005,1,MATCH(COLUMNS($AC$1006:AN1006),$AC$1006:$AS$1006,0))&gt;=100000), " ",IF(INDEX($AC$2:$AS$1001,MATCH(ROWS($V$2:V72),$V$2:$V$1001,0),MATCH(COLUMNS($AC$1006:AN1006),$AC$1006:$AS$1006,0)), HYPERLINK("#",""), HYPERLINK(CONCATENATE("#metadata!", ADDRESS(INDEX($X$2:$X$1001,MATCH(ROWS($V$2:V72),$V$2:$V$1001,0),0), INDEX($AC$1004:$AS$1004,1,MATCH(COLUMNS($AC$1006:AN1006),$AC$1006:$AS$1006,0)))),"Fix")))</f>
        <v xml:space="preserve"> </v>
      </c>
      <c r="N72" s="4" t="str">
        <f ca="1">IF(OR(INDEX($W$2:$W$1001,MATCH(ROWS($V$2:V72),$V$2:$V$1001,0),1)&gt;=100000,INDEX($AC$1005:$AS$1005,1,MATCH(COLUMNS($AC$1006:AO1006),$AC$1006:$AS$1006,0))&gt;=100000), " ",IF(INDEX($AC$2:$AS$1001,MATCH(ROWS($V$2:V72),$V$2:$V$1001,0),MATCH(COLUMNS($AC$1006:AO1006),$AC$1006:$AS$1006,0)), HYPERLINK("#",""), HYPERLINK(CONCATENATE("#metadata!", ADDRESS(INDEX($X$2:$X$1001,MATCH(ROWS($V$2:V72),$V$2:$V$1001,0),0), INDEX($AC$1004:$AS$1004,1,MATCH(COLUMNS($AC$1006:AO1006),$AC$1006:$AS$1006,0)))),"Fix")))</f>
        <v xml:space="preserve"> </v>
      </c>
      <c r="O72" s="4" t="str">
        <f ca="1">IF(OR(INDEX($W$2:$W$1001,MATCH(ROWS($V$2:V72),$V$2:$V$1001,0),1)&gt;=100000,INDEX($AC$1005:$AS$1005,1,MATCH(COLUMNS($AC$1006:AP1006),$AC$1006:$AS$1006,0))&gt;=100000), " ",IF(INDEX($AC$2:$AS$1001,MATCH(ROWS($V$2:V72),$V$2:$V$1001,0),MATCH(COLUMNS($AC$1006:AP1006),$AC$1006:$AS$1006,0)), HYPERLINK("#",""), HYPERLINK(CONCATENATE("#metadata!", ADDRESS(INDEX($X$2:$X$1001,MATCH(ROWS($V$2:V72),$V$2:$V$1001,0),0), INDEX($AC$1004:$AS$1004,1,MATCH(COLUMNS($AC$1006:AP1006),$AC$1006:$AS$1006,0)))),"Fix")))</f>
        <v xml:space="preserve"> </v>
      </c>
      <c r="P72" s="4" t="str">
        <f ca="1">IF(OR(INDEX($W$2:$W$1001,MATCH(ROWS($V$2:V72),$V$2:$V$1001,0),1)&gt;=100000,INDEX($AC$1005:$AS$1005,1,MATCH(COLUMNS($AC$1006:AQ1006),$AC$1006:$AS$1006,0))&gt;=100000), " ",IF(INDEX($AC$2:$AS$1001,MATCH(ROWS($V$2:V72),$V$2:$V$1001,0),MATCH(COLUMNS($AC$1006:AQ1006),$AC$1006:$AS$1006,0)), HYPERLINK("#",""), HYPERLINK(CONCATENATE("#metadata!", ADDRESS(INDEX($X$2:$X$1001,MATCH(ROWS($V$2:V72),$V$2:$V$1001,0),0), INDEX($AC$1004:$AS$1004,1,MATCH(COLUMNS($AC$1006:AQ1006),$AC$1006:$AS$1006,0)))),"Fix")))</f>
        <v xml:space="preserve"> </v>
      </c>
      <c r="Q72" s="4" t="str">
        <f ca="1">IF(OR(INDEX($W$2:$W$1001,MATCH(ROWS($V$2:V72),$V$2:$V$1001,0),1)&gt;=100000,INDEX($AC$1005:$AS$1005,1,MATCH(COLUMNS($AC$1006:AR1006),$AC$1006:$AS$1006,0))&gt;=100000), " ",IF(INDEX($AC$2:$AS$1001,MATCH(ROWS($V$2:V72),$V$2:$V$1001,0),MATCH(COLUMNS($AC$1006:AR1006),$AC$1006:$AS$1006,0)), HYPERLINK("#",""), HYPERLINK(CONCATENATE("#metadata!", ADDRESS(INDEX($X$2:$X$1001,MATCH(ROWS($V$2:V72),$V$2:$V$1001,0),0), INDEX($AC$1004:$AS$1004,1,MATCH(COLUMNS($AC$1006:AR1006),$AC$1006:$AS$1006,0)))),"Fix")))</f>
        <v xml:space="preserve"> </v>
      </c>
      <c r="R72" s="4" t="str">
        <f ca="1">IF(OR(INDEX($W$2:$W$1001,MATCH(ROWS($V$2:V72),$V$2:$V$1001,0),1)&gt;=100000,INDEX($AC$1005:$AS$1005,1,MATCH(COLUMNS($AC$1006:AS1006),$AC$1006:$AS$1006,0))&gt;=100000), " ",IF(INDEX($AC$2:$AS$1001,MATCH(ROWS($V$2:V72),$V$2:$V$1001,0),MATCH(COLUMNS($AC$1006:AS1006),$AC$1006:$AS$1006,0)), HYPERLINK("#",""), HYPERLINK(CONCATENATE("#metadata!", ADDRESS(INDEX($X$2:$X$1001,MATCH(ROWS($V$2:V72),$V$2:$V$1001,0),0), INDEX($AC$1004:$AS$1004,1,MATCH(COLUMNS($AC$1006:AS1006),$AC$1006:$AS$1006,0)))),"Fix")))</f>
        <v xml:space="preserve"> </v>
      </c>
      <c r="V72">
        <v>71</v>
      </c>
      <c r="W72">
        <v>100072</v>
      </c>
      <c r="X72">
        <v>72</v>
      </c>
      <c r="Y72" t="b">
        <f t="shared" si="1"/>
        <v>1</v>
      </c>
      <c r="Z72" t="b">
        <f>COUNTBLANK(metadata!B72:R72)=COLUMNS(metadata!B72:R72)</f>
        <v>1</v>
      </c>
      <c r="AA72" t="str">
        <v/>
      </c>
      <c r="AC72" t="b">
        <f ca="1"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AD72" t="b">
        <f>IF(metadata!C72="",FALSE,ISNUMBER(VALUE(metadata!C72)))</f>
        <v>0</v>
      </c>
      <c r="AE72" t="b">
        <f>AND(IF(metadata!D72="",FALSE,TRUE),EXACT(metadata!D72,"years"))</f>
        <v>0</v>
      </c>
      <c r="AF72" t="b">
        <f>OR(AND(IF(metadata!E72="",FALSE,TRUE),OR(EXACT(metadata!E72,"not applicable"),EXACT(metadata!E72,"missing: not collected"),EXACT(metadata!E72,"missing: not provided"),EXACT(metadata!E72,"missing: restricted access"))),AND(IF(metadata!E72="",FALSE,ISNUMBER(VALUE(metadata!E72))),metadata!E72&gt;0))</f>
        <v>0</v>
      </c>
      <c r="AG72" t="b">
        <f>AND(IF(metadata!F72="",FALSE,TRUE),EXACT(metadata!F72,"Not applicable"))</f>
        <v>0</v>
      </c>
      <c r="AH72" t="b">
        <f>AND(IF(metadata!G72="",FALSE,TRUE),EXACT(metadata!G72,"urban biome"))</f>
        <v>0</v>
      </c>
      <c r="AI72" t="b">
        <f>AND(IF(metadata!H72="",FALSE,TRUE),EXACT(metadata!H72,"human-associated habitat"))</f>
        <v>0</v>
      </c>
      <c r="AJ72" t="b">
        <f>AND(IF(metadata!I72="",FALSE,TRUE),OR(EXACT(metadata!I72,"human-associated"),EXACT(metadata!I72,"human-skin"),EXACT(metadata!I72,"human-oral"),EXACT(metadata!I72,"human-gut"),EXACT(metadata!I72,"human-vaginal")))</f>
        <v>0</v>
      </c>
      <c r="AK72" t="b">
        <f>IF(metadata!J72="",FALSE,ISNUMBER(VALUE(metadata!J72)))</f>
        <v>0</v>
      </c>
      <c r="AL72" t="b">
        <f>AND(IF(metadata!K72="",FALSE,TRUE),EXACT(metadata!K72,"cm"))</f>
        <v>0</v>
      </c>
      <c r="AM72" t="b">
        <f>AND(IF(metadata!L72="",FALSE,TRUE),EXACT(metadata!L72,"human"))</f>
        <v>0</v>
      </c>
      <c r="AN72" t="b">
        <f>AND(IF(metadata!M72="",FALSE,TRUE),EXACT(metadata!M72,"Homo sapiens"))</f>
        <v>0</v>
      </c>
      <c r="AO72" t="b">
        <f>AND(IF(metadata!N72="",FALSE,TRUE),EXACT(metadata!N72,"9606"))</f>
        <v>0</v>
      </c>
      <c r="AP72" t="b">
        <f>IF(metadata!O72="",FALSE,TRUE)</f>
        <v>0</v>
      </c>
      <c r="AQ72" t="b">
        <f>IF(metadata!P72="",FALSE,TRUE)</f>
        <v>0</v>
      </c>
      <c r="AR72" t="b">
        <f>IF(metadata!Q72="",FALSE,ISNUMBER(VALUE(metadata!Q72)))</f>
        <v>0</v>
      </c>
      <c r="AS72" t="b">
        <f>AND(IF(metadata!R72="",FALSE,TRUE),EXACT(metadata!R72,"kg"))</f>
        <v>0</v>
      </c>
    </row>
    <row r="73" spans="1:45" x14ac:dyDescent="0.2">
      <c r="A73" s="5" t="str">
        <f ca="1">IF(B73=" "," ",HYPERLINK(CONCATENATE("#metadata!",ADDRESS(INDEX($X$2:$X$1001,MATCH(ROWS($V$2:V73),$V$2:$V$1001,0),0),1)),INDEX($AA$2:$AA$1001,MATCH(ROWS($V$2:V73),$V$2:$V$1001,0),0)))</f>
        <v xml:space="preserve"> </v>
      </c>
      <c r="B73" s="4" t="str">
        <f ca="1">IF(OR(INDEX($W$2:$W$1001,MATCH(ROWS($V$2:V73),$V$2:$V$1001,0),1)&gt;=100000,INDEX($AC$1005:$AS$1005,1,MATCH(COLUMNS($AC$1006:AC1006),$AC$1006:$AS$1006,0))&gt;=100000), " ",IF(INDEX($AC$2:$AS$1001,MATCH(ROWS($V$2:V73),$V$2:$V$1001,0),MATCH(COLUMNS($AC$1006:AC1006),$AC$1006:$AS$1006,0)), HYPERLINK("#",""), HYPERLINK(CONCATENATE("#metadata!", ADDRESS(INDEX($X$2:$X$1001,MATCH(ROWS($V$2:V73),$V$2:$V$1001,0),0), INDEX($AC$1004:$AS$1004,1,MATCH(COLUMNS($AC$1006:AC1006),$AC$1006:$AS$1006,0)))),"Fix")))</f>
        <v xml:space="preserve"> </v>
      </c>
      <c r="C73" s="4" t="str">
        <f ca="1">IF(OR(INDEX($W$2:$W$1001,MATCH(ROWS($V$2:V73),$V$2:$V$1001,0),1)&gt;=100000,INDEX($AC$1005:$AS$1005,1,MATCH(COLUMNS($AC$1006:AD1006),$AC$1006:$AS$1006,0))&gt;=100000), " ",IF(INDEX($AC$2:$AS$1001,MATCH(ROWS($V$2:V73),$V$2:$V$1001,0),MATCH(COLUMNS($AC$1006:AD1006),$AC$1006:$AS$1006,0)), HYPERLINK("#",""), HYPERLINK(CONCATENATE("#metadata!", ADDRESS(INDEX($X$2:$X$1001,MATCH(ROWS($V$2:V73),$V$2:$V$1001,0),0), INDEX($AC$1004:$AS$1004,1,MATCH(COLUMNS($AC$1006:AD1006),$AC$1006:$AS$1006,0)))),"Fix")))</f>
        <v xml:space="preserve"> </v>
      </c>
      <c r="D73" s="4" t="str">
        <f ca="1">IF(OR(INDEX($W$2:$W$1001,MATCH(ROWS($V$2:V73),$V$2:$V$1001,0),1)&gt;=100000,INDEX($AC$1005:$AS$1005,1,MATCH(COLUMNS($AC$1006:AE1006),$AC$1006:$AS$1006,0))&gt;=100000), " ",IF(INDEX($AC$2:$AS$1001,MATCH(ROWS($V$2:V73),$V$2:$V$1001,0),MATCH(COLUMNS($AC$1006:AE1006),$AC$1006:$AS$1006,0)), HYPERLINK("#",""), HYPERLINK(CONCATENATE("#metadata!", ADDRESS(INDEX($X$2:$X$1001,MATCH(ROWS($V$2:V73),$V$2:$V$1001,0),0), INDEX($AC$1004:$AS$1004,1,MATCH(COLUMNS($AC$1006:AE1006),$AC$1006:$AS$1006,0)))),"Fix")))</f>
        <v xml:space="preserve"> </v>
      </c>
      <c r="E73" s="4" t="str">
        <f ca="1">IF(OR(INDEX($W$2:$W$1001,MATCH(ROWS($V$2:V73),$V$2:$V$1001,0),1)&gt;=100000,INDEX($AC$1005:$AS$1005,1,MATCH(COLUMNS($AC$1006:AF1006),$AC$1006:$AS$1006,0))&gt;=100000), " ",IF(INDEX($AC$2:$AS$1001,MATCH(ROWS($V$2:V73),$V$2:$V$1001,0),MATCH(COLUMNS($AC$1006:AF1006),$AC$1006:$AS$1006,0)), HYPERLINK("#",""), HYPERLINK(CONCATENATE("#metadata!", ADDRESS(INDEX($X$2:$X$1001,MATCH(ROWS($V$2:V73),$V$2:$V$1001,0),0), INDEX($AC$1004:$AS$1004,1,MATCH(COLUMNS($AC$1006:AF1006),$AC$1006:$AS$1006,0)))),"Fix")))</f>
        <v xml:space="preserve"> </v>
      </c>
      <c r="F73" s="4" t="str">
        <f ca="1">IF(OR(INDEX($W$2:$W$1001,MATCH(ROWS($V$2:V73),$V$2:$V$1001,0),1)&gt;=100000,INDEX($AC$1005:$AS$1005,1,MATCH(COLUMNS($AC$1006:AG1006),$AC$1006:$AS$1006,0))&gt;=100000), " ",IF(INDEX($AC$2:$AS$1001,MATCH(ROWS($V$2:V73),$V$2:$V$1001,0),MATCH(COLUMNS($AC$1006:AG1006),$AC$1006:$AS$1006,0)), HYPERLINK("#",""), HYPERLINK(CONCATENATE("#metadata!", ADDRESS(INDEX($X$2:$X$1001,MATCH(ROWS($V$2:V73),$V$2:$V$1001,0),0), INDEX($AC$1004:$AS$1004,1,MATCH(COLUMNS($AC$1006:AG1006),$AC$1006:$AS$1006,0)))),"Fix")))</f>
        <v xml:space="preserve"> </v>
      </c>
      <c r="G73" s="4" t="str">
        <f ca="1">IF(OR(INDEX($W$2:$W$1001,MATCH(ROWS($V$2:V73),$V$2:$V$1001,0),1)&gt;=100000,INDEX($AC$1005:$AS$1005,1,MATCH(COLUMNS($AC$1006:AH1006),$AC$1006:$AS$1006,0))&gt;=100000), " ",IF(INDEX($AC$2:$AS$1001,MATCH(ROWS($V$2:V73),$V$2:$V$1001,0),MATCH(COLUMNS($AC$1006:AH1006),$AC$1006:$AS$1006,0)), HYPERLINK("#",""), HYPERLINK(CONCATENATE("#metadata!", ADDRESS(INDEX($X$2:$X$1001,MATCH(ROWS($V$2:V73),$V$2:$V$1001,0),0), INDEX($AC$1004:$AS$1004,1,MATCH(COLUMNS($AC$1006:AH1006),$AC$1006:$AS$1006,0)))),"Fix")))</f>
        <v xml:space="preserve"> </v>
      </c>
      <c r="H73" s="4" t="str">
        <f ca="1">IF(OR(INDEX($W$2:$W$1001,MATCH(ROWS($V$2:V73),$V$2:$V$1001,0),1)&gt;=100000,INDEX($AC$1005:$AS$1005,1,MATCH(COLUMNS($AC$1006:AI1006),$AC$1006:$AS$1006,0))&gt;=100000), " ",IF(INDEX($AC$2:$AS$1001,MATCH(ROWS($V$2:V73),$V$2:$V$1001,0),MATCH(COLUMNS($AC$1006:AI1006),$AC$1006:$AS$1006,0)), HYPERLINK("#",""), HYPERLINK(CONCATENATE("#metadata!", ADDRESS(INDEX($X$2:$X$1001,MATCH(ROWS($V$2:V73),$V$2:$V$1001,0),0), INDEX($AC$1004:$AS$1004,1,MATCH(COLUMNS($AC$1006:AI1006),$AC$1006:$AS$1006,0)))),"Fix")))</f>
        <v xml:space="preserve"> </v>
      </c>
      <c r="I73" s="4" t="str">
        <f ca="1">IF(OR(INDEX($W$2:$W$1001,MATCH(ROWS($V$2:V73),$V$2:$V$1001,0),1)&gt;=100000,INDEX($AC$1005:$AS$1005,1,MATCH(COLUMNS($AC$1006:AJ1006),$AC$1006:$AS$1006,0))&gt;=100000), " ",IF(INDEX($AC$2:$AS$1001,MATCH(ROWS($V$2:V73),$V$2:$V$1001,0),MATCH(COLUMNS($AC$1006:AJ1006),$AC$1006:$AS$1006,0)), HYPERLINK("#",""), HYPERLINK(CONCATENATE("#metadata!", ADDRESS(INDEX($X$2:$X$1001,MATCH(ROWS($V$2:V73),$V$2:$V$1001,0),0), INDEX($AC$1004:$AS$1004,1,MATCH(COLUMNS($AC$1006:AJ1006),$AC$1006:$AS$1006,0)))),"Fix")))</f>
        <v xml:space="preserve"> </v>
      </c>
      <c r="J73" s="4" t="str">
        <f ca="1">IF(OR(INDEX($W$2:$W$1001,MATCH(ROWS($V$2:V73),$V$2:$V$1001,0),1)&gt;=100000,INDEX($AC$1005:$AS$1005,1,MATCH(COLUMNS($AC$1006:AK1006),$AC$1006:$AS$1006,0))&gt;=100000), " ",IF(INDEX($AC$2:$AS$1001,MATCH(ROWS($V$2:V73),$V$2:$V$1001,0),MATCH(COLUMNS($AC$1006:AK1006),$AC$1006:$AS$1006,0)), HYPERLINK("#",""), HYPERLINK(CONCATENATE("#metadata!", ADDRESS(INDEX($X$2:$X$1001,MATCH(ROWS($V$2:V73),$V$2:$V$1001,0),0), INDEX($AC$1004:$AS$1004,1,MATCH(COLUMNS($AC$1006:AK1006),$AC$1006:$AS$1006,0)))),"Fix")))</f>
        <v xml:space="preserve"> </v>
      </c>
      <c r="K73" s="4" t="str">
        <f ca="1">IF(OR(INDEX($W$2:$W$1001,MATCH(ROWS($V$2:V73),$V$2:$V$1001,0),1)&gt;=100000,INDEX($AC$1005:$AS$1005,1,MATCH(COLUMNS($AC$1006:AL1006),$AC$1006:$AS$1006,0))&gt;=100000), " ",IF(INDEX($AC$2:$AS$1001,MATCH(ROWS($V$2:V73),$V$2:$V$1001,0),MATCH(COLUMNS($AC$1006:AL1006),$AC$1006:$AS$1006,0)), HYPERLINK("#",""), HYPERLINK(CONCATENATE("#metadata!", ADDRESS(INDEX($X$2:$X$1001,MATCH(ROWS($V$2:V73),$V$2:$V$1001,0),0), INDEX($AC$1004:$AS$1004,1,MATCH(COLUMNS($AC$1006:AL1006),$AC$1006:$AS$1006,0)))),"Fix")))</f>
        <v xml:space="preserve"> </v>
      </c>
      <c r="L73" s="4" t="str">
        <f ca="1">IF(OR(INDEX($W$2:$W$1001,MATCH(ROWS($V$2:V73),$V$2:$V$1001,0),1)&gt;=100000,INDEX($AC$1005:$AS$1005,1,MATCH(COLUMNS($AC$1006:AM1006),$AC$1006:$AS$1006,0))&gt;=100000), " ",IF(INDEX($AC$2:$AS$1001,MATCH(ROWS($V$2:V73),$V$2:$V$1001,0),MATCH(COLUMNS($AC$1006:AM1006),$AC$1006:$AS$1006,0)), HYPERLINK("#",""), HYPERLINK(CONCATENATE("#metadata!", ADDRESS(INDEX($X$2:$X$1001,MATCH(ROWS($V$2:V73),$V$2:$V$1001,0),0), INDEX($AC$1004:$AS$1004,1,MATCH(COLUMNS($AC$1006:AM1006),$AC$1006:$AS$1006,0)))),"Fix")))</f>
        <v xml:space="preserve"> </v>
      </c>
      <c r="M73" s="4" t="str">
        <f ca="1">IF(OR(INDEX($W$2:$W$1001,MATCH(ROWS($V$2:V73),$V$2:$V$1001,0),1)&gt;=100000,INDEX($AC$1005:$AS$1005,1,MATCH(COLUMNS($AC$1006:AN1006),$AC$1006:$AS$1006,0))&gt;=100000), " ",IF(INDEX($AC$2:$AS$1001,MATCH(ROWS($V$2:V73),$V$2:$V$1001,0),MATCH(COLUMNS($AC$1006:AN1006),$AC$1006:$AS$1006,0)), HYPERLINK("#",""), HYPERLINK(CONCATENATE("#metadata!", ADDRESS(INDEX($X$2:$X$1001,MATCH(ROWS($V$2:V73),$V$2:$V$1001,0),0), INDEX($AC$1004:$AS$1004,1,MATCH(COLUMNS($AC$1006:AN1006),$AC$1006:$AS$1006,0)))),"Fix")))</f>
        <v xml:space="preserve"> </v>
      </c>
      <c r="N73" s="4" t="str">
        <f ca="1">IF(OR(INDEX($W$2:$W$1001,MATCH(ROWS($V$2:V73),$V$2:$V$1001,0),1)&gt;=100000,INDEX($AC$1005:$AS$1005,1,MATCH(COLUMNS($AC$1006:AO1006),$AC$1006:$AS$1006,0))&gt;=100000), " ",IF(INDEX($AC$2:$AS$1001,MATCH(ROWS($V$2:V73),$V$2:$V$1001,0),MATCH(COLUMNS($AC$1006:AO1006),$AC$1006:$AS$1006,0)), HYPERLINK("#",""), HYPERLINK(CONCATENATE("#metadata!", ADDRESS(INDEX($X$2:$X$1001,MATCH(ROWS($V$2:V73),$V$2:$V$1001,0),0), INDEX($AC$1004:$AS$1004,1,MATCH(COLUMNS($AC$1006:AO1006),$AC$1006:$AS$1006,0)))),"Fix")))</f>
        <v xml:space="preserve"> </v>
      </c>
      <c r="O73" s="4" t="str">
        <f ca="1">IF(OR(INDEX($W$2:$W$1001,MATCH(ROWS($V$2:V73),$V$2:$V$1001,0),1)&gt;=100000,INDEX($AC$1005:$AS$1005,1,MATCH(COLUMNS($AC$1006:AP1006),$AC$1006:$AS$1006,0))&gt;=100000), " ",IF(INDEX($AC$2:$AS$1001,MATCH(ROWS($V$2:V73),$V$2:$V$1001,0),MATCH(COLUMNS($AC$1006:AP1006),$AC$1006:$AS$1006,0)), HYPERLINK("#",""), HYPERLINK(CONCATENATE("#metadata!", ADDRESS(INDEX($X$2:$X$1001,MATCH(ROWS($V$2:V73),$V$2:$V$1001,0),0), INDEX($AC$1004:$AS$1004,1,MATCH(COLUMNS($AC$1006:AP1006),$AC$1006:$AS$1006,0)))),"Fix")))</f>
        <v xml:space="preserve"> </v>
      </c>
      <c r="P73" s="4" t="str">
        <f ca="1">IF(OR(INDEX($W$2:$W$1001,MATCH(ROWS($V$2:V73),$V$2:$V$1001,0),1)&gt;=100000,INDEX($AC$1005:$AS$1005,1,MATCH(COLUMNS($AC$1006:AQ1006),$AC$1006:$AS$1006,0))&gt;=100000), " ",IF(INDEX($AC$2:$AS$1001,MATCH(ROWS($V$2:V73),$V$2:$V$1001,0),MATCH(COLUMNS($AC$1006:AQ1006),$AC$1006:$AS$1006,0)), HYPERLINK("#",""), HYPERLINK(CONCATENATE("#metadata!", ADDRESS(INDEX($X$2:$X$1001,MATCH(ROWS($V$2:V73),$V$2:$V$1001,0),0), INDEX($AC$1004:$AS$1004,1,MATCH(COLUMNS($AC$1006:AQ1006),$AC$1006:$AS$1006,0)))),"Fix")))</f>
        <v xml:space="preserve"> </v>
      </c>
      <c r="Q73" s="4" t="str">
        <f ca="1">IF(OR(INDEX($W$2:$W$1001,MATCH(ROWS($V$2:V73),$V$2:$V$1001,0),1)&gt;=100000,INDEX($AC$1005:$AS$1005,1,MATCH(COLUMNS($AC$1006:AR1006),$AC$1006:$AS$1006,0))&gt;=100000), " ",IF(INDEX($AC$2:$AS$1001,MATCH(ROWS($V$2:V73),$V$2:$V$1001,0),MATCH(COLUMNS($AC$1006:AR1006),$AC$1006:$AS$1006,0)), HYPERLINK("#",""), HYPERLINK(CONCATENATE("#metadata!", ADDRESS(INDEX($X$2:$X$1001,MATCH(ROWS($V$2:V73),$V$2:$V$1001,0),0), INDEX($AC$1004:$AS$1004,1,MATCH(COLUMNS($AC$1006:AR1006),$AC$1006:$AS$1006,0)))),"Fix")))</f>
        <v xml:space="preserve"> </v>
      </c>
      <c r="R73" s="4" t="str">
        <f ca="1">IF(OR(INDEX($W$2:$W$1001,MATCH(ROWS($V$2:V73),$V$2:$V$1001,0),1)&gt;=100000,INDEX($AC$1005:$AS$1005,1,MATCH(COLUMNS($AC$1006:AS1006),$AC$1006:$AS$1006,0))&gt;=100000), " ",IF(INDEX($AC$2:$AS$1001,MATCH(ROWS($V$2:V73),$V$2:$V$1001,0),MATCH(COLUMNS($AC$1006:AS1006),$AC$1006:$AS$1006,0)), HYPERLINK("#",""), HYPERLINK(CONCATENATE("#metadata!", ADDRESS(INDEX($X$2:$X$1001,MATCH(ROWS($V$2:V73),$V$2:$V$1001,0),0), INDEX($AC$1004:$AS$1004,1,MATCH(COLUMNS($AC$1006:AS1006),$AC$1006:$AS$1006,0)))),"Fix")))</f>
        <v xml:space="preserve"> </v>
      </c>
      <c r="V73">
        <v>72</v>
      </c>
      <c r="W73">
        <v>100073</v>
      </c>
      <c r="X73">
        <v>73</v>
      </c>
      <c r="Y73" t="b">
        <f t="shared" si="1"/>
        <v>1</v>
      </c>
      <c r="Z73" t="b">
        <f>COUNTBLANK(metadata!B73:R73)=COLUMNS(metadata!B73:R73)</f>
        <v>1</v>
      </c>
      <c r="AA73" t="str">
        <v/>
      </c>
      <c r="AC73" t="b">
        <f ca="1"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AD73" t="b">
        <f>IF(metadata!C73="",FALSE,ISNUMBER(VALUE(metadata!C73)))</f>
        <v>0</v>
      </c>
      <c r="AE73" t="b">
        <f>AND(IF(metadata!D73="",FALSE,TRUE),EXACT(metadata!D73,"years"))</f>
        <v>0</v>
      </c>
      <c r="AF73" t="b">
        <f>OR(AND(IF(metadata!E73="",FALSE,TRUE),OR(EXACT(metadata!E73,"not applicable"),EXACT(metadata!E73,"missing: not collected"),EXACT(metadata!E73,"missing: not provided"),EXACT(metadata!E73,"missing: restricted access"))),AND(IF(metadata!E73="",FALSE,ISNUMBER(VALUE(metadata!E73))),metadata!E73&gt;0))</f>
        <v>0</v>
      </c>
      <c r="AG73" t="b">
        <f>AND(IF(metadata!F73="",FALSE,TRUE),EXACT(metadata!F73,"Not applicable"))</f>
        <v>0</v>
      </c>
      <c r="AH73" t="b">
        <f>AND(IF(metadata!G73="",FALSE,TRUE),EXACT(metadata!G73,"urban biome"))</f>
        <v>0</v>
      </c>
      <c r="AI73" t="b">
        <f>AND(IF(metadata!H73="",FALSE,TRUE),EXACT(metadata!H73,"human-associated habitat"))</f>
        <v>0</v>
      </c>
      <c r="AJ73" t="b">
        <f>AND(IF(metadata!I73="",FALSE,TRUE),OR(EXACT(metadata!I73,"human-associated"),EXACT(metadata!I73,"human-skin"),EXACT(metadata!I73,"human-oral"),EXACT(metadata!I73,"human-gut"),EXACT(metadata!I73,"human-vaginal")))</f>
        <v>0</v>
      </c>
      <c r="AK73" t="b">
        <f>IF(metadata!J73="",FALSE,ISNUMBER(VALUE(metadata!J73)))</f>
        <v>0</v>
      </c>
      <c r="AL73" t="b">
        <f>AND(IF(metadata!K73="",FALSE,TRUE),EXACT(metadata!K73,"cm"))</f>
        <v>0</v>
      </c>
      <c r="AM73" t="b">
        <f>AND(IF(metadata!L73="",FALSE,TRUE),EXACT(metadata!L73,"human"))</f>
        <v>0</v>
      </c>
      <c r="AN73" t="b">
        <f>AND(IF(metadata!M73="",FALSE,TRUE),EXACT(metadata!M73,"Homo sapiens"))</f>
        <v>0</v>
      </c>
      <c r="AO73" t="b">
        <f>AND(IF(metadata!N73="",FALSE,TRUE),EXACT(metadata!N73,"9606"))</f>
        <v>0</v>
      </c>
      <c r="AP73" t="b">
        <f>IF(metadata!O73="",FALSE,TRUE)</f>
        <v>0</v>
      </c>
      <c r="AQ73" t="b">
        <f>IF(metadata!P73="",FALSE,TRUE)</f>
        <v>0</v>
      </c>
      <c r="AR73" t="b">
        <f>IF(metadata!Q73="",FALSE,ISNUMBER(VALUE(metadata!Q73)))</f>
        <v>0</v>
      </c>
      <c r="AS73" t="b">
        <f>AND(IF(metadata!R73="",FALSE,TRUE),EXACT(metadata!R73,"kg"))</f>
        <v>0</v>
      </c>
    </row>
    <row r="74" spans="1:45" x14ac:dyDescent="0.2">
      <c r="A74" s="5" t="str">
        <f ca="1">IF(B74=" "," ",HYPERLINK(CONCATENATE("#metadata!",ADDRESS(INDEX($X$2:$X$1001,MATCH(ROWS($V$2:V74),$V$2:$V$1001,0),0),1)),INDEX($AA$2:$AA$1001,MATCH(ROWS($V$2:V74),$V$2:$V$1001,0),0)))</f>
        <v xml:space="preserve"> </v>
      </c>
      <c r="B74" s="4" t="str">
        <f ca="1">IF(OR(INDEX($W$2:$W$1001,MATCH(ROWS($V$2:V74),$V$2:$V$1001,0),1)&gt;=100000,INDEX($AC$1005:$AS$1005,1,MATCH(COLUMNS($AC$1006:AC1006),$AC$1006:$AS$1006,0))&gt;=100000), " ",IF(INDEX($AC$2:$AS$1001,MATCH(ROWS($V$2:V74),$V$2:$V$1001,0),MATCH(COLUMNS($AC$1006:AC1006),$AC$1006:$AS$1006,0)), HYPERLINK("#",""), HYPERLINK(CONCATENATE("#metadata!", ADDRESS(INDEX($X$2:$X$1001,MATCH(ROWS($V$2:V74),$V$2:$V$1001,0),0), INDEX($AC$1004:$AS$1004,1,MATCH(COLUMNS($AC$1006:AC1006),$AC$1006:$AS$1006,0)))),"Fix")))</f>
        <v xml:space="preserve"> </v>
      </c>
      <c r="C74" s="4" t="str">
        <f ca="1">IF(OR(INDEX($W$2:$W$1001,MATCH(ROWS($V$2:V74),$V$2:$V$1001,0),1)&gt;=100000,INDEX($AC$1005:$AS$1005,1,MATCH(COLUMNS($AC$1006:AD1006),$AC$1006:$AS$1006,0))&gt;=100000), " ",IF(INDEX($AC$2:$AS$1001,MATCH(ROWS($V$2:V74),$V$2:$V$1001,0),MATCH(COLUMNS($AC$1006:AD1006),$AC$1006:$AS$1006,0)), HYPERLINK("#",""), HYPERLINK(CONCATENATE("#metadata!", ADDRESS(INDEX($X$2:$X$1001,MATCH(ROWS($V$2:V74),$V$2:$V$1001,0),0), INDEX($AC$1004:$AS$1004,1,MATCH(COLUMNS($AC$1006:AD1006),$AC$1006:$AS$1006,0)))),"Fix")))</f>
        <v xml:space="preserve"> </v>
      </c>
      <c r="D74" s="4" t="str">
        <f ca="1">IF(OR(INDEX($W$2:$W$1001,MATCH(ROWS($V$2:V74),$V$2:$V$1001,0),1)&gt;=100000,INDEX($AC$1005:$AS$1005,1,MATCH(COLUMNS($AC$1006:AE1006),$AC$1006:$AS$1006,0))&gt;=100000), " ",IF(INDEX($AC$2:$AS$1001,MATCH(ROWS($V$2:V74),$V$2:$V$1001,0),MATCH(COLUMNS($AC$1006:AE1006),$AC$1006:$AS$1006,0)), HYPERLINK("#",""), HYPERLINK(CONCATENATE("#metadata!", ADDRESS(INDEX($X$2:$X$1001,MATCH(ROWS($V$2:V74),$V$2:$V$1001,0),0), INDEX($AC$1004:$AS$1004,1,MATCH(COLUMNS($AC$1006:AE1006),$AC$1006:$AS$1006,0)))),"Fix")))</f>
        <v xml:space="preserve"> </v>
      </c>
      <c r="E74" s="4" t="str">
        <f ca="1">IF(OR(INDEX($W$2:$W$1001,MATCH(ROWS($V$2:V74),$V$2:$V$1001,0),1)&gt;=100000,INDEX($AC$1005:$AS$1005,1,MATCH(COLUMNS($AC$1006:AF1006),$AC$1006:$AS$1006,0))&gt;=100000), " ",IF(INDEX($AC$2:$AS$1001,MATCH(ROWS($V$2:V74),$V$2:$V$1001,0),MATCH(COLUMNS($AC$1006:AF1006),$AC$1006:$AS$1006,0)), HYPERLINK("#",""), HYPERLINK(CONCATENATE("#metadata!", ADDRESS(INDEX($X$2:$X$1001,MATCH(ROWS($V$2:V74),$V$2:$V$1001,0),0), INDEX($AC$1004:$AS$1004,1,MATCH(COLUMNS($AC$1006:AF1006),$AC$1006:$AS$1006,0)))),"Fix")))</f>
        <v xml:space="preserve"> </v>
      </c>
      <c r="F74" s="4" t="str">
        <f ca="1">IF(OR(INDEX($W$2:$W$1001,MATCH(ROWS($V$2:V74),$V$2:$V$1001,0),1)&gt;=100000,INDEX($AC$1005:$AS$1005,1,MATCH(COLUMNS($AC$1006:AG1006),$AC$1006:$AS$1006,0))&gt;=100000), " ",IF(INDEX($AC$2:$AS$1001,MATCH(ROWS($V$2:V74),$V$2:$V$1001,0),MATCH(COLUMNS($AC$1006:AG1006),$AC$1006:$AS$1006,0)), HYPERLINK("#",""), HYPERLINK(CONCATENATE("#metadata!", ADDRESS(INDEX($X$2:$X$1001,MATCH(ROWS($V$2:V74),$V$2:$V$1001,0),0), INDEX($AC$1004:$AS$1004,1,MATCH(COLUMNS($AC$1006:AG1006),$AC$1006:$AS$1006,0)))),"Fix")))</f>
        <v xml:space="preserve"> </v>
      </c>
      <c r="G74" s="4" t="str">
        <f ca="1">IF(OR(INDEX($W$2:$W$1001,MATCH(ROWS($V$2:V74),$V$2:$V$1001,0),1)&gt;=100000,INDEX($AC$1005:$AS$1005,1,MATCH(COLUMNS($AC$1006:AH1006),$AC$1006:$AS$1006,0))&gt;=100000), " ",IF(INDEX($AC$2:$AS$1001,MATCH(ROWS($V$2:V74),$V$2:$V$1001,0),MATCH(COLUMNS($AC$1006:AH1006),$AC$1006:$AS$1006,0)), HYPERLINK("#",""), HYPERLINK(CONCATENATE("#metadata!", ADDRESS(INDEX($X$2:$X$1001,MATCH(ROWS($V$2:V74),$V$2:$V$1001,0),0), INDEX($AC$1004:$AS$1004,1,MATCH(COLUMNS($AC$1006:AH1006),$AC$1006:$AS$1006,0)))),"Fix")))</f>
        <v xml:space="preserve"> </v>
      </c>
      <c r="H74" s="4" t="str">
        <f ca="1">IF(OR(INDEX($W$2:$W$1001,MATCH(ROWS($V$2:V74),$V$2:$V$1001,0),1)&gt;=100000,INDEX($AC$1005:$AS$1005,1,MATCH(COLUMNS($AC$1006:AI1006),$AC$1006:$AS$1006,0))&gt;=100000), " ",IF(INDEX($AC$2:$AS$1001,MATCH(ROWS($V$2:V74),$V$2:$V$1001,0),MATCH(COLUMNS($AC$1006:AI1006),$AC$1006:$AS$1006,0)), HYPERLINK("#",""), HYPERLINK(CONCATENATE("#metadata!", ADDRESS(INDEX($X$2:$X$1001,MATCH(ROWS($V$2:V74),$V$2:$V$1001,0),0), INDEX($AC$1004:$AS$1004,1,MATCH(COLUMNS($AC$1006:AI1006),$AC$1006:$AS$1006,0)))),"Fix")))</f>
        <v xml:space="preserve"> </v>
      </c>
      <c r="I74" s="4" t="str">
        <f ca="1">IF(OR(INDEX($W$2:$W$1001,MATCH(ROWS($V$2:V74),$V$2:$V$1001,0),1)&gt;=100000,INDEX($AC$1005:$AS$1005,1,MATCH(COLUMNS($AC$1006:AJ1006),$AC$1006:$AS$1006,0))&gt;=100000), " ",IF(INDEX($AC$2:$AS$1001,MATCH(ROWS($V$2:V74),$V$2:$V$1001,0),MATCH(COLUMNS($AC$1006:AJ1006),$AC$1006:$AS$1006,0)), HYPERLINK("#",""), HYPERLINK(CONCATENATE("#metadata!", ADDRESS(INDEX($X$2:$X$1001,MATCH(ROWS($V$2:V74),$V$2:$V$1001,0),0), INDEX($AC$1004:$AS$1004,1,MATCH(COLUMNS($AC$1006:AJ1006),$AC$1006:$AS$1006,0)))),"Fix")))</f>
        <v xml:space="preserve"> </v>
      </c>
      <c r="J74" s="4" t="str">
        <f ca="1">IF(OR(INDEX($W$2:$W$1001,MATCH(ROWS($V$2:V74),$V$2:$V$1001,0),1)&gt;=100000,INDEX($AC$1005:$AS$1005,1,MATCH(COLUMNS($AC$1006:AK1006),$AC$1006:$AS$1006,0))&gt;=100000), " ",IF(INDEX($AC$2:$AS$1001,MATCH(ROWS($V$2:V74),$V$2:$V$1001,0),MATCH(COLUMNS($AC$1006:AK1006),$AC$1006:$AS$1006,0)), HYPERLINK("#",""), HYPERLINK(CONCATENATE("#metadata!", ADDRESS(INDEX($X$2:$X$1001,MATCH(ROWS($V$2:V74),$V$2:$V$1001,0),0), INDEX($AC$1004:$AS$1004,1,MATCH(COLUMNS($AC$1006:AK1006),$AC$1006:$AS$1006,0)))),"Fix")))</f>
        <v xml:space="preserve"> </v>
      </c>
      <c r="K74" s="4" t="str">
        <f ca="1">IF(OR(INDEX($W$2:$W$1001,MATCH(ROWS($V$2:V74),$V$2:$V$1001,0),1)&gt;=100000,INDEX($AC$1005:$AS$1005,1,MATCH(COLUMNS($AC$1006:AL1006),$AC$1006:$AS$1006,0))&gt;=100000), " ",IF(INDEX($AC$2:$AS$1001,MATCH(ROWS($V$2:V74),$V$2:$V$1001,0),MATCH(COLUMNS($AC$1006:AL1006),$AC$1006:$AS$1006,0)), HYPERLINK("#",""), HYPERLINK(CONCATENATE("#metadata!", ADDRESS(INDEX($X$2:$X$1001,MATCH(ROWS($V$2:V74),$V$2:$V$1001,0),0), INDEX($AC$1004:$AS$1004,1,MATCH(COLUMNS($AC$1006:AL1006),$AC$1006:$AS$1006,0)))),"Fix")))</f>
        <v xml:space="preserve"> </v>
      </c>
      <c r="L74" s="4" t="str">
        <f ca="1">IF(OR(INDEX($W$2:$W$1001,MATCH(ROWS($V$2:V74),$V$2:$V$1001,0),1)&gt;=100000,INDEX($AC$1005:$AS$1005,1,MATCH(COLUMNS($AC$1006:AM1006),$AC$1006:$AS$1006,0))&gt;=100000), " ",IF(INDEX($AC$2:$AS$1001,MATCH(ROWS($V$2:V74),$V$2:$V$1001,0),MATCH(COLUMNS($AC$1006:AM1006),$AC$1006:$AS$1006,0)), HYPERLINK("#",""), HYPERLINK(CONCATENATE("#metadata!", ADDRESS(INDEX($X$2:$X$1001,MATCH(ROWS($V$2:V74),$V$2:$V$1001,0),0), INDEX($AC$1004:$AS$1004,1,MATCH(COLUMNS($AC$1006:AM1006),$AC$1006:$AS$1006,0)))),"Fix")))</f>
        <v xml:space="preserve"> </v>
      </c>
      <c r="M74" s="4" t="str">
        <f ca="1">IF(OR(INDEX($W$2:$W$1001,MATCH(ROWS($V$2:V74),$V$2:$V$1001,0),1)&gt;=100000,INDEX($AC$1005:$AS$1005,1,MATCH(COLUMNS($AC$1006:AN1006),$AC$1006:$AS$1006,0))&gt;=100000), " ",IF(INDEX($AC$2:$AS$1001,MATCH(ROWS($V$2:V74),$V$2:$V$1001,0),MATCH(COLUMNS($AC$1006:AN1006),$AC$1006:$AS$1006,0)), HYPERLINK("#",""), HYPERLINK(CONCATENATE("#metadata!", ADDRESS(INDEX($X$2:$X$1001,MATCH(ROWS($V$2:V74),$V$2:$V$1001,0),0), INDEX($AC$1004:$AS$1004,1,MATCH(COLUMNS($AC$1006:AN1006),$AC$1006:$AS$1006,0)))),"Fix")))</f>
        <v xml:space="preserve"> </v>
      </c>
      <c r="N74" s="4" t="str">
        <f ca="1">IF(OR(INDEX($W$2:$W$1001,MATCH(ROWS($V$2:V74),$V$2:$V$1001,0),1)&gt;=100000,INDEX($AC$1005:$AS$1005,1,MATCH(COLUMNS($AC$1006:AO1006),$AC$1006:$AS$1006,0))&gt;=100000), " ",IF(INDEX($AC$2:$AS$1001,MATCH(ROWS($V$2:V74),$V$2:$V$1001,0),MATCH(COLUMNS($AC$1006:AO1006),$AC$1006:$AS$1006,0)), HYPERLINK("#",""), HYPERLINK(CONCATENATE("#metadata!", ADDRESS(INDEX($X$2:$X$1001,MATCH(ROWS($V$2:V74),$V$2:$V$1001,0),0), INDEX($AC$1004:$AS$1004,1,MATCH(COLUMNS($AC$1006:AO1006),$AC$1006:$AS$1006,0)))),"Fix")))</f>
        <v xml:space="preserve"> </v>
      </c>
      <c r="O74" s="4" t="str">
        <f ca="1">IF(OR(INDEX($W$2:$W$1001,MATCH(ROWS($V$2:V74),$V$2:$V$1001,0),1)&gt;=100000,INDEX($AC$1005:$AS$1005,1,MATCH(COLUMNS($AC$1006:AP1006),$AC$1006:$AS$1006,0))&gt;=100000), " ",IF(INDEX($AC$2:$AS$1001,MATCH(ROWS($V$2:V74),$V$2:$V$1001,0),MATCH(COLUMNS($AC$1006:AP1006),$AC$1006:$AS$1006,0)), HYPERLINK("#",""), HYPERLINK(CONCATENATE("#metadata!", ADDRESS(INDEX($X$2:$X$1001,MATCH(ROWS($V$2:V74),$V$2:$V$1001,0),0), INDEX($AC$1004:$AS$1004,1,MATCH(COLUMNS($AC$1006:AP1006),$AC$1006:$AS$1006,0)))),"Fix")))</f>
        <v xml:space="preserve"> </v>
      </c>
      <c r="P74" s="4" t="str">
        <f ca="1">IF(OR(INDEX($W$2:$W$1001,MATCH(ROWS($V$2:V74),$V$2:$V$1001,0),1)&gt;=100000,INDEX($AC$1005:$AS$1005,1,MATCH(COLUMNS($AC$1006:AQ1006),$AC$1006:$AS$1006,0))&gt;=100000), " ",IF(INDEX($AC$2:$AS$1001,MATCH(ROWS($V$2:V74),$V$2:$V$1001,0),MATCH(COLUMNS($AC$1006:AQ1006),$AC$1006:$AS$1006,0)), HYPERLINK("#",""), HYPERLINK(CONCATENATE("#metadata!", ADDRESS(INDEX($X$2:$X$1001,MATCH(ROWS($V$2:V74),$V$2:$V$1001,0),0), INDEX($AC$1004:$AS$1004,1,MATCH(COLUMNS($AC$1006:AQ1006),$AC$1006:$AS$1006,0)))),"Fix")))</f>
        <v xml:space="preserve"> </v>
      </c>
      <c r="Q74" s="4" t="str">
        <f ca="1">IF(OR(INDEX($W$2:$W$1001,MATCH(ROWS($V$2:V74),$V$2:$V$1001,0),1)&gt;=100000,INDEX($AC$1005:$AS$1005,1,MATCH(COLUMNS($AC$1006:AR1006),$AC$1006:$AS$1006,0))&gt;=100000), " ",IF(INDEX($AC$2:$AS$1001,MATCH(ROWS($V$2:V74),$V$2:$V$1001,0),MATCH(COLUMNS($AC$1006:AR1006),$AC$1006:$AS$1006,0)), HYPERLINK("#",""), HYPERLINK(CONCATENATE("#metadata!", ADDRESS(INDEX($X$2:$X$1001,MATCH(ROWS($V$2:V74),$V$2:$V$1001,0),0), INDEX($AC$1004:$AS$1004,1,MATCH(COLUMNS($AC$1006:AR1006),$AC$1006:$AS$1006,0)))),"Fix")))</f>
        <v xml:space="preserve"> </v>
      </c>
      <c r="R74" s="4" t="str">
        <f ca="1">IF(OR(INDEX($W$2:$W$1001,MATCH(ROWS($V$2:V74),$V$2:$V$1001,0),1)&gt;=100000,INDEX($AC$1005:$AS$1005,1,MATCH(COLUMNS($AC$1006:AS1006),$AC$1006:$AS$1006,0))&gt;=100000), " ",IF(INDEX($AC$2:$AS$1001,MATCH(ROWS($V$2:V74),$V$2:$V$1001,0),MATCH(COLUMNS($AC$1006:AS1006),$AC$1006:$AS$1006,0)), HYPERLINK("#",""), HYPERLINK(CONCATENATE("#metadata!", ADDRESS(INDEX($X$2:$X$1001,MATCH(ROWS($V$2:V74),$V$2:$V$1001,0),0), INDEX($AC$1004:$AS$1004,1,MATCH(COLUMNS($AC$1006:AS1006),$AC$1006:$AS$1006,0)))),"Fix")))</f>
        <v xml:space="preserve"> </v>
      </c>
      <c r="V74">
        <v>73</v>
      </c>
      <c r="W74">
        <v>100074</v>
      </c>
      <c r="X74">
        <v>74</v>
      </c>
      <c r="Y74" t="b">
        <f t="shared" si="1"/>
        <v>1</v>
      </c>
      <c r="Z74" t="b">
        <f>COUNTBLANK(metadata!B74:R74)=COLUMNS(metadata!B74:R74)</f>
        <v>1</v>
      </c>
      <c r="AA74" t="str">
        <v/>
      </c>
      <c r="AC74" t="b">
        <f ca="1"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AD74" t="b">
        <f>IF(metadata!C74="",FALSE,ISNUMBER(VALUE(metadata!C74)))</f>
        <v>0</v>
      </c>
      <c r="AE74" t="b">
        <f>AND(IF(metadata!D74="",FALSE,TRUE),EXACT(metadata!D74,"years"))</f>
        <v>0</v>
      </c>
      <c r="AF74" t="b">
        <f>OR(AND(IF(metadata!E74="",FALSE,TRUE),OR(EXACT(metadata!E74,"not applicable"),EXACT(metadata!E74,"missing: not collected"),EXACT(metadata!E74,"missing: not provided"),EXACT(metadata!E74,"missing: restricted access"))),AND(IF(metadata!E74="",FALSE,ISNUMBER(VALUE(metadata!E74))),metadata!E74&gt;0))</f>
        <v>0</v>
      </c>
      <c r="AG74" t="b">
        <f>AND(IF(metadata!F74="",FALSE,TRUE),EXACT(metadata!F74,"Not applicable"))</f>
        <v>0</v>
      </c>
      <c r="AH74" t="b">
        <f>AND(IF(metadata!G74="",FALSE,TRUE),EXACT(metadata!G74,"urban biome"))</f>
        <v>0</v>
      </c>
      <c r="AI74" t="b">
        <f>AND(IF(metadata!H74="",FALSE,TRUE),EXACT(metadata!H74,"human-associated habitat"))</f>
        <v>0</v>
      </c>
      <c r="AJ74" t="b">
        <f>AND(IF(metadata!I74="",FALSE,TRUE),OR(EXACT(metadata!I74,"human-associated"),EXACT(metadata!I74,"human-skin"),EXACT(metadata!I74,"human-oral"),EXACT(metadata!I74,"human-gut"),EXACT(metadata!I74,"human-vaginal")))</f>
        <v>0</v>
      </c>
      <c r="AK74" t="b">
        <f>IF(metadata!J74="",FALSE,ISNUMBER(VALUE(metadata!J74)))</f>
        <v>0</v>
      </c>
      <c r="AL74" t="b">
        <f>AND(IF(metadata!K74="",FALSE,TRUE),EXACT(metadata!K74,"cm"))</f>
        <v>0</v>
      </c>
      <c r="AM74" t="b">
        <f>AND(IF(metadata!L74="",FALSE,TRUE),EXACT(metadata!L74,"human"))</f>
        <v>0</v>
      </c>
      <c r="AN74" t="b">
        <f>AND(IF(metadata!M74="",FALSE,TRUE),EXACT(metadata!M74,"Homo sapiens"))</f>
        <v>0</v>
      </c>
      <c r="AO74" t="b">
        <f>AND(IF(metadata!N74="",FALSE,TRUE),EXACT(metadata!N74,"9606"))</f>
        <v>0</v>
      </c>
      <c r="AP74" t="b">
        <f>IF(metadata!O74="",FALSE,TRUE)</f>
        <v>0</v>
      </c>
      <c r="AQ74" t="b">
        <f>IF(metadata!P74="",FALSE,TRUE)</f>
        <v>0</v>
      </c>
      <c r="AR74" t="b">
        <f>IF(metadata!Q74="",FALSE,ISNUMBER(VALUE(metadata!Q74)))</f>
        <v>0</v>
      </c>
      <c r="AS74" t="b">
        <f>AND(IF(metadata!R74="",FALSE,TRUE),EXACT(metadata!R74,"kg"))</f>
        <v>0</v>
      </c>
    </row>
    <row r="75" spans="1:45" x14ac:dyDescent="0.2">
      <c r="A75" s="5" t="str">
        <f ca="1">IF(B75=" "," ",HYPERLINK(CONCATENATE("#metadata!",ADDRESS(INDEX($X$2:$X$1001,MATCH(ROWS($V$2:V75),$V$2:$V$1001,0),0),1)),INDEX($AA$2:$AA$1001,MATCH(ROWS($V$2:V75),$V$2:$V$1001,0),0)))</f>
        <v xml:space="preserve"> </v>
      </c>
      <c r="B75" s="4" t="str">
        <f ca="1">IF(OR(INDEX($W$2:$W$1001,MATCH(ROWS($V$2:V75),$V$2:$V$1001,0),1)&gt;=100000,INDEX($AC$1005:$AS$1005,1,MATCH(COLUMNS($AC$1006:AC1006),$AC$1006:$AS$1006,0))&gt;=100000), " ",IF(INDEX($AC$2:$AS$1001,MATCH(ROWS($V$2:V75),$V$2:$V$1001,0),MATCH(COLUMNS($AC$1006:AC1006),$AC$1006:$AS$1006,0)), HYPERLINK("#",""), HYPERLINK(CONCATENATE("#metadata!", ADDRESS(INDEX($X$2:$X$1001,MATCH(ROWS($V$2:V75),$V$2:$V$1001,0),0), INDEX($AC$1004:$AS$1004,1,MATCH(COLUMNS($AC$1006:AC1006),$AC$1006:$AS$1006,0)))),"Fix")))</f>
        <v xml:space="preserve"> </v>
      </c>
      <c r="C75" s="4" t="str">
        <f ca="1">IF(OR(INDEX($W$2:$W$1001,MATCH(ROWS($V$2:V75),$V$2:$V$1001,0),1)&gt;=100000,INDEX($AC$1005:$AS$1005,1,MATCH(COLUMNS($AC$1006:AD1006),$AC$1006:$AS$1006,0))&gt;=100000), " ",IF(INDEX($AC$2:$AS$1001,MATCH(ROWS($V$2:V75),$V$2:$V$1001,0),MATCH(COLUMNS($AC$1006:AD1006),$AC$1006:$AS$1006,0)), HYPERLINK("#",""), HYPERLINK(CONCATENATE("#metadata!", ADDRESS(INDEX($X$2:$X$1001,MATCH(ROWS($V$2:V75),$V$2:$V$1001,0),0), INDEX($AC$1004:$AS$1004,1,MATCH(COLUMNS($AC$1006:AD1006),$AC$1006:$AS$1006,0)))),"Fix")))</f>
        <v xml:space="preserve"> </v>
      </c>
      <c r="D75" s="4" t="str">
        <f ca="1">IF(OR(INDEX($W$2:$W$1001,MATCH(ROWS($V$2:V75),$V$2:$V$1001,0),1)&gt;=100000,INDEX($AC$1005:$AS$1005,1,MATCH(COLUMNS($AC$1006:AE1006),$AC$1006:$AS$1006,0))&gt;=100000), " ",IF(INDEX($AC$2:$AS$1001,MATCH(ROWS($V$2:V75),$V$2:$V$1001,0),MATCH(COLUMNS($AC$1006:AE1006),$AC$1006:$AS$1006,0)), HYPERLINK("#",""), HYPERLINK(CONCATENATE("#metadata!", ADDRESS(INDEX($X$2:$X$1001,MATCH(ROWS($V$2:V75),$V$2:$V$1001,0),0), INDEX($AC$1004:$AS$1004,1,MATCH(COLUMNS($AC$1006:AE1006),$AC$1006:$AS$1006,0)))),"Fix")))</f>
        <v xml:space="preserve"> </v>
      </c>
      <c r="E75" s="4" t="str">
        <f ca="1">IF(OR(INDEX($W$2:$W$1001,MATCH(ROWS($V$2:V75),$V$2:$V$1001,0),1)&gt;=100000,INDEX($AC$1005:$AS$1005,1,MATCH(COLUMNS($AC$1006:AF1006),$AC$1006:$AS$1006,0))&gt;=100000), " ",IF(INDEX($AC$2:$AS$1001,MATCH(ROWS($V$2:V75),$V$2:$V$1001,0),MATCH(COLUMNS($AC$1006:AF1006),$AC$1006:$AS$1006,0)), HYPERLINK("#",""), HYPERLINK(CONCATENATE("#metadata!", ADDRESS(INDEX($X$2:$X$1001,MATCH(ROWS($V$2:V75),$V$2:$V$1001,0),0), INDEX($AC$1004:$AS$1004,1,MATCH(COLUMNS($AC$1006:AF1006),$AC$1006:$AS$1006,0)))),"Fix")))</f>
        <v xml:space="preserve"> </v>
      </c>
      <c r="F75" s="4" t="str">
        <f ca="1">IF(OR(INDEX($W$2:$W$1001,MATCH(ROWS($V$2:V75),$V$2:$V$1001,0),1)&gt;=100000,INDEX($AC$1005:$AS$1005,1,MATCH(COLUMNS($AC$1006:AG1006),$AC$1006:$AS$1006,0))&gt;=100000), " ",IF(INDEX($AC$2:$AS$1001,MATCH(ROWS($V$2:V75),$V$2:$V$1001,0),MATCH(COLUMNS($AC$1006:AG1006),$AC$1006:$AS$1006,0)), HYPERLINK("#",""), HYPERLINK(CONCATENATE("#metadata!", ADDRESS(INDEX($X$2:$X$1001,MATCH(ROWS($V$2:V75),$V$2:$V$1001,0),0), INDEX($AC$1004:$AS$1004,1,MATCH(COLUMNS($AC$1006:AG1006),$AC$1006:$AS$1006,0)))),"Fix")))</f>
        <v xml:space="preserve"> </v>
      </c>
      <c r="G75" s="4" t="str">
        <f ca="1">IF(OR(INDEX($W$2:$W$1001,MATCH(ROWS($V$2:V75),$V$2:$V$1001,0),1)&gt;=100000,INDEX($AC$1005:$AS$1005,1,MATCH(COLUMNS($AC$1006:AH1006),$AC$1006:$AS$1006,0))&gt;=100000), " ",IF(INDEX($AC$2:$AS$1001,MATCH(ROWS($V$2:V75),$V$2:$V$1001,0),MATCH(COLUMNS($AC$1006:AH1006),$AC$1006:$AS$1006,0)), HYPERLINK("#",""), HYPERLINK(CONCATENATE("#metadata!", ADDRESS(INDEX($X$2:$X$1001,MATCH(ROWS($V$2:V75),$V$2:$V$1001,0),0), INDEX($AC$1004:$AS$1004,1,MATCH(COLUMNS($AC$1006:AH1006),$AC$1006:$AS$1006,0)))),"Fix")))</f>
        <v xml:space="preserve"> </v>
      </c>
      <c r="H75" s="4" t="str">
        <f ca="1">IF(OR(INDEX($W$2:$W$1001,MATCH(ROWS($V$2:V75),$V$2:$V$1001,0),1)&gt;=100000,INDEX($AC$1005:$AS$1005,1,MATCH(COLUMNS($AC$1006:AI1006),$AC$1006:$AS$1006,0))&gt;=100000), " ",IF(INDEX($AC$2:$AS$1001,MATCH(ROWS($V$2:V75),$V$2:$V$1001,0),MATCH(COLUMNS($AC$1006:AI1006),$AC$1006:$AS$1006,0)), HYPERLINK("#",""), HYPERLINK(CONCATENATE("#metadata!", ADDRESS(INDEX($X$2:$X$1001,MATCH(ROWS($V$2:V75),$V$2:$V$1001,0),0), INDEX($AC$1004:$AS$1004,1,MATCH(COLUMNS($AC$1006:AI1006),$AC$1006:$AS$1006,0)))),"Fix")))</f>
        <v xml:space="preserve"> </v>
      </c>
      <c r="I75" s="4" t="str">
        <f ca="1">IF(OR(INDEX($W$2:$W$1001,MATCH(ROWS($V$2:V75),$V$2:$V$1001,0),1)&gt;=100000,INDEX($AC$1005:$AS$1005,1,MATCH(COLUMNS($AC$1006:AJ1006),$AC$1006:$AS$1006,0))&gt;=100000), " ",IF(INDEX($AC$2:$AS$1001,MATCH(ROWS($V$2:V75),$V$2:$V$1001,0),MATCH(COLUMNS($AC$1006:AJ1006),$AC$1006:$AS$1006,0)), HYPERLINK("#",""), HYPERLINK(CONCATENATE("#metadata!", ADDRESS(INDEX($X$2:$X$1001,MATCH(ROWS($V$2:V75),$V$2:$V$1001,0),0), INDEX($AC$1004:$AS$1004,1,MATCH(COLUMNS($AC$1006:AJ1006),$AC$1006:$AS$1006,0)))),"Fix")))</f>
        <v xml:space="preserve"> </v>
      </c>
      <c r="J75" s="4" t="str">
        <f ca="1">IF(OR(INDEX($W$2:$W$1001,MATCH(ROWS($V$2:V75),$V$2:$V$1001,0),1)&gt;=100000,INDEX($AC$1005:$AS$1005,1,MATCH(COLUMNS($AC$1006:AK1006),$AC$1006:$AS$1006,0))&gt;=100000), " ",IF(INDEX($AC$2:$AS$1001,MATCH(ROWS($V$2:V75),$V$2:$V$1001,0),MATCH(COLUMNS($AC$1006:AK1006),$AC$1006:$AS$1006,0)), HYPERLINK("#",""), HYPERLINK(CONCATENATE("#metadata!", ADDRESS(INDEX($X$2:$X$1001,MATCH(ROWS($V$2:V75),$V$2:$V$1001,0),0), INDEX($AC$1004:$AS$1004,1,MATCH(COLUMNS($AC$1006:AK1006),$AC$1006:$AS$1006,0)))),"Fix")))</f>
        <v xml:space="preserve"> </v>
      </c>
      <c r="K75" s="4" t="str">
        <f ca="1">IF(OR(INDEX($W$2:$W$1001,MATCH(ROWS($V$2:V75),$V$2:$V$1001,0),1)&gt;=100000,INDEX($AC$1005:$AS$1005,1,MATCH(COLUMNS($AC$1006:AL1006),$AC$1006:$AS$1006,0))&gt;=100000), " ",IF(INDEX($AC$2:$AS$1001,MATCH(ROWS($V$2:V75),$V$2:$V$1001,0),MATCH(COLUMNS($AC$1006:AL1006),$AC$1006:$AS$1006,0)), HYPERLINK("#",""), HYPERLINK(CONCATENATE("#metadata!", ADDRESS(INDEX($X$2:$X$1001,MATCH(ROWS($V$2:V75),$V$2:$V$1001,0),0), INDEX($AC$1004:$AS$1004,1,MATCH(COLUMNS($AC$1006:AL1006),$AC$1006:$AS$1006,0)))),"Fix")))</f>
        <v xml:space="preserve"> </v>
      </c>
      <c r="L75" s="4" t="str">
        <f ca="1">IF(OR(INDEX($W$2:$W$1001,MATCH(ROWS($V$2:V75),$V$2:$V$1001,0),1)&gt;=100000,INDEX($AC$1005:$AS$1005,1,MATCH(COLUMNS($AC$1006:AM1006),$AC$1006:$AS$1006,0))&gt;=100000), " ",IF(INDEX($AC$2:$AS$1001,MATCH(ROWS($V$2:V75),$V$2:$V$1001,0),MATCH(COLUMNS($AC$1006:AM1006),$AC$1006:$AS$1006,0)), HYPERLINK("#",""), HYPERLINK(CONCATENATE("#metadata!", ADDRESS(INDEX($X$2:$X$1001,MATCH(ROWS($V$2:V75),$V$2:$V$1001,0),0), INDEX($AC$1004:$AS$1004,1,MATCH(COLUMNS($AC$1006:AM1006),$AC$1006:$AS$1006,0)))),"Fix")))</f>
        <v xml:space="preserve"> </v>
      </c>
      <c r="M75" s="4" t="str">
        <f ca="1">IF(OR(INDEX($W$2:$W$1001,MATCH(ROWS($V$2:V75),$V$2:$V$1001,0),1)&gt;=100000,INDEX($AC$1005:$AS$1005,1,MATCH(COLUMNS($AC$1006:AN1006),$AC$1006:$AS$1006,0))&gt;=100000), " ",IF(INDEX($AC$2:$AS$1001,MATCH(ROWS($V$2:V75),$V$2:$V$1001,0),MATCH(COLUMNS($AC$1006:AN1006),$AC$1006:$AS$1006,0)), HYPERLINK("#",""), HYPERLINK(CONCATENATE("#metadata!", ADDRESS(INDEX($X$2:$X$1001,MATCH(ROWS($V$2:V75),$V$2:$V$1001,0),0), INDEX($AC$1004:$AS$1004,1,MATCH(COLUMNS($AC$1006:AN1006),$AC$1006:$AS$1006,0)))),"Fix")))</f>
        <v xml:space="preserve"> </v>
      </c>
      <c r="N75" s="4" t="str">
        <f ca="1">IF(OR(INDEX($W$2:$W$1001,MATCH(ROWS($V$2:V75),$V$2:$V$1001,0),1)&gt;=100000,INDEX($AC$1005:$AS$1005,1,MATCH(COLUMNS($AC$1006:AO1006),$AC$1006:$AS$1006,0))&gt;=100000), " ",IF(INDEX($AC$2:$AS$1001,MATCH(ROWS($V$2:V75),$V$2:$V$1001,0),MATCH(COLUMNS($AC$1006:AO1006),$AC$1006:$AS$1006,0)), HYPERLINK("#",""), HYPERLINK(CONCATENATE("#metadata!", ADDRESS(INDEX($X$2:$X$1001,MATCH(ROWS($V$2:V75),$V$2:$V$1001,0),0), INDEX($AC$1004:$AS$1004,1,MATCH(COLUMNS($AC$1006:AO1006),$AC$1006:$AS$1006,0)))),"Fix")))</f>
        <v xml:space="preserve"> </v>
      </c>
      <c r="O75" s="4" t="str">
        <f ca="1">IF(OR(INDEX($W$2:$W$1001,MATCH(ROWS($V$2:V75),$V$2:$V$1001,0),1)&gt;=100000,INDEX($AC$1005:$AS$1005,1,MATCH(COLUMNS($AC$1006:AP1006),$AC$1006:$AS$1006,0))&gt;=100000), " ",IF(INDEX($AC$2:$AS$1001,MATCH(ROWS($V$2:V75),$V$2:$V$1001,0),MATCH(COLUMNS($AC$1006:AP1006),$AC$1006:$AS$1006,0)), HYPERLINK("#",""), HYPERLINK(CONCATENATE("#metadata!", ADDRESS(INDEX($X$2:$X$1001,MATCH(ROWS($V$2:V75),$V$2:$V$1001,0),0), INDEX($AC$1004:$AS$1004,1,MATCH(COLUMNS($AC$1006:AP1006),$AC$1006:$AS$1006,0)))),"Fix")))</f>
        <v xml:space="preserve"> </v>
      </c>
      <c r="P75" s="4" t="str">
        <f ca="1">IF(OR(INDEX($W$2:$W$1001,MATCH(ROWS($V$2:V75),$V$2:$V$1001,0),1)&gt;=100000,INDEX($AC$1005:$AS$1005,1,MATCH(COLUMNS($AC$1006:AQ1006),$AC$1006:$AS$1006,0))&gt;=100000), " ",IF(INDEX($AC$2:$AS$1001,MATCH(ROWS($V$2:V75),$V$2:$V$1001,0),MATCH(COLUMNS($AC$1006:AQ1006),$AC$1006:$AS$1006,0)), HYPERLINK("#",""), HYPERLINK(CONCATENATE("#metadata!", ADDRESS(INDEX($X$2:$X$1001,MATCH(ROWS($V$2:V75),$V$2:$V$1001,0),0), INDEX($AC$1004:$AS$1004,1,MATCH(COLUMNS($AC$1006:AQ1006),$AC$1006:$AS$1006,0)))),"Fix")))</f>
        <v xml:space="preserve"> </v>
      </c>
      <c r="Q75" s="4" t="str">
        <f ca="1">IF(OR(INDEX($W$2:$W$1001,MATCH(ROWS($V$2:V75),$V$2:$V$1001,0),1)&gt;=100000,INDEX($AC$1005:$AS$1005,1,MATCH(COLUMNS($AC$1006:AR1006),$AC$1006:$AS$1006,0))&gt;=100000), " ",IF(INDEX($AC$2:$AS$1001,MATCH(ROWS($V$2:V75),$V$2:$V$1001,0),MATCH(COLUMNS($AC$1006:AR1006),$AC$1006:$AS$1006,0)), HYPERLINK("#",""), HYPERLINK(CONCATENATE("#metadata!", ADDRESS(INDEX($X$2:$X$1001,MATCH(ROWS($V$2:V75),$V$2:$V$1001,0),0), INDEX($AC$1004:$AS$1004,1,MATCH(COLUMNS($AC$1006:AR1006),$AC$1006:$AS$1006,0)))),"Fix")))</f>
        <v xml:space="preserve"> </v>
      </c>
      <c r="R75" s="4" t="str">
        <f ca="1">IF(OR(INDEX($W$2:$W$1001,MATCH(ROWS($V$2:V75),$V$2:$V$1001,0),1)&gt;=100000,INDEX($AC$1005:$AS$1005,1,MATCH(COLUMNS($AC$1006:AS1006),$AC$1006:$AS$1006,0))&gt;=100000), " ",IF(INDEX($AC$2:$AS$1001,MATCH(ROWS($V$2:V75),$V$2:$V$1001,0),MATCH(COLUMNS($AC$1006:AS1006),$AC$1006:$AS$1006,0)), HYPERLINK("#",""), HYPERLINK(CONCATENATE("#metadata!", ADDRESS(INDEX($X$2:$X$1001,MATCH(ROWS($V$2:V75),$V$2:$V$1001,0),0), INDEX($AC$1004:$AS$1004,1,MATCH(COLUMNS($AC$1006:AS1006),$AC$1006:$AS$1006,0)))),"Fix")))</f>
        <v xml:space="preserve"> </v>
      </c>
      <c r="V75">
        <v>74</v>
      </c>
      <c r="W75">
        <v>100075</v>
      </c>
      <c r="X75">
        <v>75</v>
      </c>
      <c r="Y75" t="b">
        <f t="shared" si="1"/>
        <v>1</v>
      </c>
      <c r="Z75" t="b">
        <f>COUNTBLANK(metadata!B75:R75)=COLUMNS(metadata!B75:R75)</f>
        <v>1</v>
      </c>
      <c r="AA75" t="str">
        <v/>
      </c>
      <c r="AC75" t="b">
        <f ca="1"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AD75" t="b">
        <f>IF(metadata!C75="",FALSE,ISNUMBER(VALUE(metadata!C75)))</f>
        <v>0</v>
      </c>
      <c r="AE75" t="b">
        <f>AND(IF(metadata!D75="",FALSE,TRUE),EXACT(metadata!D75,"years"))</f>
        <v>0</v>
      </c>
      <c r="AF75" t="b">
        <f>OR(AND(IF(metadata!E75="",FALSE,TRUE),OR(EXACT(metadata!E75,"not applicable"),EXACT(metadata!E75,"missing: not collected"),EXACT(metadata!E75,"missing: not provided"),EXACT(metadata!E75,"missing: restricted access"))),AND(IF(metadata!E75="",FALSE,ISNUMBER(VALUE(metadata!E75))),metadata!E75&gt;0))</f>
        <v>0</v>
      </c>
      <c r="AG75" t="b">
        <f>AND(IF(metadata!F75="",FALSE,TRUE),EXACT(metadata!F75,"Not applicable"))</f>
        <v>0</v>
      </c>
      <c r="AH75" t="b">
        <f>AND(IF(metadata!G75="",FALSE,TRUE),EXACT(metadata!G75,"urban biome"))</f>
        <v>0</v>
      </c>
      <c r="AI75" t="b">
        <f>AND(IF(metadata!H75="",FALSE,TRUE),EXACT(metadata!H75,"human-associated habitat"))</f>
        <v>0</v>
      </c>
      <c r="AJ75" t="b">
        <f>AND(IF(metadata!I75="",FALSE,TRUE),OR(EXACT(metadata!I75,"human-associated"),EXACT(metadata!I75,"human-skin"),EXACT(metadata!I75,"human-oral"),EXACT(metadata!I75,"human-gut"),EXACT(metadata!I75,"human-vaginal")))</f>
        <v>0</v>
      </c>
      <c r="AK75" t="b">
        <f>IF(metadata!J75="",FALSE,ISNUMBER(VALUE(metadata!J75)))</f>
        <v>0</v>
      </c>
      <c r="AL75" t="b">
        <f>AND(IF(metadata!K75="",FALSE,TRUE),EXACT(metadata!K75,"cm"))</f>
        <v>0</v>
      </c>
      <c r="AM75" t="b">
        <f>AND(IF(metadata!L75="",FALSE,TRUE),EXACT(metadata!L75,"human"))</f>
        <v>0</v>
      </c>
      <c r="AN75" t="b">
        <f>AND(IF(metadata!M75="",FALSE,TRUE),EXACT(metadata!M75,"Homo sapiens"))</f>
        <v>0</v>
      </c>
      <c r="AO75" t="b">
        <f>AND(IF(metadata!N75="",FALSE,TRUE),EXACT(metadata!N75,"9606"))</f>
        <v>0</v>
      </c>
      <c r="AP75" t="b">
        <f>IF(metadata!O75="",FALSE,TRUE)</f>
        <v>0</v>
      </c>
      <c r="AQ75" t="b">
        <f>IF(metadata!P75="",FALSE,TRUE)</f>
        <v>0</v>
      </c>
      <c r="AR75" t="b">
        <f>IF(metadata!Q75="",FALSE,ISNUMBER(VALUE(metadata!Q75)))</f>
        <v>0</v>
      </c>
      <c r="AS75" t="b">
        <f>AND(IF(metadata!R75="",FALSE,TRUE),EXACT(metadata!R75,"kg"))</f>
        <v>0</v>
      </c>
    </row>
    <row r="76" spans="1:45" x14ac:dyDescent="0.2">
      <c r="A76" s="5" t="str">
        <f ca="1">IF(B76=" "," ",HYPERLINK(CONCATENATE("#metadata!",ADDRESS(INDEX($X$2:$X$1001,MATCH(ROWS($V$2:V76),$V$2:$V$1001,0),0),1)),INDEX($AA$2:$AA$1001,MATCH(ROWS($V$2:V76),$V$2:$V$1001,0),0)))</f>
        <v xml:space="preserve"> </v>
      </c>
      <c r="B76" s="4" t="str">
        <f ca="1">IF(OR(INDEX($W$2:$W$1001,MATCH(ROWS($V$2:V76),$V$2:$V$1001,0),1)&gt;=100000,INDEX($AC$1005:$AS$1005,1,MATCH(COLUMNS($AC$1006:AC1006),$AC$1006:$AS$1006,0))&gt;=100000), " ",IF(INDEX($AC$2:$AS$1001,MATCH(ROWS($V$2:V76),$V$2:$V$1001,0),MATCH(COLUMNS($AC$1006:AC1006),$AC$1006:$AS$1006,0)), HYPERLINK("#",""), HYPERLINK(CONCATENATE("#metadata!", ADDRESS(INDEX($X$2:$X$1001,MATCH(ROWS($V$2:V76),$V$2:$V$1001,0),0), INDEX($AC$1004:$AS$1004,1,MATCH(COLUMNS($AC$1006:AC1006),$AC$1006:$AS$1006,0)))),"Fix")))</f>
        <v xml:space="preserve"> </v>
      </c>
      <c r="C76" s="4" t="str">
        <f ca="1">IF(OR(INDEX($W$2:$W$1001,MATCH(ROWS($V$2:V76),$V$2:$V$1001,0),1)&gt;=100000,INDEX($AC$1005:$AS$1005,1,MATCH(COLUMNS($AC$1006:AD1006),$AC$1006:$AS$1006,0))&gt;=100000), " ",IF(INDEX($AC$2:$AS$1001,MATCH(ROWS($V$2:V76),$V$2:$V$1001,0),MATCH(COLUMNS($AC$1006:AD1006),$AC$1006:$AS$1006,0)), HYPERLINK("#",""), HYPERLINK(CONCATENATE("#metadata!", ADDRESS(INDEX($X$2:$X$1001,MATCH(ROWS($V$2:V76),$V$2:$V$1001,0),0), INDEX($AC$1004:$AS$1004,1,MATCH(COLUMNS($AC$1006:AD1006),$AC$1006:$AS$1006,0)))),"Fix")))</f>
        <v xml:space="preserve"> </v>
      </c>
      <c r="D76" s="4" t="str">
        <f ca="1">IF(OR(INDEX($W$2:$W$1001,MATCH(ROWS($V$2:V76),$V$2:$V$1001,0),1)&gt;=100000,INDEX($AC$1005:$AS$1005,1,MATCH(COLUMNS($AC$1006:AE1006),$AC$1006:$AS$1006,0))&gt;=100000), " ",IF(INDEX($AC$2:$AS$1001,MATCH(ROWS($V$2:V76),$V$2:$V$1001,0),MATCH(COLUMNS($AC$1006:AE1006),$AC$1006:$AS$1006,0)), HYPERLINK("#",""), HYPERLINK(CONCATENATE("#metadata!", ADDRESS(INDEX($X$2:$X$1001,MATCH(ROWS($V$2:V76),$V$2:$V$1001,0),0), INDEX($AC$1004:$AS$1004,1,MATCH(COLUMNS($AC$1006:AE1006),$AC$1006:$AS$1006,0)))),"Fix")))</f>
        <v xml:space="preserve"> </v>
      </c>
      <c r="E76" s="4" t="str">
        <f ca="1">IF(OR(INDEX($W$2:$W$1001,MATCH(ROWS($V$2:V76),$V$2:$V$1001,0),1)&gt;=100000,INDEX($AC$1005:$AS$1005,1,MATCH(COLUMNS($AC$1006:AF1006),$AC$1006:$AS$1006,0))&gt;=100000), " ",IF(INDEX($AC$2:$AS$1001,MATCH(ROWS($V$2:V76),$V$2:$V$1001,0),MATCH(COLUMNS($AC$1006:AF1006),$AC$1006:$AS$1006,0)), HYPERLINK("#",""), HYPERLINK(CONCATENATE("#metadata!", ADDRESS(INDEX($X$2:$X$1001,MATCH(ROWS($V$2:V76),$V$2:$V$1001,0),0), INDEX($AC$1004:$AS$1004,1,MATCH(COLUMNS($AC$1006:AF1006),$AC$1006:$AS$1006,0)))),"Fix")))</f>
        <v xml:space="preserve"> </v>
      </c>
      <c r="F76" s="4" t="str">
        <f ca="1">IF(OR(INDEX($W$2:$W$1001,MATCH(ROWS($V$2:V76),$V$2:$V$1001,0),1)&gt;=100000,INDEX($AC$1005:$AS$1005,1,MATCH(COLUMNS($AC$1006:AG1006),$AC$1006:$AS$1006,0))&gt;=100000), " ",IF(INDEX($AC$2:$AS$1001,MATCH(ROWS($V$2:V76),$V$2:$V$1001,0),MATCH(COLUMNS($AC$1006:AG1006),$AC$1006:$AS$1006,0)), HYPERLINK("#",""), HYPERLINK(CONCATENATE("#metadata!", ADDRESS(INDEX($X$2:$X$1001,MATCH(ROWS($V$2:V76),$V$2:$V$1001,0),0), INDEX($AC$1004:$AS$1004,1,MATCH(COLUMNS($AC$1006:AG1006),$AC$1006:$AS$1006,0)))),"Fix")))</f>
        <v xml:space="preserve"> </v>
      </c>
      <c r="G76" s="4" t="str">
        <f ca="1">IF(OR(INDEX($W$2:$W$1001,MATCH(ROWS($V$2:V76),$V$2:$V$1001,0),1)&gt;=100000,INDEX($AC$1005:$AS$1005,1,MATCH(COLUMNS($AC$1006:AH1006),$AC$1006:$AS$1006,0))&gt;=100000), " ",IF(INDEX($AC$2:$AS$1001,MATCH(ROWS($V$2:V76),$V$2:$V$1001,0),MATCH(COLUMNS($AC$1006:AH1006),$AC$1006:$AS$1006,0)), HYPERLINK("#",""), HYPERLINK(CONCATENATE("#metadata!", ADDRESS(INDEX($X$2:$X$1001,MATCH(ROWS($V$2:V76),$V$2:$V$1001,0),0), INDEX($AC$1004:$AS$1004,1,MATCH(COLUMNS($AC$1006:AH1006),$AC$1006:$AS$1006,0)))),"Fix")))</f>
        <v xml:space="preserve"> </v>
      </c>
      <c r="H76" s="4" t="str">
        <f ca="1">IF(OR(INDEX($W$2:$W$1001,MATCH(ROWS($V$2:V76),$V$2:$V$1001,0),1)&gt;=100000,INDEX($AC$1005:$AS$1005,1,MATCH(COLUMNS($AC$1006:AI1006),$AC$1006:$AS$1006,0))&gt;=100000), " ",IF(INDEX($AC$2:$AS$1001,MATCH(ROWS($V$2:V76),$V$2:$V$1001,0),MATCH(COLUMNS($AC$1006:AI1006),$AC$1006:$AS$1006,0)), HYPERLINK("#",""), HYPERLINK(CONCATENATE("#metadata!", ADDRESS(INDEX($X$2:$X$1001,MATCH(ROWS($V$2:V76),$V$2:$V$1001,0),0), INDEX($AC$1004:$AS$1004,1,MATCH(COLUMNS($AC$1006:AI1006),$AC$1006:$AS$1006,0)))),"Fix")))</f>
        <v xml:space="preserve"> </v>
      </c>
      <c r="I76" s="4" t="str">
        <f ca="1">IF(OR(INDEX($W$2:$W$1001,MATCH(ROWS($V$2:V76),$V$2:$V$1001,0),1)&gt;=100000,INDEX($AC$1005:$AS$1005,1,MATCH(COLUMNS($AC$1006:AJ1006),$AC$1006:$AS$1006,0))&gt;=100000), " ",IF(INDEX($AC$2:$AS$1001,MATCH(ROWS($V$2:V76),$V$2:$V$1001,0),MATCH(COLUMNS($AC$1006:AJ1006),$AC$1006:$AS$1006,0)), HYPERLINK("#",""), HYPERLINK(CONCATENATE("#metadata!", ADDRESS(INDEX($X$2:$X$1001,MATCH(ROWS($V$2:V76),$V$2:$V$1001,0),0), INDEX($AC$1004:$AS$1004,1,MATCH(COLUMNS($AC$1006:AJ1006),$AC$1006:$AS$1006,0)))),"Fix")))</f>
        <v xml:space="preserve"> </v>
      </c>
      <c r="J76" s="4" t="str">
        <f ca="1">IF(OR(INDEX($W$2:$W$1001,MATCH(ROWS($V$2:V76),$V$2:$V$1001,0),1)&gt;=100000,INDEX($AC$1005:$AS$1005,1,MATCH(COLUMNS($AC$1006:AK1006),$AC$1006:$AS$1006,0))&gt;=100000), " ",IF(INDEX($AC$2:$AS$1001,MATCH(ROWS($V$2:V76),$V$2:$V$1001,0),MATCH(COLUMNS($AC$1006:AK1006),$AC$1006:$AS$1006,0)), HYPERLINK("#",""), HYPERLINK(CONCATENATE("#metadata!", ADDRESS(INDEX($X$2:$X$1001,MATCH(ROWS($V$2:V76),$V$2:$V$1001,0),0), INDEX($AC$1004:$AS$1004,1,MATCH(COLUMNS($AC$1006:AK1006),$AC$1006:$AS$1006,0)))),"Fix")))</f>
        <v xml:space="preserve"> </v>
      </c>
      <c r="K76" s="4" t="str">
        <f ca="1">IF(OR(INDEX($W$2:$W$1001,MATCH(ROWS($V$2:V76),$V$2:$V$1001,0),1)&gt;=100000,INDEX($AC$1005:$AS$1005,1,MATCH(COLUMNS($AC$1006:AL1006),$AC$1006:$AS$1006,0))&gt;=100000), " ",IF(INDEX($AC$2:$AS$1001,MATCH(ROWS($V$2:V76),$V$2:$V$1001,0),MATCH(COLUMNS($AC$1006:AL1006),$AC$1006:$AS$1006,0)), HYPERLINK("#",""), HYPERLINK(CONCATENATE("#metadata!", ADDRESS(INDEX($X$2:$X$1001,MATCH(ROWS($V$2:V76),$V$2:$V$1001,0),0), INDEX($AC$1004:$AS$1004,1,MATCH(COLUMNS($AC$1006:AL1006),$AC$1006:$AS$1006,0)))),"Fix")))</f>
        <v xml:space="preserve"> </v>
      </c>
      <c r="L76" s="4" t="str">
        <f ca="1">IF(OR(INDEX($W$2:$W$1001,MATCH(ROWS($V$2:V76),$V$2:$V$1001,0),1)&gt;=100000,INDEX($AC$1005:$AS$1005,1,MATCH(COLUMNS($AC$1006:AM1006),$AC$1006:$AS$1006,0))&gt;=100000), " ",IF(INDEX($AC$2:$AS$1001,MATCH(ROWS($V$2:V76),$V$2:$V$1001,0),MATCH(COLUMNS($AC$1006:AM1006),$AC$1006:$AS$1006,0)), HYPERLINK("#",""), HYPERLINK(CONCATENATE("#metadata!", ADDRESS(INDEX($X$2:$X$1001,MATCH(ROWS($V$2:V76),$V$2:$V$1001,0),0), INDEX($AC$1004:$AS$1004,1,MATCH(COLUMNS($AC$1006:AM1006),$AC$1006:$AS$1006,0)))),"Fix")))</f>
        <v xml:space="preserve"> </v>
      </c>
      <c r="M76" s="4" t="str">
        <f ca="1">IF(OR(INDEX($W$2:$W$1001,MATCH(ROWS($V$2:V76),$V$2:$V$1001,0),1)&gt;=100000,INDEX($AC$1005:$AS$1005,1,MATCH(COLUMNS($AC$1006:AN1006),$AC$1006:$AS$1006,0))&gt;=100000), " ",IF(INDEX($AC$2:$AS$1001,MATCH(ROWS($V$2:V76),$V$2:$V$1001,0),MATCH(COLUMNS($AC$1006:AN1006),$AC$1006:$AS$1006,0)), HYPERLINK("#",""), HYPERLINK(CONCATENATE("#metadata!", ADDRESS(INDEX($X$2:$X$1001,MATCH(ROWS($V$2:V76),$V$2:$V$1001,0),0), INDEX($AC$1004:$AS$1004,1,MATCH(COLUMNS($AC$1006:AN1006),$AC$1006:$AS$1006,0)))),"Fix")))</f>
        <v xml:space="preserve"> </v>
      </c>
      <c r="N76" s="4" t="str">
        <f ca="1">IF(OR(INDEX($W$2:$W$1001,MATCH(ROWS($V$2:V76),$V$2:$V$1001,0),1)&gt;=100000,INDEX($AC$1005:$AS$1005,1,MATCH(COLUMNS($AC$1006:AO1006),$AC$1006:$AS$1006,0))&gt;=100000), " ",IF(INDEX($AC$2:$AS$1001,MATCH(ROWS($V$2:V76),$V$2:$V$1001,0),MATCH(COLUMNS($AC$1006:AO1006),$AC$1006:$AS$1006,0)), HYPERLINK("#",""), HYPERLINK(CONCATENATE("#metadata!", ADDRESS(INDEX($X$2:$X$1001,MATCH(ROWS($V$2:V76),$V$2:$V$1001,0),0), INDEX($AC$1004:$AS$1004,1,MATCH(COLUMNS($AC$1006:AO1006),$AC$1006:$AS$1006,0)))),"Fix")))</f>
        <v xml:space="preserve"> </v>
      </c>
      <c r="O76" s="4" t="str">
        <f ca="1">IF(OR(INDEX($W$2:$W$1001,MATCH(ROWS($V$2:V76),$V$2:$V$1001,0),1)&gt;=100000,INDEX($AC$1005:$AS$1005,1,MATCH(COLUMNS($AC$1006:AP1006),$AC$1006:$AS$1006,0))&gt;=100000), " ",IF(INDEX($AC$2:$AS$1001,MATCH(ROWS($V$2:V76),$V$2:$V$1001,0),MATCH(COLUMNS($AC$1006:AP1006),$AC$1006:$AS$1006,0)), HYPERLINK("#",""), HYPERLINK(CONCATENATE("#metadata!", ADDRESS(INDEX($X$2:$X$1001,MATCH(ROWS($V$2:V76),$V$2:$V$1001,0),0), INDEX($AC$1004:$AS$1004,1,MATCH(COLUMNS($AC$1006:AP1006),$AC$1006:$AS$1006,0)))),"Fix")))</f>
        <v xml:space="preserve"> </v>
      </c>
      <c r="P76" s="4" t="str">
        <f ca="1">IF(OR(INDEX($W$2:$W$1001,MATCH(ROWS($V$2:V76),$V$2:$V$1001,0),1)&gt;=100000,INDEX($AC$1005:$AS$1005,1,MATCH(COLUMNS($AC$1006:AQ1006),$AC$1006:$AS$1006,0))&gt;=100000), " ",IF(INDEX($AC$2:$AS$1001,MATCH(ROWS($V$2:V76),$V$2:$V$1001,0),MATCH(COLUMNS($AC$1006:AQ1006),$AC$1006:$AS$1006,0)), HYPERLINK("#",""), HYPERLINK(CONCATENATE("#metadata!", ADDRESS(INDEX($X$2:$X$1001,MATCH(ROWS($V$2:V76),$V$2:$V$1001,0),0), INDEX($AC$1004:$AS$1004,1,MATCH(COLUMNS($AC$1006:AQ1006),$AC$1006:$AS$1006,0)))),"Fix")))</f>
        <v xml:space="preserve"> </v>
      </c>
      <c r="Q76" s="4" t="str">
        <f ca="1">IF(OR(INDEX($W$2:$W$1001,MATCH(ROWS($V$2:V76),$V$2:$V$1001,0),1)&gt;=100000,INDEX($AC$1005:$AS$1005,1,MATCH(COLUMNS($AC$1006:AR1006),$AC$1006:$AS$1006,0))&gt;=100000), " ",IF(INDEX($AC$2:$AS$1001,MATCH(ROWS($V$2:V76),$V$2:$V$1001,0),MATCH(COLUMNS($AC$1006:AR1006),$AC$1006:$AS$1006,0)), HYPERLINK("#",""), HYPERLINK(CONCATENATE("#metadata!", ADDRESS(INDEX($X$2:$X$1001,MATCH(ROWS($V$2:V76),$V$2:$V$1001,0),0), INDEX($AC$1004:$AS$1004,1,MATCH(COLUMNS($AC$1006:AR1006),$AC$1006:$AS$1006,0)))),"Fix")))</f>
        <v xml:space="preserve"> </v>
      </c>
      <c r="R76" s="4" t="str">
        <f ca="1">IF(OR(INDEX($W$2:$W$1001,MATCH(ROWS($V$2:V76),$V$2:$V$1001,0),1)&gt;=100000,INDEX($AC$1005:$AS$1005,1,MATCH(COLUMNS($AC$1006:AS1006),$AC$1006:$AS$1006,0))&gt;=100000), " ",IF(INDEX($AC$2:$AS$1001,MATCH(ROWS($V$2:V76),$V$2:$V$1001,0),MATCH(COLUMNS($AC$1006:AS1006),$AC$1006:$AS$1006,0)), HYPERLINK("#",""), HYPERLINK(CONCATENATE("#metadata!", ADDRESS(INDEX($X$2:$X$1001,MATCH(ROWS($V$2:V76),$V$2:$V$1001,0),0), INDEX($AC$1004:$AS$1004,1,MATCH(COLUMNS($AC$1006:AS1006),$AC$1006:$AS$1006,0)))),"Fix")))</f>
        <v xml:space="preserve"> </v>
      </c>
      <c r="V76">
        <v>75</v>
      </c>
      <c r="W76">
        <v>100076</v>
      </c>
      <c r="X76">
        <v>76</v>
      </c>
      <c r="Y76" t="b">
        <f t="shared" si="1"/>
        <v>1</v>
      </c>
      <c r="Z76" t="b">
        <f>COUNTBLANK(metadata!B76:R76)=COLUMNS(metadata!B76:R76)</f>
        <v>1</v>
      </c>
      <c r="AA76" t="str">
        <v/>
      </c>
      <c r="AC76" t="b">
        <f ca="1"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AD76" t="b">
        <f>IF(metadata!C76="",FALSE,ISNUMBER(VALUE(metadata!C76)))</f>
        <v>0</v>
      </c>
      <c r="AE76" t="b">
        <f>AND(IF(metadata!D76="",FALSE,TRUE),EXACT(metadata!D76,"years"))</f>
        <v>0</v>
      </c>
      <c r="AF76" t="b">
        <f>OR(AND(IF(metadata!E76="",FALSE,TRUE),OR(EXACT(metadata!E76,"not applicable"),EXACT(metadata!E76,"missing: not collected"),EXACT(metadata!E76,"missing: not provided"),EXACT(metadata!E76,"missing: restricted access"))),AND(IF(metadata!E76="",FALSE,ISNUMBER(VALUE(metadata!E76))),metadata!E76&gt;0))</f>
        <v>0</v>
      </c>
      <c r="AG76" t="b">
        <f>AND(IF(metadata!F76="",FALSE,TRUE),EXACT(metadata!F76,"Not applicable"))</f>
        <v>0</v>
      </c>
      <c r="AH76" t="b">
        <f>AND(IF(metadata!G76="",FALSE,TRUE),EXACT(metadata!G76,"urban biome"))</f>
        <v>0</v>
      </c>
      <c r="AI76" t="b">
        <f>AND(IF(metadata!H76="",FALSE,TRUE),EXACT(metadata!H76,"human-associated habitat"))</f>
        <v>0</v>
      </c>
      <c r="AJ76" t="b">
        <f>AND(IF(metadata!I76="",FALSE,TRUE),OR(EXACT(metadata!I76,"human-associated"),EXACT(metadata!I76,"human-skin"),EXACT(metadata!I76,"human-oral"),EXACT(metadata!I76,"human-gut"),EXACT(metadata!I76,"human-vaginal")))</f>
        <v>0</v>
      </c>
      <c r="AK76" t="b">
        <f>IF(metadata!J76="",FALSE,ISNUMBER(VALUE(metadata!J76)))</f>
        <v>0</v>
      </c>
      <c r="AL76" t="b">
        <f>AND(IF(metadata!K76="",FALSE,TRUE),EXACT(metadata!K76,"cm"))</f>
        <v>0</v>
      </c>
      <c r="AM76" t="b">
        <f>AND(IF(metadata!L76="",FALSE,TRUE),EXACT(metadata!L76,"human"))</f>
        <v>0</v>
      </c>
      <c r="AN76" t="b">
        <f>AND(IF(metadata!M76="",FALSE,TRUE),EXACT(metadata!M76,"Homo sapiens"))</f>
        <v>0</v>
      </c>
      <c r="AO76" t="b">
        <f>AND(IF(metadata!N76="",FALSE,TRUE),EXACT(metadata!N76,"9606"))</f>
        <v>0</v>
      </c>
      <c r="AP76" t="b">
        <f>IF(metadata!O76="",FALSE,TRUE)</f>
        <v>0</v>
      </c>
      <c r="AQ76" t="b">
        <f>IF(metadata!P76="",FALSE,TRUE)</f>
        <v>0</v>
      </c>
      <c r="AR76" t="b">
        <f>IF(metadata!Q76="",FALSE,ISNUMBER(VALUE(metadata!Q76)))</f>
        <v>0</v>
      </c>
      <c r="AS76" t="b">
        <f>AND(IF(metadata!R76="",FALSE,TRUE),EXACT(metadata!R76,"kg"))</f>
        <v>0</v>
      </c>
    </row>
    <row r="77" spans="1:45" x14ac:dyDescent="0.2">
      <c r="A77" s="5" t="str">
        <f ca="1">IF(B77=" "," ",HYPERLINK(CONCATENATE("#metadata!",ADDRESS(INDEX($X$2:$X$1001,MATCH(ROWS($V$2:V77),$V$2:$V$1001,0),0),1)),INDEX($AA$2:$AA$1001,MATCH(ROWS($V$2:V77),$V$2:$V$1001,0),0)))</f>
        <v xml:space="preserve"> </v>
      </c>
      <c r="B77" s="4" t="str">
        <f ca="1">IF(OR(INDEX($W$2:$W$1001,MATCH(ROWS($V$2:V77),$V$2:$V$1001,0),1)&gt;=100000,INDEX($AC$1005:$AS$1005,1,MATCH(COLUMNS($AC$1006:AC1006),$AC$1006:$AS$1006,0))&gt;=100000), " ",IF(INDEX($AC$2:$AS$1001,MATCH(ROWS($V$2:V77),$V$2:$V$1001,0),MATCH(COLUMNS($AC$1006:AC1006),$AC$1006:$AS$1006,0)), HYPERLINK("#",""), HYPERLINK(CONCATENATE("#metadata!", ADDRESS(INDEX($X$2:$X$1001,MATCH(ROWS($V$2:V77),$V$2:$V$1001,0),0), INDEX($AC$1004:$AS$1004,1,MATCH(COLUMNS($AC$1006:AC1006),$AC$1006:$AS$1006,0)))),"Fix")))</f>
        <v xml:space="preserve"> </v>
      </c>
      <c r="C77" s="4" t="str">
        <f ca="1">IF(OR(INDEX($W$2:$W$1001,MATCH(ROWS($V$2:V77),$V$2:$V$1001,0),1)&gt;=100000,INDEX($AC$1005:$AS$1005,1,MATCH(COLUMNS($AC$1006:AD1006),$AC$1006:$AS$1006,0))&gt;=100000), " ",IF(INDEX($AC$2:$AS$1001,MATCH(ROWS($V$2:V77),$V$2:$V$1001,0),MATCH(COLUMNS($AC$1006:AD1006),$AC$1006:$AS$1006,0)), HYPERLINK("#",""), HYPERLINK(CONCATENATE("#metadata!", ADDRESS(INDEX($X$2:$X$1001,MATCH(ROWS($V$2:V77),$V$2:$V$1001,0),0), INDEX($AC$1004:$AS$1004,1,MATCH(COLUMNS($AC$1006:AD1006),$AC$1006:$AS$1006,0)))),"Fix")))</f>
        <v xml:space="preserve"> </v>
      </c>
      <c r="D77" s="4" t="str">
        <f ca="1">IF(OR(INDEX($W$2:$W$1001,MATCH(ROWS($V$2:V77),$V$2:$V$1001,0),1)&gt;=100000,INDEX($AC$1005:$AS$1005,1,MATCH(COLUMNS($AC$1006:AE1006),$AC$1006:$AS$1006,0))&gt;=100000), " ",IF(INDEX($AC$2:$AS$1001,MATCH(ROWS($V$2:V77),$V$2:$V$1001,0),MATCH(COLUMNS($AC$1006:AE1006),$AC$1006:$AS$1006,0)), HYPERLINK("#",""), HYPERLINK(CONCATENATE("#metadata!", ADDRESS(INDEX($X$2:$X$1001,MATCH(ROWS($V$2:V77),$V$2:$V$1001,0),0), INDEX($AC$1004:$AS$1004,1,MATCH(COLUMNS($AC$1006:AE1006),$AC$1006:$AS$1006,0)))),"Fix")))</f>
        <v xml:space="preserve"> </v>
      </c>
      <c r="E77" s="4" t="str">
        <f ca="1">IF(OR(INDEX($W$2:$W$1001,MATCH(ROWS($V$2:V77),$V$2:$V$1001,0),1)&gt;=100000,INDEX($AC$1005:$AS$1005,1,MATCH(COLUMNS($AC$1006:AF1006),$AC$1006:$AS$1006,0))&gt;=100000), " ",IF(INDEX($AC$2:$AS$1001,MATCH(ROWS($V$2:V77),$V$2:$V$1001,0),MATCH(COLUMNS($AC$1006:AF1006),$AC$1006:$AS$1006,0)), HYPERLINK("#",""), HYPERLINK(CONCATENATE("#metadata!", ADDRESS(INDEX($X$2:$X$1001,MATCH(ROWS($V$2:V77),$V$2:$V$1001,0),0), INDEX($AC$1004:$AS$1004,1,MATCH(COLUMNS($AC$1006:AF1006),$AC$1006:$AS$1006,0)))),"Fix")))</f>
        <v xml:space="preserve"> </v>
      </c>
      <c r="F77" s="4" t="str">
        <f ca="1">IF(OR(INDEX($W$2:$W$1001,MATCH(ROWS($V$2:V77),$V$2:$V$1001,0),1)&gt;=100000,INDEX($AC$1005:$AS$1005,1,MATCH(COLUMNS($AC$1006:AG1006),$AC$1006:$AS$1006,0))&gt;=100000), " ",IF(INDEX($AC$2:$AS$1001,MATCH(ROWS($V$2:V77),$V$2:$V$1001,0),MATCH(COLUMNS($AC$1006:AG1006),$AC$1006:$AS$1006,0)), HYPERLINK("#",""), HYPERLINK(CONCATENATE("#metadata!", ADDRESS(INDEX($X$2:$X$1001,MATCH(ROWS($V$2:V77),$V$2:$V$1001,0),0), INDEX($AC$1004:$AS$1004,1,MATCH(COLUMNS($AC$1006:AG1006),$AC$1006:$AS$1006,0)))),"Fix")))</f>
        <v xml:space="preserve"> </v>
      </c>
      <c r="G77" s="4" t="str">
        <f ca="1">IF(OR(INDEX($W$2:$W$1001,MATCH(ROWS($V$2:V77),$V$2:$V$1001,0),1)&gt;=100000,INDEX($AC$1005:$AS$1005,1,MATCH(COLUMNS($AC$1006:AH1006),$AC$1006:$AS$1006,0))&gt;=100000), " ",IF(INDEX($AC$2:$AS$1001,MATCH(ROWS($V$2:V77),$V$2:$V$1001,0),MATCH(COLUMNS($AC$1006:AH1006),$AC$1006:$AS$1006,0)), HYPERLINK("#",""), HYPERLINK(CONCATENATE("#metadata!", ADDRESS(INDEX($X$2:$X$1001,MATCH(ROWS($V$2:V77),$V$2:$V$1001,0),0), INDEX($AC$1004:$AS$1004,1,MATCH(COLUMNS($AC$1006:AH1006),$AC$1006:$AS$1006,0)))),"Fix")))</f>
        <v xml:space="preserve"> </v>
      </c>
      <c r="H77" s="4" t="str">
        <f ca="1">IF(OR(INDEX($W$2:$W$1001,MATCH(ROWS($V$2:V77),$V$2:$V$1001,0),1)&gt;=100000,INDEX($AC$1005:$AS$1005,1,MATCH(COLUMNS($AC$1006:AI1006),$AC$1006:$AS$1006,0))&gt;=100000), " ",IF(INDEX($AC$2:$AS$1001,MATCH(ROWS($V$2:V77),$V$2:$V$1001,0),MATCH(COLUMNS($AC$1006:AI1006),$AC$1006:$AS$1006,0)), HYPERLINK("#",""), HYPERLINK(CONCATENATE("#metadata!", ADDRESS(INDEX($X$2:$X$1001,MATCH(ROWS($V$2:V77),$V$2:$V$1001,0),0), INDEX($AC$1004:$AS$1004,1,MATCH(COLUMNS($AC$1006:AI1006),$AC$1006:$AS$1006,0)))),"Fix")))</f>
        <v xml:space="preserve"> </v>
      </c>
      <c r="I77" s="4" t="str">
        <f ca="1">IF(OR(INDEX($W$2:$W$1001,MATCH(ROWS($V$2:V77),$V$2:$V$1001,0),1)&gt;=100000,INDEX($AC$1005:$AS$1005,1,MATCH(COLUMNS($AC$1006:AJ1006),$AC$1006:$AS$1006,0))&gt;=100000), " ",IF(INDEX($AC$2:$AS$1001,MATCH(ROWS($V$2:V77),$V$2:$V$1001,0),MATCH(COLUMNS($AC$1006:AJ1006),$AC$1006:$AS$1006,0)), HYPERLINK("#",""), HYPERLINK(CONCATENATE("#metadata!", ADDRESS(INDEX($X$2:$X$1001,MATCH(ROWS($V$2:V77),$V$2:$V$1001,0),0), INDEX($AC$1004:$AS$1004,1,MATCH(COLUMNS($AC$1006:AJ1006),$AC$1006:$AS$1006,0)))),"Fix")))</f>
        <v xml:space="preserve"> </v>
      </c>
      <c r="J77" s="4" t="str">
        <f ca="1">IF(OR(INDEX($W$2:$W$1001,MATCH(ROWS($V$2:V77),$V$2:$V$1001,0),1)&gt;=100000,INDEX($AC$1005:$AS$1005,1,MATCH(COLUMNS($AC$1006:AK1006),$AC$1006:$AS$1006,0))&gt;=100000), " ",IF(INDEX($AC$2:$AS$1001,MATCH(ROWS($V$2:V77),$V$2:$V$1001,0),MATCH(COLUMNS($AC$1006:AK1006),$AC$1006:$AS$1006,0)), HYPERLINK("#",""), HYPERLINK(CONCATENATE("#metadata!", ADDRESS(INDEX($X$2:$X$1001,MATCH(ROWS($V$2:V77),$V$2:$V$1001,0),0), INDEX($AC$1004:$AS$1004,1,MATCH(COLUMNS($AC$1006:AK1006),$AC$1006:$AS$1006,0)))),"Fix")))</f>
        <v xml:space="preserve"> </v>
      </c>
      <c r="K77" s="4" t="str">
        <f ca="1">IF(OR(INDEX($W$2:$W$1001,MATCH(ROWS($V$2:V77),$V$2:$V$1001,0),1)&gt;=100000,INDEX($AC$1005:$AS$1005,1,MATCH(COLUMNS($AC$1006:AL1006),$AC$1006:$AS$1006,0))&gt;=100000), " ",IF(INDEX($AC$2:$AS$1001,MATCH(ROWS($V$2:V77),$V$2:$V$1001,0),MATCH(COLUMNS($AC$1006:AL1006),$AC$1006:$AS$1006,0)), HYPERLINK("#",""), HYPERLINK(CONCATENATE("#metadata!", ADDRESS(INDEX($X$2:$X$1001,MATCH(ROWS($V$2:V77),$V$2:$V$1001,0),0), INDEX($AC$1004:$AS$1004,1,MATCH(COLUMNS($AC$1006:AL1006),$AC$1006:$AS$1006,0)))),"Fix")))</f>
        <v xml:space="preserve"> </v>
      </c>
      <c r="L77" s="4" t="str">
        <f ca="1">IF(OR(INDEX($W$2:$W$1001,MATCH(ROWS($V$2:V77),$V$2:$V$1001,0),1)&gt;=100000,INDEX($AC$1005:$AS$1005,1,MATCH(COLUMNS($AC$1006:AM1006),$AC$1006:$AS$1006,0))&gt;=100000), " ",IF(INDEX($AC$2:$AS$1001,MATCH(ROWS($V$2:V77),$V$2:$V$1001,0),MATCH(COLUMNS($AC$1006:AM1006),$AC$1006:$AS$1006,0)), HYPERLINK("#",""), HYPERLINK(CONCATENATE("#metadata!", ADDRESS(INDEX($X$2:$X$1001,MATCH(ROWS($V$2:V77),$V$2:$V$1001,0),0), INDEX($AC$1004:$AS$1004,1,MATCH(COLUMNS($AC$1006:AM1006),$AC$1006:$AS$1006,0)))),"Fix")))</f>
        <v xml:space="preserve"> </v>
      </c>
      <c r="M77" s="4" t="str">
        <f ca="1">IF(OR(INDEX($W$2:$W$1001,MATCH(ROWS($V$2:V77),$V$2:$V$1001,0),1)&gt;=100000,INDEX($AC$1005:$AS$1005,1,MATCH(COLUMNS($AC$1006:AN1006),$AC$1006:$AS$1006,0))&gt;=100000), " ",IF(INDEX($AC$2:$AS$1001,MATCH(ROWS($V$2:V77),$V$2:$V$1001,0),MATCH(COLUMNS($AC$1006:AN1006),$AC$1006:$AS$1006,0)), HYPERLINK("#",""), HYPERLINK(CONCATENATE("#metadata!", ADDRESS(INDEX($X$2:$X$1001,MATCH(ROWS($V$2:V77),$V$2:$V$1001,0),0), INDEX($AC$1004:$AS$1004,1,MATCH(COLUMNS($AC$1006:AN1006),$AC$1006:$AS$1006,0)))),"Fix")))</f>
        <v xml:space="preserve"> </v>
      </c>
      <c r="N77" s="4" t="str">
        <f ca="1">IF(OR(INDEX($W$2:$W$1001,MATCH(ROWS($V$2:V77),$V$2:$V$1001,0),1)&gt;=100000,INDEX($AC$1005:$AS$1005,1,MATCH(COLUMNS($AC$1006:AO1006),$AC$1006:$AS$1006,0))&gt;=100000), " ",IF(INDEX($AC$2:$AS$1001,MATCH(ROWS($V$2:V77),$V$2:$V$1001,0),MATCH(COLUMNS($AC$1006:AO1006),$AC$1006:$AS$1006,0)), HYPERLINK("#",""), HYPERLINK(CONCATENATE("#metadata!", ADDRESS(INDEX($X$2:$X$1001,MATCH(ROWS($V$2:V77),$V$2:$V$1001,0),0), INDEX($AC$1004:$AS$1004,1,MATCH(COLUMNS($AC$1006:AO1006),$AC$1006:$AS$1006,0)))),"Fix")))</f>
        <v xml:space="preserve"> </v>
      </c>
      <c r="O77" s="4" t="str">
        <f ca="1">IF(OR(INDEX($W$2:$W$1001,MATCH(ROWS($V$2:V77),$V$2:$V$1001,0),1)&gt;=100000,INDEX($AC$1005:$AS$1005,1,MATCH(COLUMNS($AC$1006:AP1006),$AC$1006:$AS$1006,0))&gt;=100000), " ",IF(INDEX($AC$2:$AS$1001,MATCH(ROWS($V$2:V77),$V$2:$V$1001,0),MATCH(COLUMNS($AC$1006:AP1006),$AC$1006:$AS$1006,0)), HYPERLINK("#",""), HYPERLINK(CONCATENATE("#metadata!", ADDRESS(INDEX($X$2:$X$1001,MATCH(ROWS($V$2:V77),$V$2:$V$1001,0),0), INDEX($AC$1004:$AS$1004,1,MATCH(COLUMNS($AC$1006:AP1006),$AC$1006:$AS$1006,0)))),"Fix")))</f>
        <v xml:space="preserve"> </v>
      </c>
      <c r="P77" s="4" t="str">
        <f ca="1">IF(OR(INDEX($W$2:$W$1001,MATCH(ROWS($V$2:V77),$V$2:$V$1001,0),1)&gt;=100000,INDEX($AC$1005:$AS$1005,1,MATCH(COLUMNS($AC$1006:AQ1006),$AC$1006:$AS$1006,0))&gt;=100000), " ",IF(INDEX($AC$2:$AS$1001,MATCH(ROWS($V$2:V77),$V$2:$V$1001,0),MATCH(COLUMNS($AC$1006:AQ1006),$AC$1006:$AS$1006,0)), HYPERLINK("#",""), HYPERLINK(CONCATENATE("#metadata!", ADDRESS(INDEX($X$2:$X$1001,MATCH(ROWS($V$2:V77),$V$2:$V$1001,0),0), INDEX($AC$1004:$AS$1004,1,MATCH(COLUMNS($AC$1006:AQ1006),$AC$1006:$AS$1006,0)))),"Fix")))</f>
        <v xml:space="preserve"> </v>
      </c>
      <c r="Q77" s="4" t="str">
        <f ca="1">IF(OR(INDEX($W$2:$W$1001,MATCH(ROWS($V$2:V77),$V$2:$V$1001,0),1)&gt;=100000,INDEX($AC$1005:$AS$1005,1,MATCH(COLUMNS($AC$1006:AR1006),$AC$1006:$AS$1006,0))&gt;=100000), " ",IF(INDEX($AC$2:$AS$1001,MATCH(ROWS($V$2:V77),$V$2:$V$1001,0),MATCH(COLUMNS($AC$1006:AR1006),$AC$1006:$AS$1006,0)), HYPERLINK("#",""), HYPERLINK(CONCATENATE("#metadata!", ADDRESS(INDEX($X$2:$X$1001,MATCH(ROWS($V$2:V77),$V$2:$V$1001,0),0), INDEX($AC$1004:$AS$1004,1,MATCH(COLUMNS($AC$1006:AR1006),$AC$1006:$AS$1006,0)))),"Fix")))</f>
        <v xml:space="preserve"> </v>
      </c>
      <c r="R77" s="4" t="str">
        <f ca="1">IF(OR(INDEX($W$2:$W$1001,MATCH(ROWS($V$2:V77),$V$2:$V$1001,0),1)&gt;=100000,INDEX($AC$1005:$AS$1005,1,MATCH(COLUMNS($AC$1006:AS1006),$AC$1006:$AS$1006,0))&gt;=100000), " ",IF(INDEX($AC$2:$AS$1001,MATCH(ROWS($V$2:V77),$V$2:$V$1001,0),MATCH(COLUMNS($AC$1006:AS1006),$AC$1006:$AS$1006,0)), HYPERLINK("#",""), HYPERLINK(CONCATENATE("#metadata!", ADDRESS(INDEX($X$2:$X$1001,MATCH(ROWS($V$2:V77),$V$2:$V$1001,0),0), INDEX($AC$1004:$AS$1004,1,MATCH(COLUMNS($AC$1006:AS1006),$AC$1006:$AS$1006,0)))),"Fix")))</f>
        <v xml:space="preserve"> </v>
      </c>
      <c r="V77">
        <v>76</v>
      </c>
      <c r="W77">
        <v>100077</v>
      </c>
      <c r="X77">
        <v>77</v>
      </c>
      <c r="Y77" t="b">
        <f t="shared" si="1"/>
        <v>1</v>
      </c>
      <c r="Z77" t="b">
        <f>COUNTBLANK(metadata!B77:R77)=COLUMNS(metadata!B77:R77)</f>
        <v>1</v>
      </c>
      <c r="AA77" t="str">
        <v/>
      </c>
      <c r="AC77" t="b">
        <f ca="1"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AD77" t="b">
        <f>IF(metadata!C77="",FALSE,ISNUMBER(VALUE(metadata!C77)))</f>
        <v>0</v>
      </c>
      <c r="AE77" t="b">
        <f>AND(IF(metadata!D77="",FALSE,TRUE),EXACT(metadata!D77,"years"))</f>
        <v>0</v>
      </c>
      <c r="AF77" t="b">
        <f>OR(AND(IF(metadata!E77="",FALSE,TRUE),OR(EXACT(metadata!E77,"not applicable"),EXACT(metadata!E77,"missing: not collected"),EXACT(metadata!E77,"missing: not provided"),EXACT(metadata!E77,"missing: restricted access"))),AND(IF(metadata!E77="",FALSE,ISNUMBER(VALUE(metadata!E77))),metadata!E77&gt;0))</f>
        <v>0</v>
      </c>
      <c r="AG77" t="b">
        <f>AND(IF(metadata!F77="",FALSE,TRUE),EXACT(metadata!F77,"Not applicable"))</f>
        <v>0</v>
      </c>
      <c r="AH77" t="b">
        <f>AND(IF(metadata!G77="",FALSE,TRUE),EXACT(metadata!G77,"urban biome"))</f>
        <v>0</v>
      </c>
      <c r="AI77" t="b">
        <f>AND(IF(metadata!H77="",FALSE,TRUE),EXACT(metadata!H77,"human-associated habitat"))</f>
        <v>0</v>
      </c>
      <c r="AJ77" t="b">
        <f>AND(IF(metadata!I77="",FALSE,TRUE),OR(EXACT(metadata!I77,"human-associated"),EXACT(metadata!I77,"human-skin"),EXACT(metadata!I77,"human-oral"),EXACT(metadata!I77,"human-gut"),EXACT(metadata!I77,"human-vaginal")))</f>
        <v>0</v>
      </c>
      <c r="AK77" t="b">
        <f>IF(metadata!J77="",FALSE,ISNUMBER(VALUE(metadata!J77)))</f>
        <v>0</v>
      </c>
      <c r="AL77" t="b">
        <f>AND(IF(metadata!K77="",FALSE,TRUE),EXACT(metadata!K77,"cm"))</f>
        <v>0</v>
      </c>
      <c r="AM77" t="b">
        <f>AND(IF(metadata!L77="",FALSE,TRUE),EXACT(metadata!L77,"human"))</f>
        <v>0</v>
      </c>
      <c r="AN77" t="b">
        <f>AND(IF(metadata!M77="",FALSE,TRUE),EXACT(metadata!M77,"Homo sapiens"))</f>
        <v>0</v>
      </c>
      <c r="AO77" t="b">
        <f>AND(IF(metadata!N77="",FALSE,TRUE),EXACT(metadata!N77,"9606"))</f>
        <v>0</v>
      </c>
      <c r="AP77" t="b">
        <f>IF(metadata!O77="",FALSE,TRUE)</f>
        <v>0</v>
      </c>
      <c r="AQ77" t="b">
        <f>IF(metadata!P77="",FALSE,TRUE)</f>
        <v>0</v>
      </c>
      <c r="AR77" t="b">
        <f>IF(metadata!Q77="",FALSE,ISNUMBER(VALUE(metadata!Q77)))</f>
        <v>0</v>
      </c>
      <c r="AS77" t="b">
        <f>AND(IF(metadata!R77="",FALSE,TRUE),EXACT(metadata!R77,"kg"))</f>
        <v>0</v>
      </c>
    </row>
    <row r="78" spans="1:45" x14ac:dyDescent="0.2">
      <c r="A78" s="5" t="str">
        <f ca="1">IF(B78=" "," ",HYPERLINK(CONCATENATE("#metadata!",ADDRESS(INDEX($X$2:$X$1001,MATCH(ROWS($V$2:V78),$V$2:$V$1001,0),0),1)),INDEX($AA$2:$AA$1001,MATCH(ROWS($V$2:V78),$V$2:$V$1001,0),0)))</f>
        <v xml:space="preserve"> </v>
      </c>
      <c r="B78" s="4" t="str">
        <f ca="1">IF(OR(INDEX($W$2:$W$1001,MATCH(ROWS($V$2:V78),$V$2:$V$1001,0),1)&gt;=100000,INDEX($AC$1005:$AS$1005,1,MATCH(COLUMNS($AC$1006:AC1006),$AC$1006:$AS$1006,0))&gt;=100000), " ",IF(INDEX($AC$2:$AS$1001,MATCH(ROWS($V$2:V78),$V$2:$V$1001,0),MATCH(COLUMNS($AC$1006:AC1006),$AC$1006:$AS$1006,0)), HYPERLINK("#",""), HYPERLINK(CONCATENATE("#metadata!", ADDRESS(INDEX($X$2:$X$1001,MATCH(ROWS($V$2:V78),$V$2:$V$1001,0),0), INDEX($AC$1004:$AS$1004,1,MATCH(COLUMNS($AC$1006:AC1006),$AC$1006:$AS$1006,0)))),"Fix")))</f>
        <v xml:space="preserve"> </v>
      </c>
      <c r="C78" s="4" t="str">
        <f ca="1">IF(OR(INDEX($W$2:$W$1001,MATCH(ROWS($V$2:V78),$V$2:$V$1001,0),1)&gt;=100000,INDEX($AC$1005:$AS$1005,1,MATCH(COLUMNS($AC$1006:AD1006),$AC$1006:$AS$1006,0))&gt;=100000), " ",IF(INDEX($AC$2:$AS$1001,MATCH(ROWS($V$2:V78),$V$2:$V$1001,0),MATCH(COLUMNS($AC$1006:AD1006),$AC$1006:$AS$1006,0)), HYPERLINK("#",""), HYPERLINK(CONCATENATE("#metadata!", ADDRESS(INDEX($X$2:$X$1001,MATCH(ROWS($V$2:V78),$V$2:$V$1001,0),0), INDEX($AC$1004:$AS$1004,1,MATCH(COLUMNS($AC$1006:AD1006),$AC$1006:$AS$1006,0)))),"Fix")))</f>
        <v xml:space="preserve"> </v>
      </c>
      <c r="D78" s="4" t="str">
        <f ca="1">IF(OR(INDEX($W$2:$W$1001,MATCH(ROWS($V$2:V78),$V$2:$V$1001,0),1)&gt;=100000,INDEX($AC$1005:$AS$1005,1,MATCH(COLUMNS($AC$1006:AE1006),$AC$1006:$AS$1006,0))&gt;=100000), " ",IF(INDEX($AC$2:$AS$1001,MATCH(ROWS($V$2:V78),$V$2:$V$1001,0),MATCH(COLUMNS($AC$1006:AE1006),$AC$1006:$AS$1006,0)), HYPERLINK("#",""), HYPERLINK(CONCATENATE("#metadata!", ADDRESS(INDEX($X$2:$X$1001,MATCH(ROWS($V$2:V78),$V$2:$V$1001,0),0), INDEX($AC$1004:$AS$1004,1,MATCH(COLUMNS($AC$1006:AE1006),$AC$1006:$AS$1006,0)))),"Fix")))</f>
        <v xml:space="preserve"> </v>
      </c>
      <c r="E78" s="4" t="str">
        <f ca="1">IF(OR(INDEX($W$2:$W$1001,MATCH(ROWS($V$2:V78),$V$2:$V$1001,0),1)&gt;=100000,INDEX($AC$1005:$AS$1005,1,MATCH(COLUMNS($AC$1006:AF1006),$AC$1006:$AS$1006,0))&gt;=100000), " ",IF(INDEX($AC$2:$AS$1001,MATCH(ROWS($V$2:V78),$V$2:$V$1001,0),MATCH(COLUMNS($AC$1006:AF1006),$AC$1006:$AS$1006,0)), HYPERLINK("#",""), HYPERLINK(CONCATENATE("#metadata!", ADDRESS(INDEX($X$2:$X$1001,MATCH(ROWS($V$2:V78),$V$2:$V$1001,0),0), INDEX($AC$1004:$AS$1004,1,MATCH(COLUMNS($AC$1006:AF1006),$AC$1006:$AS$1006,0)))),"Fix")))</f>
        <v xml:space="preserve"> </v>
      </c>
      <c r="F78" s="4" t="str">
        <f ca="1">IF(OR(INDEX($W$2:$W$1001,MATCH(ROWS($V$2:V78),$V$2:$V$1001,0),1)&gt;=100000,INDEX($AC$1005:$AS$1005,1,MATCH(COLUMNS($AC$1006:AG1006),$AC$1006:$AS$1006,0))&gt;=100000), " ",IF(INDEX($AC$2:$AS$1001,MATCH(ROWS($V$2:V78),$V$2:$V$1001,0),MATCH(COLUMNS($AC$1006:AG1006),$AC$1006:$AS$1006,0)), HYPERLINK("#",""), HYPERLINK(CONCATENATE("#metadata!", ADDRESS(INDEX($X$2:$X$1001,MATCH(ROWS($V$2:V78),$V$2:$V$1001,0),0), INDEX($AC$1004:$AS$1004,1,MATCH(COLUMNS($AC$1006:AG1006),$AC$1006:$AS$1006,0)))),"Fix")))</f>
        <v xml:space="preserve"> </v>
      </c>
      <c r="G78" s="4" t="str">
        <f ca="1">IF(OR(INDEX($W$2:$W$1001,MATCH(ROWS($V$2:V78),$V$2:$V$1001,0),1)&gt;=100000,INDEX($AC$1005:$AS$1005,1,MATCH(COLUMNS($AC$1006:AH1006),$AC$1006:$AS$1006,0))&gt;=100000), " ",IF(INDEX($AC$2:$AS$1001,MATCH(ROWS($V$2:V78),$V$2:$V$1001,0),MATCH(COLUMNS($AC$1006:AH1006),$AC$1006:$AS$1006,0)), HYPERLINK("#",""), HYPERLINK(CONCATENATE("#metadata!", ADDRESS(INDEX($X$2:$X$1001,MATCH(ROWS($V$2:V78),$V$2:$V$1001,0),0), INDEX($AC$1004:$AS$1004,1,MATCH(COLUMNS($AC$1006:AH1006),$AC$1006:$AS$1006,0)))),"Fix")))</f>
        <v xml:space="preserve"> </v>
      </c>
      <c r="H78" s="4" t="str">
        <f ca="1">IF(OR(INDEX($W$2:$W$1001,MATCH(ROWS($V$2:V78),$V$2:$V$1001,0),1)&gt;=100000,INDEX($AC$1005:$AS$1005,1,MATCH(COLUMNS($AC$1006:AI1006),$AC$1006:$AS$1006,0))&gt;=100000), " ",IF(INDEX($AC$2:$AS$1001,MATCH(ROWS($V$2:V78),$V$2:$V$1001,0),MATCH(COLUMNS($AC$1006:AI1006),$AC$1006:$AS$1006,0)), HYPERLINK("#",""), HYPERLINK(CONCATENATE("#metadata!", ADDRESS(INDEX($X$2:$X$1001,MATCH(ROWS($V$2:V78),$V$2:$V$1001,0),0), INDEX($AC$1004:$AS$1004,1,MATCH(COLUMNS($AC$1006:AI1006),$AC$1006:$AS$1006,0)))),"Fix")))</f>
        <v xml:space="preserve"> </v>
      </c>
      <c r="I78" s="4" t="str">
        <f ca="1">IF(OR(INDEX($W$2:$W$1001,MATCH(ROWS($V$2:V78),$V$2:$V$1001,0),1)&gt;=100000,INDEX($AC$1005:$AS$1005,1,MATCH(COLUMNS($AC$1006:AJ1006),$AC$1006:$AS$1006,0))&gt;=100000), " ",IF(INDEX($AC$2:$AS$1001,MATCH(ROWS($V$2:V78),$V$2:$V$1001,0),MATCH(COLUMNS($AC$1006:AJ1006),$AC$1006:$AS$1006,0)), HYPERLINK("#",""), HYPERLINK(CONCATENATE("#metadata!", ADDRESS(INDEX($X$2:$X$1001,MATCH(ROWS($V$2:V78),$V$2:$V$1001,0),0), INDEX($AC$1004:$AS$1004,1,MATCH(COLUMNS($AC$1006:AJ1006),$AC$1006:$AS$1006,0)))),"Fix")))</f>
        <v xml:space="preserve"> </v>
      </c>
      <c r="J78" s="4" t="str">
        <f ca="1">IF(OR(INDEX($W$2:$W$1001,MATCH(ROWS($V$2:V78),$V$2:$V$1001,0),1)&gt;=100000,INDEX($AC$1005:$AS$1005,1,MATCH(COLUMNS($AC$1006:AK1006),$AC$1006:$AS$1006,0))&gt;=100000), " ",IF(INDEX($AC$2:$AS$1001,MATCH(ROWS($V$2:V78),$V$2:$V$1001,0),MATCH(COLUMNS($AC$1006:AK1006),$AC$1006:$AS$1006,0)), HYPERLINK("#",""), HYPERLINK(CONCATENATE("#metadata!", ADDRESS(INDEX($X$2:$X$1001,MATCH(ROWS($V$2:V78),$V$2:$V$1001,0),0), INDEX($AC$1004:$AS$1004,1,MATCH(COLUMNS($AC$1006:AK1006),$AC$1006:$AS$1006,0)))),"Fix")))</f>
        <v xml:space="preserve"> </v>
      </c>
      <c r="K78" s="4" t="str">
        <f ca="1">IF(OR(INDEX($W$2:$W$1001,MATCH(ROWS($V$2:V78),$V$2:$V$1001,0),1)&gt;=100000,INDEX($AC$1005:$AS$1005,1,MATCH(COLUMNS($AC$1006:AL1006),$AC$1006:$AS$1006,0))&gt;=100000), " ",IF(INDEX($AC$2:$AS$1001,MATCH(ROWS($V$2:V78),$V$2:$V$1001,0),MATCH(COLUMNS($AC$1006:AL1006),$AC$1006:$AS$1006,0)), HYPERLINK("#",""), HYPERLINK(CONCATENATE("#metadata!", ADDRESS(INDEX($X$2:$X$1001,MATCH(ROWS($V$2:V78),$V$2:$V$1001,0),0), INDEX($AC$1004:$AS$1004,1,MATCH(COLUMNS($AC$1006:AL1006),$AC$1006:$AS$1006,0)))),"Fix")))</f>
        <v xml:space="preserve"> </v>
      </c>
      <c r="L78" s="4" t="str">
        <f ca="1">IF(OR(INDEX($W$2:$W$1001,MATCH(ROWS($V$2:V78),$V$2:$V$1001,0),1)&gt;=100000,INDEX($AC$1005:$AS$1005,1,MATCH(COLUMNS($AC$1006:AM1006),$AC$1006:$AS$1006,0))&gt;=100000), " ",IF(INDEX($AC$2:$AS$1001,MATCH(ROWS($V$2:V78),$V$2:$V$1001,0),MATCH(COLUMNS($AC$1006:AM1006),$AC$1006:$AS$1006,0)), HYPERLINK("#",""), HYPERLINK(CONCATENATE("#metadata!", ADDRESS(INDEX($X$2:$X$1001,MATCH(ROWS($V$2:V78),$V$2:$V$1001,0),0), INDEX($AC$1004:$AS$1004,1,MATCH(COLUMNS($AC$1006:AM1006),$AC$1006:$AS$1006,0)))),"Fix")))</f>
        <v xml:space="preserve"> </v>
      </c>
      <c r="M78" s="4" t="str">
        <f ca="1">IF(OR(INDEX($W$2:$W$1001,MATCH(ROWS($V$2:V78),$V$2:$V$1001,0),1)&gt;=100000,INDEX($AC$1005:$AS$1005,1,MATCH(COLUMNS($AC$1006:AN1006),$AC$1006:$AS$1006,0))&gt;=100000), " ",IF(INDEX($AC$2:$AS$1001,MATCH(ROWS($V$2:V78),$V$2:$V$1001,0),MATCH(COLUMNS($AC$1006:AN1006),$AC$1006:$AS$1006,0)), HYPERLINK("#",""), HYPERLINK(CONCATENATE("#metadata!", ADDRESS(INDEX($X$2:$X$1001,MATCH(ROWS($V$2:V78),$V$2:$V$1001,0),0), INDEX($AC$1004:$AS$1004,1,MATCH(COLUMNS($AC$1006:AN1006),$AC$1006:$AS$1006,0)))),"Fix")))</f>
        <v xml:space="preserve"> </v>
      </c>
      <c r="N78" s="4" t="str">
        <f ca="1">IF(OR(INDEX($W$2:$W$1001,MATCH(ROWS($V$2:V78),$V$2:$V$1001,0),1)&gt;=100000,INDEX($AC$1005:$AS$1005,1,MATCH(COLUMNS($AC$1006:AO1006),$AC$1006:$AS$1006,0))&gt;=100000), " ",IF(INDEX($AC$2:$AS$1001,MATCH(ROWS($V$2:V78),$V$2:$V$1001,0),MATCH(COLUMNS($AC$1006:AO1006),$AC$1006:$AS$1006,0)), HYPERLINK("#",""), HYPERLINK(CONCATENATE("#metadata!", ADDRESS(INDEX($X$2:$X$1001,MATCH(ROWS($V$2:V78),$V$2:$V$1001,0),0), INDEX($AC$1004:$AS$1004,1,MATCH(COLUMNS($AC$1006:AO1006),$AC$1006:$AS$1006,0)))),"Fix")))</f>
        <v xml:space="preserve"> </v>
      </c>
      <c r="O78" s="4" t="str">
        <f ca="1">IF(OR(INDEX($W$2:$W$1001,MATCH(ROWS($V$2:V78),$V$2:$V$1001,0),1)&gt;=100000,INDEX($AC$1005:$AS$1005,1,MATCH(COLUMNS($AC$1006:AP1006),$AC$1006:$AS$1006,0))&gt;=100000), " ",IF(INDEX($AC$2:$AS$1001,MATCH(ROWS($V$2:V78),$V$2:$V$1001,0),MATCH(COLUMNS($AC$1006:AP1006),$AC$1006:$AS$1006,0)), HYPERLINK("#",""), HYPERLINK(CONCATENATE("#metadata!", ADDRESS(INDEX($X$2:$X$1001,MATCH(ROWS($V$2:V78),$V$2:$V$1001,0),0), INDEX($AC$1004:$AS$1004,1,MATCH(COLUMNS($AC$1006:AP1006),$AC$1006:$AS$1006,0)))),"Fix")))</f>
        <v xml:space="preserve"> </v>
      </c>
      <c r="P78" s="4" t="str">
        <f ca="1">IF(OR(INDEX($W$2:$W$1001,MATCH(ROWS($V$2:V78),$V$2:$V$1001,0),1)&gt;=100000,INDEX($AC$1005:$AS$1005,1,MATCH(COLUMNS($AC$1006:AQ1006),$AC$1006:$AS$1006,0))&gt;=100000), " ",IF(INDEX($AC$2:$AS$1001,MATCH(ROWS($V$2:V78),$V$2:$V$1001,0),MATCH(COLUMNS($AC$1006:AQ1006),$AC$1006:$AS$1006,0)), HYPERLINK("#",""), HYPERLINK(CONCATENATE("#metadata!", ADDRESS(INDEX($X$2:$X$1001,MATCH(ROWS($V$2:V78),$V$2:$V$1001,0),0), INDEX($AC$1004:$AS$1004,1,MATCH(COLUMNS($AC$1006:AQ1006),$AC$1006:$AS$1006,0)))),"Fix")))</f>
        <v xml:space="preserve"> </v>
      </c>
      <c r="Q78" s="4" t="str">
        <f ca="1">IF(OR(INDEX($W$2:$W$1001,MATCH(ROWS($V$2:V78),$V$2:$V$1001,0),1)&gt;=100000,INDEX($AC$1005:$AS$1005,1,MATCH(COLUMNS($AC$1006:AR1006),$AC$1006:$AS$1006,0))&gt;=100000), " ",IF(INDEX($AC$2:$AS$1001,MATCH(ROWS($V$2:V78),$V$2:$V$1001,0),MATCH(COLUMNS($AC$1006:AR1006),$AC$1006:$AS$1006,0)), HYPERLINK("#",""), HYPERLINK(CONCATENATE("#metadata!", ADDRESS(INDEX($X$2:$X$1001,MATCH(ROWS($V$2:V78),$V$2:$V$1001,0),0), INDEX($AC$1004:$AS$1004,1,MATCH(COLUMNS($AC$1006:AR1006),$AC$1006:$AS$1006,0)))),"Fix")))</f>
        <v xml:space="preserve"> </v>
      </c>
      <c r="R78" s="4" t="str">
        <f ca="1">IF(OR(INDEX($W$2:$W$1001,MATCH(ROWS($V$2:V78),$V$2:$V$1001,0),1)&gt;=100000,INDEX($AC$1005:$AS$1005,1,MATCH(COLUMNS($AC$1006:AS1006),$AC$1006:$AS$1006,0))&gt;=100000), " ",IF(INDEX($AC$2:$AS$1001,MATCH(ROWS($V$2:V78),$V$2:$V$1001,0),MATCH(COLUMNS($AC$1006:AS1006),$AC$1006:$AS$1006,0)), HYPERLINK("#",""), HYPERLINK(CONCATENATE("#metadata!", ADDRESS(INDEX($X$2:$X$1001,MATCH(ROWS($V$2:V78),$V$2:$V$1001,0),0), INDEX($AC$1004:$AS$1004,1,MATCH(COLUMNS($AC$1006:AS1006),$AC$1006:$AS$1006,0)))),"Fix")))</f>
        <v xml:space="preserve"> </v>
      </c>
      <c r="V78">
        <v>77</v>
      </c>
      <c r="W78">
        <v>100078</v>
      </c>
      <c r="X78">
        <v>78</v>
      </c>
      <c r="Y78" t="b">
        <f t="shared" si="1"/>
        <v>1</v>
      </c>
      <c r="Z78" t="b">
        <f>COUNTBLANK(metadata!B78:R78)=COLUMNS(metadata!B78:R78)</f>
        <v>1</v>
      </c>
      <c r="AA78" t="str">
        <v/>
      </c>
      <c r="AC78" t="b">
        <f ca="1"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AD78" t="b">
        <f>IF(metadata!C78="",FALSE,ISNUMBER(VALUE(metadata!C78)))</f>
        <v>0</v>
      </c>
      <c r="AE78" t="b">
        <f>AND(IF(metadata!D78="",FALSE,TRUE),EXACT(metadata!D78,"years"))</f>
        <v>0</v>
      </c>
      <c r="AF78" t="b">
        <f>OR(AND(IF(metadata!E78="",FALSE,TRUE),OR(EXACT(metadata!E78,"not applicable"),EXACT(metadata!E78,"missing: not collected"),EXACT(metadata!E78,"missing: not provided"),EXACT(metadata!E78,"missing: restricted access"))),AND(IF(metadata!E78="",FALSE,ISNUMBER(VALUE(metadata!E78))),metadata!E78&gt;0))</f>
        <v>0</v>
      </c>
      <c r="AG78" t="b">
        <f>AND(IF(metadata!F78="",FALSE,TRUE),EXACT(metadata!F78,"Not applicable"))</f>
        <v>0</v>
      </c>
      <c r="AH78" t="b">
        <f>AND(IF(metadata!G78="",FALSE,TRUE),EXACT(metadata!G78,"urban biome"))</f>
        <v>0</v>
      </c>
      <c r="AI78" t="b">
        <f>AND(IF(metadata!H78="",FALSE,TRUE),EXACT(metadata!H78,"human-associated habitat"))</f>
        <v>0</v>
      </c>
      <c r="AJ78" t="b">
        <f>AND(IF(metadata!I78="",FALSE,TRUE),OR(EXACT(metadata!I78,"human-associated"),EXACT(metadata!I78,"human-skin"),EXACT(metadata!I78,"human-oral"),EXACT(metadata!I78,"human-gut"),EXACT(metadata!I78,"human-vaginal")))</f>
        <v>0</v>
      </c>
      <c r="AK78" t="b">
        <f>IF(metadata!J78="",FALSE,ISNUMBER(VALUE(metadata!J78)))</f>
        <v>0</v>
      </c>
      <c r="AL78" t="b">
        <f>AND(IF(metadata!K78="",FALSE,TRUE),EXACT(metadata!K78,"cm"))</f>
        <v>0</v>
      </c>
      <c r="AM78" t="b">
        <f>AND(IF(metadata!L78="",FALSE,TRUE),EXACT(metadata!L78,"human"))</f>
        <v>0</v>
      </c>
      <c r="AN78" t="b">
        <f>AND(IF(metadata!M78="",FALSE,TRUE),EXACT(metadata!M78,"Homo sapiens"))</f>
        <v>0</v>
      </c>
      <c r="AO78" t="b">
        <f>AND(IF(metadata!N78="",FALSE,TRUE),EXACT(metadata!N78,"9606"))</f>
        <v>0</v>
      </c>
      <c r="AP78" t="b">
        <f>IF(metadata!O78="",FALSE,TRUE)</f>
        <v>0</v>
      </c>
      <c r="AQ78" t="b">
        <f>IF(metadata!P78="",FALSE,TRUE)</f>
        <v>0</v>
      </c>
      <c r="AR78" t="b">
        <f>IF(metadata!Q78="",FALSE,ISNUMBER(VALUE(metadata!Q78)))</f>
        <v>0</v>
      </c>
      <c r="AS78" t="b">
        <f>AND(IF(metadata!R78="",FALSE,TRUE),EXACT(metadata!R78,"kg"))</f>
        <v>0</v>
      </c>
    </row>
    <row r="79" spans="1:45" x14ac:dyDescent="0.2">
      <c r="A79" s="5" t="str">
        <f ca="1">IF(B79=" "," ",HYPERLINK(CONCATENATE("#metadata!",ADDRESS(INDEX($X$2:$X$1001,MATCH(ROWS($V$2:V79),$V$2:$V$1001,0),0),1)),INDEX($AA$2:$AA$1001,MATCH(ROWS($V$2:V79),$V$2:$V$1001,0),0)))</f>
        <v xml:space="preserve"> </v>
      </c>
      <c r="B79" s="4" t="str">
        <f ca="1">IF(OR(INDEX($W$2:$W$1001,MATCH(ROWS($V$2:V79),$V$2:$V$1001,0),1)&gt;=100000,INDEX($AC$1005:$AS$1005,1,MATCH(COLUMNS($AC$1006:AC1006),$AC$1006:$AS$1006,0))&gt;=100000), " ",IF(INDEX($AC$2:$AS$1001,MATCH(ROWS($V$2:V79),$V$2:$V$1001,0),MATCH(COLUMNS($AC$1006:AC1006),$AC$1006:$AS$1006,0)), HYPERLINK("#",""), HYPERLINK(CONCATENATE("#metadata!", ADDRESS(INDEX($X$2:$X$1001,MATCH(ROWS($V$2:V79),$V$2:$V$1001,0),0), INDEX($AC$1004:$AS$1004,1,MATCH(COLUMNS($AC$1006:AC1006),$AC$1006:$AS$1006,0)))),"Fix")))</f>
        <v xml:space="preserve"> </v>
      </c>
      <c r="C79" s="4" t="str">
        <f ca="1">IF(OR(INDEX($W$2:$W$1001,MATCH(ROWS($V$2:V79),$V$2:$V$1001,0),1)&gt;=100000,INDEX($AC$1005:$AS$1005,1,MATCH(COLUMNS($AC$1006:AD1006),$AC$1006:$AS$1006,0))&gt;=100000), " ",IF(INDEX($AC$2:$AS$1001,MATCH(ROWS($V$2:V79),$V$2:$V$1001,0),MATCH(COLUMNS($AC$1006:AD1006),$AC$1006:$AS$1006,0)), HYPERLINK("#",""), HYPERLINK(CONCATENATE("#metadata!", ADDRESS(INDEX($X$2:$X$1001,MATCH(ROWS($V$2:V79),$V$2:$V$1001,0),0), INDEX($AC$1004:$AS$1004,1,MATCH(COLUMNS($AC$1006:AD1006),$AC$1006:$AS$1006,0)))),"Fix")))</f>
        <v xml:space="preserve"> </v>
      </c>
      <c r="D79" s="4" t="str">
        <f ca="1">IF(OR(INDEX($W$2:$W$1001,MATCH(ROWS($V$2:V79),$V$2:$V$1001,0),1)&gt;=100000,INDEX($AC$1005:$AS$1005,1,MATCH(COLUMNS($AC$1006:AE1006),$AC$1006:$AS$1006,0))&gt;=100000), " ",IF(INDEX($AC$2:$AS$1001,MATCH(ROWS($V$2:V79),$V$2:$V$1001,0),MATCH(COLUMNS($AC$1006:AE1006),$AC$1006:$AS$1006,0)), HYPERLINK("#",""), HYPERLINK(CONCATENATE("#metadata!", ADDRESS(INDEX($X$2:$X$1001,MATCH(ROWS($V$2:V79),$V$2:$V$1001,0),0), INDEX($AC$1004:$AS$1004,1,MATCH(COLUMNS($AC$1006:AE1006),$AC$1006:$AS$1006,0)))),"Fix")))</f>
        <v xml:space="preserve"> </v>
      </c>
      <c r="E79" s="4" t="str">
        <f ca="1">IF(OR(INDEX($W$2:$W$1001,MATCH(ROWS($V$2:V79),$V$2:$V$1001,0),1)&gt;=100000,INDEX($AC$1005:$AS$1005,1,MATCH(COLUMNS($AC$1006:AF1006),$AC$1006:$AS$1006,0))&gt;=100000), " ",IF(INDEX($AC$2:$AS$1001,MATCH(ROWS($V$2:V79),$V$2:$V$1001,0),MATCH(COLUMNS($AC$1006:AF1006),$AC$1006:$AS$1006,0)), HYPERLINK("#",""), HYPERLINK(CONCATENATE("#metadata!", ADDRESS(INDEX($X$2:$X$1001,MATCH(ROWS($V$2:V79),$V$2:$V$1001,0),0), INDEX($AC$1004:$AS$1004,1,MATCH(COLUMNS($AC$1006:AF1006),$AC$1006:$AS$1006,0)))),"Fix")))</f>
        <v xml:space="preserve"> </v>
      </c>
      <c r="F79" s="4" t="str">
        <f ca="1">IF(OR(INDEX($W$2:$W$1001,MATCH(ROWS($V$2:V79),$V$2:$V$1001,0),1)&gt;=100000,INDEX($AC$1005:$AS$1005,1,MATCH(COLUMNS($AC$1006:AG1006),$AC$1006:$AS$1006,0))&gt;=100000), " ",IF(INDEX($AC$2:$AS$1001,MATCH(ROWS($V$2:V79),$V$2:$V$1001,0),MATCH(COLUMNS($AC$1006:AG1006),$AC$1006:$AS$1006,0)), HYPERLINK("#",""), HYPERLINK(CONCATENATE("#metadata!", ADDRESS(INDEX($X$2:$X$1001,MATCH(ROWS($V$2:V79),$V$2:$V$1001,0),0), INDEX($AC$1004:$AS$1004,1,MATCH(COLUMNS($AC$1006:AG1006),$AC$1006:$AS$1006,0)))),"Fix")))</f>
        <v xml:space="preserve"> </v>
      </c>
      <c r="G79" s="4" t="str">
        <f ca="1">IF(OR(INDEX($W$2:$W$1001,MATCH(ROWS($V$2:V79),$V$2:$V$1001,0),1)&gt;=100000,INDEX($AC$1005:$AS$1005,1,MATCH(COLUMNS($AC$1006:AH1006),$AC$1006:$AS$1006,0))&gt;=100000), " ",IF(INDEX($AC$2:$AS$1001,MATCH(ROWS($V$2:V79),$V$2:$V$1001,0),MATCH(COLUMNS($AC$1006:AH1006),$AC$1006:$AS$1006,0)), HYPERLINK("#",""), HYPERLINK(CONCATENATE("#metadata!", ADDRESS(INDEX($X$2:$X$1001,MATCH(ROWS($V$2:V79),$V$2:$V$1001,0),0), INDEX($AC$1004:$AS$1004,1,MATCH(COLUMNS($AC$1006:AH1006),$AC$1006:$AS$1006,0)))),"Fix")))</f>
        <v xml:space="preserve"> </v>
      </c>
      <c r="H79" s="4" t="str">
        <f ca="1">IF(OR(INDEX($W$2:$W$1001,MATCH(ROWS($V$2:V79),$V$2:$V$1001,0),1)&gt;=100000,INDEX($AC$1005:$AS$1005,1,MATCH(COLUMNS($AC$1006:AI1006),$AC$1006:$AS$1006,0))&gt;=100000), " ",IF(INDEX($AC$2:$AS$1001,MATCH(ROWS($V$2:V79),$V$2:$V$1001,0),MATCH(COLUMNS($AC$1006:AI1006),$AC$1006:$AS$1006,0)), HYPERLINK("#",""), HYPERLINK(CONCATENATE("#metadata!", ADDRESS(INDEX($X$2:$X$1001,MATCH(ROWS($V$2:V79),$V$2:$V$1001,0),0), INDEX($AC$1004:$AS$1004,1,MATCH(COLUMNS($AC$1006:AI1006),$AC$1006:$AS$1006,0)))),"Fix")))</f>
        <v xml:space="preserve"> </v>
      </c>
      <c r="I79" s="4" t="str">
        <f ca="1">IF(OR(INDEX($W$2:$W$1001,MATCH(ROWS($V$2:V79),$V$2:$V$1001,0),1)&gt;=100000,INDEX($AC$1005:$AS$1005,1,MATCH(COLUMNS($AC$1006:AJ1006),$AC$1006:$AS$1006,0))&gt;=100000), " ",IF(INDEX($AC$2:$AS$1001,MATCH(ROWS($V$2:V79),$V$2:$V$1001,0),MATCH(COLUMNS($AC$1006:AJ1006),$AC$1006:$AS$1006,0)), HYPERLINK("#",""), HYPERLINK(CONCATENATE("#metadata!", ADDRESS(INDEX($X$2:$X$1001,MATCH(ROWS($V$2:V79),$V$2:$V$1001,0),0), INDEX($AC$1004:$AS$1004,1,MATCH(COLUMNS($AC$1006:AJ1006),$AC$1006:$AS$1006,0)))),"Fix")))</f>
        <v xml:space="preserve"> </v>
      </c>
      <c r="J79" s="4" t="str">
        <f ca="1">IF(OR(INDEX($W$2:$W$1001,MATCH(ROWS($V$2:V79),$V$2:$V$1001,0),1)&gt;=100000,INDEX($AC$1005:$AS$1005,1,MATCH(COLUMNS($AC$1006:AK1006),$AC$1006:$AS$1006,0))&gt;=100000), " ",IF(INDEX($AC$2:$AS$1001,MATCH(ROWS($V$2:V79),$V$2:$V$1001,0),MATCH(COLUMNS($AC$1006:AK1006),$AC$1006:$AS$1006,0)), HYPERLINK("#",""), HYPERLINK(CONCATENATE("#metadata!", ADDRESS(INDEX($X$2:$X$1001,MATCH(ROWS($V$2:V79),$V$2:$V$1001,0),0), INDEX($AC$1004:$AS$1004,1,MATCH(COLUMNS($AC$1006:AK1006),$AC$1006:$AS$1006,0)))),"Fix")))</f>
        <v xml:space="preserve"> </v>
      </c>
      <c r="K79" s="4" t="str">
        <f ca="1">IF(OR(INDEX($W$2:$W$1001,MATCH(ROWS($V$2:V79),$V$2:$V$1001,0),1)&gt;=100000,INDEX($AC$1005:$AS$1005,1,MATCH(COLUMNS($AC$1006:AL1006),$AC$1006:$AS$1006,0))&gt;=100000), " ",IF(INDEX($AC$2:$AS$1001,MATCH(ROWS($V$2:V79),$V$2:$V$1001,0),MATCH(COLUMNS($AC$1006:AL1006),$AC$1006:$AS$1006,0)), HYPERLINK("#",""), HYPERLINK(CONCATENATE("#metadata!", ADDRESS(INDEX($X$2:$X$1001,MATCH(ROWS($V$2:V79),$V$2:$V$1001,0),0), INDEX($AC$1004:$AS$1004,1,MATCH(COLUMNS($AC$1006:AL1006),$AC$1006:$AS$1006,0)))),"Fix")))</f>
        <v xml:space="preserve"> </v>
      </c>
      <c r="L79" s="4" t="str">
        <f ca="1">IF(OR(INDEX($W$2:$W$1001,MATCH(ROWS($V$2:V79),$V$2:$V$1001,0),1)&gt;=100000,INDEX($AC$1005:$AS$1005,1,MATCH(COLUMNS($AC$1006:AM1006),$AC$1006:$AS$1006,0))&gt;=100000), " ",IF(INDEX($AC$2:$AS$1001,MATCH(ROWS($V$2:V79),$V$2:$V$1001,0),MATCH(COLUMNS($AC$1006:AM1006),$AC$1006:$AS$1006,0)), HYPERLINK("#",""), HYPERLINK(CONCATENATE("#metadata!", ADDRESS(INDEX($X$2:$X$1001,MATCH(ROWS($V$2:V79),$V$2:$V$1001,0),0), INDEX($AC$1004:$AS$1004,1,MATCH(COLUMNS($AC$1006:AM1006),$AC$1006:$AS$1006,0)))),"Fix")))</f>
        <v xml:space="preserve"> </v>
      </c>
      <c r="M79" s="4" t="str">
        <f ca="1">IF(OR(INDEX($W$2:$W$1001,MATCH(ROWS($V$2:V79),$V$2:$V$1001,0),1)&gt;=100000,INDEX($AC$1005:$AS$1005,1,MATCH(COLUMNS($AC$1006:AN1006),$AC$1006:$AS$1006,0))&gt;=100000), " ",IF(INDEX($AC$2:$AS$1001,MATCH(ROWS($V$2:V79),$V$2:$V$1001,0),MATCH(COLUMNS($AC$1006:AN1006),$AC$1006:$AS$1006,0)), HYPERLINK("#",""), HYPERLINK(CONCATENATE("#metadata!", ADDRESS(INDEX($X$2:$X$1001,MATCH(ROWS($V$2:V79),$V$2:$V$1001,0),0), INDEX($AC$1004:$AS$1004,1,MATCH(COLUMNS($AC$1006:AN1006),$AC$1006:$AS$1006,0)))),"Fix")))</f>
        <v xml:space="preserve"> </v>
      </c>
      <c r="N79" s="4" t="str">
        <f ca="1">IF(OR(INDEX($W$2:$W$1001,MATCH(ROWS($V$2:V79),$V$2:$V$1001,0),1)&gt;=100000,INDEX($AC$1005:$AS$1005,1,MATCH(COLUMNS($AC$1006:AO1006),$AC$1006:$AS$1006,0))&gt;=100000), " ",IF(INDEX($AC$2:$AS$1001,MATCH(ROWS($V$2:V79),$V$2:$V$1001,0),MATCH(COLUMNS($AC$1006:AO1006),$AC$1006:$AS$1006,0)), HYPERLINK("#",""), HYPERLINK(CONCATENATE("#metadata!", ADDRESS(INDEX($X$2:$X$1001,MATCH(ROWS($V$2:V79),$V$2:$V$1001,0),0), INDEX($AC$1004:$AS$1004,1,MATCH(COLUMNS($AC$1006:AO1006),$AC$1006:$AS$1006,0)))),"Fix")))</f>
        <v xml:space="preserve"> </v>
      </c>
      <c r="O79" s="4" t="str">
        <f ca="1">IF(OR(INDEX($W$2:$W$1001,MATCH(ROWS($V$2:V79),$V$2:$V$1001,0),1)&gt;=100000,INDEX($AC$1005:$AS$1005,1,MATCH(COLUMNS($AC$1006:AP1006),$AC$1006:$AS$1006,0))&gt;=100000), " ",IF(INDEX($AC$2:$AS$1001,MATCH(ROWS($V$2:V79),$V$2:$V$1001,0),MATCH(COLUMNS($AC$1006:AP1006),$AC$1006:$AS$1006,0)), HYPERLINK("#",""), HYPERLINK(CONCATENATE("#metadata!", ADDRESS(INDEX($X$2:$X$1001,MATCH(ROWS($V$2:V79),$V$2:$V$1001,0),0), INDEX($AC$1004:$AS$1004,1,MATCH(COLUMNS($AC$1006:AP1006),$AC$1006:$AS$1006,0)))),"Fix")))</f>
        <v xml:space="preserve"> </v>
      </c>
      <c r="P79" s="4" t="str">
        <f ca="1">IF(OR(INDEX($W$2:$W$1001,MATCH(ROWS($V$2:V79),$V$2:$V$1001,0),1)&gt;=100000,INDEX($AC$1005:$AS$1005,1,MATCH(COLUMNS($AC$1006:AQ1006),$AC$1006:$AS$1006,0))&gt;=100000), " ",IF(INDEX($AC$2:$AS$1001,MATCH(ROWS($V$2:V79),$V$2:$V$1001,0),MATCH(COLUMNS($AC$1006:AQ1006),$AC$1006:$AS$1006,0)), HYPERLINK("#",""), HYPERLINK(CONCATENATE("#metadata!", ADDRESS(INDEX($X$2:$X$1001,MATCH(ROWS($V$2:V79),$V$2:$V$1001,0),0), INDEX($AC$1004:$AS$1004,1,MATCH(COLUMNS($AC$1006:AQ1006),$AC$1006:$AS$1006,0)))),"Fix")))</f>
        <v xml:space="preserve"> </v>
      </c>
      <c r="Q79" s="4" t="str">
        <f ca="1">IF(OR(INDEX($W$2:$W$1001,MATCH(ROWS($V$2:V79),$V$2:$V$1001,0),1)&gt;=100000,INDEX($AC$1005:$AS$1005,1,MATCH(COLUMNS($AC$1006:AR1006),$AC$1006:$AS$1006,0))&gt;=100000), " ",IF(INDEX($AC$2:$AS$1001,MATCH(ROWS($V$2:V79),$V$2:$V$1001,0),MATCH(COLUMNS($AC$1006:AR1006),$AC$1006:$AS$1006,0)), HYPERLINK("#",""), HYPERLINK(CONCATENATE("#metadata!", ADDRESS(INDEX($X$2:$X$1001,MATCH(ROWS($V$2:V79),$V$2:$V$1001,0),0), INDEX($AC$1004:$AS$1004,1,MATCH(COLUMNS($AC$1006:AR1006),$AC$1006:$AS$1006,0)))),"Fix")))</f>
        <v xml:space="preserve"> </v>
      </c>
      <c r="R79" s="4" t="str">
        <f ca="1">IF(OR(INDEX($W$2:$W$1001,MATCH(ROWS($V$2:V79),$V$2:$V$1001,0),1)&gt;=100000,INDEX($AC$1005:$AS$1005,1,MATCH(COLUMNS($AC$1006:AS1006),$AC$1006:$AS$1006,0))&gt;=100000), " ",IF(INDEX($AC$2:$AS$1001,MATCH(ROWS($V$2:V79),$V$2:$V$1001,0),MATCH(COLUMNS($AC$1006:AS1006),$AC$1006:$AS$1006,0)), HYPERLINK("#",""), HYPERLINK(CONCATENATE("#metadata!", ADDRESS(INDEX($X$2:$X$1001,MATCH(ROWS($V$2:V79),$V$2:$V$1001,0),0), INDEX($AC$1004:$AS$1004,1,MATCH(COLUMNS($AC$1006:AS1006),$AC$1006:$AS$1006,0)))),"Fix")))</f>
        <v xml:space="preserve"> </v>
      </c>
      <c r="V79">
        <v>78</v>
      </c>
      <c r="W79">
        <v>100079</v>
      </c>
      <c r="X79">
        <v>79</v>
      </c>
      <c r="Y79" t="b">
        <f t="shared" si="1"/>
        <v>1</v>
      </c>
      <c r="Z79" t="b">
        <f>COUNTBLANK(metadata!B79:R79)=COLUMNS(metadata!B79:R79)</f>
        <v>1</v>
      </c>
      <c r="AA79" t="str">
        <v/>
      </c>
      <c r="AC79" t="b">
        <f ca="1"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AD79" t="b">
        <f>IF(metadata!C79="",FALSE,ISNUMBER(VALUE(metadata!C79)))</f>
        <v>0</v>
      </c>
      <c r="AE79" t="b">
        <f>AND(IF(metadata!D79="",FALSE,TRUE),EXACT(metadata!D79,"years"))</f>
        <v>0</v>
      </c>
      <c r="AF79" t="b">
        <f>OR(AND(IF(metadata!E79="",FALSE,TRUE),OR(EXACT(metadata!E79,"not applicable"),EXACT(metadata!E79,"missing: not collected"),EXACT(metadata!E79,"missing: not provided"),EXACT(metadata!E79,"missing: restricted access"))),AND(IF(metadata!E79="",FALSE,ISNUMBER(VALUE(metadata!E79))),metadata!E79&gt;0))</f>
        <v>0</v>
      </c>
      <c r="AG79" t="b">
        <f>AND(IF(metadata!F79="",FALSE,TRUE),EXACT(metadata!F79,"Not applicable"))</f>
        <v>0</v>
      </c>
      <c r="AH79" t="b">
        <f>AND(IF(metadata!G79="",FALSE,TRUE),EXACT(metadata!G79,"urban biome"))</f>
        <v>0</v>
      </c>
      <c r="AI79" t="b">
        <f>AND(IF(metadata!H79="",FALSE,TRUE),EXACT(metadata!H79,"human-associated habitat"))</f>
        <v>0</v>
      </c>
      <c r="AJ79" t="b">
        <f>AND(IF(metadata!I79="",FALSE,TRUE),OR(EXACT(metadata!I79,"human-associated"),EXACT(metadata!I79,"human-skin"),EXACT(metadata!I79,"human-oral"),EXACT(metadata!I79,"human-gut"),EXACT(metadata!I79,"human-vaginal")))</f>
        <v>0</v>
      </c>
      <c r="AK79" t="b">
        <f>IF(metadata!J79="",FALSE,ISNUMBER(VALUE(metadata!J79)))</f>
        <v>0</v>
      </c>
      <c r="AL79" t="b">
        <f>AND(IF(metadata!K79="",FALSE,TRUE),EXACT(metadata!K79,"cm"))</f>
        <v>0</v>
      </c>
      <c r="AM79" t="b">
        <f>AND(IF(metadata!L79="",FALSE,TRUE),EXACT(metadata!L79,"human"))</f>
        <v>0</v>
      </c>
      <c r="AN79" t="b">
        <f>AND(IF(metadata!M79="",FALSE,TRUE),EXACT(metadata!M79,"Homo sapiens"))</f>
        <v>0</v>
      </c>
      <c r="AO79" t="b">
        <f>AND(IF(metadata!N79="",FALSE,TRUE),EXACT(metadata!N79,"9606"))</f>
        <v>0</v>
      </c>
      <c r="AP79" t="b">
        <f>IF(metadata!O79="",FALSE,TRUE)</f>
        <v>0</v>
      </c>
      <c r="AQ79" t="b">
        <f>IF(metadata!P79="",FALSE,TRUE)</f>
        <v>0</v>
      </c>
      <c r="AR79" t="b">
        <f>IF(metadata!Q79="",FALSE,ISNUMBER(VALUE(metadata!Q79)))</f>
        <v>0</v>
      </c>
      <c r="AS79" t="b">
        <f>AND(IF(metadata!R79="",FALSE,TRUE),EXACT(metadata!R79,"kg"))</f>
        <v>0</v>
      </c>
    </row>
    <row r="80" spans="1:45" x14ac:dyDescent="0.2">
      <c r="A80" s="5" t="str">
        <f ca="1">IF(B80=" "," ",HYPERLINK(CONCATENATE("#metadata!",ADDRESS(INDEX($X$2:$X$1001,MATCH(ROWS($V$2:V80),$V$2:$V$1001,0),0),1)),INDEX($AA$2:$AA$1001,MATCH(ROWS($V$2:V80),$V$2:$V$1001,0),0)))</f>
        <v xml:space="preserve"> </v>
      </c>
      <c r="B80" s="4" t="str">
        <f ca="1">IF(OR(INDEX($W$2:$W$1001,MATCH(ROWS($V$2:V80),$V$2:$V$1001,0),1)&gt;=100000,INDEX($AC$1005:$AS$1005,1,MATCH(COLUMNS($AC$1006:AC1006),$AC$1006:$AS$1006,0))&gt;=100000), " ",IF(INDEX($AC$2:$AS$1001,MATCH(ROWS($V$2:V80),$V$2:$V$1001,0),MATCH(COLUMNS($AC$1006:AC1006),$AC$1006:$AS$1006,0)), HYPERLINK("#",""), HYPERLINK(CONCATENATE("#metadata!", ADDRESS(INDEX($X$2:$X$1001,MATCH(ROWS($V$2:V80),$V$2:$V$1001,0),0), INDEX($AC$1004:$AS$1004,1,MATCH(COLUMNS($AC$1006:AC1006),$AC$1006:$AS$1006,0)))),"Fix")))</f>
        <v xml:space="preserve"> </v>
      </c>
      <c r="C80" s="4" t="str">
        <f ca="1">IF(OR(INDEX($W$2:$W$1001,MATCH(ROWS($V$2:V80),$V$2:$V$1001,0),1)&gt;=100000,INDEX($AC$1005:$AS$1005,1,MATCH(COLUMNS($AC$1006:AD1006),$AC$1006:$AS$1006,0))&gt;=100000), " ",IF(INDEX($AC$2:$AS$1001,MATCH(ROWS($V$2:V80),$V$2:$V$1001,0),MATCH(COLUMNS($AC$1006:AD1006),$AC$1006:$AS$1006,0)), HYPERLINK("#",""), HYPERLINK(CONCATENATE("#metadata!", ADDRESS(INDEX($X$2:$X$1001,MATCH(ROWS($V$2:V80),$V$2:$V$1001,0),0), INDEX($AC$1004:$AS$1004,1,MATCH(COLUMNS($AC$1006:AD1006),$AC$1006:$AS$1006,0)))),"Fix")))</f>
        <v xml:space="preserve"> </v>
      </c>
      <c r="D80" s="4" t="str">
        <f ca="1">IF(OR(INDEX($W$2:$W$1001,MATCH(ROWS($V$2:V80),$V$2:$V$1001,0),1)&gt;=100000,INDEX($AC$1005:$AS$1005,1,MATCH(COLUMNS($AC$1006:AE1006),$AC$1006:$AS$1006,0))&gt;=100000), " ",IF(INDEX($AC$2:$AS$1001,MATCH(ROWS($V$2:V80),$V$2:$V$1001,0),MATCH(COLUMNS($AC$1006:AE1006),$AC$1006:$AS$1006,0)), HYPERLINK("#",""), HYPERLINK(CONCATENATE("#metadata!", ADDRESS(INDEX($X$2:$X$1001,MATCH(ROWS($V$2:V80),$V$2:$V$1001,0),0), INDEX($AC$1004:$AS$1004,1,MATCH(COLUMNS($AC$1006:AE1006),$AC$1006:$AS$1006,0)))),"Fix")))</f>
        <v xml:space="preserve"> </v>
      </c>
      <c r="E80" s="4" t="str">
        <f ca="1">IF(OR(INDEX($W$2:$W$1001,MATCH(ROWS($V$2:V80),$V$2:$V$1001,0),1)&gt;=100000,INDEX($AC$1005:$AS$1005,1,MATCH(COLUMNS($AC$1006:AF1006),$AC$1006:$AS$1006,0))&gt;=100000), " ",IF(INDEX($AC$2:$AS$1001,MATCH(ROWS($V$2:V80),$V$2:$V$1001,0),MATCH(COLUMNS($AC$1006:AF1006),$AC$1006:$AS$1006,0)), HYPERLINK("#",""), HYPERLINK(CONCATENATE("#metadata!", ADDRESS(INDEX($X$2:$X$1001,MATCH(ROWS($V$2:V80),$V$2:$V$1001,0),0), INDEX($AC$1004:$AS$1004,1,MATCH(COLUMNS($AC$1006:AF1006),$AC$1006:$AS$1006,0)))),"Fix")))</f>
        <v xml:space="preserve"> </v>
      </c>
      <c r="F80" s="4" t="str">
        <f ca="1">IF(OR(INDEX($W$2:$W$1001,MATCH(ROWS($V$2:V80),$V$2:$V$1001,0),1)&gt;=100000,INDEX($AC$1005:$AS$1005,1,MATCH(COLUMNS($AC$1006:AG1006),$AC$1006:$AS$1006,0))&gt;=100000), " ",IF(INDEX($AC$2:$AS$1001,MATCH(ROWS($V$2:V80),$V$2:$V$1001,0),MATCH(COLUMNS($AC$1006:AG1006),$AC$1006:$AS$1006,0)), HYPERLINK("#",""), HYPERLINK(CONCATENATE("#metadata!", ADDRESS(INDEX($X$2:$X$1001,MATCH(ROWS($V$2:V80),$V$2:$V$1001,0),0), INDEX($AC$1004:$AS$1004,1,MATCH(COLUMNS($AC$1006:AG1006),$AC$1006:$AS$1006,0)))),"Fix")))</f>
        <v xml:space="preserve"> </v>
      </c>
      <c r="G80" s="4" t="str">
        <f ca="1">IF(OR(INDEX($W$2:$W$1001,MATCH(ROWS($V$2:V80),$V$2:$V$1001,0),1)&gt;=100000,INDEX($AC$1005:$AS$1005,1,MATCH(COLUMNS($AC$1006:AH1006),$AC$1006:$AS$1006,0))&gt;=100000), " ",IF(INDEX($AC$2:$AS$1001,MATCH(ROWS($V$2:V80),$V$2:$V$1001,0),MATCH(COLUMNS($AC$1006:AH1006),$AC$1006:$AS$1006,0)), HYPERLINK("#",""), HYPERLINK(CONCATENATE("#metadata!", ADDRESS(INDEX($X$2:$X$1001,MATCH(ROWS($V$2:V80),$V$2:$V$1001,0),0), INDEX($AC$1004:$AS$1004,1,MATCH(COLUMNS($AC$1006:AH1006),$AC$1006:$AS$1006,0)))),"Fix")))</f>
        <v xml:space="preserve"> </v>
      </c>
      <c r="H80" s="4" t="str">
        <f ca="1">IF(OR(INDEX($W$2:$W$1001,MATCH(ROWS($V$2:V80),$V$2:$V$1001,0),1)&gt;=100000,INDEX($AC$1005:$AS$1005,1,MATCH(COLUMNS($AC$1006:AI1006),$AC$1006:$AS$1006,0))&gt;=100000), " ",IF(INDEX($AC$2:$AS$1001,MATCH(ROWS($V$2:V80),$V$2:$V$1001,0),MATCH(COLUMNS($AC$1006:AI1006),$AC$1006:$AS$1006,0)), HYPERLINK("#",""), HYPERLINK(CONCATENATE("#metadata!", ADDRESS(INDEX($X$2:$X$1001,MATCH(ROWS($V$2:V80),$V$2:$V$1001,0),0), INDEX($AC$1004:$AS$1004,1,MATCH(COLUMNS($AC$1006:AI1006),$AC$1006:$AS$1006,0)))),"Fix")))</f>
        <v xml:space="preserve"> </v>
      </c>
      <c r="I80" s="4" t="str">
        <f ca="1">IF(OR(INDEX($W$2:$W$1001,MATCH(ROWS($V$2:V80),$V$2:$V$1001,0),1)&gt;=100000,INDEX($AC$1005:$AS$1005,1,MATCH(COLUMNS($AC$1006:AJ1006),$AC$1006:$AS$1006,0))&gt;=100000), " ",IF(INDEX($AC$2:$AS$1001,MATCH(ROWS($V$2:V80),$V$2:$V$1001,0),MATCH(COLUMNS($AC$1006:AJ1006),$AC$1006:$AS$1006,0)), HYPERLINK("#",""), HYPERLINK(CONCATENATE("#metadata!", ADDRESS(INDEX($X$2:$X$1001,MATCH(ROWS($V$2:V80),$V$2:$V$1001,0),0), INDEX($AC$1004:$AS$1004,1,MATCH(COLUMNS($AC$1006:AJ1006),$AC$1006:$AS$1006,0)))),"Fix")))</f>
        <v xml:space="preserve"> </v>
      </c>
      <c r="J80" s="4" t="str">
        <f ca="1">IF(OR(INDEX($W$2:$W$1001,MATCH(ROWS($V$2:V80),$V$2:$V$1001,0),1)&gt;=100000,INDEX($AC$1005:$AS$1005,1,MATCH(COLUMNS($AC$1006:AK1006),$AC$1006:$AS$1006,0))&gt;=100000), " ",IF(INDEX($AC$2:$AS$1001,MATCH(ROWS($V$2:V80),$V$2:$V$1001,0),MATCH(COLUMNS($AC$1006:AK1006),$AC$1006:$AS$1006,0)), HYPERLINK("#",""), HYPERLINK(CONCATENATE("#metadata!", ADDRESS(INDEX($X$2:$X$1001,MATCH(ROWS($V$2:V80),$V$2:$V$1001,0),0), INDEX($AC$1004:$AS$1004,1,MATCH(COLUMNS($AC$1006:AK1006),$AC$1006:$AS$1006,0)))),"Fix")))</f>
        <v xml:space="preserve"> </v>
      </c>
      <c r="K80" s="4" t="str">
        <f ca="1">IF(OR(INDEX($W$2:$W$1001,MATCH(ROWS($V$2:V80),$V$2:$V$1001,0),1)&gt;=100000,INDEX($AC$1005:$AS$1005,1,MATCH(COLUMNS($AC$1006:AL1006),$AC$1006:$AS$1006,0))&gt;=100000), " ",IF(INDEX($AC$2:$AS$1001,MATCH(ROWS($V$2:V80),$V$2:$V$1001,0),MATCH(COLUMNS($AC$1006:AL1006),$AC$1006:$AS$1006,0)), HYPERLINK("#",""), HYPERLINK(CONCATENATE("#metadata!", ADDRESS(INDEX($X$2:$X$1001,MATCH(ROWS($V$2:V80),$V$2:$V$1001,0),0), INDEX($AC$1004:$AS$1004,1,MATCH(COLUMNS($AC$1006:AL1006),$AC$1006:$AS$1006,0)))),"Fix")))</f>
        <v xml:space="preserve"> </v>
      </c>
      <c r="L80" s="4" t="str">
        <f ca="1">IF(OR(INDEX($W$2:$W$1001,MATCH(ROWS($V$2:V80),$V$2:$V$1001,0),1)&gt;=100000,INDEX($AC$1005:$AS$1005,1,MATCH(COLUMNS($AC$1006:AM1006),$AC$1006:$AS$1006,0))&gt;=100000), " ",IF(INDEX($AC$2:$AS$1001,MATCH(ROWS($V$2:V80),$V$2:$V$1001,0),MATCH(COLUMNS($AC$1006:AM1006),$AC$1006:$AS$1006,0)), HYPERLINK("#",""), HYPERLINK(CONCATENATE("#metadata!", ADDRESS(INDEX($X$2:$X$1001,MATCH(ROWS($V$2:V80),$V$2:$V$1001,0),0), INDEX($AC$1004:$AS$1004,1,MATCH(COLUMNS($AC$1006:AM1006),$AC$1006:$AS$1006,0)))),"Fix")))</f>
        <v xml:space="preserve"> </v>
      </c>
      <c r="M80" s="4" t="str">
        <f ca="1">IF(OR(INDEX($W$2:$W$1001,MATCH(ROWS($V$2:V80),$V$2:$V$1001,0),1)&gt;=100000,INDEX($AC$1005:$AS$1005,1,MATCH(COLUMNS($AC$1006:AN1006),$AC$1006:$AS$1006,0))&gt;=100000), " ",IF(INDEX($AC$2:$AS$1001,MATCH(ROWS($V$2:V80),$V$2:$V$1001,0),MATCH(COLUMNS($AC$1006:AN1006),$AC$1006:$AS$1006,0)), HYPERLINK("#",""), HYPERLINK(CONCATENATE("#metadata!", ADDRESS(INDEX($X$2:$X$1001,MATCH(ROWS($V$2:V80),$V$2:$V$1001,0),0), INDEX($AC$1004:$AS$1004,1,MATCH(COLUMNS($AC$1006:AN1006),$AC$1006:$AS$1006,0)))),"Fix")))</f>
        <v xml:space="preserve"> </v>
      </c>
      <c r="N80" s="4" t="str">
        <f ca="1">IF(OR(INDEX($W$2:$W$1001,MATCH(ROWS($V$2:V80),$V$2:$V$1001,0),1)&gt;=100000,INDEX($AC$1005:$AS$1005,1,MATCH(COLUMNS($AC$1006:AO1006),$AC$1006:$AS$1006,0))&gt;=100000), " ",IF(INDEX($AC$2:$AS$1001,MATCH(ROWS($V$2:V80),$V$2:$V$1001,0),MATCH(COLUMNS($AC$1006:AO1006),$AC$1006:$AS$1006,0)), HYPERLINK("#",""), HYPERLINK(CONCATENATE("#metadata!", ADDRESS(INDEX($X$2:$X$1001,MATCH(ROWS($V$2:V80),$V$2:$V$1001,0),0), INDEX($AC$1004:$AS$1004,1,MATCH(COLUMNS($AC$1006:AO1006),$AC$1006:$AS$1006,0)))),"Fix")))</f>
        <v xml:space="preserve"> </v>
      </c>
      <c r="O80" s="4" t="str">
        <f ca="1">IF(OR(INDEX($W$2:$W$1001,MATCH(ROWS($V$2:V80),$V$2:$V$1001,0),1)&gt;=100000,INDEX($AC$1005:$AS$1005,1,MATCH(COLUMNS($AC$1006:AP1006),$AC$1006:$AS$1006,0))&gt;=100000), " ",IF(INDEX($AC$2:$AS$1001,MATCH(ROWS($V$2:V80),$V$2:$V$1001,0),MATCH(COLUMNS($AC$1006:AP1006),$AC$1006:$AS$1006,0)), HYPERLINK("#",""), HYPERLINK(CONCATENATE("#metadata!", ADDRESS(INDEX($X$2:$X$1001,MATCH(ROWS($V$2:V80),$V$2:$V$1001,0),0), INDEX($AC$1004:$AS$1004,1,MATCH(COLUMNS($AC$1006:AP1006),$AC$1006:$AS$1006,0)))),"Fix")))</f>
        <v xml:space="preserve"> </v>
      </c>
      <c r="P80" s="4" t="str">
        <f ca="1">IF(OR(INDEX($W$2:$W$1001,MATCH(ROWS($V$2:V80),$V$2:$V$1001,0),1)&gt;=100000,INDEX($AC$1005:$AS$1005,1,MATCH(COLUMNS($AC$1006:AQ1006),$AC$1006:$AS$1006,0))&gt;=100000), " ",IF(INDEX($AC$2:$AS$1001,MATCH(ROWS($V$2:V80),$V$2:$V$1001,0),MATCH(COLUMNS($AC$1006:AQ1006),$AC$1006:$AS$1006,0)), HYPERLINK("#",""), HYPERLINK(CONCATENATE("#metadata!", ADDRESS(INDEX($X$2:$X$1001,MATCH(ROWS($V$2:V80),$V$2:$V$1001,0),0), INDEX($AC$1004:$AS$1004,1,MATCH(COLUMNS($AC$1006:AQ1006),$AC$1006:$AS$1006,0)))),"Fix")))</f>
        <v xml:space="preserve"> </v>
      </c>
      <c r="Q80" s="4" t="str">
        <f ca="1">IF(OR(INDEX($W$2:$W$1001,MATCH(ROWS($V$2:V80),$V$2:$V$1001,0),1)&gt;=100000,INDEX($AC$1005:$AS$1005,1,MATCH(COLUMNS($AC$1006:AR1006),$AC$1006:$AS$1006,0))&gt;=100000), " ",IF(INDEX($AC$2:$AS$1001,MATCH(ROWS($V$2:V80),$V$2:$V$1001,0),MATCH(COLUMNS($AC$1006:AR1006),$AC$1006:$AS$1006,0)), HYPERLINK("#",""), HYPERLINK(CONCATENATE("#metadata!", ADDRESS(INDEX($X$2:$X$1001,MATCH(ROWS($V$2:V80),$V$2:$V$1001,0),0), INDEX($AC$1004:$AS$1004,1,MATCH(COLUMNS($AC$1006:AR1006),$AC$1006:$AS$1006,0)))),"Fix")))</f>
        <v xml:space="preserve"> </v>
      </c>
      <c r="R80" s="4" t="str">
        <f ca="1">IF(OR(INDEX($W$2:$W$1001,MATCH(ROWS($V$2:V80),$V$2:$V$1001,0),1)&gt;=100000,INDEX($AC$1005:$AS$1005,1,MATCH(COLUMNS($AC$1006:AS1006),$AC$1006:$AS$1006,0))&gt;=100000), " ",IF(INDEX($AC$2:$AS$1001,MATCH(ROWS($V$2:V80),$V$2:$V$1001,0),MATCH(COLUMNS($AC$1006:AS1006),$AC$1006:$AS$1006,0)), HYPERLINK("#",""), HYPERLINK(CONCATENATE("#metadata!", ADDRESS(INDEX($X$2:$X$1001,MATCH(ROWS($V$2:V80),$V$2:$V$1001,0),0), INDEX($AC$1004:$AS$1004,1,MATCH(COLUMNS($AC$1006:AS1006),$AC$1006:$AS$1006,0)))),"Fix")))</f>
        <v xml:space="preserve"> </v>
      </c>
      <c r="V80">
        <v>79</v>
      </c>
      <c r="W80">
        <v>100080</v>
      </c>
      <c r="X80">
        <v>80</v>
      </c>
      <c r="Y80" t="b">
        <f t="shared" si="1"/>
        <v>1</v>
      </c>
      <c r="Z80" t="b">
        <f>COUNTBLANK(metadata!B80:R80)=COLUMNS(metadata!B80:R80)</f>
        <v>1</v>
      </c>
      <c r="AA80" t="str">
        <v/>
      </c>
      <c r="AC80" t="b">
        <f ca="1"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AD80" t="b">
        <f>IF(metadata!C80="",FALSE,ISNUMBER(VALUE(metadata!C80)))</f>
        <v>0</v>
      </c>
      <c r="AE80" t="b">
        <f>AND(IF(metadata!D80="",FALSE,TRUE),EXACT(metadata!D80,"years"))</f>
        <v>0</v>
      </c>
      <c r="AF80" t="b">
        <f>OR(AND(IF(metadata!E80="",FALSE,TRUE),OR(EXACT(metadata!E80,"not applicable"),EXACT(metadata!E80,"missing: not collected"),EXACT(metadata!E80,"missing: not provided"),EXACT(metadata!E80,"missing: restricted access"))),AND(IF(metadata!E80="",FALSE,ISNUMBER(VALUE(metadata!E80))),metadata!E80&gt;0))</f>
        <v>0</v>
      </c>
      <c r="AG80" t="b">
        <f>AND(IF(metadata!F80="",FALSE,TRUE),EXACT(metadata!F80,"Not applicable"))</f>
        <v>0</v>
      </c>
      <c r="AH80" t="b">
        <f>AND(IF(metadata!G80="",FALSE,TRUE),EXACT(metadata!G80,"urban biome"))</f>
        <v>0</v>
      </c>
      <c r="AI80" t="b">
        <f>AND(IF(metadata!H80="",FALSE,TRUE),EXACT(metadata!H80,"human-associated habitat"))</f>
        <v>0</v>
      </c>
      <c r="AJ80" t="b">
        <f>AND(IF(metadata!I80="",FALSE,TRUE),OR(EXACT(metadata!I80,"human-associated"),EXACT(metadata!I80,"human-skin"),EXACT(metadata!I80,"human-oral"),EXACT(metadata!I80,"human-gut"),EXACT(metadata!I80,"human-vaginal")))</f>
        <v>0</v>
      </c>
      <c r="AK80" t="b">
        <f>IF(metadata!J80="",FALSE,ISNUMBER(VALUE(metadata!J80)))</f>
        <v>0</v>
      </c>
      <c r="AL80" t="b">
        <f>AND(IF(metadata!K80="",FALSE,TRUE),EXACT(metadata!K80,"cm"))</f>
        <v>0</v>
      </c>
      <c r="AM80" t="b">
        <f>AND(IF(metadata!L80="",FALSE,TRUE),EXACT(metadata!L80,"human"))</f>
        <v>0</v>
      </c>
      <c r="AN80" t="b">
        <f>AND(IF(metadata!M80="",FALSE,TRUE),EXACT(metadata!M80,"Homo sapiens"))</f>
        <v>0</v>
      </c>
      <c r="AO80" t="b">
        <f>AND(IF(metadata!N80="",FALSE,TRUE),EXACT(metadata!N80,"9606"))</f>
        <v>0</v>
      </c>
      <c r="AP80" t="b">
        <f>IF(metadata!O80="",FALSE,TRUE)</f>
        <v>0</v>
      </c>
      <c r="AQ80" t="b">
        <f>IF(metadata!P80="",FALSE,TRUE)</f>
        <v>0</v>
      </c>
      <c r="AR80" t="b">
        <f>IF(metadata!Q80="",FALSE,ISNUMBER(VALUE(metadata!Q80)))</f>
        <v>0</v>
      </c>
      <c r="AS80" t="b">
        <f>AND(IF(metadata!R80="",FALSE,TRUE),EXACT(metadata!R80,"kg"))</f>
        <v>0</v>
      </c>
    </row>
    <row r="81" spans="1:45" x14ac:dyDescent="0.2">
      <c r="A81" s="5" t="str">
        <f ca="1">IF(B81=" "," ",HYPERLINK(CONCATENATE("#metadata!",ADDRESS(INDEX($X$2:$X$1001,MATCH(ROWS($V$2:V81),$V$2:$V$1001,0),0),1)),INDEX($AA$2:$AA$1001,MATCH(ROWS($V$2:V81),$V$2:$V$1001,0),0)))</f>
        <v xml:space="preserve"> </v>
      </c>
      <c r="B81" s="4" t="str">
        <f ca="1">IF(OR(INDEX($W$2:$W$1001,MATCH(ROWS($V$2:V81),$V$2:$V$1001,0),1)&gt;=100000,INDEX($AC$1005:$AS$1005,1,MATCH(COLUMNS($AC$1006:AC1006),$AC$1006:$AS$1006,0))&gt;=100000), " ",IF(INDEX($AC$2:$AS$1001,MATCH(ROWS($V$2:V81),$V$2:$V$1001,0),MATCH(COLUMNS($AC$1006:AC1006),$AC$1006:$AS$1006,0)), HYPERLINK("#",""), HYPERLINK(CONCATENATE("#metadata!", ADDRESS(INDEX($X$2:$X$1001,MATCH(ROWS($V$2:V81),$V$2:$V$1001,0),0), INDEX($AC$1004:$AS$1004,1,MATCH(COLUMNS($AC$1006:AC1006),$AC$1006:$AS$1006,0)))),"Fix")))</f>
        <v xml:space="preserve"> </v>
      </c>
      <c r="C81" s="4" t="str">
        <f ca="1">IF(OR(INDEX($W$2:$W$1001,MATCH(ROWS($V$2:V81),$V$2:$V$1001,0),1)&gt;=100000,INDEX($AC$1005:$AS$1005,1,MATCH(COLUMNS($AC$1006:AD1006),$AC$1006:$AS$1006,0))&gt;=100000), " ",IF(INDEX($AC$2:$AS$1001,MATCH(ROWS($V$2:V81),$V$2:$V$1001,0),MATCH(COLUMNS($AC$1006:AD1006),$AC$1006:$AS$1006,0)), HYPERLINK("#",""), HYPERLINK(CONCATENATE("#metadata!", ADDRESS(INDEX($X$2:$X$1001,MATCH(ROWS($V$2:V81),$V$2:$V$1001,0),0), INDEX($AC$1004:$AS$1004,1,MATCH(COLUMNS($AC$1006:AD1006),$AC$1006:$AS$1006,0)))),"Fix")))</f>
        <v xml:space="preserve"> </v>
      </c>
      <c r="D81" s="4" t="str">
        <f ca="1">IF(OR(INDEX($W$2:$W$1001,MATCH(ROWS($V$2:V81),$V$2:$V$1001,0),1)&gt;=100000,INDEX($AC$1005:$AS$1005,1,MATCH(COLUMNS($AC$1006:AE1006),$AC$1006:$AS$1006,0))&gt;=100000), " ",IF(INDEX($AC$2:$AS$1001,MATCH(ROWS($V$2:V81),$V$2:$V$1001,0),MATCH(COLUMNS($AC$1006:AE1006),$AC$1006:$AS$1006,0)), HYPERLINK("#",""), HYPERLINK(CONCATENATE("#metadata!", ADDRESS(INDEX($X$2:$X$1001,MATCH(ROWS($V$2:V81),$V$2:$V$1001,0),0), INDEX($AC$1004:$AS$1004,1,MATCH(COLUMNS($AC$1006:AE1006),$AC$1006:$AS$1006,0)))),"Fix")))</f>
        <v xml:space="preserve"> </v>
      </c>
      <c r="E81" s="4" t="str">
        <f ca="1">IF(OR(INDEX($W$2:$W$1001,MATCH(ROWS($V$2:V81),$V$2:$V$1001,0),1)&gt;=100000,INDEX($AC$1005:$AS$1005,1,MATCH(COLUMNS($AC$1006:AF1006),$AC$1006:$AS$1006,0))&gt;=100000), " ",IF(INDEX($AC$2:$AS$1001,MATCH(ROWS($V$2:V81),$V$2:$V$1001,0),MATCH(COLUMNS($AC$1006:AF1006),$AC$1006:$AS$1006,0)), HYPERLINK("#",""), HYPERLINK(CONCATENATE("#metadata!", ADDRESS(INDEX($X$2:$X$1001,MATCH(ROWS($V$2:V81),$V$2:$V$1001,0),0), INDEX($AC$1004:$AS$1004,1,MATCH(COLUMNS($AC$1006:AF1006),$AC$1006:$AS$1006,0)))),"Fix")))</f>
        <v xml:space="preserve"> </v>
      </c>
      <c r="F81" s="4" t="str">
        <f ca="1">IF(OR(INDEX($W$2:$W$1001,MATCH(ROWS($V$2:V81),$V$2:$V$1001,0),1)&gt;=100000,INDEX($AC$1005:$AS$1005,1,MATCH(COLUMNS($AC$1006:AG1006),$AC$1006:$AS$1006,0))&gt;=100000), " ",IF(INDEX($AC$2:$AS$1001,MATCH(ROWS($V$2:V81),$V$2:$V$1001,0),MATCH(COLUMNS($AC$1006:AG1006),$AC$1006:$AS$1006,0)), HYPERLINK("#",""), HYPERLINK(CONCATENATE("#metadata!", ADDRESS(INDEX($X$2:$X$1001,MATCH(ROWS($V$2:V81),$V$2:$V$1001,0),0), INDEX($AC$1004:$AS$1004,1,MATCH(COLUMNS($AC$1006:AG1006),$AC$1006:$AS$1006,0)))),"Fix")))</f>
        <v xml:space="preserve"> </v>
      </c>
      <c r="G81" s="4" t="str">
        <f ca="1">IF(OR(INDEX($W$2:$W$1001,MATCH(ROWS($V$2:V81),$V$2:$V$1001,0),1)&gt;=100000,INDEX($AC$1005:$AS$1005,1,MATCH(COLUMNS($AC$1006:AH1006),$AC$1006:$AS$1006,0))&gt;=100000), " ",IF(INDEX($AC$2:$AS$1001,MATCH(ROWS($V$2:V81),$V$2:$V$1001,0),MATCH(COLUMNS($AC$1006:AH1006),$AC$1006:$AS$1006,0)), HYPERLINK("#",""), HYPERLINK(CONCATENATE("#metadata!", ADDRESS(INDEX($X$2:$X$1001,MATCH(ROWS($V$2:V81),$V$2:$V$1001,0),0), INDEX($AC$1004:$AS$1004,1,MATCH(COLUMNS($AC$1006:AH1006),$AC$1006:$AS$1006,0)))),"Fix")))</f>
        <v xml:space="preserve"> </v>
      </c>
      <c r="H81" s="4" t="str">
        <f ca="1">IF(OR(INDEX($W$2:$W$1001,MATCH(ROWS($V$2:V81),$V$2:$V$1001,0),1)&gt;=100000,INDEX($AC$1005:$AS$1005,1,MATCH(COLUMNS($AC$1006:AI1006),$AC$1006:$AS$1006,0))&gt;=100000), " ",IF(INDEX($AC$2:$AS$1001,MATCH(ROWS($V$2:V81),$V$2:$V$1001,0),MATCH(COLUMNS($AC$1006:AI1006),$AC$1006:$AS$1006,0)), HYPERLINK("#",""), HYPERLINK(CONCATENATE("#metadata!", ADDRESS(INDEX($X$2:$X$1001,MATCH(ROWS($V$2:V81),$V$2:$V$1001,0),0), INDEX($AC$1004:$AS$1004,1,MATCH(COLUMNS($AC$1006:AI1006),$AC$1006:$AS$1006,0)))),"Fix")))</f>
        <v xml:space="preserve"> </v>
      </c>
      <c r="I81" s="4" t="str">
        <f ca="1">IF(OR(INDEX($W$2:$W$1001,MATCH(ROWS($V$2:V81),$V$2:$V$1001,0),1)&gt;=100000,INDEX($AC$1005:$AS$1005,1,MATCH(COLUMNS($AC$1006:AJ1006),$AC$1006:$AS$1006,0))&gt;=100000), " ",IF(INDEX($AC$2:$AS$1001,MATCH(ROWS($V$2:V81),$V$2:$V$1001,0),MATCH(COLUMNS($AC$1006:AJ1006),$AC$1006:$AS$1006,0)), HYPERLINK("#",""), HYPERLINK(CONCATENATE("#metadata!", ADDRESS(INDEX($X$2:$X$1001,MATCH(ROWS($V$2:V81),$V$2:$V$1001,0),0), INDEX($AC$1004:$AS$1004,1,MATCH(COLUMNS($AC$1006:AJ1006),$AC$1006:$AS$1006,0)))),"Fix")))</f>
        <v xml:space="preserve"> </v>
      </c>
      <c r="J81" s="4" t="str">
        <f ca="1">IF(OR(INDEX($W$2:$W$1001,MATCH(ROWS($V$2:V81),$V$2:$V$1001,0),1)&gt;=100000,INDEX($AC$1005:$AS$1005,1,MATCH(COLUMNS($AC$1006:AK1006),$AC$1006:$AS$1006,0))&gt;=100000), " ",IF(INDEX($AC$2:$AS$1001,MATCH(ROWS($V$2:V81),$V$2:$V$1001,0),MATCH(COLUMNS($AC$1006:AK1006),$AC$1006:$AS$1006,0)), HYPERLINK("#",""), HYPERLINK(CONCATENATE("#metadata!", ADDRESS(INDEX($X$2:$X$1001,MATCH(ROWS($V$2:V81),$V$2:$V$1001,0),0), INDEX($AC$1004:$AS$1004,1,MATCH(COLUMNS($AC$1006:AK1006),$AC$1006:$AS$1006,0)))),"Fix")))</f>
        <v xml:space="preserve"> </v>
      </c>
      <c r="K81" s="4" t="str">
        <f ca="1">IF(OR(INDEX($W$2:$W$1001,MATCH(ROWS($V$2:V81),$V$2:$V$1001,0),1)&gt;=100000,INDEX($AC$1005:$AS$1005,1,MATCH(COLUMNS($AC$1006:AL1006),$AC$1006:$AS$1006,0))&gt;=100000), " ",IF(INDEX($AC$2:$AS$1001,MATCH(ROWS($V$2:V81),$V$2:$V$1001,0),MATCH(COLUMNS($AC$1006:AL1006),$AC$1006:$AS$1006,0)), HYPERLINK("#",""), HYPERLINK(CONCATENATE("#metadata!", ADDRESS(INDEX($X$2:$X$1001,MATCH(ROWS($V$2:V81),$V$2:$V$1001,0),0), INDEX($AC$1004:$AS$1004,1,MATCH(COLUMNS($AC$1006:AL1006),$AC$1006:$AS$1006,0)))),"Fix")))</f>
        <v xml:space="preserve"> </v>
      </c>
      <c r="L81" s="4" t="str">
        <f ca="1">IF(OR(INDEX($W$2:$W$1001,MATCH(ROWS($V$2:V81),$V$2:$V$1001,0),1)&gt;=100000,INDEX($AC$1005:$AS$1005,1,MATCH(COLUMNS($AC$1006:AM1006),$AC$1006:$AS$1006,0))&gt;=100000), " ",IF(INDEX($AC$2:$AS$1001,MATCH(ROWS($V$2:V81),$V$2:$V$1001,0),MATCH(COLUMNS($AC$1006:AM1006),$AC$1006:$AS$1006,0)), HYPERLINK("#",""), HYPERLINK(CONCATENATE("#metadata!", ADDRESS(INDEX($X$2:$X$1001,MATCH(ROWS($V$2:V81),$V$2:$V$1001,0),0), INDEX($AC$1004:$AS$1004,1,MATCH(COLUMNS($AC$1006:AM1006),$AC$1006:$AS$1006,0)))),"Fix")))</f>
        <v xml:space="preserve"> </v>
      </c>
      <c r="M81" s="4" t="str">
        <f ca="1">IF(OR(INDEX($W$2:$W$1001,MATCH(ROWS($V$2:V81),$V$2:$V$1001,0),1)&gt;=100000,INDEX($AC$1005:$AS$1005,1,MATCH(COLUMNS($AC$1006:AN1006),$AC$1006:$AS$1006,0))&gt;=100000), " ",IF(INDEX($AC$2:$AS$1001,MATCH(ROWS($V$2:V81),$V$2:$V$1001,0),MATCH(COLUMNS($AC$1006:AN1006),$AC$1006:$AS$1006,0)), HYPERLINK("#",""), HYPERLINK(CONCATENATE("#metadata!", ADDRESS(INDEX($X$2:$X$1001,MATCH(ROWS($V$2:V81),$V$2:$V$1001,0),0), INDEX($AC$1004:$AS$1004,1,MATCH(COLUMNS($AC$1006:AN1006),$AC$1006:$AS$1006,0)))),"Fix")))</f>
        <v xml:space="preserve"> </v>
      </c>
      <c r="N81" s="4" t="str">
        <f ca="1">IF(OR(INDEX($W$2:$W$1001,MATCH(ROWS($V$2:V81),$V$2:$V$1001,0),1)&gt;=100000,INDEX($AC$1005:$AS$1005,1,MATCH(COLUMNS($AC$1006:AO1006),$AC$1006:$AS$1006,0))&gt;=100000), " ",IF(INDEX($AC$2:$AS$1001,MATCH(ROWS($V$2:V81),$V$2:$V$1001,0),MATCH(COLUMNS($AC$1006:AO1006),$AC$1006:$AS$1006,0)), HYPERLINK("#",""), HYPERLINK(CONCATENATE("#metadata!", ADDRESS(INDEX($X$2:$X$1001,MATCH(ROWS($V$2:V81),$V$2:$V$1001,0),0), INDEX($AC$1004:$AS$1004,1,MATCH(COLUMNS($AC$1006:AO1006),$AC$1006:$AS$1006,0)))),"Fix")))</f>
        <v xml:space="preserve"> </v>
      </c>
      <c r="O81" s="4" t="str">
        <f ca="1">IF(OR(INDEX($W$2:$W$1001,MATCH(ROWS($V$2:V81),$V$2:$V$1001,0),1)&gt;=100000,INDEX($AC$1005:$AS$1005,1,MATCH(COLUMNS($AC$1006:AP1006),$AC$1006:$AS$1006,0))&gt;=100000), " ",IF(INDEX($AC$2:$AS$1001,MATCH(ROWS($V$2:V81),$V$2:$V$1001,0),MATCH(COLUMNS($AC$1006:AP1006),$AC$1006:$AS$1006,0)), HYPERLINK("#",""), HYPERLINK(CONCATENATE("#metadata!", ADDRESS(INDEX($X$2:$X$1001,MATCH(ROWS($V$2:V81),$V$2:$V$1001,0),0), INDEX($AC$1004:$AS$1004,1,MATCH(COLUMNS($AC$1006:AP1006),$AC$1006:$AS$1006,0)))),"Fix")))</f>
        <v xml:space="preserve"> </v>
      </c>
      <c r="P81" s="4" t="str">
        <f ca="1">IF(OR(INDEX($W$2:$W$1001,MATCH(ROWS($V$2:V81),$V$2:$V$1001,0),1)&gt;=100000,INDEX($AC$1005:$AS$1005,1,MATCH(COLUMNS($AC$1006:AQ1006),$AC$1006:$AS$1006,0))&gt;=100000), " ",IF(INDEX($AC$2:$AS$1001,MATCH(ROWS($V$2:V81),$V$2:$V$1001,0),MATCH(COLUMNS($AC$1006:AQ1006),$AC$1006:$AS$1006,0)), HYPERLINK("#",""), HYPERLINK(CONCATENATE("#metadata!", ADDRESS(INDEX($X$2:$X$1001,MATCH(ROWS($V$2:V81),$V$2:$V$1001,0),0), INDEX($AC$1004:$AS$1004,1,MATCH(COLUMNS($AC$1006:AQ1006),$AC$1006:$AS$1006,0)))),"Fix")))</f>
        <v xml:space="preserve"> </v>
      </c>
      <c r="Q81" s="4" t="str">
        <f ca="1">IF(OR(INDEX($W$2:$W$1001,MATCH(ROWS($V$2:V81),$V$2:$V$1001,0),1)&gt;=100000,INDEX($AC$1005:$AS$1005,1,MATCH(COLUMNS($AC$1006:AR1006),$AC$1006:$AS$1006,0))&gt;=100000), " ",IF(INDEX($AC$2:$AS$1001,MATCH(ROWS($V$2:V81),$V$2:$V$1001,0),MATCH(COLUMNS($AC$1006:AR1006),$AC$1006:$AS$1006,0)), HYPERLINK("#",""), HYPERLINK(CONCATENATE("#metadata!", ADDRESS(INDEX($X$2:$X$1001,MATCH(ROWS($V$2:V81),$V$2:$V$1001,0),0), INDEX($AC$1004:$AS$1004,1,MATCH(COLUMNS($AC$1006:AR1006),$AC$1006:$AS$1006,0)))),"Fix")))</f>
        <v xml:space="preserve"> </v>
      </c>
      <c r="R81" s="4" t="str">
        <f ca="1">IF(OR(INDEX($W$2:$W$1001,MATCH(ROWS($V$2:V81),$V$2:$V$1001,0),1)&gt;=100000,INDEX($AC$1005:$AS$1005,1,MATCH(COLUMNS($AC$1006:AS1006),$AC$1006:$AS$1006,0))&gt;=100000), " ",IF(INDEX($AC$2:$AS$1001,MATCH(ROWS($V$2:V81),$V$2:$V$1001,0),MATCH(COLUMNS($AC$1006:AS1006),$AC$1006:$AS$1006,0)), HYPERLINK("#",""), HYPERLINK(CONCATENATE("#metadata!", ADDRESS(INDEX($X$2:$X$1001,MATCH(ROWS($V$2:V81),$V$2:$V$1001,0),0), INDEX($AC$1004:$AS$1004,1,MATCH(COLUMNS($AC$1006:AS1006),$AC$1006:$AS$1006,0)))),"Fix")))</f>
        <v xml:space="preserve"> </v>
      </c>
      <c r="V81">
        <v>80</v>
      </c>
      <c r="W81">
        <v>100081</v>
      </c>
      <c r="X81">
        <v>81</v>
      </c>
      <c r="Y81" t="b">
        <f t="shared" si="1"/>
        <v>1</v>
      </c>
      <c r="Z81" t="b">
        <f>COUNTBLANK(metadata!B81:R81)=COLUMNS(metadata!B81:R81)</f>
        <v>1</v>
      </c>
      <c r="AA81" t="str">
        <v/>
      </c>
      <c r="AC81" t="b">
        <f ca="1"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AD81" t="b">
        <f>IF(metadata!C81="",FALSE,ISNUMBER(VALUE(metadata!C81)))</f>
        <v>0</v>
      </c>
      <c r="AE81" t="b">
        <f>AND(IF(metadata!D81="",FALSE,TRUE),EXACT(metadata!D81,"years"))</f>
        <v>0</v>
      </c>
      <c r="AF81" t="b">
        <f>OR(AND(IF(metadata!E81="",FALSE,TRUE),OR(EXACT(metadata!E81,"not applicable"),EXACT(metadata!E81,"missing: not collected"),EXACT(metadata!E81,"missing: not provided"),EXACT(metadata!E81,"missing: restricted access"))),AND(IF(metadata!E81="",FALSE,ISNUMBER(VALUE(metadata!E81))),metadata!E81&gt;0))</f>
        <v>0</v>
      </c>
      <c r="AG81" t="b">
        <f>AND(IF(metadata!F81="",FALSE,TRUE),EXACT(metadata!F81,"Not applicable"))</f>
        <v>0</v>
      </c>
      <c r="AH81" t="b">
        <f>AND(IF(metadata!G81="",FALSE,TRUE),EXACT(metadata!G81,"urban biome"))</f>
        <v>0</v>
      </c>
      <c r="AI81" t="b">
        <f>AND(IF(metadata!H81="",FALSE,TRUE),EXACT(metadata!H81,"human-associated habitat"))</f>
        <v>0</v>
      </c>
      <c r="AJ81" t="b">
        <f>AND(IF(metadata!I81="",FALSE,TRUE),OR(EXACT(metadata!I81,"human-associated"),EXACT(metadata!I81,"human-skin"),EXACT(metadata!I81,"human-oral"),EXACT(metadata!I81,"human-gut"),EXACT(metadata!I81,"human-vaginal")))</f>
        <v>0</v>
      </c>
      <c r="AK81" t="b">
        <f>IF(metadata!J81="",FALSE,ISNUMBER(VALUE(metadata!J81)))</f>
        <v>0</v>
      </c>
      <c r="AL81" t="b">
        <f>AND(IF(metadata!K81="",FALSE,TRUE),EXACT(metadata!K81,"cm"))</f>
        <v>0</v>
      </c>
      <c r="AM81" t="b">
        <f>AND(IF(metadata!L81="",FALSE,TRUE),EXACT(metadata!L81,"human"))</f>
        <v>0</v>
      </c>
      <c r="AN81" t="b">
        <f>AND(IF(metadata!M81="",FALSE,TRUE),EXACT(metadata!M81,"Homo sapiens"))</f>
        <v>0</v>
      </c>
      <c r="AO81" t="b">
        <f>AND(IF(metadata!N81="",FALSE,TRUE),EXACT(metadata!N81,"9606"))</f>
        <v>0</v>
      </c>
      <c r="AP81" t="b">
        <f>IF(metadata!O81="",FALSE,TRUE)</f>
        <v>0</v>
      </c>
      <c r="AQ81" t="b">
        <f>IF(metadata!P81="",FALSE,TRUE)</f>
        <v>0</v>
      </c>
      <c r="AR81" t="b">
        <f>IF(metadata!Q81="",FALSE,ISNUMBER(VALUE(metadata!Q81)))</f>
        <v>0</v>
      </c>
      <c r="AS81" t="b">
        <f>AND(IF(metadata!R81="",FALSE,TRUE),EXACT(metadata!R81,"kg"))</f>
        <v>0</v>
      </c>
    </row>
    <row r="82" spans="1:45" x14ac:dyDescent="0.2">
      <c r="A82" s="5" t="str">
        <f ca="1">IF(B82=" "," ",HYPERLINK(CONCATENATE("#metadata!",ADDRESS(INDEX($X$2:$X$1001,MATCH(ROWS($V$2:V82),$V$2:$V$1001,0),0),1)),INDEX($AA$2:$AA$1001,MATCH(ROWS($V$2:V82),$V$2:$V$1001,0),0)))</f>
        <v xml:space="preserve"> </v>
      </c>
      <c r="B82" s="4" t="str">
        <f ca="1">IF(OR(INDEX($W$2:$W$1001,MATCH(ROWS($V$2:V82),$V$2:$V$1001,0),1)&gt;=100000,INDEX($AC$1005:$AS$1005,1,MATCH(COLUMNS($AC$1006:AC1006),$AC$1006:$AS$1006,0))&gt;=100000), " ",IF(INDEX($AC$2:$AS$1001,MATCH(ROWS($V$2:V82),$V$2:$V$1001,0),MATCH(COLUMNS($AC$1006:AC1006),$AC$1006:$AS$1006,0)), HYPERLINK("#",""), HYPERLINK(CONCATENATE("#metadata!", ADDRESS(INDEX($X$2:$X$1001,MATCH(ROWS($V$2:V82),$V$2:$V$1001,0),0), INDEX($AC$1004:$AS$1004,1,MATCH(COLUMNS($AC$1006:AC1006),$AC$1006:$AS$1006,0)))),"Fix")))</f>
        <v xml:space="preserve"> </v>
      </c>
      <c r="C82" s="4" t="str">
        <f ca="1">IF(OR(INDEX($W$2:$W$1001,MATCH(ROWS($V$2:V82),$V$2:$V$1001,0),1)&gt;=100000,INDEX($AC$1005:$AS$1005,1,MATCH(COLUMNS($AC$1006:AD1006),$AC$1006:$AS$1006,0))&gt;=100000), " ",IF(INDEX($AC$2:$AS$1001,MATCH(ROWS($V$2:V82),$V$2:$V$1001,0),MATCH(COLUMNS($AC$1006:AD1006),$AC$1006:$AS$1006,0)), HYPERLINK("#",""), HYPERLINK(CONCATENATE("#metadata!", ADDRESS(INDEX($X$2:$X$1001,MATCH(ROWS($V$2:V82),$V$2:$V$1001,0),0), INDEX($AC$1004:$AS$1004,1,MATCH(COLUMNS($AC$1006:AD1006),$AC$1006:$AS$1006,0)))),"Fix")))</f>
        <v xml:space="preserve"> </v>
      </c>
      <c r="D82" s="4" t="str">
        <f ca="1">IF(OR(INDEX($W$2:$W$1001,MATCH(ROWS($V$2:V82),$V$2:$V$1001,0),1)&gt;=100000,INDEX($AC$1005:$AS$1005,1,MATCH(COLUMNS($AC$1006:AE1006),$AC$1006:$AS$1006,0))&gt;=100000), " ",IF(INDEX($AC$2:$AS$1001,MATCH(ROWS($V$2:V82),$V$2:$V$1001,0),MATCH(COLUMNS($AC$1006:AE1006),$AC$1006:$AS$1006,0)), HYPERLINK("#",""), HYPERLINK(CONCATENATE("#metadata!", ADDRESS(INDEX($X$2:$X$1001,MATCH(ROWS($V$2:V82),$V$2:$V$1001,0),0), INDEX($AC$1004:$AS$1004,1,MATCH(COLUMNS($AC$1006:AE1006),$AC$1006:$AS$1006,0)))),"Fix")))</f>
        <v xml:space="preserve"> </v>
      </c>
      <c r="E82" s="4" t="str">
        <f ca="1">IF(OR(INDEX($W$2:$W$1001,MATCH(ROWS($V$2:V82),$V$2:$V$1001,0),1)&gt;=100000,INDEX($AC$1005:$AS$1005,1,MATCH(COLUMNS($AC$1006:AF1006),$AC$1006:$AS$1006,0))&gt;=100000), " ",IF(INDEX($AC$2:$AS$1001,MATCH(ROWS($V$2:V82),$V$2:$V$1001,0),MATCH(COLUMNS($AC$1006:AF1006),$AC$1006:$AS$1006,0)), HYPERLINK("#",""), HYPERLINK(CONCATENATE("#metadata!", ADDRESS(INDEX($X$2:$X$1001,MATCH(ROWS($V$2:V82),$V$2:$V$1001,0),0), INDEX($AC$1004:$AS$1004,1,MATCH(COLUMNS($AC$1006:AF1006),$AC$1006:$AS$1006,0)))),"Fix")))</f>
        <v xml:space="preserve"> </v>
      </c>
      <c r="F82" s="4" t="str">
        <f ca="1">IF(OR(INDEX($W$2:$W$1001,MATCH(ROWS($V$2:V82),$V$2:$V$1001,0),1)&gt;=100000,INDEX($AC$1005:$AS$1005,1,MATCH(COLUMNS($AC$1006:AG1006),$AC$1006:$AS$1006,0))&gt;=100000), " ",IF(INDEX($AC$2:$AS$1001,MATCH(ROWS($V$2:V82),$V$2:$V$1001,0),MATCH(COLUMNS($AC$1006:AG1006),$AC$1006:$AS$1006,0)), HYPERLINK("#",""), HYPERLINK(CONCATENATE("#metadata!", ADDRESS(INDEX($X$2:$X$1001,MATCH(ROWS($V$2:V82),$V$2:$V$1001,0),0), INDEX($AC$1004:$AS$1004,1,MATCH(COLUMNS($AC$1006:AG1006),$AC$1006:$AS$1006,0)))),"Fix")))</f>
        <v xml:space="preserve"> </v>
      </c>
      <c r="G82" s="4" t="str">
        <f ca="1">IF(OR(INDEX($W$2:$W$1001,MATCH(ROWS($V$2:V82),$V$2:$V$1001,0),1)&gt;=100000,INDEX($AC$1005:$AS$1005,1,MATCH(COLUMNS($AC$1006:AH1006),$AC$1006:$AS$1006,0))&gt;=100000), " ",IF(INDEX($AC$2:$AS$1001,MATCH(ROWS($V$2:V82),$V$2:$V$1001,0),MATCH(COLUMNS($AC$1006:AH1006),$AC$1006:$AS$1006,0)), HYPERLINK("#",""), HYPERLINK(CONCATENATE("#metadata!", ADDRESS(INDEX($X$2:$X$1001,MATCH(ROWS($V$2:V82),$V$2:$V$1001,0),0), INDEX($AC$1004:$AS$1004,1,MATCH(COLUMNS($AC$1006:AH1006),$AC$1006:$AS$1006,0)))),"Fix")))</f>
        <v xml:space="preserve"> </v>
      </c>
      <c r="H82" s="4" t="str">
        <f ca="1">IF(OR(INDEX($W$2:$W$1001,MATCH(ROWS($V$2:V82),$V$2:$V$1001,0),1)&gt;=100000,INDEX($AC$1005:$AS$1005,1,MATCH(COLUMNS($AC$1006:AI1006),$AC$1006:$AS$1006,0))&gt;=100000), " ",IF(INDEX($AC$2:$AS$1001,MATCH(ROWS($V$2:V82),$V$2:$V$1001,0),MATCH(COLUMNS($AC$1006:AI1006),$AC$1006:$AS$1006,0)), HYPERLINK("#",""), HYPERLINK(CONCATENATE("#metadata!", ADDRESS(INDEX($X$2:$X$1001,MATCH(ROWS($V$2:V82),$V$2:$V$1001,0),0), INDEX($AC$1004:$AS$1004,1,MATCH(COLUMNS($AC$1006:AI1006),$AC$1006:$AS$1006,0)))),"Fix")))</f>
        <v xml:space="preserve"> </v>
      </c>
      <c r="I82" s="4" t="str">
        <f ca="1">IF(OR(INDEX($W$2:$W$1001,MATCH(ROWS($V$2:V82),$V$2:$V$1001,0),1)&gt;=100000,INDEX($AC$1005:$AS$1005,1,MATCH(COLUMNS($AC$1006:AJ1006),$AC$1006:$AS$1006,0))&gt;=100000), " ",IF(INDEX($AC$2:$AS$1001,MATCH(ROWS($V$2:V82),$V$2:$V$1001,0),MATCH(COLUMNS($AC$1006:AJ1006),$AC$1006:$AS$1006,0)), HYPERLINK("#",""), HYPERLINK(CONCATENATE("#metadata!", ADDRESS(INDEX($X$2:$X$1001,MATCH(ROWS($V$2:V82),$V$2:$V$1001,0),0), INDEX($AC$1004:$AS$1004,1,MATCH(COLUMNS($AC$1006:AJ1006),$AC$1006:$AS$1006,0)))),"Fix")))</f>
        <v xml:space="preserve"> </v>
      </c>
      <c r="J82" s="4" t="str">
        <f ca="1">IF(OR(INDEX($W$2:$W$1001,MATCH(ROWS($V$2:V82),$V$2:$V$1001,0),1)&gt;=100000,INDEX($AC$1005:$AS$1005,1,MATCH(COLUMNS($AC$1006:AK1006),$AC$1006:$AS$1006,0))&gt;=100000), " ",IF(INDEX($AC$2:$AS$1001,MATCH(ROWS($V$2:V82),$V$2:$V$1001,0),MATCH(COLUMNS($AC$1006:AK1006),$AC$1006:$AS$1006,0)), HYPERLINK("#",""), HYPERLINK(CONCATENATE("#metadata!", ADDRESS(INDEX($X$2:$X$1001,MATCH(ROWS($V$2:V82),$V$2:$V$1001,0),0), INDEX($AC$1004:$AS$1004,1,MATCH(COLUMNS($AC$1006:AK1006),$AC$1006:$AS$1006,0)))),"Fix")))</f>
        <v xml:space="preserve"> </v>
      </c>
      <c r="K82" s="4" t="str">
        <f ca="1">IF(OR(INDEX($W$2:$W$1001,MATCH(ROWS($V$2:V82),$V$2:$V$1001,0),1)&gt;=100000,INDEX($AC$1005:$AS$1005,1,MATCH(COLUMNS($AC$1006:AL1006),$AC$1006:$AS$1006,0))&gt;=100000), " ",IF(INDEX($AC$2:$AS$1001,MATCH(ROWS($V$2:V82),$V$2:$V$1001,0),MATCH(COLUMNS($AC$1006:AL1006),$AC$1006:$AS$1006,0)), HYPERLINK("#",""), HYPERLINK(CONCATENATE("#metadata!", ADDRESS(INDEX($X$2:$X$1001,MATCH(ROWS($V$2:V82),$V$2:$V$1001,0),0), INDEX($AC$1004:$AS$1004,1,MATCH(COLUMNS($AC$1006:AL1006),$AC$1006:$AS$1006,0)))),"Fix")))</f>
        <v xml:space="preserve"> </v>
      </c>
      <c r="L82" s="4" t="str">
        <f ca="1">IF(OR(INDEX($W$2:$W$1001,MATCH(ROWS($V$2:V82),$V$2:$V$1001,0),1)&gt;=100000,INDEX($AC$1005:$AS$1005,1,MATCH(COLUMNS($AC$1006:AM1006),$AC$1006:$AS$1006,0))&gt;=100000), " ",IF(INDEX($AC$2:$AS$1001,MATCH(ROWS($V$2:V82),$V$2:$V$1001,0),MATCH(COLUMNS($AC$1006:AM1006),$AC$1006:$AS$1006,0)), HYPERLINK("#",""), HYPERLINK(CONCATENATE("#metadata!", ADDRESS(INDEX($X$2:$X$1001,MATCH(ROWS($V$2:V82),$V$2:$V$1001,0),0), INDEX($AC$1004:$AS$1004,1,MATCH(COLUMNS($AC$1006:AM1006),$AC$1006:$AS$1006,0)))),"Fix")))</f>
        <v xml:space="preserve"> </v>
      </c>
      <c r="M82" s="4" t="str">
        <f ca="1">IF(OR(INDEX($W$2:$W$1001,MATCH(ROWS($V$2:V82),$V$2:$V$1001,0),1)&gt;=100000,INDEX($AC$1005:$AS$1005,1,MATCH(COLUMNS($AC$1006:AN1006),$AC$1006:$AS$1006,0))&gt;=100000), " ",IF(INDEX($AC$2:$AS$1001,MATCH(ROWS($V$2:V82),$V$2:$V$1001,0),MATCH(COLUMNS($AC$1006:AN1006),$AC$1006:$AS$1006,0)), HYPERLINK("#",""), HYPERLINK(CONCATENATE("#metadata!", ADDRESS(INDEX($X$2:$X$1001,MATCH(ROWS($V$2:V82),$V$2:$V$1001,0),0), INDEX($AC$1004:$AS$1004,1,MATCH(COLUMNS($AC$1006:AN1006),$AC$1006:$AS$1006,0)))),"Fix")))</f>
        <v xml:space="preserve"> </v>
      </c>
      <c r="N82" s="4" t="str">
        <f ca="1">IF(OR(INDEX($W$2:$W$1001,MATCH(ROWS($V$2:V82),$V$2:$V$1001,0),1)&gt;=100000,INDEX($AC$1005:$AS$1005,1,MATCH(COLUMNS($AC$1006:AO1006),$AC$1006:$AS$1006,0))&gt;=100000), " ",IF(INDEX($AC$2:$AS$1001,MATCH(ROWS($V$2:V82),$V$2:$V$1001,0),MATCH(COLUMNS($AC$1006:AO1006),$AC$1006:$AS$1006,0)), HYPERLINK("#",""), HYPERLINK(CONCATENATE("#metadata!", ADDRESS(INDEX($X$2:$X$1001,MATCH(ROWS($V$2:V82),$V$2:$V$1001,0),0), INDEX($AC$1004:$AS$1004,1,MATCH(COLUMNS($AC$1006:AO1006),$AC$1006:$AS$1006,0)))),"Fix")))</f>
        <v xml:space="preserve"> </v>
      </c>
      <c r="O82" s="4" t="str">
        <f ca="1">IF(OR(INDEX($W$2:$W$1001,MATCH(ROWS($V$2:V82),$V$2:$V$1001,0),1)&gt;=100000,INDEX($AC$1005:$AS$1005,1,MATCH(COLUMNS($AC$1006:AP1006),$AC$1006:$AS$1006,0))&gt;=100000), " ",IF(INDEX($AC$2:$AS$1001,MATCH(ROWS($V$2:V82),$V$2:$V$1001,0),MATCH(COLUMNS($AC$1006:AP1006),$AC$1006:$AS$1006,0)), HYPERLINK("#",""), HYPERLINK(CONCATENATE("#metadata!", ADDRESS(INDEX($X$2:$X$1001,MATCH(ROWS($V$2:V82),$V$2:$V$1001,0),0), INDEX($AC$1004:$AS$1004,1,MATCH(COLUMNS($AC$1006:AP1006),$AC$1006:$AS$1006,0)))),"Fix")))</f>
        <v xml:space="preserve"> </v>
      </c>
      <c r="P82" s="4" t="str">
        <f ca="1">IF(OR(INDEX($W$2:$W$1001,MATCH(ROWS($V$2:V82),$V$2:$V$1001,0),1)&gt;=100000,INDEX($AC$1005:$AS$1005,1,MATCH(COLUMNS($AC$1006:AQ1006),$AC$1006:$AS$1006,0))&gt;=100000), " ",IF(INDEX($AC$2:$AS$1001,MATCH(ROWS($V$2:V82),$V$2:$V$1001,0),MATCH(COLUMNS($AC$1006:AQ1006),$AC$1006:$AS$1006,0)), HYPERLINK("#",""), HYPERLINK(CONCATENATE("#metadata!", ADDRESS(INDEX($X$2:$X$1001,MATCH(ROWS($V$2:V82),$V$2:$V$1001,0),0), INDEX($AC$1004:$AS$1004,1,MATCH(COLUMNS($AC$1006:AQ1006),$AC$1006:$AS$1006,0)))),"Fix")))</f>
        <v xml:space="preserve"> </v>
      </c>
      <c r="Q82" s="4" t="str">
        <f ca="1">IF(OR(INDEX($W$2:$W$1001,MATCH(ROWS($V$2:V82),$V$2:$V$1001,0),1)&gt;=100000,INDEX($AC$1005:$AS$1005,1,MATCH(COLUMNS($AC$1006:AR1006),$AC$1006:$AS$1006,0))&gt;=100000), " ",IF(INDEX($AC$2:$AS$1001,MATCH(ROWS($V$2:V82),$V$2:$V$1001,0),MATCH(COLUMNS($AC$1006:AR1006),$AC$1006:$AS$1006,0)), HYPERLINK("#",""), HYPERLINK(CONCATENATE("#metadata!", ADDRESS(INDEX($X$2:$X$1001,MATCH(ROWS($V$2:V82),$V$2:$V$1001,0),0), INDEX($AC$1004:$AS$1004,1,MATCH(COLUMNS($AC$1006:AR1006),$AC$1006:$AS$1006,0)))),"Fix")))</f>
        <v xml:space="preserve"> </v>
      </c>
      <c r="R82" s="4" t="str">
        <f ca="1">IF(OR(INDEX($W$2:$W$1001,MATCH(ROWS($V$2:V82),$V$2:$V$1001,0),1)&gt;=100000,INDEX($AC$1005:$AS$1005,1,MATCH(COLUMNS($AC$1006:AS1006),$AC$1006:$AS$1006,0))&gt;=100000), " ",IF(INDEX($AC$2:$AS$1001,MATCH(ROWS($V$2:V82),$V$2:$V$1001,0),MATCH(COLUMNS($AC$1006:AS1006),$AC$1006:$AS$1006,0)), HYPERLINK("#",""), HYPERLINK(CONCATENATE("#metadata!", ADDRESS(INDEX($X$2:$X$1001,MATCH(ROWS($V$2:V82),$V$2:$V$1001,0),0), INDEX($AC$1004:$AS$1004,1,MATCH(COLUMNS($AC$1006:AS1006),$AC$1006:$AS$1006,0)))),"Fix")))</f>
        <v xml:space="preserve"> </v>
      </c>
      <c r="V82">
        <v>81</v>
      </c>
      <c r="W82">
        <v>100082</v>
      </c>
      <c r="X82">
        <v>82</v>
      </c>
      <c r="Y82" t="b">
        <f t="shared" si="1"/>
        <v>1</v>
      </c>
      <c r="Z82" t="b">
        <f>COUNTBLANK(metadata!B82:R82)=COLUMNS(metadata!B82:R82)</f>
        <v>1</v>
      </c>
      <c r="AA82" t="str">
        <v/>
      </c>
      <c r="AC82" t="b">
        <f ca="1"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AD82" t="b">
        <f>IF(metadata!C82="",FALSE,ISNUMBER(VALUE(metadata!C82)))</f>
        <v>0</v>
      </c>
      <c r="AE82" t="b">
        <f>AND(IF(metadata!D82="",FALSE,TRUE),EXACT(metadata!D82,"years"))</f>
        <v>0</v>
      </c>
      <c r="AF82" t="b">
        <f>OR(AND(IF(metadata!E82="",FALSE,TRUE),OR(EXACT(metadata!E82,"not applicable"),EXACT(metadata!E82,"missing: not collected"),EXACT(metadata!E82,"missing: not provided"),EXACT(metadata!E82,"missing: restricted access"))),AND(IF(metadata!E82="",FALSE,ISNUMBER(VALUE(metadata!E82))),metadata!E82&gt;0))</f>
        <v>0</v>
      </c>
      <c r="AG82" t="b">
        <f>AND(IF(metadata!F82="",FALSE,TRUE),EXACT(metadata!F82,"Not applicable"))</f>
        <v>0</v>
      </c>
      <c r="AH82" t="b">
        <f>AND(IF(metadata!G82="",FALSE,TRUE),EXACT(metadata!G82,"urban biome"))</f>
        <v>0</v>
      </c>
      <c r="AI82" t="b">
        <f>AND(IF(metadata!H82="",FALSE,TRUE),EXACT(metadata!H82,"human-associated habitat"))</f>
        <v>0</v>
      </c>
      <c r="AJ82" t="b">
        <f>AND(IF(metadata!I82="",FALSE,TRUE),OR(EXACT(metadata!I82,"human-associated"),EXACT(metadata!I82,"human-skin"),EXACT(metadata!I82,"human-oral"),EXACT(metadata!I82,"human-gut"),EXACT(metadata!I82,"human-vaginal")))</f>
        <v>0</v>
      </c>
      <c r="AK82" t="b">
        <f>IF(metadata!J82="",FALSE,ISNUMBER(VALUE(metadata!J82)))</f>
        <v>0</v>
      </c>
      <c r="AL82" t="b">
        <f>AND(IF(metadata!K82="",FALSE,TRUE),EXACT(metadata!K82,"cm"))</f>
        <v>0</v>
      </c>
      <c r="AM82" t="b">
        <f>AND(IF(metadata!L82="",FALSE,TRUE),EXACT(metadata!L82,"human"))</f>
        <v>0</v>
      </c>
      <c r="AN82" t="b">
        <f>AND(IF(metadata!M82="",FALSE,TRUE),EXACT(metadata!M82,"Homo sapiens"))</f>
        <v>0</v>
      </c>
      <c r="AO82" t="b">
        <f>AND(IF(metadata!N82="",FALSE,TRUE),EXACT(metadata!N82,"9606"))</f>
        <v>0</v>
      </c>
      <c r="AP82" t="b">
        <f>IF(metadata!O82="",FALSE,TRUE)</f>
        <v>0</v>
      </c>
      <c r="AQ82" t="b">
        <f>IF(metadata!P82="",FALSE,TRUE)</f>
        <v>0</v>
      </c>
      <c r="AR82" t="b">
        <f>IF(metadata!Q82="",FALSE,ISNUMBER(VALUE(metadata!Q82)))</f>
        <v>0</v>
      </c>
      <c r="AS82" t="b">
        <f>AND(IF(metadata!R82="",FALSE,TRUE),EXACT(metadata!R82,"kg"))</f>
        <v>0</v>
      </c>
    </row>
    <row r="83" spans="1:45" x14ac:dyDescent="0.2">
      <c r="A83" s="5" t="str">
        <f ca="1">IF(B83=" "," ",HYPERLINK(CONCATENATE("#metadata!",ADDRESS(INDEX($X$2:$X$1001,MATCH(ROWS($V$2:V83),$V$2:$V$1001,0),0),1)),INDEX($AA$2:$AA$1001,MATCH(ROWS($V$2:V83),$V$2:$V$1001,0),0)))</f>
        <v xml:space="preserve"> </v>
      </c>
      <c r="B83" s="4" t="str">
        <f ca="1">IF(OR(INDEX($W$2:$W$1001,MATCH(ROWS($V$2:V83),$V$2:$V$1001,0),1)&gt;=100000,INDEX($AC$1005:$AS$1005,1,MATCH(COLUMNS($AC$1006:AC1006),$AC$1006:$AS$1006,0))&gt;=100000), " ",IF(INDEX($AC$2:$AS$1001,MATCH(ROWS($V$2:V83),$V$2:$V$1001,0),MATCH(COLUMNS($AC$1006:AC1006),$AC$1006:$AS$1006,0)), HYPERLINK("#",""), HYPERLINK(CONCATENATE("#metadata!", ADDRESS(INDEX($X$2:$X$1001,MATCH(ROWS($V$2:V83),$V$2:$V$1001,0),0), INDEX($AC$1004:$AS$1004,1,MATCH(COLUMNS($AC$1006:AC1006),$AC$1006:$AS$1006,0)))),"Fix")))</f>
        <v xml:space="preserve"> </v>
      </c>
      <c r="C83" s="4" t="str">
        <f ca="1">IF(OR(INDEX($W$2:$W$1001,MATCH(ROWS($V$2:V83),$V$2:$V$1001,0),1)&gt;=100000,INDEX($AC$1005:$AS$1005,1,MATCH(COLUMNS($AC$1006:AD1006),$AC$1006:$AS$1006,0))&gt;=100000), " ",IF(INDEX($AC$2:$AS$1001,MATCH(ROWS($V$2:V83),$V$2:$V$1001,0),MATCH(COLUMNS($AC$1006:AD1006),$AC$1006:$AS$1006,0)), HYPERLINK("#",""), HYPERLINK(CONCATENATE("#metadata!", ADDRESS(INDEX($X$2:$X$1001,MATCH(ROWS($V$2:V83),$V$2:$V$1001,0),0), INDEX($AC$1004:$AS$1004,1,MATCH(COLUMNS($AC$1006:AD1006),$AC$1006:$AS$1006,0)))),"Fix")))</f>
        <v xml:space="preserve"> </v>
      </c>
      <c r="D83" s="4" t="str">
        <f ca="1">IF(OR(INDEX($W$2:$W$1001,MATCH(ROWS($V$2:V83),$V$2:$V$1001,0),1)&gt;=100000,INDEX($AC$1005:$AS$1005,1,MATCH(COLUMNS($AC$1006:AE1006),$AC$1006:$AS$1006,0))&gt;=100000), " ",IF(INDEX($AC$2:$AS$1001,MATCH(ROWS($V$2:V83),$V$2:$V$1001,0),MATCH(COLUMNS($AC$1006:AE1006),$AC$1006:$AS$1006,0)), HYPERLINK("#",""), HYPERLINK(CONCATENATE("#metadata!", ADDRESS(INDEX($X$2:$X$1001,MATCH(ROWS($V$2:V83),$V$2:$V$1001,0),0), INDEX($AC$1004:$AS$1004,1,MATCH(COLUMNS($AC$1006:AE1006),$AC$1006:$AS$1006,0)))),"Fix")))</f>
        <v xml:space="preserve"> </v>
      </c>
      <c r="E83" s="4" t="str">
        <f ca="1">IF(OR(INDEX($W$2:$W$1001,MATCH(ROWS($V$2:V83),$V$2:$V$1001,0),1)&gt;=100000,INDEX($AC$1005:$AS$1005,1,MATCH(COLUMNS($AC$1006:AF1006),$AC$1006:$AS$1006,0))&gt;=100000), " ",IF(INDEX($AC$2:$AS$1001,MATCH(ROWS($V$2:V83),$V$2:$V$1001,0),MATCH(COLUMNS($AC$1006:AF1006),$AC$1006:$AS$1006,0)), HYPERLINK("#",""), HYPERLINK(CONCATENATE("#metadata!", ADDRESS(INDEX($X$2:$X$1001,MATCH(ROWS($V$2:V83),$V$2:$V$1001,0),0), INDEX($AC$1004:$AS$1004,1,MATCH(COLUMNS($AC$1006:AF1006),$AC$1006:$AS$1006,0)))),"Fix")))</f>
        <v xml:space="preserve"> </v>
      </c>
      <c r="F83" s="4" t="str">
        <f ca="1">IF(OR(INDEX($W$2:$W$1001,MATCH(ROWS($V$2:V83),$V$2:$V$1001,0),1)&gt;=100000,INDEX($AC$1005:$AS$1005,1,MATCH(COLUMNS($AC$1006:AG1006),$AC$1006:$AS$1006,0))&gt;=100000), " ",IF(INDEX($AC$2:$AS$1001,MATCH(ROWS($V$2:V83),$V$2:$V$1001,0),MATCH(COLUMNS($AC$1006:AG1006),$AC$1006:$AS$1006,0)), HYPERLINK("#",""), HYPERLINK(CONCATENATE("#metadata!", ADDRESS(INDEX($X$2:$X$1001,MATCH(ROWS($V$2:V83),$V$2:$V$1001,0),0), INDEX($AC$1004:$AS$1004,1,MATCH(COLUMNS($AC$1006:AG1006),$AC$1006:$AS$1006,0)))),"Fix")))</f>
        <v xml:space="preserve"> </v>
      </c>
      <c r="G83" s="4" t="str">
        <f ca="1">IF(OR(INDEX($W$2:$W$1001,MATCH(ROWS($V$2:V83),$V$2:$V$1001,0),1)&gt;=100000,INDEX($AC$1005:$AS$1005,1,MATCH(COLUMNS($AC$1006:AH1006),$AC$1006:$AS$1006,0))&gt;=100000), " ",IF(INDEX($AC$2:$AS$1001,MATCH(ROWS($V$2:V83),$V$2:$V$1001,0),MATCH(COLUMNS($AC$1006:AH1006),$AC$1006:$AS$1006,0)), HYPERLINK("#",""), HYPERLINK(CONCATENATE("#metadata!", ADDRESS(INDEX($X$2:$X$1001,MATCH(ROWS($V$2:V83),$V$2:$V$1001,0),0), INDEX($AC$1004:$AS$1004,1,MATCH(COLUMNS($AC$1006:AH1006),$AC$1006:$AS$1006,0)))),"Fix")))</f>
        <v xml:space="preserve"> </v>
      </c>
      <c r="H83" s="4" t="str">
        <f ca="1">IF(OR(INDEX($W$2:$W$1001,MATCH(ROWS($V$2:V83),$V$2:$V$1001,0),1)&gt;=100000,INDEX($AC$1005:$AS$1005,1,MATCH(COLUMNS($AC$1006:AI1006),$AC$1006:$AS$1006,0))&gt;=100000), " ",IF(INDEX($AC$2:$AS$1001,MATCH(ROWS($V$2:V83),$V$2:$V$1001,0),MATCH(COLUMNS($AC$1006:AI1006),$AC$1006:$AS$1006,0)), HYPERLINK("#",""), HYPERLINK(CONCATENATE("#metadata!", ADDRESS(INDEX($X$2:$X$1001,MATCH(ROWS($V$2:V83),$V$2:$V$1001,0),0), INDEX($AC$1004:$AS$1004,1,MATCH(COLUMNS($AC$1006:AI1006),$AC$1006:$AS$1006,0)))),"Fix")))</f>
        <v xml:space="preserve"> </v>
      </c>
      <c r="I83" s="4" t="str">
        <f ca="1">IF(OR(INDEX($W$2:$W$1001,MATCH(ROWS($V$2:V83),$V$2:$V$1001,0),1)&gt;=100000,INDEX($AC$1005:$AS$1005,1,MATCH(COLUMNS($AC$1006:AJ1006),$AC$1006:$AS$1006,0))&gt;=100000), " ",IF(INDEX($AC$2:$AS$1001,MATCH(ROWS($V$2:V83),$V$2:$V$1001,0),MATCH(COLUMNS($AC$1006:AJ1006),$AC$1006:$AS$1006,0)), HYPERLINK("#",""), HYPERLINK(CONCATENATE("#metadata!", ADDRESS(INDEX($X$2:$X$1001,MATCH(ROWS($V$2:V83),$V$2:$V$1001,0),0), INDEX($AC$1004:$AS$1004,1,MATCH(COLUMNS($AC$1006:AJ1006),$AC$1006:$AS$1006,0)))),"Fix")))</f>
        <v xml:space="preserve"> </v>
      </c>
      <c r="J83" s="4" t="str">
        <f ca="1">IF(OR(INDEX($W$2:$W$1001,MATCH(ROWS($V$2:V83),$V$2:$V$1001,0),1)&gt;=100000,INDEX($AC$1005:$AS$1005,1,MATCH(COLUMNS($AC$1006:AK1006),$AC$1006:$AS$1006,0))&gt;=100000), " ",IF(INDEX($AC$2:$AS$1001,MATCH(ROWS($V$2:V83),$V$2:$V$1001,0),MATCH(COLUMNS($AC$1006:AK1006),$AC$1006:$AS$1006,0)), HYPERLINK("#",""), HYPERLINK(CONCATENATE("#metadata!", ADDRESS(INDEX($X$2:$X$1001,MATCH(ROWS($V$2:V83),$V$2:$V$1001,0),0), INDEX($AC$1004:$AS$1004,1,MATCH(COLUMNS($AC$1006:AK1006),$AC$1006:$AS$1006,0)))),"Fix")))</f>
        <v xml:space="preserve"> </v>
      </c>
      <c r="K83" s="4" t="str">
        <f ca="1">IF(OR(INDEX($W$2:$W$1001,MATCH(ROWS($V$2:V83),$V$2:$V$1001,0),1)&gt;=100000,INDEX($AC$1005:$AS$1005,1,MATCH(COLUMNS($AC$1006:AL1006),$AC$1006:$AS$1006,0))&gt;=100000), " ",IF(INDEX($AC$2:$AS$1001,MATCH(ROWS($V$2:V83),$V$2:$V$1001,0),MATCH(COLUMNS($AC$1006:AL1006),$AC$1006:$AS$1006,0)), HYPERLINK("#",""), HYPERLINK(CONCATENATE("#metadata!", ADDRESS(INDEX($X$2:$X$1001,MATCH(ROWS($V$2:V83),$V$2:$V$1001,0),0), INDEX($AC$1004:$AS$1004,1,MATCH(COLUMNS($AC$1006:AL1006),$AC$1006:$AS$1006,0)))),"Fix")))</f>
        <v xml:space="preserve"> </v>
      </c>
      <c r="L83" s="4" t="str">
        <f ca="1">IF(OR(INDEX($W$2:$W$1001,MATCH(ROWS($V$2:V83),$V$2:$V$1001,0),1)&gt;=100000,INDEX($AC$1005:$AS$1005,1,MATCH(COLUMNS($AC$1006:AM1006),$AC$1006:$AS$1006,0))&gt;=100000), " ",IF(INDEX($AC$2:$AS$1001,MATCH(ROWS($V$2:V83),$V$2:$V$1001,0),MATCH(COLUMNS($AC$1006:AM1006),$AC$1006:$AS$1006,0)), HYPERLINK("#",""), HYPERLINK(CONCATENATE("#metadata!", ADDRESS(INDEX($X$2:$X$1001,MATCH(ROWS($V$2:V83),$V$2:$V$1001,0),0), INDEX($AC$1004:$AS$1004,1,MATCH(COLUMNS($AC$1006:AM1006),$AC$1006:$AS$1006,0)))),"Fix")))</f>
        <v xml:space="preserve"> </v>
      </c>
      <c r="M83" s="4" t="str">
        <f ca="1">IF(OR(INDEX($W$2:$W$1001,MATCH(ROWS($V$2:V83),$V$2:$V$1001,0),1)&gt;=100000,INDEX($AC$1005:$AS$1005,1,MATCH(COLUMNS($AC$1006:AN1006),$AC$1006:$AS$1006,0))&gt;=100000), " ",IF(INDEX($AC$2:$AS$1001,MATCH(ROWS($V$2:V83),$V$2:$V$1001,0),MATCH(COLUMNS($AC$1006:AN1006),$AC$1006:$AS$1006,0)), HYPERLINK("#",""), HYPERLINK(CONCATENATE("#metadata!", ADDRESS(INDEX($X$2:$X$1001,MATCH(ROWS($V$2:V83),$V$2:$V$1001,0),0), INDEX($AC$1004:$AS$1004,1,MATCH(COLUMNS($AC$1006:AN1006),$AC$1006:$AS$1006,0)))),"Fix")))</f>
        <v xml:space="preserve"> </v>
      </c>
      <c r="N83" s="4" t="str">
        <f ca="1">IF(OR(INDEX($W$2:$W$1001,MATCH(ROWS($V$2:V83),$V$2:$V$1001,0),1)&gt;=100000,INDEX($AC$1005:$AS$1005,1,MATCH(COLUMNS($AC$1006:AO1006),$AC$1006:$AS$1006,0))&gt;=100000), " ",IF(INDEX($AC$2:$AS$1001,MATCH(ROWS($V$2:V83),$V$2:$V$1001,0),MATCH(COLUMNS($AC$1006:AO1006),$AC$1006:$AS$1006,0)), HYPERLINK("#",""), HYPERLINK(CONCATENATE("#metadata!", ADDRESS(INDEX($X$2:$X$1001,MATCH(ROWS($V$2:V83),$V$2:$V$1001,0),0), INDEX($AC$1004:$AS$1004,1,MATCH(COLUMNS($AC$1006:AO1006),$AC$1006:$AS$1006,0)))),"Fix")))</f>
        <v xml:space="preserve"> </v>
      </c>
      <c r="O83" s="4" t="str">
        <f ca="1">IF(OR(INDEX($W$2:$W$1001,MATCH(ROWS($V$2:V83),$V$2:$V$1001,0),1)&gt;=100000,INDEX($AC$1005:$AS$1005,1,MATCH(COLUMNS($AC$1006:AP1006),$AC$1006:$AS$1006,0))&gt;=100000), " ",IF(INDEX($AC$2:$AS$1001,MATCH(ROWS($V$2:V83),$V$2:$V$1001,0),MATCH(COLUMNS($AC$1006:AP1006),$AC$1006:$AS$1006,0)), HYPERLINK("#",""), HYPERLINK(CONCATENATE("#metadata!", ADDRESS(INDEX($X$2:$X$1001,MATCH(ROWS($V$2:V83),$V$2:$V$1001,0),0), INDEX($AC$1004:$AS$1004,1,MATCH(COLUMNS($AC$1006:AP1006),$AC$1006:$AS$1006,0)))),"Fix")))</f>
        <v xml:space="preserve"> </v>
      </c>
      <c r="P83" s="4" t="str">
        <f ca="1">IF(OR(INDEX($W$2:$W$1001,MATCH(ROWS($V$2:V83),$V$2:$V$1001,0),1)&gt;=100000,INDEX($AC$1005:$AS$1005,1,MATCH(COLUMNS($AC$1006:AQ1006),$AC$1006:$AS$1006,0))&gt;=100000), " ",IF(INDEX($AC$2:$AS$1001,MATCH(ROWS($V$2:V83),$V$2:$V$1001,0),MATCH(COLUMNS($AC$1006:AQ1006),$AC$1006:$AS$1006,0)), HYPERLINK("#",""), HYPERLINK(CONCATENATE("#metadata!", ADDRESS(INDEX($X$2:$X$1001,MATCH(ROWS($V$2:V83),$V$2:$V$1001,0),0), INDEX($AC$1004:$AS$1004,1,MATCH(COLUMNS($AC$1006:AQ1006),$AC$1006:$AS$1006,0)))),"Fix")))</f>
        <v xml:space="preserve"> </v>
      </c>
      <c r="Q83" s="4" t="str">
        <f ca="1">IF(OR(INDEX($W$2:$W$1001,MATCH(ROWS($V$2:V83),$V$2:$V$1001,0),1)&gt;=100000,INDEX($AC$1005:$AS$1005,1,MATCH(COLUMNS($AC$1006:AR1006),$AC$1006:$AS$1006,0))&gt;=100000), " ",IF(INDEX($AC$2:$AS$1001,MATCH(ROWS($V$2:V83),$V$2:$V$1001,0),MATCH(COLUMNS($AC$1006:AR1006),$AC$1006:$AS$1006,0)), HYPERLINK("#",""), HYPERLINK(CONCATENATE("#metadata!", ADDRESS(INDEX($X$2:$X$1001,MATCH(ROWS($V$2:V83),$V$2:$V$1001,0),0), INDEX($AC$1004:$AS$1004,1,MATCH(COLUMNS($AC$1006:AR1006),$AC$1006:$AS$1006,0)))),"Fix")))</f>
        <v xml:space="preserve"> </v>
      </c>
      <c r="R83" s="4" t="str">
        <f ca="1">IF(OR(INDEX($W$2:$W$1001,MATCH(ROWS($V$2:V83),$V$2:$V$1001,0),1)&gt;=100000,INDEX($AC$1005:$AS$1005,1,MATCH(COLUMNS($AC$1006:AS1006),$AC$1006:$AS$1006,0))&gt;=100000), " ",IF(INDEX($AC$2:$AS$1001,MATCH(ROWS($V$2:V83),$V$2:$V$1001,0),MATCH(COLUMNS($AC$1006:AS1006),$AC$1006:$AS$1006,0)), HYPERLINK("#",""), HYPERLINK(CONCATENATE("#metadata!", ADDRESS(INDEX($X$2:$X$1001,MATCH(ROWS($V$2:V83),$V$2:$V$1001,0),0), INDEX($AC$1004:$AS$1004,1,MATCH(COLUMNS($AC$1006:AS1006),$AC$1006:$AS$1006,0)))),"Fix")))</f>
        <v xml:space="preserve"> </v>
      </c>
      <c r="V83">
        <v>82</v>
      </c>
      <c r="W83">
        <v>100083</v>
      </c>
      <c r="X83">
        <v>83</v>
      </c>
      <c r="Y83" t="b">
        <f t="shared" si="1"/>
        <v>1</v>
      </c>
      <c r="Z83" t="b">
        <f>COUNTBLANK(metadata!B83:R83)=COLUMNS(metadata!B83:R83)</f>
        <v>1</v>
      </c>
      <c r="AA83" t="str">
        <v/>
      </c>
      <c r="AC83" t="b">
        <f ca="1"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AD83" t="b">
        <f>IF(metadata!C83="",FALSE,ISNUMBER(VALUE(metadata!C83)))</f>
        <v>0</v>
      </c>
      <c r="AE83" t="b">
        <f>AND(IF(metadata!D83="",FALSE,TRUE),EXACT(metadata!D83,"years"))</f>
        <v>0</v>
      </c>
      <c r="AF83" t="b">
        <f>OR(AND(IF(metadata!E83="",FALSE,TRUE),OR(EXACT(metadata!E83,"not applicable"),EXACT(metadata!E83,"missing: not collected"),EXACT(metadata!E83,"missing: not provided"),EXACT(metadata!E83,"missing: restricted access"))),AND(IF(metadata!E83="",FALSE,ISNUMBER(VALUE(metadata!E83))),metadata!E83&gt;0))</f>
        <v>0</v>
      </c>
      <c r="AG83" t="b">
        <f>AND(IF(metadata!F83="",FALSE,TRUE),EXACT(metadata!F83,"Not applicable"))</f>
        <v>0</v>
      </c>
      <c r="AH83" t="b">
        <f>AND(IF(metadata!G83="",FALSE,TRUE),EXACT(metadata!G83,"urban biome"))</f>
        <v>0</v>
      </c>
      <c r="AI83" t="b">
        <f>AND(IF(metadata!H83="",FALSE,TRUE),EXACT(metadata!H83,"human-associated habitat"))</f>
        <v>0</v>
      </c>
      <c r="AJ83" t="b">
        <f>AND(IF(metadata!I83="",FALSE,TRUE),OR(EXACT(metadata!I83,"human-associated"),EXACT(metadata!I83,"human-skin"),EXACT(metadata!I83,"human-oral"),EXACT(metadata!I83,"human-gut"),EXACT(metadata!I83,"human-vaginal")))</f>
        <v>0</v>
      </c>
      <c r="AK83" t="b">
        <f>IF(metadata!J83="",FALSE,ISNUMBER(VALUE(metadata!J83)))</f>
        <v>0</v>
      </c>
      <c r="AL83" t="b">
        <f>AND(IF(metadata!K83="",FALSE,TRUE),EXACT(metadata!K83,"cm"))</f>
        <v>0</v>
      </c>
      <c r="AM83" t="b">
        <f>AND(IF(metadata!L83="",FALSE,TRUE),EXACT(metadata!L83,"human"))</f>
        <v>0</v>
      </c>
      <c r="AN83" t="b">
        <f>AND(IF(metadata!M83="",FALSE,TRUE),EXACT(metadata!M83,"Homo sapiens"))</f>
        <v>0</v>
      </c>
      <c r="AO83" t="b">
        <f>AND(IF(metadata!N83="",FALSE,TRUE),EXACT(metadata!N83,"9606"))</f>
        <v>0</v>
      </c>
      <c r="AP83" t="b">
        <f>IF(metadata!O83="",FALSE,TRUE)</f>
        <v>0</v>
      </c>
      <c r="AQ83" t="b">
        <f>IF(metadata!P83="",FALSE,TRUE)</f>
        <v>0</v>
      </c>
      <c r="AR83" t="b">
        <f>IF(metadata!Q83="",FALSE,ISNUMBER(VALUE(metadata!Q83)))</f>
        <v>0</v>
      </c>
      <c r="AS83" t="b">
        <f>AND(IF(metadata!R83="",FALSE,TRUE),EXACT(metadata!R83,"kg"))</f>
        <v>0</v>
      </c>
    </row>
    <row r="84" spans="1:45" x14ac:dyDescent="0.2">
      <c r="A84" s="5" t="str">
        <f ca="1">IF(B84=" "," ",HYPERLINK(CONCATENATE("#metadata!",ADDRESS(INDEX($X$2:$X$1001,MATCH(ROWS($V$2:V84),$V$2:$V$1001,0),0),1)),INDEX($AA$2:$AA$1001,MATCH(ROWS($V$2:V84),$V$2:$V$1001,0),0)))</f>
        <v xml:space="preserve"> </v>
      </c>
      <c r="B84" s="4" t="str">
        <f ca="1">IF(OR(INDEX($W$2:$W$1001,MATCH(ROWS($V$2:V84),$V$2:$V$1001,0),1)&gt;=100000,INDEX($AC$1005:$AS$1005,1,MATCH(COLUMNS($AC$1006:AC1006),$AC$1006:$AS$1006,0))&gt;=100000), " ",IF(INDEX($AC$2:$AS$1001,MATCH(ROWS($V$2:V84),$V$2:$V$1001,0),MATCH(COLUMNS($AC$1006:AC1006),$AC$1006:$AS$1006,0)), HYPERLINK("#",""), HYPERLINK(CONCATENATE("#metadata!", ADDRESS(INDEX($X$2:$X$1001,MATCH(ROWS($V$2:V84),$V$2:$V$1001,0),0), INDEX($AC$1004:$AS$1004,1,MATCH(COLUMNS($AC$1006:AC1006),$AC$1006:$AS$1006,0)))),"Fix")))</f>
        <v xml:space="preserve"> </v>
      </c>
      <c r="C84" s="4" t="str">
        <f ca="1">IF(OR(INDEX($W$2:$W$1001,MATCH(ROWS($V$2:V84),$V$2:$V$1001,0),1)&gt;=100000,INDEX($AC$1005:$AS$1005,1,MATCH(COLUMNS($AC$1006:AD1006),$AC$1006:$AS$1006,0))&gt;=100000), " ",IF(INDEX($AC$2:$AS$1001,MATCH(ROWS($V$2:V84),$V$2:$V$1001,0),MATCH(COLUMNS($AC$1006:AD1006),$AC$1006:$AS$1006,0)), HYPERLINK("#",""), HYPERLINK(CONCATENATE("#metadata!", ADDRESS(INDEX($X$2:$X$1001,MATCH(ROWS($V$2:V84),$V$2:$V$1001,0),0), INDEX($AC$1004:$AS$1004,1,MATCH(COLUMNS($AC$1006:AD1006),$AC$1006:$AS$1006,0)))),"Fix")))</f>
        <v xml:space="preserve"> </v>
      </c>
      <c r="D84" s="4" t="str">
        <f ca="1">IF(OR(INDEX($W$2:$W$1001,MATCH(ROWS($V$2:V84),$V$2:$V$1001,0),1)&gt;=100000,INDEX($AC$1005:$AS$1005,1,MATCH(COLUMNS($AC$1006:AE1006),$AC$1006:$AS$1006,0))&gt;=100000), " ",IF(INDEX($AC$2:$AS$1001,MATCH(ROWS($V$2:V84),$V$2:$V$1001,0),MATCH(COLUMNS($AC$1006:AE1006),$AC$1006:$AS$1006,0)), HYPERLINK("#",""), HYPERLINK(CONCATENATE("#metadata!", ADDRESS(INDEX($X$2:$X$1001,MATCH(ROWS($V$2:V84),$V$2:$V$1001,0),0), INDEX($AC$1004:$AS$1004,1,MATCH(COLUMNS($AC$1006:AE1006),$AC$1006:$AS$1006,0)))),"Fix")))</f>
        <v xml:space="preserve"> </v>
      </c>
      <c r="E84" s="4" t="str">
        <f ca="1">IF(OR(INDEX($W$2:$W$1001,MATCH(ROWS($V$2:V84),$V$2:$V$1001,0),1)&gt;=100000,INDEX($AC$1005:$AS$1005,1,MATCH(COLUMNS($AC$1006:AF1006),$AC$1006:$AS$1006,0))&gt;=100000), " ",IF(INDEX($AC$2:$AS$1001,MATCH(ROWS($V$2:V84),$V$2:$V$1001,0),MATCH(COLUMNS($AC$1006:AF1006),$AC$1006:$AS$1006,0)), HYPERLINK("#",""), HYPERLINK(CONCATENATE("#metadata!", ADDRESS(INDEX($X$2:$X$1001,MATCH(ROWS($V$2:V84),$V$2:$V$1001,0),0), INDEX($AC$1004:$AS$1004,1,MATCH(COLUMNS($AC$1006:AF1006),$AC$1006:$AS$1006,0)))),"Fix")))</f>
        <v xml:space="preserve"> </v>
      </c>
      <c r="F84" s="4" t="str">
        <f ca="1">IF(OR(INDEX($W$2:$W$1001,MATCH(ROWS($V$2:V84),$V$2:$V$1001,0),1)&gt;=100000,INDEX($AC$1005:$AS$1005,1,MATCH(COLUMNS($AC$1006:AG1006),$AC$1006:$AS$1006,0))&gt;=100000), " ",IF(INDEX($AC$2:$AS$1001,MATCH(ROWS($V$2:V84),$V$2:$V$1001,0),MATCH(COLUMNS($AC$1006:AG1006),$AC$1006:$AS$1006,0)), HYPERLINK("#",""), HYPERLINK(CONCATENATE("#metadata!", ADDRESS(INDEX($X$2:$X$1001,MATCH(ROWS($V$2:V84),$V$2:$V$1001,0),0), INDEX($AC$1004:$AS$1004,1,MATCH(COLUMNS($AC$1006:AG1006),$AC$1006:$AS$1006,0)))),"Fix")))</f>
        <v xml:space="preserve"> </v>
      </c>
      <c r="G84" s="4" t="str">
        <f ca="1">IF(OR(INDEX($W$2:$W$1001,MATCH(ROWS($V$2:V84),$V$2:$V$1001,0),1)&gt;=100000,INDEX($AC$1005:$AS$1005,1,MATCH(COLUMNS($AC$1006:AH1006),$AC$1006:$AS$1006,0))&gt;=100000), " ",IF(INDEX($AC$2:$AS$1001,MATCH(ROWS($V$2:V84),$V$2:$V$1001,0),MATCH(COLUMNS($AC$1006:AH1006),$AC$1006:$AS$1006,0)), HYPERLINK("#",""), HYPERLINK(CONCATENATE("#metadata!", ADDRESS(INDEX($X$2:$X$1001,MATCH(ROWS($V$2:V84),$V$2:$V$1001,0),0), INDEX($AC$1004:$AS$1004,1,MATCH(COLUMNS($AC$1006:AH1006),$AC$1006:$AS$1006,0)))),"Fix")))</f>
        <v xml:space="preserve"> </v>
      </c>
      <c r="H84" s="4" t="str">
        <f ca="1">IF(OR(INDEX($W$2:$W$1001,MATCH(ROWS($V$2:V84),$V$2:$V$1001,0),1)&gt;=100000,INDEX($AC$1005:$AS$1005,1,MATCH(COLUMNS($AC$1006:AI1006),$AC$1006:$AS$1006,0))&gt;=100000), " ",IF(INDEX($AC$2:$AS$1001,MATCH(ROWS($V$2:V84),$V$2:$V$1001,0),MATCH(COLUMNS($AC$1006:AI1006),$AC$1006:$AS$1006,0)), HYPERLINK("#",""), HYPERLINK(CONCATENATE("#metadata!", ADDRESS(INDEX($X$2:$X$1001,MATCH(ROWS($V$2:V84),$V$2:$V$1001,0),0), INDEX($AC$1004:$AS$1004,1,MATCH(COLUMNS($AC$1006:AI1006),$AC$1006:$AS$1006,0)))),"Fix")))</f>
        <v xml:space="preserve"> </v>
      </c>
      <c r="I84" s="4" t="str">
        <f ca="1">IF(OR(INDEX($W$2:$W$1001,MATCH(ROWS($V$2:V84),$V$2:$V$1001,0),1)&gt;=100000,INDEX($AC$1005:$AS$1005,1,MATCH(COLUMNS($AC$1006:AJ1006),$AC$1006:$AS$1006,0))&gt;=100000), " ",IF(INDEX($AC$2:$AS$1001,MATCH(ROWS($V$2:V84),$V$2:$V$1001,0),MATCH(COLUMNS($AC$1006:AJ1006),$AC$1006:$AS$1006,0)), HYPERLINK("#",""), HYPERLINK(CONCATENATE("#metadata!", ADDRESS(INDEX($X$2:$X$1001,MATCH(ROWS($V$2:V84),$V$2:$V$1001,0),0), INDEX($AC$1004:$AS$1004,1,MATCH(COLUMNS($AC$1006:AJ1006),$AC$1006:$AS$1006,0)))),"Fix")))</f>
        <v xml:space="preserve"> </v>
      </c>
      <c r="J84" s="4" t="str">
        <f ca="1">IF(OR(INDEX($W$2:$W$1001,MATCH(ROWS($V$2:V84),$V$2:$V$1001,0),1)&gt;=100000,INDEX($AC$1005:$AS$1005,1,MATCH(COLUMNS($AC$1006:AK1006),$AC$1006:$AS$1006,0))&gt;=100000), " ",IF(INDEX($AC$2:$AS$1001,MATCH(ROWS($V$2:V84),$V$2:$V$1001,0),MATCH(COLUMNS($AC$1006:AK1006),$AC$1006:$AS$1006,0)), HYPERLINK("#",""), HYPERLINK(CONCATENATE("#metadata!", ADDRESS(INDEX($X$2:$X$1001,MATCH(ROWS($V$2:V84),$V$2:$V$1001,0),0), INDEX($AC$1004:$AS$1004,1,MATCH(COLUMNS($AC$1006:AK1006),$AC$1006:$AS$1006,0)))),"Fix")))</f>
        <v xml:space="preserve"> </v>
      </c>
      <c r="K84" s="4" t="str">
        <f ca="1">IF(OR(INDEX($W$2:$W$1001,MATCH(ROWS($V$2:V84),$V$2:$V$1001,0),1)&gt;=100000,INDEX($AC$1005:$AS$1005,1,MATCH(COLUMNS($AC$1006:AL1006),$AC$1006:$AS$1006,0))&gt;=100000), " ",IF(INDEX($AC$2:$AS$1001,MATCH(ROWS($V$2:V84),$V$2:$V$1001,0),MATCH(COLUMNS($AC$1006:AL1006),$AC$1006:$AS$1006,0)), HYPERLINK("#",""), HYPERLINK(CONCATENATE("#metadata!", ADDRESS(INDEX($X$2:$X$1001,MATCH(ROWS($V$2:V84),$V$2:$V$1001,0),0), INDEX($AC$1004:$AS$1004,1,MATCH(COLUMNS($AC$1006:AL1006),$AC$1006:$AS$1006,0)))),"Fix")))</f>
        <v xml:space="preserve"> </v>
      </c>
      <c r="L84" s="4" t="str">
        <f ca="1">IF(OR(INDEX($W$2:$W$1001,MATCH(ROWS($V$2:V84),$V$2:$V$1001,0),1)&gt;=100000,INDEX($AC$1005:$AS$1005,1,MATCH(COLUMNS($AC$1006:AM1006),$AC$1006:$AS$1006,0))&gt;=100000), " ",IF(INDEX($AC$2:$AS$1001,MATCH(ROWS($V$2:V84),$V$2:$V$1001,0),MATCH(COLUMNS($AC$1006:AM1006),$AC$1006:$AS$1006,0)), HYPERLINK("#",""), HYPERLINK(CONCATENATE("#metadata!", ADDRESS(INDEX($X$2:$X$1001,MATCH(ROWS($V$2:V84),$V$2:$V$1001,0),0), INDEX($AC$1004:$AS$1004,1,MATCH(COLUMNS($AC$1006:AM1006),$AC$1006:$AS$1006,0)))),"Fix")))</f>
        <v xml:space="preserve"> </v>
      </c>
      <c r="M84" s="4" t="str">
        <f ca="1">IF(OR(INDEX($W$2:$W$1001,MATCH(ROWS($V$2:V84),$V$2:$V$1001,0),1)&gt;=100000,INDEX($AC$1005:$AS$1005,1,MATCH(COLUMNS($AC$1006:AN1006),$AC$1006:$AS$1006,0))&gt;=100000), " ",IF(INDEX($AC$2:$AS$1001,MATCH(ROWS($V$2:V84),$V$2:$V$1001,0),MATCH(COLUMNS($AC$1006:AN1006),$AC$1006:$AS$1006,0)), HYPERLINK("#",""), HYPERLINK(CONCATENATE("#metadata!", ADDRESS(INDEX($X$2:$X$1001,MATCH(ROWS($V$2:V84),$V$2:$V$1001,0),0), INDEX($AC$1004:$AS$1004,1,MATCH(COLUMNS($AC$1006:AN1006),$AC$1006:$AS$1006,0)))),"Fix")))</f>
        <v xml:space="preserve"> </v>
      </c>
      <c r="N84" s="4" t="str">
        <f ca="1">IF(OR(INDEX($W$2:$W$1001,MATCH(ROWS($V$2:V84),$V$2:$V$1001,0),1)&gt;=100000,INDEX($AC$1005:$AS$1005,1,MATCH(COLUMNS($AC$1006:AO1006),$AC$1006:$AS$1006,0))&gt;=100000), " ",IF(INDEX($AC$2:$AS$1001,MATCH(ROWS($V$2:V84),$V$2:$V$1001,0),MATCH(COLUMNS($AC$1006:AO1006),$AC$1006:$AS$1006,0)), HYPERLINK("#",""), HYPERLINK(CONCATENATE("#metadata!", ADDRESS(INDEX($X$2:$X$1001,MATCH(ROWS($V$2:V84),$V$2:$V$1001,0),0), INDEX($AC$1004:$AS$1004,1,MATCH(COLUMNS($AC$1006:AO1006),$AC$1006:$AS$1006,0)))),"Fix")))</f>
        <v xml:space="preserve"> </v>
      </c>
      <c r="O84" s="4" t="str">
        <f ca="1">IF(OR(INDEX($W$2:$W$1001,MATCH(ROWS($V$2:V84),$V$2:$V$1001,0),1)&gt;=100000,INDEX($AC$1005:$AS$1005,1,MATCH(COLUMNS($AC$1006:AP1006),$AC$1006:$AS$1006,0))&gt;=100000), " ",IF(INDEX($AC$2:$AS$1001,MATCH(ROWS($V$2:V84),$V$2:$V$1001,0),MATCH(COLUMNS($AC$1006:AP1006),$AC$1006:$AS$1006,0)), HYPERLINK("#",""), HYPERLINK(CONCATENATE("#metadata!", ADDRESS(INDEX($X$2:$X$1001,MATCH(ROWS($V$2:V84),$V$2:$V$1001,0),0), INDEX($AC$1004:$AS$1004,1,MATCH(COLUMNS($AC$1006:AP1006),$AC$1006:$AS$1006,0)))),"Fix")))</f>
        <v xml:space="preserve"> </v>
      </c>
      <c r="P84" s="4" t="str">
        <f ca="1">IF(OR(INDEX($W$2:$W$1001,MATCH(ROWS($V$2:V84),$V$2:$V$1001,0),1)&gt;=100000,INDEX($AC$1005:$AS$1005,1,MATCH(COLUMNS($AC$1006:AQ1006),$AC$1006:$AS$1006,0))&gt;=100000), " ",IF(INDEX($AC$2:$AS$1001,MATCH(ROWS($V$2:V84),$V$2:$V$1001,0),MATCH(COLUMNS($AC$1006:AQ1006),$AC$1006:$AS$1006,0)), HYPERLINK("#",""), HYPERLINK(CONCATENATE("#metadata!", ADDRESS(INDEX($X$2:$X$1001,MATCH(ROWS($V$2:V84),$V$2:$V$1001,0),0), INDEX($AC$1004:$AS$1004,1,MATCH(COLUMNS($AC$1006:AQ1006),$AC$1006:$AS$1006,0)))),"Fix")))</f>
        <v xml:space="preserve"> </v>
      </c>
      <c r="Q84" s="4" t="str">
        <f ca="1">IF(OR(INDEX($W$2:$W$1001,MATCH(ROWS($V$2:V84),$V$2:$V$1001,0),1)&gt;=100000,INDEX($AC$1005:$AS$1005,1,MATCH(COLUMNS($AC$1006:AR1006),$AC$1006:$AS$1006,0))&gt;=100000), " ",IF(INDEX($AC$2:$AS$1001,MATCH(ROWS($V$2:V84),$V$2:$V$1001,0),MATCH(COLUMNS($AC$1006:AR1006),$AC$1006:$AS$1006,0)), HYPERLINK("#",""), HYPERLINK(CONCATENATE("#metadata!", ADDRESS(INDEX($X$2:$X$1001,MATCH(ROWS($V$2:V84),$V$2:$V$1001,0),0), INDEX($AC$1004:$AS$1004,1,MATCH(COLUMNS($AC$1006:AR1006),$AC$1006:$AS$1006,0)))),"Fix")))</f>
        <v xml:space="preserve"> </v>
      </c>
      <c r="R84" s="4" t="str">
        <f ca="1">IF(OR(INDEX($W$2:$W$1001,MATCH(ROWS($V$2:V84),$V$2:$V$1001,0),1)&gt;=100000,INDEX($AC$1005:$AS$1005,1,MATCH(COLUMNS($AC$1006:AS1006),$AC$1006:$AS$1006,0))&gt;=100000), " ",IF(INDEX($AC$2:$AS$1001,MATCH(ROWS($V$2:V84),$V$2:$V$1001,0),MATCH(COLUMNS($AC$1006:AS1006),$AC$1006:$AS$1006,0)), HYPERLINK("#",""), HYPERLINK(CONCATENATE("#metadata!", ADDRESS(INDEX($X$2:$X$1001,MATCH(ROWS($V$2:V84),$V$2:$V$1001,0),0), INDEX($AC$1004:$AS$1004,1,MATCH(COLUMNS($AC$1006:AS1006),$AC$1006:$AS$1006,0)))),"Fix")))</f>
        <v xml:space="preserve"> </v>
      </c>
      <c r="V84">
        <v>83</v>
      </c>
      <c r="W84">
        <v>100084</v>
      </c>
      <c r="X84">
        <v>84</v>
      </c>
      <c r="Y84" t="b">
        <f t="shared" si="1"/>
        <v>1</v>
      </c>
      <c r="Z84" t="b">
        <f>COUNTBLANK(metadata!B84:R84)=COLUMNS(metadata!B84:R84)</f>
        <v>1</v>
      </c>
      <c r="AA84" t="str">
        <v/>
      </c>
      <c r="AC84" t="b">
        <f ca="1"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AD84" t="b">
        <f>IF(metadata!C84="",FALSE,ISNUMBER(VALUE(metadata!C84)))</f>
        <v>0</v>
      </c>
      <c r="AE84" t="b">
        <f>AND(IF(metadata!D84="",FALSE,TRUE),EXACT(metadata!D84,"years"))</f>
        <v>0</v>
      </c>
      <c r="AF84" t="b">
        <f>OR(AND(IF(metadata!E84="",FALSE,TRUE),OR(EXACT(metadata!E84,"not applicable"),EXACT(metadata!E84,"missing: not collected"),EXACT(metadata!E84,"missing: not provided"),EXACT(metadata!E84,"missing: restricted access"))),AND(IF(metadata!E84="",FALSE,ISNUMBER(VALUE(metadata!E84))),metadata!E84&gt;0))</f>
        <v>0</v>
      </c>
      <c r="AG84" t="b">
        <f>AND(IF(metadata!F84="",FALSE,TRUE),EXACT(metadata!F84,"Not applicable"))</f>
        <v>0</v>
      </c>
      <c r="AH84" t="b">
        <f>AND(IF(metadata!G84="",FALSE,TRUE),EXACT(metadata!G84,"urban biome"))</f>
        <v>0</v>
      </c>
      <c r="AI84" t="b">
        <f>AND(IF(metadata!H84="",FALSE,TRUE),EXACT(metadata!H84,"human-associated habitat"))</f>
        <v>0</v>
      </c>
      <c r="AJ84" t="b">
        <f>AND(IF(metadata!I84="",FALSE,TRUE),OR(EXACT(metadata!I84,"human-associated"),EXACT(metadata!I84,"human-skin"),EXACT(metadata!I84,"human-oral"),EXACT(metadata!I84,"human-gut"),EXACT(metadata!I84,"human-vaginal")))</f>
        <v>0</v>
      </c>
      <c r="AK84" t="b">
        <f>IF(metadata!J84="",FALSE,ISNUMBER(VALUE(metadata!J84)))</f>
        <v>0</v>
      </c>
      <c r="AL84" t="b">
        <f>AND(IF(metadata!K84="",FALSE,TRUE),EXACT(metadata!K84,"cm"))</f>
        <v>0</v>
      </c>
      <c r="AM84" t="b">
        <f>AND(IF(metadata!L84="",FALSE,TRUE),EXACT(metadata!L84,"human"))</f>
        <v>0</v>
      </c>
      <c r="AN84" t="b">
        <f>AND(IF(metadata!M84="",FALSE,TRUE),EXACT(metadata!M84,"Homo sapiens"))</f>
        <v>0</v>
      </c>
      <c r="AO84" t="b">
        <f>AND(IF(metadata!N84="",FALSE,TRUE),EXACT(metadata!N84,"9606"))</f>
        <v>0</v>
      </c>
      <c r="AP84" t="b">
        <f>IF(metadata!O84="",FALSE,TRUE)</f>
        <v>0</v>
      </c>
      <c r="AQ84" t="b">
        <f>IF(metadata!P84="",FALSE,TRUE)</f>
        <v>0</v>
      </c>
      <c r="AR84" t="b">
        <f>IF(metadata!Q84="",FALSE,ISNUMBER(VALUE(metadata!Q84)))</f>
        <v>0</v>
      </c>
      <c r="AS84" t="b">
        <f>AND(IF(metadata!R84="",FALSE,TRUE),EXACT(metadata!R84,"kg"))</f>
        <v>0</v>
      </c>
    </row>
    <row r="85" spans="1:45" x14ac:dyDescent="0.2">
      <c r="A85" s="5" t="str">
        <f ca="1">IF(B85=" "," ",HYPERLINK(CONCATENATE("#metadata!",ADDRESS(INDEX($X$2:$X$1001,MATCH(ROWS($V$2:V85),$V$2:$V$1001,0),0),1)),INDEX($AA$2:$AA$1001,MATCH(ROWS($V$2:V85),$V$2:$V$1001,0),0)))</f>
        <v xml:space="preserve"> </v>
      </c>
      <c r="B85" s="4" t="str">
        <f ca="1">IF(OR(INDEX($W$2:$W$1001,MATCH(ROWS($V$2:V85),$V$2:$V$1001,0),1)&gt;=100000,INDEX($AC$1005:$AS$1005,1,MATCH(COLUMNS($AC$1006:AC1006),$AC$1006:$AS$1006,0))&gt;=100000), " ",IF(INDEX($AC$2:$AS$1001,MATCH(ROWS($V$2:V85),$V$2:$V$1001,0),MATCH(COLUMNS($AC$1006:AC1006),$AC$1006:$AS$1006,0)), HYPERLINK("#",""), HYPERLINK(CONCATENATE("#metadata!", ADDRESS(INDEX($X$2:$X$1001,MATCH(ROWS($V$2:V85),$V$2:$V$1001,0),0), INDEX($AC$1004:$AS$1004,1,MATCH(COLUMNS($AC$1006:AC1006),$AC$1006:$AS$1006,0)))),"Fix")))</f>
        <v xml:space="preserve"> </v>
      </c>
      <c r="C85" s="4" t="str">
        <f ca="1">IF(OR(INDEX($W$2:$W$1001,MATCH(ROWS($V$2:V85),$V$2:$V$1001,0),1)&gt;=100000,INDEX($AC$1005:$AS$1005,1,MATCH(COLUMNS($AC$1006:AD1006),$AC$1006:$AS$1006,0))&gt;=100000), " ",IF(INDEX($AC$2:$AS$1001,MATCH(ROWS($V$2:V85),$V$2:$V$1001,0),MATCH(COLUMNS($AC$1006:AD1006),$AC$1006:$AS$1006,0)), HYPERLINK("#",""), HYPERLINK(CONCATENATE("#metadata!", ADDRESS(INDEX($X$2:$X$1001,MATCH(ROWS($V$2:V85),$V$2:$V$1001,0),0), INDEX($AC$1004:$AS$1004,1,MATCH(COLUMNS($AC$1006:AD1006),$AC$1006:$AS$1006,0)))),"Fix")))</f>
        <v xml:space="preserve"> </v>
      </c>
      <c r="D85" s="4" t="str">
        <f ca="1">IF(OR(INDEX($W$2:$W$1001,MATCH(ROWS($V$2:V85),$V$2:$V$1001,0),1)&gt;=100000,INDEX($AC$1005:$AS$1005,1,MATCH(COLUMNS($AC$1006:AE1006),$AC$1006:$AS$1006,0))&gt;=100000), " ",IF(INDEX($AC$2:$AS$1001,MATCH(ROWS($V$2:V85),$V$2:$V$1001,0),MATCH(COLUMNS($AC$1006:AE1006),$AC$1006:$AS$1006,0)), HYPERLINK("#",""), HYPERLINK(CONCATENATE("#metadata!", ADDRESS(INDEX($X$2:$X$1001,MATCH(ROWS($V$2:V85),$V$2:$V$1001,0),0), INDEX($AC$1004:$AS$1004,1,MATCH(COLUMNS($AC$1006:AE1006),$AC$1006:$AS$1006,0)))),"Fix")))</f>
        <v xml:space="preserve"> </v>
      </c>
      <c r="E85" s="4" t="str">
        <f ca="1">IF(OR(INDEX($W$2:$W$1001,MATCH(ROWS($V$2:V85),$V$2:$V$1001,0),1)&gt;=100000,INDEX($AC$1005:$AS$1005,1,MATCH(COLUMNS($AC$1006:AF1006),$AC$1006:$AS$1006,0))&gt;=100000), " ",IF(INDEX($AC$2:$AS$1001,MATCH(ROWS($V$2:V85),$V$2:$V$1001,0),MATCH(COLUMNS($AC$1006:AF1006),$AC$1006:$AS$1006,0)), HYPERLINK("#",""), HYPERLINK(CONCATENATE("#metadata!", ADDRESS(INDEX($X$2:$X$1001,MATCH(ROWS($V$2:V85),$V$2:$V$1001,0),0), INDEX($AC$1004:$AS$1004,1,MATCH(COLUMNS($AC$1006:AF1006),$AC$1006:$AS$1006,0)))),"Fix")))</f>
        <v xml:space="preserve"> </v>
      </c>
      <c r="F85" s="4" t="str">
        <f ca="1">IF(OR(INDEX($W$2:$W$1001,MATCH(ROWS($V$2:V85),$V$2:$V$1001,0),1)&gt;=100000,INDEX($AC$1005:$AS$1005,1,MATCH(COLUMNS($AC$1006:AG1006),$AC$1006:$AS$1006,0))&gt;=100000), " ",IF(INDEX($AC$2:$AS$1001,MATCH(ROWS($V$2:V85),$V$2:$V$1001,0),MATCH(COLUMNS($AC$1006:AG1006),$AC$1006:$AS$1006,0)), HYPERLINK("#",""), HYPERLINK(CONCATENATE("#metadata!", ADDRESS(INDEX($X$2:$X$1001,MATCH(ROWS($V$2:V85),$V$2:$V$1001,0),0), INDEX($AC$1004:$AS$1004,1,MATCH(COLUMNS($AC$1006:AG1006),$AC$1006:$AS$1006,0)))),"Fix")))</f>
        <v xml:space="preserve"> </v>
      </c>
      <c r="G85" s="4" t="str">
        <f ca="1">IF(OR(INDEX($W$2:$W$1001,MATCH(ROWS($V$2:V85),$V$2:$V$1001,0),1)&gt;=100000,INDEX($AC$1005:$AS$1005,1,MATCH(COLUMNS($AC$1006:AH1006),$AC$1006:$AS$1006,0))&gt;=100000), " ",IF(INDEX($AC$2:$AS$1001,MATCH(ROWS($V$2:V85),$V$2:$V$1001,0),MATCH(COLUMNS($AC$1006:AH1006),$AC$1006:$AS$1006,0)), HYPERLINK("#",""), HYPERLINK(CONCATENATE("#metadata!", ADDRESS(INDEX($X$2:$X$1001,MATCH(ROWS($V$2:V85),$V$2:$V$1001,0),0), INDEX($AC$1004:$AS$1004,1,MATCH(COLUMNS($AC$1006:AH1006),$AC$1006:$AS$1006,0)))),"Fix")))</f>
        <v xml:space="preserve"> </v>
      </c>
      <c r="H85" s="4" t="str">
        <f ca="1">IF(OR(INDEX($W$2:$W$1001,MATCH(ROWS($V$2:V85),$V$2:$V$1001,0),1)&gt;=100000,INDEX($AC$1005:$AS$1005,1,MATCH(COLUMNS($AC$1006:AI1006),$AC$1006:$AS$1006,0))&gt;=100000), " ",IF(INDEX($AC$2:$AS$1001,MATCH(ROWS($V$2:V85),$V$2:$V$1001,0),MATCH(COLUMNS($AC$1006:AI1006),$AC$1006:$AS$1006,0)), HYPERLINK("#",""), HYPERLINK(CONCATENATE("#metadata!", ADDRESS(INDEX($X$2:$X$1001,MATCH(ROWS($V$2:V85),$V$2:$V$1001,0),0), INDEX($AC$1004:$AS$1004,1,MATCH(COLUMNS($AC$1006:AI1006),$AC$1006:$AS$1006,0)))),"Fix")))</f>
        <v xml:space="preserve"> </v>
      </c>
      <c r="I85" s="4" t="str">
        <f ca="1">IF(OR(INDEX($W$2:$W$1001,MATCH(ROWS($V$2:V85),$V$2:$V$1001,0),1)&gt;=100000,INDEX($AC$1005:$AS$1005,1,MATCH(COLUMNS($AC$1006:AJ1006),$AC$1006:$AS$1006,0))&gt;=100000), " ",IF(INDEX($AC$2:$AS$1001,MATCH(ROWS($V$2:V85),$V$2:$V$1001,0),MATCH(COLUMNS($AC$1006:AJ1006),$AC$1006:$AS$1006,0)), HYPERLINK("#",""), HYPERLINK(CONCATENATE("#metadata!", ADDRESS(INDEX($X$2:$X$1001,MATCH(ROWS($V$2:V85),$V$2:$V$1001,0),0), INDEX($AC$1004:$AS$1004,1,MATCH(COLUMNS($AC$1006:AJ1006),$AC$1006:$AS$1006,0)))),"Fix")))</f>
        <v xml:space="preserve"> </v>
      </c>
      <c r="J85" s="4" t="str">
        <f ca="1">IF(OR(INDEX($W$2:$W$1001,MATCH(ROWS($V$2:V85),$V$2:$V$1001,0),1)&gt;=100000,INDEX($AC$1005:$AS$1005,1,MATCH(COLUMNS($AC$1006:AK1006),$AC$1006:$AS$1006,0))&gt;=100000), " ",IF(INDEX($AC$2:$AS$1001,MATCH(ROWS($V$2:V85),$V$2:$V$1001,0),MATCH(COLUMNS($AC$1006:AK1006),$AC$1006:$AS$1006,0)), HYPERLINK("#",""), HYPERLINK(CONCATENATE("#metadata!", ADDRESS(INDEX($X$2:$X$1001,MATCH(ROWS($V$2:V85),$V$2:$V$1001,0),0), INDEX($AC$1004:$AS$1004,1,MATCH(COLUMNS($AC$1006:AK1006),$AC$1006:$AS$1006,0)))),"Fix")))</f>
        <v xml:space="preserve"> </v>
      </c>
      <c r="K85" s="4" t="str">
        <f ca="1">IF(OR(INDEX($W$2:$W$1001,MATCH(ROWS($V$2:V85),$V$2:$V$1001,0),1)&gt;=100000,INDEX($AC$1005:$AS$1005,1,MATCH(COLUMNS($AC$1006:AL1006),$AC$1006:$AS$1006,0))&gt;=100000), " ",IF(INDEX($AC$2:$AS$1001,MATCH(ROWS($V$2:V85),$V$2:$V$1001,0),MATCH(COLUMNS($AC$1006:AL1006),$AC$1006:$AS$1006,0)), HYPERLINK("#",""), HYPERLINK(CONCATENATE("#metadata!", ADDRESS(INDEX($X$2:$X$1001,MATCH(ROWS($V$2:V85),$V$2:$V$1001,0),0), INDEX($AC$1004:$AS$1004,1,MATCH(COLUMNS($AC$1006:AL1006),$AC$1006:$AS$1006,0)))),"Fix")))</f>
        <v xml:space="preserve"> </v>
      </c>
      <c r="L85" s="4" t="str">
        <f ca="1">IF(OR(INDEX($W$2:$W$1001,MATCH(ROWS($V$2:V85),$V$2:$V$1001,0),1)&gt;=100000,INDEX($AC$1005:$AS$1005,1,MATCH(COLUMNS($AC$1006:AM1006),$AC$1006:$AS$1006,0))&gt;=100000), " ",IF(INDEX($AC$2:$AS$1001,MATCH(ROWS($V$2:V85),$V$2:$V$1001,0),MATCH(COLUMNS($AC$1006:AM1006),$AC$1006:$AS$1006,0)), HYPERLINK("#",""), HYPERLINK(CONCATENATE("#metadata!", ADDRESS(INDEX($X$2:$X$1001,MATCH(ROWS($V$2:V85),$V$2:$V$1001,0),0), INDEX($AC$1004:$AS$1004,1,MATCH(COLUMNS($AC$1006:AM1006),$AC$1006:$AS$1006,0)))),"Fix")))</f>
        <v xml:space="preserve"> </v>
      </c>
      <c r="M85" s="4" t="str">
        <f ca="1">IF(OR(INDEX($W$2:$W$1001,MATCH(ROWS($V$2:V85),$V$2:$V$1001,0),1)&gt;=100000,INDEX($AC$1005:$AS$1005,1,MATCH(COLUMNS($AC$1006:AN1006),$AC$1006:$AS$1006,0))&gt;=100000), " ",IF(INDEX($AC$2:$AS$1001,MATCH(ROWS($V$2:V85),$V$2:$V$1001,0),MATCH(COLUMNS($AC$1006:AN1006),$AC$1006:$AS$1006,0)), HYPERLINK("#",""), HYPERLINK(CONCATENATE("#metadata!", ADDRESS(INDEX($X$2:$X$1001,MATCH(ROWS($V$2:V85),$V$2:$V$1001,0),0), INDEX($AC$1004:$AS$1004,1,MATCH(COLUMNS($AC$1006:AN1006),$AC$1006:$AS$1006,0)))),"Fix")))</f>
        <v xml:space="preserve"> </v>
      </c>
      <c r="N85" s="4" t="str">
        <f ca="1">IF(OR(INDEX($W$2:$W$1001,MATCH(ROWS($V$2:V85),$V$2:$V$1001,0),1)&gt;=100000,INDEX($AC$1005:$AS$1005,1,MATCH(COLUMNS($AC$1006:AO1006),$AC$1006:$AS$1006,0))&gt;=100000), " ",IF(INDEX($AC$2:$AS$1001,MATCH(ROWS($V$2:V85),$V$2:$V$1001,0),MATCH(COLUMNS($AC$1006:AO1006),$AC$1006:$AS$1006,0)), HYPERLINK("#",""), HYPERLINK(CONCATENATE("#metadata!", ADDRESS(INDEX($X$2:$X$1001,MATCH(ROWS($V$2:V85),$V$2:$V$1001,0),0), INDEX($AC$1004:$AS$1004,1,MATCH(COLUMNS($AC$1006:AO1006),$AC$1006:$AS$1006,0)))),"Fix")))</f>
        <v xml:space="preserve"> </v>
      </c>
      <c r="O85" s="4" t="str">
        <f ca="1">IF(OR(INDEX($W$2:$W$1001,MATCH(ROWS($V$2:V85),$V$2:$V$1001,0),1)&gt;=100000,INDEX($AC$1005:$AS$1005,1,MATCH(COLUMNS($AC$1006:AP1006),$AC$1006:$AS$1006,0))&gt;=100000), " ",IF(INDEX($AC$2:$AS$1001,MATCH(ROWS($V$2:V85),$V$2:$V$1001,0),MATCH(COLUMNS($AC$1006:AP1006),$AC$1006:$AS$1006,0)), HYPERLINK("#",""), HYPERLINK(CONCATENATE("#metadata!", ADDRESS(INDEX($X$2:$X$1001,MATCH(ROWS($V$2:V85),$V$2:$V$1001,0),0), INDEX($AC$1004:$AS$1004,1,MATCH(COLUMNS($AC$1006:AP1006),$AC$1006:$AS$1006,0)))),"Fix")))</f>
        <v xml:space="preserve"> </v>
      </c>
      <c r="P85" s="4" t="str">
        <f ca="1">IF(OR(INDEX($W$2:$W$1001,MATCH(ROWS($V$2:V85),$V$2:$V$1001,0),1)&gt;=100000,INDEX($AC$1005:$AS$1005,1,MATCH(COLUMNS($AC$1006:AQ1006),$AC$1006:$AS$1006,0))&gt;=100000), " ",IF(INDEX($AC$2:$AS$1001,MATCH(ROWS($V$2:V85),$V$2:$V$1001,0),MATCH(COLUMNS($AC$1006:AQ1006),$AC$1006:$AS$1006,0)), HYPERLINK("#",""), HYPERLINK(CONCATENATE("#metadata!", ADDRESS(INDEX($X$2:$X$1001,MATCH(ROWS($V$2:V85),$V$2:$V$1001,0),0), INDEX($AC$1004:$AS$1004,1,MATCH(COLUMNS($AC$1006:AQ1006),$AC$1006:$AS$1006,0)))),"Fix")))</f>
        <v xml:space="preserve"> </v>
      </c>
      <c r="Q85" s="4" t="str">
        <f ca="1">IF(OR(INDEX($W$2:$W$1001,MATCH(ROWS($V$2:V85),$V$2:$V$1001,0),1)&gt;=100000,INDEX($AC$1005:$AS$1005,1,MATCH(COLUMNS($AC$1006:AR1006),$AC$1006:$AS$1006,0))&gt;=100000), " ",IF(INDEX($AC$2:$AS$1001,MATCH(ROWS($V$2:V85),$V$2:$V$1001,0),MATCH(COLUMNS($AC$1006:AR1006),$AC$1006:$AS$1006,0)), HYPERLINK("#",""), HYPERLINK(CONCATENATE("#metadata!", ADDRESS(INDEX($X$2:$X$1001,MATCH(ROWS($V$2:V85),$V$2:$V$1001,0),0), INDEX($AC$1004:$AS$1004,1,MATCH(COLUMNS($AC$1006:AR1006),$AC$1006:$AS$1006,0)))),"Fix")))</f>
        <v xml:space="preserve"> </v>
      </c>
      <c r="R85" s="4" t="str">
        <f ca="1">IF(OR(INDEX($W$2:$W$1001,MATCH(ROWS($V$2:V85),$V$2:$V$1001,0),1)&gt;=100000,INDEX($AC$1005:$AS$1005,1,MATCH(COLUMNS($AC$1006:AS1006),$AC$1006:$AS$1006,0))&gt;=100000), " ",IF(INDEX($AC$2:$AS$1001,MATCH(ROWS($V$2:V85),$V$2:$V$1001,0),MATCH(COLUMNS($AC$1006:AS1006),$AC$1006:$AS$1006,0)), HYPERLINK("#",""), HYPERLINK(CONCATENATE("#metadata!", ADDRESS(INDEX($X$2:$X$1001,MATCH(ROWS($V$2:V85),$V$2:$V$1001,0),0), INDEX($AC$1004:$AS$1004,1,MATCH(COLUMNS($AC$1006:AS1006),$AC$1006:$AS$1006,0)))),"Fix")))</f>
        <v xml:space="preserve"> </v>
      </c>
      <c r="V85">
        <v>84</v>
      </c>
      <c r="W85">
        <v>100085</v>
      </c>
      <c r="X85">
        <v>85</v>
      </c>
      <c r="Y85" t="b">
        <f t="shared" si="1"/>
        <v>1</v>
      </c>
      <c r="Z85" t="b">
        <f>COUNTBLANK(metadata!B85:R85)=COLUMNS(metadata!B85:R85)</f>
        <v>1</v>
      </c>
      <c r="AA85" t="str">
        <v/>
      </c>
      <c r="AC85" t="b">
        <f ca="1"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AD85" t="b">
        <f>IF(metadata!C85="",FALSE,ISNUMBER(VALUE(metadata!C85)))</f>
        <v>0</v>
      </c>
      <c r="AE85" t="b">
        <f>AND(IF(metadata!D85="",FALSE,TRUE),EXACT(metadata!D85,"years"))</f>
        <v>0</v>
      </c>
      <c r="AF85" t="b">
        <f>OR(AND(IF(metadata!E85="",FALSE,TRUE),OR(EXACT(metadata!E85,"not applicable"),EXACT(metadata!E85,"missing: not collected"),EXACT(metadata!E85,"missing: not provided"),EXACT(metadata!E85,"missing: restricted access"))),AND(IF(metadata!E85="",FALSE,ISNUMBER(VALUE(metadata!E85))),metadata!E85&gt;0))</f>
        <v>0</v>
      </c>
      <c r="AG85" t="b">
        <f>AND(IF(metadata!F85="",FALSE,TRUE),EXACT(metadata!F85,"Not applicable"))</f>
        <v>0</v>
      </c>
      <c r="AH85" t="b">
        <f>AND(IF(metadata!G85="",FALSE,TRUE),EXACT(metadata!G85,"urban biome"))</f>
        <v>0</v>
      </c>
      <c r="AI85" t="b">
        <f>AND(IF(metadata!H85="",FALSE,TRUE),EXACT(metadata!H85,"human-associated habitat"))</f>
        <v>0</v>
      </c>
      <c r="AJ85" t="b">
        <f>AND(IF(metadata!I85="",FALSE,TRUE),OR(EXACT(metadata!I85,"human-associated"),EXACT(metadata!I85,"human-skin"),EXACT(metadata!I85,"human-oral"),EXACT(metadata!I85,"human-gut"),EXACT(metadata!I85,"human-vaginal")))</f>
        <v>0</v>
      </c>
      <c r="AK85" t="b">
        <f>IF(metadata!J85="",FALSE,ISNUMBER(VALUE(metadata!J85)))</f>
        <v>0</v>
      </c>
      <c r="AL85" t="b">
        <f>AND(IF(metadata!K85="",FALSE,TRUE),EXACT(metadata!K85,"cm"))</f>
        <v>0</v>
      </c>
      <c r="AM85" t="b">
        <f>AND(IF(metadata!L85="",FALSE,TRUE),EXACT(metadata!L85,"human"))</f>
        <v>0</v>
      </c>
      <c r="AN85" t="b">
        <f>AND(IF(metadata!M85="",FALSE,TRUE),EXACT(metadata!M85,"Homo sapiens"))</f>
        <v>0</v>
      </c>
      <c r="AO85" t="b">
        <f>AND(IF(metadata!N85="",FALSE,TRUE),EXACT(metadata!N85,"9606"))</f>
        <v>0</v>
      </c>
      <c r="AP85" t="b">
        <f>IF(metadata!O85="",FALSE,TRUE)</f>
        <v>0</v>
      </c>
      <c r="AQ85" t="b">
        <f>IF(metadata!P85="",FALSE,TRUE)</f>
        <v>0</v>
      </c>
      <c r="AR85" t="b">
        <f>IF(metadata!Q85="",FALSE,ISNUMBER(VALUE(metadata!Q85)))</f>
        <v>0</v>
      </c>
      <c r="AS85" t="b">
        <f>AND(IF(metadata!R85="",FALSE,TRUE),EXACT(metadata!R85,"kg"))</f>
        <v>0</v>
      </c>
    </row>
    <row r="86" spans="1:45" x14ac:dyDescent="0.2">
      <c r="A86" s="5" t="str">
        <f ca="1">IF(B86=" "," ",HYPERLINK(CONCATENATE("#metadata!",ADDRESS(INDEX($X$2:$X$1001,MATCH(ROWS($V$2:V86),$V$2:$V$1001,0),0),1)),INDEX($AA$2:$AA$1001,MATCH(ROWS($V$2:V86),$V$2:$V$1001,0),0)))</f>
        <v xml:space="preserve"> </v>
      </c>
      <c r="B86" s="4" t="str">
        <f ca="1">IF(OR(INDEX($W$2:$W$1001,MATCH(ROWS($V$2:V86),$V$2:$V$1001,0),1)&gt;=100000,INDEX($AC$1005:$AS$1005,1,MATCH(COLUMNS($AC$1006:AC1006),$AC$1006:$AS$1006,0))&gt;=100000), " ",IF(INDEX($AC$2:$AS$1001,MATCH(ROWS($V$2:V86),$V$2:$V$1001,0),MATCH(COLUMNS($AC$1006:AC1006),$AC$1006:$AS$1006,0)), HYPERLINK("#",""), HYPERLINK(CONCATENATE("#metadata!", ADDRESS(INDEX($X$2:$X$1001,MATCH(ROWS($V$2:V86),$V$2:$V$1001,0),0), INDEX($AC$1004:$AS$1004,1,MATCH(COLUMNS($AC$1006:AC1006),$AC$1006:$AS$1006,0)))),"Fix")))</f>
        <v xml:space="preserve"> </v>
      </c>
      <c r="C86" s="4" t="str">
        <f ca="1">IF(OR(INDEX($W$2:$W$1001,MATCH(ROWS($V$2:V86),$V$2:$V$1001,0),1)&gt;=100000,INDEX($AC$1005:$AS$1005,1,MATCH(COLUMNS($AC$1006:AD1006),$AC$1006:$AS$1006,0))&gt;=100000), " ",IF(INDEX($AC$2:$AS$1001,MATCH(ROWS($V$2:V86),$V$2:$V$1001,0),MATCH(COLUMNS($AC$1006:AD1006),$AC$1006:$AS$1006,0)), HYPERLINK("#",""), HYPERLINK(CONCATENATE("#metadata!", ADDRESS(INDEX($X$2:$X$1001,MATCH(ROWS($V$2:V86),$V$2:$V$1001,0),0), INDEX($AC$1004:$AS$1004,1,MATCH(COLUMNS($AC$1006:AD1006),$AC$1006:$AS$1006,0)))),"Fix")))</f>
        <v xml:space="preserve"> </v>
      </c>
      <c r="D86" s="4" t="str">
        <f ca="1">IF(OR(INDEX($W$2:$W$1001,MATCH(ROWS($V$2:V86),$V$2:$V$1001,0),1)&gt;=100000,INDEX($AC$1005:$AS$1005,1,MATCH(COLUMNS($AC$1006:AE1006),$AC$1006:$AS$1006,0))&gt;=100000), " ",IF(INDEX($AC$2:$AS$1001,MATCH(ROWS($V$2:V86),$V$2:$V$1001,0),MATCH(COLUMNS($AC$1006:AE1006),$AC$1006:$AS$1006,0)), HYPERLINK("#",""), HYPERLINK(CONCATENATE("#metadata!", ADDRESS(INDEX($X$2:$X$1001,MATCH(ROWS($V$2:V86),$V$2:$V$1001,0),0), INDEX($AC$1004:$AS$1004,1,MATCH(COLUMNS($AC$1006:AE1006),$AC$1006:$AS$1006,0)))),"Fix")))</f>
        <v xml:space="preserve"> </v>
      </c>
      <c r="E86" s="4" t="str">
        <f ca="1">IF(OR(INDEX($W$2:$W$1001,MATCH(ROWS($V$2:V86),$V$2:$V$1001,0),1)&gt;=100000,INDEX($AC$1005:$AS$1005,1,MATCH(COLUMNS($AC$1006:AF1006),$AC$1006:$AS$1006,0))&gt;=100000), " ",IF(INDEX($AC$2:$AS$1001,MATCH(ROWS($V$2:V86),$V$2:$V$1001,0),MATCH(COLUMNS($AC$1006:AF1006),$AC$1006:$AS$1006,0)), HYPERLINK("#",""), HYPERLINK(CONCATENATE("#metadata!", ADDRESS(INDEX($X$2:$X$1001,MATCH(ROWS($V$2:V86),$V$2:$V$1001,0),0), INDEX($AC$1004:$AS$1004,1,MATCH(COLUMNS($AC$1006:AF1006),$AC$1006:$AS$1006,0)))),"Fix")))</f>
        <v xml:space="preserve"> </v>
      </c>
      <c r="F86" s="4" t="str">
        <f ca="1">IF(OR(INDEX($W$2:$W$1001,MATCH(ROWS($V$2:V86),$V$2:$V$1001,0),1)&gt;=100000,INDEX($AC$1005:$AS$1005,1,MATCH(COLUMNS($AC$1006:AG1006),$AC$1006:$AS$1006,0))&gt;=100000), " ",IF(INDEX($AC$2:$AS$1001,MATCH(ROWS($V$2:V86),$V$2:$V$1001,0),MATCH(COLUMNS($AC$1006:AG1006),$AC$1006:$AS$1006,0)), HYPERLINK("#",""), HYPERLINK(CONCATENATE("#metadata!", ADDRESS(INDEX($X$2:$X$1001,MATCH(ROWS($V$2:V86),$V$2:$V$1001,0),0), INDEX($AC$1004:$AS$1004,1,MATCH(COLUMNS($AC$1006:AG1006),$AC$1006:$AS$1006,0)))),"Fix")))</f>
        <v xml:space="preserve"> </v>
      </c>
      <c r="G86" s="4" t="str">
        <f ca="1">IF(OR(INDEX($W$2:$W$1001,MATCH(ROWS($V$2:V86),$V$2:$V$1001,0),1)&gt;=100000,INDEX($AC$1005:$AS$1005,1,MATCH(COLUMNS($AC$1006:AH1006),$AC$1006:$AS$1006,0))&gt;=100000), " ",IF(INDEX($AC$2:$AS$1001,MATCH(ROWS($V$2:V86),$V$2:$V$1001,0),MATCH(COLUMNS($AC$1006:AH1006),$AC$1006:$AS$1006,0)), HYPERLINK("#",""), HYPERLINK(CONCATENATE("#metadata!", ADDRESS(INDEX($X$2:$X$1001,MATCH(ROWS($V$2:V86),$V$2:$V$1001,0),0), INDEX($AC$1004:$AS$1004,1,MATCH(COLUMNS($AC$1006:AH1006),$AC$1006:$AS$1006,0)))),"Fix")))</f>
        <v xml:space="preserve"> </v>
      </c>
      <c r="H86" s="4" t="str">
        <f ca="1">IF(OR(INDEX($W$2:$W$1001,MATCH(ROWS($V$2:V86),$V$2:$V$1001,0),1)&gt;=100000,INDEX($AC$1005:$AS$1005,1,MATCH(COLUMNS($AC$1006:AI1006),$AC$1006:$AS$1006,0))&gt;=100000), " ",IF(INDEX($AC$2:$AS$1001,MATCH(ROWS($V$2:V86),$V$2:$V$1001,0),MATCH(COLUMNS($AC$1006:AI1006),$AC$1006:$AS$1006,0)), HYPERLINK("#",""), HYPERLINK(CONCATENATE("#metadata!", ADDRESS(INDEX($X$2:$X$1001,MATCH(ROWS($V$2:V86),$V$2:$V$1001,0),0), INDEX($AC$1004:$AS$1004,1,MATCH(COLUMNS($AC$1006:AI1006),$AC$1006:$AS$1006,0)))),"Fix")))</f>
        <v xml:space="preserve"> </v>
      </c>
      <c r="I86" s="4" t="str">
        <f ca="1">IF(OR(INDEX($W$2:$W$1001,MATCH(ROWS($V$2:V86),$V$2:$V$1001,0),1)&gt;=100000,INDEX($AC$1005:$AS$1005,1,MATCH(COLUMNS($AC$1006:AJ1006),$AC$1006:$AS$1006,0))&gt;=100000), " ",IF(INDEX($AC$2:$AS$1001,MATCH(ROWS($V$2:V86),$V$2:$V$1001,0),MATCH(COLUMNS($AC$1006:AJ1006),$AC$1006:$AS$1006,0)), HYPERLINK("#",""), HYPERLINK(CONCATENATE("#metadata!", ADDRESS(INDEX($X$2:$X$1001,MATCH(ROWS($V$2:V86),$V$2:$V$1001,0),0), INDEX($AC$1004:$AS$1004,1,MATCH(COLUMNS($AC$1006:AJ1006),$AC$1006:$AS$1006,0)))),"Fix")))</f>
        <v xml:space="preserve"> </v>
      </c>
      <c r="J86" s="4" t="str">
        <f ca="1">IF(OR(INDEX($W$2:$W$1001,MATCH(ROWS($V$2:V86),$V$2:$V$1001,0),1)&gt;=100000,INDEX($AC$1005:$AS$1005,1,MATCH(COLUMNS($AC$1006:AK1006),$AC$1006:$AS$1006,0))&gt;=100000), " ",IF(INDEX($AC$2:$AS$1001,MATCH(ROWS($V$2:V86),$V$2:$V$1001,0),MATCH(COLUMNS($AC$1006:AK1006),$AC$1006:$AS$1006,0)), HYPERLINK("#",""), HYPERLINK(CONCATENATE("#metadata!", ADDRESS(INDEX($X$2:$X$1001,MATCH(ROWS($V$2:V86),$V$2:$V$1001,0),0), INDEX($AC$1004:$AS$1004,1,MATCH(COLUMNS($AC$1006:AK1006),$AC$1006:$AS$1006,0)))),"Fix")))</f>
        <v xml:space="preserve"> </v>
      </c>
      <c r="K86" s="4" t="str">
        <f ca="1">IF(OR(INDEX($W$2:$W$1001,MATCH(ROWS($V$2:V86),$V$2:$V$1001,0),1)&gt;=100000,INDEX($AC$1005:$AS$1005,1,MATCH(COLUMNS($AC$1006:AL1006),$AC$1006:$AS$1006,0))&gt;=100000), " ",IF(INDEX($AC$2:$AS$1001,MATCH(ROWS($V$2:V86),$V$2:$V$1001,0),MATCH(COLUMNS($AC$1006:AL1006),$AC$1006:$AS$1006,0)), HYPERLINK("#",""), HYPERLINK(CONCATENATE("#metadata!", ADDRESS(INDEX($X$2:$X$1001,MATCH(ROWS($V$2:V86),$V$2:$V$1001,0),0), INDEX($AC$1004:$AS$1004,1,MATCH(COLUMNS($AC$1006:AL1006),$AC$1006:$AS$1006,0)))),"Fix")))</f>
        <v xml:space="preserve"> </v>
      </c>
      <c r="L86" s="4" t="str">
        <f ca="1">IF(OR(INDEX($W$2:$W$1001,MATCH(ROWS($V$2:V86),$V$2:$V$1001,0),1)&gt;=100000,INDEX($AC$1005:$AS$1005,1,MATCH(COLUMNS($AC$1006:AM1006),$AC$1006:$AS$1006,0))&gt;=100000), " ",IF(INDEX($AC$2:$AS$1001,MATCH(ROWS($V$2:V86),$V$2:$V$1001,0),MATCH(COLUMNS($AC$1006:AM1006),$AC$1006:$AS$1006,0)), HYPERLINK("#",""), HYPERLINK(CONCATENATE("#metadata!", ADDRESS(INDEX($X$2:$X$1001,MATCH(ROWS($V$2:V86),$V$2:$V$1001,0),0), INDEX($AC$1004:$AS$1004,1,MATCH(COLUMNS($AC$1006:AM1006),$AC$1006:$AS$1006,0)))),"Fix")))</f>
        <v xml:space="preserve"> </v>
      </c>
      <c r="M86" s="4" t="str">
        <f ca="1">IF(OR(INDEX($W$2:$W$1001,MATCH(ROWS($V$2:V86),$V$2:$V$1001,0),1)&gt;=100000,INDEX($AC$1005:$AS$1005,1,MATCH(COLUMNS($AC$1006:AN1006),$AC$1006:$AS$1006,0))&gt;=100000), " ",IF(INDEX($AC$2:$AS$1001,MATCH(ROWS($V$2:V86),$V$2:$V$1001,0),MATCH(COLUMNS($AC$1006:AN1006),$AC$1006:$AS$1006,0)), HYPERLINK("#",""), HYPERLINK(CONCATENATE("#metadata!", ADDRESS(INDEX($X$2:$X$1001,MATCH(ROWS($V$2:V86),$V$2:$V$1001,0),0), INDEX($AC$1004:$AS$1004,1,MATCH(COLUMNS($AC$1006:AN1006),$AC$1006:$AS$1006,0)))),"Fix")))</f>
        <v xml:space="preserve"> </v>
      </c>
      <c r="N86" s="4" t="str">
        <f ca="1">IF(OR(INDEX($W$2:$W$1001,MATCH(ROWS($V$2:V86),$V$2:$V$1001,0),1)&gt;=100000,INDEX($AC$1005:$AS$1005,1,MATCH(COLUMNS($AC$1006:AO1006),$AC$1006:$AS$1006,0))&gt;=100000), " ",IF(INDEX($AC$2:$AS$1001,MATCH(ROWS($V$2:V86),$V$2:$V$1001,0),MATCH(COLUMNS($AC$1006:AO1006),$AC$1006:$AS$1006,0)), HYPERLINK("#",""), HYPERLINK(CONCATENATE("#metadata!", ADDRESS(INDEX($X$2:$X$1001,MATCH(ROWS($V$2:V86),$V$2:$V$1001,0),0), INDEX($AC$1004:$AS$1004,1,MATCH(COLUMNS($AC$1006:AO1006),$AC$1006:$AS$1006,0)))),"Fix")))</f>
        <v xml:space="preserve"> </v>
      </c>
      <c r="O86" s="4" t="str">
        <f ca="1">IF(OR(INDEX($W$2:$W$1001,MATCH(ROWS($V$2:V86),$V$2:$V$1001,0),1)&gt;=100000,INDEX($AC$1005:$AS$1005,1,MATCH(COLUMNS($AC$1006:AP1006),$AC$1006:$AS$1006,0))&gt;=100000), " ",IF(INDEX($AC$2:$AS$1001,MATCH(ROWS($V$2:V86),$V$2:$V$1001,0),MATCH(COLUMNS($AC$1006:AP1006),$AC$1006:$AS$1006,0)), HYPERLINK("#",""), HYPERLINK(CONCATENATE("#metadata!", ADDRESS(INDEX($X$2:$X$1001,MATCH(ROWS($V$2:V86),$V$2:$V$1001,0),0), INDEX($AC$1004:$AS$1004,1,MATCH(COLUMNS($AC$1006:AP1006),$AC$1006:$AS$1006,0)))),"Fix")))</f>
        <v xml:space="preserve"> </v>
      </c>
      <c r="P86" s="4" t="str">
        <f ca="1">IF(OR(INDEX($W$2:$W$1001,MATCH(ROWS($V$2:V86),$V$2:$V$1001,0),1)&gt;=100000,INDEX($AC$1005:$AS$1005,1,MATCH(COLUMNS($AC$1006:AQ1006),$AC$1006:$AS$1006,0))&gt;=100000), " ",IF(INDEX($AC$2:$AS$1001,MATCH(ROWS($V$2:V86),$V$2:$V$1001,0),MATCH(COLUMNS($AC$1006:AQ1006),$AC$1006:$AS$1006,0)), HYPERLINK("#",""), HYPERLINK(CONCATENATE("#metadata!", ADDRESS(INDEX($X$2:$X$1001,MATCH(ROWS($V$2:V86),$V$2:$V$1001,0),0), INDEX($AC$1004:$AS$1004,1,MATCH(COLUMNS($AC$1006:AQ1006),$AC$1006:$AS$1006,0)))),"Fix")))</f>
        <v xml:space="preserve"> </v>
      </c>
      <c r="Q86" s="4" t="str">
        <f ca="1">IF(OR(INDEX($W$2:$W$1001,MATCH(ROWS($V$2:V86),$V$2:$V$1001,0),1)&gt;=100000,INDEX($AC$1005:$AS$1005,1,MATCH(COLUMNS($AC$1006:AR1006),$AC$1006:$AS$1006,0))&gt;=100000), " ",IF(INDEX($AC$2:$AS$1001,MATCH(ROWS($V$2:V86),$V$2:$V$1001,0),MATCH(COLUMNS($AC$1006:AR1006),$AC$1006:$AS$1006,0)), HYPERLINK("#",""), HYPERLINK(CONCATENATE("#metadata!", ADDRESS(INDEX($X$2:$X$1001,MATCH(ROWS($V$2:V86),$V$2:$V$1001,0),0), INDEX($AC$1004:$AS$1004,1,MATCH(COLUMNS($AC$1006:AR1006),$AC$1006:$AS$1006,0)))),"Fix")))</f>
        <v xml:space="preserve"> </v>
      </c>
      <c r="R86" s="4" t="str">
        <f ca="1">IF(OR(INDEX($W$2:$W$1001,MATCH(ROWS($V$2:V86),$V$2:$V$1001,0),1)&gt;=100000,INDEX($AC$1005:$AS$1005,1,MATCH(COLUMNS($AC$1006:AS1006),$AC$1006:$AS$1006,0))&gt;=100000), " ",IF(INDEX($AC$2:$AS$1001,MATCH(ROWS($V$2:V86),$V$2:$V$1001,0),MATCH(COLUMNS($AC$1006:AS1006),$AC$1006:$AS$1006,0)), HYPERLINK("#",""), HYPERLINK(CONCATENATE("#metadata!", ADDRESS(INDEX($X$2:$X$1001,MATCH(ROWS($V$2:V86),$V$2:$V$1001,0),0), INDEX($AC$1004:$AS$1004,1,MATCH(COLUMNS($AC$1006:AS1006),$AC$1006:$AS$1006,0)))),"Fix")))</f>
        <v xml:space="preserve"> </v>
      </c>
      <c r="V86">
        <v>85</v>
      </c>
      <c r="W86">
        <v>100086</v>
      </c>
      <c r="X86">
        <v>86</v>
      </c>
      <c r="Y86" t="b">
        <f t="shared" si="1"/>
        <v>1</v>
      </c>
      <c r="Z86" t="b">
        <f>COUNTBLANK(metadata!B86:R86)=COLUMNS(metadata!B86:R86)</f>
        <v>1</v>
      </c>
      <c r="AA86" t="str">
        <v/>
      </c>
      <c r="AC86" t="b">
        <f ca="1"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AD86" t="b">
        <f>IF(metadata!C86="",FALSE,ISNUMBER(VALUE(metadata!C86)))</f>
        <v>0</v>
      </c>
      <c r="AE86" t="b">
        <f>AND(IF(metadata!D86="",FALSE,TRUE),EXACT(metadata!D86,"years"))</f>
        <v>0</v>
      </c>
      <c r="AF86" t="b">
        <f>OR(AND(IF(metadata!E86="",FALSE,TRUE),OR(EXACT(metadata!E86,"not applicable"),EXACT(metadata!E86,"missing: not collected"),EXACT(metadata!E86,"missing: not provided"),EXACT(metadata!E86,"missing: restricted access"))),AND(IF(metadata!E86="",FALSE,ISNUMBER(VALUE(metadata!E86))),metadata!E86&gt;0))</f>
        <v>0</v>
      </c>
      <c r="AG86" t="b">
        <f>AND(IF(metadata!F86="",FALSE,TRUE),EXACT(metadata!F86,"Not applicable"))</f>
        <v>0</v>
      </c>
      <c r="AH86" t="b">
        <f>AND(IF(metadata!G86="",FALSE,TRUE),EXACT(metadata!G86,"urban biome"))</f>
        <v>0</v>
      </c>
      <c r="AI86" t="b">
        <f>AND(IF(metadata!H86="",FALSE,TRUE),EXACT(metadata!H86,"human-associated habitat"))</f>
        <v>0</v>
      </c>
      <c r="AJ86" t="b">
        <f>AND(IF(metadata!I86="",FALSE,TRUE),OR(EXACT(metadata!I86,"human-associated"),EXACT(metadata!I86,"human-skin"),EXACT(metadata!I86,"human-oral"),EXACT(metadata!I86,"human-gut"),EXACT(metadata!I86,"human-vaginal")))</f>
        <v>0</v>
      </c>
      <c r="AK86" t="b">
        <f>IF(metadata!J86="",FALSE,ISNUMBER(VALUE(metadata!J86)))</f>
        <v>0</v>
      </c>
      <c r="AL86" t="b">
        <f>AND(IF(metadata!K86="",FALSE,TRUE),EXACT(metadata!K86,"cm"))</f>
        <v>0</v>
      </c>
      <c r="AM86" t="b">
        <f>AND(IF(metadata!L86="",FALSE,TRUE),EXACT(metadata!L86,"human"))</f>
        <v>0</v>
      </c>
      <c r="AN86" t="b">
        <f>AND(IF(metadata!M86="",FALSE,TRUE),EXACT(metadata!M86,"Homo sapiens"))</f>
        <v>0</v>
      </c>
      <c r="AO86" t="b">
        <f>AND(IF(metadata!N86="",FALSE,TRUE),EXACT(metadata!N86,"9606"))</f>
        <v>0</v>
      </c>
      <c r="AP86" t="b">
        <f>IF(metadata!O86="",FALSE,TRUE)</f>
        <v>0</v>
      </c>
      <c r="AQ86" t="b">
        <f>IF(metadata!P86="",FALSE,TRUE)</f>
        <v>0</v>
      </c>
      <c r="AR86" t="b">
        <f>IF(metadata!Q86="",FALSE,ISNUMBER(VALUE(metadata!Q86)))</f>
        <v>0</v>
      </c>
      <c r="AS86" t="b">
        <f>AND(IF(metadata!R86="",FALSE,TRUE),EXACT(metadata!R86,"kg"))</f>
        <v>0</v>
      </c>
    </row>
    <row r="87" spans="1:45" x14ac:dyDescent="0.2">
      <c r="A87" s="5" t="str">
        <f ca="1">IF(B87=" "," ",HYPERLINK(CONCATENATE("#metadata!",ADDRESS(INDEX($X$2:$X$1001,MATCH(ROWS($V$2:V87),$V$2:$V$1001,0),0),1)),INDEX($AA$2:$AA$1001,MATCH(ROWS($V$2:V87),$V$2:$V$1001,0),0)))</f>
        <v xml:space="preserve"> </v>
      </c>
      <c r="B87" s="4" t="str">
        <f ca="1">IF(OR(INDEX($W$2:$W$1001,MATCH(ROWS($V$2:V87),$V$2:$V$1001,0),1)&gt;=100000,INDEX($AC$1005:$AS$1005,1,MATCH(COLUMNS($AC$1006:AC1006),$AC$1006:$AS$1006,0))&gt;=100000), " ",IF(INDEX($AC$2:$AS$1001,MATCH(ROWS($V$2:V87),$V$2:$V$1001,0),MATCH(COLUMNS($AC$1006:AC1006),$AC$1006:$AS$1006,0)), HYPERLINK("#",""), HYPERLINK(CONCATENATE("#metadata!", ADDRESS(INDEX($X$2:$X$1001,MATCH(ROWS($V$2:V87),$V$2:$V$1001,0),0), INDEX($AC$1004:$AS$1004,1,MATCH(COLUMNS($AC$1006:AC1006),$AC$1006:$AS$1006,0)))),"Fix")))</f>
        <v xml:space="preserve"> </v>
      </c>
      <c r="C87" s="4" t="str">
        <f ca="1">IF(OR(INDEX($W$2:$W$1001,MATCH(ROWS($V$2:V87),$V$2:$V$1001,0),1)&gt;=100000,INDEX($AC$1005:$AS$1005,1,MATCH(COLUMNS($AC$1006:AD1006),$AC$1006:$AS$1006,0))&gt;=100000), " ",IF(INDEX($AC$2:$AS$1001,MATCH(ROWS($V$2:V87),$V$2:$V$1001,0),MATCH(COLUMNS($AC$1006:AD1006),$AC$1006:$AS$1006,0)), HYPERLINK("#",""), HYPERLINK(CONCATENATE("#metadata!", ADDRESS(INDEX($X$2:$X$1001,MATCH(ROWS($V$2:V87),$V$2:$V$1001,0),0), INDEX($AC$1004:$AS$1004,1,MATCH(COLUMNS($AC$1006:AD1006),$AC$1006:$AS$1006,0)))),"Fix")))</f>
        <v xml:space="preserve"> </v>
      </c>
      <c r="D87" s="4" t="str">
        <f ca="1">IF(OR(INDEX($W$2:$W$1001,MATCH(ROWS($V$2:V87),$V$2:$V$1001,0),1)&gt;=100000,INDEX($AC$1005:$AS$1005,1,MATCH(COLUMNS($AC$1006:AE1006),$AC$1006:$AS$1006,0))&gt;=100000), " ",IF(INDEX($AC$2:$AS$1001,MATCH(ROWS($V$2:V87),$V$2:$V$1001,0),MATCH(COLUMNS($AC$1006:AE1006),$AC$1006:$AS$1006,0)), HYPERLINK("#",""), HYPERLINK(CONCATENATE("#metadata!", ADDRESS(INDEX($X$2:$X$1001,MATCH(ROWS($V$2:V87),$V$2:$V$1001,0),0), INDEX($AC$1004:$AS$1004,1,MATCH(COLUMNS($AC$1006:AE1006),$AC$1006:$AS$1006,0)))),"Fix")))</f>
        <v xml:space="preserve"> </v>
      </c>
      <c r="E87" s="4" t="str">
        <f ca="1">IF(OR(INDEX($W$2:$W$1001,MATCH(ROWS($V$2:V87),$V$2:$V$1001,0),1)&gt;=100000,INDEX($AC$1005:$AS$1005,1,MATCH(COLUMNS($AC$1006:AF1006),$AC$1006:$AS$1006,0))&gt;=100000), " ",IF(INDEX($AC$2:$AS$1001,MATCH(ROWS($V$2:V87),$V$2:$V$1001,0),MATCH(COLUMNS($AC$1006:AF1006),$AC$1006:$AS$1006,0)), HYPERLINK("#",""), HYPERLINK(CONCATENATE("#metadata!", ADDRESS(INDEX($X$2:$X$1001,MATCH(ROWS($V$2:V87),$V$2:$V$1001,0),0), INDEX($AC$1004:$AS$1004,1,MATCH(COLUMNS($AC$1006:AF1006),$AC$1006:$AS$1006,0)))),"Fix")))</f>
        <v xml:space="preserve"> </v>
      </c>
      <c r="F87" s="4" t="str">
        <f ca="1">IF(OR(INDEX($W$2:$W$1001,MATCH(ROWS($V$2:V87),$V$2:$V$1001,0),1)&gt;=100000,INDEX($AC$1005:$AS$1005,1,MATCH(COLUMNS($AC$1006:AG1006),$AC$1006:$AS$1006,0))&gt;=100000), " ",IF(INDEX($AC$2:$AS$1001,MATCH(ROWS($V$2:V87),$V$2:$V$1001,0),MATCH(COLUMNS($AC$1006:AG1006),$AC$1006:$AS$1006,0)), HYPERLINK("#",""), HYPERLINK(CONCATENATE("#metadata!", ADDRESS(INDEX($X$2:$X$1001,MATCH(ROWS($V$2:V87),$V$2:$V$1001,0),0), INDEX($AC$1004:$AS$1004,1,MATCH(COLUMNS($AC$1006:AG1006),$AC$1006:$AS$1006,0)))),"Fix")))</f>
        <v xml:space="preserve"> </v>
      </c>
      <c r="G87" s="4" t="str">
        <f ca="1">IF(OR(INDEX($W$2:$W$1001,MATCH(ROWS($V$2:V87),$V$2:$V$1001,0),1)&gt;=100000,INDEX($AC$1005:$AS$1005,1,MATCH(COLUMNS($AC$1006:AH1006),$AC$1006:$AS$1006,0))&gt;=100000), " ",IF(INDEX($AC$2:$AS$1001,MATCH(ROWS($V$2:V87),$V$2:$V$1001,0),MATCH(COLUMNS($AC$1006:AH1006),$AC$1006:$AS$1006,0)), HYPERLINK("#",""), HYPERLINK(CONCATENATE("#metadata!", ADDRESS(INDEX($X$2:$X$1001,MATCH(ROWS($V$2:V87),$V$2:$V$1001,0),0), INDEX($AC$1004:$AS$1004,1,MATCH(COLUMNS($AC$1006:AH1006),$AC$1006:$AS$1006,0)))),"Fix")))</f>
        <v xml:space="preserve"> </v>
      </c>
      <c r="H87" s="4" t="str">
        <f ca="1">IF(OR(INDEX($W$2:$W$1001,MATCH(ROWS($V$2:V87),$V$2:$V$1001,0),1)&gt;=100000,INDEX($AC$1005:$AS$1005,1,MATCH(COLUMNS($AC$1006:AI1006),$AC$1006:$AS$1006,0))&gt;=100000), " ",IF(INDEX($AC$2:$AS$1001,MATCH(ROWS($V$2:V87),$V$2:$V$1001,0),MATCH(COLUMNS($AC$1006:AI1006),$AC$1006:$AS$1006,0)), HYPERLINK("#",""), HYPERLINK(CONCATENATE("#metadata!", ADDRESS(INDEX($X$2:$X$1001,MATCH(ROWS($V$2:V87),$V$2:$V$1001,0),0), INDEX($AC$1004:$AS$1004,1,MATCH(COLUMNS($AC$1006:AI1006),$AC$1006:$AS$1006,0)))),"Fix")))</f>
        <v xml:space="preserve"> </v>
      </c>
      <c r="I87" s="4" t="str">
        <f ca="1">IF(OR(INDEX($W$2:$W$1001,MATCH(ROWS($V$2:V87),$V$2:$V$1001,0),1)&gt;=100000,INDEX($AC$1005:$AS$1005,1,MATCH(COLUMNS($AC$1006:AJ1006),$AC$1006:$AS$1006,0))&gt;=100000), " ",IF(INDEX($AC$2:$AS$1001,MATCH(ROWS($V$2:V87),$V$2:$V$1001,0),MATCH(COLUMNS($AC$1006:AJ1006),$AC$1006:$AS$1006,0)), HYPERLINK("#",""), HYPERLINK(CONCATENATE("#metadata!", ADDRESS(INDEX($X$2:$X$1001,MATCH(ROWS($V$2:V87),$V$2:$V$1001,0),0), INDEX($AC$1004:$AS$1004,1,MATCH(COLUMNS($AC$1006:AJ1006),$AC$1006:$AS$1006,0)))),"Fix")))</f>
        <v xml:space="preserve"> </v>
      </c>
      <c r="J87" s="4" t="str">
        <f ca="1">IF(OR(INDEX($W$2:$W$1001,MATCH(ROWS($V$2:V87),$V$2:$V$1001,0),1)&gt;=100000,INDEX($AC$1005:$AS$1005,1,MATCH(COLUMNS($AC$1006:AK1006),$AC$1006:$AS$1006,0))&gt;=100000), " ",IF(INDEX($AC$2:$AS$1001,MATCH(ROWS($V$2:V87),$V$2:$V$1001,0),MATCH(COLUMNS($AC$1006:AK1006),$AC$1006:$AS$1006,0)), HYPERLINK("#",""), HYPERLINK(CONCATENATE("#metadata!", ADDRESS(INDEX($X$2:$X$1001,MATCH(ROWS($V$2:V87),$V$2:$V$1001,0),0), INDEX($AC$1004:$AS$1004,1,MATCH(COLUMNS($AC$1006:AK1006),$AC$1006:$AS$1006,0)))),"Fix")))</f>
        <v xml:space="preserve"> </v>
      </c>
      <c r="K87" s="4" t="str">
        <f ca="1">IF(OR(INDEX($W$2:$W$1001,MATCH(ROWS($V$2:V87),$V$2:$V$1001,0),1)&gt;=100000,INDEX($AC$1005:$AS$1005,1,MATCH(COLUMNS($AC$1006:AL1006),$AC$1006:$AS$1006,0))&gt;=100000), " ",IF(INDEX($AC$2:$AS$1001,MATCH(ROWS($V$2:V87),$V$2:$V$1001,0),MATCH(COLUMNS($AC$1006:AL1006),$AC$1006:$AS$1006,0)), HYPERLINK("#",""), HYPERLINK(CONCATENATE("#metadata!", ADDRESS(INDEX($X$2:$X$1001,MATCH(ROWS($V$2:V87),$V$2:$V$1001,0),0), INDEX($AC$1004:$AS$1004,1,MATCH(COLUMNS($AC$1006:AL1006),$AC$1006:$AS$1006,0)))),"Fix")))</f>
        <v xml:space="preserve"> </v>
      </c>
      <c r="L87" s="4" t="str">
        <f ca="1">IF(OR(INDEX($W$2:$W$1001,MATCH(ROWS($V$2:V87),$V$2:$V$1001,0),1)&gt;=100000,INDEX($AC$1005:$AS$1005,1,MATCH(COLUMNS($AC$1006:AM1006),$AC$1006:$AS$1006,0))&gt;=100000), " ",IF(INDEX($AC$2:$AS$1001,MATCH(ROWS($V$2:V87),$V$2:$V$1001,0),MATCH(COLUMNS($AC$1006:AM1006),$AC$1006:$AS$1006,0)), HYPERLINK("#",""), HYPERLINK(CONCATENATE("#metadata!", ADDRESS(INDEX($X$2:$X$1001,MATCH(ROWS($V$2:V87),$V$2:$V$1001,0),0), INDEX($AC$1004:$AS$1004,1,MATCH(COLUMNS($AC$1006:AM1006),$AC$1006:$AS$1006,0)))),"Fix")))</f>
        <v xml:space="preserve"> </v>
      </c>
      <c r="M87" s="4" t="str">
        <f ca="1">IF(OR(INDEX($W$2:$W$1001,MATCH(ROWS($V$2:V87),$V$2:$V$1001,0),1)&gt;=100000,INDEX($AC$1005:$AS$1005,1,MATCH(COLUMNS($AC$1006:AN1006),$AC$1006:$AS$1006,0))&gt;=100000), " ",IF(INDEX($AC$2:$AS$1001,MATCH(ROWS($V$2:V87),$V$2:$V$1001,0),MATCH(COLUMNS($AC$1006:AN1006),$AC$1006:$AS$1006,0)), HYPERLINK("#",""), HYPERLINK(CONCATENATE("#metadata!", ADDRESS(INDEX($X$2:$X$1001,MATCH(ROWS($V$2:V87),$V$2:$V$1001,0),0), INDEX($AC$1004:$AS$1004,1,MATCH(COLUMNS($AC$1006:AN1006),$AC$1006:$AS$1006,0)))),"Fix")))</f>
        <v xml:space="preserve"> </v>
      </c>
      <c r="N87" s="4" t="str">
        <f ca="1">IF(OR(INDEX($W$2:$W$1001,MATCH(ROWS($V$2:V87),$V$2:$V$1001,0),1)&gt;=100000,INDEX($AC$1005:$AS$1005,1,MATCH(COLUMNS($AC$1006:AO1006),$AC$1006:$AS$1006,0))&gt;=100000), " ",IF(INDEX($AC$2:$AS$1001,MATCH(ROWS($V$2:V87),$V$2:$V$1001,0),MATCH(COLUMNS($AC$1006:AO1006),$AC$1006:$AS$1006,0)), HYPERLINK("#",""), HYPERLINK(CONCATENATE("#metadata!", ADDRESS(INDEX($X$2:$X$1001,MATCH(ROWS($V$2:V87),$V$2:$V$1001,0),0), INDEX($AC$1004:$AS$1004,1,MATCH(COLUMNS($AC$1006:AO1006),$AC$1006:$AS$1006,0)))),"Fix")))</f>
        <v xml:space="preserve"> </v>
      </c>
      <c r="O87" s="4" t="str">
        <f ca="1">IF(OR(INDEX($W$2:$W$1001,MATCH(ROWS($V$2:V87),$V$2:$V$1001,0),1)&gt;=100000,INDEX($AC$1005:$AS$1005,1,MATCH(COLUMNS($AC$1006:AP1006),$AC$1006:$AS$1006,0))&gt;=100000), " ",IF(INDEX($AC$2:$AS$1001,MATCH(ROWS($V$2:V87),$V$2:$V$1001,0),MATCH(COLUMNS($AC$1006:AP1006),$AC$1006:$AS$1006,0)), HYPERLINK("#",""), HYPERLINK(CONCATENATE("#metadata!", ADDRESS(INDEX($X$2:$X$1001,MATCH(ROWS($V$2:V87),$V$2:$V$1001,0),0), INDEX($AC$1004:$AS$1004,1,MATCH(COLUMNS($AC$1006:AP1006),$AC$1006:$AS$1006,0)))),"Fix")))</f>
        <v xml:space="preserve"> </v>
      </c>
      <c r="P87" s="4" t="str">
        <f ca="1">IF(OR(INDEX($W$2:$W$1001,MATCH(ROWS($V$2:V87),$V$2:$V$1001,0),1)&gt;=100000,INDEX($AC$1005:$AS$1005,1,MATCH(COLUMNS($AC$1006:AQ1006),$AC$1006:$AS$1006,0))&gt;=100000), " ",IF(INDEX($AC$2:$AS$1001,MATCH(ROWS($V$2:V87),$V$2:$V$1001,0),MATCH(COLUMNS($AC$1006:AQ1006),$AC$1006:$AS$1006,0)), HYPERLINK("#",""), HYPERLINK(CONCATENATE("#metadata!", ADDRESS(INDEX($X$2:$X$1001,MATCH(ROWS($V$2:V87),$V$2:$V$1001,0),0), INDEX($AC$1004:$AS$1004,1,MATCH(COLUMNS($AC$1006:AQ1006),$AC$1006:$AS$1006,0)))),"Fix")))</f>
        <v xml:space="preserve"> </v>
      </c>
      <c r="Q87" s="4" t="str">
        <f ca="1">IF(OR(INDEX($W$2:$W$1001,MATCH(ROWS($V$2:V87),$V$2:$V$1001,0),1)&gt;=100000,INDEX($AC$1005:$AS$1005,1,MATCH(COLUMNS($AC$1006:AR1006),$AC$1006:$AS$1006,0))&gt;=100000), " ",IF(INDEX($AC$2:$AS$1001,MATCH(ROWS($V$2:V87),$V$2:$V$1001,0),MATCH(COLUMNS($AC$1006:AR1006),$AC$1006:$AS$1006,0)), HYPERLINK("#",""), HYPERLINK(CONCATENATE("#metadata!", ADDRESS(INDEX($X$2:$X$1001,MATCH(ROWS($V$2:V87),$V$2:$V$1001,0),0), INDEX($AC$1004:$AS$1004,1,MATCH(COLUMNS($AC$1006:AR1006),$AC$1006:$AS$1006,0)))),"Fix")))</f>
        <v xml:space="preserve"> </v>
      </c>
      <c r="R87" s="4" t="str">
        <f ca="1">IF(OR(INDEX($W$2:$W$1001,MATCH(ROWS($V$2:V87),$V$2:$V$1001,0),1)&gt;=100000,INDEX($AC$1005:$AS$1005,1,MATCH(COLUMNS($AC$1006:AS1006),$AC$1006:$AS$1006,0))&gt;=100000), " ",IF(INDEX($AC$2:$AS$1001,MATCH(ROWS($V$2:V87),$V$2:$V$1001,0),MATCH(COLUMNS($AC$1006:AS1006),$AC$1006:$AS$1006,0)), HYPERLINK("#",""), HYPERLINK(CONCATENATE("#metadata!", ADDRESS(INDEX($X$2:$X$1001,MATCH(ROWS($V$2:V87),$V$2:$V$1001,0),0), INDEX($AC$1004:$AS$1004,1,MATCH(COLUMNS($AC$1006:AS1006),$AC$1006:$AS$1006,0)))),"Fix")))</f>
        <v xml:space="preserve"> </v>
      </c>
      <c r="V87">
        <v>86</v>
      </c>
      <c r="W87">
        <v>100087</v>
      </c>
      <c r="X87">
        <v>87</v>
      </c>
      <c r="Y87" t="b">
        <f t="shared" si="1"/>
        <v>1</v>
      </c>
      <c r="Z87" t="b">
        <f>COUNTBLANK(metadata!B87:R87)=COLUMNS(metadata!B87:R87)</f>
        <v>1</v>
      </c>
      <c r="AA87" t="str">
        <v/>
      </c>
      <c r="AC87" t="b">
        <f ca="1"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AD87" t="b">
        <f>IF(metadata!C87="",FALSE,ISNUMBER(VALUE(metadata!C87)))</f>
        <v>0</v>
      </c>
      <c r="AE87" t="b">
        <f>AND(IF(metadata!D87="",FALSE,TRUE),EXACT(metadata!D87,"years"))</f>
        <v>0</v>
      </c>
      <c r="AF87" t="b">
        <f>OR(AND(IF(metadata!E87="",FALSE,TRUE),OR(EXACT(metadata!E87,"not applicable"),EXACT(metadata!E87,"missing: not collected"),EXACT(metadata!E87,"missing: not provided"),EXACT(metadata!E87,"missing: restricted access"))),AND(IF(metadata!E87="",FALSE,ISNUMBER(VALUE(metadata!E87))),metadata!E87&gt;0))</f>
        <v>0</v>
      </c>
      <c r="AG87" t="b">
        <f>AND(IF(metadata!F87="",FALSE,TRUE),EXACT(metadata!F87,"Not applicable"))</f>
        <v>0</v>
      </c>
      <c r="AH87" t="b">
        <f>AND(IF(metadata!G87="",FALSE,TRUE),EXACT(metadata!G87,"urban biome"))</f>
        <v>0</v>
      </c>
      <c r="AI87" t="b">
        <f>AND(IF(metadata!H87="",FALSE,TRUE),EXACT(metadata!H87,"human-associated habitat"))</f>
        <v>0</v>
      </c>
      <c r="AJ87" t="b">
        <f>AND(IF(metadata!I87="",FALSE,TRUE),OR(EXACT(metadata!I87,"human-associated"),EXACT(metadata!I87,"human-skin"),EXACT(metadata!I87,"human-oral"),EXACT(metadata!I87,"human-gut"),EXACT(metadata!I87,"human-vaginal")))</f>
        <v>0</v>
      </c>
      <c r="AK87" t="b">
        <f>IF(metadata!J87="",FALSE,ISNUMBER(VALUE(metadata!J87)))</f>
        <v>0</v>
      </c>
      <c r="AL87" t="b">
        <f>AND(IF(metadata!K87="",FALSE,TRUE),EXACT(metadata!K87,"cm"))</f>
        <v>0</v>
      </c>
      <c r="AM87" t="b">
        <f>AND(IF(metadata!L87="",FALSE,TRUE),EXACT(metadata!L87,"human"))</f>
        <v>0</v>
      </c>
      <c r="AN87" t="b">
        <f>AND(IF(metadata!M87="",FALSE,TRUE),EXACT(metadata!M87,"Homo sapiens"))</f>
        <v>0</v>
      </c>
      <c r="AO87" t="b">
        <f>AND(IF(metadata!N87="",FALSE,TRUE),EXACT(metadata!N87,"9606"))</f>
        <v>0</v>
      </c>
      <c r="AP87" t="b">
        <f>IF(metadata!O87="",FALSE,TRUE)</f>
        <v>0</v>
      </c>
      <c r="AQ87" t="b">
        <f>IF(metadata!P87="",FALSE,TRUE)</f>
        <v>0</v>
      </c>
      <c r="AR87" t="b">
        <f>IF(metadata!Q87="",FALSE,ISNUMBER(VALUE(metadata!Q87)))</f>
        <v>0</v>
      </c>
      <c r="AS87" t="b">
        <f>AND(IF(metadata!R87="",FALSE,TRUE),EXACT(metadata!R87,"kg"))</f>
        <v>0</v>
      </c>
    </row>
    <row r="88" spans="1:45" x14ac:dyDescent="0.2">
      <c r="A88" s="5" t="str">
        <f ca="1">IF(B88=" "," ",HYPERLINK(CONCATENATE("#metadata!",ADDRESS(INDEX($X$2:$X$1001,MATCH(ROWS($V$2:V88),$V$2:$V$1001,0),0),1)),INDEX($AA$2:$AA$1001,MATCH(ROWS($V$2:V88),$V$2:$V$1001,0),0)))</f>
        <v xml:space="preserve"> </v>
      </c>
      <c r="B88" s="4" t="str">
        <f ca="1">IF(OR(INDEX($W$2:$W$1001,MATCH(ROWS($V$2:V88),$V$2:$V$1001,0),1)&gt;=100000,INDEX($AC$1005:$AS$1005,1,MATCH(COLUMNS($AC$1006:AC1006),$AC$1006:$AS$1006,0))&gt;=100000), " ",IF(INDEX($AC$2:$AS$1001,MATCH(ROWS($V$2:V88),$V$2:$V$1001,0),MATCH(COLUMNS($AC$1006:AC1006),$AC$1006:$AS$1006,0)), HYPERLINK("#",""), HYPERLINK(CONCATENATE("#metadata!", ADDRESS(INDEX($X$2:$X$1001,MATCH(ROWS($V$2:V88),$V$2:$V$1001,0),0), INDEX($AC$1004:$AS$1004,1,MATCH(COLUMNS($AC$1006:AC1006),$AC$1006:$AS$1006,0)))),"Fix")))</f>
        <v xml:space="preserve"> </v>
      </c>
      <c r="C88" s="4" t="str">
        <f ca="1">IF(OR(INDEX($W$2:$W$1001,MATCH(ROWS($V$2:V88),$V$2:$V$1001,0),1)&gt;=100000,INDEX($AC$1005:$AS$1005,1,MATCH(COLUMNS($AC$1006:AD1006),$AC$1006:$AS$1006,0))&gt;=100000), " ",IF(INDEX($AC$2:$AS$1001,MATCH(ROWS($V$2:V88),$V$2:$V$1001,0),MATCH(COLUMNS($AC$1006:AD1006),$AC$1006:$AS$1006,0)), HYPERLINK("#",""), HYPERLINK(CONCATENATE("#metadata!", ADDRESS(INDEX($X$2:$X$1001,MATCH(ROWS($V$2:V88),$V$2:$V$1001,0),0), INDEX($AC$1004:$AS$1004,1,MATCH(COLUMNS($AC$1006:AD1006),$AC$1006:$AS$1006,0)))),"Fix")))</f>
        <v xml:space="preserve"> </v>
      </c>
      <c r="D88" s="4" t="str">
        <f ca="1">IF(OR(INDEX($W$2:$W$1001,MATCH(ROWS($V$2:V88),$V$2:$V$1001,0),1)&gt;=100000,INDEX($AC$1005:$AS$1005,1,MATCH(COLUMNS($AC$1006:AE1006),$AC$1006:$AS$1006,0))&gt;=100000), " ",IF(INDEX($AC$2:$AS$1001,MATCH(ROWS($V$2:V88),$V$2:$V$1001,0),MATCH(COLUMNS($AC$1006:AE1006),$AC$1006:$AS$1006,0)), HYPERLINK("#",""), HYPERLINK(CONCATENATE("#metadata!", ADDRESS(INDEX($X$2:$X$1001,MATCH(ROWS($V$2:V88),$V$2:$V$1001,0),0), INDEX($AC$1004:$AS$1004,1,MATCH(COLUMNS($AC$1006:AE1006),$AC$1006:$AS$1006,0)))),"Fix")))</f>
        <v xml:space="preserve"> </v>
      </c>
      <c r="E88" s="4" t="str">
        <f ca="1">IF(OR(INDEX($W$2:$W$1001,MATCH(ROWS($V$2:V88),$V$2:$V$1001,0),1)&gt;=100000,INDEX($AC$1005:$AS$1005,1,MATCH(COLUMNS($AC$1006:AF1006),$AC$1006:$AS$1006,0))&gt;=100000), " ",IF(INDEX($AC$2:$AS$1001,MATCH(ROWS($V$2:V88),$V$2:$V$1001,0),MATCH(COLUMNS($AC$1006:AF1006),$AC$1006:$AS$1006,0)), HYPERLINK("#",""), HYPERLINK(CONCATENATE("#metadata!", ADDRESS(INDEX($X$2:$X$1001,MATCH(ROWS($V$2:V88),$V$2:$V$1001,0),0), INDEX($AC$1004:$AS$1004,1,MATCH(COLUMNS($AC$1006:AF1006),$AC$1006:$AS$1006,0)))),"Fix")))</f>
        <v xml:space="preserve"> </v>
      </c>
      <c r="F88" s="4" t="str">
        <f ca="1">IF(OR(INDEX($W$2:$W$1001,MATCH(ROWS($V$2:V88),$V$2:$V$1001,0),1)&gt;=100000,INDEX($AC$1005:$AS$1005,1,MATCH(COLUMNS($AC$1006:AG1006),$AC$1006:$AS$1006,0))&gt;=100000), " ",IF(INDEX($AC$2:$AS$1001,MATCH(ROWS($V$2:V88),$V$2:$V$1001,0),MATCH(COLUMNS($AC$1006:AG1006),$AC$1006:$AS$1006,0)), HYPERLINK("#",""), HYPERLINK(CONCATENATE("#metadata!", ADDRESS(INDEX($X$2:$X$1001,MATCH(ROWS($V$2:V88),$V$2:$V$1001,0),0), INDEX($AC$1004:$AS$1004,1,MATCH(COLUMNS($AC$1006:AG1006),$AC$1006:$AS$1006,0)))),"Fix")))</f>
        <v xml:space="preserve"> </v>
      </c>
      <c r="G88" s="4" t="str">
        <f ca="1">IF(OR(INDEX($W$2:$W$1001,MATCH(ROWS($V$2:V88),$V$2:$V$1001,0),1)&gt;=100000,INDEX($AC$1005:$AS$1005,1,MATCH(COLUMNS($AC$1006:AH1006),$AC$1006:$AS$1006,0))&gt;=100000), " ",IF(INDEX($AC$2:$AS$1001,MATCH(ROWS($V$2:V88),$V$2:$V$1001,0),MATCH(COLUMNS($AC$1006:AH1006),$AC$1006:$AS$1006,0)), HYPERLINK("#",""), HYPERLINK(CONCATENATE("#metadata!", ADDRESS(INDEX($X$2:$X$1001,MATCH(ROWS($V$2:V88),$V$2:$V$1001,0),0), INDEX($AC$1004:$AS$1004,1,MATCH(COLUMNS($AC$1006:AH1006),$AC$1006:$AS$1006,0)))),"Fix")))</f>
        <v xml:space="preserve"> </v>
      </c>
      <c r="H88" s="4" t="str">
        <f ca="1">IF(OR(INDEX($W$2:$W$1001,MATCH(ROWS($V$2:V88),$V$2:$V$1001,0),1)&gt;=100000,INDEX($AC$1005:$AS$1005,1,MATCH(COLUMNS($AC$1006:AI1006),$AC$1006:$AS$1006,0))&gt;=100000), " ",IF(INDEX($AC$2:$AS$1001,MATCH(ROWS($V$2:V88),$V$2:$V$1001,0),MATCH(COLUMNS($AC$1006:AI1006),$AC$1006:$AS$1006,0)), HYPERLINK("#",""), HYPERLINK(CONCATENATE("#metadata!", ADDRESS(INDEX($X$2:$X$1001,MATCH(ROWS($V$2:V88),$V$2:$V$1001,0),0), INDEX($AC$1004:$AS$1004,1,MATCH(COLUMNS($AC$1006:AI1006),$AC$1006:$AS$1006,0)))),"Fix")))</f>
        <v xml:space="preserve"> </v>
      </c>
      <c r="I88" s="4" t="str">
        <f ca="1">IF(OR(INDEX($W$2:$W$1001,MATCH(ROWS($V$2:V88),$V$2:$V$1001,0),1)&gt;=100000,INDEX($AC$1005:$AS$1005,1,MATCH(COLUMNS($AC$1006:AJ1006),$AC$1006:$AS$1006,0))&gt;=100000), " ",IF(INDEX($AC$2:$AS$1001,MATCH(ROWS($V$2:V88),$V$2:$V$1001,0),MATCH(COLUMNS($AC$1006:AJ1006),$AC$1006:$AS$1006,0)), HYPERLINK("#",""), HYPERLINK(CONCATENATE("#metadata!", ADDRESS(INDEX($X$2:$X$1001,MATCH(ROWS($V$2:V88),$V$2:$V$1001,0),0), INDEX($AC$1004:$AS$1004,1,MATCH(COLUMNS($AC$1006:AJ1006),$AC$1006:$AS$1006,0)))),"Fix")))</f>
        <v xml:space="preserve"> </v>
      </c>
      <c r="J88" s="4" t="str">
        <f ca="1">IF(OR(INDEX($W$2:$W$1001,MATCH(ROWS($V$2:V88),$V$2:$V$1001,0),1)&gt;=100000,INDEX($AC$1005:$AS$1005,1,MATCH(COLUMNS($AC$1006:AK1006),$AC$1006:$AS$1006,0))&gt;=100000), " ",IF(INDEX($AC$2:$AS$1001,MATCH(ROWS($V$2:V88),$V$2:$V$1001,0),MATCH(COLUMNS($AC$1006:AK1006),$AC$1006:$AS$1006,0)), HYPERLINK("#",""), HYPERLINK(CONCATENATE("#metadata!", ADDRESS(INDEX($X$2:$X$1001,MATCH(ROWS($V$2:V88),$V$2:$V$1001,0),0), INDEX($AC$1004:$AS$1004,1,MATCH(COLUMNS($AC$1006:AK1006),$AC$1006:$AS$1006,0)))),"Fix")))</f>
        <v xml:space="preserve"> </v>
      </c>
      <c r="K88" s="4" t="str">
        <f ca="1">IF(OR(INDEX($W$2:$W$1001,MATCH(ROWS($V$2:V88),$V$2:$V$1001,0),1)&gt;=100000,INDEX($AC$1005:$AS$1005,1,MATCH(COLUMNS($AC$1006:AL1006),$AC$1006:$AS$1006,0))&gt;=100000), " ",IF(INDEX($AC$2:$AS$1001,MATCH(ROWS($V$2:V88),$V$2:$V$1001,0),MATCH(COLUMNS($AC$1006:AL1006),$AC$1006:$AS$1006,0)), HYPERLINK("#",""), HYPERLINK(CONCATENATE("#metadata!", ADDRESS(INDEX($X$2:$X$1001,MATCH(ROWS($V$2:V88),$V$2:$V$1001,0),0), INDEX($AC$1004:$AS$1004,1,MATCH(COLUMNS($AC$1006:AL1006),$AC$1006:$AS$1006,0)))),"Fix")))</f>
        <v xml:space="preserve"> </v>
      </c>
      <c r="L88" s="4" t="str">
        <f ca="1">IF(OR(INDEX($W$2:$W$1001,MATCH(ROWS($V$2:V88),$V$2:$V$1001,0),1)&gt;=100000,INDEX($AC$1005:$AS$1005,1,MATCH(COLUMNS($AC$1006:AM1006),$AC$1006:$AS$1006,0))&gt;=100000), " ",IF(INDEX($AC$2:$AS$1001,MATCH(ROWS($V$2:V88),$V$2:$V$1001,0),MATCH(COLUMNS($AC$1006:AM1006),$AC$1006:$AS$1006,0)), HYPERLINK("#",""), HYPERLINK(CONCATENATE("#metadata!", ADDRESS(INDEX($X$2:$X$1001,MATCH(ROWS($V$2:V88),$V$2:$V$1001,0),0), INDEX($AC$1004:$AS$1004,1,MATCH(COLUMNS($AC$1006:AM1006),$AC$1006:$AS$1006,0)))),"Fix")))</f>
        <v xml:space="preserve"> </v>
      </c>
      <c r="M88" s="4" t="str">
        <f ca="1">IF(OR(INDEX($W$2:$W$1001,MATCH(ROWS($V$2:V88),$V$2:$V$1001,0),1)&gt;=100000,INDEX($AC$1005:$AS$1005,1,MATCH(COLUMNS($AC$1006:AN1006),$AC$1006:$AS$1006,0))&gt;=100000), " ",IF(INDEX($AC$2:$AS$1001,MATCH(ROWS($V$2:V88),$V$2:$V$1001,0),MATCH(COLUMNS($AC$1006:AN1006),$AC$1006:$AS$1006,0)), HYPERLINK("#",""), HYPERLINK(CONCATENATE("#metadata!", ADDRESS(INDEX($X$2:$X$1001,MATCH(ROWS($V$2:V88),$V$2:$V$1001,0),0), INDEX($AC$1004:$AS$1004,1,MATCH(COLUMNS($AC$1006:AN1006),$AC$1006:$AS$1006,0)))),"Fix")))</f>
        <v xml:space="preserve"> </v>
      </c>
      <c r="N88" s="4" t="str">
        <f ca="1">IF(OR(INDEX($W$2:$W$1001,MATCH(ROWS($V$2:V88),$V$2:$V$1001,0),1)&gt;=100000,INDEX($AC$1005:$AS$1005,1,MATCH(COLUMNS($AC$1006:AO1006),$AC$1006:$AS$1006,0))&gt;=100000), " ",IF(INDEX($AC$2:$AS$1001,MATCH(ROWS($V$2:V88),$V$2:$V$1001,0),MATCH(COLUMNS($AC$1006:AO1006),$AC$1006:$AS$1006,0)), HYPERLINK("#",""), HYPERLINK(CONCATENATE("#metadata!", ADDRESS(INDEX($X$2:$X$1001,MATCH(ROWS($V$2:V88),$V$2:$V$1001,0),0), INDEX($AC$1004:$AS$1004,1,MATCH(COLUMNS($AC$1006:AO1006),$AC$1006:$AS$1006,0)))),"Fix")))</f>
        <v xml:space="preserve"> </v>
      </c>
      <c r="O88" s="4" t="str">
        <f ca="1">IF(OR(INDEX($W$2:$W$1001,MATCH(ROWS($V$2:V88),$V$2:$V$1001,0),1)&gt;=100000,INDEX($AC$1005:$AS$1005,1,MATCH(COLUMNS($AC$1006:AP1006),$AC$1006:$AS$1006,0))&gt;=100000), " ",IF(INDEX($AC$2:$AS$1001,MATCH(ROWS($V$2:V88),$V$2:$V$1001,0),MATCH(COLUMNS($AC$1006:AP1006),$AC$1006:$AS$1006,0)), HYPERLINK("#",""), HYPERLINK(CONCATENATE("#metadata!", ADDRESS(INDEX($X$2:$X$1001,MATCH(ROWS($V$2:V88),$V$2:$V$1001,0),0), INDEX($AC$1004:$AS$1004,1,MATCH(COLUMNS($AC$1006:AP1006),$AC$1006:$AS$1006,0)))),"Fix")))</f>
        <v xml:space="preserve"> </v>
      </c>
      <c r="P88" s="4" t="str">
        <f ca="1">IF(OR(INDEX($W$2:$W$1001,MATCH(ROWS($V$2:V88),$V$2:$V$1001,0),1)&gt;=100000,INDEX($AC$1005:$AS$1005,1,MATCH(COLUMNS($AC$1006:AQ1006),$AC$1006:$AS$1006,0))&gt;=100000), " ",IF(INDEX($AC$2:$AS$1001,MATCH(ROWS($V$2:V88),$V$2:$V$1001,0),MATCH(COLUMNS($AC$1006:AQ1006),$AC$1006:$AS$1006,0)), HYPERLINK("#",""), HYPERLINK(CONCATENATE("#metadata!", ADDRESS(INDEX($X$2:$X$1001,MATCH(ROWS($V$2:V88),$V$2:$V$1001,0),0), INDEX($AC$1004:$AS$1004,1,MATCH(COLUMNS($AC$1006:AQ1006),$AC$1006:$AS$1006,0)))),"Fix")))</f>
        <v xml:space="preserve"> </v>
      </c>
      <c r="Q88" s="4" t="str">
        <f ca="1">IF(OR(INDEX($W$2:$W$1001,MATCH(ROWS($V$2:V88),$V$2:$V$1001,0),1)&gt;=100000,INDEX($AC$1005:$AS$1005,1,MATCH(COLUMNS($AC$1006:AR1006),$AC$1006:$AS$1006,0))&gt;=100000), " ",IF(INDEX($AC$2:$AS$1001,MATCH(ROWS($V$2:V88),$V$2:$V$1001,0),MATCH(COLUMNS($AC$1006:AR1006),$AC$1006:$AS$1006,0)), HYPERLINK("#",""), HYPERLINK(CONCATENATE("#metadata!", ADDRESS(INDEX($X$2:$X$1001,MATCH(ROWS($V$2:V88),$V$2:$V$1001,0),0), INDEX($AC$1004:$AS$1004,1,MATCH(COLUMNS($AC$1006:AR1006),$AC$1006:$AS$1006,0)))),"Fix")))</f>
        <v xml:space="preserve"> </v>
      </c>
      <c r="R88" s="4" t="str">
        <f ca="1">IF(OR(INDEX($W$2:$W$1001,MATCH(ROWS($V$2:V88),$V$2:$V$1001,0),1)&gt;=100000,INDEX($AC$1005:$AS$1005,1,MATCH(COLUMNS($AC$1006:AS1006),$AC$1006:$AS$1006,0))&gt;=100000), " ",IF(INDEX($AC$2:$AS$1001,MATCH(ROWS($V$2:V88),$V$2:$V$1001,0),MATCH(COLUMNS($AC$1006:AS1006),$AC$1006:$AS$1006,0)), HYPERLINK("#",""), HYPERLINK(CONCATENATE("#metadata!", ADDRESS(INDEX($X$2:$X$1001,MATCH(ROWS($V$2:V88),$V$2:$V$1001,0),0), INDEX($AC$1004:$AS$1004,1,MATCH(COLUMNS($AC$1006:AS1006),$AC$1006:$AS$1006,0)))),"Fix")))</f>
        <v xml:space="preserve"> </v>
      </c>
      <c r="V88">
        <v>87</v>
      </c>
      <c r="W88">
        <v>100088</v>
      </c>
      <c r="X88">
        <v>88</v>
      </c>
      <c r="Y88" t="b">
        <f t="shared" si="1"/>
        <v>1</v>
      </c>
      <c r="Z88" t="b">
        <f>COUNTBLANK(metadata!B88:R88)=COLUMNS(metadata!B88:R88)</f>
        <v>1</v>
      </c>
      <c r="AA88" t="str">
        <v/>
      </c>
      <c r="AC88" t="b">
        <f ca="1"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AD88" t="b">
        <f>IF(metadata!C88="",FALSE,ISNUMBER(VALUE(metadata!C88)))</f>
        <v>0</v>
      </c>
      <c r="AE88" t="b">
        <f>AND(IF(metadata!D88="",FALSE,TRUE),EXACT(metadata!D88,"years"))</f>
        <v>0</v>
      </c>
      <c r="AF88" t="b">
        <f>OR(AND(IF(metadata!E88="",FALSE,TRUE),OR(EXACT(metadata!E88,"not applicable"),EXACT(metadata!E88,"missing: not collected"),EXACT(metadata!E88,"missing: not provided"),EXACT(metadata!E88,"missing: restricted access"))),AND(IF(metadata!E88="",FALSE,ISNUMBER(VALUE(metadata!E88))),metadata!E88&gt;0))</f>
        <v>0</v>
      </c>
      <c r="AG88" t="b">
        <f>AND(IF(metadata!F88="",FALSE,TRUE),EXACT(metadata!F88,"Not applicable"))</f>
        <v>0</v>
      </c>
      <c r="AH88" t="b">
        <f>AND(IF(metadata!G88="",FALSE,TRUE),EXACT(metadata!G88,"urban biome"))</f>
        <v>0</v>
      </c>
      <c r="AI88" t="b">
        <f>AND(IF(metadata!H88="",FALSE,TRUE),EXACT(metadata!H88,"human-associated habitat"))</f>
        <v>0</v>
      </c>
      <c r="AJ88" t="b">
        <f>AND(IF(metadata!I88="",FALSE,TRUE),OR(EXACT(metadata!I88,"human-associated"),EXACT(metadata!I88,"human-skin"),EXACT(metadata!I88,"human-oral"),EXACT(metadata!I88,"human-gut"),EXACT(metadata!I88,"human-vaginal")))</f>
        <v>0</v>
      </c>
      <c r="AK88" t="b">
        <f>IF(metadata!J88="",FALSE,ISNUMBER(VALUE(metadata!J88)))</f>
        <v>0</v>
      </c>
      <c r="AL88" t="b">
        <f>AND(IF(metadata!K88="",FALSE,TRUE),EXACT(metadata!K88,"cm"))</f>
        <v>0</v>
      </c>
      <c r="AM88" t="b">
        <f>AND(IF(metadata!L88="",FALSE,TRUE),EXACT(metadata!L88,"human"))</f>
        <v>0</v>
      </c>
      <c r="AN88" t="b">
        <f>AND(IF(metadata!M88="",FALSE,TRUE),EXACT(metadata!M88,"Homo sapiens"))</f>
        <v>0</v>
      </c>
      <c r="AO88" t="b">
        <f>AND(IF(metadata!N88="",FALSE,TRUE),EXACT(metadata!N88,"9606"))</f>
        <v>0</v>
      </c>
      <c r="AP88" t="b">
        <f>IF(metadata!O88="",FALSE,TRUE)</f>
        <v>0</v>
      </c>
      <c r="AQ88" t="b">
        <f>IF(metadata!P88="",FALSE,TRUE)</f>
        <v>0</v>
      </c>
      <c r="AR88" t="b">
        <f>IF(metadata!Q88="",FALSE,ISNUMBER(VALUE(metadata!Q88)))</f>
        <v>0</v>
      </c>
      <c r="AS88" t="b">
        <f>AND(IF(metadata!R88="",FALSE,TRUE),EXACT(metadata!R88,"kg"))</f>
        <v>0</v>
      </c>
    </row>
    <row r="89" spans="1:45" x14ac:dyDescent="0.2">
      <c r="A89" s="5" t="str">
        <f ca="1">IF(B89=" "," ",HYPERLINK(CONCATENATE("#metadata!",ADDRESS(INDEX($X$2:$X$1001,MATCH(ROWS($V$2:V89),$V$2:$V$1001,0),0),1)),INDEX($AA$2:$AA$1001,MATCH(ROWS($V$2:V89),$V$2:$V$1001,0),0)))</f>
        <v xml:space="preserve"> </v>
      </c>
      <c r="B89" s="4" t="str">
        <f ca="1">IF(OR(INDEX($W$2:$W$1001,MATCH(ROWS($V$2:V89),$V$2:$V$1001,0),1)&gt;=100000,INDEX($AC$1005:$AS$1005,1,MATCH(COLUMNS($AC$1006:AC1006),$AC$1006:$AS$1006,0))&gt;=100000), " ",IF(INDEX($AC$2:$AS$1001,MATCH(ROWS($V$2:V89),$V$2:$V$1001,0),MATCH(COLUMNS($AC$1006:AC1006),$AC$1006:$AS$1006,0)), HYPERLINK("#",""), HYPERLINK(CONCATENATE("#metadata!", ADDRESS(INDEX($X$2:$X$1001,MATCH(ROWS($V$2:V89),$V$2:$V$1001,0),0), INDEX($AC$1004:$AS$1004,1,MATCH(COLUMNS($AC$1006:AC1006),$AC$1006:$AS$1006,0)))),"Fix")))</f>
        <v xml:space="preserve"> </v>
      </c>
      <c r="C89" s="4" t="str">
        <f ca="1">IF(OR(INDEX($W$2:$W$1001,MATCH(ROWS($V$2:V89),$V$2:$V$1001,0),1)&gt;=100000,INDEX($AC$1005:$AS$1005,1,MATCH(COLUMNS($AC$1006:AD1006),$AC$1006:$AS$1006,0))&gt;=100000), " ",IF(INDEX($AC$2:$AS$1001,MATCH(ROWS($V$2:V89),$V$2:$V$1001,0),MATCH(COLUMNS($AC$1006:AD1006),$AC$1006:$AS$1006,0)), HYPERLINK("#",""), HYPERLINK(CONCATENATE("#metadata!", ADDRESS(INDEX($X$2:$X$1001,MATCH(ROWS($V$2:V89),$V$2:$V$1001,0),0), INDEX($AC$1004:$AS$1004,1,MATCH(COLUMNS($AC$1006:AD1006),$AC$1006:$AS$1006,0)))),"Fix")))</f>
        <v xml:space="preserve"> </v>
      </c>
      <c r="D89" s="4" t="str">
        <f ca="1">IF(OR(INDEX($W$2:$W$1001,MATCH(ROWS($V$2:V89),$V$2:$V$1001,0),1)&gt;=100000,INDEX($AC$1005:$AS$1005,1,MATCH(COLUMNS($AC$1006:AE1006),$AC$1006:$AS$1006,0))&gt;=100000), " ",IF(INDEX($AC$2:$AS$1001,MATCH(ROWS($V$2:V89),$V$2:$V$1001,0),MATCH(COLUMNS($AC$1006:AE1006),$AC$1006:$AS$1006,0)), HYPERLINK("#",""), HYPERLINK(CONCATENATE("#metadata!", ADDRESS(INDEX($X$2:$X$1001,MATCH(ROWS($V$2:V89),$V$2:$V$1001,0),0), INDEX($AC$1004:$AS$1004,1,MATCH(COLUMNS($AC$1006:AE1006),$AC$1006:$AS$1006,0)))),"Fix")))</f>
        <v xml:space="preserve"> </v>
      </c>
      <c r="E89" s="4" t="str">
        <f ca="1">IF(OR(INDEX($W$2:$W$1001,MATCH(ROWS($V$2:V89),$V$2:$V$1001,0),1)&gt;=100000,INDEX($AC$1005:$AS$1005,1,MATCH(COLUMNS($AC$1006:AF1006),$AC$1006:$AS$1006,0))&gt;=100000), " ",IF(INDEX($AC$2:$AS$1001,MATCH(ROWS($V$2:V89),$V$2:$V$1001,0),MATCH(COLUMNS($AC$1006:AF1006),$AC$1006:$AS$1006,0)), HYPERLINK("#",""), HYPERLINK(CONCATENATE("#metadata!", ADDRESS(INDEX($X$2:$X$1001,MATCH(ROWS($V$2:V89),$V$2:$V$1001,0),0), INDEX($AC$1004:$AS$1004,1,MATCH(COLUMNS($AC$1006:AF1006),$AC$1006:$AS$1006,0)))),"Fix")))</f>
        <v xml:space="preserve"> </v>
      </c>
      <c r="F89" s="4" t="str">
        <f ca="1">IF(OR(INDEX($W$2:$W$1001,MATCH(ROWS($V$2:V89),$V$2:$V$1001,0),1)&gt;=100000,INDEX($AC$1005:$AS$1005,1,MATCH(COLUMNS($AC$1006:AG1006),$AC$1006:$AS$1006,0))&gt;=100000), " ",IF(INDEX($AC$2:$AS$1001,MATCH(ROWS($V$2:V89),$V$2:$V$1001,0),MATCH(COLUMNS($AC$1006:AG1006),$AC$1006:$AS$1006,0)), HYPERLINK("#",""), HYPERLINK(CONCATENATE("#metadata!", ADDRESS(INDEX($X$2:$X$1001,MATCH(ROWS($V$2:V89),$V$2:$V$1001,0),0), INDEX($AC$1004:$AS$1004,1,MATCH(COLUMNS($AC$1006:AG1006),$AC$1006:$AS$1006,0)))),"Fix")))</f>
        <v xml:space="preserve"> </v>
      </c>
      <c r="G89" s="4" t="str">
        <f ca="1">IF(OR(INDEX($W$2:$W$1001,MATCH(ROWS($V$2:V89),$V$2:$V$1001,0),1)&gt;=100000,INDEX($AC$1005:$AS$1005,1,MATCH(COLUMNS($AC$1006:AH1006),$AC$1006:$AS$1006,0))&gt;=100000), " ",IF(INDEX($AC$2:$AS$1001,MATCH(ROWS($V$2:V89),$V$2:$V$1001,0),MATCH(COLUMNS($AC$1006:AH1006),$AC$1006:$AS$1006,0)), HYPERLINK("#",""), HYPERLINK(CONCATENATE("#metadata!", ADDRESS(INDEX($X$2:$X$1001,MATCH(ROWS($V$2:V89),$V$2:$V$1001,0),0), INDEX($AC$1004:$AS$1004,1,MATCH(COLUMNS($AC$1006:AH1006),$AC$1006:$AS$1006,0)))),"Fix")))</f>
        <v xml:space="preserve"> </v>
      </c>
      <c r="H89" s="4" t="str">
        <f ca="1">IF(OR(INDEX($W$2:$W$1001,MATCH(ROWS($V$2:V89),$V$2:$V$1001,0),1)&gt;=100000,INDEX($AC$1005:$AS$1005,1,MATCH(COLUMNS($AC$1006:AI1006),$AC$1006:$AS$1006,0))&gt;=100000), " ",IF(INDEX($AC$2:$AS$1001,MATCH(ROWS($V$2:V89),$V$2:$V$1001,0),MATCH(COLUMNS($AC$1006:AI1006),$AC$1006:$AS$1006,0)), HYPERLINK("#",""), HYPERLINK(CONCATENATE("#metadata!", ADDRESS(INDEX($X$2:$X$1001,MATCH(ROWS($V$2:V89),$V$2:$V$1001,0),0), INDEX($AC$1004:$AS$1004,1,MATCH(COLUMNS($AC$1006:AI1006),$AC$1006:$AS$1006,0)))),"Fix")))</f>
        <v xml:space="preserve"> </v>
      </c>
      <c r="I89" s="4" t="str">
        <f ca="1">IF(OR(INDEX($W$2:$W$1001,MATCH(ROWS($V$2:V89),$V$2:$V$1001,0),1)&gt;=100000,INDEX($AC$1005:$AS$1005,1,MATCH(COLUMNS($AC$1006:AJ1006),$AC$1006:$AS$1006,0))&gt;=100000), " ",IF(INDEX($AC$2:$AS$1001,MATCH(ROWS($V$2:V89),$V$2:$V$1001,0),MATCH(COLUMNS($AC$1006:AJ1006),$AC$1006:$AS$1006,0)), HYPERLINK("#",""), HYPERLINK(CONCATENATE("#metadata!", ADDRESS(INDEX($X$2:$X$1001,MATCH(ROWS($V$2:V89),$V$2:$V$1001,0),0), INDEX($AC$1004:$AS$1004,1,MATCH(COLUMNS($AC$1006:AJ1006),$AC$1006:$AS$1006,0)))),"Fix")))</f>
        <v xml:space="preserve"> </v>
      </c>
      <c r="J89" s="4" t="str">
        <f ca="1">IF(OR(INDEX($W$2:$W$1001,MATCH(ROWS($V$2:V89),$V$2:$V$1001,0),1)&gt;=100000,INDEX($AC$1005:$AS$1005,1,MATCH(COLUMNS($AC$1006:AK1006),$AC$1006:$AS$1006,0))&gt;=100000), " ",IF(INDEX($AC$2:$AS$1001,MATCH(ROWS($V$2:V89),$V$2:$V$1001,0),MATCH(COLUMNS($AC$1006:AK1006),$AC$1006:$AS$1006,0)), HYPERLINK("#",""), HYPERLINK(CONCATENATE("#metadata!", ADDRESS(INDEX($X$2:$X$1001,MATCH(ROWS($V$2:V89),$V$2:$V$1001,0),0), INDEX($AC$1004:$AS$1004,1,MATCH(COLUMNS($AC$1006:AK1006),$AC$1006:$AS$1006,0)))),"Fix")))</f>
        <v xml:space="preserve"> </v>
      </c>
      <c r="K89" s="4" t="str">
        <f ca="1">IF(OR(INDEX($W$2:$W$1001,MATCH(ROWS($V$2:V89),$V$2:$V$1001,0),1)&gt;=100000,INDEX($AC$1005:$AS$1005,1,MATCH(COLUMNS($AC$1006:AL1006),$AC$1006:$AS$1006,0))&gt;=100000), " ",IF(INDEX($AC$2:$AS$1001,MATCH(ROWS($V$2:V89),$V$2:$V$1001,0),MATCH(COLUMNS($AC$1006:AL1006),$AC$1006:$AS$1006,0)), HYPERLINK("#",""), HYPERLINK(CONCATENATE("#metadata!", ADDRESS(INDEX($X$2:$X$1001,MATCH(ROWS($V$2:V89),$V$2:$V$1001,0),0), INDEX($AC$1004:$AS$1004,1,MATCH(COLUMNS($AC$1006:AL1006),$AC$1006:$AS$1006,0)))),"Fix")))</f>
        <v xml:space="preserve"> </v>
      </c>
      <c r="L89" s="4" t="str">
        <f ca="1">IF(OR(INDEX($W$2:$W$1001,MATCH(ROWS($V$2:V89),$V$2:$V$1001,0),1)&gt;=100000,INDEX($AC$1005:$AS$1005,1,MATCH(COLUMNS($AC$1006:AM1006),$AC$1006:$AS$1006,0))&gt;=100000), " ",IF(INDEX($AC$2:$AS$1001,MATCH(ROWS($V$2:V89),$V$2:$V$1001,0),MATCH(COLUMNS($AC$1006:AM1006),$AC$1006:$AS$1006,0)), HYPERLINK("#",""), HYPERLINK(CONCATENATE("#metadata!", ADDRESS(INDEX($X$2:$X$1001,MATCH(ROWS($V$2:V89),$V$2:$V$1001,0),0), INDEX($AC$1004:$AS$1004,1,MATCH(COLUMNS($AC$1006:AM1006),$AC$1006:$AS$1006,0)))),"Fix")))</f>
        <v xml:space="preserve"> </v>
      </c>
      <c r="M89" s="4" t="str">
        <f ca="1">IF(OR(INDEX($W$2:$W$1001,MATCH(ROWS($V$2:V89),$V$2:$V$1001,0),1)&gt;=100000,INDEX($AC$1005:$AS$1005,1,MATCH(COLUMNS($AC$1006:AN1006),$AC$1006:$AS$1006,0))&gt;=100000), " ",IF(INDEX($AC$2:$AS$1001,MATCH(ROWS($V$2:V89),$V$2:$V$1001,0),MATCH(COLUMNS($AC$1006:AN1006),$AC$1006:$AS$1006,0)), HYPERLINK("#",""), HYPERLINK(CONCATENATE("#metadata!", ADDRESS(INDEX($X$2:$X$1001,MATCH(ROWS($V$2:V89),$V$2:$V$1001,0),0), INDEX($AC$1004:$AS$1004,1,MATCH(COLUMNS($AC$1006:AN1006),$AC$1006:$AS$1006,0)))),"Fix")))</f>
        <v xml:space="preserve"> </v>
      </c>
      <c r="N89" s="4" t="str">
        <f ca="1">IF(OR(INDEX($W$2:$W$1001,MATCH(ROWS($V$2:V89),$V$2:$V$1001,0),1)&gt;=100000,INDEX($AC$1005:$AS$1005,1,MATCH(COLUMNS($AC$1006:AO1006),$AC$1006:$AS$1006,0))&gt;=100000), " ",IF(INDEX($AC$2:$AS$1001,MATCH(ROWS($V$2:V89),$V$2:$V$1001,0),MATCH(COLUMNS($AC$1006:AO1006),$AC$1006:$AS$1006,0)), HYPERLINK("#",""), HYPERLINK(CONCATENATE("#metadata!", ADDRESS(INDEX($X$2:$X$1001,MATCH(ROWS($V$2:V89),$V$2:$V$1001,0),0), INDEX($AC$1004:$AS$1004,1,MATCH(COLUMNS($AC$1006:AO1006),$AC$1006:$AS$1006,0)))),"Fix")))</f>
        <v xml:space="preserve"> </v>
      </c>
      <c r="O89" s="4" t="str">
        <f ca="1">IF(OR(INDEX($W$2:$W$1001,MATCH(ROWS($V$2:V89),$V$2:$V$1001,0),1)&gt;=100000,INDEX($AC$1005:$AS$1005,1,MATCH(COLUMNS($AC$1006:AP1006),$AC$1006:$AS$1006,0))&gt;=100000), " ",IF(INDEX($AC$2:$AS$1001,MATCH(ROWS($V$2:V89),$V$2:$V$1001,0),MATCH(COLUMNS($AC$1006:AP1006),$AC$1006:$AS$1006,0)), HYPERLINK("#",""), HYPERLINK(CONCATENATE("#metadata!", ADDRESS(INDEX($X$2:$X$1001,MATCH(ROWS($V$2:V89),$V$2:$V$1001,0),0), INDEX($AC$1004:$AS$1004,1,MATCH(COLUMNS($AC$1006:AP1006),$AC$1006:$AS$1006,0)))),"Fix")))</f>
        <v xml:space="preserve"> </v>
      </c>
      <c r="P89" s="4" t="str">
        <f ca="1">IF(OR(INDEX($W$2:$W$1001,MATCH(ROWS($V$2:V89),$V$2:$V$1001,0),1)&gt;=100000,INDEX($AC$1005:$AS$1005,1,MATCH(COLUMNS($AC$1006:AQ1006),$AC$1006:$AS$1006,0))&gt;=100000), " ",IF(INDEX($AC$2:$AS$1001,MATCH(ROWS($V$2:V89),$V$2:$V$1001,0),MATCH(COLUMNS($AC$1006:AQ1006),$AC$1006:$AS$1006,0)), HYPERLINK("#",""), HYPERLINK(CONCATENATE("#metadata!", ADDRESS(INDEX($X$2:$X$1001,MATCH(ROWS($V$2:V89),$V$2:$V$1001,0),0), INDEX($AC$1004:$AS$1004,1,MATCH(COLUMNS($AC$1006:AQ1006),$AC$1006:$AS$1006,0)))),"Fix")))</f>
        <v xml:space="preserve"> </v>
      </c>
      <c r="Q89" s="4" t="str">
        <f ca="1">IF(OR(INDEX($W$2:$W$1001,MATCH(ROWS($V$2:V89),$V$2:$V$1001,0),1)&gt;=100000,INDEX($AC$1005:$AS$1005,1,MATCH(COLUMNS($AC$1006:AR1006),$AC$1006:$AS$1006,0))&gt;=100000), " ",IF(INDEX($AC$2:$AS$1001,MATCH(ROWS($V$2:V89),$V$2:$V$1001,0),MATCH(COLUMNS($AC$1006:AR1006),$AC$1006:$AS$1006,0)), HYPERLINK("#",""), HYPERLINK(CONCATENATE("#metadata!", ADDRESS(INDEX($X$2:$X$1001,MATCH(ROWS($V$2:V89),$V$2:$V$1001,0),0), INDEX($AC$1004:$AS$1004,1,MATCH(COLUMNS($AC$1006:AR1006),$AC$1006:$AS$1006,0)))),"Fix")))</f>
        <v xml:space="preserve"> </v>
      </c>
      <c r="R89" s="4" t="str">
        <f ca="1">IF(OR(INDEX($W$2:$W$1001,MATCH(ROWS($V$2:V89),$V$2:$V$1001,0),1)&gt;=100000,INDEX($AC$1005:$AS$1005,1,MATCH(COLUMNS($AC$1006:AS1006),$AC$1006:$AS$1006,0))&gt;=100000), " ",IF(INDEX($AC$2:$AS$1001,MATCH(ROWS($V$2:V89),$V$2:$V$1001,0),MATCH(COLUMNS($AC$1006:AS1006),$AC$1006:$AS$1006,0)), HYPERLINK("#",""), HYPERLINK(CONCATENATE("#metadata!", ADDRESS(INDEX($X$2:$X$1001,MATCH(ROWS($V$2:V89),$V$2:$V$1001,0),0), INDEX($AC$1004:$AS$1004,1,MATCH(COLUMNS($AC$1006:AS1006),$AC$1006:$AS$1006,0)))),"Fix")))</f>
        <v xml:space="preserve"> </v>
      </c>
      <c r="V89">
        <v>88</v>
      </c>
      <c r="W89">
        <v>100089</v>
      </c>
      <c r="X89">
        <v>89</v>
      </c>
      <c r="Y89" t="b">
        <f t="shared" si="1"/>
        <v>1</v>
      </c>
      <c r="Z89" t="b">
        <f>COUNTBLANK(metadata!B89:R89)=COLUMNS(metadata!B89:R89)</f>
        <v>1</v>
      </c>
      <c r="AA89" t="str">
        <v/>
      </c>
      <c r="AC89" t="b">
        <f ca="1"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AD89" t="b">
        <f>IF(metadata!C89="",FALSE,ISNUMBER(VALUE(metadata!C89)))</f>
        <v>0</v>
      </c>
      <c r="AE89" t="b">
        <f>AND(IF(metadata!D89="",FALSE,TRUE),EXACT(metadata!D89,"years"))</f>
        <v>0</v>
      </c>
      <c r="AF89" t="b">
        <f>OR(AND(IF(metadata!E89="",FALSE,TRUE),OR(EXACT(metadata!E89,"not applicable"),EXACT(metadata!E89,"missing: not collected"),EXACT(metadata!E89,"missing: not provided"),EXACT(metadata!E89,"missing: restricted access"))),AND(IF(metadata!E89="",FALSE,ISNUMBER(VALUE(metadata!E89))),metadata!E89&gt;0))</f>
        <v>0</v>
      </c>
      <c r="AG89" t="b">
        <f>AND(IF(metadata!F89="",FALSE,TRUE),EXACT(metadata!F89,"Not applicable"))</f>
        <v>0</v>
      </c>
      <c r="AH89" t="b">
        <f>AND(IF(metadata!G89="",FALSE,TRUE),EXACT(metadata!G89,"urban biome"))</f>
        <v>0</v>
      </c>
      <c r="AI89" t="b">
        <f>AND(IF(metadata!H89="",FALSE,TRUE),EXACT(metadata!H89,"human-associated habitat"))</f>
        <v>0</v>
      </c>
      <c r="AJ89" t="b">
        <f>AND(IF(metadata!I89="",FALSE,TRUE),OR(EXACT(metadata!I89,"human-associated"),EXACT(metadata!I89,"human-skin"),EXACT(metadata!I89,"human-oral"),EXACT(metadata!I89,"human-gut"),EXACT(metadata!I89,"human-vaginal")))</f>
        <v>0</v>
      </c>
      <c r="AK89" t="b">
        <f>IF(metadata!J89="",FALSE,ISNUMBER(VALUE(metadata!J89)))</f>
        <v>0</v>
      </c>
      <c r="AL89" t="b">
        <f>AND(IF(metadata!K89="",FALSE,TRUE),EXACT(metadata!K89,"cm"))</f>
        <v>0</v>
      </c>
      <c r="AM89" t="b">
        <f>AND(IF(metadata!L89="",FALSE,TRUE),EXACT(metadata!L89,"human"))</f>
        <v>0</v>
      </c>
      <c r="AN89" t="b">
        <f>AND(IF(metadata!M89="",FALSE,TRUE),EXACT(metadata!M89,"Homo sapiens"))</f>
        <v>0</v>
      </c>
      <c r="AO89" t="b">
        <f>AND(IF(metadata!N89="",FALSE,TRUE),EXACT(metadata!N89,"9606"))</f>
        <v>0</v>
      </c>
      <c r="AP89" t="b">
        <f>IF(metadata!O89="",FALSE,TRUE)</f>
        <v>0</v>
      </c>
      <c r="AQ89" t="b">
        <f>IF(metadata!P89="",FALSE,TRUE)</f>
        <v>0</v>
      </c>
      <c r="AR89" t="b">
        <f>IF(metadata!Q89="",FALSE,ISNUMBER(VALUE(metadata!Q89)))</f>
        <v>0</v>
      </c>
      <c r="AS89" t="b">
        <f>AND(IF(metadata!R89="",FALSE,TRUE),EXACT(metadata!R89,"kg"))</f>
        <v>0</v>
      </c>
    </row>
    <row r="90" spans="1:45" x14ac:dyDescent="0.2">
      <c r="A90" s="5" t="str">
        <f ca="1">IF(B90=" "," ",HYPERLINK(CONCATENATE("#metadata!",ADDRESS(INDEX($X$2:$X$1001,MATCH(ROWS($V$2:V90),$V$2:$V$1001,0),0),1)),INDEX($AA$2:$AA$1001,MATCH(ROWS($V$2:V90),$V$2:$V$1001,0),0)))</f>
        <v xml:space="preserve"> </v>
      </c>
      <c r="B90" s="4" t="str">
        <f ca="1">IF(OR(INDEX($W$2:$W$1001,MATCH(ROWS($V$2:V90),$V$2:$V$1001,0),1)&gt;=100000,INDEX($AC$1005:$AS$1005,1,MATCH(COLUMNS($AC$1006:AC1006),$AC$1006:$AS$1006,0))&gt;=100000), " ",IF(INDEX($AC$2:$AS$1001,MATCH(ROWS($V$2:V90),$V$2:$V$1001,0),MATCH(COLUMNS($AC$1006:AC1006),$AC$1006:$AS$1006,0)), HYPERLINK("#",""), HYPERLINK(CONCATENATE("#metadata!", ADDRESS(INDEX($X$2:$X$1001,MATCH(ROWS($V$2:V90),$V$2:$V$1001,0),0), INDEX($AC$1004:$AS$1004,1,MATCH(COLUMNS($AC$1006:AC1006),$AC$1006:$AS$1006,0)))),"Fix")))</f>
        <v xml:space="preserve"> </v>
      </c>
      <c r="C90" s="4" t="str">
        <f ca="1">IF(OR(INDEX($W$2:$W$1001,MATCH(ROWS($V$2:V90),$V$2:$V$1001,0),1)&gt;=100000,INDEX($AC$1005:$AS$1005,1,MATCH(COLUMNS($AC$1006:AD1006),$AC$1006:$AS$1006,0))&gt;=100000), " ",IF(INDEX($AC$2:$AS$1001,MATCH(ROWS($V$2:V90),$V$2:$V$1001,0),MATCH(COLUMNS($AC$1006:AD1006),$AC$1006:$AS$1006,0)), HYPERLINK("#",""), HYPERLINK(CONCATENATE("#metadata!", ADDRESS(INDEX($X$2:$X$1001,MATCH(ROWS($V$2:V90),$V$2:$V$1001,0),0), INDEX($AC$1004:$AS$1004,1,MATCH(COLUMNS($AC$1006:AD1006),$AC$1006:$AS$1006,0)))),"Fix")))</f>
        <v xml:space="preserve"> </v>
      </c>
      <c r="D90" s="4" t="str">
        <f ca="1">IF(OR(INDEX($W$2:$W$1001,MATCH(ROWS($V$2:V90),$V$2:$V$1001,0),1)&gt;=100000,INDEX($AC$1005:$AS$1005,1,MATCH(COLUMNS($AC$1006:AE1006),$AC$1006:$AS$1006,0))&gt;=100000), " ",IF(INDEX($AC$2:$AS$1001,MATCH(ROWS($V$2:V90),$V$2:$V$1001,0),MATCH(COLUMNS($AC$1006:AE1006),$AC$1006:$AS$1006,0)), HYPERLINK("#",""), HYPERLINK(CONCATENATE("#metadata!", ADDRESS(INDEX($X$2:$X$1001,MATCH(ROWS($V$2:V90),$V$2:$V$1001,0),0), INDEX($AC$1004:$AS$1004,1,MATCH(COLUMNS($AC$1006:AE1006),$AC$1006:$AS$1006,0)))),"Fix")))</f>
        <v xml:space="preserve"> </v>
      </c>
      <c r="E90" s="4" t="str">
        <f ca="1">IF(OR(INDEX($W$2:$W$1001,MATCH(ROWS($V$2:V90),$V$2:$V$1001,0),1)&gt;=100000,INDEX($AC$1005:$AS$1005,1,MATCH(COLUMNS($AC$1006:AF1006),$AC$1006:$AS$1006,0))&gt;=100000), " ",IF(INDEX($AC$2:$AS$1001,MATCH(ROWS($V$2:V90),$V$2:$V$1001,0),MATCH(COLUMNS($AC$1006:AF1006),$AC$1006:$AS$1006,0)), HYPERLINK("#",""), HYPERLINK(CONCATENATE("#metadata!", ADDRESS(INDEX($X$2:$X$1001,MATCH(ROWS($V$2:V90),$V$2:$V$1001,0),0), INDEX($AC$1004:$AS$1004,1,MATCH(COLUMNS($AC$1006:AF1006),$AC$1006:$AS$1006,0)))),"Fix")))</f>
        <v xml:space="preserve"> </v>
      </c>
      <c r="F90" s="4" t="str">
        <f ca="1">IF(OR(INDEX($W$2:$W$1001,MATCH(ROWS($V$2:V90),$V$2:$V$1001,0),1)&gt;=100000,INDEX($AC$1005:$AS$1005,1,MATCH(COLUMNS($AC$1006:AG1006),$AC$1006:$AS$1006,0))&gt;=100000), " ",IF(INDEX($AC$2:$AS$1001,MATCH(ROWS($V$2:V90),$V$2:$V$1001,0),MATCH(COLUMNS($AC$1006:AG1006),$AC$1006:$AS$1006,0)), HYPERLINK("#",""), HYPERLINK(CONCATENATE("#metadata!", ADDRESS(INDEX($X$2:$X$1001,MATCH(ROWS($V$2:V90),$V$2:$V$1001,0),0), INDEX($AC$1004:$AS$1004,1,MATCH(COLUMNS($AC$1006:AG1006),$AC$1006:$AS$1006,0)))),"Fix")))</f>
        <v xml:space="preserve"> </v>
      </c>
      <c r="G90" s="4" t="str">
        <f ca="1">IF(OR(INDEX($W$2:$W$1001,MATCH(ROWS($V$2:V90),$V$2:$V$1001,0),1)&gt;=100000,INDEX($AC$1005:$AS$1005,1,MATCH(COLUMNS($AC$1006:AH1006),$AC$1006:$AS$1006,0))&gt;=100000), " ",IF(INDEX($AC$2:$AS$1001,MATCH(ROWS($V$2:V90),$V$2:$V$1001,0),MATCH(COLUMNS($AC$1006:AH1006),$AC$1006:$AS$1006,0)), HYPERLINK("#",""), HYPERLINK(CONCATENATE("#metadata!", ADDRESS(INDEX($X$2:$X$1001,MATCH(ROWS($V$2:V90),$V$2:$V$1001,0),0), INDEX($AC$1004:$AS$1004,1,MATCH(COLUMNS($AC$1006:AH1006),$AC$1006:$AS$1006,0)))),"Fix")))</f>
        <v xml:space="preserve"> </v>
      </c>
      <c r="H90" s="4" t="str">
        <f ca="1">IF(OR(INDEX($W$2:$W$1001,MATCH(ROWS($V$2:V90),$V$2:$V$1001,0),1)&gt;=100000,INDEX($AC$1005:$AS$1005,1,MATCH(COLUMNS($AC$1006:AI1006),$AC$1006:$AS$1006,0))&gt;=100000), " ",IF(INDEX($AC$2:$AS$1001,MATCH(ROWS($V$2:V90),$V$2:$V$1001,0),MATCH(COLUMNS($AC$1006:AI1006),$AC$1006:$AS$1006,0)), HYPERLINK("#",""), HYPERLINK(CONCATENATE("#metadata!", ADDRESS(INDEX($X$2:$X$1001,MATCH(ROWS($V$2:V90),$V$2:$V$1001,0),0), INDEX($AC$1004:$AS$1004,1,MATCH(COLUMNS($AC$1006:AI1006),$AC$1006:$AS$1006,0)))),"Fix")))</f>
        <v xml:space="preserve"> </v>
      </c>
      <c r="I90" s="4" t="str">
        <f ca="1">IF(OR(INDEX($W$2:$W$1001,MATCH(ROWS($V$2:V90),$V$2:$V$1001,0),1)&gt;=100000,INDEX($AC$1005:$AS$1005,1,MATCH(COLUMNS($AC$1006:AJ1006),$AC$1006:$AS$1006,0))&gt;=100000), " ",IF(INDEX($AC$2:$AS$1001,MATCH(ROWS($V$2:V90),$V$2:$V$1001,0),MATCH(COLUMNS($AC$1006:AJ1006),$AC$1006:$AS$1006,0)), HYPERLINK("#",""), HYPERLINK(CONCATENATE("#metadata!", ADDRESS(INDEX($X$2:$X$1001,MATCH(ROWS($V$2:V90),$V$2:$V$1001,0),0), INDEX($AC$1004:$AS$1004,1,MATCH(COLUMNS($AC$1006:AJ1006),$AC$1006:$AS$1006,0)))),"Fix")))</f>
        <v xml:space="preserve"> </v>
      </c>
      <c r="J90" s="4" t="str">
        <f ca="1">IF(OR(INDEX($W$2:$W$1001,MATCH(ROWS($V$2:V90),$V$2:$V$1001,0),1)&gt;=100000,INDEX($AC$1005:$AS$1005,1,MATCH(COLUMNS($AC$1006:AK1006),$AC$1006:$AS$1006,0))&gt;=100000), " ",IF(INDEX($AC$2:$AS$1001,MATCH(ROWS($V$2:V90),$V$2:$V$1001,0),MATCH(COLUMNS($AC$1006:AK1006),$AC$1006:$AS$1006,0)), HYPERLINK("#",""), HYPERLINK(CONCATENATE("#metadata!", ADDRESS(INDEX($X$2:$X$1001,MATCH(ROWS($V$2:V90),$V$2:$V$1001,0),0), INDEX($AC$1004:$AS$1004,1,MATCH(COLUMNS($AC$1006:AK1006),$AC$1006:$AS$1006,0)))),"Fix")))</f>
        <v xml:space="preserve"> </v>
      </c>
      <c r="K90" s="4" t="str">
        <f ca="1">IF(OR(INDEX($W$2:$W$1001,MATCH(ROWS($V$2:V90),$V$2:$V$1001,0),1)&gt;=100000,INDEX($AC$1005:$AS$1005,1,MATCH(COLUMNS($AC$1006:AL1006),$AC$1006:$AS$1006,0))&gt;=100000), " ",IF(INDEX($AC$2:$AS$1001,MATCH(ROWS($V$2:V90),$V$2:$V$1001,0),MATCH(COLUMNS($AC$1006:AL1006),$AC$1006:$AS$1006,0)), HYPERLINK("#",""), HYPERLINK(CONCATENATE("#metadata!", ADDRESS(INDEX($X$2:$X$1001,MATCH(ROWS($V$2:V90),$V$2:$V$1001,0),0), INDEX($AC$1004:$AS$1004,1,MATCH(COLUMNS($AC$1006:AL1006),$AC$1006:$AS$1006,0)))),"Fix")))</f>
        <v xml:space="preserve"> </v>
      </c>
      <c r="L90" s="4" t="str">
        <f ca="1">IF(OR(INDEX($W$2:$W$1001,MATCH(ROWS($V$2:V90),$V$2:$V$1001,0),1)&gt;=100000,INDEX($AC$1005:$AS$1005,1,MATCH(COLUMNS($AC$1006:AM1006),$AC$1006:$AS$1006,0))&gt;=100000), " ",IF(INDEX($AC$2:$AS$1001,MATCH(ROWS($V$2:V90),$V$2:$V$1001,0),MATCH(COLUMNS($AC$1006:AM1006),$AC$1006:$AS$1006,0)), HYPERLINK("#",""), HYPERLINK(CONCATENATE("#metadata!", ADDRESS(INDEX($X$2:$X$1001,MATCH(ROWS($V$2:V90),$V$2:$V$1001,0),0), INDEX($AC$1004:$AS$1004,1,MATCH(COLUMNS($AC$1006:AM1006),$AC$1006:$AS$1006,0)))),"Fix")))</f>
        <v xml:space="preserve"> </v>
      </c>
      <c r="M90" s="4" t="str">
        <f ca="1">IF(OR(INDEX($W$2:$W$1001,MATCH(ROWS($V$2:V90),$V$2:$V$1001,0),1)&gt;=100000,INDEX($AC$1005:$AS$1005,1,MATCH(COLUMNS($AC$1006:AN1006),$AC$1006:$AS$1006,0))&gt;=100000), " ",IF(INDEX($AC$2:$AS$1001,MATCH(ROWS($V$2:V90),$V$2:$V$1001,0),MATCH(COLUMNS($AC$1006:AN1006),$AC$1006:$AS$1006,0)), HYPERLINK("#",""), HYPERLINK(CONCATENATE("#metadata!", ADDRESS(INDEX($X$2:$X$1001,MATCH(ROWS($V$2:V90),$V$2:$V$1001,0),0), INDEX($AC$1004:$AS$1004,1,MATCH(COLUMNS($AC$1006:AN1006),$AC$1006:$AS$1006,0)))),"Fix")))</f>
        <v xml:space="preserve"> </v>
      </c>
      <c r="N90" s="4" t="str">
        <f ca="1">IF(OR(INDEX($W$2:$W$1001,MATCH(ROWS($V$2:V90),$V$2:$V$1001,0),1)&gt;=100000,INDEX($AC$1005:$AS$1005,1,MATCH(COLUMNS($AC$1006:AO1006),$AC$1006:$AS$1006,0))&gt;=100000), " ",IF(INDEX($AC$2:$AS$1001,MATCH(ROWS($V$2:V90),$V$2:$V$1001,0),MATCH(COLUMNS($AC$1006:AO1006),$AC$1006:$AS$1006,0)), HYPERLINK("#",""), HYPERLINK(CONCATENATE("#metadata!", ADDRESS(INDEX($X$2:$X$1001,MATCH(ROWS($V$2:V90),$V$2:$V$1001,0),0), INDEX($AC$1004:$AS$1004,1,MATCH(COLUMNS($AC$1006:AO1006),$AC$1006:$AS$1006,0)))),"Fix")))</f>
        <v xml:space="preserve"> </v>
      </c>
      <c r="O90" s="4" t="str">
        <f ca="1">IF(OR(INDEX($W$2:$W$1001,MATCH(ROWS($V$2:V90),$V$2:$V$1001,0),1)&gt;=100000,INDEX($AC$1005:$AS$1005,1,MATCH(COLUMNS($AC$1006:AP1006),$AC$1006:$AS$1006,0))&gt;=100000), " ",IF(INDEX($AC$2:$AS$1001,MATCH(ROWS($V$2:V90),$V$2:$V$1001,0),MATCH(COLUMNS($AC$1006:AP1006),$AC$1006:$AS$1006,0)), HYPERLINK("#",""), HYPERLINK(CONCATENATE("#metadata!", ADDRESS(INDEX($X$2:$X$1001,MATCH(ROWS($V$2:V90),$V$2:$V$1001,0),0), INDEX($AC$1004:$AS$1004,1,MATCH(COLUMNS($AC$1006:AP1006),$AC$1006:$AS$1006,0)))),"Fix")))</f>
        <v xml:space="preserve"> </v>
      </c>
      <c r="P90" s="4" t="str">
        <f ca="1">IF(OR(INDEX($W$2:$W$1001,MATCH(ROWS($V$2:V90),$V$2:$V$1001,0),1)&gt;=100000,INDEX($AC$1005:$AS$1005,1,MATCH(COLUMNS($AC$1006:AQ1006),$AC$1006:$AS$1006,0))&gt;=100000), " ",IF(INDEX($AC$2:$AS$1001,MATCH(ROWS($V$2:V90),$V$2:$V$1001,0),MATCH(COLUMNS($AC$1006:AQ1006),$AC$1006:$AS$1006,0)), HYPERLINK("#",""), HYPERLINK(CONCATENATE("#metadata!", ADDRESS(INDEX($X$2:$X$1001,MATCH(ROWS($V$2:V90),$V$2:$V$1001,0),0), INDEX($AC$1004:$AS$1004,1,MATCH(COLUMNS($AC$1006:AQ1006),$AC$1006:$AS$1006,0)))),"Fix")))</f>
        <v xml:space="preserve"> </v>
      </c>
      <c r="Q90" s="4" t="str">
        <f ca="1">IF(OR(INDEX($W$2:$W$1001,MATCH(ROWS($V$2:V90),$V$2:$V$1001,0),1)&gt;=100000,INDEX($AC$1005:$AS$1005,1,MATCH(COLUMNS($AC$1006:AR1006),$AC$1006:$AS$1006,0))&gt;=100000), " ",IF(INDEX($AC$2:$AS$1001,MATCH(ROWS($V$2:V90),$V$2:$V$1001,0),MATCH(COLUMNS($AC$1006:AR1006),$AC$1006:$AS$1006,0)), HYPERLINK("#",""), HYPERLINK(CONCATENATE("#metadata!", ADDRESS(INDEX($X$2:$X$1001,MATCH(ROWS($V$2:V90),$V$2:$V$1001,0),0), INDEX($AC$1004:$AS$1004,1,MATCH(COLUMNS($AC$1006:AR1006),$AC$1006:$AS$1006,0)))),"Fix")))</f>
        <v xml:space="preserve"> </v>
      </c>
      <c r="R90" s="4" t="str">
        <f ca="1">IF(OR(INDEX($W$2:$W$1001,MATCH(ROWS($V$2:V90),$V$2:$V$1001,0),1)&gt;=100000,INDEX($AC$1005:$AS$1005,1,MATCH(COLUMNS($AC$1006:AS1006),$AC$1006:$AS$1006,0))&gt;=100000), " ",IF(INDEX($AC$2:$AS$1001,MATCH(ROWS($V$2:V90),$V$2:$V$1001,0),MATCH(COLUMNS($AC$1006:AS1006),$AC$1006:$AS$1006,0)), HYPERLINK("#",""), HYPERLINK(CONCATENATE("#metadata!", ADDRESS(INDEX($X$2:$X$1001,MATCH(ROWS($V$2:V90),$V$2:$V$1001,0),0), INDEX($AC$1004:$AS$1004,1,MATCH(COLUMNS($AC$1006:AS1006),$AC$1006:$AS$1006,0)))),"Fix")))</f>
        <v xml:space="preserve"> </v>
      </c>
      <c r="V90">
        <v>89</v>
      </c>
      <c r="W90">
        <v>100090</v>
      </c>
      <c r="X90">
        <v>90</v>
      </c>
      <c r="Y90" t="b">
        <f t="shared" si="1"/>
        <v>1</v>
      </c>
      <c r="Z90" t="b">
        <f>COUNTBLANK(metadata!B90:R90)=COLUMNS(metadata!B90:R90)</f>
        <v>1</v>
      </c>
      <c r="AA90" t="str">
        <v/>
      </c>
      <c r="AC90" t="b">
        <f ca="1"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AD90" t="b">
        <f>IF(metadata!C90="",FALSE,ISNUMBER(VALUE(metadata!C90)))</f>
        <v>0</v>
      </c>
      <c r="AE90" t="b">
        <f>AND(IF(metadata!D90="",FALSE,TRUE),EXACT(metadata!D90,"years"))</f>
        <v>0</v>
      </c>
      <c r="AF90" t="b">
        <f>OR(AND(IF(metadata!E90="",FALSE,TRUE),OR(EXACT(metadata!E90,"not applicable"),EXACT(metadata!E90,"missing: not collected"),EXACT(metadata!E90,"missing: not provided"),EXACT(metadata!E90,"missing: restricted access"))),AND(IF(metadata!E90="",FALSE,ISNUMBER(VALUE(metadata!E90))),metadata!E90&gt;0))</f>
        <v>0</v>
      </c>
      <c r="AG90" t="b">
        <f>AND(IF(metadata!F90="",FALSE,TRUE),EXACT(metadata!F90,"Not applicable"))</f>
        <v>0</v>
      </c>
      <c r="AH90" t="b">
        <f>AND(IF(metadata!G90="",FALSE,TRUE),EXACT(metadata!G90,"urban biome"))</f>
        <v>0</v>
      </c>
      <c r="AI90" t="b">
        <f>AND(IF(metadata!H90="",FALSE,TRUE),EXACT(metadata!H90,"human-associated habitat"))</f>
        <v>0</v>
      </c>
      <c r="AJ90" t="b">
        <f>AND(IF(metadata!I90="",FALSE,TRUE),OR(EXACT(metadata!I90,"human-associated"),EXACT(metadata!I90,"human-skin"),EXACT(metadata!I90,"human-oral"),EXACT(metadata!I90,"human-gut"),EXACT(metadata!I90,"human-vaginal")))</f>
        <v>0</v>
      </c>
      <c r="AK90" t="b">
        <f>IF(metadata!J90="",FALSE,ISNUMBER(VALUE(metadata!J90)))</f>
        <v>0</v>
      </c>
      <c r="AL90" t="b">
        <f>AND(IF(metadata!K90="",FALSE,TRUE),EXACT(metadata!K90,"cm"))</f>
        <v>0</v>
      </c>
      <c r="AM90" t="b">
        <f>AND(IF(metadata!L90="",FALSE,TRUE),EXACT(metadata!L90,"human"))</f>
        <v>0</v>
      </c>
      <c r="AN90" t="b">
        <f>AND(IF(metadata!M90="",FALSE,TRUE),EXACT(metadata!M90,"Homo sapiens"))</f>
        <v>0</v>
      </c>
      <c r="AO90" t="b">
        <f>AND(IF(metadata!N90="",FALSE,TRUE),EXACT(metadata!N90,"9606"))</f>
        <v>0</v>
      </c>
      <c r="AP90" t="b">
        <f>IF(metadata!O90="",FALSE,TRUE)</f>
        <v>0</v>
      </c>
      <c r="AQ90" t="b">
        <f>IF(metadata!P90="",FALSE,TRUE)</f>
        <v>0</v>
      </c>
      <c r="AR90" t="b">
        <f>IF(metadata!Q90="",FALSE,ISNUMBER(VALUE(metadata!Q90)))</f>
        <v>0</v>
      </c>
      <c r="AS90" t="b">
        <f>AND(IF(metadata!R90="",FALSE,TRUE),EXACT(metadata!R90,"kg"))</f>
        <v>0</v>
      </c>
    </row>
    <row r="91" spans="1:45" x14ac:dyDescent="0.2">
      <c r="A91" s="5" t="str">
        <f ca="1">IF(B91=" "," ",HYPERLINK(CONCATENATE("#metadata!",ADDRESS(INDEX($X$2:$X$1001,MATCH(ROWS($V$2:V91),$V$2:$V$1001,0),0),1)),INDEX($AA$2:$AA$1001,MATCH(ROWS($V$2:V91),$V$2:$V$1001,0),0)))</f>
        <v xml:space="preserve"> </v>
      </c>
      <c r="B91" s="4" t="str">
        <f ca="1">IF(OR(INDEX($W$2:$W$1001,MATCH(ROWS($V$2:V91),$V$2:$V$1001,0),1)&gt;=100000,INDEX($AC$1005:$AS$1005,1,MATCH(COLUMNS($AC$1006:AC1006),$AC$1006:$AS$1006,0))&gt;=100000), " ",IF(INDEX($AC$2:$AS$1001,MATCH(ROWS($V$2:V91),$V$2:$V$1001,0),MATCH(COLUMNS($AC$1006:AC1006),$AC$1006:$AS$1006,0)), HYPERLINK("#",""), HYPERLINK(CONCATENATE("#metadata!", ADDRESS(INDEX($X$2:$X$1001,MATCH(ROWS($V$2:V91),$V$2:$V$1001,0),0), INDEX($AC$1004:$AS$1004,1,MATCH(COLUMNS($AC$1006:AC1006),$AC$1006:$AS$1006,0)))),"Fix")))</f>
        <v xml:space="preserve"> </v>
      </c>
      <c r="C91" s="4" t="str">
        <f ca="1">IF(OR(INDEX($W$2:$W$1001,MATCH(ROWS($V$2:V91),$V$2:$V$1001,0),1)&gt;=100000,INDEX($AC$1005:$AS$1005,1,MATCH(COLUMNS($AC$1006:AD1006),$AC$1006:$AS$1006,0))&gt;=100000), " ",IF(INDEX($AC$2:$AS$1001,MATCH(ROWS($V$2:V91),$V$2:$V$1001,0),MATCH(COLUMNS($AC$1006:AD1006),$AC$1006:$AS$1006,0)), HYPERLINK("#",""), HYPERLINK(CONCATENATE("#metadata!", ADDRESS(INDEX($X$2:$X$1001,MATCH(ROWS($V$2:V91),$V$2:$V$1001,0),0), INDEX($AC$1004:$AS$1004,1,MATCH(COLUMNS($AC$1006:AD1006),$AC$1006:$AS$1006,0)))),"Fix")))</f>
        <v xml:space="preserve"> </v>
      </c>
      <c r="D91" s="4" t="str">
        <f ca="1">IF(OR(INDEX($W$2:$W$1001,MATCH(ROWS($V$2:V91),$V$2:$V$1001,0),1)&gt;=100000,INDEX($AC$1005:$AS$1005,1,MATCH(COLUMNS($AC$1006:AE1006),$AC$1006:$AS$1006,0))&gt;=100000), " ",IF(INDEX($AC$2:$AS$1001,MATCH(ROWS($V$2:V91),$V$2:$V$1001,0),MATCH(COLUMNS($AC$1006:AE1006),$AC$1006:$AS$1006,0)), HYPERLINK("#",""), HYPERLINK(CONCATENATE("#metadata!", ADDRESS(INDEX($X$2:$X$1001,MATCH(ROWS($V$2:V91),$V$2:$V$1001,0),0), INDEX($AC$1004:$AS$1004,1,MATCH(COLUMNS($AC$1006:AE1006),$AC$1006:$AS$1006,0)))),"Fix")))</f>
        <v xml:space="preserve"> </v>
      </c>
      <c r="E91" s="4" t="str">
        <f ca="1">IF(OR(INDEX($W$2:$W$1001,MATCH(ROWS($V$2:V91),$V$2:$V$1001,0),1)&gt;=100000,INDEX($AC$1005:$AS$1005,1,MATCH(COLUMNS($AC$1006:AF1006),$AC$1006:$AS$1006,0))&gt;=100000), " ",IF(INDEX($AC$2:$AS$1001,MATCH(ROWS($V$2:V91),$V$2:$V$1001,0),MATCH(COLUMNS($AC$1006:AF1006),$AC$1006:$AS$1006,0)), HYPERLINK("#",""), HYPERLINK(CONCATENATE("#metadata!", ADDRESS(INDEX($X$2:$X$1001,MATCH(ROWS($V$2:V91),$V$2:$V$1001,0),0), INDEX($AC$1004:$AS$1004,1,MATCH(COLUMNS($AC$1006:AF1006),$AC$1006:$AS$1006,0)))),"Fix")))</f>
        <v xml:space="preserve"> </v>
      </c>
      <c r="F91" s="4" t="str">
        <f ca="1">IF(OR(INDEX($W$2:$W$1001,MATCH(ROWS($V$2:V91),$V$2:$V$1001,0),1)&gt;=100000,INDEX($AC$1005:$AS$1005,1,MATCH(COLUMNS($AC$1006:AG1006),$AC$1006:$AS$1006,0))&gt;=100000), " ",IF(INDEX($AC$2:$AS$1001,MATCH(ROWS($V$2:V91),$V$2:$V$1001,0),MATCH(COLUMNS($AC$1006:AG1006),$AC$1006:$AS$1006,0)), HYPERLINK("#",""), HYPERLINK(CONCATENATE("#metadata!", ADDRESS(INDEX($X$2:$X$1001,MATCH(ROWS($V$2:V91),$V$2:$V$1001,0),0), INDEX($AC$1004:$AS$1004,1,MATCH(COLUMNS($AC$1006:AG1006),$AC$1006:$AS$1006,0)))),"Fix")))</f>
        <v xml:space="preserve"> </v>
      </c>
      <c r="G91" s="4" t="str">
        <f ca="1">IF(OR(INDEX($W$2:$W$1001,MATCH(ROWS($V$2:V91),$V$2:$V$1001,0),1)&gt;=100000,INDEX($AC$1005:$AS$1005,1,MATCH(COLUMNS($AC$1006:AH1006),$AC$1006:$AS$1006,0))&gt;=100000), " ",IF(INDEX($AC$2:$AS$1001,MATCH(ROWS($V$2:V91),$V$2:$V$1001,0),MATCH(COLUMNS($AC$1006:AH1006),$AC$1006:$AS$1006,0)), HYPERLINK("#",""), HYPERLINK(CONCATENATE("#metadata!", ADDRESS(INDEX($X$2:$X$1001,MATCH(ROWS($V$2:V91),$V$2:$V$1001,0),0), INDEX($AC$1004:$AS$1004,1,MATCH(COLUMNS($AC$1006:AH1006),$AC$1006:$AS$1006,0)))),"Fix")))</f>
        <v xml:space="preserve"> </v>
      </c>
      <c r="H91" s="4" t="str">
        <f ca="1">IF(OR(INDEX($W$2:$W$1001,MATCH(ROWS($V$2:V91),$V$2:$V$1001,0),1)&gt;=100000,INDEX($AC$1005:$AS$1005,1,MATCH(COLUMNS($AC$1006:AI1006),$AC$1006:$AS$1006,0))&gt;=100000), " ",IF(INDEX($AC$2:$AS$1001,MATCH(ROWS($V$2:V91),$V$2:$V$1001,0),MATCH(COLUMNS($AC$1006:AI1006),$AC$1006:$AS$1006,0)), HYPERLINK("#",""), HYPERLINK(CONCATENATE("#metadata!", ADDRESS(INDEX($X$2:$X$1001,MATCH(ROWS($V$2:V91),$V$2:$V$1001,0),0), INDEX($AC$1004:$AS$1004,1,MATCH(COLUMNS($AC$1006:AI1006),$AC$1006:$AS$1006,0)))),"Fix")))</f>
        <v xml:space="preserve"> </v>
      </c>
      <c r="I91" s="4" t="str">
        <f ca="1">IF(OR(INDEX($W$2:$W$1001,MATCH(ROWS($V$2:V91),$V$2:$V$1001,0),1)&gt;=100000,INDEX($AC$1005:$AS$1005,1,MATCH(COLUMNS($AC$1006:AJ1006),$AC$1006:$AS$1006,0))&gt;=100000), " ",IF(INDEX($AC$2:$AS$1001,MATCH(ROWS($V$2:V91),$V$2:$V$1001,0),MATCH(COLUMNS($AC$1006:AJ1006),$AC$1006:$AS$1006,0)), HYPERLINK("#",""), HYPERLINK(CONCATENATE("#metadata!", ADDRESS(INDEX($X$2:$X$1001,MATCH(ROWS($V$2:V91),$V$2:$V$1001,0),0), INDEX($AC$1004:$AS$1004,1,MATCH(COLUMNS($AC$1006:AJ1006),$AC$1006:$AS$1006,0)))),"Fix")))</f>
        <v xml:space="preserve"> </v>
      </c>
      <c r="J91" s="4" t="str">
        <f ca="1">IF(OR(INDEX($W$2:$W$1001,MATCH(ROWS($V$2:V91),$V$2:$V$1001,0),1)&gt;=100000,INDEX($AC$1005:$AS$1005,1,MATCH(COLUMNS($AC$1006:AK1006),$AC$1006:$AS$1006,0))&gt;=100000), " ",IF(INDEX($AC$2:$AS$1001,MATCH(ROWS($V$2:V91),$V$2:$V$1001,0),MATCH(COLUMNS($AC$1006:AK1006),$AC$1006:$AS$1006,0)), HYPERLINK("#",""), HYPERLINK(CONCATENATE("#metadata!", ADDRESS(INDEX($X$2:$X$1001,MATCH(ROWS($V$2:V91),$V$2:$V$1001,0),0), INDEX($AC$1004:$AS$1004,1,MATCH(COLUMNS($AC$1006:AK1006),$AC$1006:$AS$1006,0)))),"Fix")))</f>
        <v xml:space="preserve"> </v>
      </c>
      <c r="K91" s="4" t="str">
        <f ca="1">IF(OR(INDEX($W$2:$W$1001,MATCH(ROWS($V$2:V91),$V$2:$V$1001,0),1)&gt;=100000,INDEX($AC$1005:$AS$1005,1,MATCH(COLUMNS($AC$1006:AL1006),$AC$1006:$AS$1006,0))&gt;=100000), " ",IF(INDEX($AC$2:$AS$1001,MATCH(ROWS($V$2:V91),$V$2:$V$1001,0),MATCH(COLUMNS($AC$1006:AL1006),$AC$1006:$AS$1006,0)), HYPERLINK("#",""), HYPERLINK(CONCATENATE("#metadata!", ADDRESS(INDEX($X$2:$X$1001,MATCH(ROWS($V$2:V91),$V$2:$V$1001,0),0), INDEX($AC$1004:$AS$1004,1,MATCH(COLUMNS($AC$1006:AL1006),$AC$1006:$AS$1006,0)))),"Fix")))</f>
        <v xml:space="preserve"> </v>
      </c>
      <c r="L91" s="4" t="str">
        <f ca="1">IF(OR(INDEX($W$2:$W$1001,MATCH(ROWS($V$2:V91),$V$2:$V$1001,0),1)&gt;=100000,INDEX($AC$1005:$AS$1005,1,MATCH(COLUMNS($AC$1006:AM1006),$AC$1006:$AS$1006,0))&gt;=100000), " ",IF(INDEX($AC$2:$AS$1001,MATCH(ROWS($V$2:V91),$V$2:$V$1001,0),MATCH(COLUMNS($AC$1006:AM1006),$AC$1006:$AS$1006,0)), HYPERLINK("#",""), HYPERLINK(CONCATENATE("#metadata!", ADDRESS(INDEX($X$2:$X$1001,MATCH(ROWS($V$2:V91),$V$2:$V$1001,0),0), INDEX($AC$1004:$AS$1004,1,MATCH(COLUMNS($AC$1006:AM1006),$AC$1006:$AS$1006,0)))),"Fix")))</f>
        <v xml:space="preserve"> </v>
      </c>
      <c r="M91" s="4" t="str">
        <f ca="1">IF(OR(INDEX($W$2:$W$1001,MATCH(ROWS($V$2:V91),$V$2:$V$1001,0),1)&gt;=100000,INDEX($AC$1005:$AS$1005,1,MATCH(COLUMNS($AC$1006:AN1006),$AC$1006:$AS$1006,0))&gt;=100000), " ",IF(INDEX($AC$2:$AS$1001,MATCH(ROWS($V$2:V91),$V$2:$V$1001,0),MATCH(COLUMNS($AC$1006:AN1006),$AC$1006:$AS$1006,0)), HYPERLINK("#",""), HYPERLINK(CONCATENATE("#metadata!", ADDRESS(INDEX($X$2:$X$1001,MATCH(ROWS($V$2:V91),$V$2:$V$1001,0),0), INDEX($AC$1004:$AS$1004,1,MATCH(COLUMNS($AC$1006:AN1006),$AC$1006:$AS$1006,0)))),"Fix")))</f>
        <v xml:space="preserve"> </v>
      </c>
      <c r="N91" s="4" t="str">
        <f ca="1">IF(OR(INDEX($W$2:$W$1001,MATCH(ROWS($V$2:V91),$V$2:$V$1001,0),1)&gt;=100000,INDEX($AC$1005:$AS$1005,1,MATCH(COLUMNS($AC$1006:AO1006),$AC$1006:$AS$1006,0))&gt;=100000), " ",IF(INDEX($AC$2:$AS$1001,MATCH(ROWS($V$2:V91),$V$2:$V$1001,0),MATCH(COLUMNS($AC$1006:AO1006),$AC$1006:$AS$1006,0)), HYPERLINK("#",""), HYPERLINK(CONCATENATE("#metadata!", ADDRESS(INDEX($X$2:$X$1001,MATCH(ROWS($V$2:V91),$V$2:$V$1001,0),0), INDEX($AC$1004:$AS$1004,1,MATCH(COLUMNS($AC$1006:AO1006),$AC$1006:$AS$1006,0)))),"Fix")))</f>
        <v xml:space="preserve"> </v>
      </c>
      <c r="O91" s="4" t="str">
        <f ca="1">IF(OR(INDEX($W$2:$W$1001,MATCH(ROWS($V$2:V91),$V$2:$V$1001,0),1)&gt;=100000,INDEX($AC$1005:$AS$1005,1,MATCH(COLUMNS($AC$1006:AP1006),$AC$1006:$AS$1006,0))&gt;=100000), " ",IF(INDEX($AC$2:$AS$1001,MATCH(ROWS($V$2:V91),$V$2:$V$1001,0),MATCH(COLUMNS($AC$1006:AP1006),$AC$1006:$AS$1006,0)), HYPERLINK("#",""), HYPERLINK(CONCATENATE("#metadata!", ADDRESS(INDEX($X$2:$X$1001,MATCH(ROWS($V$2:V91),$V$2:$V$1001,0),0), INDEX($AC$1004:$AS$1004,1,MATCH(COLUMNS($AC$1006:AP1006),$AC$1006:$AS$1006,0)))),"Fix")))</f>
        <v xml:space="preserve"> </v>
      </c>
      <c r="P91" s="4" t="str">
        <f ca="1">IF(OR(INDEX($W$2:$W$1001,MATCH(ROWS($V$2:V91),$V$2:$V$1001,0),1)&gt;=100000,INDEX($AC$1005:$AS$1005,1,MATCH(COLUMNS($AC$1006:AQ1006),$AC$1006:$AS$1006,0))&gt;=100000), " ",IF(INDEX($AC$2:$AS$1001,MATCH(ROWS($V$2:V91),$V$2:$V$1001,0),MATCH(COLUMNS($AC$1006:AQ1006),$AC$1006:$AS$1006,0)), HYPERLINK("#",""), HYPERLINK(CONCATENATE("#metadata!", ADDRESS(INDEX($X$2:$X$1001,MATCH(ROWS($V$2:V91),$V$2:$V$1001,0),0), INDEX($AC$1004:$AS$1004,1,MATCH(COLUMNS($AC$1006:AQ1006),$AC$1006:$AS$1006,0)))),"Fix")))</f>
        <v xml:space="preserve"> </v>
      </c>
      <c r="Q91" s="4" t="str">
        <f ca="1">IF(OR(INDEX($W$2:$W$1001,MATCH(ROWS($V$2:V91),$V$2:$V$1001,0),1)&gt;=100000,INDEX($AC$1005:$AS$1005,1,MATCH(COLUMNS($AC$1006:AR1006),$AC$1006:$AS$1006,0))&gt;=100000), " ",IF(INDEX($AC$2:$AS$1001,MATCH(ROWS($V$2:V91),$V$2:$V$1001,0),MATCH(COLUMNS($AC$1006:AR1006),$AC$1006:$AS$1006,0)), HYPERLINK("#",""), HYPERLINK(CONCATENATE("#metadata!", ADDRESS(INDEX($X$2:$X$1001,MATCH(ROWS($V$2:V91),$V$2:$V$1001,0),0), INDEX($AC$1004:$AS$1004,1,MATCH(COLUMNS($AC$1006:AR1006),$AC$1006:$AS$1006,0)))),"Fix")))</f>
        <v xml:space="preserve"> </v>
      </c>
      <c r="R91" s="4" t="str">
        <f ca="1">IF(OR(INDEX($W$2:$W$1001,MATCH(ROWS($V$2:V91),$V$2:$V$1001,0),1)&gt;=100000,INDEX($AC$1005:$AS$1005,1,MATCH(COLUMNS($AC$1006:AS1006),$AC$1006:$AS$1006,0))&gt;=100000), " ",IF(INDEX($AC$2:$AS$1001,MATCH(ROWS($V$2:V91),$V$2:$V$1001,0),MATCH(COLUMNS($AC$1006:AS1006),$AC$1006:$AS$1006,0)), HYPERLINK("#",""), HYPERLINK(CONCATENATE("#metadata!", ADDRESS(INDEX($X$2:$X$1001,MATCH(ROWS($V$2:V91),$V$2:$V$1001,0),0), INDEX($AC$1004:$AS$1004,1,MATCH(COLUMNS($AC$1006:AS1006),$AC$1006:$AS$1006,0)))),"Fix")))</f>
        <v xml:space="preserve"> </v>
      </c>
      <c r="V91">
        <v>90</v>
      </c>
      <c r="W91">
        <v>100091</v>
      </c>
      <c r="X91">
        <v>91</v>
      </c>
      <c r="Y91" t="b">
        <f t="shared" si="1"/>
        <v>1</v>
      </c>
      <c r="Z91" t="b">
        <f>COUNTBLANK(metadata!B91:R91)=COLUMNS(metadata!B91:R91)</f>
        <v>1</v>
      </c>
      <c r="AA91" t="str">
        <v/>
      </c>
      <c r="AC91" t="b">
        <f ca="1"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AD91" t="b">
        <f>IF(metadata!C91="",FALSE,ISNUMBER(VALUE(metadata!C91)))</f>
        <v>0</v>
      </c>
      <c r="AE91" t="b">
        <f>AND(IF(metadata!D91="",FALSE,TRUE),EXACT(metadata!D91,"years"))</f>
        <v>0</v>
      </c>
      <c r="AF91" t="b">
        <f>OR(AND(IF(metadata!E91="",FALSE,TRUE),OR(EXACT(metadata!E91,"not applicable"),EXACT(metadata!E91,"missing: not collected"),EXACT(metadata!E91,"missing: not provided"),EXACT(metadata!E91,"missing: restricted access"))),AND(IF(metadata!E91="",FALSE,ISNUMBER(VALUE(metadata!E91))),metadata!E91&gt;0))</f>
        <v>0</v>
      </c>
      <c r="AG91" t="b">
        <f>AND(IF(metadata!F91="",FALSE,TRUE),EXACT(metadata!F91,"Not applicable"))</f>
        <v>0</v>
      </c>
      <c r="AH91" t="b">
        <f>AND(IF(metadata!G91="",FALSE,TRUE),EXACT(metadata!G91,"urban biome"))</f>
        <v>0</v>
      </c>
      <c r="AI91" t="b">
        <f>AND(IF(metadata!H91="",FALSE,TRUE),EXACT(metadata!H91,"human-associated habitat"))</f>
        <v>0</v>
      </c>
      <c r="AJ91" t="b">
        <f>AND(IF(metadata!I91="",FALSE,TRUE),OR(EXACT(metadata!I91,"human-associated"),EXACT(metadata!I91,"human-skin"),EXACT(metadata!I91,"human-oral"),EXACT(metadata!I91,"human-gut"),EXACT(metadata!I91,"human-vaginal")))</f>
        <v>0</v>
      </c>
      <c r="AK91" t="b">
        <f>IF(metadata!J91="",FALSE,ISNUMBER(VALUE(metadata!J91)))</f>
        <v>0</v>
      </c>
      <c r="AL91" t="b">
        <f>AND(IF(metadata!K91="",FALSE,TRUE),EXACT(metadata!K91,"cm"))</f>
        <v>0</v>
      </c>
      <c r="AM91" t="b">
        <f>AND(IF(metadata!L91="",FALSE,TRUE),EXACT(metadata!L91,"human"))</f>
        <v>0</v>
      </c>
      <c r="AN91" t="b">
        <f>AND(IF(metadata!M91="",FALSE,TRUE),EXACT(metadata!M91,"Homo sapiens"))</f>
        <v>0</v>
      </c>
      <c r="AO91" t="b">
        <f>AND(IF(metadata!N91="",FALSE,TRUE),EXACT(metadata!N91,"9606"))</f>
        <v>0</v>
      </c>
      <c r="AP91" t="b">
        <f>IF(metadata!O91="",FALSE,TRUE)</f>
        <v>0</v>
      </c>
      <c r="AQ91" t="b">
        <f>IF(metadata!P91="",FALSE,TRUE)</f>
        <v>0</v>
      </c>
      <c r="AR91" t="b">
        <f>IF(metadata!Q91="",FALSE,ISNUMBER(VALUE(metadata!Q91)))</f>
        <v>0</v>
      </c>
      <c r="AS91" t="b">
        <f>AND(IF(metadata!R91="",FALSE,TRUE),EXACT(metadata!R91,"kg"))</f>
        <v>0</v>
      </c>
    </row>
    <row r="92" spans="1:45" x14ac:dyDescent="0.2">
      <c r="A92" s="5" t="str">
        <f ca="1">IF(B92=" "," ",HYPERLINK(CONCATENATE("#metadata!",ADDRESS(INDEX($X$2:$X$1001,MATCH(ROWS($V$2:V92),$V$2:$V$1001,0),0),1)),INDEX($AA$2:$AA$1001,MATCH(ROWS($V$2:V92),$V$2:$V$1001,0),0)))</f>
        <v xml:space="preserve"> </v>
      </c>
      <c r="B92" s="4" t="str">
        <f ca="1">IF(OR(INDEX($W$2:$W$1001,MATCH(ROWS($V$2:V92),$V$2:$V$1001,0),1)&gt;=100000,INDEX($AC$1005:$AS$1005,1,MATCH(COLUMNS($AC$1006:AC1006),$AC$1006:$AS$1006,0))&gt;=100000), " ",IF(INDEX($AC$2:$AS$1001,MATCH(ROWS($V$2:V92),$V$2:$V$1001,0),MATCH(COLUMNS($AC$1006:AC1006),$AC$1006:$AS$1006,0)), HYPERLINK("#",""), HYPERLINK(CONCATENATE("#metadata!", ADDRESS(INDEX($X$2:$X$1001,MATCH(ROWS($V$2:V92),$V$2:$V$1001,0),0), INDEX($AC$1004:$AS$1004,1,MATCH(COLUMNS($AC$1006:AC1006),$AC$1006:$AS$1006,0)))),"Fix")))</f>
        <v xml:space="preserve"> </v>
      </c>
      <c r="C92" s="4" t="str">
        <f ca="1">IF(OR(INDEX($W$2:$W$1001,MATCH(ROWS($V$2:V92),$V$2:$V$1001,0),1)&gt;=100000,INDEX($AC$1005:$AS$1005,1,MATCH(COLUMNS($AC$1006:AD1006),$AC$1006:$AS$1006,0))&gt;=100000), " ",IF(INDEX($AC$2:$AS$1001,MATCH(ROWS($V$2:V92),$V$2:$V$1001,0),MATCH(COLUMNS($AC$1006:AD1006),$AC$1006:$AS$1006,0)), HYPERLINK("#",""), HYPERLINK(CONCATENATE("#metadata!", ADDRESS(INDEX($X$2:$X$1001,MATCH(ROWS($V$2:V92),$V$2:$V$1001,0),0), INDEX($AC$1004:$AS$1004,1,MATCH(COLUMNS($AC$1006:AD1006),$AC$1006:$AS$1006,0)))),"Fix")))</f>
        <v xml:space="preserve"> </v>
      </c>
      <c r="D92" s="4" t="str">
        <f ca="1">IF(OR(INDEX($W$2:$W$1001,MATCH(ROWS($V$2:V92),$V$2:$V$1001,0),1)&gt;=100000,INDEX($AC$1005:$AS$1005,1,MATCH(COLUMNS($AC$1006:AE1006),$AC$1006:$AS$1006,0))&gt;=100000), " ",IF(INDEX($AC$2:$AS$1001,MATCH(ROWS($V$2:V92),$V$2:$V$1001,0),MATCH(COLUMNS($AC$1006:AE1006),$AC$1006:$AS$1006,0)), HYPERLINK("#",""), HYPERLINK(CONCATENATE("#metadata!", ADDRESS(INDEX($X$2:$X$1001,MATCH(ROWS($V$2:V92),$V$2:$V$1001,0),0), INDEX($AC$1004:$AS$1004,1,MATCH(COLUMNS($AC$1006:AE1006),$AC$1006:$AS$1006,0)))),"Fix")))</f>
        <v xml:space="preserve"> </v>
      </c>
      <c r="E92" s="4" t="str">
        <f ca="1">IF(OR(INDEX($W$2:$W$1001,MATCH(ROWS($V$2:V92),$V$2:$V$1001,0),1)&gt;=100000,INDEX($AC$1005:$AS$1005,1,MATCH(COLUMNS($AC$1006:AF1006),$AC$1006:$AS$1006,0))&gt;=100000), " ",IF(INDEX($AC$2:$AS$1001,MATCH(ROWS($V$2:V92),$V$2:$V$1001,0),MATCH(COLUMNS($AC$1006:AF1006),$AC$1006:$AS$1006,0)), HYPERLINK("#",""), HYPERLINK(CONCATENATE("#metadata!", ADDRESS(INDEX($X$2:$X$1001,MATCH(ROWS($V$2:V92),$V$2:$V$1001,0),0), INDEX($AC$1004:$AS$1004,1,MATCH(COLUMNS($AC$1006:AF1006),$AC$1006:$AS$1006,0)))),"Fix")))</f>
        <v xml:space="preserve"> </v>
      </c>
      <c r="F92" s="4" t="str">
        <f ca="1">IF(OR(INDEX($W$2:$W$1001,MATCH(ROWS($V$2:V92),$V$2:$V$1001,0),1)&gt;=100000,INDEX($AC$1005:$AS$1005,1,MATCH(COLUMNS($AC$1006:AG1006),$AC$1006:$AS$1006,0))&gt;=100000), " ",IF(INDEX($AC$2:$AS$1001,MATCH(ROWS($V$2:V92),$V$2:$V$1001,0),MATCH(COLUMNS($AC$1006:AG1006),$AC$1006:$AS$1006,0)), HYPERLINK("#",""), HYPERLINK(CONCATENATE("#metadata!", ADDRESS(INDEX($X$2:$X$1001,MATCH(ROWS($V$2:V92),$V$2:$V$1001,0),0), INDEX($AC$1004:$AS$1004,1,MATCH(COLUMNS($AC$1006:AG1006),$AC$1006:$AS$1006,0)))),"Fix")))</f>
        <v xml:space="preserve"> </v>
      </c>
      <c r="G92" s="4" t="str">
        <f ca="1">IF(OR(INDEX($W$2:$W$1001,MATCH(ROWS($V$2:V92),$V$2:$V$1001,0),1)&gt;=100000,INDEX($AC$1005:$AS$1005,1,MATCH(COLUMNS($AC$1006:AH1006),$AC$1006:$AS$1006,0))&gt;=100000), " ",IF(INDEX($AC$2:$AS$1001,MATCH(ROWS($V$2:V92),$V$2:$V$1001,0),MATCH(COLUMNS($AC$1006:AH1006),$AC$1006:$AS$1006,0)), HYPERLINK("#",""), HYPERLINK(CONCATENATE("#metadata!", ADDRESS(INDEX($X$2:$X$1001,MATCH(ROWS($V$2:V92),$V$2:$V$1001,0),0), INDEX($AC$1004:$AS$1004,1,MATCH(COLUMNS($AC$1006:AH1006),$AC$1006:$AS$1006,0)))),"Fix")))</f>
        <v xml:space="preserve"> </v>
      </c>
      <c r="H92" s="4" t="str">
        <f ca="1">IF(OR(INDEX($W$2:$W$1001,MATCH(ROWS($V$2:V92),$V$2:$V$1001,0),1)&gt;=100000,INDEX($AC$1005:$AS$1005,1,MATCH(COLUMNS($AC$1006:AI1006),$AC$1006:$AS$1006,0))&gt;=100000), " ",IF(INDEX($AC$2:$AS$1001,MATCH(ROWS($V$2:V92),$V$2:$V$1001,0),MATCH(COLUMNS($AC$1006:AI1006),$AC$1006:$AS$1006,0)), HYPERLINK("#",""), HYPERLINK(CONCATENATE("#metadata!", ADDRESS(INDEX($X$2:$X$1001,MATCH(ROWS($V$2:V92),$V$2:$V$1001,0),0), INDEX($AC$1004:$AS$1004,1,MATCH(COLUMNS($AC$1006:AI1006),$AC$1006:$AS$1006,0)))),"Fix")))</f>
        <v xml:space="preserve"> </v>
      </c>
      <c r="I92" s="4" t="str">
        <f ca="1">IF(OR(INDEX($W$2:$W$1001,MATCH(ROWS($V$2:V92),$V$2:$V$1001,0),1)&gt;=100000,INDEX($AC$1005:$AS$1005,1,MATCH(COLUMNS($AC$1006:AJ1006),$AC$1006:$AS$1006,0))&gt;=100000), " ",IF(INDEX($AC$2:$AS$1001,MATCH(ROWS($V$2:V92),$V$2:$V$1001,0),MATCH(COLUMNS($AC$1006:AJ1006),$AC$1006:$AS$1006,0)), HYPERLINK("#",""), HYPERLINK(CONCATENATE("#metadata!", ADDRESS(INDEX($X$2:$X$1001,MATCH(ROWS($V$2:V92),$V$2:$V$1001,0),0), INDEX($AC$1004:$AS$1004,1,MATCH(COLUMNS($AC$1006:AJ1006),$AC$1006:$AS$1006,0)))),"Fix")))</f>
        <v xml:space="preserve"> </v>
      </c>
      <c r="J92" s="4" t="str">
        <f ca="1">IF(OR(INDEX($W$2:$W$1001,MATCH(ROWS($V$2:V92),$V$2:$V$1001,0),1)&gt;=100000,INDEX($AC$1005:$AS$1005,1,MATCH(COLUMNS($AC$1006:AK1006),$AC$1006:$AS$1006,0))&gt;=100000), " ",IF(INDEX($AC$2:$AS$1001,MATCH(ROWS($V$2:V92),$V$2:$V$1001,0),MATCH(COLUMNS($AC$1006:AK1006),$AC$1006:$AS$1006,0)), HYPERLINK("#",""), HYPERLINK(CONCATENATE("#metadata!", ADDRESS(INDEX($X$2:$X$1001,MATCH(ROWS($V$2:V92),$V$2:$V$1001,0),0), INDEX($AC$1004:$AS$1004,1,MATCH(COLUMNS($AC$1006:AK1006),$AC$1006:$AS$1006,0)))),"Fix")))</f>
        <v xml:space="preserve"> </v>
      </c>
      <c r="K92" s="4" t="str">
        <f ca="1">IF(OR(INDEX($W$2:$W$1001,MATCH(ROWS($V$2:V92),$V$2:$V$1001,0),1)&gt;=100000,INDEX($AC$1005:$AS$1005,1,MATCH(COLUMNS($AC$1006:AL1006),$AC$1006:$AS$1006,0))&gt;=100000), " ",IF(INDEX($AC$2:$AS$1001,MATCH(ROWS($V$2:V92),$V$2:$V$1001,0),MATCH(COLUMNS($AC$1006:AL1006),$AC$1006:$AS$1006,0)), HYPERLINK("#",""), HYPERLINK(CONCATENATE("#metadata!", ADDRESS(INDEX($X$2:$X$1001,MATCH(ROWS($V$2:V92),$V$2:$V$1001,0),0), INDEX($AC$1004:$AS$1004,1,MATCH(COLUMNS($AC$1006:AL1006),$AC$1006:$AS$1006,0)))),"Fix")))</f>
        <v xml:space="preserve"> </v>
      </c>
      <c r="L92" s="4" t="str">
        <f ca="1">IF(OR(INDEX($W$2:$W$1001,MATCH(ROWS($V$2:V92),$V$2:$V$1001,0),1)&gt;=100000,INDEX($AC$1005:$AS$1005,1,MATCH(COLUMNS($AC$1006:AM1006),$AC$1006:$AS$1006,0))&gt;=100000), " ",IF(INDEX($AC$2:$AS$1001,MATCH(ROWS($V$2:V92),$V$2:$V$1001,0),MATCH(COLUMNS($AC$1006:AM1006),$AC$1006:$AS$1006,0)), HYPERLINK("#",""), HYPERLINK(CONCATENATE("#metadata!", ADDRESS(INDEX($X$2:$X$1001,MATCH(ROWS($V$2:V92),$V$2:$V$1001,0),0), INDEX($AC$1004:$AS$1004,1,MATCH(COLUMNS($AC$1006:AM1006),$AC$1006:$AS$1006,0)))),"Fix")))</f>
        <v xml:space="preserve"> </v>
      </c>
      <c r="M92" s="4" t="str">
        <f ca="1">IF(OR(INDEX($W$2:$W$1001,MATCH(ROWS($V$2:V92),$V$2:$V$1001,0),1)&gt;=100000,INDEX($AC$1005:$AS$1005,1,MATCH(COLUMNS($AC$1006:AN1006),$AC$1006:$AS$1006,0))&gt;=100000), " ",IF(INDEX($AC$2:$AS$1001,MATCH(ROWS($V$2:V92),$V$2:$V$1001,0),MATCH(COLUMNS($AC$1006:AN1006),$AC$1006:$AS$1006,0)), HYPERLINK("#",""), HYPERLINK(CONCATENATE("#metadata!", ADDRESS(INDEX($X$2:$X$1001,MATCH(ROWS($V$2:V92),$V$2:$V$1001,0),0), INDEX($AC$1004:$AS$1004,1,MATCH(COLUMNS($AC$1006:AN1006),$AC$1006:$AS$1006,0)))),"Fix")))</f>
        <v xml:space="preserve"> </v>
      </c>
      <c r="N92" s="4" t="str">
        <f ca="1">IF(OR(INDEX($W$2:$W$1001,MATCH(ROWS($V$2:V92),$V$2:$V$1001,0),1)&gt;=100000,INDEX($AC$1005:$AS$1005,1,MATCH(COLUMNS($AC$1006:AO1006),$AC$1006:$AS$1006,0))&gt;=100000), " ",IF(INDEX($AC$2:$AS$1001,MATCH(ROWS($V$2:V92),$V$2:$V$1001,0),MATCH(COLUMNS($AC$1006:AO1006),$AC$1006:$AS$1006,0)), HYPERLINK("#",""), HYPERLINK(CONCATENATE("#metadata!", ADDRESS(INDEX($X$2:$X$1001,MATCH(ROWS($V$2:V92),$V$2:$V$1001,0),0), INDEX($AC$1004:$AS$1004,1,MATCH(COLUMNS($AC$1006:AO1006),$AC$1006:$AS$1006,0)))),"Fix")))</f>
        <v xml:space="preserve"> </v>
      </c>
      <c r="O92" s="4" t="str">
        <f ca="1">IF(OR(INDEX($W$2:$W$1001,MATCH(ROWS($V$2:V92),$V$2:$V$1001,0),1)&gt;=100000,INDEX($AC$1005:$AS$1005,1,MATCH(COLUMNS($AC$1006:AP1006),$AC$1006:$AS$1006,0))&gt;=100000), " ",IF(INDEX($AC$2:$AS$1001,MATCH(ROWS($V$2:V92),$V$2:$V$1001,0),MATCH(COLUMNS($AC$1006:AP1006),$AC$1006:$AS$1006,0)), HYPERLINK("#",""), HYPERLINK(CONCATENATE("#metadata!", ADDRESS(INDEX($X$2:$X$1001,MATCH(ROWS($V$2:V92),$V$2:$V$1001,0),0), INDEX($AC$1004:$AS$1004,1,MATCH(COLUMNS($AC$1006:AP1006),$AC$1006:$AS$1006,0)))),"Fix")))</f>
        <v xml:space="preserve"> </v>
      </c>
      <c r="P92" s="4" t="str">
        <f ca="1">IF(OR(INDEX($W$2:$W$1001,MATCH(ROWS($V$2:V92),$V$2:$V$1001,0),1)&gt;=100000,INDEX($AC$1005:$AS$1005,1,MATCH(COLUMNS($AC$1006:AQ1006),$AC$1006:$AS$1006,0))&gt;=100000), " ",IF(INDEX($AC$2:$AS$1001,MATCH(ROWS($V$2:V92),$V$2:$V$1001,0),MATCH(COLUMNS($AC$1006:AQ1006),$AC$1006:$AS$1006,0)), HYPERLINK("#",""), HYPERLINK(CONCATENATE("#metadata!", ADDRESS(INDEX($X$2:$X$1001,MATCH(ROWS($V$2:V92),$V$2:$V$1001,0),0), INDEX($AC$1004:$AS$1004,1,MATCH(COLUMNS($AC$1006:AQ1006),$AC$1006:$AS$1006,0)))),"Fix")))</f>
        <v xml:space="preserve"> </v>
      </c>
      <c r="Q92" s="4" t="str">
        <f ca="1">IF(OR(INDEX($W$2:$W$1001,MATCH(ROWS($V$2:V92),$V$2:$V$1001,0),1)&gt;=100000,INDEX($AC$1005:$AS$1005,1,MATCH(COLUMNS($AC$1006:AR1006),$AC$1006:$AS$1006,0))&gt;=100000), " ",IF(INDEX($AC$2:$AS$1001,MATCH(ROWS($V$2:V92),$V$2:$V$1001,0),MATCH(COLUMNS($AC$1006:AR1006),$AC$1006:$AS$1006,0)), HYPERLINK("#",""), HYPERLINK(CONCATENATE("#metadata!", ADDRESS(INDEX($X$2:$X$1001,MATCH(ROWS($V$2:V92),$V$2:$V$1001,0),0), INDEX($AC$1004:$AS$1004,1,MATCH(COLUMNS($AC$1006:AR1006),$AC$1006:$AS$1006,0)))),"Fix")))</f>
        <v xml:space="preserve"> </v>
      </c>
      <c r="R92" s="4" t="str">
        <f ca="1">IF(OR(INDEX($W$2:$W$1001,MATCH(ROWS($V$2:V92),$V$2:$V$1001,0),1)&gt;=100000,INDEX($AC$1005:$AS$1005,1,MATCH(COLUMNS($AC$1006:AS1006),$AC$1006:$AS$1006,0))&gt;=100000), " ",IF(INDEX($AC$2:$AS$1001,MATCH(ROWS($V$2:V92),$V$2:$V$1001,0),MATCH(COLUMNS($AC$1006:AS1006),$AC$1006:$AS$1006,0)), HYPERLINK("#",""), HYPERLINK(CONCATENATE("#metadata!", ADDRESS(INDEX($X$2:$X$1001,MATCH(ROWS($V$2:V92),$V$2:$V$1001,0),0), INDEX($AC$1004:$AS$1004,1,MATCH(COLUMNS($AC$1006:AS1006),$AC$1006:$AS$1006,0)))),"Fix")))</f>
        <v xml:space="preserve"> </v>
      </c>
      <c r="V92">
        <v>91</v>
      </c>
      <c r="W92">
        <v>100092</v>
      </c>
      <c r="X92">
        <v>92</v>
      </c>
      <c r="Y92" t="b">
        <f t="shared" si="1"/>
        <v>1</v>
      </c>
      <c r="Z92" t="b">
        <f>COUNTBLANK(metadata!B92:R92)=COLUMNS(metadata!B92:R92)</f>
        <v>1</v>
      </c>
      <c r="AA92" t="str">
        <v/>
      </c>
      <c r="AC92" t="b">
        <f ca="1"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AD92" t="b">
        <f>IF(metadata!C92="",FALSE,ISNUMBER(VALUE(metadata!C92)))</f>
        <v>0</v>
      </c>
      <c r="AE92" t="b">
        <f>AND(IF(metadata!D92="",FALSE,TRUE),EXACT(metadata!D92,"years"))</f>
        <v>0</v>
      </c>
      <c r="AF92" t="b">
        <f>OR(AND(IF(metadata!E92="",FALSE,TRUE),OR(EXACT(metadata!E92,"not applicable"),EXACT(metadata!E92,"missing: not collected"),EXACT(metadata!E92,"missing: not provided"),EXACT(metadata!E92,"missing: restricted access"))),AND(IF(metadata!E92="",FALSE,ISNUMBER(VALUE(metadata!E92))),metadata!E92&gt;0))</f>
        <v>0</v>
      </c>
      <c r="AG92" t="b">
        <f>AND(IF(metadata!F92="",FALSE,TRUE),EXACT(metadata!F92,"Not applicable"))</f>
        <v>0</v>
      </c>
      <c r="AH92" t="b">
        <f>AND(IF(metadata!G92="",FALSE,TRUE),EXACT(metadata!G92,"urban biome"))</f>
        <v>0</v>
      </c>
      <c r="AI92" t="b">
        <f>AND(IF(metadata!H92="",FALSE,TRUE),EXACT(metadata!H92,"human-associated habitat"))</f>
        <v>0</v>
      </c>
      <c r="AJ92" t="b">
        <f>AND(IF(metadata!I92="",FALSE,TRUE),OR(EXACT(metadata!I92,"human-associated"),EXACT(metadata!I92,"human-skin"),EXACT(metadata!I92,"human-oral"),EXACT(metadata!I92,"human-gut"),EXACT(metadata!I92,"human-vaginal")))</f>
        <v>0</v>
      </c>
      <c r="AK92" t="b">
        <f>IF(metadata!J92="",FALSE,ISNUMBER(VALUE(metadata!J92)))</f>
        <v>0</v>
      </c>
      <c r="AL92" t="b">
        <f>AND(IF(metadata!K92="",FALSE,TRUE),EXACT(metadata!K92,"cm"))</f>
        <v>0</v>
      </c>
      <c r="AM92" t="b">
        <f>AND(IF(metadata!L92="",FALSE,TRUE),EXACT(metadata!L92,"human"))</f>
        <v>0</v>
      </c>
      <c r="AN92" t="b">
        <f>AND(IF(metadata!M92="",FALSE,TRUE),EXACT(metadata!M92,"Homo sapiens"))</f>
        <v>0</v>
      </c>
      <c r="AO92" t="b">
        <f>AND(IF(metadata!N92="",FALSE,TRUE),EXACT(metadata!N92,"9606"))</f>
        <v>0</v>
      </c>
      <c r="AP92" t="b">
        <f>IF(metadata!O92="",FALSE,TRUE)</f>
        <v>0</v>
      </c>
      <c r="AQ92" t="b">
        <f>IF(metadata!P92="",FALSE,TRUE)</f>
        <v>0</v>
      </c>
      <c r="AR92" t="b">
        <f>IF(metadata!Q92="",FALSE,ISNUMBER(VALUE(metadata!Q92)))</f>
        <v>0</v>
      </c>
      <c r="AS92" t="b">
        <f>AND(IF(metadata!R92="",FALSE,TRUE),EXACT(metadata!R92,"kg"))</f>
        <v>0</v>
      </c>
    </row>
    <row r="93" spans="1:45" x14ac:dyDescent="0.2">
      <c r="A93" s="5" t="str">
        <f ca="1">IF(B93=" "," ",HYPERLINK(CONCATENATE("#metadata!",ADDRESS(INDEX($X$2:$X$1001,MATCH(ROWS($V$2:V93),$V$2:$V$1001,0),0),1)),INDEX($AA$2:$AA$1001,MATCH(ROWS($V$2:V93),$V$2:$V$1001,0),0)))</f>
        <v xml:space="preserve"> </v>
      </c>
      <c r="B93" s="4" t="str">
        <f ca="1">IF(OR(INDEX($W$2:$W$1001,MATCH(ROWS($V$2:V93),$V$2:$V$1001,0),1)&gt;=100000,INDEX($AC$1005:$AS$1005,1,MATCH(COLUMNS($AC$1006:AC1006),$AC$1006:$AS$1006,0))&gt;=100000), " ",IF(INDEX($AC$2:$AS$1001,MATCH(ROWS($V$2:V93),$V$2:$V$1001,0),MATCH(COLUMNS($AC$1006:AC1006),$AC$1006:$AS$1006,0)), HYPERLINK("#",""), HYPERLINK(CONCATENATE("#metadata!", ADDRESS(INDEX($X$2:$X$1001,MATCH(ROWS($V$2:V93),$V$2:$V$1001,0),0), INDEX($AC$1004:$AS$1004,1,MATCH(COLUMNS($AC$1006:AC1006),$AC$1006:$AS$1006,0)))),"Fix")))</f>
        <v xml:space="preserve"> </v>
      </c>
      <c r="C93" s="4" t="str">
        <f ca="1">IF(OR(INDEX($W$2:$W$1001,MATCH(ROWS($V$2:V93),$V$2:$V$1001,0),1)&gt;=100000,INDEX($AC$1005:$AS$1005,1,MATCH(COLUMNS($AC$1006:AD1006),$AC$1006:$AS$1006,0))&gt;=100000), " ",IF(INDEX($AC$2:$AS$1001,MATCH(ROWS($V$2:V93),$V$2:$V$1001,0),MATCH(COLUMNS($AC$1006:AD1006),$AC$1006:$AS$1006,0)), HYPERLINK("#",""), HYPERLINK(CONCATENATE("#metadata!", ADDRESS(INDEX($X$2:$X$1001,MATCH(ROWS($V$2:V93),$V$2:$V$1001,0),0), INDEX($AC$1004:$AS$1004,1,MATCH(COLUMNS($AC$1006:AD1006),$AC$1006:$AS$1006,0)))),"Fix")))</f>
        <v xml:space="preserve"> </v>
      </c>
      <c r="D93" s="4" t="str">
        <f ca="1">IF(OR(INDEX($W$2:$W$1001,MATCH(ROWS($V$2:V93),$V$2:$V$1001,0),1)&gt;=100000,INDEX($AC$1005:$AS$1005,1,MATCH(COLUMNS($AC$1006:AE1006),$AC$1006:$AS$1006,0))&gt;=100000), " ",IF(INDEX($AC$2:$AS$1001,MATCH(ROWS($V$2:V93),$V$2:$V$1001,0),MATCH(COLUMNS($AC$1006:AE1006),$AC$1006:$AS$1006,0)), HYPERLINK("#",""), HYPERLINK(CONCATENATE("#metadata!", ADDRESS(INDEX($X$2:$X$1001,MATCH(ROWS($V$2:V93),$V$2:$V$1001,0),0), INDEX($AC$1004:$AS$1004,1,MATCH(COLUMNS($AC$1006:AE1006),$AC$1006:$AS$1006,0)))),"Fix")))</f>
        <v xml:space="preserve"> </v>
      </c>
      <c r="E93" s="4" t="str">
        <f ca="1">IF(OR(INDEX($W$2:$W$1001,MATCH(ROWS($V$2:V93),$V$2:$V$1001,0),1)&gt;=100000,INDEX($AC$1005:$AS$1005,1,MATCH(COLUMNS($AC$1006:AF1006),$AC$1006:$AS$1006,0))&gt;=100000), " ",IF(INDEX($AC$2:$AS$1001,MATCH(ROWS($V$2:V93),$V$2:$V$1001,0),MATCH(COLUMNS($AC$1006:AF1006),$AC$1006:$AS$1006,0)), HYPERLINK("#",""), HYPERLINK(CONCATENATE("#metadata!", ADDRESS(INDEX($X$2:$X$1001,MATCH(ROWS($V$2:V93),$V$2:$V$1001,0),0), INDEX($AC$1004:$AS$1004,1,MATCH(COLUMNS($AC$1006:AF1006),$AC$1006:$AS$1006,0)))),"Fix")))</f>
        <v xml:space="preserve"> </v>
      </c>
      <c r="F93" s="4" t="str">
        <f ca="1">IF(OR(INDEX($W$2:$W$1001,MATCH(ROWS($V$2:V93),$V$2:$V$1001,0),1)&gt;=100000,INDEX($AC$1005:$AS$1005,1,MATCH(COLUMNS($AC$1006:AG1006),$AC$1006:$AS$1006,0))&gt;=100000), " ",IF(INDEX($AC$2:$AS$1001,MATCH(ROWS($V$2:V93),$V$2:$V$1001,0),MATCH(COLUMNS($AC$1006:AG1006),$AC$1006:$AS$1006,0)), HYPERLINK("#",""), HYPERLINK(CONCATENATE("#metadata!", ADDRESS(INDEX($X$2:$X$1001,MATCH(ROWS($V$2:V93),$V$2:$V$1001,0),0), INDEX($AC$1004:$AS$1004,1,MATCH(COLUMNS($AC$1006:AG1006),$AC$1006:$AS$1006,0)))),"Fix")))</f>
        <v xml:space="preserve"> </v>
      </c>
      <c r="G93" s="4" t="str">
        <f ca="1">IF(OR(INDEX($W$2:$W$1001,MATCH(ROWS($V$2:V93),$V$2:$V$1001,0),1)&gt;=100000,INDEX($AC$1005:$AS$1005,1,MATCH(COLUMNS($AC$1006:AH1006),$AC$1006:$AS$1006,0))&gt;=100000), " ",IF(INDEX($AC$2:$AS$1001,MATCH(ROWS($V$2:V93),$V$2:$V$1001,0),MATCH(COLUMNS($AC$1006:AH1006),$AC$1006:$AS$1006,0)), HYPERLINK("#",""), HYPERLINK(CONCATENATE("#metadata!", ADDRESS(INDEX($X$2:$X$1001,MATCH(ROWS($V$2:V93),$V$2:$V$1001,0),0), INDEX($AC$1004:$AS$1004,1,MATCH(COLUMNS($AC$1006:AH1006),$AC$1006:$AS$1006,0)))),"Fix")))</f>
        <v xml:space="preserve"> </v>
      </c>
      <c r="H93" s="4" t="str">
        <f ca="1">IF(OR(INDEX($W$2:$W$1001,MATCH(ROWS($V$2:V93),$V$2:$V$1001,0),1)&gt;=100000,INDEX($AC$1005:$AS$1005,1,MATCH(COLUMNS($AC$1006:AI1006),$AC$1006:$AS$1006,0))&gt;=100000), " ",IF(INDEX($AC$2:$AS$1001,MATCH(ROWS($V$2:V93),$V$2:$V$1001,0),MATCH(COLUMNS($AC$1006:AI1006),$AC$1006:$AS$1006,0)), HYPERLINK("#",""), HYPERLINK(CONCATENATE("#metadata!", ADDRESS(INDEX($X$2:$X$1001,MATCH(ROWS($V$2:V93),$V$2:$V$1001,0),0), INDEX($AC$1004:$AS$1004,1,MATCH(COLUMNS($AC$1006:AI1006),$AC$1006:$AS$1006,0)))),"Fix")))</f>
        <v xml:space="preserve"> </v>
      </c>
      <c r="I93" s="4" t="str">
        <f ca="1">IF(OR(INDEX($W$2:$W$1001,MATCH(ROWS($V$2:V93),$V$2:$V$1001,0),1)&gt;=100000,INDEX($AC$1005:$AS$1005,1,MATCH(COLUMNS($AC$1006:AJ1006),$AC$1006:$AS$1006,0))&gt;=100000), " ",IF(INDEX($AC$2:$AS$1001,MATCH(ROWS($V$2:V93),$V$2:$V$1001,0),MATCH(COLUMNS($AC$1006:AJ1006),$AC$1006:$AS$1006,0)), HYPERLINK("#",""), HYPERLINK(CONCATENATE("#metadata!", ADDRESS(INDEX($X$2:$X$1001,MATCH(ROWS($V$2:V93),$V$2:$V$1001,0),0), INDEX($AC$1004:$AS$1004,1,MATCH(COLUMNS($AC$1006:AJ1006),$AC$1006:$AS$1006,0)))),"Fix")))</f>
        <v xml:space="preserve"> </v>
      </c>
      <c r="J93" s="4" t="str">
        <f ca="1">IF(OR(INDEX($W$2:$W$1001,MATCH(ROWS($V$2:V93),$V$2:$V$1001,0),1)&gt;=100000,INDEX($AC$1005:$AS$1005,1,MATCH(COLUMNS($AC$1006:AK1006),$AC$1006:$AS$1006,0))&gt;=100000), " ",IF(INDEX($AC$2:$AS$1001,MATCH(ROWS($V$2:V93),$V$2:$V$1001,0),MATCH(COLUMNS($AC$1006:AK1006),$AC$1006:$AS$1006,0)), HYPERLINK("#",""), HYPERLINK(CONCATENATE("#metadata!", ADDRESS(INDEX($X$2:$X$1001,MATCH(ROWS($V$2:V93),$V$2:$V$1001,0),0), INDEX($AC$1004:$AS$1004,1,MATCH(COLUMNS($AC$1006:AK1006),$AC$1006:$AS$1006,0)))),"Fix")))</f>
        <v xml:space="preserve"> </v>
      </c>
      <c r="K93" s="4" t="str">
        <f ca="1">IF(OR(INDEX($W$2:$W$1001,MATCH(ROWS($V$2:V93),$V$2:$V$1001,0),1)&gt;=100000,INDEX($AC$1005:$AS$1005,1,MATCH(COLUMNS($AC$1006:AL1006),$AC$1006:$AS$1006,0))&gt;=100000), " ",IF(INDEX($AC$2:$AS$1001,MATCH(ROWS($V$2:V93),$V$2:$V$1001,0),MATCH(COLUMNS($AC$1006:AL1006),$AC$1006:$AS$1006,0)), HYPERLINK("#",""), HYPERLINK(CONCATENATE("#metadata!", ADDRESS(INDEX($X$2:$X$1001,MATCH(ROWS($V$2:V93),$V$2:$V$1001,0),0), INDEX($AC$1004:$AS$1004,1,MATCH(COLUMNS($AC$1006:AL1006),$AC$1006:$AS$1006,0)))),"Fix")))</f>
        <v xml:space="preserve"> </v>
      </c>
      <c r="L93" s="4" t="str">
        <f ca="1">IF(OR(INDEX($W$2:$W$1001,MATCH(ROWS($V$2:V93),$V$2:$V$1001,0),1)&gt;=100000,INDEX($AC$1005:$AS$1005,1,MATCH(COLUMNS($AC$1006:AM1006),$AC$1006:$AS$1006,0))&gt;=100000), " ",IF(INDEX($AC$2:$AS$1001,MATCH(ROWS($V$2:V93),$V$2:$V$1001,0),MATCH(COLUMNS($AC$1006:AM1006),$AC$1006:$AS$1006,0)), HYPERLINK("#",""), HYPERLINK(CONCATENATE("#metadata!", ADDRESS(INDEX($X$2:$X$1001,MATCH(ROWS($V$2:V93),$V$2:$V$1001,0),0), INDEX($AC$1004:$AS$1004,1,MATCH(COLUMNS($AC$1006:AM1006),$AC$1006:$AS$1006,0)))),"Fix")))</f>
        <v xml:space="preserve"> </v>
      </c>
      <c r="M93" s="4" t="str">
        <f ca="1">IF(OR(INDEX($W$2:$W$1001,MATCH(ROWS($V$2:V93),$V$2:$V$1001,0),1)&gt;=100000,INDEX($AC$1005:$AS$1005,1,MATCH(COLUMNS($AC$1006:AN1006),$AC$1006:$AS$1006,0))&gt;=100000), " ",IF(INDEX($AC$2:$AS$1001,MATCH(ROWS($V$2:V93),$V$2:$V$1001,0),MATCH(COLUMNS($AC$1006:AN1006),$AC$1006:$AS$1006,0)), HYPERLINK("#",""), HYPERLINK(CONCATENATE("#metadata!", ADDRESS(INDEX($X$2:$X$1001,MATCH(ROWS($V$2:V93),$V$2:$V$1001,0),0), INDEX($AC$1004:$AS$1004,1,MATCH(COLUMNS($AC$1006:AN1006),$AC$1006:$AS$1006,0)))),"Fix")))</f>
        <v xml:space="preserve"> </v>
      </c>
      <c r="N93" s="4" t="str">
        <f ca="1">IF(OR(INDEX($W$2:$W$1001,MATCH(ROWS($V$2:V93),$V$2:$V$1001,0),1)&gt;=100000,INDEX($AC$1005:$AS$1005,1,MATCH(COLUMNS($AC$1006:AO1006),$AC$1006:$AS$1006,0))&gt;=100000), " ",IF(INDEX($AC$2:$AS$1001,MATCH(ROWS($V$2:V93),$V$2:$V$1001,0),MATCH(COLUMNS($AC$1006:AO1006),$AC$1006:$AS$1006,0)), HYPERLINK("#",""), HYPERLINK(CONCATENATE("#metadata!", ADDRESS(INDEX($X$2:$X$1001,MATCH(ROWS($V$2:V93),$V$2:$V$1001,0),0), INDEX($AC$1004:$AS$1004,1,MATCH(COLUMNS($AC$1006:AO1006),$AC$1006:$AS$1006,0)))),"Fix")))</f>
        <v xml:space="preserve"> </v>
      </c>
      <c r="O93" s="4" t="str">
        <f ca="1">IF(OR(INDEX($W$2:$W$1001,MATCH(ROWS($V$2:V93),$V$2:$V$1001,0),1)&gt;=100000,INDEX($AC$1005:$AS$1005,1,MATCH(COLUMNS($AC$1006:AP1006),$AC$1006:$AS$1006,0))&gt;=100000), " ",IF(INDEX($AC$2:$AS$1001,MATCH(ROWS($V$2:V93),$V$2:$V$1001,0),MATCH(COLUMNS($AC$1006:AP1006),$AC$1006:$AS$1006,0)), HYPERLINK("#",""), HYPERLINK(CONCATENATE("#metadata!", ADDRESS(INDEX($X$2:$X$1001,MATCH(ROWS($V$2:V93),$V$2:$V$1001,0),0), INDEX($AC$1004:$AS$1004,1,MATCH(COLUMNS($AC$1006:AP1006),$AC$1006:$AS$1006,0)))),"Fix")))</f>
        <v xml:space="preserve"> </v>
      </c>
      <c r="P93" s="4" t="str">
        <f ca="1">IF(OR(INDEX($W$2:$W$1001,MATCH(ROWS($V$2:V93),$V$2:$V$1001,0),1)&gt;=100000,INDEX($AC$1005:$AS$1005,1,MATCH(COLUMNS($AC$1006:AQ1006),$AC$1006:$AS$1006,0))&gt;=100000), " ",IF(INDEX($AC$2:$AS$1001,MATCH(ROWS($V$2:V93),$V$2:$V$1001,0),MATCH(COLUMNS($AC$1006:AQ1006),$AC$1006:$AS$1006,0)), HYPERLINK("#",""), HYPERLINK(CONCATENATE("#metadata!", ADDRESS(INDEX($X$2:$X$1001,MATCH(ROWS($V$2:V93),$V$2:$V$1001,0),0), INDEX($AC$1004:$AS$1004,1,MATCH(COLUMNS($AC$1006:AQ1006),$AC$1006:$AS$1006,0)))),"Fix")))</f>
        <v xml:space="preserve"> </v>
      </c>
      <c r="Q93" s="4" t="str">
        <f ca="1">IF(OR(INDEX($W$2:$W$1001,MATCH(ROWS($V$2:V93),$V$2:$V$1001,0),1)&gt;=100000,INDEX($AC$1005:$AS$1005,1,MATCH(COLUMNS($AC$1006:AR1006),$AC$1006:$AS$1006,0))&gt;=100000), " ",IF(INDEX($AC$2:$AS$1001,MATCH(ROWS($V$2:V93),$V$2:$V$1001,0),MATCH(COLUMNS($AC$1006:AR1006),$AC$1006:$AS$1006,0)), HYPERLINK("#",""), HYPERLINK(CONCATENATE("#metadata!", ADDRESS(INDEX($X$2:$X$1001,MATCH(ROWS($V$2:V93),$V$2:$V$1001,0),0), INDEX($AC$1004:$AS$1004,1,MATCH(COLUMNS($AC$1006:AR1006),$AC$1006:$AS$1006,0)))),"Fix")))</f>
        <v xml:space="preserve"> </v>
      </c>
      <c r="R93" s="4" t="str">
        <f ca="1">IF(OR(INDEX($W$2:$W$1001,MATCH(ROWS($V$2:V93),$V$2:$V$1001,0),1)&gt;=100000,INDEX($AC$1005:$AS$1005,1,MATCH(COLUMNS($AC$1006:AS1006),$AC$1006:$AS$1006,0))&gt;=100000), " ",IF(INDEX($AC$2:$AS$1001,MATCH(ROWS($V$2:V93),$V$2:$V$1001,0),MATCH(COLUMNS($AC$1006:AS1006),$AC$1006:$AS$1006,0)), HYPERLINK("#",""), HYPERLINK(CONCATENATE("#metadata!", ADDRESS(INDEX($X$2:$X$1001,MATCH(ROWS($V$2:V93),$V$2:$V$1001,0),0), INDEX($AC$1004:$AS$1004,1,MATCH(COLUMNS($AC$1006:AS1006),$AC$1006:$AS$1006,0)))),"Fix")))</f>
        <v xml:space="preserve"> </v>
      </c>
      <c r="V93">
        <v>92</v>
      </c>
      <c r="W93">
        <v>100093</v>
      </c>
      <c r="X93">
        <v>93</v>
      </c>
      <c r="Y93" t="b">
        <f t="shared" si="1"/>
        <v>1</v>
      </c>
      <c r="Z93" t="b">
        <f>COUNTBLANK(metadata!B93:R93)=COLUMNS(metadata!B93:R93)</f>
        <v>1</v>
      </c>
      <c r="AA93" t="str">
        <v/>
      </c>
      <c r="AC93" t="b">
        <f ca="1"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AD93" t="b">
        <f>IF(metadata!C93="",FALSE,ISNUMBER(VALUE(metadata!C93)))</f>
        <v>0</v>
      </c>
      <c r="AE93" t="b">
        <f>AND(IF(metadata!D93="",FALSE,TRUE),EXACT(metadata!D93,"years"))</f>
        <v>0</v>
      </c>
      <c r="AF93" t="b">
        <f>OR(AND(IF(metadata!E93="",FALSE,TRUE),OR(EXACT(metadata!E93,"not applicable"),EXACT(metadata!E93,"missing: not collected"),EXACT(metadata!E93,"missing: not provided"),EXACT(metadata!E93,"missing: restricted access"))),AND(IF(metadata!E93="",FALSE,ISNUMBER(VALUE(metadata!E93))),metadata!E93&gt;0))</f>
        <v>0</v>
      </c>
      <c r="AG93" t="b">
        <f>AND(IF(metadata!F93="",FALSE,TRUE),EXACT(metadata!F93,"Not applicable"))</f>
        <v>0</v>
      </c>
      <c r="AH93" t="b">
        <f>AND(IF(metadata!G93="",FALSE,TRUE),EXACT(metadata!G93,"urban biome"))</f>
        <v>0</v>
      </c>
      <c r="AI93" t="b">
        <f>AND(IF(metadata!H93="",FALSE,TRUE),EXACT(metadata!H93,"human-associated habitat"))</f>
        <v>0</v>
      </c>
      <c r="AJ93" t="b">
        <f>AND(IF(metadata!I93="",FALSE,TRUE),OR(EXACT(metadata!I93,"human-associated"),EXACT(metadata!I93,"human-skin"),EXACT(metadata!I93,"human-oral"),EXACT(metadata!I93,"human-gut"),EXACT(metadata!I93,"human-vaginal")))</f>
        <v>0</v>
      </c>
      <c r="AK93" t="b">
        <f>IF(metadata!J93="",FALSE,ISNUMBER(VALUE(metadata!J93)))</f>
        <v>0</v>
      </c>
      <c r="AL93" t="b">
        <f>AND(IF(metadata!K93="",FALSE,TRUE),EXACT(metadata!K93,"cm"))</f>
        <v>0</v>
      </c>
      <c r="AM93" t="b">
        <f>AND(IF(metadata!L93="",FALSE,TRUE),EXACT(metadata!L93,"human"))</f>
        <v>0</v>
      </c>
      <c r="AN93" t="b">
        <f>AND(IF(metadata!M93="",FALSE,TRUE),EXACT(metadata!M93,"Homo sapiens"))</f>
        <v>0</v>
      </c>
      <c r="AO93" t="b">
        <f>AND(IF(metadata!N93="",FALSE,TRUE),EXACT(metadata!N93,"9606"))</f>
        <v>0</v>
      </c>
      <c r="AP93" t="b">
        <f>IF(metadata!O93="",FALSE,TRUE)</f>
        <v>0</v>
      </c>
      <c r="AQ93" t="b">
        <f>IF(metadata!P93="",FALSE,TRUE)</f>
        <v>0</v>
      </c>
      <c r="AR93" t="b">
        <f>IF(metadata!Q93="",FALSE,ISNUMBER(VALUE(metadata!Q93)))</f>
        <v>0</v>
      </c>
      <c r="AS93" t="b">
        <f>AND(IF(metadata!R93="",FALSE,TRUE),EXACT(metadata!R93,"kg"))</f>
        <v>0</v>
      </c>
    </row>
    <row r="94" spans="1:45" x14ac:dyDescent="0.2">
      <c r="A94" s="5" t="str">
        <f ca="1">IF(B94=" "," ",HYPERLINK(CONCATENATE("#metadata!",ADDRESS(INDEX($X$2:$X$1001,MATCH(ROWS($V$2:V94),$V$2:$V$1001,0),0),1)),INDEX($AA$2:$AA$1001,MATCH(ROWS($V$2:V94),$V$2:$V$1001,0),0)))</f>
        <v xml:space="preserve"> </v>
      </c>
      <c r="B94" s="4" t="str">
        <f ca="1">IF(OR(INDEX($W$2:$W$1001,MATCH(ROWS($V$2:V94),$V$2:$V$1001,0),1)&gt;=100000,INDEX($AC$1005:$AS$1005,1,MATCH(COLUMNS($AC$1006:AC1006),$AC$1006:$AS$1006,0))&gt;=100000), " ",IF(INDEX($AC$2:$AS$1001,MATCH(ROWS($V$2:V94),$V$2:$V$1001,0),MATCH(COLUMNS($AC$1006:AC1006),$AC$1006:$AS$1006,0)), HYPERLINK("#",""), HYPERLINK(CONCATENATE("#metadata!", ADDRESS(INDEX($X$2:$X$1001,MATCH(ROWS($V$2:V94),$V$2:$V$1001,0),0), INDEX($AC$1004:$AS$1004,1,MATCH(COLUMNS($AC$1006:AC1006),$AC$1006:$AS$1006,0)))),"Fix")))</f>
        <v xml:space="preserve"> </v>
      </c>
      <c r="C94" s="4" t="str">
        <f ca="1">IF(OR(INDEX($W$2:$W$1001,MATCH(ROWS($V$2:V94),$V$2:$V$1001,0),1)&gt;=100000,INDEX($AC$1005:$AS$1005,1,MATCH(COLUMNS($AC$1006:AD1006),$AC$1006:$AS$1006,0))&gt;=100000), " ",IF(INDEX($AC$2:$AS$1001,MATCH(ROWS($V$2:V94),$V$2:$V$1001,0),MATCH(COLUMNS($AC$1006:AD1006),$AC$1006:$AS$1006,0)), HYPERLINK("#",""), HYPERLINK(CONCATENATE("#metadata!", ADDRESS(INDEX($X$2:$X$1001,MATCH(ROWS($V$2:V94),$V$2:$V$1001,0),0), INDEX($AC$1004:$AS$1004,1,MATCH(COLUMNS($AC$1006:AD1006),$AC$1006:$AS$1006,0)))),"Fix")))</f>
        <v xml:space="preserve"> </v>
      </c>
      <c r="D94" s="4" t="str">
        <f ca="1">IF(OR(INDEX($W$2:$W$1001,MATCH(ROWS($V$2:V94),$V$2:$V$1001,0),1)&gt;=100000,INDEX($AC$1005:$AS$1005,1,MATCH(COLUMNS($AC$1006:AE1006),$AC$1006:$AS$1006,0))&gt;=100000), " ",IF(INDEX($AC$2:$AS$1001,MATCH(ROWS($V$2:V94),$V$2:$V$1001,0),MATCH(COLUMNS($AC$1006:AE1006),$AC$1006:$AS$1006,0)), HYPERLINK("#",""), HYPERLINK(CONCATENATE("#metadata!", ADDRESS(INDEX($X$2:$X$1001,MATCH(ROWS($V$2:V94),$V$2:$V$1001,0),0), INDEX($AC$1004:$AS$1004,1,MATCH(COLUMNS($AC$1006:AE1006),$AC$1006:$AS$1006,0)))),"Fix")))</f>
        <v xml:space="preserve"> </v>
      </c>
      <c r="E94" s="4" t="str">
        <f ca="1">IF(OR(INDEX($W$2:$W$1001,MATCH(ROWS($V$2:V94),$V$2:$V$1001,0),1)&gt;=100000,INDEX($AC$1005:$AS$1005,1,MATCH(COLUMNS($AC$1006:AF1006),$AC$1006:$AS$1006,0))&gt;=100000), " ",IF(INDEX($AC$2:$AS$1001,MATCH(ROWS($V$2:V94),$V$2:$V$1001,0),MATCH(COLUMNS($AC$1006:AF1006),$AC$1006:$AS$1006,0)), HYPERLINK("#",""), HYPERLINK(CONCATENATE("#metadata!", ADDRESS(INDEX($X$2:$X$1001,MATCH(ROWS($V$2:V94),$V$2:$V$1001,0),0), INDEX($AC$1004:$AS$1004,1,MATCH(COLUMNS($AC$1006:AF1006),$AC$1006:$AS$1006,0)))),"Fix")))</f>
        <v xml:space="preserve"> </v>
      </c>
      <c r="F94" s="4" t="str">
        <f ca="1">IF(OR(INDEX($W$2:$W$1001,MATCH(ROWS($V$2:V94),$V$2:$V$1001,0),1)&gt;=100000,INDEX($AC$1005:$AS$1005,1,MATCH(COLUMNS($AC$1006:AG1006),$AC$1006:$AS$1006,0))&gt;=100000), " ",IF(INDEX($AC$2:$AS$1001,MATCH(ROWS($V$2:V94),$V$2:$V$1001,0),MATCH(COLUMNS($AC$1006:AG1006),$AC$1006:$AS$1006,0)), HYPERLINK("#",""), HYPERLINK(CONCATENATE("#metadata!", ADDRESS(INDEX($X$2:$X$1001,MATCH(ROWS($V$2:V94),$V$2:$V$1001,0),0), INDEX($AC$1004:$AS$1004,1,MATCH(COLUMNS($AC$1006:AG1006),$AC$1006:$AS$1006,0)))),"Fix")))</f>
        <v xml:space="preserve"> </v>
      </c>
      <c r="G94" s="4" t="str">
        <f ca="1">IF(OR(INDEX($W$2:$W$1001,MATCH(ROWS($V$2:V94),$V$2:$V$1001,0),1)&gt;=100000,INDEX($AC$1005:$AS$1005,1,MATCH(COLUMNS($AC$1006:AH1006),$AC$1006:$AS$1006,0))&gt;=100000), " ",IF(INDEX($AC$2:$AS$1001,MATCH(ROWS($V$2:V94),$V$2:$V$1001,0),MATCH(COLUMNS($AC$1006:AH1006),$AC$1006:$AS$1006,0)), HYPERLINK("#",""), HYPERLINK(CONCATENATE("#metadata!", ADDRESS(INDEX($X$2:$X$1001,MATCH(ROWS($V$2:V94),$V$2:$V$1001,0),0), INDEX($AC$1004:$AS$1004,1,MATCH(COLUMNS($AC$1006:AH1006),$AC$1006:$AS$1006,0)))),"Fix")))</f>
        <v xml:space="preserve"> </v>
      </c>
      <c r="H94" s="4" t="str">
        <f ca="1">IF(OR(INDEX($W$2:$W$1001,MATCH(ROWS($V$2:V94),$V$2:$V$1001,0),1)&gt;=100000,INDEX($AC$1005:$AS$1005,1,MATCH(COLUMNS($AC$1006:AI1006),$AC$1006:$AS$1006,0))&gt;=100000), " ",IF(INDEX($AC$2:$AS$1001,MATCH(ROWS($V$2:V94),$V$2:$V$1001,0),MATCH(COLUMNS($AC$1006:AI1006),$AC$1006:$AS$1006,0)), HYPERLINK("#",""), HYPERLINK(CONCATENATE("#metadata!", ADDRESS(INDEX($X$2:$X$1001,MATCH(ROWS($V$2:V94),$V$2:$V$1001,0),0), INDEX($AC$1004:$AS$1004,1,MATCH(COLUMNS($AC$1006:AI1006),$AC$1006:$AS$1006,0)))),"Fix")))</f>
        <v xml:space="preserve"> </v>
      </c>
      <c r="I94" s="4" t="str">
        <f ca="1">IF(OR(INDEX($W$2:$W$1001,MATCH(ROWS($V$2:V94),$V$2:$V$1001,0),1)&gt;=100000,INDEX($AC$1005:$AS$1005,1,MATCH(COLUMNS($AC$1006:AJ1006),$AC$1006:$AS$1006,0))&gt;=100000), " ",IF(INDEX($AC$2:$AS$1001,MATCH(ROWS($V$2:V94),$V$2:$V$1001,0),MATCH(COLUMNS($AC$1006:AJ1006),$AC$1006:$AS$1006,0)), HYPERLINK("#",""), HYPERLINK(CONCATENATE("#metadata!", ADDRESS(INDEX($X$2:$X$1001,MATCH(ROWS($V$2:V94),$V$2:$V$1001,0),0), INDEX($AC$1004:$AS$1004,1,MATCH(COLUMNS($AC$1006:AJ1006),$AC$1006:$AS$1006,0)))),"Fix")))</f>
        <v xml:space="preserve"> </v>
      </c>
      <c r="J94" s="4" t="str">
        <f ca="1">IF(OR(INDEX($W$2:$W$1001,MATCH(ROWS($V$2:V94),$V$2:$V$1001,0),1)&gt;=100000,INDEX($AC$1005:$AS$1005,1,MATCH(COLUMNS($AC$1006:AK1006),$AC$1006:$AS$1006,0))&gt;=100000), " ",IF(INDEX($AC$2:$AS$1001,MATCH(ROWS($V$2:V94),$V$2:$V$1001,0),MATCH(COLUMNS($AC$1006:AK1006),$AC$1006:$AS$1006,0)), HYPERLINK("#",""), HYPERLINK(CONCATENATE("#metadata!", ADDRESS(INDEX($X$2:$X$1001,MATCH(ROWS($V$2:V94),$V$2:$V$1001,0),0), INDEX($AC$1004:$AS$1004,1,MATCH(COLUMNS($AC$1006:AK1006),$AC$1006:$AS$1006,0)))),"Fix")))</f>
        <v xml:space="preserve"> </v>
      </c>
      <c r="K94" s="4" t="str">
        <f ca="1">IF(OR(INDEX($W$2:$W$1001,MATCH(ROWS($V$2:V94),$V$2:$V$1001,0),1)&gt;=100000,INDEX($AC$1005:$AS$1005,1,MATCH(COLUMNS($AC$1006:AL1006),$AC$1006:$AS$1006,0))&gt;=100000), " ",IF(INDEX($AC$2:$AS$1001,MATCH(ROWS($V$2:V94),$V$2:$V$1001,0),MATCH(COLUMNS($AC$1006:AL1006),$AC$1006:$AS$1006,0)), HYPERLINK("#",""), HYPERLINK(CONCATENATE("#metadata!", ADDRESS(INDEX($X$2:$X$1001,MATCH(ROWS($V$2:V94),$V$2:$V$1001,0),0), INDEX($AC$1004:$AS$1004,1,MATCH(COLUMNS($AC$1006:AL1006),$AC$1006:$AS$1006,0)))),"Fix")))</f>
        <v xml:space="preserve"> </v>
      </c>
      <c r="L94" s="4" t="str">
        <f ca="1">IF(OR(INDEX($W$2:$W$1001,MATCH(ROWS($V$2:V94),$V$2:$V$1001,0),1)&gt;=100000,INDEX($AC$1005:$AS$1005,1,MATCH(COLUMNS($AC$1006:AM1006),$AC$1006:$AS$1006,0))&gt;=100000), " ",IF(INDEX($AC$2:$AS$1001,MATCH(ROWS($V$2:V94),$V$2:$V$1001,0),MATCH(COLUMNS($AC$1006:AM1006),$AC$1006:$AS$1006,0)), HYPERLINK("#",""), HYPERLINK(CONCATENATE("#metadata!", ADDRESS(INDEX($X$2:$X$1001,MATCH(ROWS($V$2:V94),$V$2:$V$1001,0),0), INDEX($AC$1004:$AS$1004,1,MATCH(COLUMNS($AC$1006:AM1006),$AC$1006:$AS$1006,0)))),"Fix")))</f>
        <v xml:space="preserve"> </v>
      </c>
      <c r="M94" s="4" t="str">
        <f ca="1">IF(OR(INDEX($W$2:$W$1001,MATCH(ROWS($V$2:V94),$V$2:$V$1001,0),1)&gt;=100000,INDEX($AC$1005:$AS$1005,1,MATCH(COLUMNS($AC$1006:AN1006),$AC$1006:$AS$1006,0))&gt;=100000), " ",IF(INDEX($AC$2:$AS$1001,MATCH(ROWS($V$2:V94),$V$2:$V$1001,0),MATCH(COLUMNS($AC$1006:AN1006),$AC$1006:$AS$1006,0)), HYPERLINK("#",""), HYPERLINK(CONCATENATE("#metadata!", ADDRESS(INDEX($X$2:$X$1001,MATCH(ROWS($V$2:V94),$V$2:$V$1001,0),0), INDEX($AC$1004:$AS$1004,1,MATCH(COLUMNS($AC$1006:AN1006),$AC$1006:$AS$1006,0)))),"Fix")))</f>
        <v xml:space="preserve"> </v>
      </c>
      <c r="N94" s="4" t="str">
        <f ca="1">IF(OR(INDEX($W$2:$W$1001,MATCH(ROWS($V$2:V94),$V$2:$V$1001,0),1)&gt;=100000,INDEX($AC$1005:$AS$1005,1,MATCH(COLUMNS($AC$1006:AO1006),$AC$1006:$AS$1006,0))&gt;=100000), " ",IF(INDEX($AC$2:$AS$1001,MATCH(ROWS($V$2:V94),$V$2:$V$1001,0),MATCH(COLUMNS($AC$1006:AO1006),$AC$1006:$AS$1006,0)), HYPERLINK("#",""), HYPERLINK(CONCATENATE("#metadata!", ADDRESS(INDEX($X$2:$X$1001,MATCH(ROWS($V$2:V94),$V$2:$V$1001,0),0), INDEX($AC$1004:$AS$1004,1,MATCH(COLUMNS($AC$1006:AO1006),$AC$1006:$AS$1006,0)))),"Fix")))</f>
        <v xml:space="preserve"> </v>
      </c>
      <c r="O94" s="4" t="str">
        <f ca="1">IF(OR(INDEX($W$2:$W$1001,MATCH(ROWS($V$2:V94),$V$2:$V$1001,0),1)&gt;=100000,INDEX($AC$1005:$AS$1005,1,MATCH(COLUMNS($AC$1006:AP1006),$AC$1006:$AS$1006,0))&gt;=100000), " ",IF(INDEX($AC$2:$AS$1001,MATCH(ROWS($V$2:V94),$V$2:$V$1001,0),MATCH(COLUMNS($AC$1006:AP1006),$AC$1006:$AS$1006,0)), HYPERLINK("#",""), HYPERLINK(CONCATENATE("#metadata!", ADDRESS(INDEX($X$2:$X$1001,MATCH(ROWS($V$2:V94),$V$2:$V$1001,0),0), INDEX($AC$1004:$AS$1004,1,MATCH(COLUMNS($AC$1006:AP1006),$AC$1006:$AS$1006,0)))),"Fix")))</f>
        <v xml:space="preserve"> </v>
      </c>
      <c r="P94" s="4" t="str">
        <f ca="1">IF(OR(INDEX($W$2:$W$1001,MATCH(ROWS($V$2:V94),$V$2:$V$1001,0),1)&gt;=100000,INDEX($AC$1005:$AS$1005,1,MATCH(COLUMNS($AC$1006:AQ1006),$AC$1006:$AS$1006,0))&gt;=100000), " ",IF(INDEX($AC$2:$AS$1001,MATCH(ROWS($V$2:V94),$V$2:$V$1001,0),MATCH(COLUMNS($AC$1006:AQ1006),$AC$1006:$AS$1006,0)), HYPERLINK("#",""), HYPERLINK(CONCATENATE("#metadata!", ADDRESS(INDEX($X$2:$X$1001,MATCH(ROWS($V$2:V94),$V$2:$V$1001,0),0), INDEX($AC$1004:$AS$1004,1,MATCH(COLUMNS($AC$1006:AQ1006),$AC$1006:$AS$1006,0)))),"Fix")))</f>
        <v xml:space="preserve"> </v>
      </c>
      <c r="Q94" s="4" t="str">
        <f ca="1">IF(OR(INDEX($W$2:$W$1001,MATCH(ROWS($V$2:V94),$V$2:$V$1001,0),1)&gt;=100000,INDEX($AC$1005:$AS$1005,1,MATCH(COLUMNS($AC$1006:AR1006),$AC$1006:$AS$1006,0))&gt;=100000), " ",IF(INDEX($AC$2:$AS$1001,MATCH(ROWS($V$2:V94),$V$2:$V$1001,0),MATCH(COLUMNS($AC$1006:AR1006),$AC$1006:$AS$1006,0)), HYPERLINK("#",""), HYPERLINK(CONCATENATE("#metadata!", ADDRESS(INDEX($X$2:$X$1001,MATCH(ROWS($V$2:V94),$V$2:$V$1001,0),0), INDEX($AC$1004:$AS$1004,1,MATCH(COLUMNS($AC$1006:AR1006),$AC$1006:$AS$1006,0)))),"Fix")))</f>
        <v xml:space="preserve"> </v>
      </c>
      <c r="R94" s="4" t="str">
        <f ca="1">IF(OR(INDEX($W$2:$W$1001,MATCH(ROWS($V$2:V94),$V$2:$V$1001,0),1)&gt;=100000,INDEX($AC$1005:$AS$1005,1,MATCH(COLUMNS($AC$1006:AS1006),$AC$1006:$AS$1006,0))&gt;=100000), " ",IF(INDEX($AC$2:$AS$1001,MATCH(ROWS($V$2:V94),$V$2:$V$1001,0),MATCH(COLUMNS($AC$1006:AS1006),$AC$1006:$AS$1006,0)), HYPERLINK("#",""), HYPERLINK(CONCATENATE("#metadata!", ADDRESS(INDEX($X$2:$X$1001,MATCH(ROWS($V$2:V94),$V$2:$V$1001,0),0), INDEX($AC$1004:$AS$1004,1,MATCH(COLUMNS($AC$1006:AS1006),$AC$1006:$AS$1006,0)))),"Fix")))</f>
        <v xml:space="preserve"> </v>
      </c>
      <c r="V94">
        <v>93</v>
      </c>
      <c r="W94">
        <v>100094</v>
      </c>
      <c r="X94">
        <v>94</v>
      </c>
      <c r="Y94" t="b">
        <f t="shared" si="1"/>
        <v>1</v>
      </c>
      <c r="Z94" t="b">
        <f>COUNTBLANK(metadata!B94:R94)=COLUMNS(metadata!B94:R94)</f>
        <v>1</v>
      </c>
      <c r="AA94" t="str">
        <v/>
      </c>
      <c r="AC94" t="b">
        <f ca="1"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AD94" t="b">
        <f>IF(metadata!C94="",FALSE,ISNUMBER(VALUE(metadata!C94)))</f>
        <v>0</v>
      </c>
      <c r="AE94" t="b">
        <f>AND(IF(metadata!D94="",FALSE,TRUE),EXACT(metadata!D94,"years"))</f>
        <v>0</v>
      </c>
      <c r="AF94" t="b">
        <f>OR(AND(IF(metadata!E94="",FALSE,TRUE),OR(EXACT(metadata!E94,"not applicable"),EXACT(metadata!E94,"missing: not collected"),EXACT(metadata!E94,"missing: not provided"),EXACT(metadata!E94,"missing: restricted access"))),AND(IF(metadata!E94="",FALSE,ISNUMBER(VALUE(metadata!E94))),metadata!E94&gt;0))</f>
        <v>0</v>
      </c>
      <c r="AG94" t="b">
        <f>AND(IF(metadata!F94="",FALSE,TRUE),EXACT(metadata!F94,"Not applicable"))</f>
        <v>0</v>
      </c>
      <c r="AH94" t="b">
        <f>AND(IF(metadata!G94="",FALSE,TRUE),EXACT(metadata!G94,"urban biome"))</f>
        <v>0</v>
      </c>
      <c r="AI94" t="b">
        <f>AND(IF(metadata!H94="",FALSE,TRUE),EXACT(metadata!H94,"human-associated habitat"))</f>
        <v>0</v>
      </c>
      <c r="AJ94" t="b">
        <f>AND(IF(metadata!I94="",FALSE,TRUE),OR(EXACT(metadata!I94,"human-associated"),EXACT(metadata!I94,"human-skin"),EXACT(metadata!I94,"human-oral"),EXACT(metadata!I94,"human-gut"),EXACT(metadata!I94,"human-vaginal")))</f>
        <v>0</v>
      </c>
      <c r="AK94" t="b">
        <f>IF(metadata!J94="",FALSE,ISNUMBER(VALUE(metadata!J94)))</f>
        <v>0</v>
      </c>
      <c r="AL94" t="b">
        <f>AND(IF(metadata!K94="",FALSE,TRUE),EXACT(metadata!K94,"cm"))</f>
        <v>0</v>
      </c>
      <c r="AM94" t="b">
        <f>AND(IF(metadata!L94="",FALSE,TRUE),EXACT(metadata!L94,"human"))</f>
        <v>0</v>
      </c>
      <c r="AN94" t="b">
        <f>AND(IF(metadata!M94="",FALSE,TRUE),EXACT(metadata!M94,"Homo sapiens"))</f>
        <v>0</v>
      </c>
      <c r="AO94" t="b">
        <f>AND(IF(metadata!N94="",FALSE,TRUE),EXACT(metadata!N94,"9606"))</f>
        <v>0</v>
      </c>
      <c r="AP94" t="b">
        <f>IF(metadata!O94="",FALSE,TRUE)</f>
        <v>0</v>
      </c>
      <c r="AQ94" t="b">
        <f>IF(metadata!P94="",FALSE,TRUE)</f>
        <v>0</v>
      </c>
      <c r="AR94" t="b">
        <f>IF(metadata!Q94="",FALSE,ISNUMBER(VALUE(metadata!Q94)))</f>
        <v>0</v>
      </c>
      <c r="AS94" t="b">
        <f>AND(IF(metadata!R94="",FALSE,TRUE),EXACT(metadata!R94,"kg"))</f>
        <v>0</v>
      </c>
    </row>
    <row r="95" spans="1:45" x14ac:dyDescent="0.2">
      <c r="A95" s="5" t="str">
        <f ca="1">IF(B95=" "," ",HYPERLINK(CONCATENATE("#metadata!",ADDRESS(INDEX($X$2:$X$1001,MATCH(ROWS($V$2:V95),$V$2:$V$1001,0),0),1)),INDEX($AA$2:$AA$1001,MATCH(ROWS($V$2:V95),$V$2:$V$1001,0),0)))</f>
        <v xml:space="preserve"> </v>
      </c>
      <c r="B95" s="4" t="str">
        <f ca="1">IF(OR(INDEX($W$2:$W$1001,MATCH(ROWS($V$2:V95),$V$2:$V$1001,0),1)&gt;=100000,INDEX($AC$1005:$AS$1005,1,MATCH(COLUMNS($AC$1006:AC1006),$AC$1006:$AS$1006,0))&gt;=100000), " ",IF(INDEX($AC$2:$AS$1001,MATCH(ROWS($V$2:V95),$V$2:$V$1001,0),MATCH(COLUMNS($AC$1006:AC1006),$AC$1006:$AS$1006,0)), HYPERLINK("#",""), HYPERLINK(CONCATENATE("#metadata!", ADDRESS(INDEX($X$2:$X$1001,MATCH(ROWS($V$2:V95),$V$2:$V$1001,0),0), INDEX($AC$1004:$AS$1004,1,MATCH(COLUMNS($AC$1006:AC1006),$AC$1006:$AS$1006,0)))),"Fix")))</f>
        <v xml:space="preserve"> </v>
      </c>
      <c r="C95" s="4" t="str">
        <f ca="1">IF(OR(INDEX($W$2:$W$1001,MATCH(ROWS($V$2:V95),$V$2:$V$1001,0),1)&gt;=100000,INDEX($AC$1005:$AS$1005,1,MATCH(COLUMNS($AC$1006:AD1006),$AC$1006:$AS$1006,0))&gt;=100000), " ",IF(INDEX($AC$2:$AS$1001,MATCH(ROWS($V$2:V95),$V$2:$V$1001,0),MATCH(COLUMNS($AC$1006:AD1006),$AC$1006:$AS$1006,0)), HYPERLINK("#",""), HYPERLINK(CONCATENATE("#metadata!", ADDRESS(INDEX($X$2:$X$1001,MATCH(ROWS($V$2:V95),$V$2:$V$1001,0),0), INDEX($AC$1004:$AS$1004,1,MATCH(COLUMNS($AC$1006:AD1006),$AC$1006:$AS$1006,0)))),"Fix")))</f>
        <v xml:space="preserve"> </v>
      </c>
      <c r="D95" s="4" t="str">
        <f ca="1">IF(OR(INDEX($W$2:$W$1001,MATCH(ROWS($V$2:V95),$V$2:$V$1001,0),1)&gt;=100000,INDEX($AC$1005:$AS$1005,1,MATCH(COLUMNS($AC$1006:AE1006),$AC$1006:$AS$1006,0))&gt;=100000), " ",IF(INDEX($AC$2:$AS$1001,MATCH(ROWS($V$2:V95),$V$2:$V$1001,0),MATCH(COLUMNS($AC$1006:AE1006),$AC$1006:$AS$1006,0)), HYPERLINK("#",""), HYPERLINK(CONCATENATE("#metadata!", ADDRESS(INDEX($X$2:$X$1001,MATCH(ROWS($V$2:V95),$V$2:$V$1001,0),0), INDEX($AC$1004:$AS$1004,1,MATCH(COLUMNS($AC$1006:AE1006),$AC$1006:$AS$1006,0)))),"Fix")))</f>
        <v xml:space="preserve"> </v>
      </c>
      <c r="E95" s="4" t="str">
        <f ca="1">IF(OR(INDEX($W$2:$W$1001,MATCH(ROWS($V$2:V95),$V$2:$V$1001,0),1)&gt;=100000,INDEX($AC$1005:$AS$1005,1,MATCH(COLUMNS($AC$1006:AF1006),$AC$1006:$AS$1006,0))&gt;=100000), " ",IF(INDEX($AC$2:$AS$1001,MATCH(ROWS($V$2:V95),$V$2:$V$1001,0),MATCH(COLUMNS($AC$1006:AF1006),$AC$1006:$AS$1006,0)), HYPERLINK("#",""), HYPERLINK(CONCATENATE("#metadata!", ADDRESS(INDEX($X$2:$X$1001,MATCH(ROWS($V$2:V95),$V$2:$V$1001,0),0), INDEX($AC$1004:$AS$1004,1,MATCH(COLUMNS($AC$1006:AF1006),$AC$1006:$AS$1006,0)))),"Fix")))</f>
        <v xml:space="preserve"> </v>
      </c>
      <c r="F95" s="4" t="str">
        <f ca="1">IF(OR(INDEX($W$2:$W$1001,MATCH(ROWS($V$2:V95),$V$2:$V$1001,0),1)&gt;=100000,INDEX($AC$1005:$AS$1005,1,MATCH(COLUMNS($AC$1006:AG1006),$AC$1006:$AS$1006,0))&gt;=100000), " ",IF(INDEX($AC$2:$AS$1001,MATCH(ROWS($V$2:V95),$V$2:$V$1001,0),MATCH(COLUMNS($AC$1006:AG1006),$AC$1006:$AS$1006,0)), HYPERLINK("#",""), HYPERLINK(CONCATENATE("#metadata!", ADDRESS(INDEX($X$2:$X$1001,MATCH(ROWS($V$2:V95),$V$2:$V$1001,0),0), INDEX($AC$1004:$AS$1004,1,MATCH(COLUMNS($AC$1006:AG1006),$AC$1006:$AS$1006,0)))),"Fix")))</f>
        <v xml:space="preserve"> </v>
      </c>
      <c r="G95" s="4" t="str">
        <f ca="1">IF(OR(INDEX($W$2:$W$1001,MATCH(ROWS($V$2:V95),$V$2:$V$1001,0),1)&gt;=100000,INDEX($AC$1005:$AS$1005,1,MATCH(COLUMNS($AC$1006:AH1006),$AC$1006:$AS$1006,0))&gt;=100000), " ",IF(INDEX($AC$2:$AS$1001,MATCH(ROWS($V$2:V95),$V$2:$V$1001,0),MATCH(COLUMNS($AC$1006:AH1006),$AC$1006:$AS$1006,0)), HYPERLINK("#",""), HYPERLINK(CONCATENATE("#metadata!", ADDRESS(INDEX($X$2:$X$1001,MATCH(ROWS($V$2:V95),$V$2:$V$1001,0),0), INDEX($AC$1004:$AS$1004,1,MATCH(COLUMNS($AC$1006:AH1006),$AC$1006:$AS$1006,0)))),"Fix")))</f>
        <v xml:space="preserve"> </v>
      </c>
      <c r="H95" s="4" t="str">
        <f ca="1">IF(OR(INDEX($W$2:$W$1001,MATCH(ROWS($V$2:V95),$V$2:$V$1001,0),1)&gt;=100000,INDEX($AC$1005:$AS$1005,1,MATCH(COLUMNS($AC$1006:AI1006),$AC$1006:$AS$1006,0))&gt;=100000), " ",IF(INDEX($AC$2:$AS$1001,MATCH(ROWS($V$2:V95),$V$2:$V$1001,0),MATCH(COLUMNS($AC$1006:AI1006),$AC$1006:$AS$1006,0)), HYPERLINK("#",""), HYPERLINK(CONCATENATE("#metadata!", ADDRESS(INDEX($X$2:$X$1001,MATCH(ROWS($V$2:V95),$V$2:$V$1001,0),0), INDEX($AC$1004:$AS$1004,1,MATCH(COLUMNS($AC$1006:AI1006),$AC$1006:$AS$1006,0)))),"Fix")))</f>
        <v xml:space="preserve"> </v>
      </c>
      <c r="I95" s="4" t="str">
        <f ca="1">IF(OR(INDEX($W$2:$W$1001,MATCH(ROWS($V$2:V95),$V$2:$V$1001,0),1)&gt;=100000,INDEX($AC$1005:$AS$1005,1,MATCH(COLUMNS($AC$1006:AJ1006),$AC$1006:$AS$1006,0))&gt;=100000), " ",IF(INDEX($AC$2:$AS$1001,MATCH(ROWS($V$2:V95),$V$2:$V$1001,0),MATCH(COLUMNS($AC$1006:AJ1006),$AC$1006:$AS$1006,0)), HYPERLINK("#",""), HYPERLINK(CONCATENATE("#metadata!", ADDRESS(INDEX($X$2:$X$1001,MATCH(ROWS($V$2:V95),$V$2:$V$1001,0),0), INDEX($AC$1004:$AS$1004,1,MATCH(COLUMNS($AC$1006:AJ1006),$AC$1006:$AS$1006,0)))),"Fix")))</f>
        <v xml:space="preserve"> </v>
      </c>
      <c r="J95" s="4" t="str">
        <f ca="1">IF(OR(INDEX($W$2:$W$1001,MATCH(ROWS($V$2:V95),$V$2:$V$1001,0),1)&gt;=100000,INDEX($AC$1005:$AS$1005,1,MATCH(COLUMNS($AC$1006:AK1006),$AC$1006:$AS$1006,0))&gt;=100000), " ",IF(INDEX($AC$2:$AS$1001,MATCH(ROWS($V$2:V95),$V$2:$V$1001,0),MATCH(COLUMNS($AC$1006:AK1006),$AC$1006:$AS$1006,0)), HYPERLINK("#",""), HYPERLINK(CONCATENATE("#metadata!", ADDRESS(INDEX($X$2:$X$1001,MATCH(ROWS($V$2:V95),$V$2:$V$1001,0),0), INDEX($AC$1004:$AS$1004,1,MATCH(COLUMNS($AC$1006:AK1006),$AC$1006:$AS$1006,0)))),"Fix")))</f>
        <v xml:space="preserve"> </v>
      </c>
      <c r="K95" s="4" t="str">
        <f ca="1">IF(OR(INDEX($W$2:$W$1001,MATCH(ROWS($V$2:V95),$V$2:$V$1001,0),1)&gt;=100000,INDEX($AC$1005:$AS$1005,1,MATCH(COLUMNS($AC$1006:AL1006),$AC$1006:$AS$1006,0))&gt;=100000), " ",IF(INDEX($AC$2:$AS$1001,MATCH(ROWS($V$2:V95),$V$2:$V$1001,0),MATCH(COLUMNS($AC$1006:AL1006),$AC$1006:$AS$1006,0)), HYPERLINK("#",""), HYPERLINK(CONCATENATE("#metadata!", ADDRESS(INDEX($X$2:$X$1001,MATCH(ROWS($V$2:V95),$V$2:$V$1001,0),0), INDEX($AC$1004:$AS$1004,1,MATCH(COLUMNS($AC$1006:AL1006),$AC$1006:$AS$1006,0)))),"Fix")))</f>
        <v xml:space="preserve"> </v>
      </c>
      <c r="L95" s="4" t="str">
        <f ca="1">IF(OR(INDEX($W$2:$W$1001,MATCH(ROWS($V$2:V95),$V$2:$V$1001,0),1)&gt;=100000,INDEX($AC$1005:$AS$1005,1,MATCH(COLUMNS($AC$1006:AM1006),$AC$1006:$AS$1006,0))&gt;=100000), " ",IF(INDEX($AC$2:$AS$1001,MATCH(ROWS($V$2:V95),$V$2:$V$1001,0),MATCH(COLUMNS($AC$1006:AM1006),$AC$1006:$AS$1006,0)), HYPERLINK("#",""), HYPERLINK(CONCATENATE("#metadata!", ADDRESS(INDEX($X$2:$X$1001,MATCH(ROWS($V$2:V95),$V$2:$V$1001,0),0), INDEX($AC$1004:$AS$1004,1,MATCH(COLUMNS($AC$1006:AM1006),$AC$1006:$AS$1006,0)))),"Fix")))</f>
        <v xml:space="preserve"> </v>
      </c>
      <c r="M95" s="4" t="str">
        <f ca="1">IF(OR(INDEX($W$2:$W$1001,MATCH(ROWS($V$2:V95),$V$2:$V$1001,0),1)&gt;=100000,INDEX($AC$1005:$AS$1005,1,MATCH(COLUMNS($AC$1006:AN1006),$AC$1006:$AS$1006,0))&gt;=100000), " ",IF(INDEX($AC$2:$AS$1001,MATCH(ROWS($V$2:V95),$V$2:$V$1001,0),MATCH(COLUMNS($AC$1006:AN1006),$AC$1006:$AS$1006,0)), HYPERLINK("#",""), HYPERLINK(CONCATENATE("#metadata!", ADDRESS(INDEX($X$2:$X$1001,MATCH(ROWS($V$2:V95),$V$2:$V$1001,0),0), INDEX($AC$1004:$AS$1004,1,MATCH(COLUMNS($AC$1006:AN1006),$AC$1006:$AS$1006,0)))),"Fix")))</f>
        <v xml:space="preserve"> </v>
      </c>
      <c r="N95" s="4" t="str">
        <f ca="1">IF(OR(INDEX($W$2:$W$1001,MATCH(ROWS($V$2:V95),$V$2:$V$1001,0),1)&gt;=100000,INDEX($AC$1005:$AS$1005,1,MATCH(COLUMNS($AC$1006:AO1006),$AC$1006:$AS$1006,0))&gt;=100000), " ",IF(INDEX($AC$2:$AS$1001,MATCH(ROWS($V$2:V95),$V$2:$V$1001,0),MATCH(COLUMNS($AC$1006:AO1006),$AC$1006:$AS$1006,0)), HYPERLINK("#",""), HYPERLINK(CONCATENATE("#metadata!", ADDRESS(INDEX($X$2:$X$1001,MATCH(ROWS($V$2:V95),$V$2:$V$1001,0),0), INDEX($AC$1004:$AS$1004,1,MATCH(COLUMNS($AC$1006:AO1006),$AC$1006:$AS$1006,0)))),"Fix")))</f>
        <v xml:space="preserve"> </v>
      </c>
      <c r="O95" s="4" t="str">
        <f ca="1">IF(OR(INDEX($W$2:$W$1001,MATCH(ROWS($V$2:V95),$V$2:$V$1001,0),1)&gt;=100000,INDEX($AC$1005:$AS$1005,1,MATCH(COLUMNS($AC$1006:AP1006),$AC$1006:$AS$1006,0))&gt;=100000), " ",IF(INDEX($AC$2:$AS$1001,MATCH(ROWS($V$2:V95),$V$2:$V$1001,0),MATCH(COLUMNS($AC$1006:AP1006),$AC$1006:$AS$1006,0)), HYPERLINK("#",""), HYPERLINK(CONCATENATE("#metadata!", ADDRESS(INDEX($X$2:$X$1001,MATCH(ROWS($V$2:V95),$V$2:$V$1001,0),0), INDEX($AC$1004:$AS$1004,1,MATCH(COLUMNS($AC$1006:AP1006),$AC$1006:$AS$1006,0)))),"Fix")))</f>
        <v xml:space="preserve"> </v>
      </c>
      <c r="P95" s="4" t="str">
        <f ca="1">IF(OR(INDEX($W$2:$W$1001,MATCH(ROWS($V$2:V95),$V$2:$V$1001,0),1)&gt;=100000,INDEX($AC$1005:$AS$1005,1,MATCH(COLUMNS($AC$1006:AQ1006),$AC$1006:$AS$1006,0))&gt;=100000), " ",IF(INDEX($AC$2:$AS$1001,MATCH(ROWS($V$2:V95),$V$2:$V$1001,0),MATCH(COLUMNS($AC$1006:AQ1006),$AC$1006:$AS$1006,0)), HYPERLINK("#",""), HYPERLINK(CONCATENATE("#metadata!", ADDRESS(INDEX($X$2:$X$1001,MATCH(ROWS($V$2:V95),$V$2:$V$1001,0),0), INDEX($AC$1004:$AS$1004,1,MATCH(COLUMNS($AC$1006:AQ1006),$AC$1006:$AS$1006,0)))),"Fix")))</f>
        <v xml:space="preserve"> </v>
      </c>
      <c r="Q95" s="4" t="str">
        <f ca="1">IF(OR(INDEX($W$2:$W$1001,MATCH(ROWS($V$2:V95),$V$2:$V$1001,0),1)&gt;=100000,INDEX($AC$1005:$AS$1005,1,MATCH(COLUMNS($AC$1006:AR1006),$AC$1006:$AS$1006,0))&gt;=100000), " ",IF(INDEX($AC$2:$AS$1001,MATCH(ROWS($V$2:V95),$V$2:$V$1001,0),MATCH(COLUMNS($AC$1006:AR1006),$AC$1006:$AS$1006,0)), HYPERLINK("#",""), HYPERLINK(CONCATENATE("#metadata!", ADDRESS(INDEX($X$2:$X$1001,MATCH(ROWS($V$2:V95),$V$2:$V$1001,0),0), INDEX($AC$1004:$AS$1004,1,MATCH(COLUMNS($AC$1006:AR1006),$AC$1006:$AS$1006,0)))),"Fix")))</f>
        <v xml:space="preserve"> </v>
      </c>
      <c r="R95" s="4" t="str">
        <f ca="1">IF(OR(INDEX($W$2:$W$1001,MATCH(ROWS($V$2:V95),$V$2:$V$1001,0),1)&gt;=100000,INDEX($AC$1005:$AS$1005,1,MATCH(COLUMNS($AC$1006:AS1006),$AC$1006:$AS$1006,0))&gt;=100000), " ",IF(INDEX($AC$2:$AS$1001,MATCH(ROWS($V$2:V95),$V$2:$V$1001,0),MATCH(COLUMNS($AC$1006:AS1006),$AC$1006:$AS$1006,0)), HYPERLINK("#",""), HYPERLINK(CONCATENATE("#metadata!", ADDRESS(INDEX($X$2:$X$1001,MATCH(ROWS($V$2:V95),$V$2:$V$1001,0),0), INDEX($AC$1004:$AS$1004,1,MATCH(COLUMNS($AC$1006:AS1006),$AC$1006:$AS$1006,0)))),"Fix")))</f>
        <v xml:space="preserve"> </v>
      </c>
      <c r="V95">
        <v>94</v>
      </c>
      <c r="W95">
        <v>100095</v>
      </c>
      <c r="X95">
        <v>95</v>
      </c>
      <c r="Y95" t="b">
        <f t="shared" si="1"/>
        <v>1</v>
      </c>
      <c r="Z95" t="b">
        <f>COUNTBLANK(metadata!B95:R95)=COLUMNS(metadata!B95:R95)</f>
        <v>1</v>
      </c>
      <c r="AA95" t="str">
        <v/>
      </c>
      <c r="AC95" t="b">
        <f ca="1"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AD95" t="b">
        <f>IF(metadata!C95="",FALSE,ISNUMBER(VALUE(metadata!C95)))</f>
        <v>0</v>
      </c>
      <c r="AE95" t="b">
        <f>AND(IF(metadata!D95="",FALSE,TRUE),EXACT(metadata!D95,"years"))</f>
        <v>0</v>
      </c>
      <c r="AF95" t="b">
        <f>OR(AND(IF(metadata!E95="",FALSE,TRUE),OR(EXACT(metadata!E95,"not applicable"),EXACT(metadata!E95,"missing: not collected"),EXACT(metadata!E95,"missing: not provided"),EXACT(metadata!E95,"missing: restricted access"))),AND(IF(metadata!E95="",FALSE,ISNUMBER(VALUE(metadata!E95))),metadata!E95&gt;0))</f>
        <v>0</v>
      </c>
      <c r="AG95" t="b">
        <f>AND(IF(metadata!F95="",FALSE,TRUE),EXACT(metadata!F95,"Not applicable"))</f>
        <v>0</v>
      </c>
      <c r="AH95" t="b">
        <f>AND(IF(metadata!G95="",FALSE,TRUE),EXACT(metadata!G95,"urban biome"))</f>
        <v>0</v>
      </c>
      <c r="AI95" t="b">
        <f>AND(IF(metadata!H95="",FALSE,TRUE),EXACT(metadata!H95,"human-associated habitat"))</f>
        <v>0</v>
      </c>
      <c r="AJ95" t="b">
        <f>AND(IF(metadata!I95="",FALSE,TRUE),OR(EXACT(metadata!I95,"human-associated"),EXACT(metadata!I95,"human-skin"),EXACT(metadata!I95,"human-oral"),EXACT(metadata!I95,"human-gut"),EXACT(metadata!I95,"human-vaginal")))</f>
        <v>0</v>
      </c>
      <c r="AK95" t="b">
        <f>IF(metadata!J95="",FALSE,ISNUMBER(VALUE(metadata!J95)))</f>
        <v>0</v>
      </c>
      <c r="AL95" t="b">
        <f>AND(IF(metadata!K95="",FALSE,TRUE),EXACT(metadata!K95,"cm"))</f>
        <v>0</v>
      </c>
      <c r="AM95" t="b">
        <f>AND(IF(metadata!L95="",FALSE,TRUE),EXACT(metadata!L95,"human"))</f>
        <v>0</v>
      </c>
      <c r="AN95" t="b">
        <f>AND(IF(metadata!M95="",FALSE,TRUE),EXACT(metadata!M95,"Homo sapiens"))</f>
        <v>0</v>
      </c>
      <c r="AO95" t="b">
        <f>AND(IF(metadata!N95="",FALSE,TRUE),EXACT(metadata!N95,"9606"))</f>
        <v>0</v>
      </c>
      <c r="AP95" t="b">
        <f>IF(metadata!O95="",FALSE,TRUE)</f>
        <v>0</v>
      </c>
      <c r="AQ95" t="b">
        <f>IF(metadata!P95="",FALSE,TRUE)</f>
        <v>0</v>
      </c>
      <c r="AR95" t="b">
        <f>IF(metadata!Q95="",FALSE,ISNUMBER(VALUE(metadata!Q95)))</f>
        <v>0</v>
      </c>
      <c r="AS95" t="b">
        <f>AND(IF(metadata!R95="",FALSE,TRUE),EXACT(metadata!R95,"kg"))</f>
        <v>0</v>
      </c>
    </row>
    <row r="96" spans="1:45" x14ac:dyDescent="0.2">
      <c r="A96" s="5" t="str">
        <f ca="1">IF(B96=" "," ",HYPERLINK(CONCATENATE("#metadata!",ADDRESS(INDEX($X$2:$X$1001,MATCH(ROWS($V$2:V96),$V$2:$V$1001,0),0),1)),INDEX($AA$2:$AA$1001,MATCH(ROWS($V$2:V96),$V$2:$V$1001,0),0)))</f>
        <v xml:space="preserve"> </v>
      </c>
      <c r="B96" s="4" t="str">
        <f ca="1">IF(OR(INDEX($W$2:$W$1001,MATCH(ROWS($V$2:V96),$V$2:$V$1001,0),1)&gt;=100000,INDEX($AC$1005:$AS$1005,1,MATCH(COLUMNS($AC$1006:AC1006),$AC$1006:$AS$1006,0))&gt;=100000), " ",IF(INDEX($AC$2:$AS$1001,MATCH(ROWS($V$2:V96),$V$2:$V$1001,0),MATCH(COLUMNS($AC$1006:AC1006),$AC$1006:$AS$1006,0)), HYPERLINK("#",""), HYPERLINK(CONCATENATE("#metadata!", ADDRESS(INDEX($X$2:$X$1001,MATCH(ROWS($V$2:V96),$V$2:$V$1001,0),0), INDEX($AC$1004:$AS$1004,1,MATCH(COLUMNS($AC$1006:AC1006),$AC$1006:$AS$1006,0)))),"Fix")))</f>
        <v xml:space="preserve"> </v>
      </c>
      <c r="C96" s="4" t="str">
        <f ca="1">IF(OR(INDEX($W$2:$W$1001,MATCH(ROWS($V$2:V96),$V$2:$V$1001,0),1)&gt;=100000,INDEX($AC$1005:$AS$1005,1,MATCH(COLUMNS($AC$1006:AD1006),$AC$1006:$AS$1006,0))&gt;=100000), " ",IF(INDEX($AC$2:$AS$1001,MATCH(ROWS($V$2:V96),$V$2:$V$1001,0),MATCH(COLUMNS($AC$1006:AD1006),$AC$1006:$AS$1006,0)), HYPERLINK("#",""), HYPERLINK(CONCATENATE("#metadata!", ADDRESS(INDEX($X$2:$X$1001,MATCH(ROWS($V$2:V96),$V$2:$V$1001,0),0), INDEX($AC$1004:$AS$1004,1,MATCH(COLUMNS($AC$1006:AD1006),$AC$1006:$AS$1006,0)))),"Fix")))</f>
        <v xml:space="preserve"> </v>
      </c>
      <c r="D96" s="4" t="str">
        <f ca="1">IF(OR(INDEX($W$2:$W$1001,MATCH(ROWS($V$2:V96),$V$2:$V$1001,0),1)&gt;=100000,INDEX($AC$1005:$AS$1005,1,MATCH(COLUMNS($AC$1006:AE1006),$AC$1006:$AS$1006,0))&gt;=100000), " ",IF(INDEX($AC$2:$AS$1001,MATCH(ROWS($V$2:V96),$V$2:$V$1001,0),MATCH(COLUMNS($AC$1006:AE1006),$AC$1006:$AS$1006,0)), HYPERLINK("#",""), HYPERLINK(CONCATENATE("#metadata!", ADDRESS(INDEX($X$2:$X$1001,MATCH(ROWS($V$2:V96),$V$2:$V$1001,0),0), INDEX($AC$1004:$AS$1004,1,MATCH(COLUMNS($AC$1006:AE1006),$AC$1006:$AS$1006,0)))),"Fix")))</f>
        <v xml:space="preserve"> </v>
      </c>
      <c r="E96" s="4" t="str">
        <f ca="1">IF(OR(INDEX($W$2:$W$1001,MATCH(ROWS($V$2:V96),$V$2:$V$1001,0),1)&gt;=100000,INDEX($AC$1005:$AS$1005,1,MATCH(COLUMNS($AC$1006:AF1006),$AC$1006:$AS$1006,0))&gt;=100000), " ",IF(INDEX($AC$2:$AS$1001,MATCH(ROWS($V$2:V96),$V$2:$V$1001,0),MATCH(COLUMNS($AC$1006:AF1006),$AC$1006:$AS$1006,0)), HYPERLINK("#",""), HYPERLINK(CONCATENATE("#metadata!", ADDRESS(INDEX($X$2:$X$1001,MATCH(ROWS($V$2:V96),$V$2:$V$1001,0),0), INDEX($AC$1004:$AS$1004,1,MATCH(COLUMNS($AC$1006:AF1006),$AC$1006:$AS$1006,0)))),"Fix")))</f>
        <v xml:space="preserve"> </v>
      </c>
      <c r="F96" s="4" t="str">
        <f ca="1">IF(OR(INDEX($W$2:$W$1001,MATCH(ROWS($V$2:V96),$V$2:$V$1001,0),1)&gt;=100000,INDEX($AC$1005:$AS$1005,1,MATCH(COLUMNS($AC$1006:AG1006),$AC$1006:$AS$1006,0))&gt;=100000), " ",IF(INDEX($AC$2:$AS$1001,MATCH(ROWS($V$2:V96),$V$2:$V$1001,0),MATCH(COLUMNS($AC$1006:AG1006),$AC$1006:$AS$1006,0)), HYPERLINK("#",""), HYPERLINK(CONCATENATE("#metadata!", ADDRESS(INDEX($X$2:$X$1001,MATCH(ROWS($V$2:V96),$V$2:$V$1001,0),0), INDEX($AC$1004:$AS$1004,1,MATCH(COLUMNS($AC$1006:AG1006),$AC$1006:$AS$1006,0)))),"Fix")))</f>
        <v xml:space="preserve"> </v>
      </c>
      <c r="G96" s="4" t="str">
        <f ca="1">IF(OR(INDEX($W$2:$W$1001,MATCH(ROWS($V$2:V96),$V$2:$V$1001,0),1)&gt;=100000,INDEX($AC$1005:$AS$1005,1,MATCH(COLUMNS($AC$1006:AH1006),$AC$1006:$AS$1006,0))&gt;=100000), " ",IF(INDEX($AC$2:$AS$1001,MATCH(ROWS($V$2:V96),$V$2:$V$1001,0),MATCH(COLUMNS($AC$1006:AH1006),$AC$1006:$AS$1006,0)), HYPERLINK("#",""), HYPERLINK(CONCATENATE("#metadata!", ADDRESS(INDEX($X$2:$X$1001,MATCH(ROWS($V$2:V96),$V$2:$V$1001,0),0), INDEX($AC$1004:$AS$1004,1,MATCH(COLUMNS($AC$1006:AH1006),$AC$1006:$AS$1006,0)))),"Fix")))</f>
        <v xml:space="preserve"> </v>
      </c>
      <c r="H96" s="4" t="str">
        <f ca="1">IF(OR(INDEX($W$2:$W$1001,MATCH(ROWS($V$2:V96),$V$2:$V$1001,0),1)&gt;=100000,INDEX($AC$1005:$AS$1005,1,MATCH(COLUMNS($AC$1006:AI1006),$AC$1006:$AS$1006,0))&gt;=100000), " ",IF(INDEX($AC$2:$AS$1001,MATCH(ROWS($V$2:V96),$V$2:$V$1001,0),MATCH(COLUMNS($AC$1006:AI1006),$AC$1006:$AS$1006,0)), HYPERLINK("#",""), HYPERLINK(CONCATENATE("#metadata!", ADDRESS(INDEX($X$2:$X$1001,MATCH(ROWS($V$2:V96),$V$2:$V$1001,0),0), INDEX($AC$1004:$AS$1004,1,MATCH(COLUMNS($AC$1006:AI1006),$AC$1006:$AS$1006,0)))),"Fix")))</f>
        <v xml:space="preserve"> </v>
      </c>
      <c r="I96" s="4" t="str">
        <f ca="1">IF(OR(INDEX($W$2:$W$1001,MATCH(ROWS($V$2:V96),$V$2:$V$1001,0),1)&gt;=100000,INDEX($AC$1005:$AS$1005,1,MATCH(COLUMNS($AC$1006:AJ1006),$AC$1006:$AS$1006,0))&gt;=100000), " ",IF(INDEX($AC$2:$AS$1001,MATCH(ROWS($V$2:V96),$V$2:$V$1001,0),MATCH(COLUMNS($AC$1006:AJ1006),$AC$1006:$AS$1006,0)), HYPERLINK("#",""), HYPERLINK(CONCATENATE("#metadata!", ADDRESS(INDEX($X$2:$X$1001,MATCH(ROWS($V$2:V96),$V$2:$V$1001,0),0), INDEX($AC$1004:$AS$1004,1,MATCH(COLUMNS($AC$1006:AJ1006),$AC$1006:$AS$1006,0)))),"Fix")))</f>
        <v xml:space="preserve"> </v>
      </c>
      <c r="J96" s="4" t="str">
        <f ca="1">IF(OR(INDEX($W$2:$W$1001,MATCH(ROWS($V$2:V96),$V$2:$V$1001,0),1)&gt;=100000,INDEX($AC$1005:$AS$1005,1,MATCH(COLUMNS($AC$1006:AK1006),$AC$1006:$AS$1006,0))&gt;=100000), " ",IF(INDEX($AC$2:$AS$1001,MATCH(ROWS($V$2:V96),$V$2:$V$1001,0),MATCH(COLUMNS($AC$1006:AK1006),$AC$1006:$AS$1006,0)), HYPERLINK("#",""), HYPERLINK(CONCATENATE("#metadata!", ADDRESS(INDEX($X$2:$X$1001,MATCH(ROWS($V$2:V96),$V$2:$V$1001,0),0), INDEX($AC$1004:$AS$1004,1,MATCH(COLUMNS($AC$1006:AK1006),$AC$1006:$AS$1006,0)))),"Fix")))</f>
        <v xml:space="preserve"> </v>
      </c>
      <c r="K96" s="4" t="str">
        <f ca="1">IF(OR(INDEX($W$2:$W$1001,MATCH(ROWS($V$2:V96),$V$2:$V$1001,0),1)&gt;=100000,INDEX($AC$1005:$AS$1005,1,MATCH(COLUMNS($AC$1006:AL1006),$AC$1006:$AS$1006,0))&gt;=100000), " ",IF(INDEX($AC$2:$AS$1001,MATCH(ROWS($V$2:V96),$V$2:$V$1001,0),MATCH(COLUMNS($AC$1006:AL1006),$AC$1006:$AS$1006,0)), HYPERLINK("#",""), HYPERLINK(CONCATENATE("#metadata!", ADDRESS(INDEX($X$2:$X$1001,MATCH(ROWS($V$2:V96),$V$2:$V$1001,0),0), INDEX($AC$1004:$AS$1004,1,MATCH(COLUMNS($AC$1006:AL1006),$AC$1006:$AS$1006,0)))),"Fix")))</f>
        <v xml:space="preserve"> </v>
      </c>
      <c r="L96" s="4" t="str">
        <f ca="1">IF(OR(INDEX($W$2:$W$1001,MATCH(ROWS($V$2:V96),$V$2:$V$1001,0),1)&gt;=100000,INDEX($AC$1005:$AS$1005,1,MATCH(COLUMNS($AC$1006:AM1006),$AC$1006:$AS$1006,0))&gt;=100000), " ",IF(INDEX($AC$2:$AS$1001,MATCH(ROWS($V$2:V96),$V$2:$V$1001,0),MATCH(COLUMNS($AC$1006:AM1006),$AC$1006:$AS$1006,0)), HYPERLINK("#",""), HYPERLINK(CONCATENATE("#metadata!", ADDRESS(INDEX($X$2:$X$1001,MATCH(ROWS($V$2:V96),$V$2:$V$1001,0),0), INDEX($AC$1004:$AS$1004,1,MATCH(COLUMNS($AC$1006:AM1006),$AC$1006:$AS$1006,0)))),"Fix")))</f>
        <v xml:space="preserve"> </v>
      </c>
      <c r="M96" s="4" t="str">
        <f ca="1">IF(OR(INDEX($W$2:$W$1001,MATCH(ROWS($V$2:V96),$V$2:$V$1001,0),1)&gt;=100000,INDEX($AC$1005:$AS$1005,1,MATCH(COLUMNS($AC$1006:AN1006),$AC$1006:$AS$1006,0))&gt;=100000), " ",IF(INDEX($AC$2:$AS$1001,MATCH(ROWS($V$2:V96),$V$2:$V$1001,0),MATCH(COLUMNS($AC$1006:AN1006),$AC$1006:$AS$1006,0)), HYPERLINK("#",""), HYPERLINK(CONCATENATE("#metadata!", ADDRESS(INDEX($X$2:$X$1001,MATCH(ROWS($V$2:V96),$V$2:$V$1001,0),0), INDEX($AC$1004:$AS$1004,1,MATCH(COLUMNS($AC$1006:AN1006),$AC$1006:$AS$1006,0)))),"Fix")))</f>
        <v xml:space="preserve"> </v>
      </c>
      <c r="N96" s="4" t="str">
        <f ca="1">IF(OR(INDEX($W$2:$W$1001,MATCH(ROWS($V$2:V96),$V$2:$V$1001,0),1)&gt;=100000,INDEX($AC$1005:$AS$1005,1,MATCH(COLUMNS($AC$1006:AO1006),$AC$1006:$AS$1006,0))&gt;=100000), " ",IF(INDEX($AC$2:$AS$1001,MATCH(ROWS($V$2:V96),$V$2:$V$1001,0),MATCH(COLUMNS($AC$1006:AO1006),$AC$1006:$AS$1006,0)), HYPERLINK("#",""), HYPERLINK(CONCATENATE("#metadata!", ADDRESS(INDEX($X$2:$X$1001,MATCH(ROWS($V$2:V96),$V$2:$V$1001,0),0), INDEX($AC$1004:$AS$1004,1,MATCH(COLUMNS($AC$1006:AO1006),$AC$1006:$AS$1006,0)))),"Fix")))</f>
        <v xml:space="preserve"> </v>
      </c>
      <c r="O96" s="4" t="str">
        <f ca="1">IF(OR(INDEX($W$2:$W$1001,MATCH(ROWS($V$2:V96),$V$2:$V$1001,0),1)&gt;=100000,INDEX($AC$1005:$AS$1005,1,MATCH(COLUMNS($AC$1006:AP1006),$AC$1006:$AS$1006,0))&gt;=100000), " ",IF(INDEX($AC$2:$AS$1001,MATCH(ROWS($V$2:V96),$V$2:$V$1001,0),MATCH(COLUMNS($AC$1006:AP1006),$AC$1006:$AS$1006,0)), HYPERLINK("#",""), HYPERLINK(CONCATENATE("#metadata!", ADDRESS(INDEX($X$2:$X$1001,MATCH(ROWS($V$2:V96),$V$2:$V$1001,0),0), INDEX($AC$1004:$AS$1004,1,MATCH(COLUMNS($AC$1006:AP1006),$AC$1006:$AS$1006,0)))),"Fix")))</f>
        <v xml:space="preserve"> </v>
      </c>
      <c r="P96" s="4" t="str">
        <f ca="1">IF(OR(INDEX($W$2:$W$1001,MATCH(ROWS($V$2:V96),$V$2:$V$1001,0),1)&gt;=100000,INDEX($AC$1005:$AS$1005,1,MATCH(COLUMNS($AC$1006:AQ1006),$AC$1006:$AS$1006,0))&gt;=100000), " ",IF(INDEX($AC$2:$AS$1001,MATCH(ROWS($V$2:V96),$V$2:$V$1001,0),MATCH(COLUMNS($AC$1006:AQ1006),$AC$1006:$AS$1006,0)), HYPERLINK("#",""), HYPERLINK(CONCATENATE("#metadata!", ADDRESS(INDEX($X$2:$X$1001,MATCH(ROWS($V$2:V96),$V$2:$V$1001,0),0), INDEX($AC$1004:$AS$1004,1,MATCH(COLUMNS($AC$1006:AQ1006),$AC$1006:$AS$1006,0)))),"Fix")))</f>
        <v xml:space="preserve"> </v>
      </c>
      <c r="Q96" s="4" t="str">
        <f ca="1">IF(OR(INDEX($W$2:$W$1001,MATCH(ROWS($V$2:V96),$V$2:$V$1001,0),1)&gt;=100000,INDEX($AC$1005:$AS$1005,1,MATCH(COLUMNS($AC$1006:AR1006),$AC$1006:$AS$1006,0))&gt;=100000), " ",IF(INDEX($AC$2:$AS$1001,MATCH(ROWS($V$2:V96),$V$2:$V$1001,0),MATCH(COLUMNS($AC$1006:AR1006),$AC$1006:$AS$1006,0)), HYPERLINK("#",""), HYPERLINK(CONCATENATE("#metadata!", ADDRESS(INDEX($X$2:$X$1001,MATCH(ROWS($V$2:V96),$V$2:$V$1001,0),0), INDEX($AC$1004:$AS$1004,1,MATCH(COLUMNS($AC$1006:AR1006),$AC$1006:$AS$1006,0)))),"Fix")))</f>
        <v xml:space="preserve"> </v>
      </c>
      <c r="R96" s="4" t="str">
        <f ca="1">IF(OR(INDEX($W$2:$W$1001,MATCH(ROWS($V$2:V96),$V$2:$V$1001,0),1)&gt;=100000,INDEX($AC$1005:$AS$1005,1,MATCH(COLUMNS($AC$1006:AS1006),$AC$1006:$AS$1006,0))&gt;=100000), " ",IF(INDEX($AC$2:$AS$1001,MATCH(ROWS($V$2:V96),$V$2:$V$1001,0),MATCH(COLUMNS($AC$1006:AS1006),$AC$1006:$AS$1006,0)), HYPERLINK("#",""), HYPERLINK(CONCATENATE("#metadata!", ADDRESS(INDEX($X$2:$X$1001,MATCH(ROWS($V$2:V96),$V$2:$V$1001,0),0), INDEX($AC$1004:$AS$1004,1,MATCH(COLUMNS($AC$1006:AS1006),$AC$1006:$AS$1006,0)))),"Fix")))</f>
        <v xml:space="preserve"> </v>
      </c>
      <c r="V96">
        <v>95</v>
      </c>
      <c r="W96">
        <v>100096</v>
      </c>
      <c r="X96">
        <v>96</v>
      </c>
      <c r="Y96" t="b">
        <f t="shared" si="1"/>
        <v>1</v>
      </c>
      <c r="Z96" t="b">
        <f>COUNTBLANK(metadata!B96:R96)=COLUMNS(metadata!B96:R96)</f>
        <v>1</v>
      </c>
      <c r="AA96" t="str">
        <v/>
      </c>
      <c r="AC96" t="b">
        <f ca="1"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AD96" t="b">
        <f>IF(metadata!C96="",FALSE,ISNUMBER(VALUE(metadata!C96)))</f>
        <v>0</v>
      </c>
      <c r="AE96" t="b">
        <f>AND(IF(metadata!D96="",FALSE,TRUE),EXACT(metadata!D96,"years"))</f>
        <v>0</v>
      </c>
      <c r="AF96" t="b">
        <f>OR(AND(IF(metadata!E96="",FALSE,TRUE),OR(EXACT(metadata!E96,"not applicable"),EXACT(metadata!E96,"missing: not collected"),EXACT(metadata!E96,"missing: not provided"),EXACT(metadata!E96,"missing: restricted access"))),AND(IF(metadata!E96="",FALSE,ISNUMBER(VALUE(metadata!E96))),metadata!E96&gt;0))</f>
        <v>0</v>
      </c>
      <c r="AG96" t="b">
        <f>AND(IF(metadata!F96="",FALSE,TRUE),EXACT(metadata!F96,"Not applicable"))</f>
        <v>0</v>
      </c>
      <c r="AH96" t="b">
        <f>AND(IF(metadata!G96="",FALSE,TRUE),EXACT(metadata!G96,"urban biome"))</f>
        <v>0</v>
      </c>
      <c r="AI96" t="b">
        <f>AND(IF(metadata!H96="",FALSE,TRUE),EXACT(metadata!H96,"human-associated habitat"))</f>
        <v>0</v>
      </c>
      <c r="AJ96" t="b">
        <f>AND(IF(metadata!I96="",FALSE,TRUE),OR(EXACT(metadata!I96,"human-associated"),EXACT(metadata!I96,"human-skin"),EXACT(metadata!I96,"human-oral"),EXACT(metadata!I96,"human-gut"),EXACT(metadata!I96,"human-vaginal")))</f>
        <v>0</v>
      </c>
      <c r="AK96" t="b">
        <f>IF(metadata!J96="",FALSE,ISNUMBER(VALUE(metadata!J96)))</f>
        <v>0</v>
      </c>
      <c r="AL96" t="b">
        <f>AND(IF(metadata!K96="",FALSE,TRUE),EXACT(metadata!K96,"cm"))</f>
        <v>0</v>
      </c>
      <c r="AM96" t="b">
        <f>AND(IF(metadata!L96="",FALSE,TRUE),EXACT(metadata!L96,"human"))</f>
        <v>0</v>
      </c>
      <c r="AN96" t="b">
        <f>AND(IF(metadata!M96="",FALSE,TRUE),EXACT(metadata!M96,"Homo sapiens"))</f>
        <v>0</v>
      </c>
      <c r="AO96" t="b">
        <f>AND(IF(metadata!N96="",FALSE,TRUE),EXACT(metadata!N96,"9606"))</f>
        <v>0</v>
      </c>
      <c r="AP96" t="b">
        <f>IF(metadata!O96="",FALSE,TRUE)</f>
        <v>0</v>
      </c>
      <c r="AQ96" t="b">
        <f>IF(metadata!P96="",FALSE,TRUE)</f>
        <v>0</v>
      </c>
      <c r="AR96" t="b">
        <f>IF(metadata!Q96="",FALSE,ISNUMBER(VALUE(metadata!Q96)))</f>
        <v>0</v>
      </c>
      <c r="AS96" t="b">
        <f>AND(IF(metadata!R96="",FALSE,TRUE),EXACT(metadata!R96,"kg"))</f>
        <v>0</v>
      </c>
    </row>
    <row r="97" spans="1:45" x14ac:dyDescent="0.2">
      <c r="A97" s="5" t="str">
        <f ca="1">IF(B97=" "," ",HYPERLINK(CONCATENATE("#metadata!",ADDRESS(INDEX($X$2:$X$1001,MATCH(ROWS($V$2:V97),$V$2:$V$1001,0),0),1)),INDEX($AA$2:$AA$1001,MATCH(ROWS($V$2:V97),$V$2:$V$1001,0),0)))</f>
        <v xml:space="preserve"> </v>
      </c>
      <c r="B97" s="4" t="str">
        <f ca="1">IF(OR(INDEX($W$2:$W$1001,MATCH(ROWS($V$2:V97),$V$2:$V$1001,0),1)&gt;=100000,INDEX($AC$1005:$AS$1005,1,MATCH(COLUMNS($AC$1006:AC1006),$AC$1006:$AS$1006,0))&gt;=100000), " ",IF(INDEX($AC$2:$AS$1001,MATCH(ROWS($V$2:V97),$V$2:$V$1001,0),MATCH(COLUMNS($AC$1006:AC1006),$AC$1006:$AS$1006,0)), HYPERLINK("#",""), HYPERLINK(CONCATENATE("#metadata!", ADDRESS(INDEX($X$2:$X$1001,MATCH(ROWS($V$2:V97),$V$2:$V$1001,0),0), INDEX($AC$1004:$AS$1004,1,MATCH(COLUMNS($AC$1006:AC1006),$AC$1006:$AS$1006,0)))),"Fix")))</f>
        <v xml:space="preserve"> </v>
      </c>
      <c r="C97" s="4" t="str">
        <f ca="1">IF(OR(INDEX($W$2:$W$1001,MATCH(ROWS($V$2:V97),$V$2:$V$1001,0),1)&gt;=100000,INDEX($AC$1005:$AS$1005,1,MATCH(COLUMNS($AC$1006:AD1006),$AC$1006:$AS$1006,0))&gt;=100000), " ",IF(INDEX($AC$2:$AS$1001,MATCH(ROWS($V$2:V97),$V$2:$V$1001,0),MATCH(COLUMNS($AC$1006:AD1006),$AC$1006:$AS$1006,0)), HYPERLINK("#",""), HYPERLINK(CONCATENATE("#metadata!", ADDRESS(INDEX($X$2:$X$1001,MATCH(ROWS($V$2:V97),$V$2:$V$1001,0),0), INDEX($AC$1004:$AS$1004,1,MATCH(COLUMNS($AC$1006:AD1006),$AC$1006:$AS$1006,0)))),"Fix")))</f>
        <v xml:space="preserve"> </v>
      </c>
      <c r="D97" s="4" t="str">
        <f ca="1">IF(OR(INDEX($W$2:$W$1001,MATCH(ROWS($V$2:V97),$V$2:$V$1001,0),1)&gt;=100000,INDEX($AC$1005:$AS$1005,1,MATCH(COLUMNS($AC$1006:AE1006),$AC$1006:$AS$1006,0))&gt;=100000), " ",IF(INDEX($AC$2:$AS$1001,MATCH(ROWS($V$2:V97),$V$2:$V$1001,0),MATCH(COLUMNS($AC$1006:AE1006),$AC$1006:$AS$1006,0)), HYPERLINK("#",""), HYPERLINK(CONCATENATE("#metadata!", ADDRESS(INDEX($X$2:$X$1001,MATCH(ROWS($V$2:V97),$V$2:$V$1001,0),0), INDEX($AC$1004:$AS$1004,1,MATCH(COLUMNS($AC$1006:AE1006),$AC$1006:$AS$1006,0)))),"Fix")))</f>
        <v xml:space="preserve"> </v>
      </c>
      <c r="E97" s="4" t="str">
        <f ca="1">IF(OR(INDEX($W$2:$W$1001,MATCH(ROWS($V$2:V97),$V$2:$V$1001,0),1)&gt;=100000,INDEX($AC$1005:$AS$1005,1,MATCH(COLUMNS($AC$1006:AF1006),$AC$1006:$AS$1006,0))&gt;=100000), " ",IF(INDEX($AC$2:$AS$1001,MATCH(ROWS($V$2:V97),$V$2:$V$1001,0),MATCH(COLUMNS($AC$1006:AF1006),$AC$1006:$AS$1006,0)), HYPERLINK("#",""), HYPERLINK(CONCATENATE("#metadata!", ADDRESS(INDEX($X$2:$X$1001,MATCH(ROWS($V$2:V97),$V$2:$V$1001,0),0), INDEX($AC$1004:$AS$1004,1,MATCH(COLUMNS($AC$1006:AF1006),$AC$1006:$AS$1006,0)))),"Fix")))</f>
        <v xml:space="preserve"> </v>
      </c>
      <c r="F97" s="4" t="str">
        <f ca="1">IF(OR(INDEX($W$2:$W$1001,MATCH(ROWS($V$2:V97),$V$2:$V$1001,0),1)&gt;=100000,INDEX($AC$1005:$AS$1005,1,MATCH(COLUMNS($AC$1006:AG1006),$AC$1006:$AS$1006,0))&gt;=100000), " ",IF(INDEX($AC$2:$AS$1001,MATCH(ROWS($V$2:V97),$V$2:$V$1001,0),MATCH(COLUMNS($AC$1006:AG1006),$AC$1006:$AS$1006,0)), HYPERLINK("#",""), HYPERLINK(CONCATENATE("#metadata!", ADDRESS(INDEX($X$2:$X$1001,MATCH(ROWS($V$2:V97),$V$2:$V$1001,0),0), INDEX($AC$1004:$AS$1004,1,MATCH(COLUMNS($AC$1006:AG1006),$AC$1006:$AS$1006,0)))),"Fix")))</f>
        <v xml:space="preserve"> </v>
      </c>
      <c r="G97" s="4" t="str">
        <f ca="1">IF(OR(INDEX($W$2:$W$1001,MATCH(ROWS($V$2:V97),$V$2:$V$1001,0),1)&gt;=100000,INDEX($AC$1005:$AS$1005,1,MATCH(COLUMNS($AC$1006:AH1006),$AC$1006:$AS$1006,0))&gt;=100000), " ",IF(INDEX($AC$2:$AS$1001,MATCH(ROWS($V$2:V97),$V$2:$V$1001,0),MATCH(COLUMNS($AC$1006:AH1006),$AC$1006:$AS$1006,0)), HYPERLINK("#",""), HYPERLINK(CONCATENATE("#metadata!", ADDRESS(INDEX($X$2:$X$1001,MATCH(ROWS($V$2:V97),$V$2:$V$1001,0),0), INDEX($AC$1004:$AS$1004,1,MATCH(COLUMNS($AC$1006:AH1006),$AC$1006:$AS$1006,0)))),"Fix")))</f>
        <v xml:space="preserve"> </v>
      </c>
      <c r="H97" s="4" t="str">
        <f ca="1">IF(OR(INDEX($W$2:$W$1001,MATCH(ROWS($V$2:V97),$V$2:$V$1001,0),1)&gt;=100000,INDEX($AC$1005:$AS$1005,1,MATCH(COLUMNS($AC$1006:AI1006),$AC$1006:$AS$1006,0))&gt;=100000), " ",IF(INDEX($AC$2:$AS$1001,MATCH(ROWS($V$2:V97),$V$2:$V$1001,0),MATCH(COLUMNS($AC$1006:AI1006),$AC$1006:$AS$1006,0)), HYPERLINK("#",""), HYPERLINK(CONCATENATE("#metadata!", ADDRESS(INDEX($X$2:$X$1001,MATCH(ROWS($V$2:V97),$V$2:$V$1001,0),0), INDEX($AC$1004:$AS$1004,1,MATCH(COLUMNS($AC$1006:AI1006),$AC$1006:$AS$1006,0)))),"Fix")))</f>
        <v xml:space="preserve"> </v>
      </c>
      <c r="I97" s="4" t="str">
        <f ca="1">IF(OR(INDEX($W$2:$W$1001,MATCH(ROWS($V$2:V97),$V$2:$V$1001,0),1)&gt;=100000,INDEX($AC$1005:$AS$1005,1,MATCH(COLUMNS($AC$1006:AJ1006),$AC$1006:$AS$1006,0))&gt;=100000), " ",IF(INDEX($AC$2:$AS$1001,MATCH(ROWS($V$2:V97),$V$2:$V$1001,0),MATCH(COLUMNS($AC$1006:AJ1006),$AC$1006:$AS$1006,0)), HYPERLINK("#",""), HYPERLINK(CONCATENATE("#metadata!", ADDRESS(INDEX($X$2:$X$1001,MATCH(ROWS($V$2:V97),$V$2:$V$1001,0),0), INDEX($AC$1004:$AS$1004,1,MATCH(COLUMNS($AC$1006:AJ1006),$AC$1006:$AS$1006,0)))),"Fix")))</f>
        <v xml:space="preserve"> </v>
      </c>
      <c r="J97" s="4" t="str">
        <f ca="1">IF(OR(INDEX($W$2:$W$1001,MATCH(ROWS($V$2:V97),$V$2:$V$1001,0),1)&gt;=100000,INDEX($AC$1005:$AS$1005,1,MATCH(COLUMNS($AC$1006:AK1006),$AC$1006:$AS$1006,0))&gt;=100000), " ",IF(INDEX($AC$2:$AS$1001,MATCH(ROWS($V$2:V97),$V$2:$V$1001,0),MATCH(COLUMNS($AC$1006:AK1006),$AC$1006:$AS$1006,0)), HYPERLINK("#",""), HYPERLINK(CONCATENATE("#metadata!", ADDRESS(INDEX($X$2:$X$1001,MATCH(ROWS($V$2:V97),$V$2:$V$1001,0),0), INDEX($AC$1004:$AS$1004,1,MATCH(COLUMNS($AC$1006:AK1006),$AC$1006:$AS$1006,0)))),"Fix")))</f>
        <v xml:space="preserve"> </v>
      </c>
      <c r="K97" s="4" t="str">
        <f ca="1">IF(OR(INDEX($W$2:$W$1001,MATCH(ROWS($V$2:V97),$V$2:$V$1001,0),1)&gt;=100000,INDEX($AC$1005:$AS$1005,1,MATCH(COLUMNS($AC$1006:AL1006),$AC$1006:$AS$1006,0))&gt;=100000), " ",IF(INDEX($AC$2:$AS$1001,MATCH(ROWS($V$2:V97),$V$2:$V$1001,0),MATCH(COLUMNS($AC$1006:AL1006),$AC$1006:$AS$1006,0)), HYPERLINK("#",""), HYPERLINK(CONCATENATE("#metadata!", ADDRESS(INDEX($X$2:$X$1001,MATCH(ROWS($V$2:V97),$V$2:$V$1001,0),0), INDEX($AC$1004:$AS$1004,1,MATCH(COLUMNS($AC$1006:AL1006),$AC$1006:$AS$1006,0)))),"Fix")))</f>
        <v xml:space="preserve"> </v>
      </c>
      <c r="L97" s="4" t="str">
        <f ca="1">IF(OR(INDEX($W$2:$W$1001,MATCH(ROWS($V$2:V97),$V$2:$V$1001,0),1)&gt;=100000,INDEX($AC$1005:$AS$1005,1,MATCH(COLUMNS($AC$1006:AM1006),$AC$1006:$AS$1006,0))&gt;=100000), " ",IF(INDEX($AC$2:$AS$1001,MATCH(ROWS($V$2:V97),$V$2:$V$1001,0),MATCH(COLUMNS($AC$1006:AM1006),$AC$1006:$AS$1006,0)), HYPERLINK("#",""), HYPERLINK(CONCATENATE("#metadata!", ADDRESS(INDEX($X$2:$X$1001,MATCH(ROWS($V$2:V97),$V$2:$V$1001,0),0), INDEX($AC$1004:$AS$1004,1,MATCH(COLUMNS($AC$1006:AM1006),$AC$1006:$AS$1006,0)))),"Fix")))</f>
        <v xml:space="preserve"> </v>
      </c>
      <c r="M97" s="4" t="str">
        <f ca="1">IF(OR(INDEX($W$2:$W$1001,MATCH(ROWS($V$2:V97),$V$2:$V$1001,0),1)&gt;=100000,INDEX($AC$1005:$AS$1005,1,MATCH(COLUMNS($AC$1006:AN1006),$AC$1006:$AS$1006,0))&gt;=100000), " ",IF(INDEX($AC$2:$AS$1001,MATCH(ROWS($V$2:V97),$V$2:$V$1001,0),MATCH(COLUMNS($AC$1006:AN1006),$AC$1006:$AS$1006,0)), HYPERLINK("#",""), HYPERLINK(CONCATENATE("#metadata!", ADDRESS(INDEX($X$2:$X$1001,MATCH(ROWS($V$2:V97),$V$2:$V$1001,0),0), INDEX($AC$1004:$AS$1004,1,MATCH(COLUMNS($AC$1006:AN1006),$AC$1006:$AS$1006,0)))),"Fix")))</f>
        <v xml:space="preserve"> </v>
      </c>
      <c r="N97" s="4" t="str">
        <f ca="1">IF(OR(INDEX($W$2:$W$1001,MATCH(ROWS($V$2:V97),$V$2:$V$1001,0),1)&gt;=100000,INDEX($AC$1005:$AS$1005,1,MATCH(COLUMNS($AC$1006:AO1006),$AC$1006:$AS$1006,0))&gt;=100000), " ",IF(INDEX($AC$2:$AS$1001,MATCH(ROWS($V$2:V97),$V$2:$V$1001,0),MATCH(COLUMNS($AC$1006:AO1006),$AC$1006:$AS$1006,0)), HYPERLINK("#",""), HYPERLINK(CONCATENATE("#metadata!", ADDRESS(INDEX($X$2:$X$1001,MATCH(ROWS($V$2:V97),$V$2:$V$1001,0),0), INDEX($AC$1004:$AS$1004,1,MATCH(COLUMNS($AC$1006:AO1006),$AC$1006:$AS$1006,0)))),"Fix")))</f>
        <v xml:space="preserve"> </v>
      </c>
      <c r="O97" s="4" t="str">
        <f ca="1">IF(OR(INDEX($W$2:$W$1001,MATCH(ROWS($V$2:V97),$V$2:$V$1001,0),1)&gt;=100000,INDEX($AC$1005:$AS$1005,1,MATCH(COLUMNS($AC$1006:AP1006),$AC$1006:$AS$1006,0))&gt;=100000), " ",IF(INDEX($AC$2:$AS$1001,MATCH(ROWS($V$2:V97),$V$2:$V$1001,0),MATCH(COLUMNS($AC$1006:AP1006),$AC$1006:$AS$1006,0)), HYPERLINK("#",""), HYPERLINK(CONCATENATE("#metadata!", ADDRESS(INDEX($X$2:$X$1001,MATCH(ROWS($V$2:V97),$V$2:$V$1001,0),0), INDEX($AC$1004:$AS$1004,1,MATCH(COLUMNS($AC$1006:AP1006),$AC$1006:$AS$1006,0)))),"Fix")))</f>
        <v xml:space="preserve"> </v>
      </c>
      <c r="P97" s="4" t="str">
        <f ca="1">IF(OR(INDEX($W$2:$W$1001,MATCH(ROWS($V$2:V97),$V$2:$V$1001,0),1)&gt;=100000,INDEX($AC$1005:$AS$1005,1,MATCH(COLUMNS($AC$1006:AQ1006),$AC$1006:$AS$1006,0))&gt;=100000), " ",IF(INDEX($AC$2:$AS$1001,MATCH(ROWS($V$2:V97),$V$2:$V$1001,0),MATCH(COLUMNS($AC$1006:AQ1006),$AC$1006:$AS$1006,0)), HYPERLINK("#",""), HYPERLINK(CONCATENATE("#metadata!", ADDRESS(INDEX($X$2:$X$1001,MATCH(ROWS($V$2:V97),$V$2:$V$1001,0),0), INDEX($AC$1004:$AS$1004,1,MATCH(COLUMNS($AC$1006:AQ1006),$AC$1006:$AS$1006,0)))),"Fix")))</f>
        <v xml:space="preserve"> </v>
      </c>
      <c r="Q97" s="4" t="str">
        <f ca="1">IF(OR(INDEX($W$2:$W$1001,MATCH(ROWS($V$2:V97),$V$2:$V$1001,0),1)&gt;=100000,INDEX($AC$1005:$AS$1005,1,MATCH(COLUMNS($AC$1006:AR1006),$AC$1006:$AS$1006,0))&gt;=100000), " ",IF(INDEX($AC$2:$AS$1001,MATCH(ROWS($V$2:V97),$V$2:$V$1001,0),MATCH(COLUMNS($AC$1006:AR1006),$AC$1006:$AS$1006,0)), HYPERLINK("#",""), HYPERLINK(CONCATENATE("#metadata!", ADDRESS(INDEX($X$2:$X$1001,MATCH(ROWS($V$2:V97),$V$2:$V$1001,0),0), INDEX($AC$1004:$AS$1004,1,MATCH(COLUMNS($AC$1006:AR1006),$AC$1006:$AS$1006,0)))),"Fix")))</f>
        <v xml:space="preserve"> </v>
      </c>
      <c r="R97" s="4" t="str">
        <f ca="1">IF(OR(INDEX($W$2:$W$1001,MATCH(ROWS($V$2:V97),$V$2:$V$1001,0),1)&gt;=100000,INDEX($AC$1005:$AS$1005,1,MATCH(COLUMNS($AC$1006:AS1006),$AC$1006:$AS$1006,0))&gt;=100000), " ",IF(INDEX($AC$2:$AS$1001,MATCH(ROWS($V$2:V97),$V$2:$V$1001,0),MATCH(COLUMNS($AC$1006:AS1006),$AC$1006:$AS$1006,0)), HYPERLINK("#",""), HYPERLINK(CONCATENATE("#metadata!", ADDRESS(INDEX($X$2:$X$1001,MATCH(ROWS($V$2:V97),$V$2:$V$1001,0),0), INDEX($AC$1004:$AS$1004,1,MATCH(COLUMNS($AC$1006:AS1006),$AC$1006:$AS$1006,0)))),"Fix")))</f>
        <v xml:space="preserve"> </v>
      </c>
      <c r="V97">
        <v>96</v>
      </c>
      <c r="W97">
        <v>100097</v>
      </c>
      <c r="X97">
        <v>97</v>
      </c>
      <c r="Y97" t="b">
        <f t="shared" si="1"/>
        <v>1</v>
      </c>
      <c r="Z97" t="b">
        <f>COUNTBLANK(metadata!B97:R97)=COLUMNS(metadata!B97:R97)</f>
        <v>1</v>
      </c>
      <c r="AA97" t="str">
        <v/>
      </c>
      <c r="AC97" t="b">
        <f ca="1"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AD97" t="b">
        <f>IF(metadata!C97="",FALSE,ISNUMBER(VALUE(metadata!C97)))</f>
        <v>0</v>
      </c>
      <c r="AE97" t="b">
        <f>AND(IF(metadata!D97="",FALSE,TRUE),EXACT(metadata!D97,"years"))</f>
        <v>0</v>
      </c>
      <c r="AF97" t="b">
        <f>OR(AND(IF(metadata!E97="",FALSE,TRUE),OR(EXACT(metadata!E97,"not applicable"),EXACT(metadata!E97,"missing: not collected"),EXACT(metadata!E97,"missing: not provided"),EXACT(metadata!E97,"missing: restricted access"))),AND(IF(metadata!E97="",FALSE,ISNUMBER(VALUE(metadata!E97))),metadata!E97&gt;0))</f>
        <v>0</v>
      </c>
      <c r="AG97" t="b">
        <f>AND(IF(metadata!F97="",FALSE,TRUE),EXACT(metadata!F97,"Not applicable"))</f>
        <v>0</v>
      </c>
      <c r="AH97" t="b">
        <f>AND(IF(metadata!G97="",FALSE,TRUE),EXACT(metadata!G97,"urban biome"))</f>
        <v>0</v>
      </c>
      <c r="AI97" t="b">
        <f>AND(IF(metadata!H97="",FALSE,TRUE),EXACT(metadata!H97,"human-associated habitat"))</f>
        <v>0</v>
      </c>
      <c r="AJ97" t="b">
        <f>AND(IF(metadata!I97="",FALSE,TRUE),OR(EXACT(metadata!I97,"human-associated"),EXACT(metadata!I97,"human-skin"),EXACT(metadata!I97,"human-oral"),EXACT(metadata!I97,"human-gut"),EXACT(metadata!I97,"human-vaginal")))</f>
        <v>0</v>
      </c>
      <c r="AK97" t="b">
        <f>IF(metadata!J97="",FALSE,ISNUMBER(VALUE(metadata!J97)))</f>
        <v>0</v>
      </c>
      <c r="AL97" t="b">
        <f>AND(IF(metadata!K97="",FALSE,TRUE),EXACT(metadata!K97,"cm"))</f>
        <v>0</v>
      </c>
      <c r="AM97" t="b">
        <f>AND(IF(metadata!L97="",FALSE,TRUE),EXACT(metadata!L97,"human"))</f>
        <v>0</v>
      </c>
      <c r="AN97" t="b">
        <f>AND(IF(metadata!M97="",FALSE,TRUE),EXACT(metadata!M97,"Homo sapiens"))</f>
        <v>0</v>
      </c>
      <c r="AO97" t="b">
        <f>AND(IF(metadata!N97="",FALSE,TRUE),EXACT(metadata!N97,"9606"))</f>
        <v>0</v>
      </c>
      <c r="AP97" t="b">
        <f>IF(metadata!O97="",FALSE,TRUE)</f>
        <v>0</v>
      </c>
      <c r="AQ97" t="b">
        <f>IF(metadata!P97="",FALSE,TRUE)</f>
        <v>0</v>
      </c>
      <c r="AR97" t="b">
        <f>IF(metadata!Q97="",FALSE,ISNUMBER(VALUE(metadata!Q97)))</f>
        <v>0</v>
      </c>
      <c r="AS97" t="b">
        <f>AND(IF(metadata!R97="",FALSE,TRUE),EXACT(metadata!R97,"kg"))</f>
        <v>0</v>
      </c>
    </row>
    <row r="98" spans="1:45" x14ac:dyDescent="0.2">
      <c r="A98" s="5" t="str">
        <f ca="1">IF(B98=" "," ",HYPERLINK(CONCATENATE("#metadata!",ADDRESS(INDEX($X$2:$X$1001,MATCH(ROWS($V$2:V98),$V$2:$V$1001,0),0),1)),INDEX($AA$2:$AA$1001,MATCH(ROWS($V$2:V98),$V$2:$V$1001,0),0)))</f>
        <v xml:space="preserve"> </v>
      </c>
      <c r="B98" s="4" t="str">
        <f ca="1">IF(OR(INDEX($W$2:$W$1001,MATCH(ROWS($V$2:V98),$V$2:$V$1001,0),1)&gt;=100000,INDEX($AC$1005:$AS$1005,1,MATCH(COLUMNS($AC$1006:AC1006),$AC$1006:$AS$1006,0))&gt;=100000), " ",IF(INDEX($AC$2:$AS$1001,MATCH(ROWS($V$2:V98),$V$2:$V$1001,0),MATCH(COLUMNS($AC$1006:AC1006),$AC$1006:$AS$1006,0)), HYPERLINK("#",""), HYPERLINK(CONCATENATE("#metadata!", ADDRESS(INDEX($X$2:$X$1001,MATCH(ROWS($V$2:V98),$V$2:$V$1001,0),0), INDEX($AC$1004:$AS$1004,1,MATCH(COLUMNS($AC$1006:AC1006),$AC$1006:$AS$1006,0)))),"Fix")))</f>
        <v xml:space="preserve"> </v>
      </c>
      <c r="C98" s="4" t="str">
        <f ca="1">IF(OR(INDEX($W$2:$W$1001,MATCH(ROWS($V$2:V98),$V$2:$V$1001,0),1)&gt;=100000,INDEX($AC$1005:$AS$1005,1,MATCH(COLUMNS($AC$1006:AD1006),$AC$1006:$AS$1006,0))&gt;=100000), " ",IF(INDEX($AC$2:$AS$1001,MATCH(ROWS($V$2:V98),$V$2:$V$1001,0),MATCH(COLUMNS($AC$1006:AD1006),$AC$1006:$AS$1006,0)), HYPERLINK("#",""), HYPERLINK(CONCATENATE("#metadata!", ADDRESS(INDEX($X$2:$X$1001,MATCH(ROWS($V$2:V98),$V$2:$V$1001,0),0), INDEX($AC$1004:$AS$1004,1,MATCH(COLUMNS($AC$1006:AD1006),$AC$1006:$AS$1006,0)))),"Fix")))</f>
        <v xml:space="preserve"> </v>
      </c>
      <c r="D98" s="4" t="str">
        <f ca="1">IF(OR(INDEX($W$2:$W$1001,MATCH(ROWS($V$2:V98),$V$2:$V$1001,0),1)&gt;=100000,INDEX($AC$1005:$AS$1005,1,MATCH(COLUMNS($AC$1006:AE1006),$AC$1006:$AS$1006,0))&gt;=100000), " ",IF(INDEX($AC$2:$AS$1001,MATCH(ROWS($V$2:V98),$V$2:$V$1001,0),MATCH(COLUMNS($AC$1006:AE1006),$AC$1006:$AS$1006,0)), HYPERLINK("#",""), HYPERLINK(CONCATENATE("#metadata!", ADDRESS(INDEX($X$2:$X$1001,MATCH(ROWS($V$2:V98),$V$2:$V$1001,0),0), INDEX($AC$1004:$AS$1004,1,MATCH(COLUMNS($AC$1006:AE1006),$AC$1006:$AS$1006,0)))),"Fix")))</f>
        <v xml:space="preserve"> </v>
      </c>
      <c r="E98" s="4" t="str">
        <f ca="1">IF(OR(INDEX($W$2:$W$1001,MATCH(ROWS($V$2:V98),$V$2:$V$1001,0),1)&gt;=100000,INDEX($AC$1005:$AS$1005,1,MATCH(COLUMNS($AC$1006:AF1006),$AC$1006:$AS$1006,0))&gt;=100000), " ",IF(INDEX($AC$2:$AS$1001,MATCH(ROWS($V$2:V98),$V$2:$V$1001,0),MATCH(COLUMNS($AC$1006:AF1006),$AC$1006:$AS$1006,0)), HYPERLINK("#",""), HYPERLINK(CONCATENATE("#metadata!", ADDRESS(INDEX($X$2:$X$1001,MATCH(ROWS($V$2:V98),$V$2:$V$1001,0),0), INDEX($AC$1004:$AS$1004,1,MATCH(COLUMNS($AC$1006:AF1006),$AC$1006:$AS$1006,0)))),"Fix")))</f>
        <v xml:space="preserve"> </v>
      </c>
      <c r="F98" s="4" t="str">
        <f ca="1">IF(OR(INDEX($W$2:$W$1001,MATCH(ROWS($V$2:V98),$V$2:$V$1001,0),1)&gt;=100000,INDEX($AC$1005:$AS$1005,1,MATCH(COLUMNS($AC$1006:AG1006),$AC$1006:$AS$1006,0))&gt;=100000), " ",IF(INDEX($AC$2:$AS$1001,MATCH(ROWS($V$2:V98),$V$2:$V$1001,0),MATCH(COLUMNS($AC$1006:AG1006),$AC$1006:$AS$1006,0)), HYPERLINK("#",""), HYPERLINK(CONCATENATE("#metadata!", ADDRESS(INDEX($X$2:$X$1001,MATCH(ROWS($V$2:V98),$V$2:$V$1001,0),0), INDEX($AC$1004:$AS$1004,1,MATCH(COLUMNS($AC$1006:AG1006),$AC$1006:$AS$1006,0)))),"Fix")))</f>
        <v xml:space="preserve"> </v>
      </c>
      <c r="G98" s="4" t="str">
        <f ca="1">IF(OR(INDEX($W$2:$W$1001,MATCH(ROWS($V$2:V98),$V$2:$V$1001,0),1)&gt;=100000,INDEX($AC$1005:$AS$1005,1,MATCH(COLUMNS($AC$1006:AH1006),$AC$1006:$AS$1006,0))&gt;=100000), " ",IF(INDEX($AC$2:$AS$1001,MATCH(ROWS($V$2:V98),$V$2:$V$1001,0),MATCH(COLUMNS($AC$1006:AH1006),$AC$1006:$AS$1006,0)), HYPERLINK("#",""), HYPERLINK(CONCATENATE("#metadata!", ADDRESS(INDEX($X$2:$X$1001,MATCH(ROWS($V$2:V98),$V$2:$V$1001,0),0), INDEX($AC$1004:$AS$1004,1,MATCH(COLUMNS($AC$1006:AH1006),$AC$1006:$AS$1006,0)))),"Fix")))</f>
        <v xml:space="preserve"> </v>
      </c>
      <c r="H98" s="4" t="str">
        <f ca="1">IF(OR(INDEX($W$2:$W$1001,MATCH(ROWS($V$2:V98),$V$2:$V$1001,0),1)&gt;=100000,INDEX($AC$1005:$AS$1005,1,MATCH(COLUMNS($AC$1006:AI1006),$AC$1006:$AS$1006,0))&gt;=100000), " ",IF(INDEX($AC$2:$AS$1001,MATCH(ROWS($V$2:V98),$V$2:$V$1001,0),MATCH(COLUMNS($AC$1006:AI1006),$AC$1006:$AS$1006,0)), HYPERLINK("#",""), HYPERLINK(CONCATENATE("#metadata!", ADDRESS(INDEX($X$2:$X$1001,MATCH(ROWS($V$2:V98),$V$2:$V$1001,0),0), INDEX($AC$1004:$AS$1004,1,MATCH(COLUMNS($AC$1006:AI1006),$AC$1006:$AS$1006,0)))),"Fix")))</f>
        <v xml:space="preserve"> </v>
      </c>
      <c r="I98" s="4" t="str">
        <f ca="1">IF(OR(INDEX($W$2:$W$1001,MATCH(ROWS($V$2:V98),$V$2:$V$1001,0),1)&gt;=100000,INDEX($AC$1005:$AS$1005,1,MATCH(COLUMNS($AC$1006:AJ1006),$AC$1006:$AS$1006,0))&gt;=100000), " ",IF(INDEX($AC$2:$AS$1001,MATCH(ROWS($V$2:V98),$V$2:$V$1001,0),MATCH(COLUMNS($AC$1006:AJ1006),$AC$1006:$AS$1006,0)), HYPERLINK("#",""), HYPERLINK(CONCATENATE("#metadata!", ADDRESS(INDEX($X$2:$X$1001,MATCH(ROWS($V$2:V98),$V$2:$V$1001,0),0), INDEX($AC$1004:$AS$1004,1,MATCH(COLUMNS($AC$1006:AJ1006),$AC$1006:$AS$1006,0)))),"Fix")))</f>
        <v xml:space="preserve"> </v>
      </c>
      <c r="J98" s="4" t="str">
        <f ca="1">IF(OR(INDEX($W$2:$W$1001,MATCH(ROWS($V$2:V98),$V$2:$V$1001,0),1)&gt;=100000,INDEX($AC$1005:$AS$1005,1,MATCH(COLUMNS($AC$1006:AK1006),$AC$1006:$AS$1006,0))&gt;=100000), " ",IF(INDEX($AC$2:$AS$1001,MATCH(ROWS($V$2:V98),$V$2:$V$1001,0),MATCH(COLUMNS($AC$1006:AK1006),$AC$1006:$AS$1006,0)), HYPERLINK("#",""), HYPERLINK(CONCATENATE("#metadata!", ADDRESS(INDEX($X$2:$X$1001,MATCH(ROWS($V$2:V98),$V$2:$V$1001,0),0), INDEX($AC$1004:$AS$1004,1,MATCH(COLUMNS($AC$1006:AK1006),$AC$1006:$AS$1006,0)))),"Fix")))</f>
        <v xml:space="preserve"> </v>
      </c>
      <c r="K98" s="4" t="str">
        <f ca="1">IF(OR(INDEX($W$2:$W$1001,MATCH(ROWS($V$2:V98),$V$2:$V$1001,0),1)&gt;=100000,INDEX($AC$1005:$AS$1005,1,MATCH(COLUMNS($AC$1006:AL1006),$AC$1006:$AS$1006,0))&gt;=100000), " ",IF(INDEX($AC$2:$AS$1001,MATCH(ROWS($V$2:V98),$V$2:$V$1001,0),MATCH(COLUMNS($AC$1006:AL1006),$AC$1006:$AS$1006,0)), HYPERLINK("#",""), HYPERLINK(CONCATENATE("#metadata!", ADDRESS(INDEX($X$2:$X$1001,MATCH(ROWS($V$2:V98),$V$2:$V$1001,0),0), INDEX($AC$1004:$AS$1004,1,MATCH(COLUMNS($AC$1006:AL1006),$AC$1006:$AS$1006,0)))),"Fix")))</f>
        <v xml:space="preserve"> </v>
      </c>
      <c r="L98" s="4" t="str">
        <f ca="1">IF(OR(INDEX($W$2:$W$1001,MATCH(ROWS($V$2:V98),$V$2:$V$1001,0),1)&gt;=100000,INDEX($AC$1005:$AS$1005,1,MATCH(COLUMNS($AC$1006:AM1006),$AC$1006:$AS$1006,0))&gt;=100000), " ",IF(INDEX($AC$2:$AS$1001,MATCH(ROWS($V$2:V98),$V$2:$V$1001,0),MATCH(COLUMNS($AC$1006:AM1006),$AC$1006:$AS$1006,0)), HYPERLINK("#",""), HYPERLINK(CONCATENATE("#metadata!", ADDRESS(INDEX($X$2:$X$1001,MATCH(ROWS($V$2:V98),$V$2:$V$1001,0),0), INDEX($AC$1004:$AS$1004,1,MATCH(COLUMNS($AC$1006:AM1006),$AC$1006:$AS$1006,0)))),"Fix")))</f>
        <v xml:space="preserve"> </v>
      </c>
      <c r="M98" s="4" t="str">
        <f ca="1">IF(OR(INDEX($W$2:$W$1001,MATCH(ROWS($V$2:V98),$V$2:$V$1001,0),1)&gt;=100000,INDEX($AC$1005:$AS$1005,1,MATCH(COLUMNS($AC$1006:AN1006),$AC$1006:$AS$1006,0))&gt;=100000), " ",IF(INDEX($AC$2:$AS$1001,MATCH(ROWS($V$2:V98),$V$2:$V$1001,0),MATCH(COLUMNS($AC$1006:AN1006),$AC$1006:$AS$1006,0)), HYPERLINK("#",""), HYPERLINK(CONCATENATE("#metadata!", ADDRESS(INDEX($X$2:$X$1001,MATCH(ROWS($V$2:V98),$V$2:$V$1001,0),0), INDEX($AC$1004:$AS$1004,1,MATCH(COLUMNS($AC$1006:AN1006),$AC$1006:$AS$1006,0)))),"Fix")))</f>
        <v xml:space="preserve"> </v>
      </c>
      <c r="N98" s="4" t="str">
        <f ca="1">IF(OR(INDEX($W$2:$W$1001,MATCH(ROWS($V$2:V98),$V$2:$V$1001,0),1)&gt;=100000,INDEX($AC$1005:$AS$1005,1,MATCH(COLUMNS($AC$1006:AO1006),$AC$1006:$AS$1006,0))&gt;=100000), " ",IF(INDEX($AC$2:$AS$1001,MATCH(ROWS($V$2:V98),$V$2:$V$1001,0),MATCH(COLUMNS($AC$1006:AO1006),$AC$1006:$AS$1006,0)), HYPERLINK("#",""), HYPERLINK(CONCATENATE("#metadata!", ADDRESS(INDEX($X$2:$X$1001,MATCH(ROWS($V$2:V98),$V$2:$V$1001,0),0), INDEX($AC$1004:$AS$1004,1,MATCH(COLUMNS($AC$1006:AO1006),$AC$1006:$AS$1006,0)))),"Fix")))</f>
        <v xml:space="preserve"> </v>
      </c>
      <c r="O98" s="4" t="str">
        <f ca="1">IF(OR(INDEX($W$2:$W$1001,MATCH(ROWS($V$2:V98),$V$2:$V$1001,0),1)&gt;=100000,INDEX($AC$1005:$AS$1005,1,MATCH(COLUMNS($AC$1006:AP1006),$AC$1006:$AS$1006,0))&gt;=100000), " ",IF(INDEX($AC$2:$AS$1001,MATCH(ROWS($V$2:V98),$V$2:$V$1001,0),MATCH(COLUMNS($AC$1006:AP1006),$AC$1006:$AS$1006,0)), HYPERLINK("#",""), HYPERLINK(CONCATENATE("#metadata!", ADDRESS(INDEX($X$2:$X$1001,MATCH(ROWS($V$2:V98),$V$2:$V$1001,0),0), INDEX($AC$1004:$AS$1004,1,MATCH(COLUMNS($AC$1006:AP1006),$AC$1006:$AS$1006,0)))),"Fix")))</f>
        <v xml:space="preserve"> </v>
      </c>
      <c r="P98" s="4" t="str">
        <f ca="1">IF(OR(INDEX($W$2:$W$1001,MATCH(ROWS($V$2:V98),$V$2:$V$1001,0),1)&gt;=100000,INDEX($AC$1005:$AS$1005,1,MATCH(COLUMNS($AC$1006:AQ1006),$AC$1006:$AS$1006,0))&gt;=100000), " ",IF(INDEX($AC$2:$AS$1001,MATCH(ROWS($V$2:V98),$V$2:$V$1001,0),MATCH(COLUMNS($AC$1006:AQ1006),$AC$1006:$AS$1006,0)), HYPERLINK("#",""), HYPERLINK(CONCATENATE("#metadata!", ADDRESS(INDEX($X$2:$X$1001,MATCH(ROWS($V$2:V98),$V$2:$V$1001,0),0), INDEX($AC$1004:$AS$1004,1,MATCH(COLUMNS($AC$1006:AQ1006),$AC$1006:$AS$1006,0)))),"Fix")))</f>
        <v xml:space="preserve"> </v>
      </c>
      <c r="Q98" s="4" t="str">
        <f ca="1">IF(OR(INDEX($W$2:$W$1001,MATCH(ROWS($V$2:V98),$V$2:$V$1001,0),1)&gt;=100000,INDEX($AC$1005:$AS$1005,1,MATCH(COLUMNS($AC$1006:AR1006),$AC$1006:$AS$1006,0))&gt;=100000), " ",IF(INDEX($AC$2:$AS$1001,MATCH(ROWS($V$2:V98),$V$2:$V$1001,0),MATCH(COLUMNS($AC$1006:AR1006),$AC$1006:$AS$1006,0)), HYPERLINK("#",""), HYPERLINK(CONCATENATE("#metadata!", ADDRESS(INDEX($X$2:$X$1001,MATCH(ROWS($V$2:V98),$V$2:$V$1001,0),0), INDEX($AC$1004:$AS$1004,1,MATCH(COLUMNS($AC$1006:AR1006),$AC$1006:$AS$1006,0)))),"Fix")))</f>
        <v xml:space="preserve"> </v>
      </c>
      <c r="R98" s="4" t="str">
        <f ca="1">IF(OR(INDEX($W$2:$W$1001,MATCH(ROWS($V$2:V98),$V$2:$V$1001,0),1)&gt;=100000,INDEX($AC$1005:$AS$1005,1,MATCH(COLUMNS($AC$1006:AS1006),$AC$1006:$AS$1006,0))&gt;=100000), " ",IF(INDEX($AC$2:$AS$1001,MATCH(ROWS($V$2:V98),$V$2:$V$1001,0),MATCH(COLUMNS($AC$1006:AS1006),$AC$1006:$AS$1006,0)), HYPERLINK("#",""), HYPERLINK(CONCATENATE("#metadata!", ADDRESS(INDEX($X$2:$X$1001,MATCH(ROWS($V$2:V98),$V$2:$V$1001,0),0), INDEX($AC$1004:$AS$1004,1,MATCH(COLUMNS($AC$1006:AS1006),$AC$1006:$AS$1006,0)))),"Fix")))</f>
        <v xml:space="preserve"> </v>
      </c>
      <c r="V98">
        <v>97</v>
      </c>
      <c r="W98">
        <v>100098</v>
      </c>
      <c r="X98">
        <v>98</v>
      </c>
      <c r="Y98" t="b">
        <f t="shared" si="1"/>
        <v>1</v>
      </c>
      <c r="Z98" t="b">
        <f>COUNTBLANK(metadata!B98:R98)=COLUMNS(metadata!B98:R98)</f>
        <v>1</v>
      </c>
      <c r="AA98" t="str">
        <v/>
      </c>
      <c r="AC98" t="b">
        <f ca="1"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AD98" t="b">
        <f>IF(metadata!C98="",FALSE,ISNUMBER(VALUE(metadata!C98)))</f>
        <v>0</v>
      </c>
      <c r="AE98" t="b">
        <f>AND(IF(metadata!D98="",FALSE,TRUE),EXACT(metadata!D98,"years"))</f>
        <v>0</v>
      </c>
      <c r="AF98" t="b">
        <f>OR(AND(IF(metadata!E98="",FALSE,TRUE),OR(EXACT(metadata!E98,"not applicable"),EXACT(metadata!E98,"missing: not collected"),EXACT(metadata!E98,"missing: not provided"),EXACT(metadata!E98,"missing: restricted access"))),AND(IF(metadata!E98="",FALSE,ISNUMBER(VALUE(metadata!E98))),metadata!E98&gt;0))</f>
        <v>0</v>
      </c>
      <c r="AG98" t="b">
        <f>AND(IF(metadata!F98="",FALSE,TRUE),EXACT(metadata!F98,"Not applicable"))</f>
        <v>0</v>
      </c>
      <c r="AH98" t="b">
        <f>AND(IF(metadata!G98="",FALSE,TRUE),EXACT(metadata!G98,"urban biome"))</f>
        <v>0</v>
      </c>
      <c r="AI98" t="b">
        <f>AND(IF(metadata!H98="",FALSE,TRUE),EXACT(metadata!H98,"human-associated habitat"))</f>
        <v>0</v>
      </c>
      <c r="AJ98" t="b">
        <f>AND(IF(metadata!I98="",FALSE,TRUE),OR(EXACT(metadata!I98,"human-associated"),EXACT(metadata!I98,"human-skin"),EXACT(metadata!I98,"human-oral"),EXACT(metadata!I98,"human-gut"),EXACT(metadata!I98,"human-vaginal")))</f>
        <v>0</v>
      </c>
      <c r="AK98" t="b">
        <f>IF(metadata!J98="",FALSE,ISNUMBER(VALUE(metadata!J98)))</f>
        <v>0</v>
      </c>
      <c r="AL98" t="b">
        <f>AND(IF(metadata!K98="",FALSE,TRUE),EXACT(metadata!K98,"cm"))</f>
        <v>0</v>
      </c>
      <c r="AM98" t="b">
        <f>AND(IF(metadata!L98="",FALSE,TRUE),EXACT(metadata!L98,"human"))</f>
        <v>0</v>
      </c>
      <c r="AN98" t="b">
        <f>AND(IF(metadata!M98="",FALSE,TRUE),EXACT(metadata!M98,"Homo sapiens"))</f>
        <v>0</v>
      </c>
      <c r="AO98" t="b">
        <f>AND(IF(metadata!N98="",FALSE,TRUE),EXACT(metadata!N98,"9606"))</f>
        <v>0</v>
      </c>
      <c r="AP98" t="b">
        <f>IF(metadata!O98="",FALSE,TRUE)</f>
        <v>0</v>
      </c>
      <c r="AQ98" t="b">
        <f>IF(metadata!P98="",FALSE,TRUE)</f>
        <v>0</v>
      </c>
      <c r="AR98" t="b">
        <f>IF(metadata!Q98="",FALSE,ISNUMBER(VALUE(metadata!Q98)))</f>
        <v>0</v>
      </c>
      <c r="AS98" t="b">
        <f>AND(IF(metadata!R98="",FALSE,TRUE),EXACT(metadata!R98,"kg"))</f>
        <v>0</v>
      </c>
    </row>
    <row r="99" spans="1:45" x14ac:dyDescent="0.2">
      <c r="A99" s="5" t="str">
        <f ca="1">IF(B99=" "," ",HYPERLINK(CONCATENATE("#metadata!",ADDRESS(INDEX($X$2:$X$1001,MATCH(ROWS($V$2:V99),$V$2:$V$1001,0),0),1)),INDEX($AA$2:$AA$1001,MATCH(ROWS($V$2:V99),$V$2:$V$1001,0),0)))</f>
        <v xml:space="preserve"> </v>
      </c>
      <c r="B99" s="4" t="str">
        <f ca="1">IF(OR(INDEX($W$2:$W$1001,MATCH(ROWS($V$2:V99),$V$2:$V$1001,0),1)&gt;=100000,INDEX($AC$1005:$AS$1005,1,MATCH(COLUMNS($AC$1006:AC1006),$AC$1006:$AS$1006,0))&gt;=100000), " ",IF(INDEX($AC$2:$AS$1001,MATCH(ROWS($V$2:V99),$V$2:$V$1001,0),MATCH(COLUMNS($AC$1006:AC1006),$AC$1006:$AS$1006,0)), HYPERLINK("#",""), HYPERLINK(CONCATENATE("#metadata!", ADDRESS(INDEX($X$2:$X$1001,MATCH(ROWS($V$2:V99),$V$2:$V$1001,0),0), INDEX($AC$1004:$AS$1004,1,MATCH(COLUMNS($AC$1006:AC1006),$AC$1006:$AS$1006,0)))),"Fix")))</f>
        <v xml:space="preserve"> </v>
      </c>
      <c r="C99" s="4" t="str">
        <f ca="1">IF(OR(INDEX($W$2:$W$1001,MATCH(ROWS($V$2:V99),$V$2:$V$1001,0),1)&gt;=100000,INDEX($AC$1005:$AS$1005,1,MATCH(COLUMNS($AC$1006:AD1006),$AC$1006:$AS$1006,0))&gt;=100000), " ",IF(INDEX($AC$2:$AS$1001,MATCH(ROWS($V$2:V99),$V$2:$V$1001,0),MATCH(COLUMNS($AC$1006:AD1006),$AC$1006:$AS$1006,0)), HYPERLINK("#",""), HYPERLINK(CONCATENATE("#metadata!", ADDRESS(INDEX($X$2:$X$1001,MATCH(ROWS($V$2:V99),$V$2:$V$1001,0),0), INDEX($AC$1004:$AS$1004,1,MATCH(COLUMNS($AC$1006:AD1006),$AC$1006:$AS$1006,0)))),"Fix")))</f>
        <v xml:space="preserve"> </v>
      </c>
      <c r="D99" s="4" t="str">
        <f ca="1">IF(OR(INDEX($W$2:$W$1001,MATCH(ROWS($V$2:V99),$V$2:$V$1001,0),1)&gt;=100000,INDEX($AC$1005:$AS$1005,1,MATCH(COLUMNS($AC$1006:AE1006),$AC$1006:$AS$1006,0))&gt;=100000), " ",IF(INDEX($AC$2:$AS$1001,MATCH(ROWS($V$2:V99),$V$2:$V$1001,0),MATCH(COLUMNS($AC$1006:AE1006),$AC$1006:$AS$1006,0)), HYPERLINK("#",""), HYPERLINK(CONCATENATE("#metadata!", ADDRESS(INDEX($X$2:$X$1001,MATCH(ROWS($V$2:V99),$V$2:$V$1001,0),0), INDEX($AC$1004:$AS$1004,1,MATCH(COLUMNS($AC$1006:AE1006),$AC$1006:$AS$1006,0)))),"Fix")))</f>
        <v xml:space="preserve"> </v>
      </c>
      <c r="E99" s="4" t="str">
        <f ca="1">IF(OR(INDEX($W$2:$W$1001,MATCH(ROWS($V$2:V99),$V$2:$V$1001,0),1)&gt;=100000,INDEX($AC$1005:$AS$1005,1,MATCH(COLUMNS($AC$1006:AF1006),$AC$1006:$AS$1006,0))&gt;=100000), " ",IF(INDEX($AC$2:$AS$1001,MATCH(ROWS($V$2:V99),$V$2:$V$1001,0),MATCH(COLUMNS($AC$1006:AF1006),$AC$1006:$AS$1006,0)), HYPERLINK("#",""), HYPERLINK(CONCATENATE("#metadata!", ADDRESS(INDEX($X$2:$X$1001,MATCH(ROWS($V$2:V99),$V$2:$V$1001,0),0), INDEX($AC$1004:$AS$1004,1,MATCH(COLUMNS($AC$1006:AF1006),$AC$1006:$AS$1006,0)))),"Fix")))</f>
        <v xml:space="preserve"> </v>
      </c>
      <c r="F99" s="4" t="str">
        <f ca="1">IF(OR(INDEX($W$2:$W$1001,MATCH(ROWS($V$2:V99),$V$2:$V$1001,0),1)&gt;=100000,INDEX($AC$1005:$AS$1005,1,MATCH(COLUMNS($AC$1006:AG1006),$AC$1006:$AS$1006,0))&gt;=100000), " ",IF(INDEX($AC$2:$AS$1001,MATCH(ROWS($V$2:V99),$V$2:$V$1001,0),MATCH(COLUMNS($AC$1006:AG1006),$AC$1006:$AS$1006,0)), HYPERLINK("#",""), HYPERLINK(CONCATENATE("#metadata!", ADDRESS(INDEX($X$2:$X$1001,MATCH(ROWS($V$2:V99),$V$2:$V$1001,0),0), INDEX($AC$1004:$AS$1004,1,MATCH(COLUMNS($AC$1006:AG1006),$AC$1006:$AS$1006,0)))),"Fix")))</f>
        <v xml:space="preserve"> </v>
      </c>
      <c r="G99" s="4" t="str">
        <f ca="1">IF(OR(INDEX($W$2:$W$1001,MATCH(ROWS($V$2:V99),$V$2:$V$1001,0),1)&gt;=100000,INDEX($AC$1005:$AS$1005,1,MATCH(COLUMNS($AC$1006:AH1006),$AC$1006:$AS$1006,0))&gt;=100000), " ",IF(INDEX($AC$2:$AS$1001,MATCH(ROWS($V$2:V99),$V$2:$V$1001,0),MATCH(COLUMNS($AC$1006:AH1006),$AC$1006:$AS$1006,0)), HYPERLINK("#",""), HYPERLINK(CONCATENATE("#metadata!", ADDRESS(INDEX($X$2:$X$1001,MATCH(ROWS($V$2:V99),$V$2:$V$1001,0),0), INDEX($AC$1004:$AS$1004,1,MATCH(COLUMNS($AC$1006:AH1006),$AC$1006:$AS$1006,0)))),"Fix")))</f>
        <v xml:space="preserve"> </v>
      </c>
      <c r="H99" s="4" t="str">
        <f ca="1">IF(OR(INDEX($W$2:$W$1001,MATCH(ROWS($V$2:V99),$V$2:$V$1001,0),1)&gt;=100000,INDEX($AC$1005:$AS$1005,1,MATCH(COLUMNS($AC$1006:AI1006),$AC$1006:$AS$1006,0))&gt;=100000), " ",IF(INDEX($AC$2:$AS$1001,MATCH(ROWS($V$2:V99),$V$2:$V$1001,0),MATCH(COLUMNS($AC$1006:AI1006),$AC$1006:$AS$1006,0)), HYPERLINK("#",""), HYPERLINK(CONCATENATE("#metadata!", ADDRESS(INDEX($X$2:$X$1001,MATCH(ROWS($V$2:V99),$V$2:$V$1001,0),0), INDEX($AC$1004:$AS$1004,1,MATCH(COLUMNS($AC$1006:AI1006),$AC$1006:$AS$1006,0)))),"Fix")))</f>
        <v xml:space="preserve"> </v>
      </c>
      <c r="I99" s="4" t="str">
        <f ca="1">IF(OR(INDEX($W$2:$W$1001,MATCH(ROWS($V$2:V99),$V$2:$V$1001,0),1)&gt;=100000,INDEX($AC$1005:$AS$1005,1,MATCH(COLUMNS($AC$1006:AJ1006),$AC$1006:$AS$1006,0))&gt;=100000), " ",IF(INDEX($AC$2:$AS$1001,MATCH(ROWS($V$2:V99),$V$2:$V$1001,0),MATCH(COLUMNS($AC$1006:AJ1006),$AC$1006:$AS$1006,0)), HYPERLINK("#",""), HYPERLINK(CONCATENATE("#metadata!", ADDRESS(INDEX($X$2:$X$1001,MATCH(ROWS($V$2:V99),$V$2:$V$1001,0),0), INDEX($AC$1004:$AS$1004,1,MATCH(COLUMNS($AC$1006:AJ1006),$AC$1006:$AS$1006,0)))),"Fix")))</f>
        <v xml:space="preserve"> </v>
      </c>
      <c r="J99" s="4" t="str">
        <f ca="1">IF(OR(INDEX($W$2:$W$1001,MATCH(ROWS($V$2:V99),$V$2:$V$1001,0),1)&gt;=100000,INDEX($AC$1005:$AS$1005,1,MATCH(COLUMNS($AC$1006:AK1006),$AC$1006:$AS$1006,0))&gt;=100000), " ",IF(INDEX($AC$2:$AS$1001,MATCH(ROWS($V$2:V99),$V$2:$V$1001,0),MATCH(COLUMNS($AC$1006:AK1006),$AC$1006:$AS$1006,0)), HYPERLINK("#",""), HYPERLINK(CONCATENATE("#metadata!", ADDRESS(INDEX($X$2:$X$1001,MATCH(ROWS($V$2:V99),$V$2:$V$1001,0),0), INDEX($AC$1004:$AS$1004,1,MATCH(COLUMNS($AC$1006:AK1006),$AC$1006:$AS$1006,0)))),"Fix")))</f>
        <v xml:space="preserve"> </v>
      </c>
      <c r="K99" s="4" t="str">
        <f ca="1">IF(OR(INDEX($W$2:$W$1001,MATCH(ROWS($V$2:V99),$V$2:$V$1001,0),1)&gt;=100000,INDEX($AC$1005:$AS$1005,1,MATCH(COLUMNS($AC$1006:AL1006),$AC$1006:$AS$1006,0))&gt;=100000), " ",IF(INDEX($AC$2:$AS$1001,MATCH(ROWS($V$2:V99),$V$2:$V$1001,0),MATCH(COLUMNS($AC$1006:AL1006),$AC$1006:$AS$1006,0)), HYPERLINK("#",""), HYPERLINK(CONCATENATE("#metadata!", ADDRESS(INDEX($X$2:$X$1001,MATCH(ROWS($V$2:V99),$V$2:$V$1001,0),0), INDEX($AC$1004:$AS$1004,1,MATCH(COLUMNS($AC$1006:AL1006),$AC$1006:$AS$1006,0)))),"Fix")))</f>
        <v xml:space="preserve"> </v>
      </c>
      <c r="L99" s="4" t="str">
        <f ca="1">IF(OR(INDEX($W$2:$W$1001,MATCH(ROWS($V$2:V99),$V$2:$V$1001,0),1)&gt;=100000,INDEX($AC$1005:$AS$1005,1,MATCH(COLUMNS($AC$1006:AM1006),$AC$1006:$AS$1006,0))&gt;=100000), " ",IF(INDEX($AC$2:$AS$1001,MATCH(ROWS($V$2:V99),$V$2:$V$1001,0),MATCH(COLUMNS($AC$1006:AM1006),$AC$1006:$AS$1006,0)), HYPERLINK("#",""), HYPERLINK(CONCATENATE("#metadata!", ADDRESS(INDEX($X$2:$X$1001,MATCH(ROWS($V$2:V99),$V$2:$V$1001,0),0), INDEX($AC$1004:$AS$1004,1,MATCH(COLUMNS($AC$1006:AM1006),$AC$1006:$AS$1006,0)))),"Fix")))</f>
        <v xml:space="preserve"> </v>
      </c>
      <c r="M99" s="4" t="str">
        <f ca="1">IF(OR(INDEX($W$2:$W$1001,MATCH(ROWS($V$2:V99),$V$2:$V$1001,0),1)&gt;=100000,INDEX($AC$1005:$AS$1005,1,MATCH(COLUMNS($AC$1006:AN1006),$AC$1006:$AS$1006,0))&gt;=100000), " ",IF(INDEX($AC$2:$AS$1001,MATCH(ROWS($V$2:V99),$V$2:$V$1001,0),MATCH(COLUMNS($AC$1006:AN1006),$AC$1006:$AS$1006,0)), HYPERLINK("#",""), HYPERLINK(CONCATENATE("#metadata!", ADDRESS(INDEX($X$2:$X$1001,MATCH(ROWS($V$2:V99),$V$2:$V$1001,0),0), INDEX($AC$1004:$AS$1004,1,MATCH(COLUMNS($AC$1006:AN1006),$AC$1006:$AS$1006,0)))),"Fix")))</f>
        <v xml:space="preserve"> </v>
      </c>
      <c r="N99" s="4" t="str">
        <f ca="1">IF(OR(INDEX($W$2:$W$1001,MATCH(ROWS($V$2:V99),$V$2:$V$1001,0),1)&gt;=100000,INDEX($AC$1005:$AS$1005,1,MATCH(COLUMNS($AC$1006:AO1006),$AC$1006:$AS$1006,0))&gt;=100000), " ",IF(INDEX($AC$2:$AS$1001,MATCH(ROWS($V$2:V99),$V$2:$V$1001,0),MATCH(COLUMNS($AC$1006:AO1006),$AC$1006:$AS$1006,0)), HYPERLINK("#",""), HYPERLINK(CONCATENATE("#metadata!", ADDRESS(INDEX($X$2:$X$1001,MATCH(ROWS($V$2:V99),$V$2:$V$1001,0),0), INDEX($AC$1004:$AS$1004,1,MATCH(COLUMNS($AC$1006:AO1006),$AC$1006:$AS$1006,0)))),"Fix")))</f>
        <v xml:space="preserve"> </v>
      </c>
      <c r="O99" s="4" t="str">
        <f ca="1">IF(OR(INDEX($W$2:$W$1001,MATCH(ROWS($V$2:V99),$V$2:$V$1001,0),1)&gt;=100000,INDEX($AC$1005:$AS$1005,1,MATCH(COLUMNS($AC$1006:AP1006),$AC$1006:$AS$1006,0))&gt;=100000), " ",IF(INDEX($AC$2:$AS$1001,MATCH(ROWS($V$2:V99),$V$2:$V$1001,0),MATCH(COLUMNS($AC$1006:AP1006),$AC$1006:$AS$1006,0)), HYPERLINK("#",""), HYPERLINK(CONCATENATE("#metadata!", ADDRESS(INDEX($X$2:$X$1001,MATCH(ROWS($V$2:V99),$V$2:$V$1001,0),0), INDEX($AC$1004:$AS$1004,1,MATCH(COLUMNS($AC$1006:AP1006),$AC$1006:$AS$1006,0)))),"Fix")))</f>
        <v xml:space="preserve"> </v>
      </c>
      <c r="P99" s="4" t="str">
        <f ca="1">IF(OR(INDEX($W$2:$W$1001,MATCH(ROWS($V$2:V99),$V$2:$V$1001,0),1)&gt;=100000,INDEX($AC$1005:$AS$1005,1,MATCH(COLUMNS($AC$1006:AQ1006),$AC$1006:$AS$1006,0))&gt;=100000), " ",IF(INDEX($AC$2:$AS$1001,MATCH(ROWS($V$2:V99),$V$2:$V$1001,0),MATCH(COLUMNS($AC$1006:AQ1006),$AC$1006:$AS$1006,0)), HYPERLINK("#",""), HYPERLINK(CONCATENATE("#metadata!", ADDRESS(INDEX($X$2:$X$1001,MATCH(ROWS($V$2:V99),$V$2:$V$1001,0),0), INDEX($AC$1004:$AS$1004,1,MATCH(COLUMNS($AC$1006:AQ1006),$AC$1006:$AS$1006,0)))),"Fix")))</f>
        <v xml:space="preserve"> </v>
      </c>
      <c r="Q99" s="4" t="str">
        <f ca="1">IF(OR(INDEX($W$2:$W$1001,MATCH(ROWS($V$2:V99),$V$2:$V$1001,0),1)&gt;=100000,INDEX($AC$1005:$AS$1005,1,MATCH(COLUMNS($AC$1006:AR1006),$AC$1006:$AS$1006,0))&gt;=100000), " ",IF(INDEX($AC$2:$AS$1001,MATCH(ROWS($V$2:V99),$V$2:$V$1001,0),MATCH(COLUMNS($AC$1006:AR1006),$AC$1006:$AS$1006,0)), HYPERLINK("#",""), HYPERLINK(CONCATENATE("#metadata!", ADDRESS(INDEX($X$2:$X$1001,MATCH(ROWS($V$2:V99),$V$2:$V$1001,0),0), INDEX($AC$1004:$AS$1004,1,MATCH(COLUMNS($AC$1006:AR1006),$AC$1006:$AS$1006,0)))),"Fix")))</f>
        <v xml:space="preserve"> </v>
      </c>
      <c r="R99" s="4" t="str">
        <f ca="1">IF(OR(INDEX($W$2:$W$1001,MATCH(ROWS($V$2:V99),$V$2:$V$1001,0),1)&gt;=100000,INDEX($AC$1005:$AS$1005,1,MATCH(COLUMNS($AC$1006:AS1006),$AC$1006:$AS$1006,0))&gt;=100000), " ",IF(INDEX($AC$2:$AS$1001,MATCH(ROWS($V$2:V99),$V$2:$V$1001,0),MATCH(COLUMNS($AC$1006:AS1006),$AC$1006:$AS$1006,0)), HYPERLINK("#",""), HYPERLINK(CONCATENATE("#metadata!", ADDRESS(INDEX($X$2:$X$1001,MATCH(ROWS($V$2:V99),$V$2:$V$1001,0),0), INDEX($AC$1004:$AS$1004,1,MATCH(COLUMNS($AC$1006:AS1006),$AC$1006:$AS$1006,0)))),"Fix")))</f>
        <v xml:space="preserve"> </v>
      </c>
      <c r="V99">
        <v>98</v>
      </c>
      <c r="W99">
        <v>100099</v>
      </c>
      <c r="X99">
        <v>99</v>
      </c>
      <c r="Y99" t="b">
        <f t="shared" si="1"/>
        <v>1</v>
      </c>
      <c r="Z99" t="b">
        <f>COUNTBLANK(metadata!B99:R99)=COLUMNS(metadata!B99:R99)</f>
        <v>1</v>
      </c>
      <c r="AA99" t="str">
        <v/>
      </c>
      <c r="AC99" t="b">
        <f ca="1"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AD99" t="b">
        <f>IF(metadata!C99="",FALSE,ISNUMBER(VALUE(metadata!C99)))</f>
        <v>0</v>
      </c>
      <c r="AE99" t="b">
        <f>AND(IF(metadata!D99="",FALSE,TRUE),EXACT(metadata!D99,"years"))</f>
        <v>0</v>
      </c>
      <c r="AF99" t="b">
        <f>OR(AND(IF(metadata!E99="",FALSE,TRUE),OR(EXACT(metadata!E99,"not applicable"),EXACT(metadata!E99,"missing: not collected"),EXACT(metadata!E99,"missing: not provided"),EXACT(metadata!E99,"missing: restricted access"))),AND(IF(metadata!E99="",FALSE,ISNUMBER(VALUE(metadata!E99))),metadata!E99&gt;0))</f>
        <v>0</v>
      </c>
      <c r="AG99" t="b">
        <f>AND(IF(metadata!F99="",FALSE,TRUE),EXACT(metadata!F99,"Not applicable"))</f>
        <v>0</v>
      </c>
      <c r="AH99" t="b">
        <f>AND(IF(metadata!G99="",FALSE,TRUE),EXACT(metadata!G99,"urban biome"))</f>
        <v>0</v>
      </c>
      <c r="AI99" t="b">
        <f>AND(IF(metadata!H99="",FALSE,TRUE),EXACT(metadata!H99,"human-associated habitat"))</f>
        <v>0</v>
      </c>
      <c r="AJ99" t="b">
        <f>AND(IF(metadata!I99="",FALSE,TRUE),OR(EXACT(metadata!I99,"human-associated"),EXACT(metadata!I99,"human-skin"),EXACT(metadata!I99,"human-oral"),EXACT(metadata!I99,"human-gut"),EXACT(metadata!I99,"human-vaginal")))</f>
        <v>0</v>
      </c>
      <c r="AK99" t="b">
        <f>IF(metadata!J99="",FALSE,ISNUMBER(VALUE(metadata!J99)))</f>
        <v>0</v>
      </c>
      <c r="AL99" t="b">
        <f>AND(IF(metadata!K99="",FALSE,TRUE),EXACT(metadata!K99,"cm"))</f>
        <v>0</v>
      </c>
      <c r="AM99" t="b">
        <f>AND(IF(metadata!L99="",FALSE,TRUE),EXACT(metadata!L99,"human"))</f>
        <v>0</v>
      </c>
      <c r="AN99" t="b">
        <f>AND(IF(metadata!M99="",FALSE,TRUE),EXACT(metadata!M99,"Homo sapiens"))</f>
        <v>0</v>
      </c>
      <c r="AO99" t="b">
        <f>AND(IF(metadata!N99="",FALSE,TRUE),EXACT(metadata!N99,"9606"))</f>
        <v>0</v>
      </c>
      <c r="AP99" t="b">
        <f>IF(metadata!O99="",FALSE,TRUE)</f>
        <v>0</v>
      </c>
      <c r="AQ99" t="b">
        <f>IF(metadata!P99="",FALSE,TRUE)</f>
        <v>0</v>
      </c>
      <c r="AR99" t="b">
        <f>IF(metadata!Q99="",FALSE,ISNUMBER(VALUE(metadata!Q99)))</f>
        <v>0</v>
      </c>
      <c r="AS99" t="b">
        <f>AND(IF(metadata!R99="",FALSE,TRUE),EXACT(metadata!R99,"kg"))</f>
        <v>0</v>
      </c>
    </row>
    <row r="100" spans="1:45" x14ac:dyDescent="0.2">
      <c r="A100" s="5" t="str">
        <f ca="1">IF(B100=" "," ",HYPERLINK(CONCATENATE("#metadata!",ADDRESS(INDEX($X$2:$X$1001,MATCH(ROWS($V$2:V100),$V$2:$V$1001,0),0),1)),INDEX($AA$2:$AA$1001,MATCH(ROWS($V$2:V100),$V$2:$V$1001,0),0)))</f>
        <v xml:space="preserve"> </v>
      </c>
      <c r="B100" s="4" t="str">
        <f ca="1">IF(OR(INDEX($W$2:$W$1001,MATCH(ROWS($V$2:V100),$V$2:$V$1001,0),1)&gt;=100000,INDEX($AC$1005:$AS$1005,1,MATCH(COLUMNS($AC$1006:AC1006),$AC$1006:$AS$1006,0))&gt;=100000), " ",IF(INDEX($AC$2:$AS$1001,MATCH(ROWS($V$2:V100),$V$2:$V$1001,0),MATCH(COLUMNS($AC$1006:AC1006),$AC$1006:$AS$1006,0)), HYPERLINK("#",""), HYPERLINK(CONCATENATE("#metadata!", ADDRESS(INDEX($X$2:$X$1001,MATCH(ROWS($V$2:V100),$V$2:$V$1001,0),0), INDEX($AC$1004:$AS$1004,1,MATCH(COLUMNS($AC$1006:AC1006),$AC$1006:$AS$1006,0)))),"Fix")))</f>
        <v xml:space="preserve"> </v>
      </c>
      <c r="C100" s="4" t="str">
        <f ca="1">IF(OR(INDEX($W$2:$W$1001,MATCH(ROWS($V$2:V100),$V$2:$V$1001,0),1)&gt;=100000,INDEX($AC$1005:$AS$1005,1,MATCH(COLUMNS($AC$1006:AD1006),$AC$1006:$AS$1006,0))&gt;=100000), " ",IF(INDEX($AC$2:$AS$1001,MATCH(ROWS($V$2:V100),$V$2:$V$1001,0),MATCH(COLUMNS($AC$1006:AD1006),$AC$1006:$AS$1006,0)), HYPERLINK("#",""), HYPERLINK(CONCATENATE("#metadata!", ADDRESS(INDEX($X$2:$X$1001,MATCH(ROWS($V$2:V100),$V$2:$V$1001,0),0), INDEX($AC$1004:$AS$1004,1,MATCH(COLUMNS($AC$1006:AD1006),$AC$1006:$AS$1006,0)))),"Fix")))</f>
        <v xml:space="preserve"> </v>
      </c>
      <c r="D100" s="4" t="str">
        <f ca="1">IF(OR(INDEX($W$2:$W$1001,MATCH(ROWS($V$2:V100),$V$2:$V$1001,0),1)&gt;=100000,INDEX($AC$1005:$AS$1005,1,MATCH(COLUMNS($AC$1006:AE1006),$AC$1006:$AS$1006,0))&gt;=100000), " ",IF(INDEX($AC$2:$AS$1001,MATCH(ROWS($V$2:V100),$V$2:$V$1001,0),MATCH(COLUMNS($AC$1006:AE1006),$AC$1006:$AS$1006,0)), HYPERLINK("#",""), HYPERLINK(CONCATENATE("#metadata!", ADDRESS(INDEX($X$2:$X$1001,MATCH(ROWS($V$2:V100),$V$2:$V$1001,0),0), INDEX($AC$1004:$AS$1004,1,MATCH(COLUMNS($AC$1006:AE1006),$AC$1006:$AS$1006,0)))),"Fix")))</f>
        <v xml:space="preserve"> </v>
      </c>
      <c r="E100" s="4" t="str">
        <f ca="1">IF(OR(INDEX($W$2:$W$1001,MATCH(ROWS($V$2:V100),$V$2:$V$1001,0),1)&gt;=100000,INDEX($AC$1005:$AS$1005,1,MATCH(COLUMNS($AC$1006:AF1006),$AC$1006:$AS$1006,0))&gt;=100000), " ",IF(INDEX($AC$2:$AS$1001,MATCH(ROWS($V$2:V100),$V$2:$V$1001,0),MATCH(COLUMNS($AC$1006:AF1006),$AC$1006:$AS$1006,0)), HYPERLINK("#",""), HYPERLINK(CONCATENATE("#metadata!", ADDRESS(INDEX($X$2:$X$1001,MATCH(ROWS($V$2:V100),$V$2:$V$1001,0),0), INDEX($AC$1004:$AS$1004,1,MATCH(COLUMNS($AC$1006:AF1006),$AC$1006:$AS$1006,0)))),"Fix")))</f>
        <v xml:space="preserve"> </v>
      </c>
      <c r="F100" s="4" t="str">
        <f ca="1">IF(OR(INDEX($W$2:$W$1001,MATCH(ROWS($V$2:V100),$V$2:$V$1001,0),1)&gt;=100000,INDEX($AC$1005:$AS$1005,1,MATCH(COLUMNS($AC$1006:AG1006),$AC$1006:$AS$1006,0))&gt;=100000), " ",IF(INDEX($AC$2:$AS$1001,MATCH(ROWS($V$2:V100),$V$2:$V$1001,0),MATCH(COLUMNS($AC$1006:AG1006),$AC$1006:$AS$1006,0)), HYPERLINK("#",""), HYPERLINK(CONCATENATE("#metadata!", ADDRESS(INDEX($X$2:$X$1001,MATCH(ROWS($V$2:V100),$V$2:$V$1001,0),0), INDEX($AC$1004:$AS$1004,1,MATCH(COLUMNS($AC$1006:AG1006),$AC$1006:$AS$1006,0)))),"Fix")))</f>
        <v xml:space="preserve"> </v>
      </c>
      <c r="G100" s="4" t="str">
        <f ca="1">IF(OR(INDEX($W$2:$W$1001,MATCH(ROWS($V$2:V100),$V$2:$V$1001,0),1)&gt;=100000,INDEX($AC$1005:$AS$1005,1,MATCH(COLUMNS($AC$1006:AH1006),$AC$1006:$AS$1006,0))&gt;=100000), " ",IF(INDEX($AC$2:$AS$1001,MATCH(ROWS($V$2:V100),$V$2:$V$1001,0),MATCH(COLUMNS($AC$1006:AH1006),$AC$1006:$AS$1006,0)), HYPERLINK("#",""), HYPERLINK(CONCATENATE("#metadata!", ADDRESS(INDEX($X$2:$X$1001,MATCH(ROWS($V$2:V100),$V$2:$V$1001,0),0), INDEX($AC$1004:$AS$1004,1,MATCH(COLUMNS($AC$1006:AH1006),$AC$1006:$AS$1006,0)))),"Fix")))</f>
        <v xml:space="preserve"> </v>
      </c>
      <c r="H100" s="4" t="str">
        <f ca="1">IF(OR(INDEX($W$2:$W$1001,MATCH(ROWS($V$2:V100),$V$2:$V$1001,0),1)&gt;=100000,INDEX($AC$1005:$AS$1005,1,MATCH(COLUMNS($AC$1006:AI1006),$AC$1006:$AS$1006,0))&gt;=100000), " ",IF(INDEX($AC$2:$AS$1001,MATCH(ROWS($V$2:V100),$V$2:$V$1001,0),MATCH(COLUMNS($AC$1006:AI1006),$AC$1006:$AS$1006,0)), HYPERLINK("#",""), HYPERLINK(CONCATENATE("#metadata!", ADDRESS(INDEX($X$2:$X$1001,MATCH(ROWS($V$2:V100),$V$2:$V$1001,0),0), INDEX($AC$1004:$AS$1004,1,MATCH(COLUMNS($AC$1006:AI1006),$AC$1006:$AS$1006,0)))),"Fix")))</f>
        <v xml:space="preserve"> </v>
      </c>
      <c r="I100" s="4" t="str">
        <f ca="1">IF(OR(INDEX($W$2:$W$1001,MATCH(ROWS($V$2:V100),$V$2:$V$1001,0),1)&gt;=100000,INDEX($AC$1005:$AS$1005,1,MATCH(COLUMNS($AC$1006:AJ1006),$AC$1006:$AS$1006,0))&gt;=100000), " ",IF(INDEX($AC$2:$AS$1001,MATCH(ROWS($V$2:V100),$V$2:$V$1001,0),MATCH(COLUMNS($AC$1006:AJ1006),$AC$1006:$AS$1006,0)), HYPERLINK("#",""), HYPERLINK(CONCATENATE("#metadata!", ADDRESS(INDEX($X$2:$X$1001,MATCH(ROWS($V$2:V100),$V$2:$V$1001,0),0), INDEX($AC$1004:$AS$1004,1,MATCH(COLUMNS($AC$1006:AJ1006),$AC$1006:$AS$1006,0)))),"Fix")))</f>
        <v xml:space="preserve"> </v>
      </c>
      <c r="J100" s="4" t="str">
        <f ca="1">IF(OR(INDEX($W$2:$W$1001,MATCH(ROWS($V$2:V100),$V$2:$V$1001,0),1)&gt;=100000,INDEX($AC$1005:$AS$1005,1,MATCH(COLUMNS($AC$1006:AK1006),$AC$1006:$AS$1006,0))&gt;=100000), " ",IF(INDEX($AC$2:$AS$1001,MATCH(ROWS($V$2:V100),$V$2:$V$1001,0),MATCH(COLUMNS($AC$1006:AK1006),$AC$1006:$AS$1006,0)), HYPERLINK("#",""), HYPERLINK(CONCATENATE("#metadata!", ADDRESS(INDEX($X$2:$X$1001,MATCH(ROWS($V$2:V100),$V$2:$V$1001,0),0), INDEX($AC$1004:$AS$1004,1,MATCH(COLUMNS($AC$1006:AK1006),$AC$1006:$AS$1006,0)))),"Fix")))</f>
        <v xml:space="preserve"> </v>
      </c>
      <c r="K100" s="4" t="str">
        <f ca="1">IF(OR(INDEX($W$2:$W$1001,MATCH(ROWS($V$2:V100),$V$2:$V$1001,0),1)&gt;=100000,INDEX($AC$1005:$AS$1005,1,MATCH(COLUMNS($AC$1006:AL1006),$AC$1006:$AS$1006,0))&gt;=100000), " ",IF(INDEX($AC$2:$AS$1001,MATCH(ROWS($V$2:V100),$V$2:$V$1001,0),MATCH(COLUMNS($AC$1006:AL1006),$AC$1006:$AS$1006,0)), HYPERLINK("#",""), HYPERLINK(CONCATENATE("#metadata!", ADDRESS(INDEX($X$2:$X$1001,MATCH(ROWS($V$2:V100),$V$2:$V$1001,0),0), INDEX($AC$1004:$AS$1004,1,MATCH(COLUMNS($AC$1006:AL1006),$AC$1006:$AS$1006,0)))),"Fix")))</f>
        <v xml:space="preserve"> </v>
      </c>
      <c r="L100" s="4" t="str">
        <f ca="1">IF(OR(INDEX($W$2:$W$1001,MATCH(ROWS($V$2:V100),$V$2:$V$1001,0),1)&gt;=100000,INDEX($AC$1005:$AS$1005,1,MATCH(COLUMNS($AC$1006:AM1006),$AC$1006:$AS$1006,0))&gt;=100000), " ",IF(INDEX($AC$2:$AS$1001,MATCH(ROWS($V$2:V100),$V$2:$V$1001,0),MATCH(COLUMNS($AC$1006:AM1006),$AC$1006:$AS$1006,0)), HYPERLINK("#",""), HYPERLINK(CONCATENATE("#metadata!", ADDRESS(INDEX($X$2:$X$1001,MATCH(ROWS($V$2:V100),$V$2:$V$1001,0),0), INDEX($AC$1004:$AS$1004,1,MATCH(COLUMNS($AC$1006:AM1006),$AC$1006:$AS$1006,0)))),"Fix")))</f>
        <v xml:space="preserve"> </v>
      </c>
      <c r="M100" s="4" t="str">
        <f ca="1">IF(OR(INDEX($W$2:$W$1001,MATCH(ROWS($V$2:V100),$V$2:$V$1001,0),1)&gt;=100000,INDEX($AC$1005:$AS$1005,1,MATCH(COLUMNS($AC$1006:AN1006),$AC$1006:$AS$1006,0))&gt;=100000), " ",IF(INDEX($AC$2:$AS$1001,MATCH(ROWS($V$2:V100),$V$2:$V$1001,0),MATCH(COLUMNS($AC$1006:AN1006),$AC$1006:$AS$1006,0)), HYPERLINK("#",""), HYPERLINK(CONCATENATE("#metadata!", ADDRESS(INDEX($X$2:$X$1001,MATCH(ROWS($V$2:V100),$V$2:$V$1001,0),0), INDEX($AC$1004:$AS$1004,1,MATCH(COLUMNS($AC$1006:AN1006),$AC$1006:$AS$1006,0)))),"Fix")))</f>
        <v xml:space="preserve"> </v>
      </c>
      <c r="N100" s="4" t="str">
        <f ca="1">IF(OR(INDEX($W$2:$W$1001,MATCH(ROWS($V$2:V100),$V$2:$V$1001,0),1)&gt;=100000,INDEX($AC$1005:$AS$1005,1,MATCH(COLUMNS($AC$1006:AO1006),$AC$1006:$AS$1006,0))&gt;=100000), " ",IF(INDEX($AC$2:$AS$1001,MATCH(ROWS($V$2:V100),$V$2:$V$1001,0),MATCH(COLUMNS($AC$1006:AO1006),$AC$1006:$AS$1006,0)), HYPERLINK("#",""), HYPERLINK(CONCATENATE("#metadata!", ADDRESS(INDEX($X$2:$X$1001,MATCH(ROWS($V$2:V100),$V$2:$V$1001,0),0), INDEX($AC$1004:$AS$1004,1,MATCH(COLUMNS($AC$1006:AO1006),$AC$1006:$AS$1006,0)))),"Fix")))</f>
        <v xml:space="preserve"> </v>
      </c>
      <c r="O100" s="4" t="str">
        <f ca="1">IF(OR(INDEX($W$2:$W$1001,MATCH(ROWS($V$2:V100),$V$2:$V$1001,0),1)&gt;=100000,INDEX($AC$1005:$AS$1005,1,MATCH(COLUMNS($AC$1006:AP1006),$AC$1006:$AS$1006,0))&gt;=100000), " ",IF(INDEX($AC$2:$AS$1001,MATCH(ROWS($V$2:V100),$V$2:$V$1001,0),MATCH(COLUMNS($AC$1006:AP1006),$AC$1006:$AS$1006,0)), HYPERLINK("#",""), HYPERLINK(CONCATENATE("#metadata!", ADDRESS(INDEX($X$2:$X$1001,MATCH(ROWS($V$2:V100),$V$2:$V$1001,0),0), INDEX($AC$1004:$AS$1004,1,MATCH(COLUMNS($AC$1006:AP1006),$AC$1006:$AS$1006,0)))),"Fix")))</f>
        <v xml:space="preserve"> </v>
      </c>
      <c r="P100" s="4" t="str">
        <f ca="1">IF(OR(INDEX($W$2:$W$1001,MATCH(ROWS($V$2:V100),$V$2:$V$1001,0),1)&gt;=100000,INDEX($AC$1005:$AS$1005,1,MATCH(COLUMNS($AC$1006:AQ1006),$AC$1006:$AS$1006,0))&gt;=100000), " ",IF(INDEX($AC$2:$AS$1001,MATCH(ROWS($V$2:V100),$V$2:$V$1001,0),MATCH(COLUMNS($AC$1006:AQ1006),$AC$1006:$AS$1006,0)), HYPERLINK("#",""), HYPERLINK(CONCATENATE("#metadata!", ADDRESS(INDEX($X$2:$X$1001,MATCH(ROWS($V$2:V100),$V$2:$V$1001,0),0), INDEX($AC$1004:$AS$1004,1,MATCH(COLUMNS($AC$1006:AQ1006),$AC$1006:$AS$1006,0)))),"Fix")))</f>
        <v xml:space="preserve"> </v>
      </c>
      <c r="Q100" s="4" t="str">
        <f ca="1">IF(OR(INDEX($W$2:$W$1001,MATCH(ROWS($V$2:V100),$V$2:$V$1001,0),1)&gt;=100000,INDEX($AC$1005:$AS$1005,1,MATCH(COLUMNS($AC$1006:AR1006),$AC$1006:$AS$1006,0))&gt;=100000), " ",IF(INDEX($AC$2:$AS$1001,MATCH(ROWS($V$2:V100),$V$2:$V$1001,0),MATCH(COLUMNS($AC$1006:AR1006),$AC$1006:$AS$1006,0)), HYPERLINK("#",""), HYPERLINK(CONCATENATE("#metadata!", ADDRESS(INDEX($X$2:$X$1001,MATCH(ROWS($V$2:V100),$V$2:$V$1001,0),0), INDEX($AC$1004:$AS$1004,1,MATCH(COLUMNS($AC$1006:AR1006),$AC$1006:$AS$1006,0)))),"Fix")))</f>
        <v xml:space="preserve"> </v>
      </c>
      <c r="R100" s="4" t="str">
        <f ca="1">IF(OR(INDEX($W$2:$W$1001,MATCH(ROWS($V$2:V100),$V$2:$V$1001,0),1)&gt;=100000,INDEX($AC$1005:$AS$1005,1,MATCH(COLUMNS($AC$1006:AS1006),$AC$1006:$AS$1006,0))&gt;=100000), " ",IF(INDEX($AC$2:$AS$1001,MATCH(ROWS($V$2:V100),$V$2:$V$1001,0),MATCH(COLUMNS($AC$1006:AS1006),$AC$1006:$AS$1006,0)), HYPERLINK("#",""), HYPERLINK(CONCATENATE("#metadata!", ADDRESS(INDEX($X$2:$X$1001,MATCH(ROWS($V$2:V100),$V$2:$V$1001,0),0), INDEX($AC$1004:$AS$1004,1,MATCH(COLUMNS($AC$1006:AS1006),$AC$1006:$AS$1006,0)))),"Fix")))</f>
        <v xml:space="preserve"> </v>
      </c>
      <c r="V100">
        <v>99</v>
      </c>
      <c r="W100">
        <v>100100</v>
      </c>
      <c r="X100">
        <v>100</v>
      </c>
      <c r="Y100" t="b">
        <f t="shared" si="1"/>
        <v>1</v>
      </c>
      <c r="Z100" t="b">
        <f>COUNTBLANK(metadata!B100:R100)=COLUMNS(metadata!B100:R100)</f>
        <v>1</v>
      </c>
      <c r="AA100" t="str">
        <v/>
      </c>
      <c r="AC100" t="b">
        <f ca="1"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AD100" t="b">
        <f>IF(metadata!C100="",FALSE,ISNUMBER(VALUE(metadata!C100)))</f>
        <v>0</v>
      </c>
      <c r="AE100" t="b">
        <f>AND(IF(metadata!D100="",FALSE,TRUE),EXACT(metadata!D100,"years"))</f>
        <v>0</v>
      </c>
      <c r="AF100" t="b">
        <f>OR(AND(IF(metadata!E100="",FALSE,TRUE),OR(EXACT(metadata!E100,"not applicable"),EXACT(metadata!E100,"missing: not collected"),EXACT(metadata!E100,"missing: not provided"),EXACT(metadata!E100,"missing: restricted access"))),AND(IF(metadata!E100="",FALSE,ISNUMBER(VALUE(metadata!E100))),metadata!E100&gt;0))</f>
        <v>0</v>
      </c>
      <c r="AG100" t="b">
        <f>AND(IF(metadata!F100="",FALSE,TRUE),EXACT(metadata!F100,"Not applicable"))</f>
        <v>0</v>
      </c>
      <c r="AH100" t="b">
        <f>AND(IF(metadata!G100="",FALSE,TRUE),EXACT(metadata!G100,"urban biome"))</f>
        <v>0</v>
      </c>
      <c r="AI100" t="b">
        <f>AND(IF(metadata!H100="",FALSE,TRUE),EXACT(metadata!H100,"human-associated habitat"))</f>
        <v>0</v>
      </c>
      <c r="AJ100" t="b">
        <f>AND(IF(metadata!I100="",FALSE,TRUE),OR(EXACT(metadata!I100,"human-associated"),EXACT(metadata!I100,"human-skin"),EXACT(metadata!I100,"human-oral"),EXACT(metadata!I100,"human-gut"),EXACT(metadata!I100,"human-vaginal")))</f>
        <v>0</v>
      </c>
      <c r="AK100" t="b">
        <f>IF(metadata!J100="",FALSE,ISNUMBER(VALUE(metadata!J100)))</f>
        <v>0</v>
      </c>
      <c r="AL100" t="b">
        <f>AND(IF(metadata!K100="",FALSE,TRUE),EXACT(metadata!K100,"cm"))</f>
        <v>0</v>
      </c>
      <c r="AM100" t="b">
        <f>AND(IF(metadata!L100="",FALSE,TRUE),EXACT(metadata!L100,"human"))</f>
        <v>0</v>
      </c>
      <c r="AN100" t="b">
        <f>AND(IF(metadata!M100="",FALSE,TRUE),EXACT(metadata!M100,"Homo sapiens"))</f>
        <v>0</v>
      </c>
      <c r="AO100" t="b">
        <f>AND(IF(metadata!N100="",FALSE,TRUE),EXACT(metadata!N100,"9606"))</f>
        <v>0</v>
      </c>
      <c r="AP100" t="b">
        <f>IF(metadata!O100="",FALSE,TRUE)</f>
        <v>0</v>
      </c>
      <c r="AQ100" t="b">
        <f>IF(metadata!P100="",FALSE,TRUE)</f>
        <v>0</v>
      </c>
      <c r="AR100" t="b">
        <f>IF(metadata!Q100="",FALSE,ISNUMBER(VALUE(metadata!Q100)))</f>
        <v>0</v>
      </c>
      <c r="AS100" t="b">
        <f>AND(IF(metadata!R100="",FALSE,TRUE),EXACT(metadata!R100,"kg"))</f>
        <v>0</v>
      </c>
    </row>
    <row r="101" spans="1:45" x14ac:dyDescent="0.2">
      <c r="A101" s="5" t="str">
        <f ca="1">IF(B101=" "," ",HYPERLINK(CONCATENATE("#metadata!",ADDRESS(INDEX($X$2:$X$1001,MATCH(ROWS($V$2:V101),$V$2:$V$1001,0),0),1)),INDEX($AA$2:$AA$1001,MATCH(ROWS($V$2:V101),$V$2:$V$1001,0),0)))</f>
        <v xml:space="preserve"> </v>
      </c>
      <c r="B101" s="4" t="str">
        <f ca="1">IF(OR(INDEX($W$2:$W$1001,MATCH(ROWS($V$2:V101),$V$2:$V$1001,0),1)&gt;=100000,INDEX($AC$1005:$AS$1005,1,MATCH(COLUMNS($AC$1006:AC1006),$AC$1006:$AS$1006,0))&gt;=100000), " ",IF(INDEX($AC$2:$AS$1001,MATCH(ROWS($V$2:V101),$V$2:$V$1001,0),MATCH(COLUMNS($AC$1006:AC1006),$AC$1006:$AS$1006,0)), HYPERLINK("#",""), HYPERLINK(CONCATENATE("#metadata!", ADDRESS(INDEX($X$2:$X$1001,MATCH(ROWS($V$2:V101),$V$2:$V$1001,0),0), INDEX($AC$1004:$AS$1004,1,MATCH(COLUMNS($AC$1006:AC1006),$AC$1006:$AS$1006,0)))),"Fix")))</f>
        <v xml:space="preserve"> </v>
      </c>
      <c r="C101" s="4" t="str">
        <f ca="1">IF(OR(INDEX($W$2:$W$1001,MATCH(ROWS($V$2:V101),$V$2:$V$1001,0),1)&gt;=100000,INDEX($AC$1005:$AS$1005,1,MATCH(COLUMNS($AC$1006:AD1006),$AC$1006:$AS$1006,0))&gt;=100000), " ",IF(INDEX($AC$2:$AS$1001,MATCH(ROWS($V$2:V101),$V$2:$V$1001,0),MATCH(COLUMNS($AC$1006:AD1006),$AC$1006:$AS$1006,0)), HYPERLINK("#",""), HYPERLINK(CONCATENATE("#metadata!", ADDRESS(INDEX($X$2:$X$1001,MATCH(ROWS($V$2:V101),$V$2:$V$1001,0),0), INDEX($AC$1004:$AS$1004,1,MATCH(COLUMNS($AC$1006:AD1006),$AC$1006:$AS$1006,0)))),"Fix")))</f>
        <v xml:space="preserve"> </v>
      </c>
      <c r="D101" s="4" t="str">
        <f ca="1">IF(OR(INDEX($W$2:$W$1001,MATCH(ROWS($V$2:V101),$V$2:$V$1001,0),1)&gt;=100000,INDEX($AC$1005:$AS$1005,1,MATCH(COLUMNS($AC$1006:AE1006),$AC$1006:$AS$1006,0))&gt;=100000), " ",IF(INDEX($AC$2:$AS$1001,MATCH(ROWS($V$2:V101),$V$2:$V$1001,0),MATCH(COLUMNS($AC$1006:AE1006),$AC$1006:$AS$1006,0)), HYPERLINK("#",""), HYPERLINK(CONCATENATE("#metadata!", ADDRESS(INDEX($X$2:$X$1001,MATCH(ROWS($V$2:V101),$V$2:$V$1001,0),0), INDEX($AC$1004:$AS$1004,1,MATCH(COLUMNS($AC$1006:AE1006),$AC$1006:$AS$1006,0)))),"Fix")))</f>
        <v xml:space="preserve"> </v>
      </c>
      <c r="E101" s="4" t="str">
        <f ca="1">IF(OR(INDEX($W$2:$W$1001,MATCH(ROWS($V$2:V101),$V$2:$V$1001,0),1)&gt;=100000,INDEX($AC$1005:$AS$1005,1,MATCH(COLUMNS($AC$1006:AF1006),$AC$1006:$AS$1006,0))&gt;=100000), " ",IF(INDEX($AC$2:$AS$1001,MATCH(ROWS($V$2:V101),$V$2:$V$1001,0),MATCH(COLUMNS($AC$1006:AF1006),$AC$1006:$AS$1006,0)), HYPERLINK("#",""), HYPERLINK(CONCATENATE("#metadata!", ADDRESS(INDEX($X$2:$X$1001,MATCH(ROWS($V$2:V101),$V$2:$V$1001,0),0), INDEX($AC$1004:$AS$1004,1,MATCH(COLUMNS($AC$1006:AF1006),$AC$1006:$AS$1006,0)))),"Fix")))</f>
        <v xml:space="preserve"> </v>
      </c>
      <c r="F101" s="4" t="str">
        <f ca="1">IF(OR(INDEX($W$2:$W$1001,MATCH(ROWS($V$2:V101),$V$2:$V$1001,0),1)&gt;=100000,INDEX($AC$1005:$AS$1005,1,MATCH(COLUMNS($AC$1006:AG1006),$AC$1006:$AS$1006,0))&gt;=100000), " ",IF(INDEX($AC$2:$AS$1001,MATCH(ROWS($V$2:V101),$V$2:$V$1001,0),MATCH(COLUMNS($AC$1006:AG1006),$AC$1006:$AS$1006,0)), HYPERLINK("#",""), HYPERLINK(CONCATENATE("#metadata!", ADDRESS(INDEX($X$2:$X$1001,MATCH(ROWS($V$2:V101),$V$2:$V$1001,0),0), INDEX($AC$1004:$AS$1004,1,MATCH(COLUMNS($AC$1006:AG1006),$AC$1006:$AS$1006,0)))),"Fix")))</f>
        <v xml:space="preserve"> </v>
      </c>
      <c r="G101" s="4" t="str">
        <f ca="1">IF(OR(INDEX($W$2:$W$1001,MATCH(ROWS($V$2:V101),$V$2:$V$1001,0),1)&gt;=100000,INDEX($AC$1005:$AS$1005,1,MATCH(COLUMNS($AC$1006:AH1006),$AC$1006:$AS$1006,0))&gt;=100000), " ",IF(INDEX($AC$2:$AS$1001,MATCH(ROWS($V$2:V101),$V$2:$V$1001,0),MATCH(COLUMNS($AC$1006:AH1006),$AC$1006:$AS$1006,0)), HYPERLINK("#",""), HYPERLINK(CONCATENATE("#metadata!", ADDRESS(INDEX($X$2:$X$1001,MATCH(ROWS($V$2:V101),$V$2:$V$1001,0),0), INDEX($AC$1004:$AS$1004,1,MATCH(COLUMNS($AC$1006:AH1006),$AC$1006:$AS$1006,0)))),"Fix")))</f>
        <v xml:space="preserve"> </v>
      </c>
      <c r="H101" s="4" t="str">
        <f ca="1">IF(OR(INDEX($W$2:$W$1001,MATCH(ROWS($V$2:V101),$V$2:$V$1001,0),1)&gt;=100000,INDEX($AC$1005:$AS$1005,1,MATCH(COLUMNS($AC$1006:AI1006),$AC$1006:$AS$1006,0))&gt;=100000), " ",IF(INDEX($AC$2:$AS$1001,MATCH(ROWS($V$2:V101),$V$2:$V$1001,0),MATCH(COLUMNS($AC$1006:AI1006),$AC$1006:$AS$1006,0)), HYPERLINK("#",""), HYPERLINK(CONCATENATE("#metadata!", ADDRESS(INDEX($X$2:$X$1001,MATCH(ROWS($V$2:V101),$V$2:$V$1001,0),0), INDEX($AC$1004:$AS$1004,1,MATCH(COLUMNS($AC$1006:AI1006),$AC$1006:$AS$1006,0)))),"Fix")))</f>
        <v xml:space="preserve"> </v>
      </c>
      <c r="I101" s="4" t="str">
        <f ca="1">IF(OR(INDEX($W$2:$W$1001,MATCH(ROWS($V$2:V101),$V$2:$V$1001,0),1)&gt;=100000,INDEX($AC$1005:$AS$1005,1,MATCH(COLUMNS($AC$1006:AJ1006),$AC$1006:$AS$1006,0))&gt;=100000), " ",IF(INDEX($AC$2:$AS$1001,MATCH(ROWS($V$2:V101),$V$2:$V$1001,0),MATCH(COLUMNS($AC$1006:AJ1006),$AC$1006:$AS$1006,0)), HYPERLINK("#",""), HYPERLINK(CONCATENATE("#metadata!", ADDRESS(INDEX($X$2:$X$1001,MATCH(ROWS($V$2:V101),$V$2:$V$1001,0),0), INDEX($AC$1004:$AS$1004,1,MATCH(COLUMNS($AC$1006:AJ1006),$AC$1006:$AS$1006,0)))),"Fix")))</f>
        <v xml:space="preserve"> </v>
      </c>
      <c r="J101" s="4" t="str">
        <f ca="1">IF(OR(INDEX($W$2:$W$1001,MATCH(ROWS($V$2:V101),$V$2:$V$1001,0),1)&gt;=100000,INDEX($AC$1005:$AS$1005,1,MATCH(COLUMNS($AC$1006:AK1006),$AC$1006:$AS$1006,0))&gt;=100000), " ",IF(INDEX($AC$2:$AS$1001,MATCH(ROWS($V$2:V101),$V$2:$V$1001,0),MATCH(COLUMNS($AC$1006:AK1006),$AC$1006:$AS$1006,0)), HYPERLINK("#",""), HYPERLINK(CONCATENATE("#metadata!", ADDRESS(INDEX($X$2:$X$1001,MATCH(ROWS($V$2:V101),$V$2:$V$1001,0),0), INDEX($AC$1004:$AS$1004,1,MATCH(COLUMNS($AC$1006:AK1006),$AC$1006:$AS$1006,0)))),"Fix")))</f>
        <v xml:space="preserve"> </v>
      </c>
      <c r="K101" s="4" t="str">
        <f ca="1">IF(OR(INDEX($W$2:$W$1001,MATCH(ROWS($V$2:V101),$V$2:$V$1001,0),1)&gt;=100000,INDEX($AC$1005:$AS$1005,1,MATCH(COLUMNS($AC$1006:AL1006),$AC$1006:$AS$1006,0))&gt;=100000), " ",IF(INDEX($AC$2:$AS$1001,MATCH(ROWS($V$2:V101),$V$2:$V$1001,0),MATCH(COLUMNS($AC$1006:AL1006),$AC$1006:$AS$1006,0)), HYPERLINK("#",""), HYPERLINK(CONCATENATE("#metadata!", ADDRESS(INDEX($X$2:$X$1001,MATCH(ROWS($V$2:V101),$V$2:$V$1001,0),0), INDEX($AC$1004:$AS$1004,1,MATCH(COLUMNS($AC$1006:AL1006),$AC$1006:$AS$1006,0)))),"Fix")))</f>
        <v xml:space="preserve"> </v>
      </c>
      <c r="L101" s="4" t="str">
        <f ca="1">IF(OR(INDEX($W$2:$W$1001,MATCH(ROWS($V$2:V101),$V$2:$V$1001,0),1)&gt;=100000,INDEX($AC$1005:$AS$1005,1,MATCH(COLUMNS($AC$1006:AM1006),$AC$1006:$AS$1006,0))&gt;=100000), " ",IF(INDEX($AC$2:$AS$1001,MATCH(ROWS($V$2:V101),$V$2:$V$1001,0),MATCH(COLUMNS($AC$1006:AM1006),$AC$1006:$AS$1006,0)), HYPERLINK("#",""), HYPERLINK(CONCATENATE("#metadata!", ADDRESS(INDEX($X$2:$X$1001,MATCH(ROWS($V$2:V101),$V$2:$V$1001,0),0), INDEX($AC$1004:$AS$1004,1,MATCH(COLUMNS($AC$1006:AM1006),$AC$1006:$AS$1006,0)))),"Fix")))</f>
        <v xml:space="preserve"> </v>
      </c>
      <c r="M101" s="4" t="str">
        <f ca="1">IF(OR(INDEX($W$2:$W$1001,MATCH(ROWS($V$2:V101),$V$2:$V$1001,0),1)&gt;=100000,INDEX($AC$1005:$AS$1005,1,MATCH(COLUMNS($AC$1006:AN1006),$AC$1006:$AS$1006,0))&gt;=100000), " ",IF(INDEX($AC$2:$AS$1001,MATCH(ROWS($V$2:V101),$V$2:$V$1001,0),MATCH(COLUMNS($AC$1006:AN1006),$AC$1006:$AS$1006,0)), HYPERLINK("#",""), HYPERLINK(CONCATENATE("#metadata!", ADDRESS(INDEX($X$2:$X$1001,MATCH(ROWS($V$2:V101),$V$2:$V$1001,0),0), INDEX($AC$1004:$AS$1004,1,MATCH(COLUMNS($AC$1006:AN1006),$AC$1006:$AS$1006,0)))),"Fix")))</f>
        <v xml:space="preserve"> </v>
      </c>
      <c r="N101" s="4" t="str">
        <f ca="1">IF(OR(INDEX($W$2:$W$1001,MATCH(ROWS($V$2:V101),$V$2:$V$1001,0),1)&gt;=100000,INDEX($AC$1005:$AS$1005,1,MATCH(COLUMNS($AC$1006:AO1006),$AC$1006:$AS$1006,0))&gt;=100000), " ",IF(INDEX($AC$2:$AS$1001,MATCH(ROWS($V$2:V101),$V$2:$V$1001,0),MATCH(COLUMNS($AC$1006:AO1006),$AC$1006:$AS$1006,0)), HYPERLINK("#",""), HYPERLINK(CONCATENATE("#metadata!", ADDRESS(INDEX($X$2:$X$1001,MATCH(ROWS($V$2:V101),$V$2:$V$1001,0),0), INDEX($AC$1004:$AS$1004,1,MATCH(COLUMNS($AC$1006:AO1006),$AC$1006:$AS$1006,0)))),"Fix")))</f>
        <v xml:space="preserve"> </v>
      </c>
      <c r="O101" s="4" t="str">
        <f ca="1">IF(OR(INDEX($W$2:$W$1001,MATCH(ROWS($V$2:V101),$V$2:$V$1001,0),1)&gt;=100000,INDEX($AC$1005:$AS$1005,1,MATCH(COLUMNS($AC$1006:AP1006),$AC$1006:$AS$1006,0))&gt;=100000), " ",IF(INDEX($AC$2:$AS$1001,MATCH(ROWS($V$2:V101),$V$2:$V$1001,0),MATCH(COLUMNS($AC$1006:AP1006),$AC$1006:$AS$1006,0)), HYPERLINK("#",""), HYPERLINK(CONCATENATE("#metadata!", ADDRESS(INDEX($X$2:$X$1001,MATCH(ROWS($V$2:V101),$V$2:$V$1001,0),0), INDEX($AC$1004:$AS$1004,1,MATCH(COLUMNS($AC$1006:AP1006),$AC$1006:$AS$1006,0)))),"Fix")))</f>
        <v xml:space="preserve"> </v>
      </c>
      <c r="P101" s="4" t="str">
        <f ca="1">IF(OR(INDEX($W$2:$W$1001,MATCH(ROWS($V$2:V101),$V$2:$V$1001,0),1)&gt;=100000,INDEX($AC$1005:$AS$1005,1,MATCH(COLUMNS($AC$1006:AQ1006),$AC$1006:$AS$1006,0))&gt;=100000), " ",IF(INDEX($AC$2:$AS$1001,MATCH(ROWS($V$2:V101),$V$2:$V$1001,0),MATCH(COLUMNS($AC$1006:AQ1006),$AC$1006:$AS$1006,0)), HYPERLINK("#",""), HYPERLINK(CONCATENATE("#metadata!", ADDRESS(INDEX($X$2:$X$1001,MATCH(ROWS($V$2:V101),$V$2:$V$1001,0),0), INDEX($AC$1004:$AS$1004,1,MATCH(COLUMNS($AC$1006:AQ1006),$AC$1006:$AS$1006,0)))),"Fix")))</f>
        <v xml:space="preserve"> </v>
      </c>
      <c r="Q101" s="4" t="str">
        <f ca="1">IF(OR(INDEX($W$2:$W$1001,MATCH(ROWS($V$2:V101),$V$2:$V$1001,0),1)&gt;=100000,INDEX($AC$1005:$AS$1005,1,MATCH(COLUMNS($AC$1006:AR1006),$AC$1006:$AS$1006,0))&gt;=100000), " ",IF(INDEX($AC$2:$AS$1001,MATCH(ROWS($V$2:V101),$V$2:$V$1001,0),MATCH(COLUMNS($AC$1006:AR1006),$AC$1006:$AS$1006,0)), HYPERLINK("#",""), HYPERLINK(CONCATENATE("#metadata!", ADDRESS(INDEX($X$2:$X$1001,MATCH(ROWS($V$2:V101),$V$2:$V$1001,0),0), INDEX($AC$1004:$AS$1004,1,MATCH(COLUMNS($AC$1006:AR1006),$AC$1006:$AS$1006,0)))),"Fix")))</f>
        <v xml:space="preserve"> </v>
      </c>
      <c r="R101" s="4" t="str">
        <f ca="1">IF(OR(INDEX($W$2:$W$1001,MATCH(ROWS($V$2:V101),$V$2:$V$1001,0),1)&gt;=100000,INDEX($AC$1005:$AS$1005,1,MATCH(COLUMNS($AC$1006:AS1006),$AC$1006:$AS$1006,0))&gt;=100000), " ",IF(INDEX($AC$2:$AS$1001,MATCH(ROWS($V$2:V101),$V$2:$V$1001,0),MATCH(COLUMNS($AC$1006:AS1006),$AC$1006:$AS$1006,0)), HYPERLINK("#",""), HYPERLINK(CONCATENATE("#metadata!", ADDRESS(INDEX($X$2:$X$1001,MATCH(ROWS($V$2:V101),$V$2:$V$1001,0),0), INDEX($AC$1004:$AS$1004,1,MATCH(COLUMNS($AC$1006:AS1006),$AC$1006:$AS$1006,0)))),"Fix")))</f>
        <v xml:space="preserve"> </v>
      </c>
      <c r="V101">
        <v>100</v>
      </c>
      <c r="W101">
        <v>100101</v>
      </c>
      <c r="X101">
        <v>101</v>
      </c>
      <c r="Y101" t="b">
        <f t="shared" si="1"/>
        <v>1</v>
      </c>
      <c r="Z101" t="b">
        <f>COUNTBLANK(metadata!B101:R101)=COLUMNS(metadata!B101:R101)</f>
        <v>1</v>
      </c>
      <c r="AA101" t="str">
        <v/>
      </c>
      <c r="AC101" t="b">
        <f ca="1"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AD101" t="b">
        <f>IF(metadata!C101="",FALSE,ISNUMBER(VALUE(metadata!C101)))</f>
        <v>0</v>
      </c>
      <c r="AE101" t="b">
        <f>AND(IF(metadata!D101="",FALSE,TRUE),EXACT(metadata!D101,"years"))</f>
        <v>0</v>
      </c>
      <c r="AF101" t="b">
        <f>OR(AND(IF(metadata!E101="",FALSE,TRUE),OR(EXACT(metadata!E101,"not applicable"),EXACT(metadata!E101,"missing: not collected"),EXACT(metadata!E101,"missing: not provided"),EXACT(metadata!E101,"missing: restricted access"))),AND(IF(metadata!E101="",FALSE,ISNUMBER(VALUE(metadata!E101))),metadata!E101&gt;0))</f>
        <v>0</v>
      </c>
      <c r="AG101" t="b">
        <f>AND(IF(metadata!F101="",FALSE,TRUE),EXACT(metadata!F101,"Not applicable"))</f>
        <v>0</v>
      </c>
      <c r="AH101" t="b">
        <f>AND(IF(metadata!G101="",FALSE,TRUE),EXACT(metadata!G101,"urban biome"))</f>
        <v>0</v>
      </c>
      <c r="AI101" t="b">
        <f>AND(IF(metadata!H101="",FALSE,TRUE),EXACT(metadata!H101,"human-associated habitat"))</f>
        <v>0</v>
      </c>
      <c r="AJ101" t="b">
        <f>AND(IF(metadata!I101="",FALSE,TRUE),OR(EXACT(metadata!I101,"human-associated"),EXACT(metadata!I101,"human-skin"),EXACT(metadata!I101,"human-oral"),EXACT(metadata!I101,"human-gut"),EXACT(metadata!I101,"human-vaginal")))</f>
        <v>0</v>
      </c>
      <c r="AK101" t="b">
        <f>IF(metadata!J101="",FALSE,ISNUMBER(VALUE(metadata!J101)))</f>
        <v>0</v>
      </c>
      <c r="AL101" t="b">
        <f>AND(IF(metadata!K101="",FALSE,TRUE),EXACT(metadata!K101,"cm"))</f>
        <v>0</v>
      </c>
      <c r="AM101" t="b">
        <f>AND(IF(metadata!L101="",FALSE,TRUE),EXACT(metadata!L101,"human"))</f>
        <v>0</v>
      </c>
      <c r="AN101" t="b">
        <f>AND(IF(metadata!M101="",FALSE,TRUE),EXACT(metadata!M101,"Homo sapiens"))</f>
        <v>0</v>
      </c>
      <c r="AO101" t="b">
        <f>AND(IF(metadata!N101="",FALSE,TRUE),EXACT(metadata!N101,"9606"))</f>
        <v>0</v>
      </c>
      <c r="AP101" t="b">
        <f>IF(metadata!O101="",FALSE,TRUE)</f>
        <v>0</v>
      </c>
      <c r="AQ101" t="b">
        <f>IF(metadata!P101="",FALSE,TRUE)</f>
        <v>0</v>
      </c>
      <c r="AR101" t="b">
        <f>IF(metadata!Q101="",FALSE,ISNUMBER(VALUE(metadata!Q101)))</f>
        <v>0</v>
      </c>
      <c r="AS101" t="b">
        <f>AND(IF(metadata!R101="",FALSE,TRUE),EXACT(metadata!R101,"kg"))</f>
        <v>0</v>
      </c>
    </row>
    <row r="102" spans="1:45" x14ac:dyDescent="0.2">
      <c r="A102" s="5" t="str">
        <f ca="1">IF(B102=" "," ",HYPERLINK(CONCATENATE("#metadata!",ADDRESS(INDEX($X$2:$X$1001,MATCH(ROWS($V$2:V102),$V$2:$V$1001,0),0),1)),INDEX($AA$2:$AA$1001,MATCH(ROWS($V$2:V102),$V$2:$V$1001,0),0)))</f>
        <v xml:space="preserve"> </v>
      </c>
      <c r="B102" s="4" t="str">
        <f ca="1">IF(OR(INDEX($W$2:$W$1001,MATCH(ROWS($V$2:V102),$V$2:$V$1001,0),1)&gt;=100000,INDEX($AC$1005:$AS$1005,1,MATCH(COLUMNS($AC$1006:AC1006),$AC$1006:$AS$1006,0))&gt;=100000), " ",IF(INDEX($AC$2:$AS$1001,MATCH(ROWS($V$2:V102),$V$2:$V$1001,0),MATCH(COLUMNS($AC$1006:AC1006),$AC$1006:$AS$1006,0)), HYPERLINK("#",""), HYPERLINK(CONCATENATE("#metadata!", ADDRESS(INDEX($X$2:$X$1001,MATCH(ROWS($V$2:V102),$V$2:$V$1001,0),0), INDEX($AC$1004:$AS$1004,1,MATCH(COLUMNS($AC$1006:AC1006),$AC$1006:$AS$1006,0)))),"Fix")))</f>
        <v xml:space="preserve"> </v>
      </c>
      <c r="C102" s="4" t="str">
        <f ca="1">IF(OR(INDEX($W$2:$W$1001,MATCH(ROWS($V$2:V102),$V$2:$V$1001,0),1)&gt;=100000,INDEX($AC$1005:$AS$1005,1,MATCH(COLUMNS($AC$1006:AD1006),$AC$1006:$AS$1006,0))&gt;=100000), " ",IF(INDEX($AC$2:$AS$1001,MATCH(ROWS($V$2:V102),$V$2:$V$1001,0),MATCH(COLUMNS($AC$1006:AD1006),$AC$1006:$AS$1006,0)), HYPERLINK("#",""), HYPERLINK(CONCATENATE("#metadata!", ADDRESS(INDEX($X$2:$X$1001,MATCH(ROWS($V$2:V102),$V$2:$V$1001,0),0), INDEX($AC$1004:$AS$1004,1,MATCH(COLUMNS($AC$1006:AD1006),$AC$1006:$AS$1006,0)))),"Fix")))</f>
        <v xml:space="preserve"> </v>
      </c>
      <c r="D102" s="4" t="str">
        <f ca="1">IF(OR(INDEX($W$2:$W$1001,MATCH(ROWS($V$2:V102),$V$2:$V$1001,0),1)&gt;=100000,INDEX($AC$1005:$AS$1005,1,MATCH(COLUMNS($AC$1006:AE1006),$AC$1006:$AS$1006,0))&gt;=100000), " ",IF(INDEX($AC$2:$AS$1001,MATCH(ROWS($V$2:V102),$V$2:$V$1001,0),MATCH(COLUMNS($AC$1006:AE1006),$AC$1006:$AS$1006,0)), HYPERLINK("#",""), HYPERLINK(CONCATENATE("#metadata!", ADDRESS(INDEX($X$2:$X$1001,MATCH(ROWS($V$2:V102),$V$2:$V$1001,0),0), INDEX($AC$1004:$AS$1004,1,MATCH(COLUMNS($AC$1006:AE1006),$AC$1006:$AS$1006,0)))),"Fix")))</f>
        <v xml:space="preserve"> </v>
      </c>
      <c r="E102" s="4" t="str">
        <f ca="1">IF(OR(INDEX($W$2:$W$1001,MATCH(ROWS($V$2:V102),$V$2:$V$1001,0),1)&gt;=100000,INDEX($AC$1005:$AS$1005,1,MATCH(COLUMNS($AC$1006:AF1006),$AC$1006:$AS$1006,0))&gt;=100000), " ",IF(INDEX($AC$2:$AS$1001,MATCH(ROWS($V$2:V102),$V$2:$V$1001,0),MATCH(COLUMNS($AC$1006:AF1006),$AC$1006:$AS$1006,0)), HYPERLINK("#",""), HYPERLINK(CONCATENATE("#metadata!", ADDRESS(INDEX($X$2:$X$1001,MATCH(ROWS($V$2:V102),$V$2:$V$1001,0),0), INDEX($AC$1004:$AS$1004,1,MATCH(COLUMNS($AC$1006:AF1006),$AC$1006:$AS$1006,0)))),"Fix")))</f>
        <v xml:space="preserve"> </v>
      </c>
      <c r="F102" s="4" t="str">
        <f ca="1">IF(OR(INDEX($W$2:$W$1001,MATCH(ROWS($V$2:V102),$V$2:$V$1001,0),1)&gt;=100000,INDEX($AC$1005:$AS$1005,1,MATCH(COLUMNS($AC$1006:AG1006),$AC$1006:$AS$1006,0))&gt;=100000), " ",IF(INDEX($AC$2:$AS$1001,MATCH(ROWS($V$2:V102),$V$2:$V$1001,0),MATCH(COLUMNS($AC$1006:AG1006),$AC$1006:$AS$1006,0)), HYPERLINK("#",""), HYPERLINK(CONCATENATE("#metadata!", ADDRESS(INDEX($X$2:$X$1001,MATCH(ROWS($V$2:V102),$V$2:$V$1001,0),0), INDEX($AC$1004:$AS$1004,1,MATCH(COLUMNS($AC$1006:AG1006),$AC$1006:$AS$1006,0)))),"Fix")))</f>
        <v xml:space="preserve"> </v>
      </c>
      <c r="G102" s="4" t="str">
        <f ca="1">IF(OR(INDEX($W$2:$W$1001,MATCH(ROWS($V$2:V102),$V$2:$V$1001,0),1)&gt;=100000,INDEX($AC$1005:$AS$1005,1,MATCH(COLUMNS($AC$1006:AH1006),$AC$1006:$AS$1006,0))&gt;=100000), " ",IF(INDEX($AC$2:$AS$1001,MATCH(ROWS($V$2:V102),$V$2:$V$1001,0),MATCH(COLUMNS($AC$1006:AH1006),$AC$1006:$AS$1006,0)), HYPERLINK("#",""), HYPERLINK(CONCATENATE("#metadata!", ADDRESS(INDEX($X$2:$X$1001,MATCH(ROWS($V$2:V102),$V$2:$V$1001,0),0), INDEX($AC$1004:$AS$1004,1,MATCH(COLUMNS($AC$1006:AH1006),$AC$1006:$AS$1006,0)))),"Fix")))</f>
        <v xml:space="preserve"> </v>
      </c>
      <c r="H102" s="4" t="str">
        <f ca="1">IF(OR(INDEX($W$2:$W$1001,MATCH(ROWS($V$2:V102),$V$2:$V$1001,0),1)&gt;=100000,INDEX($AC$1005:$AS$1005,1,MATCH(COLUMNS($AC$1006:AI1006),$AC$1006:$AS$1006,0))&gt;=100000), " ",IF(INDEX($AC$2:$AS$1001,MATCH(ROWS($V$2:V102),$V$2:$V$1001,0),MATCH(COLUMNS($AC$1006:AI1006),$AC$1006:$AS$1006,0)), HYPERLINK("#",""), HYPERLINK(CONCATENATE("#metadata!", ADDRESS(INDEX($X$2:$X$1001,MATCH(ROWS($V$2:V102),$V$2:$V$1001,0),0), INDEX($AC$1004:$AS$1004,1,MATCH(COLUMNS($AC$1006:AI1006),$AC$1006:$AS$1006,0)))),"Fix")))</f>
        <v xml:space="preserve"> </v>
      </c>
      <c r="I102" s="4" t="str">
        <f ca="1">IF(OR(INDEX($W$2:$W$1001,MATCH(ROWS($V$2:V102),$V$2:$V$1001,0),1)&gt;=100000,INDEX($AC$1005:$AS$1005,1,MATCH(COLUMNS($AC$1006:AJ1006),$AC$1006:$AS$1006,0))&gt;=100000), " ",IF(INDEX($AC$2:$AS$1001,MATCH(ROWS($V$2:V102),$V$2:$V$1001,0),MATCH(COLUMNS($AC$1006:AJ1006),$AC$1006:$AS$1006,0)), HYPERLINK("#",""), HYPERLINK(CONCATENATE("#metadata!", ADDRESS(INDEX($X$2:$X$1001,MATCH(ROWS($V$2:V102),$V$2:$V$1001,0),0), INDEX($AC$1004:$AS$1004,1,MATCH(COLUMNS($AC$1006:AJ1006),$AC$1006:$AS$1006,0)))),"Fix")))</f>
        <v xml:space="preserve"> </v>
      </c>
      <c r="J102" s="4" t="str">
        <f ca="1">IF(OR(INDEX($W$2:$W$1001,MATCH(ROWS($V$2:V102),$V$2:$V$1001,0),1)&gt;=100000,INDEX($AC$1005:$AS$1005,1,MATCH(COLUMNS($AC$1006:AK1006),$AC$1006:$AS$1006,0))&gt;=100000), " ",IF(INDEX($AC$2:$AS$1001,MATCH(ROWS($V$2:V102),$V$2:$V$1001,0),MATCH(COLUMNS($AC$1006:AK1006),$AC$1006:$AS$1006,0)), HYPERLINK("#",""), HYPERLINK(CONCATENATE("#metadata!", ADDRESS(INDEX($X$2:$X$1001,MATCH(ROWS($V$2:V102),$V$2:$V$1001,0),0), INDEX($AC$1004:$AS$1004,1,MATCH(COLUMNS($AC$1006:AK1006),$AC$1006:$AS$1006,0)))),"Fix")))</f>
        <v xml:space="preserve"> </v>
      </c>
      <c r="K102" s="4" t="str">
        <f ca="1">IF(OR(INDEX($W$2:$W$1001,MATCH(ROWS($V$2:V102),$V$2:$V$1001,0),1)&gt;=100000,INDEX($AC$1005:$AS$1005,1,MATCH(COLUMNS($AC$1006:AL1006),$AC$1006:$AS$1006,0))&gt;=100000), " ",IF(INDEX($AC$2:$AS$1001,MATCH(ROWS($V$2:V102),$V$2:$V$1001,0),MATCH(COLUMNS($AC$1006:AL1006),$AC$1006:$AS$1006,0)), HYPERLINK("#",""), HYPERLINK(CONCATENATE("#metadata!", ADDRESS(INDEX($X$2:$X$1001,MATCH(ROWS($V$2:V102),$V$2:$V$1001,0),0), INDEX($AC$1004:$AS$1004,1,MATCH(COLUMNS($AC$1006:AL1006),$AC$1006:$AS$1006,0)))),"Fix")))</f>
        <v xml:space="preserve"> </v>
      </c>
      <c r="L102" s="4" t="str">
        <f ca="1">IF(OR(INDEX($W$2:$W$1001,MATCH(ROWS($V$2:V102),$V$2:$V$1001,0),1)&gt;=100000,INDEX($AC$1005:$AS$1005,1,MATCH(COLUMNS($AC$1006:AM1006),$AC$1006:$AS$1006,0))&gt;=100000), " ",IF(INDEX($AC$2:$AS$1001,MATCH(ROWS($V$2:V102),$V$2:$V$1001,0),MATCH(COLUMNS($AC$1006:AM1006),$AC$1006:$AS$1006,0)), HYPERLINK("#",""), HYPERLINK(CONCATENATE("#metadata!", ADDRESS(INDEX($X$2:$X$1001,MATCH(ROWS($V$2:V102),$V$2:$V$1001,0),0), INDEX($AC$1004:$AS$1004,1,MATCH(COLUMNS($AC$1006:AM1006),$AC$1006:$AS$1006,0)))),"Fix")))</f>
        <v xml:space="preserve"> </v>
      </c>
      <c r="M102" s="4" t="str">
        <f ca="1">IF(OR(INDEX($W$2:$W$1001,MATCH(ROWS($V$2:V102),$V$2:$V$1001,0),1)&gt;=100000,INDEX($AC$1005:$AS$1005,1,MATCH(COLUMNS($AC$1006:AN1006),$AC$1006:$AS$1006,0))&gt;=100000), " ",IF(INDEX($AC$2:$AS$1001,MATCH(ROWS($V$2:V102),$V$2:$V$1001,0),MATCH(COLUMNS($AC$1006:AN1006),$AC$1006:$AS$1006,0)), HYPERLINK("#",""), HYPERLINK(CONCATENATE("#metadata!", ADDRESS(INDEX($X$2:$X$1001,MATCH(ROWS($V$2:V102),$V$2:$V$1001,0),0), INDEX($AC$1004:$AS$1004,1,MATCH(COLUMNS($AC$1006:AN1006),$AC$1006:$AS$1006,0)))),"Fix")))</f>
        <v xml:space="preserve"> </v>
      </c>
      <c r="N102" s="4" t="str">
        <f ca="1">IF(OR(INDEX($W$2:$W$1001,MATCH(ROWS($V$2:V102),$V$2:$V$1001,0),1)&gt;=100000,INDEX($AC$1005:$AS$1005,1,MATCH(COLUMNS($AC$1006:AO1006),$AC$1006:$AS$1006,0))&gt;=100000), " ",IF(INDEX($AC$2:$AS$1001,MATCH(ROWS($V$2:V102),$V$2:$V$1001,0),MATCH(COLUMNS($AC$1006:AO1006),$AC$1006:$AS$1006,0)), HYPERLINK("#",""), HYPERLINK(CONCATENATE("#metadata!", ADDRESS(INDEX($X$2:$X$1001,MATCH(ROWS($V$2:V102),$V$2:$V$1001,0),0), INDEX($AC$1004:$AS$1004,1,MATCH(COLUMNS($AC$1006:AO1006),$AC$1006:$AS$1006,0)))),"Fix")))</f>
        <v xml:space="preserve"> </v>
      </c>
      <c r="O102" s="4" t="str">
        <f ca="1">IF(OR(INDEX($W$2:$W$1001,MATCH(ROWS($V$2:V102),$V$2:$V$1001,0),1)&gt;=100000,INDEX($AC$1005:$AS$1005,1,MATCH(COLUMNS($AC$1006:AP1006),$AC$1006:$AS$1006,0))&gt;=100000), " ",IF(INDEX($AC$2:$AS$1001,MATCH(ROWS($V$2:V102),$V$2:$V$1001,0),MATCH(COLUMNS($AC$1006:AP1006),$AC$1006:$AS$1006,0)), HYPERLINK("#",""), HYPERLINK(CONCATENATE("#metadata!", ADDRESS(INDEX($X$2:$X$1001,MATCH(ROWS($V$2:V102),$V$2:$V$1001,0),0), INDEX($AC$1004:$AS$1004,1,MATCH(COLUMNS($AC$1006:AP1006),$AC$1006:$AS$1006,0)))),"Fix")))</f>
        <v xml:space="preserve"> </v>
      </c>
      <c r="P102" s="4" t="str">
        <f ca="1">IF(OR(INDEX($W$2:$W$1001,MATCH(ROWS($V$2:V102),$V$2:$V$1001,0),1)&gt;=100000,INDEX($AC$1005:$AS$1005,1,MATCH(COLUMNS($AC$1006:AQ1006),$AC$1006:$AS$1006,0))&gt;=100000), " ",IF(INDEX($AC$2:$AS$1001,MATCH(ROWS($V$2:V102),$V$2:$V$1001,0),MATCH(COLUMNS($AC$1006:AQ1006),$AC$1006:$AS$1006,0)), HYPERLINK("#",""), HYPERLINK(CONCATENATE("#metadata!", ADDRESS(INDEX($X$2:$X$1001,MATCH(ROWS($V$2:V102),$V$2:$V$1001,0),0), INDEX($AC$1004:$AS$1004,1,MATCH(COLUMNS($AC$1006:AQ1006),$AC$1006:$AS$1006,0)))),"Fix")))</f>
        <v xml:space="preserve"> </v>
      </c>
      <c r="Q102" s="4" t="str">
        <f ca="1">IF(OR(INDEX($W$2:$W$1001,MATCH(ROWS($V$2:V102),$V$2:$V$1001,0),1)&gt;=100000,INDEX($AC$1005:$AS$1005,1,MATCH(COLUMNS($AC$1006:AR1006),$AC$1006:$AS$1006,0))&gt;=100000), " ",IF(INDEX($AC$2:$AS$1001,MATCH(ROWS($V$2:V102),$V$2:$V$1001,0),MATCH(COLUMNS($AC$1006:AR1006),$AC$1006:$AS$1006,0)), HYPERLINK("#",""), HYPERLINK(CONCATENATE("#metadata!", ADDRESS(INDEX($X$2:$X$1001,MATCH(ROWS($V$2:V102),$V$2:$V$1001,0),0), INDEX($AC$1004:$AS$1004,1,MATCH(COLUMNS($AC$1006:AR1006),$AC$1006:$AS$1006,0)))),"Fix")))</f>
        <v xml:space="preserve"> </v>
      </c>
      <c r="R102" s="4" t="str">
        <f ca="1">IF(OR(INDEX($W$2:$W$1001,MATCH(ROWS($V$2:V102),$V$2:$V$1001,0),1)&gt;=100000,INDEX($AC$1005:$AS$1005,1,MATCH(COLUMNS($AC$1006:AS1006),$AC$1006:$AS$1006,0))&gt;=100000), " ",IF(INDEX($AC$2:$AS$1001,MATCH(ROWS($V$2:V102),$V$2:$V$1001,0),MATCH(COLUMNS($AC$1006:AS1006),$AC$1006:$AS$1006,0)), HYPERLINK("#",""), HYPERLINK(CONCATENATE("#metadata!", ADDRESS(INDEX($X$2:$X$1001,MATCH(ROWS($V$2:V102),$V$2:$V$1001,0),0), INDEX($AC$1004:$AS$1004,1,MATCH(COLUMNS($AC$1006:AS1006),$AC$1006:$AS$1006,0)))),"Fix")))</f>
        <v xml:space="preserve"> </v>
      </c>
      <c r="V102">
        <v>101</v>
      </c>
      <c r="W102">
        <v>100102</v>
      </c>
      <c r="X102">
        <v>102</v>
      </c>
      <c r="Y102" t="b">
        <f t="shared" si="1"/>
        <v>1</v>
      </c>
      <c r="Z102" t="b">
        <f>COUNTBLANK(metadata!B102:R102)=COLUMNS(metadata!B102:R102)</f>
        <v>1</v>
      </c>
      <c r="AA102" t="str">
        <v/>
      </c>
      <c r="AC102" t="b">
        <f ca="1"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AD102" t="b">
        <f>IF(metadata!C102="",FALSE,ISNUMBER(VALUE(metadata!C102)))</f>
        <v>0</v>
      </c>
      <c r="AE102" t="b">
        <f>AND(IF(metadata!D102="",FALSE,TRUE),EXACT(metadata!D102,"years"))</f>
        <v>0</v>
      </c>
      <c r="AF102" t="b">
        <f>OR(AND(IF(metadata!E102="",FALSE,TRUE),OR(EXACT(metadata!E102,"not applicable"),EXACT(metadata!E102,"missing: not collected"),EXACT(metadata!E102,"missing: not provided"),EXACT(metadata!E102,"missing: restricted access"))),AND(IF(metadata!E102="",FALSE,ISNUMBER(VALUE(metadata!E102))),metadata!E102&gt;0))</f>
        <v>0</v>
      </c>
      <c r="AG102" t="b">
        <f>AND(IF(metadata!F102="",FALSE,TRUE),EXACT(metadata!F102,"Not applicable"))</f>
        <v>0</v>
      </c>
      <c r="AH102" t="b">
        <f>AND(IF(metadata!G102="",FALSE,TRUE),EXACT(metadata!G102,"urban biome"))</f>
        <v>0</v>
      </c>
      <c r="AI102" t="b">
        <f>AND(IF(metadata!H102="",FALSE,TRUE),EXACT(metadata!H102,"human-associated habitat"))</f>
        <v>0</v>
      </c>
      <c r="AJ102" t="b">
        <f>AND(IF(metadata!I102="",FALSE,TRUE),OR(EXACT(metadata!I102,"human-associated"),EXACT(metadata!I102,"human-skin"),EXACT(metadata!I102,"human-oral"),EXACT(metadata!I102,"human-gut"),EXACT(metadata!I102,"human-vaginal")))</f>
        <v>0</v>
      </c>
      <c r="AK102" t="b">
        <f>IF(metadata!J102="",FALSE,ISNUMBER(VALUE(metadata!J102)))</f>
        <v>0</v>
      </c>
      <c r="AL102" t="b">
        <f>AND(IF(metadata!K102="",FALSE,TRUE),EXACT(metadata!K102,"cm"))</f>
        <v>0</v>
      </c>
      <c r="AM102" t="b">
        <f>AND(IF(metadata!L102="",FALSE,TRUE),EXACT(metadata!L102,"human"))</f>
        <v>0</v>
      </c>
      <c r="AN102" t="b">
        <f>AND(IF(metadata!M102="",FALSE,TRUE),EXACT(metadata!M102,"Homo sapiens"))</f>
        <v>0</v>
      </c>
      <c r="AO102" t="b">
        <f>AND(IF(metadata!N102="",FALSE,TRUE),EXACT(metadata!N102,"9606"))</f>
        <v>0</v>
      </c>
      <c r="AP102" t="b">
        <f>IF(metadata!O102="",FALSE,TRUE)</f>
        <v>0</v>
      </c>
      <c r="AQ102" t="b">
        <f>IF(metadata!P102="",FALSE,TRUE)</f>
        <v>0</v>
      </c>
      <c r="AR102" t="b">
        <f>IF(metadata!Q102="",FALSE,ISNUMBER(VALUE(metadata!Q102)))</f>
        <v>0</v>
      </c>
      <c r="AS102" t="b">
        <f>AND(IF(metadata!R102="",FALSE,TRUE),EXACT(metadata!R102,"kg"))</f>
        <v>0</v>
      </c>
    </row>
    <row r="103" spans="1:45" x14ac:dyDescent="0.2">
      <c r="A103" s="5" t="str">
        <f ca="1">IF(B103=" "," ",HYPERLINK(CONCATENATE("#metadata!",ADDRESS(INDEX($X$2:$X$1001,MATCH(ROWS($V$2:V103),$V$2:$V$1001,0),0),1)),INDEX($AA$2:$AA$1001,MATCH(ROWS($V$2:V103),$V$2:$V$1001,0),0)))</f>
        <v xml:space="preserve"> </v>
      </c>
      <c r="B103" s="4" t="str">
        <f ca="1">IF(OR(INDEX($W$2:$W$1001,MATCH(ROWS($V$2:V103),$V$2:$V$1001,0),1)&gt;=100000,INDEX($AC$1005:$AS$1005,1,MATCH(COLUMNS($AC$1006:AC1006),$AC$1006:$AS$1006,0))&gt;=100000), " ",IF(INDEX($AC$2:$AS$1001,MATCH(ROWS($V$2:V103),$V$2:$V$1001,0),MATCH(COLUMNS($AC$1006:AC1006),$AC$1006:$AS$1006,0)), HYPERLINK("#",""), HYPERLINK(CONCATENATE("#metadata!", ADDRESS(INDEX($X$2:$X$1001,MATCH(ROWS($V$2:V103),$V$2:$V$1001,0),0), INDEX($AC$1004:$AS$1004,1,MATCH(COLUMNS($AC$1006:AC1006),$AC$1006:$AS$1006,0)))),"Fix")))</f>
        <v xml:space="preserve"> </v>
      </c>
      <c r="C103" s="4" t="str">
        <f ca="1">IF(OR(INDEX($W$2:$W$1001,MATCH(ROWS($V$2:V103),$V$2:$V$1001,0),1)&gt;=100000,INDEX($AC$1005:$AS$1005,1,MATCH(COLUMNS($AC$1006:AD1006),$AC$1006:$AS$1006,0))&gt;=100000), " ",IF(INDEX($AC$2:$AS$1001,MATCH(ROWS($V$2:V103),$V$2:$V$1001,0),MATCH(COLUMNS($AC$1006:AD1006),$AC$1006:$AS$1006,0)), HYPERLINK("#",""), HYPERLINK(CONCATENATE("#metadata!", ADDRESS(INDEX($X$2:$X$1001,MATCH(ROWS($V$2:V103),$V$2:$V$1001,0),0), INDEX($AC$1004:$AS$1004,1,MATCH(COLUMNS($AC$1006:AD1006),$AC$1006:$AS$1006,0)))),"Fix")))</f>
        <v xml:space="preserve"> </v>
      </c>
      <c r="D103" s="4" t="str">
        <f ca="1">IF(OR(INDEX($W$2:$W$1001,MATCH(ROWS($V$2:V103),$V$2:$V$1001,0),1)&gt;=100000,INDEX($AC$1005:$AS$1005,1,MATCH(COLUMNS($AC$1006:AE1006),$AC$1006:$AS$1006,0))&gt;=100000), " ",IF(INDEX($AC$2:$AS$1001,MATCH(ROWS($V$2:V103),$V$2:$V$1001,0),MATCH(COLUMNS($AC$1006:AE1006),$AC$1006:$AS$1006,0)), HYPERLINK("#",""), HYPERLINK(CONCATENATE("#metadata!", ADDRESS(INDEX($X$2:$X$1001,MATCH(ROWS($V$2:V103),$V$2:$V$1001,0),0), INDEX($AC$1004:$AS$1004,1,MATCH(COLUMNS($AC$1006:AE1006),$AC$1006:$AS$1006,0)))),"Fix")))</f>
        <v xml:space="preserve"> </v>
      </c>
      <c r="E103" s="4" t="str">
        <f ca="1">IF(OR(INDEX($W$2:$W$1001,MATCH(ROWS($V$2:V103),$V$2:$V$1001,0),1)&gt;=100000,INDEX($AC$1005:$AS$1005,1,MATCH(COLUMNS($AC$1006:AF1006),$AC$1006:$AS$1006,0))&gt;=100000), " ",IF(INDEX($AC$2:$AS$1001,MATCH(ROWS($V$2:V103),$V$2:$V$1001,0),MATCH(COLUMNS($AC$1006:AF1006),$AC$1006:$AS$1006,0)), HYPERLINK("#",""), HYPERLINK(CONCATENATE("#metadata!", ADDRESS(INDEX($X$2:$X$1001,MATCH(ROWS($V$2:V103),$V$2:$V$1001,0),0), INDEX($AC$1004:$AS$1004,1,MATCH(COLUMNS($AC$1006:AF1006),$AC$1006:$AS$1006,0)))),"Fix")))</f>
        <v xml:space="preserve"> </v>
      </c>
      <c r="F103" s="4" t="str">
        <f ca="1">IF(OR(INDEX($W$2:$W$1001,MATCH(ROWS($V$2:V103),$V$2:$V$1001,0),1)&gt;=100000,INDEX($AC$1005:$AS$1005,1,MATCH(COLUMNS($AC$1006:AG1006),$AC$1006:$AS$1006,0))&gt;=100000), " ",IF(INDEX($AC$2:$AS$1001,MATCH(ROWS($V$2:V103),$V$2:$V$1001,0),MATCH(COLUMNS($AC$1006:AG1006),$AC$1006:$AS$1006,0)), HYPERLINK("#",""), HYPERLINK(CONCATENATE("#metadata!", ADDRESS(INDEX($X$2:$X$1001,MATCH(ROWS($V$2:V103),$V$2:$V$1001,0),0), INDEX($AC$1004:$AS$1004,1,MATCH(COLUMNS($AC$1006:AG1006),$AC$1006:$AS$1006,0)))),"Fix")))</f>
        <v xml:space="preserve"> </v>
      </c>
      <c r="G103" s="4" t="str">
        <f ca="1">IF(OR(INDEX($W$2:$W$1001,MATCH(ROWS($V$2:V103),$V$2:$V$1001,0),1)&gt;=100000,INDEX($AC$1005:$AS$1005,1,MATCH(COLUMNS($AC$1006:AH1006),$AC$1006:$AS$1006,0))&gt;=100000), " ",IF(INDEX($AC$2:$AS$1001,MATCH(ROWS($V$2:V103),$V$2:$V$1001,0),MATCH(COLUMNS($AC$1006:AH1006),$AC$1006:$AS$1006,0)), HYPERLINK("#",""), HYPERLINK(CONCATENATE("#metadata!", ADDRESS(INDEX($X$2:$X$1001,MATCH(ROWS($V$2:V103),$V$2:$V$1001,0),0), INDEX($AC$1004:$AS$1004,1,MATCH(COLUMNS($AC$1006:AH1006),$AC$1006:$AS$1006,0)))),"Fix")))</f>
        <v xml:space="preserve"> </v>
      </c>
      <c r="H103" s="4" t="str">
        <f ca="1">IF(OR(INDEX($W$2:$W$1001,MATCH(ROWS($V$2:V103),$V$2:$V$1001,0),1)&gt;=100000,INDEX($AC$1005:$AS$1005,1,MATCH(COLUMNS($AC$1006:AI1006),$AC$1006:$AS$1006,0))&gt;=100000), " ",IF(INDEX($AC$2:$AS$1001,MATCH(ROWS($V$2:V103),$V$2:$V$1001,0),MATCH(COLUMNS($AC$1006:AI1006),$AC$1006:$AS$1006,0)), HYPERLINK("#",""), HYPERLINK(CONCATENATE("#metadata!", ADDRESS(INDEX($X$2:$X$1001,MATCH(ROWS($V$2:V103),$V$2:$V$1001,0),0), INDEX($AC$1004:$AS$1004,1,MATCH(COLUMNS($AC$1006:AI1006),$AC$1006:$AS$1006,0)))),"Fix")))</f>
        <v xml:space="preserve"> </v>
      </c>
      <c r="I103" s="4" t="str">
        <f ca="1">IF(OR(INDEX($W$2:$W$1001,MATCH(ROWS($V$2:V103),$V$2:$V$1001,0),1)&gt;=100000,INDEX($AC$1005:$AS$1005,1,MATCH(COLUMNS($AC$1006:AJ1006),$AC$1006:$AS$1006,0))&gt;=100000), " ",IF(INDEX($AC$2:$AS$1001,MATCH(ROWS($V$2:V103),$V$2:$V$1001,0),MATCH(COLUMNS($AC$1006:AJ1006),$AC$1006:$AS$1006,0)), HYPERLINK("#",""), HYPERLINK(CONCATENATE("#metadata!", ADDRESS(INDEX($X$2:$X$1001,MATCH(ROWS($V$2:V103),$V$2:$V$1001,0),0), INDEX($AC$1004:$AS$1004,1,MATCH(COLUMNS($AC$1006:AJ1006),$AC$1006:$AS$1006,0)))),"Fix")))</f>
        <v xml:space="preserve"> </v>
      </c>
      <c r="J103" s="4" t="str">
        <f ca="1">IF(OR(INDEX($W$2:$W$1001,MATCH(ROWS($V$2:V103),$V$2:$V$1001,0),1)&gt;=100000,INDEX($AC$1005:$AS$1005,1,MATCH(COLUMNS($AC$1006:AK1006),$AC$1006:$AS$1006,0))&gt;=100000), " ",IF(INDEX($AC$2:$AS$1001,MATCH(ROWS($V$2:V103),$V$2:$V$1001,0),MATCH(COLUMNS($AC$1006:AK1006),$AC$1006:$AS$1006,0)), HYPERLINK("#",""), HYPERLINK(CONCATENATE("#metadata!", ADDRESS(INDEX($X$2:$X$1001,MATCH(ROWS($V$2:V103),$V$2:$V$1001,0),0), INDEX($AC$1004:$AS$1004,1,MATCH(COLUMNS($AC$1006:AK1006),$AC$1006:$AS$1006,0)))),"Fix")))</f>
        <v xml:space="preserve"> </v>
      </c>
      <c r="K103" s="4" t="str">
        <f ca="1">IF(OR(INDEX($W$2:$W$1001,MATCH(ROWS($V$2:V103),$V$2:$V$1001,0),1)&gt;=100000,INDEX($AC$1005:$AS$1005,1,MATCH(COLUMNS($AC$1006:AL1006),$AC$1006:$AS$1006,0))&gt;=100000), " ",IF(INDEX($AC$2:$AS$1001,MATCH(ROWS($V$2:V103),$V$2:$V$1001,0),MATCH(COLUMNS($AC$1006:AL1006),$AC$1006:$AS$1006,0)), HYPERLINK("#",""), HYPERLINK(CONCATENATE("#metadata!", ADDRESS(INDEX($X$2:$X$1001,MATCH(ROWS($V$2:V103),$V$2:$V$1001,0),0), INDEX($AC$1004:$AS$1004,1,MATCH(COLUMNS($AC$1006:AL1006),$AC$1006:$AS$1006,0)))),"Fix")))</f>
        <v xml:space="preserve"> </v>
      </c>
      <c r="L103" s="4" t="str">
        <f ca="1">IF(OR(INDEX($W$2:$W$1001,MATCH(ROWS($V$2:V103),$V$2:$V$1001,0),1)&gt;=100000,INDEX($AC$1005:$AS$1005,1,MATCH(COLUMNS($AC$1006:AM1006),$AC$1006:$AS$1006,0))&gt;=100000), " ",IF(INDEX($AC$2:$AS$1001,MATCH(ROWS($V$2:V103),$V$2:$V$1001,0),MATCH(COLUMNS($AC$1006:AM1006),$AC$1006:$AS$1006,0)), HYPERLINK("#",""), HYPERLINK(CONCATENATE("#metadata!", ADDRESS(INDEX($X$2:$X$1001,MATCH(ROWS($V$2:V103),$V$2:$V$1001,0),0), INDEX($AC$1004:$AS$1004,1,MATCH(COLUMNS($AC$1006:AM1006),$AC$1006:$AS$1006,0)))),"Fix")))</f>
        <v xml:space="preserve"> </v>
      </c>
      <c r="M103" s="4" t="str">
        <f ca="1">IF(OR(INDEX($W$2:$W$1001,MATCH(ROWS($V$2:V103),$V$2:$V$1001,0),1)&gt;=100000,INDEX($AC$1005:$AS$1005,1,MATCH(COLUMNS($AC$1006:AN1006),$AC$1006:$AS$1006,0))&gt;=100000), " ",IF(INDEX($AC$2:$AS$1001,MATCH(ROWS($V$2:V103),$V$2:$V$1001,0),MATCH(COLUMNS($AC$1006:AN1006),$AC$1006:$AS$1006,0)), HYPERLINK("#",""), HYPERLINK(CONCATENATE("#metadata!", ADDRESS(INDEX($X$2:$X$1001,MATCH(ROWS($V$2:V103),$V$2:$V$1001,0),0), INDEX($AC$1004:$AS$1004,1,MATCH(COLUMNS($AC$1006:AN1006),$AC$1006:$AS$1006,0)))),"Fix")))</f>
        <v xml:space="preserve"> </v>
      </c>
      <c r="N103" s="4" t="str">
        <f ca="1">IF(OR(INDEX($W$2:$W$1001,MATCH(ROWS($V$2:V103),$V$2:$V$1001,0),1)&gt;=100000,INDEX($AC$1005:$AS$1005,1,MATCH(COLUMNS($AC$1006:AO1006),$AC$1006:$AS$1006,0))&gt;=100000), " ",IF(INDEX($AC$2:$AS$1001,MATCH(ROWS($V$2:V103),$V$2:$V$1001,0),MATCH(COLUMNS($AC$1006:AO1006),$AC$1006:$AS$1006,0)), HYPERLINK("#",""), HYPERLINK(CONCATENATE("#metadata!", ADDRESS(INDEX($X$2:$X$1001,MATCH(ROWS($V$2:V103),$V$2:$V$1001,0),0), INDEX($AC$1004:$AS$1004,1,MATCH(COLUMNS($AC$1006:AO1006),$AC$1006:$AS$1006,0)))),"Fix")))</f>
        <v xml:space="preserve"> </v>
      </c>
      <c r="O103" s="4" t="str">
        <f ca="1">IF(OR(INDEX($W$2:$W$1001,MATCH(ROWS($V$2:V103),$V$2:$V$1001,0),1)&gt;=100000,INDEX($AC$1005:$AS$1005,1,MATCH(COLUMNS($AC$1006:AP1006),$AC$1006:$AS$1006,0))&gt;=100000), " ",IF(INDEX($AC$2:$AS$1001,MATCH(ROWS($V$2:V103),$V$2:$V$1001,0),MATCH(COLUMNS($AC$1006:AP1006),$AC$1006:$AS$1006,0)), HYPERLINK("#",""), HYPERLINK(CONCATENATE("#metadata!", ADDRESS(INDEX($X$2:$X$1001,MATCH(ROWS($V$2:V103),$V$2:$V$1001,0),0), INDEX($AC$1004:$AS$1004,1,MATCH(COLUMNS($AC$1006:AP1006),$AC$1006:$AS$1006,0)))),"Fix")))</f>
        <v xml:space="preserve"> </v>
      </c>
      <c r="P103" s="4" t="str">
        <f ca="1">IF(OR(INDEX($W$2:$W$1001,MATCH(ROWS($V$2:V103),$V$2:$V$1001,0),1)&gt;=100000,INDEX($AC$1005:$AS$1005,1,MATCH(COLUMNS($AC$1006:AQ1006),$AC$1006:$AS$1006,0))&gt;=100000), " ",IF(INDEX($AC$2:$AS$1001,MATCH(ROWS($V$2:V103),$V$2:$V$1001,0),MATCH(COLUMNS($AC$1006:AQ1006),$AC$1006:$AS$1006,0)), HYPERLINK("#",""), HYPERLINK(CONCATENATE("#metadata!", ADDRESS(INDEX($X$2:$X$1001,MATCH(ROWS($V$2:V103),$V$2:$V$1001,0),0), INDEX($AC$1004:$AS$1004,1,MATCH(COLUMNS($AC$1006:AQ1006),$AC$1006:$AS$1006,0)))),"Fix")))</f>
        <v xml:space="preserve"> </v>
      </c>
      <c r="Q103" s="4" t="str">
        <f ca="1">IF(OR(INDEX($W$2:$W$1001,MATCH(ROWS($V$2:V103),$V$2:$V$1001,0),1)&gt;=100000,INDEX($AC$1005:$AS$1005,1,MATCH(COLUMNS($AC$1006:AR1006),$AC$1006:$AS$1006,0))&gt;=100000), " ",IF(INDEX($AC$2:$AS$1001,MATCH(ROWS($V$2:V103),$V$2:$V$1001,0),MATCH(COLUMNS($AC$1006:AR1006),$AC$1006:$AS$1006,0)), HYPERLINK("#",""), HYPERLINK(CONCATENATE("#metadata!", ADDRESS(INDEX($X$2:$X$1001,MATCH(ROWS($V$2:V103),$V$2:$V$1001,0),0), INDEX($AC$1004:$AS$1004,1,MATCH(COLUMNS($AC$1006:AR1006),$AC$1006:$AS$1006,0)))),"Fix")))</f>
        <v xml:space="preserve"> </v>
      </c>
      <c r="R103" s="4" t="str">
        <f ca="1">IF(OR(INDEX($W$2:$W$1001,MATCH(ROWS($V$2:V103),$V$2:$V$1001,0),1)&gt;=100000,INDEX($AC$1005:$AS$1005,1,MATCH(COLUMNS($AC$1006:AS1006),$AC$1006:$AS$1006,0))&gt;=100000), " ",IF(INDEX($AC$2:$AS$1001,MATCH(ROWS($V$2:V103),$V$2:$V$1001,0),MATCH(COLUMNS($AC$1006:AS1006),$AC$1006:$AS$1006,0)), HYPERLINK("#",""), HYPERLINK(CONCATENATE("#metadata!", ADDRESS(INDEX($X$2:$X$1001,MATCH(ROWS($V$2:V103),$V$2:$V$1001,0),0), INDEX($AC$1004:$AS$1004,1,MATCH(COLUMNS($AC$1006:AS1006),$AC$1006:$AS$1006,0)))),"Fix")))</f>
        <v xml:space="preserve"> </v>
      </c>
      <c r="V103">
        <v>102</v>
      </c>
      <c r="W103">
        <v>100103</v>
      </c>
      <c r="X103">
        <v>103</v>
      </c>
      <c r="Y103" t="b">
        <f t="shared" si="1"/>
        <v>1</v>
      </c>
      <c r="Z103" t="b">
        <f>COUNTBLANK(metadata!B103:R103)=COLUMNS(metadata!B103:R103)</f>
        <v>1</v>
      </c>
      <c r="AA103" t="str">
        <v/>
      </c>
      <c r="AC103" t="b">
        <f ca="1"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AD103" t="b">
        <f>IF(metadata!C103="",FALSE,ISNUMBER(VALUE(metadata!C103)))</f>
        <v>0</v>
      </c>
      <c r="AE103" t="b">
        <f>AND(IF(metadata!D103="",FALSE,TRUE),EXACT(metadata!D103,"years"))</f>
        <v>0</v>
      </c>
      <c r="AF103" t="b">
        <f>OR(AND(IF(metadata!E103="",FALSE,TRUE),OR(EXACT(metadata!E103,"not applicable"),EXACT(metadata!E103,"missing: not collected"),EXACT(metadata!E103,"missing: not provided"),EXACT(metadata!E103,"missing: restricted access"))),AND(IF(metadata!E103="",FALSE,ISNUMBER(VALUE(metadata!E103))),metadata!E103&gt;0))</f>
        <v>0</v>
      </c>
      <c r="AG103" t="b">
        <f>AND(IF(metadata!F103="",FALSE,TRUE),EXACT(metadata!F103,"Not applicable"))</f>
        <v>0</v>
      </c>
      <c r="AH103" t="b">
        <f>AND(IF(metadata!G103="",FALSE,TRUE),EXACT(metadata!G103,"urban biome"))</f>
        <v>0</v>
      </c>
      <c r="AI103" t="b">
        <f>AND(IF(metadata!H103="",FALSE,TRUE),EXACT(metadata!H103,"human-associated habitat"))</f>
        <v>0</v>
      </c>
      <c r="AJ103" t="b">
        <f>AND(IF(metadata!I103="",FALSE,TRUE),OR(EXACT(metadata!I103,"human-associated"),EXACT(metadata!I103,"human-skin"),EXACT(metadata!I103,"human-oral"),EXACT(metadata!I103,"human-gut"),EXACT(metadata!I103,"human-vaginal")))</f>
        <v>0</v>
      </c>
      <c r="AK103" t="b">
        <f>IF(metadata!J103="",FALSE,ISNUMBER(VALUE(metadata!J103)))</f>
        <v>0</v>
      </c>
      <c r="AL103" t="b">
        <f>AND(IF(metadata!K103="",FALSE,TRUE),EXACT(metadata!K103,"cm"))</f>
        <v>0</v>
      </c>
      <c r="AM103" t="b">
        <f>AND(IF(metadata!L103="",FALSE,TRUE),EXACT(metadata!L103,"human"))</f>
        <v>0</v>
      </c>
      <c r="AN103" t="b">
        <f>AND(IF(metadata!M103="",FALSE,TRUE),EXACT(metadata!M103,"Homo sapiens"))</f>
        <v>0</v>
      </c>
      <c r="AO103" t="b">
        <f>AND(IF(metadata!N103="",FALSE,TRUE),EXACT(metadata!N103,"9606"))</f>
        <v>0</v>
      </c>
      <c r="AP103" t="b">
        <f>IF(metadata!O103="",FALSE,TRUE)</f>
        <v>0</v>
      </c>
      <c r="AQ103" t="b">
        <f>IF(metadata!P103="",FALSE,TRUE)</f>
        <v>0</v>
      </c>
      <c r="AR103" t="b">
        <f>IF(metadata!Q103="",FALSE,ISNUMBER(VALUE(metadata!Q103)))</f>
        <v>0</v>
      </c>
      <c r="AS103" t="b">
        <f>AND(IF(metadata!R103="",FALSE,TRUE),EXACT(metadata!R103,"kg"))</f>
        <v>0</v>
      </c>
    </row>
    <row r="104" spans="1:45" x14ac:dyDescent="0.2">
      <c r="A104" s="5" t="str">
        <f ca="1">IF(B104=" "," ",HYPERLINK(CONCATENATE("#metadata!",ADDRESS(INDEX($X$2:$X$1001,MATCH(ROWS($V$2:V104),$V$2:$V$1001,0),0),1)),INDEX($AA$2:$AA$1001,MATCH(ROWS($V$2:V104),$V$2:$V$1001,0),0)))</f>
        <v xml:space="preserve"> </v>
      </c>
      <c r="B104" s="4" t="str">
        <f ca="1">IF(OR(INDEX($W$2:$W$1001,MATCH(ROWS($V$2:V104),$V$2:$V$1001,0),1)&gt;=100000,INDEX($AC$1005:$AS$1005,1,MATCH(COLUMNS($AC$1006:AC1006),$AC$1006:$AS$1006,0))&gt;=100000), " ",IF(INDEX($AC$2:$AS$1001,MATCH(ROWS($V$2:V104),$V$2:$V$1001,0),MATCH(COLUMNS($AC$1006:AC1006),$AC$1006:$AS$1006,0)), HYPERLINK("#",""), HYPERLINK(CONCATENATE("#metadata!", ADDRESS(INDEX($X$2:$X$1001,MATCH(ROWS($V$2:V104),$V$2:$V$1001,0),0), INDEX($AC$1004:$AS$1004,1,MATCH(COLUMNS($AC$1006:AC1006),$AC$1006:$AS$1006,0)))),"Fix")))</f>
        <v xml:space="preserve"> </v>
      </c>
      <c r="C104" s="4" t="str">
        <f ca="1">IF(OR(INDEX($W$2:$W$1001,MATCH(ROWS($V$2:V104),$V$2:$V$1001,0),1)&gt;=100000,INDEX($AC$1005:$AS$1005,1,MATCH(COLUMNS($AC$1006:AD1006),$AC$1006:$AS$1006,0))&gt;=100000), " ",IF(INDEX($AC$2:$AS$1001,MATCH(ROWS($V$2:V104),$V$2:$V$1001,0),MATCH(COLUMNS($AC$1006:AD1006),$AC$1006:$AS$1006,0)), HYPERLINK("#",""), HYPERLINK(CONCATENATE("#metadata!", ADDRESS(INDEX($X$2:$X$1001,MATCH(ROWS($V$2:V104),$V$2:$V$1001,0),0), INDEX($AC$1004:$AS$1004,1,MATCH(COLUMNS($AC$1006:AD1006),$AC$1006:$AS$1006,0)))),"Fix")))</f>
        <v xml:space="preserve"> </v>
      </c>
      <c r="D104" s="4" t="str">
        <f ca="1">IF(OR(INDEX($W$2:$W$1001,MATCH(ROWS($V$2:V104),$V$2:$V$1001,0),1)&gt;=100000,INDEX($AC$1005:$AS$1005,1,MATCH(COLUMNS($AC$1006:AE1006),$AC$1006:$AS$1006,0))&gt;=100000), " ",IF(INDEX($AC$2:$AS$1001,MATCH(ROWS($V$2:V104),$V$2:$V$1001,0),MATCH(COLUMNS($AC$1006:AE1006),$AC$1006:$AS$1006,0)), HYPERLINK("#",""), HYPERLINK(CONCATENATE("#metadata!", ADDRESS(INDEX($X$2:$X$1001,MATCH(ROWS($V$2:V104),$V$2:$V$1001,0),0), INDEX($AC$1004:$AS$1004,1,MATCH(COLUMNS($AC$1006:AE1006),$AC$1006:$AS$1006,0)))),"Fix")))</f>
        <v xml:space="preserve"> </v>
      </c>
      <c r="E104" s="4" t="str">
        <f ca="1">IF(OR(INDEX($W$2:$W$1001,MATCH(ROWS($V$2:V104),$V$2:$V$1001,0),1)&gt;=100000,INDEX($AC$1005:$AS$1005,1,MATCH(COLUMNS($AC$1006:AF1006),$AC$1006:$AS$1006,0))&gt;=100000), " ",IF(INDEX($AC$2:$AS$1001,MATCH(ROWS($V$2:V104),$V$2:$V$1001,0),MATCH(COLUMNS($AC$1006:AF1006),$AC$1006:$AS$1006,0)), HYPERLINK("#",""), HYPERLINK(CONCATENATE("#metadata!", ADDRESS(INDEX($X$2:$X$1001,MATCH(ROWS($V$2:V104),$V$2:$V$1001,0),0), INDEX($AC$1004:$AS$1004,1,MATCH(COLUMNS($AC$1006:AF1006),$AC$1006:$AS$1006,0)))),"Fix")))</f>
        <v xml:space="preserve"> </v>
      </c>
      <c r="F104" s="4" t="str">
        <f ca="1">IF(OR(INDEX($W$2:$W$1001,MATCH(ROWS($V$2:V104),$V$2:$V$1001,0),1)&gt;=100000,INDEX($AC$1005:$AS$1005,1,MATCH(COLUMNS($AC$1006:AG1006),$AC$1006:$AS$1006,0))&gt;=100000), " ",IF(INDEX($AC$2:$AS$1001,MATCH(ROWS($V$2:V104),$V$2:$V$1001,0),MATCH(COLUMNS($AC$1006:AG1006),$AC$1006:$AS$1006,0)), HYPERLINK("#",""), HYPERLINK(CONCATENATE("#metadata!", ADDRESS(INDEX($X$2:$X$1001,MATCH(ROWS($V$2:V104),$V$2:$V$1001,0),0), INDEX($AC$1004:$AS$1004,1,MATCH(COLUMNS($AC$1006:AG1006),$AC$1006:$AS$1006,0)))),"Fix")))</f>
        <v xml:space="preserve"> </v>
      </c>
      <c r="G104" s="4" t="str">
        <f ca="1">IF(OR(INDEX($W$2:$W$1001,MATCH(ROWS($V$2:V104),$V$2:$V$1001,0),1)&gt;=100000,INDEX($AC$1005:$AS$1005,1,MATCH(COLUMNS($AC$1006:AH1006),$AC$1006:$AS$1006,0))&gt;=100000), " ",IF(INDEX($AC$2:$AS$1001,MATCH(ROWS($V$2:V104),$V$2:$V$1001,0),MATCH(COLUMNS($AC$1006:AH1006),$AC$1006:$AS$1006,0)), HYPERLINK("#",""), HYPERLINK(CONCATENATE("#metadata!", ADDRESS(INDEX($X$2:$X$1001,MATCH(ROWS($V$2:V104),$V$2:$V$1001,0),0), INDEX($AC$1004:$AS$1004,1,MATCH(COLUMNS($AC$1006:AH1006),$AC$1006:$AS$1006,0)))),"Fix")))</f>
        <v xml:space="preserve"> </v>
      </c>
      <c r="H104" s="4" t="str">
        <f ca="1">IF(OR(INDEX($W$2:$W$1001,MATCH(ROWS($V$2:V104),$V$2:$V$1001,0),1)&gt;=100000,INDEX($AC$1005:$AS$1005,1,MATCH(COLUMNS($AC$1006:AI1006),$AC$1006:$AS$1006,0))&gt;=100000), " ",IF(INDEX($AC$2:$AS$1001,MATCH(ROWS($V$2:V104),$V$2:$V$1001,0),MATCH(COLUMNS($AC$1006:AI1006),$AC$1006:$AS$1006,0)), HYPERLINK("#",""), HYPERLINK(CONCATENATE("#metadata!", ADDRESS(INDEX($X$2:$X$1001,MATCH(ROWS($V$2:V104),$V$2:$V$1001,0),0), INDEX($AC$1004:$AS$1004,1,MATCH(COLUMNS($AC$1006:AI1006),$AC$1006:$AS$1006,0)))),"Fix")))</f>
        <v xml:space="preserve"> </v>
      </c>
      <c r="I104" s="4" t="str">
        <f ca="1">IF(OR(INDEX($W$2:$W$1001,MATCH(ROWS($V$2:V104),$V$2:$V$1001,0),1)&gt;=100000,INDEX($AC$1005:$AS$1005,1,MATCH(COLUMNS($AC$1006:AJ1006),$AC$1006:$AS$1006,0))&gt;=100000), " ",IF(INDEX($AC$2:$AS$1001,MATCH(ROWS($V$2:V104),$V$2:$V$1001,0),MATCH(COLUMNS($AC$1006:AJ1006),$AC$1006:$AS$1006,0)), HYPERLINK("#",""), HYPERLINK(CONCATENATE("#metadata!", ADDRESS(INDEX($X$2:$X$1001,MATCH(ROWS($V$2:V104),$V$2:$V$1001,0),0), INDEX($AC$1004:$AS$1004,1,MATCH(COLUMNS($AC$1006:AJ1006),$AC$1006:$AS$1006,0)))),"Fix")))</f>
        <v xml:space="preserve"> </v>
      </c>
      <c r="J104" s="4" t="str">
        <f ca="1">IF(OR(INDEX($W$2:$W$1001,MATCH(ROWS($V$2:V104),$V$2:$V$1001,0),1)&gt;=100000,INDEX($AC$1005:$AS$1005,1,MATCH(COLUMNS($AC$1006:AK1006),$AC$1006:$AS$1006,0))&gt;=100000), " ",IF(INDEX($AC$2:$AS$1001,MATCH(ROWS($V$2:V104),$V$2:$V$1001,0),MATCH(COLUMNS($AC$1006:AK1006),$AC$1006:$AS$1006,0)), HYPERLINK("#",""), HYPERLINK(CONCATENATE("#metadata!", ADDRESS(INDEX($X$2:$X$1001,MATCH(ROWS($V$2:V104),$V$2:$V$1001,0),0), INDEX($AC$1004:$AS$1004,1,MATCH(COLUMNS($AC$1006:AK1006),$AC$1006:$AS$1006,0)))),"Fix")))</f>
        <v xml:space="preserve"> </v>
      </c>
      <c r="K104" s="4" t="str">
        <f ca="1">IF(OR(INDEX($W$2:$W$1001,MATCH(ROWS($V$2:V104),$V$2:$V$1001,0),1)&gt;=100000,INDEX($AC$1005:$AS$1005,1,MATCH(COLUMNS($AC$1006:AL1006),$AC$1006:$AS$1006,0))&gt;=100000), " ",IF(INDEX($AC$2:$AS$1001,MATCH(ROWS($V$2:V104),$V$2:$V$1001,0),MATCH(COLUMNS($AC$1006:AL1006),$AC$1006:$AS$1006,0)), HYPERLINK("#",""), HYPERLINK(CONCATENATE("#metadata!", ADDRESS(INDEX($X$2:$X$1001,MATCH(ROWS($V$2:V104),$V$2:$V$1001,0),0), INDEX($AC$1004:$AS$1004,1,MATCH(COLUMNS($AC$1006:AL1006),$AC$1006:$AS$1006,0)))),"Fix")))</f>
        <v xml:space="preserve"> </v>
      </c>
      <c r="L104" s="4" t="str">
        <f ca="1">IF(OR(INDEX($W$2:$W$1001,MATCH(ROWS($V$2:V104),$V$2:$V$1001,0),1)&gt;=100000,INDEX($AC$1005:$AS$1005,1,MATCH(COLUMNS($AC$1006:AM1006),$AC$1006:$AS$1006,0))&gt;=100000), " ",IF(INDEX($AC$2:$AS$1001,MATCH(ROWS($V$2:V104),$V$2:$V$1001,0),MATCH(COLUMNS($AC$1006:AM1006),$AC$1006:$AS$1006,0)), HYPERLINK("#",""), HYPERLINK(CONCATENATE("#metadata!", ADDRESS(INDEX($X$2:$X$1001,MATCH(ROWS($V$2:V104),$V$2:$V$1001,0),0), INDEX($AC$1004:$AS$1004,1,MATCH(COLUMNS($AC$1006:AM1006),$AC$1006:$AS$1006,0)))),"Fix")))</f>
        <v xml:space="preserve"> </v>
      </c>
      <c r="M104" s="4" t="str">
        <f ca="1">IF(OR(INDEX($W$2:$W$1001,MATCH(ROWS($V$2:V104),$V$2:$V$1001,0),1)&gt;=100000,INDEX($AC$1005:$AS$1005,1,MATCH(COLUMNS($AC$1006:AN1006),$AC$1006:$AS$1006,0))&gt;=100000), " ",IF(INDEX($AC$2:$AS$1001,MATCH(ROWS($V$2:V104),$V$2:$V$1001,0),MATCH(COLUMNS($AC$1006:AN1006),$AC$1006:$AS$1006,0)), HYPERLINK("#",""), HYPERLINK(CONCATENATE("#metadata!", ADDRESS(INDEX($X$2:$X$1001,MATCH(ROWS($V$2:V104),$V$2:$V$1001,0),0), INDEX($AC$1004:$AS$1004,1,MATCH(COLUMNS($AC$1006:AN1006),$AC$1006:$AS$1006,0)))),"Fix")))</f>
        <v xml:space="preserve"> </v>
      </c>
      <c r="N104" s="4" t="str">
        <f ca="1">IF(OR(INDEX($W$2:$W$1001,MATCH(ROWS($V$2:V104),$V$2:$V$1001,0),1)&gt;=100000,INDEX($AC$1005:$AS$1005,1,MATCH(COLUMNS($AC$1006:AO1006),$AC$1006:$AS$1006,0))&gt;=100000), " ",IF(INDEX($AC$2:$AS$1001,MATCH(ROWS($V$2:V104),$V$2:$V$1001,0),MATCH(COLUMNS($AC$1006:AO1006),$AC$1006:$AS$1006,0)), HYPERLINK("#",""), HYPERLINK(CONCATENATE("#metadata!", ADDRESS(INDEX($X$2:$X$1001,MATCH(ROWS($V$2:V104),$V$2:$V$1001,0),0), INDEX($AC$1004:$AS$1004,1,MATCH(COLUMNS($AC$1006:AO1006),$AC$1006:$AS$1006,0)))),"Fix")))</f>
        <v xml:space="preserve"> </v>
      </c>
      <c r="O104" s="4" t="str">
        <f ca="1">IF(OR(INDEX($W$2:$W$1001,MATCH(ROWS($V$2:V104),$V$2:$V$1001,0),1)&gt;=100000,INDEX($AC$1005:$AS$1005,1,MATCH(COLUMNS($AC$1006:AP1006),$AC$1006:$AS$1006,0))&gt;=100000), " ",IF(INDEX($AC$2:$AS$1001,MATCH(ROWS($V$2:V104),$V$2:$V$1001,0),MATCH(COLUMNS($AC$1006:AP1006),$AC$1006:$AS$1006,0)), HYPERLINK("#",""), HYPERLINK(CONCATENATE("#metadata!", ADDRESS(INDEX($X$2:$X$1001,MATCH(ROWS($V$2:V104),$V$2:$V$1001,0),0), INDEX($AC$1004:$AS$1004,1,MATCH(COLUMNS($AC$1006:AP1006),$AC$1006:$AS$1006,0)))),"Fix")))</f>
        <v xml:space="preserve"> </v>
      </c>
      <c r="P104" s="4" t="str">
        <f ca="1">IF(OR(INDEX($W$2:$W$1001,MATCH(ROWS($V$2:V104),$V$2:$V$1001,0),1)&gt;=100000,INDEX($AC$1005:$AS$1005,1,MATCH(COLUMNS($AC$1006:AQ1006),$AC$1006:$AS$1006,0))&gt;=100000), " ",IF(INDEX($AC$2:$AS$1001,MATCH(ROWS($V$2:V104),$V$2:$V$1001,0),MATCH(COLUMNS($AC$1006:AQ1006),$AC$1006:$AS$1006,0)), HYPERLINK("#",""), HYPERLINK(CONCATENATE("#metadata!", ADDRESS(INDEX($X$2:$X$1001,MATCH(ROWS($V$2:V104),$V$2:$V$1001,0),0), INDEX($AC$1004:$AS$1004,1,MATCH(COLUMNS($AC$1006:AQ1006),$AC$1006:$AS$1006,0)))),"Fix")))</f>
        <v xml:space="preserve"> </v>
      </c>
      <c r="Q104" s="4" t="str">
        <f ca="1">IF(OR(INDEX($W$2:$W$1001,MATCH(ROWS($V$2:V104),$V$2:$V$1001,0),1)&gt;=100000,INDEX($AC$1005:$AS$1005,1,MATCH(COLUMNS($AC$1006:AR1006),$AC$1006:$AS$1006,0))&gt;=100000), " ",IF(INDEX($AC$2:$AS$1001,MATCH(ROWS($V$2:V104),$V$2:$V$1001,0),MATCH(COLUMNS($AC$1006:AR1006),$AC$1006:$AS$1006,0)), HYPERLINK("#",""), HYPERLINK(CONCATENATE("#metadata!", ADDRESS(INDEX($X$2:$X$1001,MATCH(ROWS($V$2:V104),$V$2:$V$1001,0),0), INDEX($AC$1004:$AS$1004,1,MATCH(COLUMNS($AC$1006:AR1006),$AC$1006:$AS$1006,0)))),"Fix")))</f>
        <v xml:space="preserve"> </v>
      </c>
      <c r="R104" s="4" t="str">
        <f ca="1">IF(OR(INDEX($W$2:$W$1001,MATCH(ROWS($V$2:V104),$V$2:$V$1001,0),1)&gt;=100000,INDEX($AC$1005:$AS$1005,1,MATCH(COLUMNS($AC$1006:AS1006),$AC$1006:$AS$1006,0))&gt;=100000), " ",IF(INDEX($AC$2:$AS$1001,MATCH(ROWS($V$2:V104),$V$2:$V$1001,0),MATCH(COLUMNS($AC$1006:AS1006),$AC$1006:$AS$1006,0)), HYPERLINK("#",""), HYPERLINK(CONCATENATE("#metadata!", ADDRESS(INDEX($X$2:$X$1001,MATCH(ROWS($V$2:V104),$V$2:$V$1001,0),0), INDEX($AC$1004:$AS$1004,1,MATCH(COLUMNS($AC$1006:AS1006),$AC$1006:$AS$1006,0)))),"Fix")))</f>
        <v xml:space="preserve"> </v>
      </c>
      <c r="V104">
        <v>103</v>
      </c>
      <c r="W104">
        <v>100104</v>
      </c>
      <c r="X104">
        <v>104</v>
      </c>
      <c r="Y104" t="b">
        <f t="shared" si="1"/>
        <v>1</v>
      </c>
      <c r="Z104" t="b">
        <f>COUNTBLANK(metadata!B104:R104)=COLUMNS(metadata!B104:R104)</f>
        <v>1</v>
      </c>
      <c r="AA104" t="str">
        <v/>
      </c>
      <c r="AC104" t="b">
        <f ca="1"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AD104" t="b">
        <f>IF(metadata!C104="",FALSE,ISNUMBER(VALUE(metadata!C104)))</f>
        <v>0</v>
      </c>
      <c r="AE104" t="b">
        <f>AND(IF(metadata!D104="",FALSE,TRUE),EXACT(metadata!D104,"years"))</f>
        <v>0</v>
      </c>
      <c r="AF104" t="b">
        <f>OR(AND(IF(metadata!E104="",FALSE,TRUE),OR(EXACT(metadata!E104,"not applicable"),EXACT(metadata!E104,"missing: not collected"),EXACT(metadata!E104,"missing: not provided"),EXACT(metadata!E104,"missing: restricted access"))),AND(IF(metadata!E104="",FALSE,ISNUMBER(VALUE(metadata!E104))),metadata!E104&gt;0))</f>
        <v>0</v>
      </c>
      <c r="AG104" t="b">
        <f>AND(IF(metadata!F104="",FALSE,TRUE),EXACT(metadata!F104,"Not applicable"))</f>
        <v>0</v>
      </c>
      <c r="AH104" t="b">
        <f>AND(IF(metadata!G104="",FALSE,TRUE),EXACT(metadata!G104,"urban biome"))</f>
        <v>0</v>
      </c>
      <c r="AI104" t="b">
        <f>AND(IF(metadata!H104="",FALSE,TRUE),EXACT(metadata!H104,"human-associated habitat"))</f>
        <v>0</v>
      </c>
      <c r="AJ104" t="b">
        <f>AND(IF(metadata!I104="",FALSE,TRUE),OR(EXACT(metadata!I104,"human-associated"),EXACT(metadata!I104,"human-skin"),EXACT(metadata!I104,"human-oral"),EXACT(metadata!I104,"human-gut"),EXACT(metadata!I104,"human-vaginal")))</f>
        <v>0</v>
      </c>
      <c r="AK104" t="b">
        <f>IF(metadata!J104="",FALSE,ISNUMBER(VALUE(metadata!J104)))</f>
        <v>0</v>
      </c>
      <c r="AL104" t="b">
        <f>AND(IF(metadata!K104="",FALSE,TRUE),EXACT(metadata!K104,"cm"))</f>
        <v>0</v>
      </c>
      <c r="AM104" t="b">
        <f>AND(IF(metadata!L104="",FALSE,TRUE),EXACT(metadata!L104,"human"))</f>
        <v>0</v>
      </c>
      <c r="AN104" t="b">
        <f>AND(IF(metadata!M104="",FALSE,TRUE),EXACT(metadata!M104,"Homo sapiens"))</f>
        <v>0</v>
      </c>
      <c r="AO104" t="b">
        <f>AND(IF(metadata!N104="",FALSE,TRUE),EXACT(metadata!N104,"9606"))</f>
        <v>0</v>
      </c>
      <c r="AP104" t="b">
        <f>IF(metadata!O104="",FALSE,TRUE)</f>
        <v>0</v>
      </c>
      <c r="AQ104" t="b">
        <f>IF(metadata!P104="",FALSE,TRUE)</f>
        <v>0</v>
      </c>
      <c r="AR104" t="b">
        <f>IF(metadata!Q104="",FALSE,ISNUMBER(VALUE(metadata!Q104)))</f>
        <v>0</v>
      </c>
      <c r="AS104" t="b">
        <f>AND(IF(metadata!R104="",FALSE,TRUE),EXACT(metadata!R104,"kg"))</f>
        <v>0</v>
      </c>
    </row>
    <row r="105" spans="1:45" x14ac:dyDescent="0.2">
      <c r="A105" s="5" t="str">
        <f ca="1">IF(B105=" "," ",HYPERLINK(CONCATENATE("#metadata!",ADDRESS(INDEX($X$2:$X$1001,MATCH(ROWS($V$2:V105),$V$2:$V$1001,0),0),1)),INDEX($AA$2:$AA$1001,MATCH(ROWS($V$2:V105),$V$2:$V$1001,0),0)))</f>
        <v xml:space="preserve"> </v>
      </c>
      <c r="B105" s="4" t="str">
        <f ca="1">IF(OR(INDEX($W$2:$W$1001,MATCH(ROWS($V$2:V105),$V$2:$V$1001,0),1)&gt;=100000,INDEX($AC$1005:$AS$1005,1,MATCH(COLUMNS($AC$1006:AC1006),$AC$1006:$AS$1006,0))&gt;=100000), " ",IF(INDEX($AC$2:$AS$1001,MATCH(ROWS($V$2:V105),$V$2:$V$1001,0),MATCH(COLUMNS($AC$1006:AC1006),$AC$1006:$AS$1006,0)), HYPERLINK("#",""), HYPERLINK(CONCATENATE("#metadata!", ADDRESS(INDEX($X$2:$X$1001,MATCH(ROWS($V$2:V105),$V$2:$V$1001,0),0), INDEX($AC$1004:$AS$1004,1,MATCH(COLUMNS($AC$1006:AC1006),$AC$1006:$AS$1006,0)))),"Fix")))</f>
        <v xml:space="preserve"> </v>
      </c>
      <c r="C105" s="4" t="str">
        <f ca="1">IF(OR(INDEX($W$2:$W$1001,MATCH(ROWS($V$2:V105),$V$2:$V$1001,0),1)&gt;=100000,INDEX($AC$1005:$AS$1005,1,MATCH(COLUMNS($AC$1006:AD1006),$AC$1006:$AS$1006,0))&gt;=100000), " ",IF(INDEX($AC$2:$AS$1001,MATCH(ROWS($V$2:V105),$V$2:$V$1001,0),MATCH(COLUMNS($AC$1006:AD1006),$AC$1006:$AS$1006,0)), HYPERLINK("#",""), HYPERLINK(CONCATENATE("#metadata!", ADDRESS(INDEX($X$2:$X$1001,MATCH(ROWS($V$2:V105),$V$2:$V$1001,0),0), INDEX($AC$1004:$AS$1004,1,MATCH(COLUMNS($AC$1006:AD1006),$AC$1006:$AS$1006,0)))),"Fix")))</f>
        <v xml:space="preserve"> </v>
      </c>
      <c r="D105" s="4" t="str">
        <f ca="1">IF(OR(INDEX($W$2:$W$1001,MATCH(ROWS($V$2:V105),$V$2:$V$1001,0),1)&gt;=100000,INDEX($AC$1005:$AS$1005,1,MATCH(COLUMNS($AC$1006:AE1006),$AC$1006:$AS$1006,0))&gt;=100000), " ",IF(INDEX($AC$2:$AS$1001,MATCH(ROWS($V$2:V105),$V$2:$V$1001,0),MATCH(COLUMNS($AC$1006:AE1006),$AC$1006:$AS$1006,0)), HYPERLINK("#",""), HYPERLINK(CONCATENATE("#metadata!", ADDRESS(INDEX($X$2:$X$1001,MATCH(ROWS($V$2:V105),$V$2:$V$1001,0),0), INDEX($AC$1004:$AS$1004,1,MATCH(COLUMNS($AC$1006:AE1006),$AC$1006:$AS$1006,0)))),"Fix")))</f>
        <v xml:space="preserve"> </v>
      </c>
      <c r="E105" s="4" t="str">
        <f ca="1">IF(OR(INDEX($W$2:$W$1001,MATCH(ROWS($V$2:V105),$V$2:$V$1001,0),1)&gt;=100000,INDEX($AC$1005:$AS$1005,1,MATCH(COLUMNS($AC$1006:AF1006),$AC$1006:$AS$1006,0))&gt;=100000), " ",IF(INDEX($AC$2:$AS$1001,MATCH(ROWS($V$2:V105),$V$2:$V$1001,0),MATCH(COLUMNS($AC$1006:AF1006),$AC$1006:$AS$1006,0)), HYPERLINK("#",""), HYPERLINK(CONCATENATE("#metadata!", ADDRESS(INDEX($X$2:$X$1001,MATCH(ROWS($V$2:V105),$V$2:$V$1001,0),0), INDEX($AC$1004:$AS$1004,1,MATCH(COLUMNS($AC$1006:AF1006),$AC$1006:$AS$1006,0)))),"Fix")))</f>
        <v xml:space="preserve"> </v>
      </c>
      <c r="F105" s="4" t="str">
        <f ca="1">IF(OR(INDEX($W$2:$W$1001,MATCH(ROWS($V$2:V105),$V$2:$V$1001,0),1)&gt;=100000,INDEX($AC$1005:$AS$1005,1,MATCH(COLUMNS($AC$1006:AG1006),$AC$1006:$AS$1006,0))&gt;=100000), " ",IF(INDEX($AC$2:$AS$1001,MATCH(ROWS($V$2:V105),$V$2:$V$1001,0),MATCH(COLUMNS($AC$1006:AG1006),$AC$1006:$AS$1006,0)), HYPERLINK("#",""), HYPERLINK(CONCATENATE("#metadata!", ADDRESS(INDEX($X$2:$X$1001,MATCH(ROWS($V$2:V105),$V$2:$V$1001,0),0), INDEX($AC$1004:$AS$1004,1,MATCH(COLUMNS($AC$1006:AG1006),$AC$1006:$AS$1006,0)))),"Fix")))</f>
        <v xml:space="preserve"> </v>
      </c>
      <c r="G105" s="4" t="str">
        <f ca="1">IF(OR(INDEX($W$2:$W$1001,MATCH(ROWS($V$2:V105),$V$2:$V$1001,0),1)&gt;=100000,INDEX($AC$1005:$AS$1005,1,MATCH(COLUMNS($AC$1006:AH1006),$AC$1006:$AS$1006,0))&gt;=100000), " ",IF(INDEX($AC$2:$AS$1001,MATCH(ROWS($V$2:V105),$V$2:$V$1001,0),MATCH(COLUMNS($AC$1006:AH1006),$AC$1006:$AS$1006,0)), HYPERLINK("#",""), HYPERLINK(CONCATENATE("#metadata!", ADDRESS(INDEX($X$2:$X$1001,MATCH(ROWS($V$2:V105),$V$2:$V$1001,0),0), INDEX($AC$1004:$AS$1004,1,MATCH(COLUMNS($AC$1006:AH1006),$AC$1006:$AS$1006,0)))),"Fix")))</f>
        <v xml:space="preserve"> </v>
      </c>
      <c r="H105" s="4" t="str">
        <f ca="1">IF(OR(INDEX($W$2:$W$1001,MATCH(ROWS($V$2:V105),$V$2:$V$1001,0),1)&gt;=100000,INDEX($AC$1005:$AS$1005,1,MATCH(COLUMNS($AC$1006:AI1006),$AC$1006:$AS$1006,0))&gt;=100000), " ",IF(INDEX($AC$2:$AS$1001,MATCH(ROWS($V$2:V105),$V$2:$V$1001,0),MATCH(COLUMNS($AC$1006:AI1006),$AC$1006:$AS$1006,0)), HYPERLINK("#",""), HYPERLINK(CONCATENATE("#metadata!", ADDRESS(INDEX($X$2:$X$1001,MATCH(ROWS($V$2:V105),$V$2:$V$1001,0),0), INDEX($AC$1004:$AS$1004,1,MATCH(COLUMNS($AC$1006:AI1006),$AC$1006:$AS$1006,0)))),"Fix")))</f>
        <v xml:space="preserve"> </v>
      </c>
      <c r="I105" s="4" t="str">
        <f ca="1">IF(OR(INDEX($W$2:$W$1001,MATCH(ROWS($V$2:V105),$V$2:$V$1001,0),1)&gt;=100000,INDEX($AC$1005:$AS$1005,1,MATCH(COLUMNS($AC$1006:AJ1006),$AC$1006:$AS$1006,0))&gt;=100000), " ",IF(INDEX($AC$2:$AS$1001,MATCH(ROWS($V$2:V105),$V$2:$V$1001,0),MATCH(COLUMNS($AC$1006:AJ1006),$AC$1006:$AS$1006,0)), HYPERLINK("#",""), HYPERLINK(CONCATENATE("#metadata!", ADDRESS(INDEX($X$2:$X$1001,MATCH(ROWS($V$2:V105),$V$2:$V$1001,0),0), INDEX($AC$1004:$AS$1004,1,MATCH(COLUMNS($AC$1006:AJ1006),$AC$1006:$AS$1006,0)))),"Fix")))</f>
        <v xml:space="preserve"> </v>
      </c>
      <c r="J105" s="4" t="str">
        <f ca="1">IF(OR(INDEX($W$2:$W$1001,MATCH(ROWS($V$2:V105),$V$2:$V$1001,0),1)&gt;=100000,INDEX($AC$1005:$AS$1005,1,MATCH(COLUMNS($AC$1006:AK1006),$AC$1006:$AS$1006,0))&gt;=100000), " ",IF(INDEX($AC$2:$AS$1001,MATCH(ROWS($V$2:V105),$V$2:$V$1001,0),MATCH(COLUMNS($AC$1006:AK1006),$AC$1006:$AS$1006,0)), HYPERLINK("#",""), HYPERLINK(CONCATENATE("#metadata!", ADDRESS(INDEX($X$2:$X$1001,MATCH(ROWS($V$2:V105),$V$2:$V$1001,0),0), INDEX($AC$1004:$AS$1004,1,MATCH(COLUMNS($AC$1006:AK1006),$AC$1006:$AS$1006,0)))),"Fix")))</f>
        <v xml:space="preserve"> </v>
      </c>
      <c r="K105" s="4" t="str">
        <f ca="1">IF(OR(INDEX($W$2:$W$1001,MATCH(ROWS($V$2:V105),$V$2:$V$1001,0),1)&gt;=100000,INDEX($AC$1005:$AS$1005,1,MATCH(COLUMNS($AC$1006:AL1006),$AC$1006:$AS$1006,0))&gt;=100000), " ",IF(INDEX($AC$2:$AS$1001,MATCH(ROWS($V$2:V105),$V$2:$V$1001,0),MATCH(COLUMNS($AC$1006:AL1006),$AC$1006:$AS$1006,0)), HYPERLINK("#",""), HYPERLINK(CONCATENATE("#metadata!", ADDRESS(INDEX($X$2:$X$1001,MATCH(ROWS($V$2:V105),$V$2:$V$1001,0),0), INDEX($AC$1004:$AS$1004,1,MATCH(COLUMNS($AC$1006:AL1006),$AC$1006:$AS$1006,0)))),"Fix")))</f>
        <v xml:space="preserve"> </v>
      </c>
      <c r="L105" s="4" t="str">
        <f ca="1">IF(OR(INDEX($W$2:$W$1001,MATCH(ROWS($V$2:V105),$V$2:$V$1001,0),1)&gt;=100000,INDEX($AC$1005:$AS$1005,1,MATCH(COLUMNS($AC$1006:AM1006),$AC$1006:$AS$1006,0))&gt;=100000), " ",IF(INDEX($AC$2:$AS$1001,MATCH(ROWS($V$2:V105),$V$2:$V$1001,0),MATCH(COLUMNS($AC$1006:AM1006),$AC$1006:$AS$1006,0)), HYPERLINK("#",""), HYPERLINK(CONCATENATE("#metadata!", ADDRESS(INDEX($X$2:$X$1001,MATCH(ROWS($V$2:V105),$V$2:$V$1001,0),0), INDEX($AC$1004:$AS$1004,1,MATCH(COLUMNS($AC$1006:AM1006),$AC$1006:$AS$1006,0)))),"Fix")))</f>
        <v xml:space="preserve"> </v>
      </c>
      <c r="M105" s="4" t="str">
        <f ca="1">IF(OR(INDEX($W$2:$W$1001,MATCH(ROWS($V$2:V105),$V$2:$V$1001,0),1)&gt;=100000,INDEX($AC$1005:$AS$1005,1,MATCH(COLUMNS($AC$1006:AN1006),$AC$1006:$AS$1006,0))&gt;=100000), " ",IF(INDEX($AC$2:$AS$1001,MATCH(ROWS($V$2:V105),$V$2:$V$1001,0),MATCH(COLUMNS($AC$1006:AN1006),$AC$1006:$AS$1006,0)), HYPERLINK("#",""), HYPERLINK(CONCATENATE("#metadata!", ADDRESS(INDEX($X$2:$X$1001,MATCH(ROWS($V$2:V105),$V$2:$V$1001,0),0), INDEX($AC$1004:$AS$1004,1,MATCH(COLUMNS($AC$1006:AN1006),$AC$1006:$AS$1006,0)))),"Fix")))</f>
        <v xml:space="preserve"> </v>
      </c>
      <c r="N105" s="4" t="str">
        <f ca="1">IF(OR(INDEX($W$2:$W$1001,MATCH(ROWS($V$2:V105),$V$2:$V$1001,0),1)&gt;=100000,INDEX($AC$1005:$AS$1005,1,MATCH(COLUMNS($AC$1006:AO1006),$AC$1006:$AS$1006,0))&gt;=100000), " ",IF(INDEX($AC$2:$AS$1001,MATCH(ROWS($V$2:V105),$V$2:$V$1001,0),MATCH(COLUMNS($AC$1006:AO1006),$AC$1006:$AS$1006,0)), HYPERLINK("#",""), HYPERLINK(CONCATENATE("#metadata!", ADDRESS(INDEX($X$2:$X$1001,MATCH(ROWS($V$2:V105),$V$2:$V$1001,0),0), INDEX($AC$1004:$AS$1004,1,MATCH(COLUMNS($AC$1006:AO1006),$AC$1006:$AS$1006,0)))),"Fix")))</f>
        <v xml:space="preserve"> </v>
      </c>
      <c r="O105" s="4" t="str">
        <f ca="1">IF(OR(INDEX($W$2:$W$1001,MATCH(ROWS($V$2:V105),$V$2:$V$1001,0),1)&gt;=100000,INDEX($AC$1005:$AS$1005,1,MATCH(COLUMNS($AC$1006:AP1006),$AC$1006:$AS$1006,0))&gt;=100000), " ",IF(INDEX($AC$2:$AS$1001,MATCH(ROWS($V$2:V105),$V$2:$V$1001,0),MATCH(COLUMNS($AC$1006:AP1006),$AC$1006:$AS$1006,0)), HYPERLINK("#",""), HYPERLINK(CONCATENATE("#metadata!", ADDRESS(INDEX($X$2:$X$1001,MATCH(ROWS($V$2:V105),$V$2:$V$1001,0),0), INDEX($AC$1004:$AS$1004,1,MATCH(COLUMNS($AC$1006:AP1006),$AC$1006:$AS$1006,0)))),"Fix")))</f>
        <v xml:space="preserve"> </v>
      </c>
      <c r="P105" s="4" t="str">
        <f ca="1">IF(OR(INDEX($W$2:$W$1001,MATCH(ROWS($V$2:V105),$V$2:$V$1001,0),1)&gt;=100000,INDEX($AC$1005:$AS$1005,1,MATCH(COLUMNS($AC$1006:AQ1006),$AC$1006:$AS$1006,0))&gt;=100000), " ",IF(INDEX($AC$2:$AS$1001,MATCH(ROWS($V$2:V105),$V$2:$V$1001,0),MATCH(COLUMNS($AC$1006:AQ1006),$AC$1006:$AS$1006,0)), HYPERLINK("#",""), HYPERLINK(CONCATENATE("#metadata!", ADDRESS(INDEX($X$2:$X$1001,MATCH(ROWS($V$2:V105),$V$2:$V$1001,0),0), INDEX($AC$1004:$AS$1004,1,MATCH(COLUMNS($AC$1006:AQ1006),$AC$1006:$AS$1006,0)))),"Fix")))</f>
        <v xml:space="preserve"> </v>
      </c>
      <c r="Q105" s="4" t="str">
        <f ca="1">IF(OR(INDEX($W$2:$W$1001,MATCH(ROWS($V$2:V105),$V$2:$V$1001,0),1)&gt;=100000,INDEX($AC$1005:$AS$1005,1,MATCH(COLUMNS($AC$1006:AR1006),$AC$1006:$AS$1006,0))&gt;=100000), " ",IF(INDEX($AC$2:$AS$1001,MATCH(ROWS($V$2:V105),$V$2:$V$1001,0),MATCH(COLUMNS($AC$1006:AR1006),$AC$1006:$AS$1006,0)), HYPERLINK("#",""), HYPERLINK(CONCATENATE("#metadata!", ADDRESS(INDEX($X$2:$X$1001,MATCH(ROWS($V$2:V105),$V$2:$V$1001,0),0), INDEX($AC$1004:$AS$1004,1,MATCH(COLUMNS($AC$1006:AR1006),$AC$1006:$AS$1006,0)))),"Fix")))</f>
        <v xml:space="preserve"> </v>
      </c>
      <c r="R105" s="4" t="str">
        <f ca="1">IF(OR(INDEX($W$2:$W$1001,MATCH(ROWS($V$2:V105),$V$2:$V$1001,0),1)&gt;=100000,INDEX($AC$1005:$AS$1005,1,MATCH(COLUMNS($AC$1006:AS1006),$AC$1006:$AS$1006,0))&gt;=100000), " ",IF(INDEX($AC$2:$AS$1001,MATCH(ROWS($V$2:V105),$V$2:$V$1001,0),MATCH(COLUMNS($AC$1006:AS1006),$AC$1006:$AS$1006,0)), HYPERLINK("#",""), HYPERLINK(CONCATENATE("#metadata!", ADDRESS(INDEX($X$2:$X$1001,MATCH(ROWS($V$2:V105),$V$2:$V$1001,0),0), INDEX($AC$1004:$AS$1004,1,MATCH(COLUMNS($AC$1006:AS1006),$AC$1006:$AS$1006,0)))),"Fix")))</f>
        <v xml:space="preserve"> </v>
      </c>
      <c r="V105">
        <v>104</v>
      </c>
      <c r="W105">
        <v>100105</v>
      </c>
      <c r="X105">
        <v>105</v>
      </c>
      <c r="Y105" t="b">
        <f t="shared" si="1"/>
        <v>1</v>
      </c>
      <c r="Z105" t="b">
        <f>COUNTBLANK(metadata!B105:R105)=COLUMNS(metadata!B105:R105)</f>
        <v>1</v>
      </c>
      <c r="AA105" t="str">
        <v/>
      </c>
      <c r="AC105" t="b">
        <f ca="1"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AD105" t="b">
        <f>IF(metadata!C105="",FALSE,ISNUMBER(VALUE(metadata!C105)))</f>
        <v>0</v>
      </c>
      <c r="AE105" t="b">
        <f>AND(IF(metadata!D105="",FALSE,TRUE),EXACT(metadata!D105,"years"))</f>
        <v>0</v>
      </c>
      <c r="AF105" t="b">
        <f>OR(AND(IF(metadata!E105="",FALSE,TRUE),OR(EXACT(metadata!E105,"not applicable"),EXACT(metadata!E105,"missing: not collected"),EXACT(metadata!E105,"missing: not provided"),EXACT(metadata!E105,"missing: restricted access"))),AND(IF(metadata!E105="",FALSE,ISNUMBER(VALUE(metadata!E105))),metadata!E105&gt;0))</f>
        <v>0</v>
      </c>
      <c r="AG105" t="b">
        <f>AND(IF(metadata!F105="",FALSE,TRUE),EXACT(metadata!F105,"Not applicable"))</f>
        <v>0</v>
      </c>
      <c r="AH105" t="b">
        <f>AND(IF(metadata!G105="",FALSE,TRUE),EXACT(metadata!G105,"urban biome"))</f>
        <v>0</v>
      </c>
      <c r="AI105" t="b">
        <f>AND(IF(metadata!H105="",FALSE,TRUE),EXACT(metadata!H105,"human-associated habitat"))</f>
        <v>0</v>
      </c>
      <c r="AJ105" t="b">
        <f>AND(IF(metadata!I105="",FALSE,TRUE),OR(EXACT(metadata!I105,"human-associated"),EXACT(metadata!I105,"human-skin"),EXACT(metadata!I105,"human-oral"),EXACT(metadata!I105,"human-gut"),EXACT(metadata!I105,"human-vaginal")))</f>
        <v>0</v>
      </c>
      <c r="AK105" t="b">
        <f>IF(metadata!J105="",FALSE,ISNUMBER(VALUE(metadata!J105)))</f>
        <v>0</v>
      </c>
      <c r="AL105" t="b">
        <f>AND(IF(metadata!K105="",FALSE,TRUE),EXACT(metadata!K105,"cm"))</f>
        <v>0</v>
      </c>
      <c r="AM105" t="b">
        <f>AND(IF(metadata!L105="",FALSE,TRUE),EXACT(metadata!L105,"human"))</f>
        <v>0</v>
      </c>
      <c r="AN105" t="b">
        <f>AND(IF(metadata!M105="",FALSE,TRUE),EXACT(metadata!M105,"Homo sapiens"))</f>
        <v>0</v>
      </c>
      <c r="AO105" t="b">
        <f>AND(IF(metadata!N105="",FALSE,TRUE),EXACT(metadata!N105,"9606"))</f>
        <v>0</v>
      </c>
      <c r="AP105" t="b">
        <f>IF(metadata!O105="",FALSE,TRUE)</f>
        <v>0</v>
      </c>
      <c r="AQ105" t="b">
        <f>IF(metadata!P105="",FALSE,TRUE)</f>
        <v>0</v>
      </c>
      <c r="AR105" t="b">
        <f>IF(metadata!Q105="",FALSE,ISNUMBER(VALUE(metadata!Q105)))</f>
        <v>0</v>
      </c>
      <c r="AS105" t="b">
        <f>AND(IF(metadata!R105="",FALSE,TRUE),EXACT(metadata!R105,"kg"))</f>
        <v>0</v>
      </c>
    </row>
    <row r="106" spans="1:45" x14ac:dyDescent="0.2">
      <c r="A106" s="5" t="str">
        <f ca="1">IF(B106=" "," ",HYPERLINK(CONCATENATE("#metadata!",ADDRESS(INDEX($X$2:$X$1001,MATCH(ROWS($V$2:V106),$V$2:$V$1001,0),0),1)),INDEX($AA$2:$AA$1001,MATCH(ROWS($V$2:V106),$V$2:$V$1001,0),0)))</f>
        <v xml:space="preserve"> </v>
      </c>
      <c r="B106" s="4" t="str">
        <f ca="1">IF(OR(INDEX($W$2:$W$1001,MATCH(ROWS($V$2:V106),$V$2:$V$1001,0),1)&gt;=100000,INDEX($AC$1005:$AS$1005,1,MATCH(COLUMNS($AC$1006:AC1006),$AC$1006:$AS$1006,0))&gt;=100000), " ",IF(INDEX($AC$2:$AS$1001,MATCH(ROWS($V$2:V106),$V$2:$V$1001,0),MATCH(COLUMNS($AC$1006:AC1006),$AC$1006:$AS$1006,0)), HYPERLINK("#",""), HYPERLINK(CONCATENATE("#metadata!", ADDRESS(INDEX($X$2:$X$1001,MATCH(ROWS($V$2:V106),$V$2:$V$1001,0),0), INDEX($AC$1004:$AS$1004,1,MATCH(COLUMNS($AC$1006:AC1006),$AC$1006:$AS$1006,0)))),"Fix")))</f>
        <v xml:space="preserve"> </v>
      </c>
      <c r="C106" s="4" t="str">
        <f ca="1">IF(OR(INDEX($W$2:$W$1001,MATCH(ROWS($V$2:V106),$V$2:$V$1001,0),1)&gt;=100000,INDEX($AC$1005:$AS$1005,1,MATCH(COLUMNS($AC$1006:AD1006),$AC$1006:$AS$1006,0))&gt;=100000), " ",IF(INDEX($AC$2:$AS$1001,MATCH(ROWS($V$2:V106),$V$2:$V$1001,0),MATCH(COLUMNS($AC$1006:AD1006),$AC$1006:$AS$1006,0)), HYPERLINK("#",""), HYPERLINK(CONCATENATE("#metadata!", ADDRESS(INDEX($X$2:$X$1001,MATCH(ROWS($V$2:V106),$V$2:$V$1001,0),0), INDEX($AC$1004:$AS$1004,1,MATCH(COLUMNS($AC$1006:AD1006),$AC$1006:$AS$1006,0)))),"Fix")))</f>
        <v xml:space="preserve"> </v>
      </c>
      <c r="D106" s="4" t="str">
        <f ca="1">IF(OR(INDEX($W$2:$W$1001,MATCH(ROWS($V$2:V106),$V$2:$V$1001,0),1)&gt;=100000,INDEX($AC$1005:$AS$1005,1,MATCH(COLUMNS($AC$1006:AE1006),$AC$1006:$AS$1006,0))&gt;=100000), " ",IF(INDEX($AC$2:$AS$1001,MATCH(ROWS($V$2:V106),$V$2:$V$1001,0),MATCH(COLUMNS($AC$1006:AE1006),$AC$1006:$AS$1006,0)), HYPERLINK("#",""), HYPERLINK(CONCATENATE("#metadata!", ADDRESS(INDEX($X$2:$X$1001,MATCH(ROWS($V$2:V106),$V$2:$V$1001,0),0), INDEX($AC$1004:$AS$1004,1,MATCH(COLUMNS($AC$1006:AE1006),$AC$1006:$AS$1006,0)))),"Fix")))</f>
        <v xml:space="preserve"> </v>
      </c>
      <c r="E106" s="4" t="str">
        <f ca="1">IF(OR(INDEX($W$2:$W$1001,MATCH(ROWS($V$2:V106),$V$2:$V$1001,0),1)&gt;=100000,INDEX($AC$1005:$AS$1005,1,MATCH(COLUMNS($AC$1006:AF1006),$AC$1006:$AS$1006,0))&gt;=100000), " ",IF(INDEX($AC$2:$AS$1001,MATCH(ROWS($V$2:V106),$V$2:$V$1001,0),MATCH(COLUMNS($AC$1006:AF1006),$AC$1006:$AS$1006,0)), HYPERLINK("#",""), HYPERLINK(CONCATENATE("#metadata!", ADDRESS(INDEX($X$2:$X$1001,MATCH(ROWS($V$2:V106),$V$2:$V$1001,0),0), INDEX($AC$1004:$AS$1004,1,MATCH(COLUMNS($AC$1006:AF1006),$AC$1006:$AS$1006,0)))),"Fix")))</f>
        <v xml:space="preserve"> </v>
      </c>
      <c r="F106" s="4" t="str">
        <f ca="1">IF(OR(INDEX($W$2:$W$1001,MATCH(ROWS($V$2:V106),$V$2:$V$1001,0),1)&gt;=100000,INDEX($AC$1005:$AS$1005,1,MATCH(COLUMNS($AC$1006:AG1006),$AC$1006:$AS$1006,0))&gt;=100000), " ",IF(INDEX($AC$2:$AS$1001,MATCH(ROWS($V$2:V106),$V$2:$V$1001,0),MATCH(COLUMNS($AC$1006:AG1006),$AC$1006:$AS$1006,0)), HYPERLINK("#",""), HYPERLINK(CONCATENATE("#metadata!", ADDRESS(INDEX($X$2:$X$1001,MATCH(ROWS($V$2:V106),$V$2:$V$1001,0),0), INDEX($AC$1004:$AS$1004,1,MATCH(COLUMNS($AC$1006:AG1006),$AC$1006:$AS$1006,0)))),"Fix")))</f>
        <v xml:space="preserve"> </v>
      </c>
      <c r="G106" s="4" t="str">
        <f ca="1">IF(OR(INDEX($W$2:$W$1001,MATCH(ROWS($V$2:V106),$V$2:$V$1001,0),1)&gt;=100000,INDEX($AC$1005:$AS$1005,1,MATCH(COLUMNS($AC$1006:AH1006),$AC$1006:$AS$1006,0))&gt;=100000), " ",IF(INDEX($AC$2:$AS$1001,MATCH(ROWS($V$2:V106),$V$2:$V$1001,0),MATCH(COLUMNS($AC$1006:AH1006),$AC$1006:$AS$1006,0)), HYPERLINK("#",""), HYPERLINK(CONCATENATE("#metadata!", ADDRESS(INDEX($X$2:$X$1001,MATCH(ROWS($V$2:V106),$V$2:$V$1001,0),0), INDEX($AC$1004:$AS$1004,1,MATCH(COLUMNS($AC$1006:AH1006),$AC$1006:$AS$1006,0)))),"Fix")))</f>
        <v xml:space="preserve"> </v>
      </c>
      <c r="H106" s="4" t="str">
        <f ca="1">IF(OR(INDEX($W$2:$W$1001,MATCH(ROWS($V$2:V106),$V$2:$V$1001,0),1)&gt;=100000,INDEX($AC$1005:$AS$1005,1,MATCH(COLUMNS($AC$1006:AI1006),$AC$1006:$AS$1006,0))&gt;=100000), " ",IF(INDEX($AC$2:$AS$1001,MATCH(ROWS($V$2:V106),$V$2:$V$1001,0),MATCH(COLUMNS($AC$1006:AI1006),$AC$1006:$AS$1006,0)), HYPERLINK("#",""), HYPERLINK(CONCATENATE("#metadata!", ADDRESS(INDEX($X$2:$X$1001,MATCH(ROWS($V$2:V106),$V$2:$V$1001,0),0), INDEX($AC$1004:$AS$1004,1,MATCH(COLUMNS($AC$1006:AI1006),$AC$1006:$AS$1006,0)))),"Fix")))</f>
        <v xml:space="preserve"> </v>
      </c>
      <c r="I106" s="4" t="str">
        <f ca="1">IF(OR(INDEX($W$2:$W$1001,MATCH(ROWS($V$2:V106),$V$2:$V$1001,0),1)&gt;=100000,INDEX($AC$1005:$AS$1005,1,MATCH(COLUMNS($AC$1006:AJ1006),$AC$1006:$AS$1006,0))&gt;=100000), " ",IF(INDEX($AC$2:$AS$1001,MATCH(ROWS($V$2:V106),$V$2:$V$1001,0),MATCH(COLUMNS($AC$1006:AJ1006),$AC$1006:$AS$1006,0)), HYPERLINK("#",""), HYPERLINK(CONCATENATE("#metadata!", ADDRESS(INDEX($X$2:$X$1001,MATCH(ROWS($V$2:V106),$V$2:$V$1001,0),0), INDEX($AC$1004:$AS$1004,1,MATCH(COLUMNS($AC$1006:AJ1006),$AC$1006:$AS$1006,0)))),"Fix")))</f>
        <v xml:space="preserve"> </v>
      </c>
      <c r="J106" s="4" t="str">
        <f ca="1">IF(OR(INDEX($W$2:$W$1001,MATCH(ROWS($V$2:V106),$V$2:$V$1001,0),1)&gt;=100000,INDEX($AC$1005:$AS$1005,1,MATCH(COLUMNS($AC$1006:AK1006),$AC$1006:$AS$1006,0))&gt;=100000), " ",IF(INDEX($AC$2:$AS$1001,MATCH(ROWS($V$2:V106),$V$2:$V$1001,0),MATCH(COLUMNS($AC$1006:AK1006),$AC$1006:$AS$1006,0)), HYPERLINK("#",""), HYPERLINK(CONCATENATE("#metadata!", ADDRESS(INDEX($X$2:$X$1001,MATCH(ROWS($V$2:V106),$V$2:$V$1001,0),0), INDEX($AC$1004:$AS$1004,1,MATCH(COLUMNS($AC$1006:AK1006),$AC$1006:$AS$1006,0)))),"Fix")))</f>
        <v xml:space="preserve"> </v>
      </c>
      <c r="K106" s="4" t="str">
        <f ca="1">IF(OR(INDEX($W$2:$W$1001,MATCH(ROWS($V$2:V106),$V$2:$V$1001,0),1)&gt;=100000,INDEX($AC$1005:$AS$1005,1,MATCH(COLUMNS($AC$1006:AL1006),$AC$1006:$AS$1006,0))&gt;=100000), " ",IF(INDEX($AC$2:$AS$1001,MATCH(ROWS($V$2:V106),$V$2:$V$1001,0),MATCH(COLUMNS($AC$1006:AL1006),$AC$1006:$AS$1006,0)), HYPERLINK("#",""), HYPERLINK(CONCATENATE("#metadata!", ADDRESS(INDEX($X$2:$X$1001,MATCH(ROWS($V$2:V106),$V$2:$V$1001,0),0), INDEX($AC$1004:$AS$1004,1,MATCH(COLUMNS($AC$1006:AL1006),$AC$1006:$AS$1006,0)))),"Fix")))</f>
        <v xml:space="preserve"> </v>
      </c>
      <c r="L106" s="4" t="str">
        <f ca="1">IF(OR(INDEX($W$2:$W$1001,MATCH(ROWS($V$2:V106),$V$2:$V$1001,0),1)&gt;=100000,INDEX($AC$1005:$AS$1005,1,MATCH(COLUMNS($AC$1006:AM1006),$AC$1006:$AS$1006,0))&gt;=100000), " ",IF(INDEX($AC$2:$AS$1001,MATCH(ROWS($V$2:V106),$V$2:$V$1001,0),MATCH(COLUMNS($AC$1006:AM1006),$AC$1006:$AS$1006,0)), HYPERLINK("#",""), HYPERLINK(CONCATENATE("#metadata!", ADDRESS(INDEX($X$2:$X$1001,MATCH(ROWS($V$2:V106),$V$2:$V$1001,0),0), INDEX($AC$1004:$AS$1004,1,MATCH(COLUMNS($AC$1006:AM1006),$AC$1006:$AS$1006,0)))),"Fix")))</f>
        <v xml:space="preserve"> </v>
      </c>
      <c r="M106" s="4" t="str">
        <f ca="1">IF(OR(INDEX($W$2:$W$1001,MATCH(ROWS($V$2:V106),$V$2:$V$1001,0),1)&gt;=100000,INDEX($AC$1005:$AS$1005,1,MATCH(COLUMNS($AC$1006:AN1006),$AC$1006:$AS$1006,0))&gt;=100000), " ",IF(INDEX($AC$2:$AS$1001,MATCH(ROWS($V$2:V106),$V$2:$V$1001,0),MATCH(COLUMNS($AC$1006:AN1006),$AC$1006:$AS$1006,0)), HYPERLINK("#",""), HYPERLINK(CONCATENATE("#metadata!", ADDRESS(INDEX($X$2:$X$1001,MATCH(ROWS($V$2:V106),$V$2:$V$1001,0),0), INDEX($AC$1004:$AS$1004,1,MATCH(COLUMNS($AC$1006:AN1006),$AC$1006:$AS$1006,0)))),"Fix")))</f>
        <v xml:space="preserve"> </v>
      </c>
      <c r="N106" s="4" t="str">
        <f ca="1">IF(OR(INDEX($W$2:$W$1001,MATCH(ROWS($V$2:V106),$V$2:$V$1001,0),1)&gt;=100000,INDEX($AC$1005:$AS$1005,1,MATCH(COLUMNS($AC$1006:AO1006),$AC$1006:$AS$1006,0))&gt;=100000), " ",IF(INDEX($AC$2:$AS$1001,MATCH(ROWS($V$2:V106),$V$2:$V$1001,0),MATCH(COLUMNS($AC$1006:AO1006),$AC$1006:$AS$1006,0)), HYPERLINK("#",""), HYPERLINK(CONCATENATE("#metadata!", ADDRESS(INDEX($X$2:$X$1001,MATCH(ROWS($V$2:V106),$V$2:$V$1001,0),0), INDEX($AC$1004:$AS$1004,1,MATCH(COLUMNS($AC$1006:AO1006),$AC$1006:$AS$1006,0)))),"Fix")))</f>
        <v xml:space="preserve"> </v>
      </c>
      <c r="O106" s="4" t="str">
        <f ca="1">IF(OR(INDEX($W$2:$W$1001,MATCH(ROWS($V$2:V106),$V$2:$V$1001,0),1)&gt;=100000,INDEX($AC$1005:$AS$1005,1,MATCH(COLUMNS($AC$1006:AP1006),$AC$1006:$AS$1006,0))&gt;=100000), " ",IF(INDEX($AC$2:$AS$1001,MATCH(ROWS($V$2:V106),$V$2:$V$1001,0),MATCH(COLUMNS($AC$1006:AP1006),$AC$1006:$AS$1006,0)), HYPERLINK("#",""), HYPERLINK(CONCATENATE("#metadata!", ADDRESS(INDEX($X$2:$X$1001,MATCH(ROWS($V$2:V106),$V$2:$V$1001,0),0), INDEX($AC$1004:$AS$1004,1,MATCH(COLUMNS($AC$1006:AP1006),$AC$1006:$AS$1006,0)))),"Fix")))</f>
        <v xml:space="preserve"> </v>
      </c>
      <c r="P106" s="4" t="str">
        <f ca="1">IF(OR(INDEX($W$2:$W$1001,MATCH(ROWS($V$2:V106),$V$2:$V$1001,0),1)&gt;=100000,INDEX($AC$1005:$AS$1005,1,MATCH(COLUMNS($AC$1006:AQ1006),$AC$1006:$AS$1006,0))&gt;=100000), " ",IF(INDEX($AC$2:$AS$1001,MATCH(ROWS($V$2:V106),$V$2:$V$1001,0),MATCH(COLUMNS($AC$1006:AQ1006),$AC$1006:$AS$1006,0)), HYPERLINK("#",""), HYPERLINK(CONCATENATE("#metadata!", ADDRESS(INDEX($X$2:$X$1001,MATCH(ROWS($V$2:V106),$V$2:$V$1001,0),0), INDEX($AC$1004:$AS$1004,1,MATCH(COLUMNS($AC$1006:AQ1006),$AC$1006:$AS$1006,0)))),"Fix")))</f>
        <v xml:space="preserve"> </v>
      </c>
      <c r="Q106" s="4" t="str">
        <f ca="1">IF(OR(INDEX($W$2:$W$1001,MATCH(ROWS($V$2:V106),$V$2:$V$1001,0),1)&gt;=100000,INDEX($AC$1005:$AS$1005,1,MATCH(COLUMNS($AC$1006:AR1006),$AC$1006:$AS$1006,0))&gt;=100000), " ",IF(INDEX($AC$2:$AS$1001,MATCH(ROWS($V$2:V106),$V$2:$V$1001,0),MATCH(COLUMNS($AC$1006:AR1006),$AC$1006:$AS$1006,0)), HYPERLINK("#",""), HYPERLINK(CONCATENATE("#metadata!", ADDRESS(INDEX($X$2:$X$1001,MATCH(ROWS($V$2:V106),$V$2:$V$1001,0),0), INDEX($AC$1004:$AS$1004,1,MATCH(COLUMNS($AC$1006:AR1006),$AC$1006:$AS$1006,0)))),"Fix")))</f>
        <v xml:space="preserve"> </v>
      </c>
      <c r="R106" s="4" t="str">
        <f ca="1">IF(OR(INDEX($W$2:$W$1001,MATCH(ROWS($V$2:V106),$V$2:$V$1001,0),1)&gt;=100000,INDEX($AC$1005:$AS$1005,1,MATCH(COLUMNS($AC$1006:AS1006),$AC$1006:$AS$1006,0))&gt;=100000), " ",IF(INDEX($AC$2:$AS$1001,MATCH(ROWS($V$2:V106),$V$2:$V$1001,0),MATCH(COLUMNS($AC$1006:AS1006),$AC$1006:$AS$1006,0)), HYPERLINK("#",""), HYPERLINK(CONCATENATE("#metadata!", ADDRESS(INDEX($X$2:$X$1001,MATCH(ROWS($V$2:V106),$V$2:$V$1001,0),0), INDEX($AC$1004:$AS$1004,1,MATCH(COLUMNS($AC$1006:AS1006),$AC$1006:$AS$1006,0)))),"Fix")))</f>
        <v xml:space="preserve"> </v>
      </c>
      <c r="V106">
        <v>105</v>
      </c>
      <c r="W106">
        <v>100106</v>
      </c>
      <c r="X106">
        <v>106</v>
      </c>
      <c r="Y106" t="b">
        <f t="shared" si="1"/>
        <v>1</v>
      </c>
      <c r="Z106" t="b">
        <f>COUNTBLANK(metadata!B106:R106)=COLUMNS(metadata!B106:R106)</f>
        <v>1</v>
      </c>
      <c r="AA106" t="str">
        <v/>
      </c>
      <c r="AC106" t="b">
        <f ca="1"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AD106" t="b">
        <f>IF(metadata!C106="",FALSE,ISNUMBER(VALUE(metadata!C106)))</f>
        <v>0</v>
      </c>
      <c r="AE106" t="b">
        <f>AND(IF(metadata!D106="",FALSE,TRUE),EXACT(metadata!D106,"years"))</f>
        <v>0</v>
      </c>
      <c r="AF106" t="b">
        <f>OR(AND(IF(metadata!E106="",FALSE,TRUE),OR(EXACT(metadata!E106,"not applicable"),EXACT(metadata!E106,"missing: not collected"),EXACT(metadata!E106,"missing: not provided"),EXACT(metadata!E106,"missing: restricted access"))),AND(IF(metadata!E106="",FALSE,ISNUMBER(VALUE(metadata!E106))),metadata!E106&gt;0))</f>
        <v>0</v>
      </c>
      <c r="AG106" t="b">
        <f>AND(IF(metadata!F106="",FALSE,TRUE),EXACT(metadata!F106,"Not applicable"))</f>
        <v>0</v>
      </c>
      <c r="AH106" t="b">
        <f>AND(IF(metadata!G106="",FALSE,TRUE),EXACT(metadata!G106,"urban biome"))</f>
        <v>0</v>
      </c>
      <c r="AI106" t="b">
        <f>AND(IF(metadata!H106="",FALSE,TRUE),EXACT(metadata!H106,"human-associated habitat"))</f>
        <v>0</v>
      </c>
      <c r="AJ106" t="b">
        <f>AND(IF(metadata!I106="",FALSE,TRUE),OR(EXACT(metadata!I106,"human-associated"),EXACT(metadata!I106,"human-skin"),EXACT(metadata!I106,"human-oral"),EXACT(metadata!I106,"human-gut"),EXACT(metadata!I106,"human-vaginal")))</f>
        <v>0</v>
      </c>
      <c r="AK106" t="b">
        <f>IF(metadata!J106="",FALSE,ISNUMBER(VALUE(metadata!J106)))</f>
        <v>0</v>
      </c>
      <c r="AL106" t="b">
        <f>AND(IF(metadata!K106="",FALSE,TRUE),EXACT(metadata!K106,"cm"))</f>
        <v>0</v>
      </c>
      <c r="AM106" t="b">
        <f>AND(IF(metadata!L106="",FALSE,TRUE),EXACT(metadata!L106,"human"))</f>
        <v>0</v>
      </c>
      <c r="AN106" t="b">
        <f>AND(IF(metadata!M106="",FALSE,TRUE),EXACT(metadata!M106,"Homo sapiens"))</f>
        <v>0</v>
      </c>
      <c r="AO106" t="b">
        <f>AND(IF(metadata!N106="",FALSE,TRUE),EXACT(metadata!N106,"9606"))</f>
        <v>0</v>
      </c>
      <c r="AP106" t="b">
        <f>IF(metadata!O106="",FALSE,TRUE)</f>
        <v>0</v>
      </c>
      <c r="AQ106" t="b">
        <f>IF(metadata!P106="",FALSE,TRUE)</f>
        <v>0</v>
      </c>
      <c r="AR106" t="b">
        <f>IF(metadata!Q106="",FALSE,ISNUMBER(VALUE(metadata!Q106)))</f>
        <v>0</v>
      </c>
      <c r="AS106" t="b">
        <f>AND(IF(metadata!R106="",FALSE,TRUE),EXACT(metadata!R106,"kg"))</f>
        <v>0</v>
      </c>
    </row>
    <row r="107" spans="1:45" x14ac:dyDescent="0.2">
      <c r="A107" s="5" t="str">
        <f ca="1">IF(B107=" "," ",HYPERLINK(CONCATENATE("#metadata!",ADDRESS(INDEX($X$2:$X$1001,MATCH(ROWS($V$2:V107),$V$2:$V$1001,0),0),1)),INDEX($AA$2:$AA$1001,MATCH(ROWS($V$2:V107),$V$2:$V$1001,0),0)))</f>
        <v xml:space="preserve"> </v>
      </c>
      <c r="B107" s="4" t="str">
        <f ca="1">IF(OR(INDEX($W$2:$W$1001,MATCH(ROWS($V$2:V107),$V$2:$V$1001,0),1)&gt;=100000,INDEX($AC$1005:$AS$1005,1,MATCH(COLUMNS($AC$1006:AC1006),$AC$1006:$AS$1006,0))&gt;=100000), " ",IF(INDEX($AC$2:$AS$1001,MATCH(ROWS($V$2:V107),$V$2:$V$1001,0),MATCH(COLUMNS($AC$1006:AC1006),$AC$1006:$AS$1006,0)), HYPERLINK("#",""), HYPERLINK(CONCATENATE("#metadata!", ADDRESS(INDEX($X$2:$X$1001,MATCH(ROWS($V$2:V107),$V$2:$V$1001,0),0), INDEX($AC$1004:$AS$1004,1,MATCH(COLUMNS($AC$1006:AC1006),$AC$1006:$AS$1006,0)))),"Fix")))</f>
        <v xml:space="preserve"> </v>
      </c>
      <c r="C107" s="4" t="str">
        <f ca="1">IF(OR(INDEX($W$2:$W$1001,MATCH(ROWS($V$2:V107),$V$2:$V$1001,0),1)&gt;=100000,INDEX($AC$1005:$AS$1005,1,MATCH(COLUMNS($AC$1006:AD1006),$AC$1006:$AS$1006,0))&gt;=100000), " ",IF(INDEX($AC$2:$AS$1001,MATCH(ROWS($V$2:V107),$V$2:$V$1001,0),MATCH(COLUMNS($AC$1006:AD1006),$AC$1006:$AS$1006,0)), HYPERLINK("#",""), HYPERLINK(CONCATENATE("#metadata!", ADDRESS(INDEX($X$2:$X$1001,MATCH(ROWS($V$2:V107),$V$2:$V$1001,0),0), INDEX($AC$1004:$AS$1004,1,MATCH(COLUMNS($AC$1006:AD1006),$AC$1006:$AS$1006,0)))),"Fix")))</f>
        <v xml:space="preserve"> </v>
      </c>
      <c r="D107" s="4" t="str">
        <f ca="1">IF(OR(INDEX($W$2:$W$1001,MATCH(ROWS($V$2:V107),$V$2:$V$1001,0),1)&gt;=100000,INDEX($AC$1005:$AS$1005,1,MATCH(COLUMNS($AC$1006:AE1006),$AC$1006:$AS$1006,0))&gt;=100000), " ",IF(INDEX($AC$2:$AS$1001,MATCH(ROWS($V$2:V107),$V$2:$V$1001,0),MATCH(COLUMNS($AC$1006:AE1006),$AC$1006:$AS$1006,0)), HYPERLINK("#",""), HYPERLINK(CONCATENATE("#metadata!", ADDRESS(INDEX($X$2:$X$1001,MATCH(ROWS($V$2:V107),$V$2:$V$1001,0),0), INDEX($AC$1004:$AS$1004,1,MATCH(COLUMNS($AC$1006:AE1006),$AC$1006:$AS$1006,0)))),"Fix")))</f>
        <v xml:space="preserve"> </v>
      </c>
      <c r="E107" s="4" t="str">
        <f ca="1">IF(OR(INDEX($W$2:$W$1001,MATCH(ROWS($V$2:V107),$V$2:$V$1001,0),1)&gt;=100000,INDEX($AC$1005:$AS$1005,1,MATCH(COLUMNS($AC$1006:AF1006),$AC$1006:$AS$1006,0))&gt;=100000), " ",IF(INDEX($AC$2:$AS$1001,MATCH(ROWS($V$2:V107),$V$2:$V$1001,0),MATCH(COLUMNS($AC$1006:AF1006),$AC$1006:$AS$1006,0)), HYPERLINK("#",""), HYPERLINK(CONCATENATE("#metadata!", ADDRESS(INDEX($X$2:$X$1001,MATCH(ROWS($V$2:V107),$V$2:$V$1001,0),0), INDEX($AC$1004:$AS$1004,1,MATCH(COLUMNS($AC$1006:AF1006),$AC$1006:$AS$1006,0)))),"Fix")))</f>
        <v xml:space="preserve"> </v>
      </c>
      <c r="F107" s="4" t="str">
        <f ca="1">IF(OR(INDEX($W$2:$W$1001,MATCH(ROWS($V$2:V107),$V$2:$V$1001,0),1)&gt;=100000,INDEX($AC$1005:$AS$1005,1,MATCH(COLUMNS($AC$1006:AG1006),$AC$1006:$AS$1006,0))&gt;=100000), " ",IF(INDEX($AC$2:$AS$1001,MATCH(ROWS($V$2:V107),$V$2:$V$1001,0),MATCH(COLUMNS($AC$1006:AG1006),$AC$1006:$AS$1006,0)), HYPERLINK("#",""), HYPERLINK(CONCATENATE("#metadata!", ADDRESS(INDEX($X$2:$X$1001,MATCH(ROWS($V$2:V107),$V$2:$V$1001,0),0), INDEX($AC$1004:$AS$1004,1,MATCH(COLUMNS($AC$1006:AG1006),$AC$1006:$AS$1006,0)))),"Fix")))</f>
        <v xml:space="preserve"> </v>
      </c>
      <c r="G107" s="4" t="str">
        <f ca="1">IF(OR(INDEX($W$2:$W$1001,MATCH(ROWS($V$2:V107),$V$2:$V$1001,0),1)&gt;=100000,INDEX($AC$1005:$AS$1005,1,MATCH(COLUMNS($AC$1006:AH1006),$AC$1006:$AS$1006,0))&gt;=100000), " ",IF(INDEX($AC$2:$AS$1001,MATCH(ROWS($V$2:V107),$V$2:$V$1001,0),MATCH(COLUMNS($AC$1006:AH1006),$AC$1006:$AS$1006,0)), HYPERLINK("#",""), HYPERLINK(CONCATENATE("#metadata!", ADDRESS(INDEX($X$2:$X$1001,MATCH(ROWS($V$2:V107),$V$2:$V$1001,0),0), INDEX($AC$1004:$AS$1004,1,MATCH(COLUMNS($AC$1006:AH1006),$AC$1006:$AS$1006,0)))),"Fix")))</f>
        <v xml:space="preserve"> </v>
      </c>
      <c r="H107" s="4" t="str">
        <f ca="1">IF(OR(INDEX($W$2:$W$1001,MATCH(ROWS($V$2:V107),$V$2:$V$1001,0),1)&gt;=100000,INDEX($AC$1005:$AS$1005,1,MATCH(COLUMNS($AC$1006:AI1006),$AC$1006:$AS$1006,0))&gt;=100000), " ",IF(INDEX($AC$2:$AS$1001,MATCH(ROWS($V$2:V107),$V$2:$V$1001,0),MATCH(COLUMNS($AC$1006:AI1006),$AC$1006:$AS$1006,0)), HYPERLINK("#",""), HYPERLINK(CONCATENATE("#metadata!", ADDRESS(INDEX($X$2:$X$1001,MATCH(ROWS($V$2:V107),$V$2:$V$1001,0),0), INDEX($AC$1004:$AS$1004,1,MATCH(COLUMNS($AC$1006:AI1006),$AC$1006:$AS$1006,0)))),"Fix")))</f>
        <v xml:space="preserve"> </v>
      </c>
      <c r="I107" s="4" t="str">
        <f ca="1">IF(OR(INDEX($W$2:$W$1001,MATCH(ROWS($V$2:V107),$V$2:$V$1001,0),1)&gt;=100000,INDEX($AC$1005:$AS$1005,1,MATCH(COLUMNS($AC$1006:AJ1006),$AC$1006:$AS$1006,0))&gt;=100000), " ",IF(INDEX($AC$2:$AS$1001,MATCH(ROWS($V$2:V107),$V$2:$V$1001,0),MATCH(COLUMNS($AC$1006:AJ1006),$AC$1006:$AS$1006,0)), HYPERLINK("#",""), HYPERLINK(CONCATENATE("#metadata!", ADDRESS(INDEX($X$2:$X$1001,MATCH(ROWS($V$2:V107),$V$2:$V$1001,0),0), INDEX($AC$1004:$AS$1004,1,MATCH(COLUMNS($AC$1006:AJ1006),$AC$1006:$AS$1006,0)))),"Fix")))</f>
        <v xml:space="preserve"> </v>
      </c>
      <c r="J107" s="4" t="str">
        <f ca="1">IF(OR(INDEX($W$2:$W$1001,MATCH(ROWS($V$2:V107),$V$2:$V$1001,0),1)&gt;=100000,INDEX($AC$1005:$AS$1005,1,MATCH(COLUMNS($AC$1006:AK1006),$AC$1006:$AS$1006,0))&gt;=100000), " ",IF(INDEX($AC$2:$AS$1001,MATCH(ROWS($V$2:V107),$V$2:$V$1001,0),MATCH(COLUMNS($AC$1006:AK1006),$AC$1006:$AS$1006,0)), HYPERLINK("#",""), HYPERLINK(CONCATENATE("#metadata!", ADDRESS(INDEX($X$2:$X$1001,MATCH(ROWS($V$2:V107),$V$2:$V$1001,0),0), INDEX($AC$1004:$AS$1004,1,MATCH(COLUMNS($AC$1006:AK1006),$AC$1006:$AS$1006,0)))),"Fix")))</f>
        <v xml:space="preserve"> </v>
      </c>
      <c r="K107" s="4" t="str">
        <f ca="1">IF(OR(INDEX($W$2:$W$1001,MATCH(ROWS($V$2:V107),$V$2:$V$1001,0),1)&gt;=100000,INDEX($AC$1005:$AS$1005,1,MATCH(COLUMNS($AC$1006:AL1006),$AC$1006:$AS$1006,0))&gt;=100000), " ",IF(INDEX($AC$2:$AS$1001,MATCH(ROWS($V$2:V107),$V$2:$V$1001,0),MATCH(COLUMNS($AC$1006:AL1006),$AC$1006:$AS$1006,0)), HYPERLINK("#",""), HYPERLINK(CONCATENATE("#metadata!", ADDRESS(INDEX($X$2:$X$1001,MATCH(ROWS($V$2:V107),$V$2:$V$1001,0),0), INDEX($AC$1004:$AS$1004,1,MATCH(COLUMNS($AC$1006:AL1006),$AC$1006:$AS$1006,0)))),"Fix")))</f>
        <v xml:space="preserve"> </v>
      </c>
      <c r="L107" s="4" t="str">
        <f ca="1">IF(OR(INDEX($W$2:$W$1001,MATCH(ROWS($V$2:V107),$V$2:$V$1001,0),1)&gt;=100000,INDEX($AC$1005:$AS$1005,1,MATCH(COLUMNS($AC$1006:AM1006),$AC$1006:$AS$1006,0))&gt;=100000), " ",IF(INDEX($AC$2:$AS$1001,MATCH(ROWS($V$2:V107),$V$2:$V$1001,0),MATCH(COLUMNS($AC$1006:AM1006),$AC$1006:$AS$1006,0)), HYPERLINK("#",""), HYPERLINK(CONCATENATE("#metadata!", ADDRESS(INDEX($X$2:$X$1001,MATCH(ROWS($V$2:V107),$V$2:$V$1001,0),0), INDEX($AC$1004:$AS$1004,1,MATCH(COLUMNS($AC$1006:AM1006),$AC$1006:$AS$1006,0)))),"Fix")))</f>
        <v xml:space="preserve"> </v>
      </c>
      <c r="M107" s="4" t="str">
        <f ca="1">IF(OR(INDEX($W$2:$W$1001,MATCH(ROWS($V$2:V107),$V$2:$V$1001,0),1)&gt;=100000,INDEX($AC$1005:$AS$1005,1,MATCH(COLUMNS($AC$1006:AN1006),$AC$1006:$AS$1006,0))&gt;=100000), " ",IF(INDEX($AC$2:$AS$1001,MATCH(ROWS($V$2:V107),$V$2:$V$1001,0),MATCH(COLUMNS($AC$1006:AN1006),$AC$1006:$AS$1006,0)), HYPERLINK("#",""), HYPERLINK(CONCATENATE("#metadata!", ADDRESS(INDEX($X$2:$X$1001,MATCH(ROWS($V$2:V107),$V$2:$V$1001,0),0), INDEX($AC$1004:$AS$1004,1,MATCH(COLUMNS($AC$1006:AN1006),$AC$1006:$AS$1006,0)))),"Fix")))</f>
        <v xml:space="preserve"> </v>
      </c>
      <c r="N107" s="4" t="str">
        <f ca="1">IF(OR(INDEX($W$2:$W$1001,MATCH(ROWS($V$2:V107),$V$2:$V$1001,0),1)&gt;=100000,INDEX($AC$1005:$AS$1005,1,MATCH(COLUMNS($AC$1006:AO1006),$AC$1006:$AS$1006,0))&gt;=100000), " ",IF(INDEX($AC$2:$AS$1001,MATCH(ROWS($V$2:V107),$V$2:$V$1001,0),MATCH(COLUMNS($AC$1006:AO1006),$AC$1006:$AS$1006,0)), HYPERLINK("#",""), HYPERLINK(CONCATENATE("#metadata!", ADDRESS(INDEX($X$2:$X$1001,MATCH(ROWS($V$2:V107),$V$2:$V$1001,0),0), INDEX($AC$1004:$AS$1004,1,MATCH(COLUMNS($AC$1006:AO1006),$AC$1006:$AS$1006,0)))),"Fix")))</f>
        <v xml:space="preserve"> </v>
      </c>
      <c r="O107" s="4" t="str">
        <f ca="1">IF(OR(INDEX($W$2:$W$1001,MATCH(ROWS($V$2:V107),$V$2:$V$1001,0),1)&gt;=100000,INDEX($AC$1005:$AS$1005,1,MATCH(COLUMNS($AC$1006:AP1006),$AC$1006:$AS$1006,0))&gt;=100000), " ",IF(INDEX($AC$2:$AS$1001,MATCH(ROWS($V$2:V107),$V$2:$V$1001,0),MATCH(COLUMNS($AC$1006:AP1006),$AC$1006:$AS$1006,0)), HYPERLINK("#",""), HYPERLINK(CONCATENATE("#metadata!", ADDRESS(INDEX($X$2:$X$1001,MATCH(ROWS($V$2:V107),$V$2:$V$1001,0),0), INDEX($AC$1004:$AS$1004,1,MATCH(COLUMNS($AC$1006:AP1006),$AC$1006:$AS$1006,0)))),"Fix")))</f>
        <v xml:space="preserve"> </v>
      </c>
      <c r="P107" s="4" t="str">
        <f ca="1">IF(OR(INDEX($W$2:$W$1001,MATCH(ROWS($V$2:V107),$V$2:$V$1001,0),1)&gt;=100000,INDEX($AC$1005:$AS$1005,1,MATCH(COLUMNS($AC$1006:AQ1006),$AC$1006:$AS$1006,0))&gt;=100000), " ",IF(INDEX($AC$2:$AS$1001,MATCH(ROWS($V$2:V107),$V$2:$V$1001,0),MATCH(COLUMNS($AC$1006:AQ1006),$AC$1006:$AS$1006,0)), HYPERLINK("#",""), HYPERLINK(CONCATENATE("#metadata!", ADDRESS(INDEX($X$2:$X$1001,MATCH(ROWS($V$2:V107),$V$2:$V$1001,0),0), INDEX($AC$1004:$AS$1004,1,MATCH(COLUMNS($AC$1006:AQ1006),$AC$1006:$AS$1006,0)))),"Fix")))</f>
        <v xml:space="preserve"> </v>
      </c>
      <c r="Q107" s="4" t="str">
        <f ca="1">IF(OR(INDEX($W$2:$W$1001,MATCH(ROWS($V$2:V107),$V$2:$V$1001,0),1)&gt;=100000,INDEX($AC$1005:$AS$1005,1,MATCH(COLUMNS($AC$1006:AR1006),$AC$1006:$AS$1006,0))&gt;=100000), " ",IF(INDEX($AC$2:$AS$1001,MATCH(ROWS($V$2:V107),$V$2:$V$1001,0),MATCH(COLUMNS($AC$1006:AR1006),$AC$1006:$AS$1006,0)), HYPERLINK("#",""), HYPERLINK(CONCATENATE("#metadata!", ADDRESS(INDEX($X$2:$X$1001,MATCH(ROWS($V$2:V107),$V$2:$V$1001,0),0), INDEX($AC$1004:$AS$1004,1,MATCH(COLUMNS($AC$1006:AR1006),$AC$1006:$AS$1006,0)))),"Fix")))</f>
        <v xml:space="preserve"> </v>
      </c>
      <c r="R107" s="4" t="str">
        <f ca="1">IF(OR(INDEX($W$2:$W$1001,MATCH(ROWS($V$2:V107),$V$2:$V$1001,0),1)&gt;=100000,INDEX($AC$1005:$AS$1005,1,MATCH(COLUMNS($AC$1006:AS1006),$AC$1006:$AS$1006,0))&gt;=100000), " ",IF(INDEX($AC$2:$AS$1001,MATCH(ROWS($V$2:V107),$V$2:$V$1001,0),MATCH(COLUMNS($AC$1006:AS1006),$AC$1006:$AS$1006,0)), HYPERLINK("#",""), HYPERLINK(CONCATENATE("#metadata!", ADDRESS(INDEX($X$2:$X$1001,MATCH(ROWS($V$2:V107),$V$2:$V$1001,0),0), INDEX($AC$1004:$AS$1004,1,MATCH(COLUMNS($AC$1006:AS1006),$AC$1006:$AS$1006,0)))),"Fix")))</f>
        <v xml:space="preserve"> </v>
      </c>
      <c r="V107">
        <v>106</v>
      </c>
      <c r="W107">
        <v>100107</v>
      </c>
      <c r="X107">
        <v>107</v>
      </c>
      <c r="Y107" t="b">
        <f t="shared" si="1"/>
        <v>1</v>
      </c>
      <c r="Z107" t="b">
        <f>COUNTBLANK(metadata!B107:R107)=COLUMNS(metadata!B107:R107)</f>
        <v>1</v>
      </c>
      <c r="AA107" t="str">
        <v/>
      </c>
      <c r="AC107" t="b">
        <f ca="1"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AD107" t="b">
        <f>IF(metadata!C107="",FALSE,ISNUMBER(VALUE(metadata!C107)))</f>
        <v>0</v>
      </c>
      <c r="AE107" t="b">
        <f>AND(IF(metadata!D107="",FALSE,TRUE),EXACT(metadata!D107,"years"))</f>
        <v>0</v>
      </c>
      <c r="AF107" t="b">
        <f>OR(AND(IF(metadata!E107="",FALSE,TRUE),OR(EXACT(metadata!E107,"not applicable"),EXACT(metadata!E107,"missing: not collected"),EXACT(metadata!E107,"missing: not provided"),EXACT(metadata!E107,"missing: restricted access"))),AND(IF(metadata!E107="",FALSE,ISNUMBER(VALUE(metadata!E107))),metadata!E107&gt;0))</f>
        <v>0</v>
      </c>
      <c r="AG107" t="b">
        <f>AND(IF(metadata!F107="",FALSE,TRUE),EXACT(metadata!F107,"Not applicable"))</f>
        <v>0</v>
      </c>
      <c r="AH107" t="b">
        <f>AND(IF(metadata!G107="",FALSE,TRUE),EXACT(metadata!G107,"urban biome"))</f>
        <v>0</v>
      </c>
      <c r="AI107" t="b">
        <f>AND(IF(metadata!H107="",FALSE,TRUE),EXACT(metadata!H107,"human-associated habitat"))</f>
        <v>0</v>
      </c>
      <c r="AJ107" t="b">
        <f>AND(IF(metadata!I107="",FALSE,TRUE),OR(EXACT(metadata!I107,"human-associated"),EXACT(metadata!I107,"human-skin"),EXACT(metadata!I107,"human-oral"),EXACT(metadata!I107,"human-gut"),EXACT(metadata!I107,"human-vaginal")))</f>
        <v>0</v>
      </c>
      <c r="AK107" t="b">
        <f>IF(metadata!J107="",FALSE,ISNUMBER(VALUE(metadata!J107)))</f>
        <v>0</v>
      </c>
      <c r="AL107" t="b">
        <f>AND(IF(metadata!K107="",FALSE,TRUE),EXACT(metadata!K107,"cm"))</f>
        <v>0</v>
      </c>
      <c r="AM107" t="b">
        <f>AND(IF(metadata!L107="",FALSE,TRUE),EXACT(metadata!L107,"human"))</f>
        <v>0</v>
      </c>
      <c r="AN107" t="b">
        <f>AND(IF(metadata!M107="",FALSE,TRUE),EXACT(metadata!M107,"Homo sapiens"))</f>
        <v>0</v>
      </c>
      <c r="AO107" t="b">
        <f>AND(IF(metadata!N107="",FALSE,TRUE),EXACT(metadata!N107,"9606"))</f>
        <v>0</v>
      </c>
      <c r="AP107" t="b">
        <f>IF(metadata!O107="",FALSE,TRUE)</f>
        <v>0</v>
      </c>
      <c r="AQ107" t="b">
        <f>IF(metadata!P107="",FALSE,TRUE)</f>
        <v>0</v>
      </c>
      <c r="AR107" t="b">
        <f>IF(metadata!Q107="",FALSE,ISNUMBER(VALUE(metadata!Q107)))</f>
        <v>0</v>
      </c>
      <c r="AS107" t="b">
        <f>AND(IF(metadata!R107="",FALSE,TRUE),EXACT(metadata!R107,"kg"))</f>
        <v>0</v>
      </c>
    </row>
    <row r="108" spans="1:45" x14ac:dyDescent="0.2">
      <c r="A108" s="5" t="str">
        <f ca="1">IF(B108=" "," ",HYPERLINK(CONCATENATE("#metadata!",ADDRESS(INDEX($X$2:$X$1001,MATCH(ROWS($V$2:V108),$V$2:$V$1001,0),0),1)),INDEX($AA$2:$AA$1001,MATCH(ROWS($V$2:V108),$V$2:$V$1001,0),0)))</f>
        <v xml:space="preserve"> </v>
      </c>
      <c r="B108" s="4" t="str">
        <f ca="1">IF(OR(INDEX($W$2:$W$1001,MATCH(ROWS($V$2:V108),$V$2:$V$1001,0),1)&gt;=100000,INDEX($AC$1005:$AS$1005,1,MATCH(COLUMNS($AC$1006:AC1006),$AC$1006:$AS$1006,0))&gt;=100000), " ",IF(INDEX($AC$2:$AS$1001,MATCH(ROWS($V$2:V108),$V$2:$V$1001,0),MATCH(COLUMNS($AC$1006:AC1006),$AC$1006:$AS$1006,0)), HYPERLINK("#",""), HYPERLINK(CONCATENATE("#metadata!", ADDRESS(INDEX($X$2:$X$1001,MATCH(ROWS($V$2:V108),$V$2:$V$1001,0),0), INDEX($AC$1004:$AS$1004,1,MATCH(COLUMNS($AC$1006:AC1006),$AC$1006:$AS$1006,0)))),"Fix")))</f>
        <v xml:space="preserve"> </v>
      </c>
      <c r="C108" s="4" t="str">
        <f ca="1">IF(OR(INDEX($W$2:$W$1001,MATCH(ROWS($V$2:V108),$V$2:$V$1001,0),1)&gt;=100000,INDEX($AC$1005:$AS$1005,1,MATCH(COLUMNS($AC$1006:AD1006),$AC$1006:$AS$1006,0))&gt;=100000), " ",IF(INDEX($AC$2:$AS$1001,MATCH(ROWS($V$2:V108),$V$2:$V$1001,0),MATCH(COLUMNS($AC$1006:AD1006),$AC$1006:$AS$1006,0)), HYPERLINK("#",""), HYPERLINK(CONCATENATE("#metadata!", ADDRESS(INDEX($X$2:$X$1001,MATCH(ROWS($V$2:V108),$V$2:$V$1001,0),0), INDEX($AC$1004:$AS$1004,1,MATCH(COLUMNS($AC$1006:AD1006),$AC$1006:$AS$1006,0)))),"Fix")))</f>
        <v xml:space="preserve"> </v>
      </c>
      <c r="D108" s="4" t="str">
        <f ca="1">IF(OR(INDEX($W$2:$W$1001,MATCH(ROWS($V$2:V108),$V$2:$V$1001,0),1)&gt;=100000,INDEX($AC$1005:$AS$1005,1,MATCH(COLUMNS($AC$1006:AE1006),$AC$1006:$AS$1006,0))&gt;=100000), " ",IF(INDEX($AC$2:$AS$1001,MATCH(ROWS($V$2:V108),$V$2:$V$1001,0),MATCH(COLUMNS($AC$1006:AE1006),$AC$1006:$AS$1006,0)), HYPERLINK("#",""), HYPERLINK(CONCATENATE("#metadata!", ADDRESS(INDEX($X$2:$X$1001,MATCH(ROWS($V$2:V108),$V$2:$V$1001,0),0), INDEX($AC$1004:$AS$1004,1,MATCH(COLUMNS($AC$1006:AE1006),$AC$1006:$AS$1006,0)))),"Fix")))</f>
        <v xml:space="preserve"> </v>
      </c>
      <c r="E108" s="4" t="str">
        <f ca="1">IF(OR(INDEX($W$2:$W$1001,MATCH(ROWS($V$2:V108),$V$2:$V$1001,0),1)&gt;=100000,INDEX($AC$1005:$AS$1005,1,MATCH(COLUMNS($AC$1006:AF1006),$AC$1006:$AS$1006,0))&gt;=100000), " ",IF(INDEX($AC$2:$AS$1001,MATCH(ROWS($V$2:V108),$V$2:$V$1001,0),MATCH(COLUMNS($AC$1006:AF1006),$AC$1006:$AS$1006,0)), HYPERLINK("#",""), HYPERLINK(CONCATENATE("#metadata!", ADDRESS(INDEX($X$2:$X$1001,MATCH(ROWS($V$2:V108),$V$2:$V$1001,0),0), INDEX($AC$1004:$AS$1004,1,MATCH(COLUMNS($AC$1006:AF1006),$AC$1006:$AS$1006,0)))),"Fix")))</f>
        <v xml:space="preserve"> </v>
      </c>
      <c r="F108" s="4" t="str">
        <f ca="1">IF(OR(INDEX($W$2:$W$1001,MATCH(ROWS($V$2:V108),$V$2:$V$1001,0),1)&gt;=100000,INDEX($AC$1005:$AS$1005,1,MATCH(COLUMNS($AC$1006:AG1006),$AC$1006:$AS$1006,0))&gt;=100000), " ",IF(INDEX($AC$2:$AS$1001,MATCH(ROWS($V$2:V108),$V$2:$V$1001,0),MATCH(COLUMNS($AC$1006:AG1006),$AC$1006:$AS$1006,0)), HYPERLINK("#",""), HYPERLINK(CONCATENATE("#metadata!", ADDRESS(INDEX($X$2:$X$1001,MATCH(ROWS($V$2:V108),$V$2:$V$1001,0),0), INDEX($AC$1004:$AS$1004,1,MATCH(COLUMNS($AC$1006:AG1006),$AC$1006:$AS$1006,0)))),"Fix")))</f>
        <v xml:space="preserve"> </v>
      </c>
      <c r="G108" s="4" t="str">
        <f ca="1">IF(OR(INDEX($W$2:$W$1001,MATCH(ROWS($V$2:V108),$V$2:$V$1001,0),1)&gt;=100000,INDEX($AC$1005:$AS$1005,1,MATCH(COLUMNS($AC$1006:AH1006),$AC$1006:$AS$1006,0))&gt;=100000), " ",IF(INDEX($AC$2:$AS$1001,MATCH(ROWS($V$2:V108),$V$2:$V$1001,0),MATCH(COLUMNS($AC$1006:AH1006),$AC$1006:$AS$1006,0)), HYPERLINK("#",""), HYPERLINK(CONCATENATE("#metadata!", ADDRESS(INDEX($X$2:$X$1001,MATCH(ROWS($V$2:V108),$V$2:$V$1001,0),0), INDEX($AC$1004:$AS$1004,1,MATCH(COLUMNS($AC$1006:AH1006),$AC$1006:$AS$1006,0)))),"Fix")))</f>
        <v xml:space="preserve"> </v>
      </c>
      <c r="H108" s="4" t="str">
        <f ca="1">IF(OR(INDEX($W$2:$W$1001,MATCH(ROWS($V$2:V108),$V$2:$V$1001,0),1)&gt;=100000,INDEX($AC$1005:$AS$1005,1,MATCH(COLUMNS($AC$1006:AI1006),$AC$1006:$AS$1006,0))&gt;=100000), " ",IF(INDEX($AC$2:$AS$1001,MATCH(ROWS($V$2:V108),$V$2:$V$1001,0),MATCH(COLUMNS($AC$1006:AI1006),$AC$1006:$AS$1006,0)), HYPERLINK("#",""), HYPERLINK(CONCATENATE("#metadata!", ADDRESS(INDEX($X$2:$X$1001,MATCH(ROWS($V$2:V108),$V$2:$V$1001,0),0), INDEX($AC$1004:$AS$1004,1,MATCH(COLUMNS($AC$1006:AI1006),$AC$1006:$AS$1006,0)))),"Fix")))</f>
        <v xml:space="preserve"> </v>
      </c>
      <c r="I108" s="4" t="str">
        <f ca="1">IF(OR(INDEX($W$2:$W$1001,MATCH(ROWS($V$2:V108),$V$2:$V$1001,0),1)&gt;=100000,INDEX($AC$1005:$AS$1005,1,MATCH(COLUMNS($AC$1006:AJ1006),$AC$1006:$AS$1006,0))&gt;=100000), " ",IF(INDEX($AC$2:$AS$1001,MATCH(ROWS($V$2:V108),$V$2:$V$1001,0),MATCH(COLUMNS($AC$1006:AJ1006),$AC$1006:$AS$1006,0)), HYPERLINK("#",""), HYPERLINK(CONCATENATE("#metadata!", ADDRESS(INDEX($X$2:$X$1001,MATCH(ROWS($V$2:V108),$V$2:$V$1001,0),0), INDEX($AC$1004:$AS$1004,1,MATCH(COLUMNS($AC$1006:AJ1006),$AC$1006:$AS$1006,0)))),"Fix")))</f>
        <v xml:space="preserve"> </v>
      </c>
      <c r="J108" s="4" t="str">
        <f ca="1">IF(OR(INDEX($W$2:$W$1001,MATCH(ROWS($V$2:V108),$V$2:$V$1001,0),1)&gt;=100000,INDEX($AC$1005:$AS$1005,1,MATCH(COLUMNS($AC$1006:AK1006),$AC$1006:$AS$1006,0))&gt;=100000), " ",IF(INDEX($AC$2:$AS$1001,MATCH(ROWS($V$2:V108),$V$2:$V$1001,0),MATCH(COLUMNS($AC$1006:AK1006),$AC$1006:$AS$1006,0)), HYPERLINK("#",""), HYPERLINK(CONCATENATE("#metadata!", ADDRESS(INDEX($X$2:$X$1001,MATCH(ROWS($V$2:V108),$V$2:$V$1001,0),0), INDEX($AC$1004:$AS$1004,1,MATCH(COLUMNS($AC$1006:AK1006),$AC$1006:$AS$1006,0)))),"Fix")))</f>
        <v xml:space="preserve"> </v>
      </c>
      <c r="K108" s="4" t="str">
        <f ca="1">IF(OR(INDEX($W$2:$W$1001,MATCH(ROWS($V$2:V108),$V$2:$V$1001,0),1)&gt;=100000,INDEX($AC$1005:$AS$1005,1,MATCH(COLUMNS($AC$1006:AL1006),$AC$1006:$AS$1006,0))&gt;=100000), " ",IF(INDEX($AC$2:$AS$1001,MATCH(ROWS($V$2:V108),$V$2:$V$1001,0),MATCH(COLUMNS($AC$1006:AL1006),$AC$1006:$AS$1006,0)), HYPERLINK("#",""), HYPERLINK(CONCATENATE("#metadata!", ADDRESS(INDEX($X$2:$X$1001,MATCH(ROWS($V$2:V108),$V$2:$V$1001,0),0), INDEX($AC$1004:$AS$1004,1,MATCH(COLUMNS($AC$1006:AL1006),$AC$1006:$AS$1006,0)))),"Fix")))</f>
        <v xml:space="preserve"> </v>
      </c>
      <c r="L108" s="4" t="str">
        <f ca="1">IF(OR(INDEX($W$2:$W$1001,MATCH(ROWS($V$2:V108),$V$2:$V$1001,0),1)&gt;=100000,INDEX($AC$1005:$AS$1005,1,MATCH(COLUMNS($AC$1006:AM1006),$AC$1006:$AS$1006,0))&gt;=100000), " ",IF(INDEX($AC$2:$AS$1001,MATCH(ROWS($V$2:V108),$V$2:$V$1001,0),MATCH(COLUMNS($AC$1006:AM1006),$AC$1006:$AS$1006,0)), HYPERLINK("#",""), HYPERLINK(CONCATENATE("#metadata!", ADDRESS(INDEX($X$2:$X$1001,MATCH(ROWS($V$2:V108),$V$2:$V$1001,0),0), INDEX($AC$1004:$AS$1004,1,MATCH(COLUMNS($AC$1006:AM1006),$AC$1006:$AS$1006,0)))),"Fix")))</f>
        <v xml:space="preserve"> </v>
      </c>
      <c r="M108" s="4" t="str">
        <f ca="1">IF(OR(INDEX($W$2:$W$1001,MATCH(ROWS($V$2:V108),$V$2:$V$1001,0),1)&gt;=100000,INDEX($AC$1005:$AS$1005,1,MATCH(COLUMNS($AC$1006:AN1006),$AC$1006:$AS$1006,0))&gt;=100000), " ",IF(INDEX($AC$2:$AS$1001,MATCH(ROWS($V$2:V108),$V$2:$V$1001,0),MATCH(COLUMNS($AC$1006:AN1006),$AC$1006:$AS$1006,0)), HYPERLINK("#",""), HYPERLINK(CONCATENATE("#metadata!", ADDRESS(INDEX($X$2:$X$1001,MATCH(ROWS($V$2:V108),$V$2:$V$1001,0),0), INDEX($AC$1004:$AS$1004,1,MATCH(COLUMNS($AC$1006:AN1006),$AC$1006:$AS$1006,0)))),"Fix")))</f>
        <v xml:space="preserve"> </v>
      </c>
      <c r="N108" s="4" t="str">
        <f ca="1">IF(OR(INDEX($W$2:$W$1001,MATCH(ROWS($V$2:V108),$V$2:$V$1001,0),1)&gt;=100000,INDEX($AC$1005:$AS$1005,1,MATCH(COLUMNS($AC$1006:AO1006),$AC$1006:$AS$1006,0))&gt;=100000), " ",IF(INDEX($AC$2:$AS$1001,MATCH(ROWS($V$2:V108),$V$2:$V$1001,0),MATCH(COLUMNS($AC$1006:AO1006),$AC$1006:$AS$1006,0)), HYPERLINK("#",""), HYPERLINK(CONCATENATE("#metadata!", ADDRESS(INDEX($X$2:$X$1001,MATCH(ROWS($V$2:V108),$V$2:$V$1001,0),0), INDEX($AC$1004:$AS$1004,1,MATCH(COLUMNS($AC$1006:AO1006),$AC$1006:$AS$1006,0)))),"Fix")))</f>
        <v xml:space="preserve"> </v>
      </c>
      <c r="O108" s="4" t="str">
        <f ca="1">IF(OR(INDEX($W$2:$W$1001,MATCH(ROWS($V$2:V108),$V$2:$V$1001,0),1)&gt;=100000,INDEX($AC$1005:$AS$1005,1,MATCH(COLUMNS($AC$1006:AP1006),$AC$1006:$AS$1006,0))&gt;=100000), " ",IF(INDEX($AC$2:$AS$1001,MATCH(ROWS($V$2:V108),$V$2:$V$1001,0),MATCH(COLUMNS($AC$1006:AP1006),$AC$1006:$AS$1006,0)), HYPERLINK("#",""), HYPERLINK(CONCATENATE("#metadata!", ADDRESS(INDEX($X$2:$X$1001,MATCH(ROWS($V$2:V108),$V$2:$V$1001,0),0), INDEX($AC$1004:$AS$1004,1,MATCH(COLUMNS($AC$1006:AP1006),$AC$1006:$AS$1006,0)))),"Fix")))</f>
        <v xml:space="preserve"> </v>
      </c>
      <c r="P108" s="4" t="str">
        <f ca="1">IF(OR(INDEX($W$2:$W$1001,MATCH(ROWS($V$2:V108),$V$2:$V$1001,0),1)&gt;=100000,INDEX($AC$1005:$AS$1005,1,MATCH(COLUMNS($AC$1006:AQ1006),$AC$1006:$AS$1006,0))&gt;=100000), " ",IF(INDEX($AC$2:$AS$1001,MATCH(ROWS($V$2:V108),$V$2:$V$1001,0),MATCH(COLUMNS($AC$1006:AQ1006),$AC$1006:$AS$1006,0)), HYPERLINK("#",""), HYPERLINK(CONCATENATE("#metadata!", ADDRESS(INDEX($X$2:$X$1001,MATCH(ROWS($V$2:V108),$V$2:$V$1001,0),0), INDEX($AC$1004:$AS$1004,1,MATCH(COLUMNS($AC$1006:AQ1006),$AC$1006:$AS$1006,0)))),"Fix")))</f>
        <v xml:space="preserve"> </v>
      </c>
      <c r="Q108" s="4" t="str">
        <f ca="1">IF(OR(INDEX($W$2:$W$1001,MATCH(ROWS($V$2:V108),$V$2:$V$1001,0),1)&gt;=100000,INDEX($AC$1005:$AS$1005,1,MATCH(COLUMNS($AC$1006:AR1006),$AC$1006:$AS$1006,0))&gt;=100000), " ",IF(INDEX($AC$2:$AS$1001,MATCH(ROWS($V$2:V108),$V$2:$V$1001,0),MATCH(COLUMNS($AC$1006:AR1006),$AC$1006:$AS$1006,0)), HYPERLINK("#",""), HYPERLINK(CONCATENATE("#metadata!", ADDRESS(INDEX($X$2:$X$1001,MATCH(ROWS($V$2:V108),$V$2:$V$1001,0),0), INDEX($AC$1004:$AS$1004,1,MATCH(COLUMNS($AC$1006:AR1006),$AC$1006:$AS$1006,0)))),"Fix")))</f>
        <v xml:space="preserve"> </v>
      </c>
      <c r="R108" s="4" t="str">
        <f ca="1">IF(OR(INDEX($W$2:$W$1001,MATCH(ROWS($V$2:V108),$V$2:$V$1001,0),1)&gt;=100000,INDEX($AC$1005:$AS$1005,1,MATCH(COLUMNS($AC$1006:AS1006),$AC$1006:$AS$1006,0))&gt;=100000), " ",IF(INDEX($AC$2:$AS$1001,MATCH(ROWS($V$2:V108),$V$2:$V$1001,0),MATCH(COLUMNS($AC$1006:AS1006),$AC$1006:$AS$1006,0)), HYPERLINK("#",""), HYPERLINK(CONCATENATE("#metadata!", ADDRESS(INDEX($X$2:$X$1001,MATCH(ROWS($V$2:V108),$V$2:$V$1001,0),0), INDEX($AC$1004:$AS$1004,1,MATCH(COLUMNS($AC$1006:AS1006),$AC$1006:$AS$1006,0)))),"Fix")))</f>
        <v xml:space="preserve"> </v>
      </c>
      <c r="V108">
        <v>107</v>
      </c>
      <c r="W108">
        <v>100108</v>
      </c>
      <c r="X108">
        <v>108</v>
      </c>
      <c r="Y108" t="b">
        <f t="shared" si="1"/>
        <v>1</v>
      </c>
      <c r="Z108" t="b">
        <f>COUNTBLANK(metadata!B108:R108)=COLUMNS(metadata!B108:R108)</f>
        <v>1</v>
      </c>
      <c r="AA108" t="str">
        <v/>
      </c>
      <c r="AC108" t="b">
        <f ca="1"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AD108" t="b">
        <f>IF(metadata!C108="",FALSE,ISNUMBER(VALUE(metadata!C108)))</f>
        <v>0</v>
      </c>
      <c r="AE108" t="b">
        <f>AND(IF(metadata!D108="",FALSE,TRUE),EXACT(metadata!D108,"years"))</f>
        <v>0</v>
      </c>
      <c r="AF108" t="b">
        <f>OR(AND(IF(metadata!E108="",FALSE,TRUE),OR(EXACT(metadata!E108,"not applicable"),EXACT(metadata!E108,"missing: not collected"),EXACT(metadata!E108,"missing: not provided"),EXACT(metadata!E108,"missing: restricted access"))),AND(IF(metadata!E108="",FALSE,ISNUMBER(VALUE(metadata!E108))),metadata!E108&gt;0))</f>
        <v>0</v>
      </c>
      <c r="AG108" t="b">
        <f>AND(IF(metadata!F108="",FALSE,TRUE),EXACT(metadata!F108,"Not applicable"))</f>
        <v>0</v>
      </c>
      <c r="AH108" t="b">
        <f>AND(IF(metadata!G108="",FALSE,TRUE),EXACT(metadata!G108,"urban biome"))</f>
        <v>0</v>
      </c>
      <c r="AI108" t="b">
        <f>AND(IF(metadata!H108="",FALSE,TRUE),EXACT(metadata!H108,"human-associated habitat"))</f>
        <v>0</v>
      </c>
      <c r="AJ108" t="b">
        <f>AND(IF(metadata!I108="",FALSE,TRUE),OR(EXACT(metadata!I108,"human-associated"),EXACT(metadata!I108,"human-skin"),EXACT(metadata!I108,"human-oral"),EXACT(metadata!I108,"human-gut"),EXACT(metadata!I108,"human-vaginal")))</f>
        <v>0</v>
      </c>
      <c r="AK108" t="b">
        <f>IF(metadata!J108="",FALSE,ISNUMBER(VALUE(metadata!J108)))</f>
        <v>0</v>
      </c>
      <c r="AL108" t="b">
        <f>AND(IF(metadata!K108="",FALSE,TRUE),EXACT(metadata!K108,"cm"))</f>
        <v>0</v>
      </c>
      <c r="AM108" t="b">
        <f>AND(IF(metadata!L108="",FALSE,TRUE),EXACT(metadata!L108,"human"))</f>
        <v>0</v>
      </c>
      <c r="AN108" t="b">
        <f>AND(IF(metadata!M108="",FALSE,TRUE),EXACT(metadata!M108,"Homo sapiens"))</f>
        <v>0</v>
      </c>
      <c r="AO108" t="b">
        <f>AND(IF(metadata!N108="",FALSE,TRUE),EXACT(metadata!N108,"9606"))</f>
        <v>0</v>
      </c>
      <c r="AP108" t="b">
        <f>IF(metadata!O108="",FALSE,TRUE)</f>
        <v>0</v>
      </c>
      <c r="AQ108" t="b">
        <f>IF(metadata!P108="",FALSE,TRUE)</f>
        <v>0</v>
      </c>
      <c r="AR108" t="b">
        <f>IF(metadata!Q108="",FALSE,ISNUMBER(VALUE(metadata!Q108)))</f>
        <v>0</v>
      </c>
      <c r="AS108" t="b">
        <f>AND(IF(metadata!R108="",FALSE,TRUE),EXACT(metadata!R108,"kg"))</f>
        <v>0</v>
      </c>
    </row>
    <row r="109" spans="1:45" x14ac:dyDescent="0.2">
      <c r="A109" s="5" t="str">
        <f ca="1">IF(B109=" "," ",HYPERLINK(CONCATENATE("#metadata!",ADDRESS(INDEX($X$2:$X$1001,MATCH(ROWS($V$2:V109),$V$2:$V$1001,0),0),1)),INDEX($AA$2:$AA$1001,MATCH(ROWS($V$2:V109),$V$2:$V$1001,0),0)))</f>
        <v xml:space="preserve"> </v>
      </c>
      <c r="B109" s="4" t="str">
        <f ca="1">IF(OR(INDEX($W$2:$W$1001,MATCH(ROWS($V$2:V109),$V$2:$V$1001,0),1)&gt;=100000,INDEX($AC$1005:$AS$1005,1,MATCH(COLUMNS($AC$1006:AC1006),$AC$1006:$AS$1006,0))&gt;=100000), " ",IF(INDEX($AC$2:$AS$1001,MATCH(ROWS($V$2:V109),$V$2:$V$1001,0),MATCH(COLUMNS($AC$1006:AC1006),$AC$1006:$AS$1006,0)), HYPERLINK("#",""), HYPERLINK(CONCATENATE("#metadata!", ADDRESS(INDEX($X$2:$X$1001,MATCH(ROWS($V$2:V109),$V$2:$V$1001,0),0), INDEX($AC$1004:$AS$1004,1,MATCH(COLUMNS($AC$1006:AC1006),$AC$1006:$AS$1006,0)))),"Fix")))</f>
        <v xml:space="preserve"> </v>
      </c>
      <c r="C109" s="4" t="str">
        <f ca="1">IF(OR(INDEX($W$2:$W$1001,MATCH(ROWS($V$2:V109),$V$2:$V$1001,0),1)&gt;=100000,INDEX($AC$1005:$AS$1005,1,MATCH(COLUMNS($AC$1006:AD1006),$AC$1006:$AS$1006,0))&gt;=100000), " ",IF(INDEX($AC$2:$AS$1001,MATCH(ROWS($V$2:V109),$V$2:$V$1001,0),MATCH(COLUMNS($AC$1006:AD1006),$AC$1006:$AS$1006,0)), HYPERLINK("#",""), HYPERLINK(CONCATENATE("#metadata!", ADDRESS(INDEX($X$2:$X$1001,MATCH(ROWS($V$2:V109),$V$2:$V$1001,0),0), INDEX($AC$1004:$AS$1004,1,MATCH(COLUMNS($AC$1006:AD1006),$AC$1006:$AS$1006,0)))),"Fix")))</f>
        <v xml:space="preserve"> </v>
      </c>
      <c r="D109" s="4" t="str">
        <f ca="1">IF(OR(INDEX($W$2:$W$1001,MATCH(ROWS($V$2:V109),$V$2:$V$1001,0),1)&gt;=100000,INDEX($AC$1005:$AS$1005,1,MATCH(COLUMNS($AC$1006:AE1006),$AC$1006:$AS$1006,0))&gt;=100000), " ",IF(INDEX($AC$2:$AS$1001,MATCH(ROWS($V$2:V109),$V$2:$V$1001,0),MATCH(COLUMNS($AC$1006:AE1006),$AC$1006:$AS$1006,0)), HYPERLINK("#",""), HYPERLINK(CONCATENATE("#metadata!", ADDRESS(INDEX($X$2:$X$1001,MATCH(ROWS($V$2:V109),$V$2:$V$1001,0),0), INDEX($AC$1004:$AS$1004,1,MATCH(COLUMNS($AC$1006:AE1006),$AC$1006:$AS$1006,0)))),"Fix")))</f>
        <v xml:space="preserve"> </v>
      </c>
      <c r="E109" s="4" t="str">
        <f ca="1">IF(OR(INDEX($W$2:$W$1001,MATCH(ROWS($V$2:V109),$V$2:$V$1001,0),1)&gt;=100000,INDEX($AC$1005:$AS$1005,1,MATCH(COLUMNS($AC$1006:AF1006),$AC$1006:$AS$1006,0))&gt;=100000), " ",IF(INDEX($AC$2:$AS$1001,MATCH(ROWS($V$2:V109),$V$2:$V$1001,0),MATCH(COLUMNS($AC$1006:AF1006),$AC$1006:$AS$1006,0)), HYPERLINK("#",""), HYPERLINK(CONCATENATE("#metadata!", ADDRESS(INDEX($X$2:$X$1001,MATCH(ROWS($V$2:V109),$V$2:$V$1001,0),0), INDEX($AC$1004:$AS$1004,1,MATCH(COLUMNS($AC$1006:AF1006),$AC$1006:$AS$1006,0)))),"Fix")))</f>
        <v xml:space="preserve"> </v>
      </c>
      <c r="F109" s="4" t="str">
        <f ca="1">IF(OR(INDEX($W$2:$W$1001,MATCH(ROWS($V$2:V109),$V$2:$V$1001,0),1)&gt;=100000,INDEX($AC$1005:$AS$1005,1,MATCH(COLUMNS($AC$1006:AG1006),$AC$1006:$AS$1006,0))&gt;=100000), " ",IF(INDEX($AC$2:$AS$1001,MATCH(ROWS($V$2:V109),$V$2:$V$1001,0),MATCH(COLUMNS($AC$1006:AG1006),$AC$1006:$AS$1006,0)), HYPERLINK("#",""), HYPERLINK(CONCATENATE("#metadata!", ADDRESS(INDEX($X$2:$X$1001,MATCH(ROWS($V$2:V109),$V$2:$V$1001,0),0), INDEX($AC$1004:$AS$1004,1,MATCH(COLUMNS($AC$1006:AG1006),$AC$1006:$AS$1006,0)))),"Fix")))</f>
        <v xml:space="preserve"> </v>
      </c>
      <c r="G109" s="4" t="str">
        <f ca="1">IF(OR(INDEX($W$2:$W$1001,MATCH(ROWS($V$2:V109),$V$2:$V$1001,0),1)&gt;=100000,INDEX($AC$1005:$AS$1005,1,MATCH(COLUMNS($AC$1006:AH1006),$AC$1006:$AS$1006,0))&gt;=100000), " ",IF(INDEX($AC$2:$AS$1001,MATCH(ROWS($V$2:V109),$V$2:$V$1001,0),MATCH(COLUMNS($AC$1006:AH1006),$AC$1006:$AS$1006,0)), HYPERLINK("#",""), HYPERLINK(CONCATENATE("#metadata!", ADDRESS(INDEX($X$2:$X$1001,MATCH(ROWS($V$2:V109),$V$2:$V$1001,0),0), INDEX($AC$1004:$AS$1004,1,MATCH(COLUMNS($AC$1006:AH1006),$AC$1006:$AS$1006,0)))),"Fix")))</f>
        <v xml:space="preserve"> </v>
      </c>
      <c r="H109" s="4" t="str">
        <f ca="1">IF(OR(INDEX($W$2:$W$1001,MATCH(ROWS($V$2:V109),$V$2:$V$1001,0),1)&gt;=100000,INDEX($AC$1005:$AS$1005,1,MATCH(COLUMNS($AC$1006:AI1006),$AC$1006:$AS$1006,0))&gt;=100000), " ",IF(INDEX($AC$2:$AS$1001,MATCH(ROWS($V$2:V109),$V$2:$V$1001,0),MATCH(COLUMNS($AC$1006:AI1006),$AC$1006:$AS$1006,0)), HYPERLINK("#",""), HYPERLINK(CONCATENATE("#metadata!", ADDRESS(INDEX($X$2:$X$1001,MATCH(ROWS($V$2:V109),$V$2:$V$1001,0),0), INDEX($AC$1004:$AS$1004,1,MATCH(COLUMNS($AC$1006:AI1006),$AC$1006:$AS$1006,0)))),"Fix")))</f>
        <v xml:space="preserve"> </v>
      </c>
      <c r="I109" s="4" t="str">
        <f ca="1">IF(OR(INDEX($W$2:$W$1001,MATCH(ROWS($V$2:V109),$V$2:$V$1001,0),1)&gt;=100000,INDEX($AC$1005:$AS$1005,1,MATCH(COLUMNS($AC$1006:AJ1006),$AC$1006:$AS$1006,0))&gt;=100000), " ",IF(INDEX($AC$2:$AS$1001,MATCH(ROWS($V$2:V109),$V$2:$V$1001,0),MATCH(COLUMNS($AC$1006:AJ1006),$AC$1006:$AS$1006,0)), HYPERLINK("#",""), HYPERLINK(CONCATENATE("#metadata!", ADDRESS(INDEX($X$2:$X$1001,MATCH(ROWS($V$2:V109),$V$2:$V$1001,0),0), INDEX($AC$1004:$AS$1004,1,MATCH(COLUMNS($AC$1006:AJ1006),$AC$1006:$AS$1006,0)))),"Fix")))</f>
        <v xml:space="preserve"> </v>
      </c>
      <c r="J109" s="4" t="str">
        <f ca="1">IF(OR(INDEX($W$2:$W$1001,MATCH(ROWS($V$2:V109),$V$2:$V$1001,0),1)&gt;=100000,INDEX($AC$1005:$AS$1005,1,MATCH(COLUMNS($AC$1006:AK1006),$AC$1006:$AS$1006,0))&gt;=100000), " ",IF(INDEX($AC$2:$AS$1001,MATCH(ROWS($V$2:V109),$V$2:$V$1001,0),MATCH(COLUMNS($AC$1006:AK1006),$AC$1006:$AS$1006,0)), HYPERLINK("#",""), HYPERLINK(CONCATENATE("#metadata!", ADDRESS(INDEX($X$2:$X$1001,MATCH(ROWS($V$2:V109),$V$2:$V$1001,0),0), INDEX($AC$1004:$AS$1004,1,MATCH(COLUMNS($AC$1006:AK1006),$AC$1006:$AS$1006,0)))),"Fix")))</f>
        <v xml:space="preserve"> </v>
      </c>
      <c r="K109" s="4" t="str">
        <f ca="1">IF(OR(INDEX($W$2:$W$1001,MATCH(ROWS($V$2:V109),$V$2:$V$1001,0),1)&gt;=100000,INDEX($AC$1005:$AS$1005,1,MATCH(COLUMNS($AC$1006:AL1006),$AC$1006:$AS$1006,0))&gt;=100000), " ",IF(INDEX($AC$2:$AS$1001,MATCH(ROWS($V$2:V109),$V$2:$V$1001,0),MATCH(COLUMNS($AC$1006:AL1006),$AC$1006:$AS$1006,0)), HYPERLINK("#",""), HYPERLINK(CONCATENATE("#metadata!", ADDRESS(INDEX($X$2:$X$1001,MATCH(ROWS($V$2:V109),$V$2:$V$1001,0),0), INDEX($AC$1004:$AS$1004,1,MATCH(COLUMNS($AC$1006:AL1006),$AC$1006:$AS$1006,0)))),"Fix")))</f>
        <v xml:space="preserve"> </v>
      </c>
      <c r="L109" s="4" t="str">
        <f ca="1">IF(OR(INDEX($W$2:$W$1001,MATCH(ROWS($V$2:V109),$V$2:$V$1001,0),1)&gt;=100000,INDEX($AC$1005:$AS$1005,1,MATCH(COLUMNS($AC$1006:AM1006),$AC$1006:$AS$1006,0))&gt;=100000), " ",IF(INDEX($AC$2:$AS$1001,MATCH(ROWS($V$2:V109),$V$2:$V$1001,0),MATCH(COLUMNS($AC$1006:AM1006),$AC$1006:$AS$1006,0)), HYPERLINK("#",""), HYPERLINK(CONCATENATE("#metadata!", ADDRESS(INDEX($X$2:$X$1001,MATCH(ROWS($V$2:V109),$V$2:$V$1001,0),0), INDEX($AC$1004:$AS$1004,1,MATCH(COLUMNS($AC$1006:AM1006),$AC$1006:$AS$1006,0)))),"Fix")))</f>
        <v xml:space="preserve"> </v>
      </c>
      <c r="M109" s="4" t="str">
        <f ca="1">IF(OR(INDEX($W$2:$W$1001,MATCH(ROWS($V$2:V109),$V$2:$V$1001,0),1)&gt;=100000,INDEX($AC$1005:$AS$1005,1,MATCH(COLUMNS($AC$1006:AN1006),$AC$1006:$AS$1006,0))&gt;=100000), " ",IF(INDEX($AC$2:$AS$1001,MATCH(ROWS($V$2:V109),$V$2:$V$1001,0),MATCH(COLUMNS($AC$1006:AN1006),$AC$1006:$AS$1006,0)), HYPERLINK("#",""), HYPERLINK(CONCATENATE("#metadata!", ADDRESS(INDEX($X$2:$X$1001,MATCH(ROWS($V$2:V109),$V$2:$V$1001,0),0), INDEX($AC$1004:$AS$1004,1,MATCH(COLUMNS($AC$1006:AN1006),$AC$1006:$AS$1006,0)))),"Fix")))</f>
        <v xml:space="preserve"> </v>
      </c>
      <c r="N109" s="4" t="str">
        <f ca="1">IF(OR(INDEX($W$2:$W$1001,MATCH(ROWS($V$2:V109),$V$2:$V$1001,0),1)&gt;=100000,INDEX($AC$1005:$AS$1005,1,MATCH(COLUMNS($AC$1006:AO1006),$AC$1006:$AS$1006,0))&gt;=100000), " ",IF(INDEX($AC$2:$AS$1001,MATCH(ROWS($V$2:V109),$V$2:$V$1001,0),MATCH(COLUMNS($AC$1006:AO1006),$AC$1006:$AS$1006,0)), HYPERLINK("#",""), HYPERLINK(CONCATENATE("#metadata!", ADDRESS(INDEX($X$2:$X$1001,MATCH(ROWS($V$2:V109),$V$2:$V$1001,0),0), INDEX($AC$1004:$AS$1004,1,MATCH(COLUMNS($AC$1006:AO1006),$AC$1006:$AS$1006,0)))),"Fix")))</f>
        <v xml:space="preserve"> </v>
      </c>
      <c r="O109" s="4" t="str">
        <f ca="1">IF(OR(INDEX($W$2:$W$1001,MATCH(ROWS($V$2:V109),$V$2:$V$1001,0),1)&gt;=100000,INDEX($AC$1005:$AS$1005,1,MATCH(COLUMNS($AC$1006:AP1006),$AC$1006:$AS$1006,0))&gt;=100000), " ",IF(INDEX($AC$2:$AS$1001,MATCH(ROWS($V$2:V109),$V$2:$V$1001,0),MATCH(COLUMNS($AC$1006:AP1006),$AC$1006:$AS$1006,0)), HYPERLINK("#",""), HYPERLINK(CONCATENATE("#metadata!", ADDRESS(INDEX($X$2:$X$1001,MATCH(ROWS($V$2:V109),$V$2:$V$1001,0),0), INDEX($AC$1004:$AS$1004,1,MATCH(COLUMNS($AC$1006:AP1006),$AC$1006:$AS$1006,0)))),"Fix")))</f>
        <v xml:space="preserve"> </v>
      </c>
      <c r="P109" s="4" t="str">
        <f ca="1">IF(OR(INDEX($W$2:$W$1001,MATCH(ROWS($V$2:V109),$V$2:$V$1001,0),1)&gt;=100000,INDEX($AC$1005:$AS$1005,1,MATCH(COLUMNS($AC$1006:AQ1006),$AC$1006:$AS$1006,0))&gt;=100000), " ",IF(INDEX($AC$2:$AS$1001,MATCH(ROWS($V$2:V109),$V$2:$V$1001,0),MATCH(COLUMNS($AC$1006:AQ1006),$AC$1006:$AS$1006,0)), HYPERLINK("#",""), HYPERLINK(CONCATENATE("#metadata!", ADDRESS(INDEX($X$2:$X$1001,MATCH(ROWS($V$2:V109),$V$2:$V$1001,0),0), INDEX($AC$1004:$AS$1004,1,MATCH(COLUMNS($AC$1006:AQ1006),$AC$1006:$AS$1006,0)))),"Fix")))</f>
        <v xml:space="preserve"> </v>
      </c>
      <c r="Q109" s="4" t="str">
        <f ca="1">IF(OR(INDEX($W$2:$W$1001,MATCH(ROWS($V$2:V109),$V$2:$V$1001,0),1)&gt;=100000,INDEX($AC$1005:$AS$1005,1,MATCH(COLUMNS($AC$1006:AR1006),$AC$1006:$AS$1006,0))&gt;=100000), " ",IF(INDEX($AC$2:$AS$1001,MATCH(ROWS($V$2:V109),$V$2:$V$1001,0),MATCH(COLUMNS($AC$1006:AR1006),$AC$1006:$AS$1006,0)), HYPERLINK("#",""), HYPERLINK(CONCATENATE("#metadata!", ADDRESS(INDEX($X$2:$X$1001,MATCH(ROWS($V$2:V109),$V$2:$V$1001,0),0), INDEX($AC$1004:$AS$1004,1,MATCH(COLUMNS($AC$1006:AR1006),$AC$1006:$AS$1006,0)))),"Fix")))</f>
        <v xml:space="preserve"> </v>
      </c>
      <c r="R109" s="4" t="str">
        <f ca="1">IF(OR(INDEX($W$2:$W$1001,MATCH(ROWS($V$2:V109),$V$2:$V$1001,0),1)&gt;=100000,INDEX($AC$1005:$AS$1005,1,MATCH(COLUMNS($AC$1006:AS1006),$AC$1006:$AS$1006,0))&gt;=100000), " ",IF(INDEX($AC$2:$AS$1001,MATCH(ROWS($V$2:V109),$V$2:$V$1001,0),MATCH(COLUMNS($AC$1006:AS1006),$AC$1006:$AS$1006,0)), HYPERLINK("#",""), HYPERLINK(CONCATENATE("#metadata!", ADDRESS(INDEX($X$2:$X$1001,MATCH(ROWS($V$2:V109),$V$2:$V$1001,0),0), INDEX($AC$1004:$AS$1004,1,MATCH(COLUMNS($AC$1006:AS1006),$AC$1006:$AS$1006,0)))),"Fix")))</f>
        <v xml:space="preserve"> </v>
      </c>
      <c r="V109">
        <v>108</v>
      </c>
      <c r="W109">
        <v>100109</v>
      </c>
      <c r="X109">
        <v>109</v>
      </c>
      <c r="Y109" t="b">
        <f t="shared" si="1"/>
        <v>1</v>
      </c>
      <c r="Z109" t="b">
        <f>COUNTBLANK(metadata!B109:R109)=COLUMNS(metadata!B109:R109)</f>
        <v>1</v>
      </c>
      <c r="AA109" t="str">
        <v/>
      </c>
      <c r="AC109" t="b">
        <f ca="1"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AD109" t="b">
        <f>IF(metadata!C109="",FALSE,ISNUMBER(VALUE(metadata!C109)))</f>
        <v>0</v>
      </c>
      <c r="AE109" t="b">
        <f>AND(IF(metadata!D109="",FALSE,TRUE),EXACT(metadata!D109,"years"))</f>
        <v>0</v>
      </c>
      <c r="AF109" t="b">
        <f>OR(AND(IF(metadata!E109="",FALSE,TRUE),OR(EXACT(metadata!E109,"not applicable"),EXACT(metadata!E109,"missing: not collected"),EXACT(metadata!E109,"missing: not provided"),EXACT(metadata!E109,"missing: restricted access"))),AND(IF(metadata!E109="",FALSE,ISNUMBER(VALUE(metadata!E109))),metadata!E109&gt;0))</f>
        <v>0</v>
      </c>
      <c r="AG109" t="b">
        <f>AND(IF(metadata!F109="",FALSE,TRUE),EXACT(metadata!F109,"Not applicable"))</f>
        <v>0</v>
      </c>
      <c r="AH109" t="b">
        <f>AND(IF(metadata!G109="",FALSE,TRUE),EXACT(metadata!G109,"urban biome"))</f>
        <v>0</v>
      </c>
      <c r="AI109" t="b">
        <f>AND(IF(metadata!H109="",FALSE,TRUE),EXACT(metadata!H109,"human-associated habitat"))</f>
        <v>0</v>
      </c>
      <c r="AJ109" t="b">
        <f>AND(IF(metadata!I109="",FALSE,TRUE),OR(EXACT(metadata!I109,"human-associated"),EXACT(metadata!I109,"human-skin"),EXACT(metadata!I109,"human-oral"),EXACT(metadata!I109,"human-gut"),EXACT(metadata!I109,"human-vaginal")))</f>
        <v>0</v>
      </c>
      <c r="AK109" t="b">
        <f>IF(metadata!J109="",FALSE,ISNUMBER(VALUE(metadata!J109)))</f>
        <v>0</v>
      </c>
      <c r="AL109" t="b">
        <f>AND(IF(metadata!K109="",FALSE,TRUE),EXACT(metadata!K109,"cm"))</f>
        <v>0</v>
      </c>
      <c r="AM109" t="b">
        <f>AND(IF(metadata!L109="",FALSE,TRUE),EXACT(metadata!L109,"human"))</f>
        <v>0</v>
      </c>
      <c r="AN109" t="b">
        <f>AND(IF(metadata!M109="",FALSE,TRUE),EXACT(metadata!M109,"Homo sapiens"))</f>
        <v>0</v>
      </c>
      <c r="AO109" t="b">
        <f>AND(IF(metadata!N109="",FALSE,TRUE),EXACT(metadata!N109,"9606"))</f>
        <v>0</v>
      </c>
      <c r="AP109" t="b">
        <f>IF(metadata!O109="",FALSE,TRUE)</f>
        <v>0</v>
      </c>
      <c r="AQ109" t="b">
        <f>IF(metadata!P109="",FALSE,TRUE)</f>
        <v>0</v>
      </c>
      <c r="AR109" t="b">
        <f>IF(metadata!Q109="",FALSE,ISNUMBER(VALUE(metadata!Q109)))</f>
        <v>0</v>
      </c>
      <c r="AS109" t="b">
        <f>AND(IF(metadata!R109="",FALSE,TRUE),EXACT(metadata!R109,"kg"))</f>
        <v>0</v>
      </c>
    </row>
    <row r="110" spans="1:45" x14ac:dyDescent="0.2">
      <c r="A110" s="5" t="str">
        <f ca="1">IF(B110=" "," ",HYPERLINK(CONCATENATE("#metadata!",ADDRESS(INDEX($X$2:$X$1001,MATCH(ROWS($V$2:V110),$V$2:$V$1001,0),0),1)),INDEX($AA$2:$AA$1001,MATCH(ROWS($V$2:V110),$V$2:$V$1001,0),0)))</f>
        <v xml:space="preserve"> </v>
      </c>
      <c r="B110" s="4" t="str">
        <f ca="1">IF(OR(INDEX($W$2:$W$1001,MATCH(ROWS($V$2:V110),$V$2:$V$1001,0),1)&gt;=100000,INDEX($AC$1005:$AS$1005,1,MATCH(COLUMNS($AC$1006:AC1006),$AC$1006:$AS$1006,0))&gt;=100000), " ",IF(INDEX($AC$2:$AS$1001,MATCH(ROWS($V$2:V110),$V$2:$V$1001,0),MATCH(COLUMNS($AC$1006:AC1006),$AC$1006:$AS$1006,0)), HYPERLINK("#",""), HYPERLINK(CONCATENATE("#metadata!", ADDRESS(INDEX($X$2:$X$1001,MATCH(ROWS($V$2:V110),$V$2:$V$1001,0),0), INDEX($AC$1004:$AS$1004,1,MATCH(COLUMNS($AC$1006:AC1006),$AC$1006:$AS$1006,0)))),"Fix")))</f>
        <v xml:space="preserve"> </v>
      </c>
      <c r="C110" s="4" t="str">
        <f ca="1">IF(OR(INDEX($W$2:$W$1001,MATCH(ROWS($V$2:V110),$V$2:$V$1001,0),1)&gt;=100000,INDEX($AC$1005:$AS$1005,1,MATCH(COLUMNS($AC$1006:AD1006),$AC$1006:$AS$1006,0))&gt;=100000), " ",IF(INDEX($AC$2:$AS$1001,MATCH(ROWS($V$2:V110),$V$2:$V$1001,0),MATCH(COLUMNS($AC$1006:AD1006),$AC$1006:$AS$1006,0)), HYPERLINK("#",""), HYPERLINK(CONCATENATE("#metadata!", ADDRESS(INDEX($X$2:$X$1001,MATCH(ROWS($V$2:V110),$V$2:$V$1001,0),0), INDEX($AC$1004:$AS$1004,1,MATCH(COLUMNS($AC$1006:AD1006),$AC$1006:$AS$1006,0)))),"Fix")))</f>
        <v xml:space="preserve"> </v>
      </c>
      <c r="D110" s="4" t="str">
        <f ca="1">IF(OR(INDEX($W$2:$W$1001,MATCH(ROWS($V$2:V110),$V$2:$V$1001,0),1)&gt;=100000,INDEX($AC$1005:$AS$1005,1,MATCH(COLUMNS($AC$1006:AE1006),$AC$1006:$AS$1006,0))&gt;=100000), " ",IF(INDEX($AC$2:$AS$1001,MATCH(ROWS($V$2:V110),$V$2:$V$1001,0),MATCH(COLUMNS($AC$1006:AE1006),$AC$1006:$AS$1006,0)), HYPERLINK("#",""), HYPERLINK(CONCATENATE("#metadata!", ADDRESS(INDEX($X$2:$X$1001,MATCH(ROWS($V$2:V110),$V$2:$V$1001,0),0), INDEX($AC$1004:$AS$1004,1,MATCH(COLUMNS($AC$1006:AE1006),$AC$1006:$AS$1006,0)))),"Fix")))</f>
        <v xml:space="preserve"> </v>
      </c>
      <c r="E110" s="4" t="str">
        <f ca="1">IF(OR(INDEX($W$2:$W$1001,MATCH(ROWS($V$2:V110),$V$2:$V$1001,0),1)&gt;=100000,INDEX($AC$1005:$AS$1005,1,MATCH(COLUMNS($AC$1006:AF1006),$AC$1006:$AS$1006,0))&gt;=100000), " ",IF(INDEX($AC$2:$AS$1001,MATCH(ROWS($V$2:V110),$V$2:$V$1001,0),MATCH(COLUMNS($AC$1006:AF1006),$AC$1006:$AS$1006,0)), HYPERLINK("#",""), HYPERLINK(CONCATENATE("#metadata!", ADDRESS(INDEX($X$2:$X$1001,MATCH(ROWS($V$2:V110),$V$2:$V$1001,0),0), INDEX($AC$1004:$AS$1004,1,MATCH(COLUMNS($AC$1006:AF1006),$AC$1006:$AS$1006,0)))),"Fix")))</f>
        <v xml:space="preserve"> </v>
      </c>
      <c r="F110" s="4" t="str">
        <f ca="1">IF(OR(INDEX($W$2:$W$1001,MATCH(ROWS($V$2:V110),$V$2:$V$1001,0),1)&gt;=100000,INDEX($AC$1005:$AS$1005,1,MATCH(COLUMNS($AC$1006:AG1006),$AC$1006:$AS$1006,0))&gt;=100000), " ",IF(INDEX($AC$2:$AS$1001,MATCH(ROWS($V$2:V110),$V$2:$V$1001,0),MATCH(COLUMNS($AC$1006:AG1006),$AC$1006:$AS$1006,0)), HYPERLINK("#",""), HYPERLINK(CONCATENATE("#metadata!", ADDRESS(INDEX($X$2:$X$1001,MATCH(ROWS($V$2:V110),$V$2:$V$1001,0),0), INDEX($AC$1004:$AS$1004,1,MATCH(COLUMNS($AC$1006:AG1006),$AC$1006:$AS$1006,0)))),"Fix")))</f>
        <v xml:space="preserve"> </v>
      </c>
      <c r="G110" s="4" t="str">
        <f ca="1">IF(OR(INDEX($W$2:$W$1001,MATCH(ROWS($V$2:V110),$V$2:$V$1001,0),1)&gt;=100000,INDEX($AC$1005:$AS$1005,1,MATCH(COLUMNS($AC$1006:AH1006),$AC$1006:$AS$1006,0))&gt;=100000), " ",IF(INDEX($AC$2:$AS$1001,MATCH(ROWS($V$2:V110),$V$2:$V$1001,0),MATCH(COLUMNS($AC$1006:AH1006),$AC$1006:$AS$1006,0)), HYPERLINK("#",""), HYPERLINK(CONCATENATE("#metadata!", ADDRESS(INDEX($X$2:$X$1001,MATCH(ROWS($V$2:V110),$V$2:$V$1001,0),0), INDEX($AC$1004:$AS$1004,1,MATCH(COLUMNS($AC$1006:AH1006),$AC$1006:$AS$1006,0)))),"Fix")))</f>
        <v xml:space="preserve"> </v>
      </c>
      <c r="H110" s="4" t="str">
        <f ca="1">IF(OR(INDEX($W$2:$W$1001,MATCH(ROWS($V$2:V110),$V$2:$V$1001,0),1)&gt;=100000,INDEX($AC$1005:$AS$1005,1,MATCH(COLUMNS($AC$1006:AI1006),$AC$1006:$AS$1006,0))&gt;=100000), " ",IF(INDEX($AC$2:$AS$1001,MATCH(ROWS($V$2:V110),$V$2:$V$1001,0),MATCH(COLUMNS($AC$1006:AI1006),$AC$1006:$AS$1006,0)), HYPERLINK("#",""), HYPERLINK(CONCATENATE("#metadata!", ADDRESS(INDEX($X$2:$X$1001,MATCH(ROWS($V$2:V110),$V$2:$V$1001,0),0), INDEX($AC$1004:$AS$1004,1,MATCH(COLUMNS($AC$1006:AI1006),$AC$1006:$AS$1006,0)))),"Fix")))</f>
        <v xml:space="preserve"> </v>
      </c>
      <c r="I110" s="4" t="str">
        <f ca="1">IF(OR(INDEX($W$2:$W$1001,MATCH(ROWS($V$2:V110),$V$2:$V$1001,0),1)&gt;=100000,INDEX($AC$1005:$AS$1005,1,MATCH(COLUMNS($AC$1006:AJ1006),$AC$1006:$AS$1006,0))&gt;=100000), " ",IF(INDEX($AC$2:$AS$1001,MATCH(ROWS($V$2:V110),$V$2:$V$1001,0),MATCH(COLUMNS($AC$1006:AJ1006),$AC$1006:$AS$1006,0)), HYPERLINK("#",""), HYPERLINK(CONCATENATE("#metadata!", ADDRESS(INDEX($X$2:$X$1001,MATCH(ROWS($V$2:V110),$V$2:$V$1001,0),0), INDEX($AC$1004:$AS$1004,1,MATCH(COLUMNS($AC$1006:AJ1006),$AC$1006:$AS$1006,0)))),"Fix")))</f>
        <v xml:space="preserve"> </v>
      </c>
      <c r="J110" s="4" t="str">
        <f ca="1">IF(OR(INDEX($W$2:$W$1001,MATCH(ROWS($V$2:V110),$V$2:$V$1001,0),1)&gt;=100000,INDEX($AC$1005:$AS$1005,1,MATCH(COLUMNS($AC$1006:AK1006),$AC$1006:$AS$1006,0))&gt;=100000), " ",IF(INDEX($AC$2:$AS$1001,MATCH(ROWS($V$2:V110),$V$2:$V$1001,0),MATCH(COLUMNS($AC$1006:AK1006),$AC$1006:$AS$1006,0)), HYPERLINK("#",""), HYPERLINK(CONCATENATE("#metadata!", ADDRESS(INDEX($X$2:$X$1001,MATCH(ROWS($V$2:V110),$V$2:$V$1001,0),0), INDEX($AC$1004:$AS$1004,1,MATCH(COLUMNS($AC$1006:AK1006),$AC$1006:$AS$1006,0)))),"Fix")))</f>
        <v xml:space="preserve"> </v>
      </c>
      <c r="K110" s="4" t="str">
        <f ca="1">IF(OR(INDEX($W$2:$W$1001,MATCH(ROWS($V$2:V110),$V$2:$V$1001,0),1)&gt;=100000,INDEX($AC$1005:$AS$1005,1,MATCH(COLUMNS($AC$1006:AL1006),$AC$1006:$AS$1006,0))&gt;=100000), " ",IF(INDEX($AC$2:$AS$1001,MATCH(ROWS($V$2:V110),$V$2:$V$1001,0),MATCH(COLUMNS($AC$1006:AL1006),$AC$1006:$AS$1006,0)), HYPERLINK("#",""), HYPERLINK(CONCATENATE("#metadata!", ADDRESS(INDEX($X$2:$X$1001,MATCH(ROWS($V$2:V110),$V$2:$V$1001,0),0), INDEX($AC$1004:$AS$1004,1,MATCH(COLUMNS($AC$1006:AL1006),$AC$1006:$AS$1006,0)))),"Fix")))</f>
        <v xml:space="preserve"> </v>
      </c>
      <c r="L110" s="4" t="str">
        <f ca="1">IF(OR(INDEX($W$2:$W$1001,MATCH(ROWS($V$2:V110),$V$2:$V$1001,0),1)&gt;=100000,INDEX($AC$1005:$AS$1005,1,MATCH(COLUMNS($AC$1006:AM1006),$AC$1006:$AS$1006,0))&gt;=100000), " ",IF(INDEX($AC$2:$AS$1001,MATCH(ROWS($V$2:V110),$V$2:$V$1001,0),MATCH(COLUMNS($AC$1006:AM1006),$AC$1006:$AS$1006,0)), HYPERLINK("#",""), HYPERLINK(CONCATENATE("#metadata!", ADDRESS(INDEX($X$2:$X$1001,MATCH(ROWS($V$2:V110),$V$2:$V$1001,0),0), INDEX($AC$1004:$AS$1004,1,MATCH(COLUMNS($AC$1006:AM1006),$AC$1006:$AS$1006,0)))),"Fix")))</f>
        <v xml:space="preserve"> </v>
      </c>
      <c r="M110" s="4" t="str">
        <f ca="1">IF(OR(INDEX($W$2:$W$1001,MATCH(ROWS($V$2:V110),$V$2:$V$1001,0),1)&gt;=100000,INDEX($AC$1005:$AS$1005,1,MATCH(COLUMNS($AC$1006:AN1006),$AC$1006:$AS$1006,0))&gt;=100000), " ",IF(INDEX($AC$2:$AS$1001,MATCH(ROWS($V$2:V110),$V$2:$V$1001,0),MATCH(COLUMNS($AC$1006:AN1006),$AC$1006:$AS$1006,0)), HYPERLINK("#",""), HYPERLINK(CONCATENATE("#metadata!", ADDRESS(INDEX($X$2:$X$1001,MATCH(ROWS($V$2:V110),$V$2:$V$1001,0),0), INDEX($AC$1004:$AS$1004,1,MATCH(COLUMNS($AC$1006:AN1006),$AC$1006:$AS$1006,0)))),"Fix")))</f>
        <v xml:space="preserve"> </v>
      </c>
      <c r="N110" s="4" t="str">
        <f ca="1">IF(OR(INDEX($W$2:$W$1001,MATCH(ROWS($V$2:V110),$V$2:$V$1001,0),1)&gt;=100000,INDEX($AC$1005:$AS$1005,1,MATCH(COLUMNS($AC$1006:AO1006),$AC$1006:$AS$1006,0))&gt;=100000), " ",IF(INDEX($AC$2:$AS$1001,MATCH(ROWS($V$2:V110),$V$2:$V$1001,0),MATCH(COLUMNS($AC$1006:AO1006),$AC$1006:$AS$1006,0)), HYPERLINK("#",""), HYPERLINK(CONCATENATE("#metadata!", ADDRESS(INDEX($X$2:$X$1001,MATCH(ROWS($V$2:V110),$V$2:$V$1001,0),0), INDEX($AC$1004:$AS$1004,1,MATCH(COLUMNS($AC$1006:AO1006),$AC$1006:$AS$1006,0)))),"Fix")))</f>
        <v xml:space="preserve"> </v>
      </c>
      <c r="O110" s="4" t="str">
        <f ca="1">IF(OR(INDEX($W$2:$W$1001,MATCH(ROWS($V$2:V110),$V$2:$V$1001,0),1)&gt;=100000,INDEX($AC$1005:$AS$1005,1,MATCH(COLUMNS($AC$1006:AP1006),$AC$1006:$AS$1006,0))&gt;=100000), " ",IF(INDEX($AC$2:$AS$1001,MATCH(ROWS($V$2:V110),$V$2:$V$1001,0),MATCH(COLUMNS($AC$1006:AP1006),$AC$1006:$AS$1006,0)), HYPERLINK("#",""), HYPERLINK(CONCATENATE("#metadata!", ADDRESS(INDEX($X$2:$X$1001,MATCH(ROWS($V$2:V110),$V$2:$V$1001,0),0), INDEX($AC$1004:$AS$1004,1,MATCH(COLUMNS($AC$1006:AP1006),$AC$1006:$AS$1006,0)))),"Fix")))</f>
        <v xml:space="preserve"> </v>
      </c>
      <c r="P110" s="4" t="str">
        <f ca="1">IF(OR(INDEX($W$2:$W$1001,MATCH(ROWS($V$2:V110),$V$2:$V$1001,0),1)&gt;=100000,INDEX($AC$1005:$AS$1005,1,MATCH(COLUMNS($AC$1006:AQ1006),$AC$1006:$AS$1006,0))&gt;=100000), " ",IF(INDEX($AC$2:$AS$1001,MATCH(ROWS($V$2:V110),$V$2:$V$1001,0),MATCH(COLUMNS($AC$1006:AQ1006),$AC$1006:$AS$1006,0)), HYPERLINK("#",""), HYPERLINK(CONCATENATE("#metadata!", ADDRESS(INDEX($X$2:$X$1001,MATCH(ROWS($V$2:V110),$V$2:$V$1001,0),0), INDEX($AC$1004:$AS$1004,1,MATCH(COLUMNS($AC$1006:AQ1006),$AC$1006:$AS$1006,0)))),"Fix")))</f>
        <v xml:space="preserve"> </v>
      </c>
      <c r="Q110" s="4" t="str">
        <f ca="1">IF(OR(INDEX($W$2:$W$1001,MATCH(ROWS($V$2:V110),$V$2:$V$1001,0),1)&gt;=100000,INDEX($AC$1005:$AS$1005,1,MATCH(COLUMNS($AC$1006:AR1006),$AC$1006:$AS$1006,0))&gt;=100000), " ",IF(INDEX($AC$2:$AS$1001,MATCH(ROWS($V$2:V110),$V$2:$V$1001,0),MATCH(COLUMNS($AC$1006:AR1006),$AC$1006:$AS$1006,0)), HYPERLINK("#",""), HYPERLINK(CONCATENATE("#metadata!", ADDRESS(INDEX($X$2:$X$1001,MATCH(ROWS($V$2:V110),$V$2:$V$1001,0),0), INDEX($AC$1004:$AS$1004,1,MATCH(COLUMNS($AC$1006:AR1006),$AC$1006:$AS$1006,0)))),"Fix")))</f>
        <v xml:space="preserve"> </v>
      </c>
      <c r="R110" s="4" t="str">
        <f ca="1">IF(OR(INDEX($W$2:$W$1001,MATCH(ROWS($V$2:V110),$V$2:$V$1001,0),1)&gt;=100000,INDEX($AC$1005:$AS$1005,1,MATCH(COLUMNS($AC$1006:AS1006),$AC$1006:$AS$1006,0))&gt;=100000), " ",IF(INDEX($AC$2:$AS$1001,MATCH(ROWS($V$2:V110),$V$2:$V$1001,0),MATCH(COLUMNS($AC$1006:AS1006),$AC$1006:$AS$1006,0)), HYPERLINK("#",""), HYPERLINK(CONCATENATE("#metadata!", ADDRESS(INDEX($X$2:$X$1001,MATCH(ROWS($V$2:V110),$V$2:$V$1001,0),0), INDEX($AC$1004:$AS$1004,1,MATCH(COLUMNS($AC$1006:AS1006),$AC$1006:$AS$1006,0)))),"Fix")))</f>
        <v xml:space="preserve"> </v>
      </c>
      <c r="V110">
        <v>109</v>
      </c>
      <c r="W110">
        <v>100110</v>
      </c>
      <c r="X110">
        <v>110</v>
      </c>
      <c r="Y110" t="b">
        <f t="shared" si="1"/>
        <v>1</v>
      </c>
      <c r="Z110" t="b">
        <f>COUNTBLANK(metadata!B110:R110)=COLUMNS(metadata!B110:R110)</f>
        <v>1</v>
      </c>
      <c r="AA110" t="str">
        <v/>
      </c>
      <c r="AC110" t="b">
        <f ca="1"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AD110" t="b">
        <f>IF(metadata!C110="",FALSE,ISNUMBER(VALUE(metadata!C110)))</f>
        <v>0</v>
      </c>
      <c r="AE110" t="b">
        <f>AND(IF(metadata!D110="",FALSE,TRUE),EXACT(metadata!D110,"years"))</f>
        <v>0</v>
      </c>
      <c r="AF110" t="b">
        <f>OR(AND(IF(metadata!E110="",FALSE,TRUE),OR(EXACT(metadata!E110,"not applicable"),EXACT(metadata!E110,"missing: not collected"),EXACT(metadata!E110,"missing: not provided"),EXACT(metadata!E110,"missing: restricted access"))),AND(IF(metadata!E110="",FALSE,ISNUMBER(VALUE(metadata!E110))),metadata!E110&gt;0))</f>
        <v>0</v>
      </c>
      <c r="AG110" t="b">
        <f>AND(IF(metadata!F110="",FALSE,TRUE),EXACT(metadata!F110,"Not applicable"))</f>
        <v>0</v>
      </c>
      <c r="AH110" t="b">
        <f>AND(IF(metadata!G110="",FALSE,TRUE),EXACT(metadata!G110,"urban biome"))</f>
        <v>0</v>
      </c>
      <c r="AI110" t="b">
        <f>AND(IF(metadata!H110="",FALSE,TRUE),EXACT(metadata!H110,"human-associated habitat"))</f>
        <v>0</v>
      </c>
      <c r="AJ110" t="b">
        <f>AND(IF(metadata!I110="",FALSE,TRUE),OR(EXACT(metadata!I110,"human-associated"),EXACT(metadata!I110,"human-skin"),EXACT(metadata!I110,"human-oral"),EXACT(metadata!I110,"human-gut"),EXACT(metadata!I110,"human-vaginal")))</f>
        <v>0</v>
      </c>
      <c r="AK110" t="b">
        <f>IF(metadata!J110="",FALSE,ISNUMBER(VALUE(metadata!J110)))</f>
        <v>0</v>
      </c>
      <c r="AL110" t="b">
        <f>AND(IF(metadata!K110="",FALSE,TRUE),EXACT(metadata!K110,"cm"))</f>
        <v>0</v>
      </c>
      <c r="AM110" t="b">
        <f>AND(IF(metadata!L110="",FALSE,TRUE),EXACT(metadata!L110,"human"))</f>
        <v>0</v>
      </c>
      <c r="AN110" t="b">
        <f>AND(IF(metadata!M110="",FALSE,TRUE),EXACT(metadata!M110,"Homo sapiens"))</f>
        <v>0</v>
      </c>
      <c r="AO110" t="b">
        <f>AND(IF(metadata!N110="",FALSE,TRUE),EXACT(metadata!N110,"9606"))</f>
        <v>0</v>
      </c>
      <c r="AP110" t="b">
        <f>IF(metadata!O110="",FALSE,TRUE)</f>
        <v>0</v>
      </c>
      <c r="AQ110" t="b">
        <f>IF(metadata!P110="",FALSE,TRUE)</f>
        <v>0</v>
      </c>
      <c r="AR110" t="b">
        <f>IF(metadata!Q110="",FALSE,ISNUMBER(VALUE(metadata!Q110)))</f>
        <v>0</v>
      </c>
      <c r="AS110" t="b">
        <f>AND(IF(metadata!R110="",FALSE,TRUE),EXACT(metadata!R110,"kg"))</f>
        <v>0</v>
      </c>
    </row>
    <row r="111" spans="1:45" x14ac:dyDescent="0.2">
      <c r="A111" s="5" t="str">
        <f ca="1">IF(B111=" "," ",HYPERLINK(CONCATENATE("#metadata!",ADDRESS(INDEX($X$2:$X$1001,MATCH(ROWS($V$2:V111),$V$2:$V$1001,0),0),1)),INDEX($AA$2:$AA$1001,MATCH(ROWS($V$2:V111),$V$2:$V$1001,0),0)))</f>
        <v xml:space="preserve"> </v>
      </c>
      <c r="B111" s="4" t="str">
        <f ca="1">IF(OR(INDEX($W$2:$W$1001,MATCH(ROWS($V$2:V111),$V$2:$V$1001,0),1)&gt;=100000,INDEX($AC$1005:$AS$1005,1,MATCH(COLUMNS($AC$1006:AC1006),$AC$1006:$AS$1006,0))&gt;=100000), " ",IF(INDEX($AC$2:$AS$1001,MATCH(ROWS($V$2:V111),$V$2:$V$1001,0),MATCH(COLUMNS($AC$1006:AC1006),$AC$1006:$AS$1006,0)), HYPERLINK("#",""), HYPERLINK(CONCATENATE("#metadata!", ADDRESS(INDEX($X$2:$X$1001,MATCH(ROWS($V$2:V111),$V$2:$V$1001,0),0), INDEX($AC$1004:$AS$1004,1,MATCH(COLUMNS($AC$1006:AC1006),$AC$1006:$AS$1006,0)))),"Fix")))</f>
        <v xml:space="preserve"> </v>
      </c>
      <c r="C111" s="4" t="str">
        <f ca="1">IF(OR(INDEX($W$2:$W$1001,MATCH(ROWS($V$2:V111),$V$2:$V$1001,0),1)&gt;=100000,INDEX($AC$1005:$AS$1005,1,MATCH(COLUMNS($AC$1006:AD1006),$AC$1006:$AS$1006,0))&gt;=100000), " ",IF(INDEX($AC$2:$AS$1001,MATCH(ROWS($V$2:V111),$V$2:$V$1001,0),MATCH(COLUMNS($AC$1006:AD1006),$AC$1006:$AS$1006,0)), HYPERLINK("#",""), HYPERLINK(CONCATENATE("#metadata!", ADDRESS(INDEX($X$2:$X$1001,MATCH(ROWS($V$2:V111),$V$2:$V$1001,0),0), INDEX($AC$1004:$AS$1004,1,MATCH(COLUMNS($AC$1006:AD1006),$AC$1006:$AS$1006,0)))),"Fix")))</f>
        <v xml:space="preserve"> </v>
      </c>
      <c r="D111" s="4" t="str">
        <f ca="1">IF(OR(INDEX($W$2:$W$1001,MATCH(ROWS($V$2:V111),$V$2:$V$1001,0),1)&gt;=100000,INDEX($AC$1005:$AS$1005,1,MATCH(COLUMNS($AC$1006:AE1006),$AC$1006:$AS$1006,0))&gt;=100000), " ",IF(INDEX($AC$2:$AS$1001,MATCH(ROWS($V$2:V111),$V$2:$V$1001,0),MATCH(COLUMNS($AC$1006:AE1006),$AC$1006:$AS$1006,0)), HYPERLINK("#",""), HYPERLINK(CONCATENATE("#metadata!", ADDRESS(INDEX($X$2:$X$1001,MATCH(ROWS($V$2:V111),$V$2:$V$1001,0),0), INDEX($AC$1004:$AS$1004,1,MATCH(COLUMNS($AC$1006:AE1006),$AC$1006:$AS$1006,0)))),"Fix")))</f>
        <v xml:space="preserve"> </v>
      </c>
      <c r="E111" s="4" t="str">
        <f ca="1">IF(OR(INDEX($W$2:$W$1001,MATCH(ROWS($V$2:V111),$V$2:$V$1001,0),1)&gt;=100000,INDEX($AC$1005:$AS$1005,1,MATCH(COLUMNS($AC$1006:AF1006),$AC$1006:$AS$1006,0))&gt;=100000), " ",IF(INDEX($AC$2:$AS$1001,MATCH(ROWS($V$2:V111),$V$2:$V$1001,0),MATCH(COLUMNS($AC$1006:AF1006),$AC$1006:$AS$1006,0)), HYPERLINK("#",""), HYPERLINK(CONCATENATE("#metadata!", ADDRESS(INDEX($X$2:$X$1001,MATCH(ROWS($V$2:V111),$V$2:$V$1001,0),0), INDEX($AC$1004:$AS$1004,1,MATCH(COLUMNS($AC$1006:AF1006),$AC$1006:$AS$1006,0)))),"Fix")))</f>
        <v xml:space="preserve"> </v>
      </c>
      <c r="F111" s="4" t="str">
        <f ca="1">IF(OR(INDEX($W$2:$W$1001,MATCH(ROWS($V$2:V111),$V$2:$V$1001,0),1)&gt;=100000,INDEX($AC$1005:$AS$1005,1,MATCH(COLUMNS($AC$1006:AG1006),$AC$1006:$AS$1006,0))&gt;=100000), " ",IF(INDEX($AC$2:$AS$1001,MATCH(ROWS($V$2:V111),$V$2:$V$1001,0),MATCH(COLUMNS($AC$1006:AG1006),$AC$1006:$AS$1006,0)), HYPERLINK("#",""), HYPERLINK(CONCATENATE("#metadata!", ADDRESS(INDEX($X$2:$X$1001,MATCH(ROWS($V$2:V111),$V$2:$V$1001,0),0), INDEX($AC$1004:$AS$1004,1,MATCH(COLUMNS($AC$1006:AG1006),$AC$1006:$AS$1006,0)))),"Fix")))</f>
        <v xml:space="preserve"> </v>
      </c>
      <c r="G111" s="4" t="str">
        <f ca="1">IF(OR(INDEX($W$2:$W$1001,MATCH(ROWS($V$2:V111),$V$2:$V$1001,0),1)&gt;=100000,INDEX($AC$1005:$AS$1005,1,MATCH(COLUMNS($AC$1006:AH1006),$AC$1006:$AS$1006,0))&gt;=100000), " ",IF(INDEX($AC$2:$AS$1001,MATCH(ROWS($V$2:V111),$V$2:$V$1001,0),MATCH(COLUMNS($AC$1006:AH1006),$AC$1006:$AS$1006,0)), HYPERLINK("#",""), HYPERLINK(CONCATENATE("#metadata!", ADDRESS(INDEX($X$2:$X$1001,MATCH(ROWS($V$2:V111),$V$2:$V$1001,0),0), INDEX($AC$1004:$AS$1004,1,MATCH(COLUMNS($AC$1006:AH1006),$AC$1006:$AS$1006,0)))),"Fix")))</f>
        <v xml:space="preserve"> </v>
      </c>
      <c r="H111" s="4" t="str">
        <f ca="1">IF(OR(INDEX($W$2:$W$1001,MATCH(ROWS($V$2:V111),$V$2:$V$1001,0),1)&gt;=100000,INDEX($AC$1005:$AS$1005,1,MATCH(COLUMNS($AC$1006:AI1006),$AC$1006:$AS$1006,0))&gt;=100000), " ",IF(INDEX($AC$2:$AS$1001,MATCH(ROWS($V$2:V111),$V$2:$V$1001,0),MATCH(COLUMNS($AC$1006:AI1006),$AC$1006:$AS$1006,0)), HYPERLINK("#",""), HYPERLINK(CONCATENATE("#metadata!", ADDRESS(INDEX($X$2:$X$1001,MATCH(ROWS($V$2:V111),$V$2:$V$1001,0),0), INDEX($AC$1004:$AS$1004,1,MATCH(COLUMNS($AC$1006:AI1006),$AC$1006:$AS$1006,0)))),"Fix")))</f>
        <v xml:space="preserve"> </v>
      </c>
      <c r="I111" s="4" t="str">
        <f ca="1">IF(OR(INDEX($W$2:$W$1001,MATCH(ROWS($V$2:V111),$V$2:$V$1001,0),1)&gt;=100000,INDEX($AC$1005:$AS$1005,1,MATCH(COLUMNS($AC$1006:AJ1006),$AC$1006:$AS$1006,0))&gt;=100000), " ",IF(INDEX($AC$2:$AS$1001,MATCH(ROWS($V$2:V111),$V$2:$V$1001,0),MATCH(COLUMNS($AC$1006:AJ1006),$AC$1006:$AS$1006,0)), HYPERLINK("#",""), HYPERLINK(CONCATENATE("#metadata!", ADDRESS(INDEX($X$2:$X$1001,MATCH(ROWS($V$2:V111),$V$2:$V$1001,0),0), INDEX($AC$1004:$AS$1004,1,MATCH(COLUMNS($AC$1006:AJ1006),$AC$1006:$AS$1006,0)))),"Fix")))</f>
        <v xml:space="preserve"> </v>
      </c>
      <c r="J111" s="4" t="str">
        <f ca="1">IF(OR(INDEX($W$2:$W$1001,MATCH(ROWS($V$2:V111),$V$2:$V$1001,0),1)&gt;=100000,INDEX($AC$1005:$AS$1005,1,MATCH(COLUMNS($AC$1006:AK1006),$AC$1006:$AS$1006,0))&gt;=100000), " ",IF(INDEX($AC$2:$AS$1001,MATCH(ROWS($V$2:V111),$V$2:$V$1001,0),MATCH(COLUMNS($AC$1006:AK1006),$AC$1006:$AS$1006,0)), HYPERLINK("#",""), HYPERLINK(CONCATENATE("#metadata!", ADDRESS(INDEX($X$2:$X$1001,MATCH(ROWS($V$2:V111),$V$2:$V$1001,0),0), INDEX($AC$1004:$AS$1004,1,MATCH(COLUMNS($AC$1006:AK1006),$AC$1006:$AS$1006,0)))),"Fix")))</f>
        <v xml:space="preserve"> </v>
      </c>
      <c r="K111" s="4" t="str">
        <f ca="1">IF(OR(INDEX($W$2:$W$1001,MATCH(ROWS($V$2:V111),$V$2:$V$1001,0),1)&gt;=100000,INDEX($AC$1005:$AS$1005,1,MATCH(COLUMNS($AC$1006:AL1006),$AC$1006:$AS$1006,0))&gt;=100000), " ",IF(INDEX($AC$2:$AS$1001,MATCH(ROWS($V$2:V111),$V$2:$V$1001,0),MATCH(COLUMNS($AC$1006:AL1006),$AC$1006:$AS$1006,0)), HYPERLINK("#",""), HYPERLINK(CONCATENATE("#metadata!", ADDRESS(INDEX($X$2:$X$1001,MATCH(ROWS($V$2:V111),$V$2:$V$1001,0),0), INDEX($AC$1004:$AS$1004,1,MATCH(COLUMNS($AC$1006:AL1006),$AC$1006:$AS$1006,0)))),"Fix")))</f>
        <v xml:space="preserve"> </v>
      </c>
      <c r="L111" s="4" t="str">
        <f ca="1">IF(OR(INDEX($W$2:$W$1001,MATCH(ROWS($V$2:V111),$V$2:$V$1001,0),1)&gt;=100000,INDEX($AC$1005:$AS$1005,1,MATCH(COLUMNS($AC$1006:AM1006),$AC$1006:$AS$1006,0))&gt;=100000), " ",IF(INDEX($AC$2:$AS$1001,MATCH(ROWS($V$2:V111),$V$2:$V$1001,0),MATCH(COLUMNS($AC$1006:AM1006),$AC$1006:$AS$1006,0)), HYPERLINK("#",""), HYPERLINK(CONCATENATE("#metadata!", ADDRESS(INDEX($X$2:$X$1001,MATCH(ROWS($V$2:V111),$V$2:$V$1001,0),0), INDEX($AC$1004:$AS$1004,1,MATCH(COLUMNS($AC$1006:AM1006),$AC$1006:$AS$1006,0)))),"Fix")))</f>
        <v xml:space="preserve"> </v>
      </c>
      <c r="M111" s="4" t="str">
        <f ca="1">IF(OR(INDEX($W$2:$W$1001,MATCH(ROWS($V$2:V111),$V$2:$V$1001,0),1)&gt;=100000,INDEX($AC$1005:$AS$1005,1,MATCH(COLUMNS($AC$1006:AN1006),$AC$1006:$AS$1006,0))&gt;=100000), " ",IF(INDEX($AC$2:$AS$1001,MATCH(ROWS($V$2:V111),$V$2:$V$1001,0),MATCH(COLUMNS($AC$1006:AN1006),$AC$1006:$AS$1006,0)), HYPERLINK("#",""), HYPERLINK(CONCATENATE("#metadata!", ADDRESS(INDEX($X$2:$X$1001,MATCH(ROWS($V$2:V111),$V$2:$V$1001,0),0), INDEX($AC$1004:$AS$1004,1,MATCH(COLUMNS($AC$1006:AN1006),$AC$1006:$AS$1006,0)))),"Fix")))</f>
        <v xml:space="preserve"> </v>
      </c>
      <c r="N111" s="4" t="str">
        <f ca="1">IF(OR(INDEX($W$2:$W$1001,MATCH(ROWS($V$2:V111),$V$2:$V$1001,0),1)&gt;=100000,INDEX($AC$1005:$AS$1005,1,MATCH(COLUMNS($AC$1006:AO1006),$AC$1006:$AS$1006,0))&gt;=100000), " ",IF(INDEX($AC$2:$AS$1001,MATCH(ROWS($V$2:V111),$V$2:$V$1001,0),MATCH(COLUMNS($AC$1006:AO1006),$AC$1006:$AS$1006,0)), HYPERLINK("#",""), HYPERLINK(CONCATENATE("#metadata!", ADDRESS(INDEX($X$2:$X$1001,MATCH(ROWS($V$2:V111),$V$2:$V$1001,0),0), INDEX($AC$1004:$AS$1004,1,MATCH(COLUMNS($AC$1006:AO1006),$AC$1006:$AS$1006,0)))),"Fix")))</f>
        <v xml:space="preserve"> </v>
      </c>
      <c r="O111" s="4" t="str">
        <f ca="1">IF(OR(INDEX($W$2:$W$1001,MATCH(ROWS($V$2:V111),$V$2:$V$1001,0),1)&gt;=100000,INDEX($AC$1005:$AS$1005,1,MATCH(COLUMNS($AC$1006:AP1006),$AC$1006:$AS$1006,0))&gt;=100000), " ",IF(INDEX($AC$2:$AS$1001,MATCH(ROWS($V$2:V111),$V$2:$V$1001,0),MATCH(COLUMNS($AC$1006:AP1006),$AC$1006:$AS$1006,0)), HYPERLINK("#",""), HYPERLINK(CONCATENATE("#metadata!", ADDRESS(INDEX($X$2:$X$1001,MATCH(ROWS($V$2:V111),$V$2:$V$1001,0),0), INDEX($AC$1004:$AS$1004,1,MATCH(COLUMNS($AC$1006:AP1006),$AC$1006:$AS$1006,0)))),"Fix")))</f>
        <v xml:space="preserve"> </v>
      </c>
      <c r="P111" s="4" t="str">
        <f ca="1">IF(OR(INDEX($W$2:$W$1001,MATCH(ROWS($V$2:V111),$V$2:$V$1001,0),1)&gt;=100000,INDEX($AC$1005:$AS$1005,1,MATCH(COLUMNS($AC$1006:AQ1006),$AC$1006:$AS$1006,0))&gt;=100000), " ",IF(INDEX($AC$2:$AS$1001,MATCH(ROWS($V$2:V111),$V$2:$V$1001,0),MATCH(COLUMNS($AC$1006:AQ1006),$AC$1006:$AS$1006,0)), HYPERLINK("#",""), HYPERLINK(CONCATENATE("#metadata!", ADDRESS(INDEX($X$2:$X$1001,MATCH(ROWS($V$2:V111),$V$2:$V$1001,0),0), INDEX($AC$1004:$AS$1004,1,MATCH(COLUMNS($AC$1006:AQ1006),$AC$1006:$AS$1006,0)))),"Fix")))</f>
        <v xml:space="preserve"> </v>
      </c>
      <c r="Q111" s="4" t="str">
        <f ca="1">IF(OR(INDEX($W$2:$W$1001,MATCH(ROWS($V$2:V111),$V$2:$V$1001,0),1)&gt;=100000,INDEX($AC$1005:$AS$1005,1,MATCH(COLUMNS($AC$1006:AR1006),$AC$1006:$AS$1006,0))&gt;=100000), " ",IF(INDEX($AC$2:$AS$1001,MATCH(ROWS($V$2:V111),$V$2:$V$1001,0),MATCH(COLUMNS($AC$1006:AR1006),$AC$1006:$AS$1006,0)), HYPERLINK("#",""), HYPERLINK(CONCATENATE("#metadata!", ADDRESS(INDEX($X$2:$X$1001,MATCH(ROWS($V$2:V111),$V$2:$V$1001,0),0), INDEX($AC$1004:$AS$1004,1,MATCH(COLUMNS($AC$1006:AR1006),$AC$1006:$AS$1006,0)))),"Fix")))</f>
        <v xml:space="preserve"> </v>
      </c>
      <c r="R111" s="4" t="str">
        <f ca="1">IF(OR(INDEX($W$2:$W$1001,MATCH(ROWS($V$2:V111),$V$2:$V$1001,0),1)&gt;=100000,INDEX($AC$1005:$AS$1005,1,MATCH(COLUMNS($AC$1006:AS1006),$AC$1006:$AS$1006,0))&gt;=100000), " ",IF(INDEX($AC$2:$AS$1001,MATCH(ROWS($V$2:V111),$V$2:$V$1001,0),MATCH(COLUMNS($AC$1006:AS1006),$AC$1006:$AS$1006,0)), HYPERLINK("#",""), HYPERLINK(CONCATENATE("#metadata!", ADDRESS(INDEX($X$2:$X$1001,MATCH(ROWS($V$2:V111),$V$2:$V$1001,0),0), INDEX($AC$1004:$AS$1004,1,MATCH(COLUMNS($AC$1006:AS1006),$AC$1006:$AS$1006,0)))),"Fix")))</f>
        <v xml:space="preserve"> </v>
      </c>
      <c r="V111">
        <v>110</v>
      </c>
      <c r="W111">
        <v>100111</v>
      </c>
      <c r="X111">
        <v>111</v>
      </c>
      <c r="Y111" t="b">
        <f t="shared" si="1"/>
        <v>1</v>
      </c>
      <c r="Z111" t="b">
        <f>COUNTBLANK(metadata!B111:R111)=COLUMNS(metadata!B111:R111)</f>
        <v>1</v>
      </c>
      <c r="AA111" t="str">
        <v/>
      </c>
      <c r="AC111" t="b">
        <f ca="1"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AD111" t="b">
        <f>IF(metadata!C111="",FALSE,ISNUMBER(VALUE(metadata!C111)))</f>
        <v>0</v>
      </c>
      <c r="AE111" t="b">
        <f>AND(IF(metadata!D111="",FALSE,TRUE),EXACT(metadata!D111,"years"))</f>
        <v>0</v>
      </c>
      <c r="AF111" t="b">
        <f>OR(AND(IF(metadata!E111="",FALSE,TRUE),OR(EXACT(metadata!E111,"not applicable"),EXACT(metadata!E111,"missing: not collected"),EXACT(metadata!E111,"missing: not provided"),EXACT(metadata!E111,"missing: restricted access"))),AND(IF(metadata!E111="",FALSE,ISNUMBER(VALUE(metadata!E111))),metadata!E111&gt;0))</f>
        <v>0</v>
      </c>
      <c r="AG111" t="b">
        <f>AND(IF(metadata!F111="",FALSE,TRUE),EXACT(metadata!F111,"Not applicable"))</f>
        <v>0</v>
      </c>
      <c r="AH111" t="b">
        <f>AND(IF(metadata!G111="",FALSE,TRUE),EXACT(metadata!G111,"urban biome"))</f>
        <v>0</v>
      </c>
      <c r="AI111" t="b">
        <f>AND(IF(metadata!H111="",FALSE,TRUE),EXACT(metadata!H111,"human-associated habitat"))</f>
        <v>0</v>
      </c>
      <c r="AJ111" t="b">
        <f>AND(IF(metadata!I111="",FALSE,TRUE),OR(EXACT(metadata!I111,"human-associated"),EXACT(metadata!I111,"human-skin"),EXACT(metadata!I111,"human-oral"),EXACT(metadata!I111,"human-gut"),EXACT(metadata!I111,"human-vaginal")))</f>
        <v>0</v>
      </c>
      <c r="AK111" t="b">
        <f>IF(metadata!J111="",FALSE,ISNUMBER(VALUE(metadata!J111)))</f>
        <v>0</v>
      </c>
      <c r="AL111" t="b">
        <f>AND(IF(metadata!K111="",FALSE,TRUE),EXACT(metadata!K111,"cm"))</f>
        <v>0</v>
      </c>
      <c r="AM111" t="b">
        <f>AND(IF(metadata!L111="",FALSE,TRUE),EXACT(metadata!L111,"human"))</f>
        <v>0</v>
      </c>
      <c r="AN111" t="b">
        <f>AND(IF(metadata!M111="",FALSE,TRUE),EXACT(metadata!M111,"Homo sapiens"))</f>
        <v>0</v>
      </c>
      <c r="AO111" t="b">
        <f>AND(IF(metadata!N111="",FALSE,TRUE),EXACT(metadata!N111,"9606"))</f>
        <v>0</v>
      </c>
      <c r="AP111" t="b">
        <f>IF(metadata!O111="",FALSE,TRUE)</f>
        <v>0</v>
      </c>
      <c r="AQ111" t="b">
        <f>IF(metadata!P111="",FALSE,TRUE)</f>
        <v>0</v>
      </c>
      <c r="AR111" t="b">
        <f>IF(metadata!Q111="",FALSE,ISNUMBER(VALUE(metadata!Q111)))</f>
        <v>0</v>
      </c>
      <c r="AS111" t="b">
        <f>AND(IF(metadata!R111="",FALSE,TRUE),EXACT(metadata!R111,"kg"))</f>
        <v>0</v>
      </c>
    </row>
    <row r="112" spans="1:45" x14ac:dyDescent="0.2">
      <c r="A112" s="5" t="str">
        <f ca="1">IF(B112=" "," ",HYPERLINK(CONCATENATE("#metadata!",ADDRESS(INDEX($X$2:$X$1001,MATCH(ROWS($V$2:V112),$V$2:$V$1001,0),0),1)),INDEX($AA$2:$AA$1001,MATCH(ROWS($V$2:V112),$V$2:$V$1001,0),0)))</f>
        <v xml:space="preserve"> </v>
      </c>
      <c r="B112" s="4" t="str">
        <f ca="1">IF(OR(INDEX($W$2:$W$1001,MATCH(ROWS($V$2:V112),$V$2:$V$1001,0),1)&gt;=100000,INDEX($AC$1005:$AS$1005,1,MATCH(COLUMNS($AC$1006:AC1006),$AC$1006:$AS$1006,0))&gt;=100000), " ",IF(INDEX($AC$2:$AS$1001,MATCH(ROWS($V$2:V112),$V$2:$V$1001,0),MATCH(COLUMNS($AC$1006:AC1006),$AC$1006:$AS$1006,0)), HYPERLINK("#",""), HYPERLINK(CONCATENATE("#metadata!", ADDRESS(INDEX($X$2:$X$1001,MATCH(ROWS($V$2:V112),$V$2:$V$1001,0),0), INDEX($AC$1004:$AS$1004,1,MATCH(COLUMNS($AC$1006:AC1006),$AC$1006:$AS$1006,0)))),"Fix")))</f>
        <v xml:space="preserve"> </v>
      </c>
      <c r="C112" s="4" t="str">
        <f ca="1">IF(OR(INDEX($W$2:$W$1001,MATCH(ROWS($V$2:V112),$V$2:$V$1001,0),1)&gt;=100000,INDEX($AC$1005:$AS$1005,1,MATCH(COLUMNS($AC$1006:AD1006),$AC$1006:$AS$1006,0))&gt;=100000), " ",IF(INDEX($AC$2:$AS$1001,MATCH(ROWS($V$2:V112),$V$2:$V$1001,0),MATCH(COLUMNS($AC$1006:AD1006),$AC$1006:$AS$1006,0)), HYPERLINK("#",""), HYPERLINK(CONCATENATE("#metadata!", ADDRESS(INDEX($X$2:$X$1001,MATCH(ROWS($V$2:V112),$V$2:$V$1001,0),0), INDEX($AC$1004:$AS$1004,1,MATCH(COLUMNS($AC$1006:AD1006),$AC$1006:$AS$1006,0)))),"Fix")))</f>
        <v xml:space="preserve"> </v>
      </c>
      <c r="D112" s="4" t="str">
        <f ca="1">IF(OR(INDEX($W$2:$W$1001,MATCH(ROWS($V$2:V112),$V$2:$V$1001,0),1)&gt;=100000,INDEX($AC$1005:$AS$1005,1,MATCH(COLUMNS($AC$1006:AE1006),$AC$1006:$AS$1006,0))&gt;=100000), " ",IF(INDEX($AC$2:$AS$1001,MATCH(ROWS($V$2:V112),$V$2:$V$1001,0),MATCH(COLUMNS($AC$1006:AE1006),$AC$1006:$AS$1006,0)), HYPERLINK("#",""), HYPERLINK(CONCATENATE("#metadata!", ADDRESS(INDEX($X$2:$X$1001,MATCH(ROWS($V$2:V112),$V$2:$V$1001,0),0), INDEX($AC$1004:$AS$1004,1,MATCH(COLUMNS($AC$1006:AE1006),$AC$1006:$AS$1006,0)))),"Fix")))</f>
        <v xml:space="preserve"> </v>
      </c>
      <c r="E112" s="4" t="str">
        <f ca="1">IF(OR(INDEX($W$2:$W$1001,MATCH(ROWS($V$2:V112),$V$2:$V$1001,0),1)&gt;=100000,INDEX($AC$1005:$AS$1005,1,MATCH(COLUMNS($AC$1006:AF1006),$AC$1006:$AS$1006,0))&gt;=100000), " ",IF(INDEX($AC$2:$AS$1001,MATCH(ROWS($V$2:V112),$V$2:$V$1001,0),MATCH(COLUMNS($AC$1006:AF1006),$AC$1006:$AS$1006,0)), HYPERLINK("#",""), HYPERLINK(CONCATENATE("#metadata!", ADDRESS(INDEX($X$2:$X$1001,MATCH(ROWS($V$2:V112),$V$2:$V$1001,0),0), INDEX($AC$1004:$AS$1004,1,MATCH(COLUMNS($AC$1006:AF1006),$AC$1006:$AS$1006,0)))),"Fix")))</f>
        <v xml:space="preserve"> </v>
      </c>
      <c r="F112" s="4" t="str">
        <f ca="1">IF(OR(INDEX($W$2:$W$1001,MATCH(ROWS($V$2:V112),$V$2:$V$1001,0),1)&gt;=100000,INDEX($AC$1005:$AS$1005,1,MATCH(COLUMNS($AC$1006:AG1006),$AC$1006:$AS$1006,0))&gt;=100000), " ",IF(INDEX($AC$2:$AS$1001,MATCH(ROWS($V$2:V112),$V$2:$V$1001,0),MATCH(COLUMNS($AC$1006:AG1006),$AC$1006:$AS$1006,0)), HYPERLINK("#",""), HYPERLINK(CONCATENATE("#metadata!", ADDRESS(INDEX($X$2:$X$1001,MATCH(ROWS($V$2:V112),$V$2:$V$1001,0),0), INDEX($AC$1004:$AS$1004,1,MATCH(COLUMNS($AC$1006:AG1006),$AC$1006:$AS$1006,0)))),"Fix")))</f>
        <v xml:space="preserve"> </v>
      </c>
      <c r="G112" s="4" t="str">
        <f ca="1">IF(OR(INDEX($W$2:$W$1001,MATCH(ROWS($V$2:V112),$V$2:$V$1001,0),1)&gt;=100000,INDEX($AC$1005:$AS$1005,1,MATCH(COLUMNS($AC$1006:AH1006),$AC$1006:$AS$1006,0))&gt;=100000), " ",IF(INDEX($AC$2:$AS$1001,MATCH(ROWS($V$2:V112),$V$2:$V$1001,0),MATCH(COLUMNS($AC$1006:AH1006),$AC$1006:$AS$1006,0)), HYPERLINK("#",""), HYPERLINK(CONCATENATE("#metadata!", ADDRESS(INDEX($X$2:$X$1001,MATCH(ROWS($V$2:V112),$V$2:$V$1001,0),0), INDEX($AC$1004:$AS$1004,1,MATCH(COLUMNS($AC$1006:AH1006),$AC$1006:$AS$1006,0)))),"Fix")))</f>
        <v xml:space="preserve"> </v>
      </c>
      <c r="H112" s="4" t="str">
        <f ca="1">IF(OR(INDEX($W$2:$W$1001,MATCH(ROWS($V$2:V112),$V$2:$V$1001,0),1)&gt;=100000,INDEX($AC$1005:$AS$1005,1,MATCH(COLUMNS($AC$1006:AI1006),$AC$1006:$AS$1006,0))&gt;=100000), " ",IF(INDEX($AC$2:$AS$1001,MATCH(ROWS($V$2:V112),$V$2:$V$1001,0),MATCH(COLUMNS($AC$1006:AI1006),$AC$1006:$AS$1006,0)), HYPERLINK("#",""), HYPERLINK(CONCATENATE("#metadata!", ADDRESS(INDEX($X$2:$X$1001,MATCH(ROWS($V$2:V112),$V$2:$V$1001,0),0), INDEX($AC$1004:$AS$1004,1,MATCH(COLUMNS($AC$1006:AI1006),$AC$1006:$AS$1006,0)))),"Fix")))</f>
        <v xml:space="preserve"> </v>
      </c>
      <c r="I112" s="4" t="str">
        <f ca="1">IF(OR(INDEX($W$2:$W$1001,MATCH(ROWS($V$2:V112),$V$2:$V$1001,0),1)&gt;=100000,INDEX($AC$1005:$AS$1005,1,MATCH(COLUMNS($AC$1006:AJ1006),$AC$1006:$AS$1006,0))&gt;=100000), " ",IF(INDEX($AC$2:$AS$1001,MATCH(ROWS($V$2:V112),$V$2:$V$1001,0),MATCH(COLUMNS($AC$1006:AJ1006),$AC$1006:$AS$1006,0)), HYPERLINK("#",""), HYPERLINK(CONCATENATE("#metadata!", ADDRESS(INDEX($X$2:$X$1001,MATCH(ROWS($V$2:V112),$V$2:$V$1001,0),0), INDEX($AC$1004:$AS$1004,1,MATCH(COLUMNS($AC$1006:AJ1006),$AC$1006:$AS$1006,0)))),"Fix")))</f>
        <v xml:space="preserve"> </v>
      </c>
      <c r="J112" s="4" t="str">
        <f ca="1">IF(OR(INDEX($W$2:$W$1001,MATCH(ROWS($V$2:V112),$V$2:$V$1001,0),1)&gt;=100000,INDEX($AC$1005:$AS$1005,1,MATCH(COLUMNS($AC$1006:AK1006),$AC$1006:$AS$1006,0))&gt;=100000), " ",IF(INDEX($AC$2:$AS$1001,MATCH(ROWS($V$2:V112),$V$2:$V$1001,0),MATCH(COLUMNS($AC$1006:AK1006),$AC$1006:$AS$1006,0)), HYPERLINK("#",""), HYPERLINK(CONCATENATE("#metadata!", ADDRESS(INDEX($X$2:$X$1001,MATCH(ROWS($V$2:V112),$V$2:$V$1001,0),0), INDEX($AC$1004:$AS$1004,1,MATCH(COLUMNS($AC$1006:AK1006),$AC$1006:$AS$1006,0)))),"Fix")))</f>
        <v xml:space="preserve"> </v>
      </c>
      <c r="K112" s="4" t="str">
        <f ca="1">IF(OR(INDEX($W$2:$W$1001,MATCH(ROWS($V$2:V112),$V$2:$V$1001,0),1)&gt;=100000,INDEX($AC$1005:$AS$1005,1,MATCH(COLUMNS($AC$1006:AL1006),$AC$1006:$AS$1006,0))&gt;=100000), " ",IF(INDEX($AC$2:$AS$1001,MATCH(ROWS($V$2:V112),$V$2:$V$1001,0),MATCH(COLUMNS($AC$1006:AL1006),$AC$1006:$AS$1006,0)), HYPERLINK("#",""), HYPERLINK(CONCATENATE("#metadata!", ADDRESS(INDEX($X$2:$X$1001,MATCH(ROWS($V$2:V112),$V$2:$V$1001,0),0), INDEX($AC$1004:$AS$1004,1,MATCH(COLUMNS($AC$1006:AL1006),$AC$1006:$AS$1006,0)))),"Fix")))</f>
        <v xml:space="preserve"> </v>
      </c>
      <c r="L112" s="4" t="str">
        <f ca="1">IF(OR(INDEX($W$2:$W$1001,MATCH(ROWS($V$2:V112),$V$2:$V$1001,0),1)&gt;=100000,INDEX($AC$1005:$AS$1005,1,MATCH(COLUMNS($AC$1006:AM1006),$AC$1006:$AS$1006,0))&gt;=100000), " ",IF(INDEX($AC$2:$AS$1001,MATCH(ROWS($V$2:V112),$V$2:$V$1001,0),MATCH(COLUMNS($AC$1006:AM1006),$AC$1006:$AS$1006,0)), HYPERLINK("#",""), HYPERLINK(CONCATENATE("#metadata!", ADDRESS(INDEX($X$2:$X$1001,MATCH(ROWS($V$2:V112),$V$2:$V$1001,0),0), INDEX($AC$1004:$AS$1004,1,MATCH(COLUMNS($AC$1006:AM1006),$AC$1006:$AS$1006,0)))),"Fix")))</f>
        <v xml:space="preserve"> </v>
      </c>
      <c r="M112" s="4" t="str">
        <f ca="1">IF(OR(INDEX($W$2:$W$1001,MATCH(ROWS($V$2:V112),$V$2:$V$1001,0),1)&gt;=100000,INDEX($AC$1005:$AS$1005,1,MATCH(COLUMNS($AC$1006:AN1006),$AC$1006:$AS$1006,0))&gt;=100000), " ",IF(INDEX($AC$2:$AS$1001,MATCH(ROWS($V$2:V112),$V$2:$V$1001,0),MATCH(COLUMNS($AC$1006:AN1006),$AC$1006:$AS$1006,0)), HYPERLINK("#",""), HYPERLINK(CONCATENATE("#metadata!", ADDRESS(INDEX($X$2:$X$1001,MATCH(ROWS($V$2:V112),$V$2:$V$1001,0),0), INDEX($AC$1004:$AS$1004,1,MATCH(COLUMNS($AC$1006:AN1006),$AC$1006:$AS$1006,0)))),"Fix")))</f>
        <v xml:space="preserve"> </v>
      </c>
      <c r="N112" s="4" t="str">
        <f ca="1">IF(OR(INDEX($W$2:$W$1001,MATCH(ROWS($V$2:V112),$V$2:$V$1001,0),1)&gt;=100000,INDEX($AC$1005:$AS$1005,1,MATCH(COLUMNS($AC$1006:AO1006),$AC$1006:$AS$1006,0))&gt;=100000), " ",IF(INDEX($AC$2:$AS$1001,MATCH(ROWS($V$2:V112),$V$2:$V$1001,0),MATCH(COLUMNS($AC$1006:AO1006),$AC$1006:$AS$1006,0)), HYPERLINK("#",""), HYPERLINK(CONCATENATE("#metadata!", ADDRESS(INDEX($X$2:$X$1001,MATCH(ROWS($V$2:V112),$V$2:$V$1001,0),0), INDEX($AC$1004:$AS$1004,1,MATCH(COLUMNS($AC$1006:AO1006),$AC$1006:$AS$1006,0)))),"Fix")))</f>
        <v xml:space="preserve"> </v>
      </c>
      <c r="O112" s="4" t="str">
        <f ca="1">IF(OR(INDEX($W$2:$W$1001,MATCH(ROWS($V$2:V112),$V$2:$V$1001,0),1)&gt;=100000,INDEX($AC$1005:$AS$1005,1,MATCH(COLUMNS($AC$1006:AP1006),$AC$1006:$AS$1006,0))&gt;=100000), " ",IF(INDEX($AC$2:$AS$1001,MATCH(ROWS($V$2:V112),$V$2:$V$1001,0),MATCH(COLUMNS($AC$1006:AP1006),$AC$1006:$AS$1006,0)), HYPERLINK("#",""), HYPERLINK(CONCATENATE("#metadata!", ADDRESS(INDEX($X$2:$X$1001,MATCH(ROWS($V$2:V112),$V$2:$V$1001,0),0), INDEX($AC$1004:$AS$1004,1,MATCH(COLUMNS($AC$1006:AP1006),$AC$1006:$AS$1006,0)))),"Fix")))</f>
        <v xml:space="preserve"> </v>
      </c>
      <c r="P112" s="4" t="str">
        <f ca="1">IF(OR(INDEX($W$2:$W$1001,MATCH(ROWS($V$2:V112),$V$2:$V$1001,0),1)&gt;=100000,INDEX($AC$1005:$AS$1005,1,MATCH(COLUMNS($AC$1006:AQ1006),$AC$1006:$AS$1006,0))&gt;=100000), " ",IF(INDEX($AC$2:$AS$1001,MATCH(ROWS($V$2:V112),$V$2:$V$1001,0),MATCH(COLUMNS($AC$1006:AQ1006),$AC$1006:$AS$1006,0)), HYPERLINK("#",""), HYPERLINK(CONCATENATE("#metadata!", ADDRESS(INDEX($X$2:$X$1001,MATCH(ROWS($V$2:V112),$V$2:$V$1001,0),0), INDEX($AC$1004:$AS$1004,1,MATCH(COLUMNS($AC$1006:AQ1006),$AC$1006:$AS$1006,0)))),"Fix")))</f>
        <v xml:space="preserve"> </v>
      </c>
      <c r="Q112" s="4" t="str">
        <f ca="1">IF(OR(INDEX($W$2:$W$1001,MATCH(ROWS($V$2:V112),$V$2:$V$1001,0),1)&gt;=100000,INDEX($AC$1005:$AS$1005,1,MATCH(COLUMNS($AC$1006:AR1006),$AC$1006:$AS$1006,0))&gt;=100000), " ",IF(INDEX($AC$2:$AS$1001,MATCH(ROWS($V$2:V112),$V$2:$V$1001,0),MATCH(COLUMNS($AC$1006:AR1006),$AC$1006:$AS$1006,0)), HYPERLINK("#",""), HYPERLINK(CONCATENATE("#metadata!", ADDRESS(INDEX($X$2:$X$1001,MATCH(ROWS($V$2:V112),$V$2:$V$1001,0),0), INDEX($AC$1004:$AS$1004,1,MATCH(COLUMNS($AC$1006:AR1006),$AC$1006:$AS$1006,0)))),"Fix")))</f>
        <v xml:space="preserve"> </v>
      </c>
      <c r="R112" s="4" t="str">
        <f ca="1">IF(OR(INDEX($W$2:$W$1001,MATCH(ROWS($V$2:V112),$V$2:$V$1001,0),1)&gt;=100000,INDEX($AC$1005:$AS$1005,1,MATCH(COLUMNS($AC$1006:AS1006),$AC$1006:$AS$1006,0))&gt;=100000), " ",IF(INDEX($AC$2:$AS$1001,MATCH(ROWS($V$2:V112),$V$2:$V$1001,0),MATCH(COLUMNS($AC$1006:AS1006),$AC$1006:$AS$1006,0)), HYPERLINK("#",""), HYPERLINK(CONCATENATE("#metadata!", ADDRESS(INDEX($X$2:$X$1001,MATCH(ROWS($V$2:V112),$V$2:$V$1001,0),0), INDEX($AC$1004:$AS$1004,1,MATCH(COLUMNS($AC$1006:AS1006),$AC$1006:$AS$1006,0)))),"Fix")))</f>
        <v xml:space="preserve"> </v>
      </c>
      <c r="V112">
        <v>111</v>
      </c>
      <c r="W112">
        <v>100112</v>
      </c>
      <c r="X112">
        <v>112</v>
      </c>
      <c r="Y112" t="b">
        <f t="shared" si="1"/>
        <v>1</v>
      </c>
      <c r="Z112" t="b">
        <f>COUNTBLANK(metadata!B112:R112)=COLUMNS(metadata!B112:R112)</f>
        <v>1</v>
      </c>
      <c r="AA112" t="str">
        <v/>
      </c>
      <c r="AC112" t="b">
        <f ca="1"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AD112" t="b">
        <f>IF(metadata!C112="",FALSE,ISNUMBER(VALUE(metadata!C112)))</f>
        <v>0</v>
      </c>
      <c r="AE112" t="b">
        <f>AND(IF(metadata!D112="",FALSE,TRUE),EXACT(metadata!D112,"years"))</f>
        <v>0</v>
      </c>
      <c r="AF112" t="b">
        <f>OR(AND(IF(metadata!E112="",FALSE,TRUE),OR(EXACT(metadata!E112,"not applicable"),EXACT(metadata!E112,"missing: not collected"),EXACT(metadata!E112,"missing: not provided"),EXACT(metadata!E112,"missing: restricted access"))),AND(IF(metadata!E112="",FALSE,ISNUMBER(VALUE(metadata!E112))),metadata!E112&gt;0))</f>
        <v>0</v>
      </c>
      <c r="AG112" t="b">
        <f>AND(IF(metadata!F112="",FALSE,TRUE),EXACT(metadata!F112,"Not applicable"))</f>
        <v>0</v>
      </c>
      <c r="AH112" t="b">
        <f>AND(IF(metadata!G112="",FALSE,TRUE),EXACT(metadata!G112,"urban biome"))</f>
        <v>0</v>
      </c>
      <c r="AI112" t="b">
        <f>AND(IF(metadata!H112="",FALSE,TRUE),EXACT(metadata!H112,"human-associated habitat"))</f>
        <v>0</v>
      </c>
      <c r="AJ112" t="b">
        <f>AND(IF(metadata!I112="",FALSE,TRUE),OR(EXACT(metadata!I112,"human-associated"),EXACT(metadata!I112,"human-skin"),EXACT(metadata!I112,"human-oral"),EXACT(metadata!I112,"human-gut"),EXACT(metadata!I112,"human-vaginal")))</f>
        <v>0</v>
      </c>
      <c r="AK112" t="b">
        <f>IF(metadata!J112="",FALSE,ISNUMBER(VALUE(metadata!J112)))</f>
        <v>0</v>
      </c>
      <c r="AL112" t="b">
        <f>AND(IF(metadata!K112="",FALSE,TRUE),EXACT(metadata!K112,"cm"))</f>
        <v>0</v>
      </c>
      <c r="AM112" t="b">
        <f>AND(IF(metadata!L112="",FALSE,TRUE),EXACT(metadata!L112,"human"))</f>
        <v>0</v>
      </c>
      <c r="AN112" t="b">
        <f>AND(IF(metadata!M112="",FALSE,TRUE),EXACT(metadata!M112,"Homo sapiens"))</f>
        <v>0</v>
      </c>
      <c r="AO112" t="b">
        <f>AND(IF(metadata!N112="",FALSE,TRUE),EXACT(metadata!N112,"9606"))</f>
        <v>0</v>
      </c>
      <c r="AP112" t="b">
        <f>IF(metadata!O112="",FALSE,TRUE)</f>
        <v>0</v>
      </c>
      <c r="AQ112" t="b">
        <f>IF(metadata!P112="",FALSE,TRUE)</f>
        <v>0</v>
      </c>
      <c r="AR112" t="b">
        <f>IF(metadata!Q112="",FALSE,ISNUMBER(VALUE(metadata!Q112)))</f>
        <v>0</v>
      </c>
      <c r="AS112" t="b">
        <f>AND(IF(metadata!R112="",FALSE,TRUE),EXACT(metadata!R112,"kg"))</f>
        <v>0</v>
      </c>
    </row>
    <row r="113" spans="1:45" x14ac:dyDescent="0.2">
      <c r="A113" s="5" t="str">
        <f ca="1">IF(B113=" "," ",HYPERLINK(CONCATENATE("#metadata!",ADDRESS(INDEX($X$2:$X$1001,MATCH(ROWS($V$2:V113),$V$2:$V$1001,0),0),1)),INDEX($AA$2:$AA$1001,MATCH(ROWS($V$2:V113),$V$2:$V$1001,0),0)))</f>
        <v xml:space="preserve"> </v>
      </c>
      <c r="B113" s="4" t="str">
        <f ca="1">IF(OR(INDEX($W$2:$W$1001,MATCH(ROWS($V$2:V113),$V$2:$V$1001,0),1)&gt;=100000,INDEX($AC$1005:$AS$1005,1,MATCH(COLUMNS($AC$1006:AC1006),$AC$1006:$AS$1006,0))&gt;=100000), " ",IF(INDEX($AC$2:$AS$1001,MATCH(ROWS($V$2:V113),$V$2:$V$1001,0),MATCH(COLUMNS($AC$1006:AC1006),$AC$1006:$AS$1006,0)), HYPERLINK("#",""), HYPERLINK(CONCATENATE("#metadata!", ADDRESS(INDEX($X$2:$X$1001,MATCH(ROWS($V$2:V113),$V$2:$V$1001,0),0), INDEX($AC$1004:$AS$1004,1,MATCH(COLUMNS($AC$1006:AC1006),$AC$1006:$AS$1006,0)))),"Fix")))</f>
        <v xml:space="preserve"> </v>
      </c>
      <c r="C113" s="4" t="str">
        <f ca="1">IF(OR(INDEX($W$2:$W$1001,MATCH(ROWS($V$2:V113),$V$2:$V$1001,0),1)&gt;=100000,INDEX($AC$1005:$AS$1005,1,MATCH(COLUMNS($AC$1006:AD1006),$AC$1006:$AS$1006,0))&gt;=100000), " ",IF(INDEX($AC$2:$AS$1001,MATCH(ROWS($V$2:V113),$V$2:$V$1001,0),MATCH(COLUMNS($AC$1006:AD1006),$AC$1006:$AS$1006,0)), HYPERLINK("#",""), HYPERLINK(CONCATENATE("#metadata!", ADDRESS(INDEX($X$2:$X$1001,MATCH(ROWS($V$2:V113),$V$2:$V$1001,0),0), INDEX($AC$1004:$AS$1004,1,MATCH(COLUMNS($AC$1006:AD1006),$AC$1006:$AS$1006,0)))),"Fix")))</f>
        <v xml:space="preserve"> </v>
      </c>
      <c r="D113" s="4" t="str">
        <f ca="1">IF(OR(INDEX($W$2:$W$1001,MATCH(ROWS($V$2:V113),$V$2:$V$1001,0),1)&gt;=100000,INDEX($AC$1005:$AS$1005,1,MATCH(COLUMNS($AC$1006:AE1006),$AC$1006:$AS$1006,0))&gt;=100000), " ",IF(INDEX($AC$2:$AS$1001,MATCH(ROWS($V$2:V113),$V$2:$V$1001,0),MATCH(COLUMNS($AC$1006:AE1006),$AC$1006:$AS$1006,0)), HYPERLINK("#",""), HYPERLINK(CONCATENATE("#metadata!", ADDRESS(INDEX($X$2:$X$1001,MATCH(ROWS($V$2:V113),$V$2:$V$1001,0),0), INDEX($AC$1004:$AS$1004,1,MATCH(COLUMNS($AC$1006:AE1006),$AC$1006:$AS$1006,0)))),"Fix")))</f>
        <v xml:space="preserve"> </v>
      </c>
      <c r="E113" s="4" t="str">
        <f ca="1">IF(OR(INDEX($W$2:$W$1001,MATCH(ROWS($V$2:V113),$V$2:$V$1001,0),1)&gt;=100000,INDEX($AC$1005:$AS$1005,1,MATCH(COLUMNS($AC$1006:AF1006),$AC$1006:$AS$1006,0))&gt;=100000), " ",IF(INDEX($AC$2:$AS$1001,MATCH(ROWS($V$2:V113),$V$2:$V$1001,0),MATCH(COLUMNS($AC$1006:AF1006),$AC$1006:$AS$1006,0)), HYPERLINK("#",""), HYPERLINK(CONCATENATE("#metadata!", ADDRESS(INDEX($X$2:$X$1001,MATCH(ROWS($V$2:V113),$V$2:$V$1001,0),0), INDEX($AC$1004:$AS$1004,1,MATCH(COLUMNS($AC$1006:AF1006),$AC$1006:$AS$1006,0)))),"Fix")))</f>
        <v xml:space="preserve"> </v>
      </c>
      <c r="F113" s="4" t="str">
        <f ca="1">IF(OR(INDEX($W$2:$W$1001,MATCH(ROWS($V$2:V113),$V$2:$V$1001,0),1)&gt;=100000,INDEX($AC$1005:$AS$1005,1,MATCH(COLUMNS($AC$1006:AG1006),$AC$1006:$AS$1006,0))&gt;=100000), " ",IF(INDEX($AC$2:$AS$1001,MATCH(ROWS($V$2:V113),$V$2:$V$1001,0),MATCH(COLUMNS($AC$1006:AG1006),$AC$1006:$AS$1006,0)), HYPERLINK("#",""), HYPERLINK(CONCATENATE("#metadata!", ADDRESS(INDEX($X$2:$X$1001,MATCH(ROWS($V$2:V113),$V$2:$V$1001,0),0), INDEX($AC$1004:$AS$1004,1,MATCH(COLUMNS($AC$1006:AG1006),$AC$1006:$AS$1006,0)))),"Fix")))</f>
        <v xml:space="preserve"> </v>
      </c>
      <c r="G113" s="4" t="str">
        <f ca="1">IF(OR(INDEX($W$2:$W$1001,MATCH(ROWS($V$2:V113),$V$2:$V$1001,0),1)&gt;=100000,INDEX($AC$1005:$AS$1005,1,MATCH(COLUMNS($AC$1006:AH1006),$AC$1006:$AS$1006,0))&gt;=100000), " ",IF(INDEX($AC$2:$AS$1001,MATCH(ROWS($V$2:V113),$V$2:$V$1001,0),MATCH(COLUMNS($AC$1006:AH1006),$AC$1006:$AS$1006,0)), HYPERLINK("#",""), HYPERLINK(CONCATENATE("#metadata!", ADDRESS(INDEX($X$2:$X$1001,MATCH(ROWS($V$2:V113),$V$2:$V$1001,0),0), INDEX($AC$1004:$AS$1004,1,MATCH(COLUMNS($AC$1006:AH1006),$AC$1006:$AS$1006,0)))),"Fix")))</f>
        <v xml:space="preserve"> </v>
      </c>
      <c r="H113" s="4" t="str">
        <f ca="1">IF(OR(INDEX($W$2:$W$1001,MATCH(ROWS($V$2:V113),$V$2:$V$1001,0),1)&gt;=100000,INDEX($AC$1005:$AS$1005,1,MATCH(COLUMNS($AC$1006:AI1006),$AC$1006:$AS$1006,0))&gt;=100000), " ",IF(INDEX($AC$2:$AS$1001,MATCH(ROWS($V$2:V113),$V$2:$V$1001,0),MATCH(COLUMNS($AC$1006:AI1006),$AC$1006:$AS$1006,0)), HYPERLINK("#",""), HYPERLINK(CONCATENATE("#metadata!", ADDRESS(INDEX($X$2:$X$1001,MATCH(ROWS($V$2:V113),$V$2:$V$1001,0),0), INDEX($AC$1004:$AS$1004,1,MATCH(COLUMNS($AC$1006:AI1006),$AC$1006:$AS$1006,0)))),"Fix")))</f>
        <v xml:space="preserve"> </v>
      </c>
      <c r="I113" s="4" t="str">
        <f ca="1">IF(OR(INDEX($W$2:$W$1001,MATCH(ROWS($V$2:V113),$V$2:$V$1001,0),1)&gt;=100000,INDEX($AC$1005:$AS$1005,1,MATCH(COLUMNS($AC$1006:AJ1006),$AC$1006:$AS$1006,0))&gt;=100000), " ",IF(INDEX($AC$2:$AS$1001,MATCH(ROWS($V$2:V113),$V$2:$V$1001,0),MATCH(COLUMNS($AC$1006:AJ1006),$AC$1006:$AS$1006,0)), HYPERLINK("#",""), HYPERLINK(CONCATENATE("#metadata!", ADDRESS(INDEX($X$2:$X$1001,MATCH(ROWS($V$2:V113),$V$2:$V$1001,0),0), INDEX($AC$1004:$AS$1004,1,MATCH(COLUMNS($AC$1006:AJ1006),$AC$1006:$AS$1006,0)))),"Fix")))</f>
        <v xml:space="preserve"> </v>
      </c>
      <c r="J113" s="4" t="str">
        <f ca="1">IF(OR(INDEX($W$2:$W$1001,MATCH(ROWS($V$2:V113),$V$2:$V$1001,0),1)&gt;=100000,INDEX($AC$1005:$AS$1005,1,MATCH(COLUMNS($AC$1006:AK1006),$AC$1006:$AS$1006,0))&gt;=100000), " ",IF(INDEX($AC$2:$AS$1001,MATCH(ROWS($V$2:V113),$V$2:$V$1001,0),MATCH(COLUMNS($AC$1006:AK1006),$AC$1006:$AS$1006,0)), HYPERLINK("#",""), HYPERLINK(CONCATENATE("#metadata!", ADDRESS(INDEX($X$2:$X$1001,MATCH(ROWS($V$2:V113),$V$2:$V$1001,0),0), INDEX($AC$1004:$AS$1004,1,MATCH(COLUMNS($AC$1006:AK1006),$AC$1006:$AS$1006,0)))),"Fix")))</f>
        <v xml:space="preserve"> </v>
      </c>
      <c r="K113" s="4" t="str">
        <f ca="1">IF(OR(INDEX($W$2:$W$1001,MATCH(ROWS($V$2:V113),$V$2:$V$1001,0),1)&gt;=100000,INDEX($AC$1005:$AS$1005,1,MATCH(COLUMNS($AC$1006:AL1006),$AC$1006:$AS$1006,0))&gt;=100000), " ",IF(INDEX($AC$2:$AS$1001,MATCH(ROWS($V$2:V113),$V$2:$V$1001,0),MATCH(COLUMNS($AC$1006:AL1006),$AC$1006:$AS$1006,0)), HYPERLINK("#",""), HYPERLINK(CONCATENATE("#metadata!", ADDRESS(INDEX($X$2:$X$1001,MATCH(ROWS($V$2:V113),$V$2:$V$1001,0),0), INDEX($AC$1004:$AS$1004,1,MATCH(COLUMNS($AC$1006:AL1006),$AC$1006:$AS$1006,0)))),"Fix")))</f>
        <v xml:space="preserve"> </v>
      </c>
      <c r="L113" s="4" t="str">
        <f ca="1">IF(OR(INDEX($W$2:$W$1001,MATCH(ROWS($V$2:V113),$V$2:$V$1001,0),1)&gt;=100000,INDEX($AC$1005:$AS$1005,1,MATCH(COLUMNS($AC$1006:AM1006),$AC$1006:$AS$1006,0))&gt;=100000), " ",IF(INDEX($AC$2:$AS$1001,MATCH(ROWS($V$2:V113),$V$2:$V$1001,0),MATCH(COLUMNS($AC$1006:AM1006),$AC$1006:$AS$1006,0)), HYPERLINK("#",""), HYPERLINK(CONCATENATE("#metadata!", ADDRESS(INDEX($X$2:$X$1001,MATCH(ROWS($V$2:V113),$V$2:$V$1001,0),0), INDEX($AC$1004:$AS$1004,1,MATCH(COLUMNS($AC$1006:AM1006),$AC$1006:$AS$1006,0)))),"Fix")))</f>
        <v xml:space="preserve"> </v>
      </c>
      <c r="M113" s="4" t="str">
        <f ca="1">IF(OR(INDEX($W$2:$W$1001,MATCH(ROWS($V$2:V113),$V$2:$V$1001,0),1)&gt;=100000,INDEX($AC$1005:$AS$1005,1,MATCH(COLUMNS($AC$1006:AN1006),$AC$1006:$AS$1006,0))&gt;=100000), " ",IF(INDEX($AC$2:$AS$1001,MATCH(ROWS($V$2:V113),$V$2:$V$1001,0),MATCH(COLUMNS($AC$1006:AN1006),$AC$1006:$AS$1006,0)), HYPERLINK("#",""), HYPERLINK(CONCATENATE("#metadata!", ADDRESS(INDEX($X$2:$X$1001,MATCH(ROWS($V$2:V113),$V$2:$V$1001,0),0), INDEX($AC$1004:$AS$1004,1,MATCH(COLUMNS($AC$1006:AN1006),$AC$1006:$AS$1006,0)))),"Fix")))</f>
        <v xml:space="preserve"> </v>
      </c>
      <c r="N113" s="4" t="str">
        <f ca="1">IF(OR(INDEX($W$2:$W$1001,MATCH(ROWS($V$2:V113),$V$2:$V$1001,0),1)&gt;=100000,INDEX($AC$1005:$AS$1005,1,MATCH(COLUMNS($AC$1006:AO1006),$AC$1006:$AS$1006,0))&gt;=100000), " ",IF(INDEX($AC$2:$AS$1001,MATCH(ROWS($V$2:V113),$V$2:$V$1001,0),MATCH(COLUMNS($AC$1006:AO1006),$AC$1006:$AS$1006,0)), HYPERLINK("#",""), HYPERLINK(CONCATENATE("#metadata!", ADDRESS(INDEX($X$2:$X$1001,MATCH(ROWS($V$2:V113),$V$2:$V$1001,0),0), INDEX($AC$1004:$AS$1004,1,MATCH(COLUMNS($AC$1006:AO1006),$AC$1006:$AS$1006,0)))),"Fix")))</f>
        <v xml:space="preserve"> </v>
      </c>
      <c r="O113" s="4" t="str">
        <f ca="1">IF(OR(INDEX($W$2:$W$1001,MATCH(ROWS($V$2:V113),$V$2:$V$1001,0),1)&gt;=100000,INDEX($AC$1005:$AS$1005,1,MATCH(COLUMNS($AC$1006:AP1006),$AC$1006:$AS$1006,0))&gt;=100000), " ",IF(INDEX($AC$2:$AS$1001,MATCH(ROWS($V$2:V113),$V$2:$V$1001,0),MATCH(COLUMNS($AC$1006:AP1006),$AC$1006:$AS$1006,0)), HYPERLINK("#",""), HYPERLINK(CONCATENATE("#metadata!", ADDRESS(INDEX($X$2:$X$1001,MATCH(ROWS($V$2:V113),$V$2:$V$1001,0),0), INDEX($AC$1004:$AS$1004,1,MATCH(COLUMNS($AC$1006:AP1006),$AC$1006:$AS$1006,0)))),"Fix")))</f>
        <v xml:space="preserve"> </v>
      </c>
      <c r="P113" s="4" t="str">
        <f ca="1">IF(OR(INDEX($W$2:$W$1001,MATCH(ROWS($V$2:V113),$V$2:$V$1001,0),1)&gt;=100000,INDEX($AC$1005:$AS$1005,1,MATCH(COLUMNS($AC$1006:AQ1006),$AC$1006:$AS$1006,0))&gt;=100000), " ",IF(INDEX($AC$2:$AS$1001,MATCH(ROWS($V$2:V113),$V$2:$V$1001,0),MATCH(COLUMNS($AC$1006:AQ1006),$AC$1006:$AS$1006,0)), HYPERLINK("#",""), HYPERLINK(CONCATENATE("#metadata!", ADDRESS(INDEX($X$2:$X$1001,MATCH(ROWS($V$2:V113),$V$2:$V$1001,0),0), INDEX($AC$1004:$AS$1004,1,MATCH(COLUMNS($AC$1006:AQ1006),$AC$1006:$AS$1006,0)))),"Fix")))</f>
        <v xml:space="preserve"> </v>
      </c>
      <c r="Q113" s="4" t="str">
        <f ca="1">IF(OR(INDEX($W$2:$W$1001,MATCH(ROWS($V$2:V113),$V$2:$V$1001,0),1)&gt;=100000,INDEX($AC$1005:$AS$1005,1,MATCH(COLUMNS($AC$1006:AR1006),$AC$1006:$AS$1006,0))&gt;=100000), " ",IF(INDEX($AC$2:$AS$1001,MATCH(ROWS($V$2:V113),$V$2:$V$1001,0),MATCH(COLUMNS($AC$1006:AR1006),$AC$1006:$AS$1006,0)), HYPERLINK("#",""), HYPERLINK(CONCATENATE("#metadata!", ADDRESS(INDEX($X$2:$X$1001,MATCH(ROWS($V$2:V113),$V$2:$V$1001,0),0), INDEX($AC$1004:$AS$1004,1,MATCH(COLUMNS($AC$1006:AR1006),$AC$1006:$AS$1006,0)))),"Fix")))</f>
        <v xml:space="preserve"> </v>
      </c>
      <c r="R113" s="4" t="str">
        <f ca="1">IF(OR(INDEX($W$2:$W$1001,MATCH(ROWS($V$2:V113),$V$2:$V$1001,0),1)&gt;=100000,INDEX($AC$1005:$AS$1005,1,MATCH(COLUMNS($AC$1006:AS1006),$AC$1006:$AS$1006,0))&gt;=100000), " ",IF(INDEX($AC$2:$AS$1001,MATCH(ROWS($V$2:V113),$V$2:$V$1001,0),MATCH(COLUMNS($AC$1006:AS1006),$AC$1006:$AS$1006,0)), HYPERLINK("#",""), HYPERLINK(CONCATENATE("#metadata!", ADDRESS(INDEX($X$2:$X$1001,MATCH(ROWS($V$2:V113),$V$2:$V$1001,0),0), INDEX($AC$1004:$AS$1004,1,MATCH(COLUMNS($AC$1006:AS1006),$AC$1006:$AS$1006,0)))),"Fix")))</f>
        <v xml:space="preserve"> </v>
      </c>
      <c r="V113">
        <v>112</v>
      </c>
      <c r="W113">
        <v>100113</v>
      </c>
      <c r="X113">
        <v>113</v>
      </c>
      <c r="Y113" t="b">
        <f t="shared" si="1"/>
        <v>1</v>
      </c>
      <c r="Z113" t="b">
        <f>COUNTBLANK(metadata!B113:R113)=COLUMNS(metadata!B113:R113)</f>
        <v>1</v>
      </c>
      <c r="AA113" t="str">
        <v/>
      </c>
      <c r="AC113" t="b">
        <f ca="1"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AD113" t="b">
        <f>IF(metadata!C113="",FALSE,ISNUMBER(VALUE(metadata!C113)))</f>
        <v>0</v>
      </c>
      <c r="AE113" t="b">
        <f>AND(IF(metadata!D113="",FALSE,TRUE),EXACT(metadata!D113,"years"))</f>
        <v>0</v>
      </c>
      <c r="AF113" t="b">
        <f>OR(AND(IF(metadata!E113="",FALSE,TRUE),OR(EXACT(metadata!E113,"not applicable"),EXACT(metadata!E113,"missing: not collected"),EXACT(metadata!E113,"missing: not provided"),EXACT(metadata!E113,"missing: restricted access"))),AND(IF(metadata!E113="",FALSE,ISNUMBER(VALUE(metadata!E113))),metadata!E113&gt;0))</f>
        <v>0</v>
      </c>
      <c r="AG113" t="b">
        <f>AND(IF(metadata!F113="",FALSE,TRUE),EXACT(metadata!F113,"Not applicable"))</f>
        <v>0</v>
      </c>
      <c r="AH113" t="b">
        <f>AND(IF(metadata!G113="",FALSE,TRUE),EXACT(metadata!G113,"urban biome"))</f>
        <v>0</v>
      </c>
      <c r="AI113" t="b">
        <f>AND(IF(metadata!H113="",FALSE,TRUE),EXACT(metadata!H113,"human-associated habitat"))</f>
        <v>0</v>
      </c>
      <c r="AJ113" t="b">
        <f>AND(IF(metadata!I113="",FALSE,TRUE),OR(EXACT(metadata!I113,"human-associated"),EXACT(metadata!I113,"human-skin"),EXACT(metadata!I113,"human-oral"),EXACT(metadata!I113,"human-gut"),EXACT(metadata!I113,"human-vaginal")))</f>
        <v>0</v>
      </c>
      <c r="AK113" t="b">
        <f>IF(metadata!J113="",FALSE,ISNUMBER(VALUE(metadata!J113)))</f>
        <v>0</v>
      </c>
      <c r="AL113" t="b">
        <f>AND(IF(metadata!K113="",FALSE,TRUE),EXACT(metadata!K113,"cm"))</f>
        <v>0</v>
      </c>
      <c r="AM113" t="b">
        <f>AND(IF(metadata!L113="",FALSE,TRUE),EXACT(metadata!L113,"human"))</f>
        <v>0</v>
      </c>
      <c r="AN113" t="b">
        <f>AND(IF(metadata!M113="",FALSE,TRUE),EXACT(metadata!M113,"Homo sapiens"))</f>
        <v>0</v>
      </c>
      <c r="AO113" t="b">
        <f>AND(IF(metadata!N113="",FALSE,TRUE),EXACT(metadata!N113,"9606"))</f>
        <v>0</v>
      </c>
      <c r="AP113" t="b">
        <f>IF(metadata!O113="",FALSE,TRUE)</f>
        <v>0</v>
      </c>
      <c r="AQ113" t="b">
        <f>IF(metadata!P113="",FALSE,TRUE)</f>
        <v>0</v>
      </c>
      <c r="AR113" t="b">
        <f>IF(metadata!Q113="",FALSE,ISNUMBER(VALUE(metadata!Q113)))</f>
        <v>0</v>
      </c>
      <c r="AS113" t="b">
        <f>AND(IF(metadata!R113="",FALSE,TRUE),EXACT(metadata!R113,"kg"))</f>
        <v>0</v>
      </c>
    </row>
    <row r="114" spans="1:45" x14ac:dyDescent="0.2">
      <c r="A114" s="5" t="str">
        <f ca="1">IF(B114=" "," ",HYPERLINK(CONCATENATE("#metadata!",ADDRESS(INDEX($X$2:$X$1001,MATCH(ROWS($V$2:V114),$V$2:$V$1001,0),0),1)),INDEX($AA$2:$AA$1001,MATCH(ROWS($V$2:V114),$V$2:$V$1001,0),0)))</f>
        <v xml:space="preserve"> </v>
      </c>
      <c r="B114" s="4" t="str">
        <f ca="1">IF(OR(INDEX($W$2:$W$1001,MATCH(ROWS($V$2:V114),$V$2:$V$1001,0),1)&gt;=100000,INDEX($AC$1005:$AS$1005,1,MATCH(COLUMNS($AC$1006:AC1006),$AC$1006:$AS$1006,0))&gt;=100000), " ",IF(INDEX($AC$2:$AS$1001,MATCH(ROWS($V$2:V114),$V$2:$V$1001,0),MATCH(COLUMNS($AC$1006:AC1006),$AC$1006:$AS$1006,0)), HYPERLINK("#",""), HYPERLINK(CONCATENATE("#metadata!", ADDRESS(INDEX($X$2:$X$1001,MATCH(ROWS($V$2:V114),$V$2:$V$1001,0),0), INDEX($AC$1004:$AS$1004,1,MATCH(COLUMNS($AC$1006:AC1006),$AC$1006:$AS$1006,0)))),"Fix")))</f>
        <v xml:space="preserve"> </v>
      </c>
      <c r="C114" s="4" t="str">
        <f ca="1">IF(OR(INDEX($W$2:$W$1001,MATCH(ROWS($V$2:V114),$V$2:$V$1001,0),1)&gt;=100000,INDEX($AC$1005:$AS$1005,1,MATCH(COLUMNS($AC$1006:AD1006),$AC$1006:$AS$1006,0))&gt;=100000), " ",IF(INDEX($AC$2:$AS$1001,MATCH(ROWS($V$2:V114),$V$2:$V$1001,0),MATCH(COLUMNS($AC$1006:AD1006),$AC$1006:$AS$1006,0)), HYPERLINK("#",""), HYPERLINK(CONCATENATE("#metadata!", ADDRESS(INDEX($X$2:$X$1001,MATCH(ROWS($V$2:V114),$V$2:$V$1001,0),0), INDEX($AC$1004:$AS$1004,1,MATCH(COLUMNS($AC$1006:AD1006),$AC$1006:$AS$1006,0)))),"Fix")))</f>
        <v xml:space="preserve"> </v>
      </c>
      <c r="D114" s="4" t="str">
        <f ca="1">IF(OR(INDEX($W$2:$W$1001,MATCH(ROWS($V$2:V114),$V$2:$V$1001,0),1)&gt;=100000,INDEX($AC$1005:$AS$1005,1,MATCH(COLUMNS($AC$1006:AE1006),$AC$1006:$AS$1006,0))&gt;=100000), " ",IF(INDEX($AC$2:$AS$1001,MATCH(ROWS($V$2:V114),$V$2:$V$1001,0),MATCH(COLUMNS($AC$1006:AE1006),$AC$1006:$AS$1006,0)), HYPERLINK("#",""), HYPERLINK(CONCATENATE("#metadata!", ADDRESS(INDEX($X$2:$X$1001,MATCH(ROWS($V$2:V114),$V$2:$V$1001,0),0), INDEX($AC$1004:$AS$1004,1,MATCH(COLUMNS($AC$1006:AE1006),$AC$1006:$AS$1006,0)))),"Fix")))</f>
        <v xml:space="preserve"> </v>
      </c>
      <c r="E114" s="4" t="str">
        <f ca="1">IF(OR(INDEX($W$2:$W$1001,MATCH(ROWS($V$2:V114),$V$2:$V$1001,0),1)&gt;=100000,INDEX($AC$1005:$AS$1005,1,MATCH(COLUMNS($AC$1006:AF1006),$AC$1006:$AS$1006,0))&gt;=100000), " ",IF(INDEX($AC$2:$AS$1001,MATCH(ROWS($V$2:V114),$V$2:$V$1001,0),MATCH(COLUMNS($AC$1006:AF1006),$AC$1006:$AS$1006,0)), HYPERLINK("#",""), HYPERLINK(CONCATENATE("#metadata!", ADDRESS(INDEX($X$2:$X$1001,MATCH(ROWS($V$2:V114),$V$2:$V$1001,0),0), INDEX($AC$1004:$AS$1004,1,MATCH(COLUMNS($AC$1006:AF1006),$AC$1006:$AS$1006,0)))),"Fix")))</f>
        <v xml:space="preserve"> </v>
      </c>
      <c r="F114" s="4" t="str">
        <f ca="1">IF(OR(INDEX($W$2:$W$1001,MATCH(ROWS($V$2:V114),$V$2:$V$1001,0),1)&gt;=100000,INDEX($AC$1005:$AS$1005,1,MATCH(COLUMNS($AC$1006:AG1006),$AC$1006:$AS$1006,0))&gt;=100000), " ",IF(INDEX($AC$2:$AS$1001,MATCH(ROWS($V$2:V114),$V$2:$V$1001,0),MATCH(COLUMNS($AC$1006:AG1006),$AC$1006:$AS$1006,0)), HYPERLINK("#",""), HYPERLINK(CONCATENATE("#metadata!", ADDRESS(INDEX($X$2:$X$1001,MATCH(ROWS($V$2:V114),$V$2:$V$1001,0),0), INDEX($AC$1004:$AS$1004,1,MATCH(COLUMNS($AC$1006:AG1006),$AC$1006:$AS$1006,0)))),"Fix")))</f>
        <v xml:space="preserve"> </v>
      </c>
      <c r="G114" s="4" t="str">
        <f ca="1">IF(OR(INDEX($W$2:$W$1001,MATCH(ROWS($V$2:V114),$V$2:$V$1001,0),1)&gt;=100000,INDEX($AC$1005:$AS$1005,1,MATCH(COLUMNS($AC$1006:AH1006),$AC$1006:$AS$1006,0))&gt;=100000), " ",IF(INDEX($AC$2:$AS$1001,MATCH(ROWS($V$2:V114),$V$2:$V$1001,0),MATCH(COLUMNS($AC$1006:AH1006),$AC$1006:$AS$1006,0)), HYPERLINK("#",""), HYPERLINK(CONCATENATE("#metadata!", ADDRESS(INDEX($X$2:$X$1001,MATCH(ROWS($V$2:V114),$V$2:$V$1001,0),0), INDEX($AC$1004:$AS$1004,1,MATCH(COLUMNS($AC$1006:AH1006),$AC$1006:$AS$1006,0)))),"Fix")))</f>
        <v xml:space="preserve"> </v>
      </c>
      <c r="H114" s="4" t="str">
        <f ca="1">IF(OR(INDEX($W$2:$W$1001,MATCH(ROWS($V$2:V114),$V$2:$V$1001,0),1)&gt;=100000,INDEX($AC$1005:$AS$1005,1,MATCH(COLUMNS($AC$1006:AI1006),$AC$1006:$AS$1006,0))&gt;=100000), " ",IF(INDEX($AC$2:$AS$1001,MATCH(ROWS($V$2:V114),$V$2:$V$1001,0),MATCH(COLUMNS($AC$1006:AI1006),$AC$1006:$AS$1006,0)), HYPERLINK("#",""), HYPERLINK(CONCATENATE("#metadata!", ADDRESS(INDEX($X$2:$X$1001,MATCH(ROWS($V$2:V114),$V$2:$V$1001,0),0), INDEX($AC$1004:$AS$1004,1,MATCH(COLUMNS($AC$1006:AI1006),$AC$1006:$AS$1006,0)))),"Fix")))</f>
        <v xml:space="preserve"> </v>
      </c>
      <c r="I114" s="4" t="str">
        <f ca="1">IF(OR(INDEX($W$2:$W$1001,MATCH(ROWS($V$2:V114),$V$2:$V$1001,0),1)&gt;=100000,INDEX($AC$1005:$AS$1005,1,MATCH(COLUMNS($AC$1006:AJ1006),$AC$1006:$AS$1006,0))&gt;=100000), " ",IF(INDEX($AC$2:$AS$1001,MATCH(ROWS($V$2:V114),$V$2:$V$1001,0),MATCH(COLUMNS($AC$1006:AJ1006),$AC$1006:$AS$1006,0)), HYPERLINK("#",""), HYPERLINK(CONCATENATE("#metadata!", ADDRESS(INDEX($X$2:$X$1001,MATCH(ROWS($V$2:V114),$V$2:$V$1001,0),0), INDEX($AC$1004:$AS$1004,1,MATCH(COLUMNS($AC$1006:AJ1006),$AC$1006:$AS$1006,0)))),"Fix")))</f>
        <v xml:space="preserve"> </v>
      </c>
      <c r="J114" s="4" t="str">
        <f ca="1">IF(OR(INDEX($W$2:$W$1001,MATCH(ROWS($V$2:V114),$V$2:$V$1001,0),1)&gt;=100000,INDEX($AC$1005:$AS$1005,1,MATCH(COLUMNS($AC$1006:AK1006),$AC$1006:$AS$1006,0))&gt;=100000), " ",IF(INDEX($AC$2:$AS$1001,MATCH(ROWS($V$2:V114),$V$2:$V$1001,0),MATCH(COLUMNS($AC$1006:AK1006),$AC$1006:$AS$1006,0)), HYPERLINK("#",""), HYPERLINK(CONCATENATE("#metadata!", ADDRESS(INDEX($X$2:$X$1001,MATCH(ROWS($V$2:V114),$V$2:$V$1001,0),0), INDEX($AC$1004:$AS$1004,1,MATCH(COLUMNS($AC$1006:AK1006),$AC$1006:$AS$1006,0)))),"Fix")))</f>
        <v xml:space="preserve"> </v>
      </c>
      <c r="K114" s="4" t="str">
        <f ca="1">IF(OR(INDEX($W$2:$W$1001,MATCH(ROWS($V$2:V114),$V$2:$V$1001,0),1)&gt;=100000,INDEX($AC$1005:$AS$1005,1,MATCH(COLUMNS($AC$1006:AL1006),$AC$1006:$AS$1006,0))&gt;=100000), " ",IF(INDEX($AC$2:$AS$1001,MATCH(ROWS($V$2:V114),$V$2:$V$1001,0),MATCH(COLUMNS($AC$1006:AL1006),$AC$1006:$AS$1006,0)), HYPERLINK("#",""), HYPERLINK(CONCATENATE("#metadata!", ADDRESS(INDEX($X$2:$X$1001,MATCH(ROWS($V$2:V114),$V$2:$V$1001,0),0), INDEX($AC$1004:$AS$1004,1,MATCH(COLUMNS($AC$1006:AL1006),$AC$1006:$AS$1006,0)))),"Fix")))</f>
        <v xml:space="preserve"> </v>
      </c>
      <c r="L114" s="4" t="str">
        <f ca="1">IF(OR(INDEX($W$2:$W$1001,MATCH(ROWS($V$2:V114),$V$2:$V$1001,0),1)&gt;=100000,INDEX($AC$1005:$AS$1005,1,MATCH(COLUMNS($AC$1006:AM1006),$AC$1006:$AS$1006,0))&gt;=100000), " ",IF(INDEX($AC$2:$AS$1001,MATCH(ROWS($V$2:V114),$V$2:$V$1001,0),MATCH(COLUMNS($AC$1006:AM1006),$AC$1006:$AS$1006,0)), HYPERLINK("#",""), HYPERLINK(CONCATENATE("#metadata!", ADDRESS(INDEX($X$2:$X$1001,MATCH(ROWS($V$2:V114),$V$2:$V$1001,0),0), INDEX($AC$1004:$AS$1004,1,MATCH(COLUMNS($AC$1006:AM1006),$AC$1006:$AS$1006,0)))),"Fix")))</f>
        <v xml:space="preserve"> </v>
      </c>
      <c r="M114" s="4" t="str">
        <f ca="1">IF(OR(INDEX($W$2:$W$1001,MATCH(ROWS($V$2:V114),$V$2:$V$1001,0),1)&gt;=100000,INDEX($AC$1005:$AS$1005,1,MATCH(COLUMNS($AC$1006:AN1006),$AC$1006:$AS$1006,0))&gt;=100000), " ",IF(INDEX($AC$2:$AS$1001,MATCH(ROWS($V$2:V114),$V$2:$V$1001,0),MATCH(COLUMNS($AC$1006:AN1006),$AC$1006:$AS$1006,0)), HYPERLINK("#",""), HYPERLINK(CONCATENATE("#metadata!", ADDRESS(INDEX($X$2:$X$1001,MATCH(ROWS($V$2:V114),$V$2:$V$1001,0),0), INDEX($AC$1004:$AS$1004,1,MATCH(COLUMNS($AC$1006:AN1006),$AC$1006:$AS$1006,0)))),"Fix")))</f>
        <v xml:space="preserve"> </v>
      </c>
      <c r="N114" s="4" t="str">
        <f ca="1">IF(OR(INDEX($W$2:$W$1001,MATCH(ROWS($V$2:V114),$V$2:$V$1001,0),1)&gt;=100000,INDEX($AC$1005:$AS$1005,1,MATCH(COLUMNS($AC$1006:AO1006),$AC$1006:$AS$1006,0))&gt;=100000), " ",IF(INDEX($AC$2:$AS$1001,MATCH(ROWS($V$2:V114),$V$2:$V$1001,0),MATCH(COLUMNS($AC$1006:AO1006),$AC$1006:$AS$1006,0)), HYPERLINK("#",""), HYPERLINK(CONCATENATE("#metadata!", ADDRESS(INDEX($X$2:$X$1001,MATCH(ROWS($V$2:V114),$V$2:$V$1001,0),0), INDEX($AC$1004:$AS$1004,1,MATCH(COLUMNS($AC$1006:AO1006),$AC$1006:$AS$1006,0)))),"Fix")))</f>
        <v xml:space="preserve"> </v>
      </c>
      <c r="O114" s="4" t="str">
        <f ca="1">IF(OR(INDEX($W$2:$W$1001,MATCH(ROWS($V$2:V114),$V$2:$V$1001,0),1)&gt;=100000,INDEX($AC$1005:$AS$1005,1,MATCH(COLUMNS($AC$1006:AP1006),$AC$1006:$AS$1006,0))&gt;=100000), " ",IF(INDEX($AC$2:$AS$1001,MATCH(ROWS($V$2:V114),$V$2:$V$1001,0),MATCH(COLUMNS($AC$1006:AP1006),$AC$1006:$AS$1006,0)), HYPERLINK("#",""), HYPERLINK(CONCATENATE("#metadata!", ADDRESS(INDEX($X$2:$X$1001,MATCH(ROWS($V$2:V114),$V$2:$V$1001,0),0), INDEX($AC$1004:$AS$1004,1,MATCH(COLUMNS($AC$1006:AP1006),$AC$1006:$AS$1006,0)))),"Fix")))</f>
        <v xml:space="preserve"> </v>
      </c>
      <c r="P114" s="4" t="str">
        <f ca="1">IF(OR(INDEX($W$2:$W$1001,MATCH(ROWS($V$2:V114),$V$2:$V$1001,0),1)&gt;=100000,INDEX($AC$1005:$AS$1005,1,MATCH(COLUMNS($AC$1006:AQ1006),$AC$1006:$AS$1006,0))&gt;=100000), " ",IF(INDEX($AC$2:$AS$1001,MATCH(ROWS($V$2:V114),$V$2:$V$1001,0),MATCH(COLUMNS($AC$1006:AQ1006),$AC$1006:$AS$1006,0)), HYPERLINK("#",""), HYPERLINK(CONCATENATE("#metadata!", ADDRESS(INDEX($X$2:$X$1001,MATCH(ROWS($V$2:V114),$V$2:$V$1001,0),0), INDEX($AC$1004:$AS$1004,1,MATCH(COLUMNS($AC$1006:AQ1006),$AC$1006:$AS$1006,0)))),"Fix")))</f>
        <v xml:space="preserve"> </v>
      </c>
      <c r="Q114" s="4" t="str">
        <f ca="1">IF(OR(INDEX($W$2:$W$1001,MATCH(ROWS($V$2:V114),$V$2:$V$1001,0),1)&gt;=100000,INDEX($AC$1005:$AS$1005,1,MATCH(COLUMNS($AC$1006:AR1006),$AC$1006:$AS$1006,0))&gt;=100000), " ",IF(INDEX($AC$2:$AS$1001,MATCH(ROWS($V$2:V114),$V$2:$V$1001,0),MATCH(COLUMNS($AC$1006:AR1006),$AC$1006:$AS$1006,0)), HYPERLINK("#",""), HYPERLINK(CONCATENATE("#metadata!", ADDRESS(INDEX($X$2:$X$1001,MATCH(ROWS($V$2:V114),$V$2:$V$1001,0),0), INDEX($AC$1004:$AS$1004,1,MATCH(COLUMNS($AC$1006:AR1006),$AC$1006:$AS$1006,0)))),"Fix")))</f>
        <v xml:space="preserve"> </v>
      </c>
      <c r="R114" s="4" t="str">
        <f ca="1">IF(OR(INDEX($W$2:$W$1001,MATCH(ROWS($V$2:V114),$V$2:$V$1001,0),1)&gt;=100000,INDEX($AC$1005:$AS$1005,1,MATCH(COLUMNS($AC$1006:AS1006),$AC$1006:$AS$1006,0))&gt;=100000), " ",IF(INDEX($AC$2:$AS$1001,MATCH(ROWS($V$2:V114),$V$2:$V$1001,0),MATCH(COLUMNS($AC$1006:AS1006),$AC$1006:$AS$1006,0)), HYPERLINK("#",""), HYPERLINK(CONCATENATE("#metadata!", ADDRESS(INDEX($X$2:$X$1001,MATCH(ROWS($V$2:V114),$V$2:$V$1001,0),0), INDEX($AC$1004:$AS$1004,1,MATCH(COLUMNS($AC$1006:AS1006),$AC$1006:$AS$1006,0)))),"Fix")))</f>
        <v xml:space="preserve"> </v>
      </c>
      <c r="V114">
        <v>113</v>
      </c>
      <c r="W114">
        <v>100114</v>
      </c>
      <c r="X114">
        <v>114</v>
      </c>
      <c r="Y114" t="b">
        <f t="shared" si="1"/>
        <v>1</v>
      </c>
      <c r="Z114" t="b">
        <f>COUNTBLANK(metadata!B114:R114)=COLUMNS(metadata!B114:R114)</f>
        <v>1</v>
      </c>
      <c r="AA114" t="str">
        <v/>
      </c>
      <c r="AC114" t="b">
        <f ca="1"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AD114" t="b">
        <f>IF(metadata!C114="",FALSE,ISNUMBER(VALUE(metadata!C114)))</f>
        <v>0</v>
      </c>
      <c r="AE114" t="b">
        <f>AND(IF(metadata!D114="",FALSE,TRUE),EXACT(metadata!D114,"years"))</f>
        <v>0</v>
      </c>
      <c r="AF114" t="b">
        <f>OR(AND(IF(metadata!E114="",FALSE,TRUE),OR(EXACT(metadata!E114,"not applicable"),EXACT(metadata!E114,"missing: not collected"),EXACT(metadata!E114,"missing: not provided"),EXACT(metadata!E114,"missing: restricted access"))),AND(IF(metadata!E114="",FALSE,ISNUMBER(VALUE(metadata!E114))),metadata!E114&gt;0))</f>
        <v>0</v>
      </c>
      <c r="AG114" t="b">
        <f>AND(IF(metadata!F114="",FALSE,TRUE),EXACT(metadata!F114,"Not applicable"))</f>
        <v>0</v>
      </c>
      <c r="AH114" t="b">
        <f>AND(IF(metadata!G114="",FALSE,TRUE),EXACT(metadata!G114,"urban biome"))</f>
        <v>0</v>
      </c>
      <c r="AI114" t="b">
        <f>AND(IF(metadata!H114="",FALSE,TRUE),EXACT(metadata!H114,"human-associated habitat"))</f>
        <v>0</v>
      </c>
      <c r="AJ114" t="b">
        <f>AND(IF(metadata!I114="",FALSE,TRUE),OR(EXACT(metadata!I114,"human-associated"),EXACT(metadata!I114,"human-skin"),EXACT(metadata!I114,"human-oral"),EXACT(metadata!I114,"human-gut"),EXACT(metadata!I114,"human-vaginal")))</f>
        <v>0</v>
      </c>
      <c r="AK114" t="b">
        <f>IF(metadata!J114="",FALSE,ISNUMBER(VALUE(metadata!J114)))</f>
        <v>0</v>
      </c>
      <c r="AL114" t="b">
        <f>AND(IF(metadata!K114="",FALSE,TRUE),EXACT(metadata!K114,"cm"))</f>
        <v>0</v>
      </c>
      <c r="AM114" t="b">
        <f>AND(IF(metadata!L114="",FALSE,TRUE),EXACT(metadata!L114,"human"))</f>
        <v>0</v>
      </c>
      <c r="AN114" t="b">
        <f>AND(IF(metadata!M114="",FALSE,TRUE),EXACT(metadata!M114,"Homo sapiens"))</f>
        <v>0</v>
      </c>
      <c r="AO114" t="b">
        <f>AND(IF(metadata!N114="",FALSE,TRUE),EXACT(metadata!N114,"9606"))</f>
        <v>0</v>
      </c>
      <c r="AP114" t="b">
        <f>IF(metadata!O114="",FALSE,TRUE)</f>
        <v>0</v>
      </c>
      <c r="AQ114" t="b">
        <f>IF(metadata!P114="",FALSE,TRUE)</f>
        <v>0</v>
      </c>
      <c r="AR114" t="b">
        <f>IF(metadata!Q114="",FALSE,ISNUMBER(VALUE(metadata!Q114)))</f>
        <v>0</v>
      </c>
      <c r="AS114" t="b">
        <f>AND(IF(metadata!R114="",FALSE,TRUE),EXACT(metadata!R114,"kg"))</f>
        <v>0</v>
      </c>
    </row>
    <row r="115" spans="1:45" x14ac:dyDescent="0.2">
      <c r="A115" s="5" t="str">
        <f ca="1">IF(B115=" "," ",HYPERLINK(CONCATENATE("#metadata!",ADDRESS(INDEX($X$2:$X$1001,MATCH(ROWS($V$2:V115),$V$2:$V$1001,0),0),1)),INDEX($AA$2:$AA$1001,MATCH(ROWS($V$2:V115),$V$2:$V$1001,0),0)))</f>
        <v xml:space="preserve"> </v>
      </c>
      <c r="B115" s="4" t="str">
        <f ca="1">IF(OR(INDEX($W$2:$W$1001,MATCH(ROWS($V$2:V115),$V$2:$V$1001,0),1)&gt;=100000,INDEX($AC$1005:$AS$1005,1,MATCH(COLUMNS($AC$1006:AC1006),$AC$1006:$AS$1006,0))&gt;=100000), " ",IF(INDEX($AC$2:$AS$1001,MATCH(ROWS($V$2:V115),$V$2:$V$1001,0),MATCH(COLUMNS($AC$1006:AC1006),$AC$1006:$AS$1006,0)), HYPERLINK("#",""), HYPERLINK(CONCATENATE("#metadata!", ADDRESS(INDEX($X$2:$X$1001,MATCH(ROWS($V$2:V115),$V$2:$V$1001,0),0), INDEX($AC$1004:$AS$1004,1,MATCH(COLUMNS($AC$1006:AC1006),$AC$1006:$AS$1006,0)))),"Fix")))</f>
        <v xml:space="preserve"> </v>
      </c>
      <c r="C115" s="4" t="str">
        <f ca="1">IF(OR(INDEX($W$2:$W$1001,MATCH(ROWS($V$2:V115),$V$2:$V$1001,0),1)&gt;=100000,INDEX($AC$1005:$AS$1005,1,MATCH(COLUMNS($AC$1006:AD1006),$AC$1006:$AS$1006,0))&gt;=100000), " ",IF(INDEX($AC$2:$AS$1001,MATCH(ROWS($V$2:V115),$V$2:$V$1001,0),MATCH(COLUMNS($AC$1006:AD1006),$AC$1006:$AS$1006,0)), HYPERLINK("#",""), HYPERLINK(CONCATENATE("#metadata!", ADDRESS(INDEX($X$2:$X$1001,MATCH(ROWS($V$2:V115),$V$2:$V$1001,0),0), INDEX($AC$1004:$AS$1004,1,MATCH(COLUMNS($AC$1006:AD1006),$AC$1006:$AS$1006,0)))),"Fix")))</f>
        <v xml:space="preserve"> </v>
      </c>
      <c r="D115" s="4" t="str">
        <f ca="1">IF(OR(INDEX($W$2:$W$1001,MATCH(ROWS($V$2:V115),$V$2:$V$1001,0),1)&gt;=100000,INDEX($AC$1005:$AS$1005,1,MATCH(COLUMNS($AC$1006:AE1006),$AC$1006:$AS$1006,0))&gt;=100000), " ",IF(INDEX($AC$2:$AS$1001,MATCH(ROWS($V$2:V115),$V$2:$V$1001,0),MATCH(COLUMNS($AC$1006:AE1006),$AC$1006:$AS$1006,0)), HYPERLINK("#",""), HYPERLINK(CONCATENATE("#metadata!", ADDRESS(INDEX($X$2:$X$1001,MATCH(ROWS($V$2:V115),$V$2:$V$1001,0),0), INDEX($AC$1004:$AS$1004,1,MATCH(COLUMNS($AC$1006:AE1006),$AC$1006:$AS$1006,0)))),"Fix")))</f>
        <v xml:space="preserve"> </v>
      </c>
      <c r="E115" s="4" t="str">
        <f ca="1">IF(OR(INDEX($W$2:$W$1001,MATCH(ROWS($V$2:V115),$V$2:$V$1001,0),1)&gt;=100000,INDEX($AC$1005:$AS$1005,1,MATCH(COLUMNS($AC$1006:AF1006),$AC$1006:$AS$1006,0))&gt;=100000), " ",IF(INDEX($AC$2:$AS$1001,MATCH(ROWS($V$2:V115),$V$2:$V$1001,0),MATCH(COLUMNS($AC$1006:AF1006),$AC$1006:$AS$1006,0)), HYPERLINK("#",""), HYPERLINK(CONCATENATE("#metadata!", ADDRESS(INDEX($X$2:$X$1001,MATCH(ROWS($V$2:V115),$V$2:$V$1001,0),0), INDEX($AC$1004:$AS$1004,1,MATCH(COLUMNS($AC$1006:AF1006),$AC$1006:$AS$1006,0)))),"Fix")))</f>
        <v xml:space="preserve"> </v>
      </c>
      <c r="F115" s="4" t="str">
        <f ca="1">IF(OR(INDEX($W$2:$W$1001,MATCH(ROWS($V$2:V115),$V$2:$V$1001,0),1)&gt;=100000,INDEX($AC$1005:$AS$1005,1,MATCH(COLUMNS($AC$1006:AG1006),$AC$1006:$AS$1006,0))&gt;=100000), " ",IF(INDEX($AC$2:$AS$1001,MATCH(ROWS($V$2:V115),$V$2:$V$1001,0),MATCH(COLUMNS($AC$1006:AG1006),$AC$1006:$AS$1006,0)), HYPERLINK("#",""), HYPERLINK(CONCATENATE("#metadata!", ADDRESS(INDEX($X$2:$X$1001,MATCH(ROWS($V$2:V115),$V$2:$V$1001,0),0), INDEX($AC$1004:$AS$1004,1,MATCH(COLUMNS($AC$1006:AG1006),$AC$1006:$AS$1006,0)))),"Fix")))</f>
        <v xml:space="preserve"> </v>
      </c>
      <c r="G115" s="4" t="str">
        <f ca="1">IF(OR(INDEX($W$2:$W$1001,MATCH(ROWS($V$2:V115),$V$2:$V$1001,0),1)&gt;=100000,INDEX($AC$1005:$AS$1005,1,MATCH(COLUMNS($AC$1006:AH1006),$AC$1006:$AS$1006,0))&gt;=100000), " ",IF(INDEX($AC$2:$AS$1001,MATCH(ROWS($V$2:V115),$V$2:$V$1001,0),MATCH(COLUMNS($AC$1006:AH1006),$AC$1006:$AS$1006,0)), HYPERLINK("#",""), HYPERLINK(CONCATENATE("#metadata!", ADDRESS(INDEX($X$2:$X$1001,MATCH(ROWS($V$2:V115),$V$2:$V$1001,0),0), INDEX($AC$1004:$AS$1004,1,MATCH(COLUMNS($AC$1006:AH1006),$AC$1006:$AS$1006,0)))),"Fix")))</f>
        <v xml:space="preserve"> </v>
      </c>
      <c r="H115" s="4" t="str">
        <f ca="1">IF(OR(INDEX($W$2:$W$1001,MATCH(ROWS($V$2:V115),$V$2:$V$1001,0),1)&gt;=100000,INDEX($AC$1005:$AS$1005,1,MATCH(COLUMNS($AC$1006:AI1006),$AC$1006:$AS$1006,0))&gt;=100000), " ",IF(INDEX($AC$2:$AS$1001,MATCH(ROWS($V$2:V115),$V$2:$V$1001,0),MATCH(COLUMNS($AC$1006:AI1006),$AC$1006:$AS$1006,0)), HYPERLINK("#",""), HYPERLINK(CONCATENATE("#metadata!", ADDRESS(INDEX($X$2:$X$1001,MATCH(ROWS($V$2:V115),$V$2:$V$1001,0),0), INDEX($AC$1004:$AS$1004,1,MATCH(COLUMNS($AC$1006:AI1006),$AC$1006:$AS$1006,0)))),"Fix")))</f>
        <v xml:space="preserve"> </v>
      </c>
      <c r="I115" s="4" t="str">
        <f ca="1">IF(OR(INDEX($W$2:$W$1001,MATCH(ROWS($V$2:V115),$V$2:$V$1001,0),1)&gt;=100000,INDEX($AC$1005:$AS$1005,1,MATCH(COLUMNS($AC$1006:AJ1006),$AC$1006:$AS$1006,0))&gt;=100000), " ",IF(INDEX($AC$2:$AS$1001,MATCH(ROWS($V$2:V115),$V$2:$V$1001,0),MATCH(COLUMNS($AC$1006:AJ1006),$AC$1006:$AS$1006,0)), HYPERLINK("#",""), HYPERLINK(CONCATENATE("#metadata!", ADDRESS(INDEX($X$2:$X$1001,MATCH(ROWS($V$2:V115),$V$2:$V$1001,0),0), INDEX($AC$1004:$AS$1004,1,MATCH(COLUMNS($AC$1006:AJ1006),$AC$1006:$AS$1006,0)))),"Fix")))</f>
        <v xml:space="preserve"> </v>
      </c>
      <c r="J115" s="4" t="str">
        <f ca="1">IF(OR(INDEX($W$2:$W$1001,MATCH(ROWS($V$2:V115),$V$2:$V$1001,0),1)&gt;=100000,INDEX($AC$1005:$AS$1005,1,MATCH(COLUMNS($AC$1006:AK1006),$AC$1006:$AS$1006,0))&gt;=100000), " ",IF(INDEX($AC$2:$AS$1001,MATCH(ROWS($V$2:V115),$V$2:$V$1001,0),MATCH(COLUMNS($AC$1006:AK1006),$AC$1006:$AS$1006,0)), HYPERLINK("#",""), HYPERLINK(CONCATENATE("#metadata!", ADDRESS(INDEX($X$2:$X$1001,MATCH(ROWS($V$2:V115),$V$2:$V$1001,0),0), INDEX($AC$1004:$AS$1004,1,MATCH(COLUMNS($AC$1006:AK1006),$AC$1006:$AS$1006,0)))),"Fix")))</f>
        <v xml:space="preserve"> </v>
      </c>
      <c r="K115" s="4" t="str">
        <f ca="1">IF(OR(INDEX($W$2:$W$1001,MATCH(ROWS($V$2:V115),$V$2:$V$1001,0),1)&gt;=100000,INDEX($AC$1005:$AS$1005,1,MATCH(COLUMNS($AC$1006:AL1006),$AC$1006:$AS$1006,0))&gt;=100000), " ",IF(INDEX($AC$2:$AS$1001,MATCH(ROWS($V$2:V115),$V$2:$V$1001,0),MATCH(COLUMNS($AC$1006:AL1006),$AC$1006:$AS$1006,0)), HYPERLINK("#",""), HYPERLINK(CONCATENATE("#metadata!", ADDRESS(INDEX($X$2:$X$1001,MATCH(ROWS($V$2:V115),$V$2:$V$1001,0),0), INDEX($AC$1004:$AS$1004,1,MATCH(COLUMNS($AC$1006:AL1006),$AC$1006:$AS$1006,0)))),"Fix")))</f>
        <v xml:space="preserve"> </v>
      </c>
      <c r="L115" s="4" t="str">
        <f ca="1">IF(OR(INDEX($W$2:$W$1001,MATCH(ROWS($V$2:V115),$V$2:$V$1001,0),1)&gt;=100000,INDEX($AC$1005:$AS$1005,1,MATCH(COLUMNS($AC$1006:AM1006),$AC$1006:$AS$1006,0))&gt;=100000), " ",IF(INDEX($AC$2:$AS$1001,MATCH(ROWS($V$2:V115),$V$2:$V$1001,0),MATCH(COLUMNS($AC$1006:AM1006),$AC$1006:$AS$1006,0)), HYPERLINK("#",""), HYPERLINK(CONCATENATE("#metadata!", ADDRESS(INDEX($X$2:$X$1001,MATCH(ROWS($V$2:V115),$V$2:$V$1001,0),0), INDEX($AC$1004:$AS$1004,1,MATCH(COLUMNS($AC$1006:AM1006),$AC$1006:$AS$1006,0)))),"Fix")))</f>
        <v xml:space="preserve"> </v>
      </c>
      <c r="M115" s="4" t="str">
        <f ca="1">IF(OR(INDEX($W$2:$W$1001,MATCH(ROWS($V$2:V115),$V$2:$V$1001,0),1)&gt;=100000,INDEX($AC$1005:$AS$1005,1,MATCH(COLUMNS($AC$1006:AN1006),$AC$1006:$AS$1006,0))&gt;=100000), " ",IF(INDEX($AC$2:$AS$1001,MATCH(ROWS($V$2:V115),$V$2:$V$1001,0),MATCH(COLUMNS($AC$1006:AN1006),$AC$1006:$AS$1006,0)), HYPERLINK("#",""), HYPERLINK(CONCATENATE("#metadata!", ADDRESS(INDEX($X$2:$X$1001,MATCH(ROWS($V$2:V115),$V$2:$V$1001,0),0), INDEX($AC$1004:$AS$1004,1,MATCH(COLUMNS($AC$1006:AN1006),$AC$1006:$AS$1006,0)))),"Fix")))</f>
        <v xml:space="preserve"> </v>
      </c>
      <c r="N115" s="4" t="str">
        <f ca="1">IF(OR(INDEX($W$2:$W$1001,MATCH(ROWS($V$2:V115),$V$2:$V$1001,0),1)&gt;=100000,INDEX($AC$1005:$AS$1005,1,MATCH(COLUMNS($AC$1006:AO1006),$AC$1006:$AS$1006,0))&gt;=100000), " ",IF(INDEX($AC$2:$AS$1001,MATCH(ROWS($V$2:V115),$V$2:$V$1001,0),MATCH(COLUMNS($AC$1006:AO1006),$AC$1006:$AS$1006,0)), HYPERLINK("#",""), HYPERLINK(CONCATENATE("#metadata!", ADDRESS(INDEX($X$2:$X$1001,MATCH(ROWS($V$2:V115),$V$2:$V$1001,0),0), INDEX($AC$1004:$AS$1004,1,MATCH(COLUMNS($AC$1006:AO1006),$AC$1006:$AS$1006,0)))),"Fix")))</f>
        <v xml:space="preserve"> </v>
      </c>
      <c r="O115" s="4" t="str">
        <f ca="1">IF(OR(INDEX($W$2:$W$1001,MATCH(ROWS($V$2:V115),$V$2:$V$1001,0),1)&gt;=100000,INDEX($AC$1005:$AS$1005,1,MATCH(COLUMNS($AC$1006:AP1006),$AC$1006:$AS$1006,0))&gt;=100000), " ",IF(INDEX($AC$2:$AS$1001,MATCH(ROWS($V$2:V115),$V$2:$V$1001,0),MATCH(COLUMNS($AC$1006:AP1006),$AC$1006:$AS$1006,0)), HYPERLINK("#",""), HYPERLINK(CONCATENATE("#metadata!", ADDRESS(INDEX($X$2:$X$1001,MATCH(ROWS($V$2:V115),$V$2:$V$1001,0),0), INDEX($AC$1004:$AS$1004,1,MATCH(COLUMNS($AC$1006:AP1006),$AC$1006:$AS$1006,0)))),"Fix")))</f>
        <v xml:space="preserve"> </v>
      </c>
      <c r="P115" s="4" t="str">
        <f ca="1">IF(OR(INDEX($W$2:$W$1001,MATCH(ROWS($V$2:V115),$V$2:$V$1001,0),1)&gt;=100000,INDEX($AC$1005:$AS$1005,1,MATCH(COLUMNS($AC$1006:AQ1006),$AC$1006:$AS$1006,0))&gt;=100000), " ",IF(INDEX($AC$2:$AS$1001,MATCH(ROWS($V$2:V115),$V$2:$V$1001,0),MATCH(COLUMNS($AC$1006:AQ1006),$AC$1006:$AS$1006,0)), HYPERLINK("#",""), HYPERLINK(CONCATENATE("#metadata!", ADDRESS(INDEX($X$2:$X$1001,MATCH(ROWS($V$2:V115),$V$2:$V$1001,0),0), INDEX($AC$1004:$AS$1004,1,MATCH(COLUMNS($AC$1006:AQ1006),$AC$1006:$AS$1006,0)))),"Fix")))</f>
        <v xml:space="preserve"> </v>
      </c>
      <c r="Q115" s="4" t="str">
        <f ca="1">IF(OR(INDEX($W$2:$W$1001,MATCH(ROWS($V$2:V115),$V$2:$V$1001,0),1)&gt;=100000,INDEX($AC$1005:$AS$1005,1,MATCH(COLUMNS($AC$1006:AR1006),$AC$1006:$AS$1006,0))&gt;=100000), " ",IF(INDEX($AC$2:$AS$1001,MATCH(ROWS($V$2:V115),$V$2:$V$1001,0),MATCH(COLUMNS($AC$1006:AR1006),$AC$1006:$AS$1006,0)), HYPERLINK("#",""), HYPERLINK(CONCATENATE("#metadata!", ADDRESS(INDEX($X$2:$X$1001,MATCH(ROWS($V$2:V115),$V$2:$V$1001,0),0), INDEX($AC$1004:$AS$1004,1,MATCH(COLUMNS($AC$1006:AR1006),$AC$1006:$AS$1006,0)))),"Fix")))</f>
        <v xml:space="preserve"> </v>
      </c>
      <c r="R115" s="4" t="str">
        <f ca="1">IF(OR(INDEX($W$2:$W$1001,MATCH(ROWS($V$2:V115),$V$2:$V$1001,0),1)&gt;=100000,INDEX($AC$1005:$AS$1005,1,MATCH(COLUMNS($AC$1006:AS1006),$AC$1006:$AS$1006,0))&gt;=100000), " ",IF(INDEX($AC$2:$AS$1001,MATCH(ROWS($V$2:V115),$V$2:$V$1001,0),MATCH(COLUMNS($AC$1006:AS1006),$AC$1006:$AS$1006,0)), HYPERLINK("#",""), HYPERLINK(CONCATENATE("#metadata!", ADDRESS(INDEX($X$2:$X$1001,MATCH(ROWS($V$2:V115),$V$2:$V$1001,0),0), INDEX($AC$1004:$AS$1004,1,MATCH(COLUMNS($AC$1006:AS1006),$AC$1006:$AS$1006,0)))),"Fix")))</f>
        <v xml:space="preserve"> </v>
      </c>
      <c r="V115">
        <v>114</v>
      </c>
      <c r="W115">
        <v>100115</v>
      </c>
      <c r="X115">
        <v>115</v>
      </c>
      <c r="Y115" t="b">
        <f t="shared" si="1"/>
        <v>1</v>
      </c>
      <c r="Z115" t="b">
        <f>COUNTBLANK(metadata!B115:R115)=COLUMNS(metadata!B115:R115)</f>
        <v>1</v>
      </c>
      <c r="AA115" t="str">
        <v/>
      </c>
      <c r="AC115" t="b">
        <f ca="1"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AD115" t="b">
        <f>IF(metadata!C115="",FALSE,ISNUMBER(VALUE(metadata!C115)))</f>
        <v>0</v>
      </c>
      <c r="AE115" t="b">
        <f>AND(IF(metadata!D115="",FALSE,TRUE),EXACT(metadata!D115,"years"))</f>
        <v>0</v>
      </c>
      <c r="AF115" t="b">
        <f>OR(AND(IF(metadata!E115="",FALSE,TRUE),OR(EXACT(metadata!E115,"not applicable"),EXACT(metadata!E115,"missing: not collected"),EXACT(metadata!E115,"missing: not provided"),EXACT(metadata!E115,"missing: restricted access"))),AND(IF(metadata!E115="",FALSE,ISNUMBER(VALUE(metadata!E115))),metadata!E115&gt;0))</f>
        <v>0</v>
      </c>
      <c r="AG115" t="b">
        <f>AND(IF(metadata!F115="",FALSE,TRUE),EXACT(metadata!F115,"Not applicable"))</f>
        <v>0</v>
      </c>
      <c r="AH115" t="b">
        <f>AND(IF(metadata!G115="",FALSE,TRUE),EXACT(metadata!G115,"urban biome"))</f>
        <v>0</v>
      </c>
      <c r="AI115" t="b">
        <f>AND(IF(metadata!H115="",FALSE,TRUE),EXACT(metadata!H115,"human-associated habitat"))</f>
        <v>0</v>
      </c>
      <c r="AJ115" t="b">
        <f>AND(IF(metadata!I115="",FALSE,TRUE),OR(EXACT(metadata!I115,"human-associated"),EXACT(metadata!I115,"human-skin"),EXACT(metadata!I115,"human-oral"),EXACT(metadata!I115,"human-gut"),EXACT(metadata!I115,"human-vaginal")))</f>
        <v>0</v>
      </c>
      <c r="AK115" t="b">
        <f>IF(metadata!J115="",FALSE,ISNUMBER(VALUE(metadata!J115)))</f>
        <v>0</v>
      </c>
      <c r="AL115" t="b">
        <f>AND(IF(metadata!K115="",FALSE,TRUE),EXACT(metadata!K115,"cm"))</f>
        <v>0</v>
      </c>
      <c r="AM115" t="b">
        <f>AND(IF(metadata!L115="",FALSE,TRUE),EXACT(metadata!L115,"human"))</f>
        <v>0</v>
      </c>
      <c r="AN115" t="b">
        <f>AND(IF(metadata!M115="",FALSE,TRUE),EXACT(metadata!M115,"Homo sapiens"))</f>
        <v>0</v>
      </c>
      <c r="AO115" t="b">
        <f>AND(IF(metadata!N115="",FALSE,TRUE),EXACT(metadata!N115,"9606"))</f>
        <v>0</v>
      </c>
      <c r="AP115" t="b">
        <f>IF(metadata!O115="",FALSE,TRUE)</f>
        <v>0</v>
      </c>
      <c r="AQ115" t="b">
        <f>IF(metadata!P115="",FALSE,TRUE)</f>
        <v>0</v>
      </c>
      <c r="AR115" t="b">
        <f>IF(metadata!Q115="",FALSE,ISNUMBER(VALUE(metadata!Q115)))</f>
        <v>0</v>
      </c>
      <c r="AS115" t="b">
        <f>AND(IF(metadata!R115="",FALSE,TRUE),EXACT(metadata!R115,"kg"))</f>
        <v>0</v>
      </c>
    </row>
    <row r="116" spans="1:45" x14ac:dyDescent="0.2">
      <c r="A116" s="5" t="str">
        <f ca="1">IF(B116=" "," ",HYPERLINK(CONCATENATE("#metadata!",ADDRESS(INDEX($X$2:$X$1001,MATCH(ROWS($V$2:V116),$V$2:$V$1001,0),0),1)),INDEX($AA$2:$AA$1001,MATCH(ROWS($V$2:V116),$V$2:$V$1001,0),0)))</f>
        <v xml:space="preserve"> </v>
      </c>
      <c r="B116" s="4" t="str">
        <f ca="1">IF(OR(INDEX($W$2:$W$1001,MATCH(ROWS($V$2:V116),$V$2:$V$1001,0),1)&gt;=100000,INDEX($AC$1005:$AS$1005,1,MATCH(COLUMNS($AC$1006:AC1006),$AC$1006:$AS$1006,0))&gt;=100000), " ",IF(INDEX($AC$2:$AS$1001,MATCH(ROWS($V$2:V116),$V$2:$V$1001,0),MATCH(COLUMNS($AC$1006:AC1006),$AC$1006:$AS$1006,0)), HYPERLINK("#",""), HYPERLINK(CONCATENATE("#metadata!", ADDRESS(INDEX($X$2:$X$1001,MATCH(ROWS($V$2:V116),$V$2:$V$1001,0),0), INDEX($AC$1004:$AS$1004,1,MATCH(COLUMNS($AC$1006:AC1006),$AC$1006:$AS$1006,0)))),"Fix")))</f>
        <v xml:space="preserve"> </v>
      </c>
      <c r="C116" s="4" t="str">
        <f ca="1">IF(OR(INDEX($W$2:$W$1001,MATCH(ROWS($V$2:V116),$V$2:$V$1001,0),1)&gt;=100000,INDEX($AC$1005:$AS$1005,1,MATCH(COLUMNS($AC$1006:AD1006),$AC$1006:$AS$1006,0))&gt;=100000), " ",IF(INDEX($AC$2:$AS$1001,MATCH(ROWS($V$2:V116),$V$2:$V$1001,0),MATCH(COLUMNS($AC$1006:AD1006),$AC$1006:$AS$1006,0)), HYPERLINK("#",""), HYPERLINK(CONCATENATE("#metadata!", ADDRESS(INDEX($X$2:$X$1001,MATCH(ROWS($V$2:V116),$V$2:$V$1001,0),0), INDEX($AC$1004:$AS$1004,1,MATCH(COLUMNS($AC$1006:AD1006),$AC$1006:$AS$1006,0)))),"Fix")))</f>
        <v xml:space="preserve"> </v>
      </c>
      <c r="D116" s="4" t="str">
        <f ca="1">IF(OR(INDEX($W$2:$W$1001,MATCH(ROWS($V$2:V116),$V$2:$V$1001,0),1)&gt;=100000,INDEX($AC$1005:$AS$1005,1,MATCH(COLUMNS($AC$1006:AE1006),$AC$1006:$AS$1006,0))&gt;=100000), " ",IF(INDEX($AC$2:$AS$1001,MATCH(ROWS($V$2:V116),$V$2:$V$1001,0),MATCH(COLUMNS($AC$1006:AE1006),$AC$1006:$AS$1006,0)), HYPERLINK("#",""), HYPERLINK(CONCATENATE("#metadata!", ADDRESS(INDEX($X$2:$X$1001,MATCH(ROWS($V$2:V116),$V$2:$V$1001,0),0), INDEX($AC$1004:$AS$1004,1,MATCH(COLUMNS($AC$1006:AE1006),$AC$1006:$AS$1006,0)))),"Fix")))</f>
        <v xml:space="preserve"> </v>
      </c>
      <c r="E116" s="4" t="str">
        <f ca="1">IF(OR(INDEX($W$2:$W$1001,MATCH(ROWS($V$2:V116),$V$2:$V$1001,0),1)&gt;=100000,INDEX($AC$1005:$AS$1005,1,MATCH(COLUMNS($AC$1006:AF1006),$AC$1006:$AS$1006,0))&gt;=100000), " ",IF(INDEX($AC$2:$AS$1001,MATCH(ROWS($V$2:V116),$V$2:$V$1001,0),MATCH(COLUMNS($AC$1006:AF1006),$AC$1006:$AS$1006,0)), HYPERLINK("#",""), HYPERLINK(CONCATENATE("#metadata!", ADDRESS(INDEX($X$2:$X$1001,MATCH(ROWS($V$2:V116),$V$2:$V$1001,0),0), INDEX($AC$1004:$AS$1004,1,MATCH(COLUMNS($AC$1006:AF1006),$AC$1006:$AS$1006,0)))),"Fix")))</f>
        <v xml:space="preserve"> </v>
      </c>
      <c r="F116" s="4" t="str">
        <f ca="1">IF(OR(INDEX($W$2:$W$1001,MATCH(ROWS($V$2:V116),$V$2:$V$1001,0),1)&gt;=100000,INDEX($AC$1005:$AS$1005,1,MATCH(COLUMNS($AC$1006:AG1006),$AC$1006:$AS$1006,0))&gt;=100000), " ",IF(INDEX($AC$2:$AS$1001,MATCH(ROWS($V$2:V116),$V$2:$V$1001,0),MATCH(COLUMNS($AC$1006:AG1006),$AC$1006:$AS$1006,0)), HYPERLINK("#",""), HYPERLINK(CONCATENATE("#metadata!", ADDRESS(INDEX($X$2:$X$1001,MATCH(ROWS($V$2:V116),$V$2:$V$1001,0),0), INDEX($AC$1004:$AS$1004,1,MATCH(COLUMNS($AC$1006:AG1006),$AC$1006:$AS$1006,0)))),"Fix")))</f>
        <v xml:space="preserve"> </v>
      </c>
      <c r="G116" s="4" t="str">
        <f ca="1">IF(OR(INDEX($W$2:$W$1001,MATCH(ROWS($V$2:V116),$V$2:$V$1001,0),1)&gt;=100000,INDEX($AC$1005:$AS$1005,1,MATCH(COLUMNS($AC$1006:AH1006),$AC$1006:$AS$1006,0))&gt;=100000), " ",IF(INDEX($AC$2:$AS$1001,MATCH(ROWS($V$2:V116),$V$2:$V$1001,0),MATCH(COLUMNS($AC$1006:AH1006),$AC$1006:$AS$1006,0)), HYPERLINK("#",""), HYPERLINK(CONCATENATE("#metadata!", ADDRESS(INDEX($X$2:$X$1001,MATCH(ROWS($V$2:V116),$V$2:$V$1001,0),0), INDEX($AC$1004:$AS$1004,1,MATCH(COLUMNS($AC$1006:AH1006),$AC$1006:$AS$1006,0)))),"Fix")))</f>
        <v xml:space="preserve"> </v>
      </c>
      <c r="H116" s="4" t="str">
        <f ca="1">IF(OR(INDEX($W$2:$W$1001,MATCH(ROWS($V$2:V116),$V$2:$V$1001,0),1)&gt;=100000,INDEX($AC$1005:$AS$1005,1,MATCH(COLUMNS($AC$1006:AI1006),$AC$1006:$AS$1006,0))&gt;=100000), " ",IF(INDEX($AC$2:$AS$1001,MATCH(ROWS($V$2:V116),$V$2:$V$1001,0),MATCH(COLUMNS($AC$1006:AI1006),$AC$1006:$AS$1006,0)), HYPERLINK("#",""), HYPERLINK(CONCATENATE("#metadata!", ADDRESS(INDEX($X$2:$X$1001,MATCH(ROWS($V$2:V116),$V$2:$V$1001,0),0), INDEX($AC$1004:$AS$1004,1,MATCH(COLUMNS($AC$1006:AI1006),$AC$1006:$AS$1006,0)))),"Fix")))</f>
        <v xml:space="preserve"> </v>
      </c>
      <c r="I116" s="4" t="str">
        <f ca="1">IF(OR(INDEX($W$2:$W$1001,MATCH(ROWS($V$2:V116),$V$2:$V$1001,0),1)&gt;=100000,INDEX($AC$1005:$AS$1005,1,MATCH(COLUMNS($AC$1006:AJ1006),$AC$1006:$AS$1006,0))&gt;=100000), " ",IF(INDEX($AC$2:$AS$1001,MATCH(ROWS($V$2:V116),$V$2:$V$1001,0),MATCH(COLUMNS($AC$1006:AJ1006),$AC$1006:$AS$1006,0)), HYPERLINK("#",""), HYPERLINK(CONCATENATE("#metadata!", ADDRESS(INDEX($X$2:$X$1001,MATCH(ROWS($V$2:V116),$V$2:$V$1001,0),0), INDEX($AC$1004:$AS$1004,1,MATCH(COLUMNS($AC$1006:AJ1006),$AC$1006:$AS$1006,0)))),"Fix")))</f>
        <v xml:space="preserve"> </v>
      </c>
      <c r="J116" s="4" t="str">
        <f ca="1">IF(OR(INDEX($W$2:$W$1001,MATCH(ROWS($V$2:V116),$V$2:$V$1001,0),1)&gt;=100000,INDEX($AC$1005:$AS$1005,1,MATCH(COLUMNS($AC$1006:AK1006),$AC$1006:$AS$1006,0))&gt;=100000), " ",IF(INDEX($AC$2:$AS$1001,MATCH(ROWS($V$2:V116),$V$2:$V$1001,0),MATCH(COLUMNS($AC$1006:AK1006),$AC$1006:$AS$1006,0)), HYPERLINK("#",""), HYPERLINK(CONCATENATE("#metadata!", ADDRESS(INDEX($X$2:$X$1001,MATCH(ROWS($V$2:V116),$V$2:$V$1001,0),0), INDEX($AC$1004:$AS$1004,1,MATCH(COLUMNS($AC$1006:AK1006),$AC$1006:$AS$1006,0)))),"Fix")))</f>
        <v xml:space="preserve"> </v>
      </c>
      <c r="K116" s="4" t="str">
        <f ca="1">IF(OR(INDEX($W$2:$W$1001,MATCH(ROWS($V$2:V116),$V$2:$V$1001,0),1)&gt;=100000,INDEX($AC$1005:$AS$1005,1,MATCH(COLUMNS($AC$1006:AL1006),$AC$1006:$AS$1006,0))&gt;=100000), " ",IF(INDEX($AC$2:$AS$1001,MATCH(ROWS($V$2:V116),$V$2:$V$1001,0),MATCH(COLUMNS($AC$1006:AL1006),$AC$1006:$AS$1006,0)), HYPERLINK("#",""), HYPERLINK(CONCATENATE("#metadata!", ADDRESS(INDEX($X$2:$X$1001,MATCH(ROWS($V$2:V116),$V$2:$V$1001,0),0), INDEX($AC$1004:$AS$1004,1,MATCH(COLUMNS($AC$1006:AL1006),$AC$1006:$AS$1006,0)))),"Fix")))</f>
        <v xml:space="preserve"> </v>
      </c>
      <c r="L116" s="4" t="str">
        <f ca="1">IF(OR(INDEX($W$2:$W$1001,MATCH(ROWS($V$2:V116),$V$2:$V$1001,0),1)&gt;=100000,INDEX($AC$1005:$AS$1005,1,MATCH(COLUMNS($AC$1006:AM1006),$AC$1006:$AS$1006,0))&gt;=100000), " ",IF(INDEX($AC$2:$AS$1001,MATCH(ROWS($V$2:V116),$V$2:$V$1001,0),MATCH(COLUMNS($AC$1006:AM1006),$AC$1006:$AS$1006,0)), HYPERLINK("#",""), HYPERLINK(CONCATENATE("#metadata!", ADDRESS(INDEX($X$2:$X$1001,MATCH(ROWS($V$2:V116),$V$2:$V$1001,0),0), INDEX($AC$1004:$AS$1004,1,MATCH(COLUMNS($AC$1006:AM1006),$AC$1006:$AS$1006,0)))),"Fix")))</f>
        <v xml:space="preserve"> </v>
      </c>
      <c r="M116" s="4" t="str">
        <f ca="1">IF(OR(INDEX($W$2:$W$1001,MATCH(ROWS($V$2:V116),$V$2:$V$1001,0),1)&gt;=100000,INDEX($AC$1005:$AS$1005,1,MATCH(COLUMNS($AC$1006:AN1006),$AC$1006:$AS$1006,0))&gt;=100000), " ",IF(INDEX($AC$2:$AS$1001,MATCH(ROWS($V$2:V116),$V$2:$V$1001,0),MATCH(COLUMNS($AC$1006:AN1006),$AC$1006:$AS$1006,0)), HYPERLINK("#",""), HYPERLINK(CONCATENATE("#metadata!", ADDRESS(INDEX($X$2:$X$1001,MATCH(ROWS($V$2:V116),$V$2:$V$1001,0),0), INDEX($AC$1004:$AS$1004,1,MATCH(COLUMNS($AC$1006:AN1006),$AC$1006:$AS$1006,0)))),"Fix")))</f>
        <v xml:space="preserve"> </v>
      </c>
      <c r="N116" s="4" t="str">
        <f ca="1">IF(OR(INDEX($W$2:$W$1001,MATCH(ROWS($V$2:V116),$V$2:$V$1001,0),1)&gt;=100000,INDEX($AC$1005:$AS$1005,1,MATCH(COLUMNS($AC$1006:AO1006),$AC$1006:$AS$1006,0))&gt;=100000), " ",IF(INDEX($AC$2:$AS$1001,MATCH(ROWS($V$2:V116),$V$2:$V$1001,0),MATCH(COLUMNS($AC$1006:AO1006),$AC$1006:$AS$1006,0)), HYPERLINK("#",""), HYPERLINK(CONCATENATE("#metadata!", ADDRESS(INDEX($X$2:$X$1001,MATCH(ROWS($V$2:V116),$V$2:$V$1001,0),0), INDEX($AC$1004:$AS$1004,1,MATCH(COLUMNS($AC$1006:AO1006),$AC$1006:$AS$1006,0)))),"Fix")))</f>
        <v xml:space="preserve"> </v>
      </c>
      <c r="O116" s="4" t="str">
        <f ca="1">IF(OR(INDEX($W$2:$W$1001,MATCH(ROWS($V$2:V116),$V$2:$V$1001,0),1)&gt;=100000,INDEX($AC$1005:$AS$1005,1,MATCH(COLUMNS($AC$1006:AP1006),$AC$1006:$AS$1006,0))&gt;=100000), " ",IF(INDEX($AC$2:$AS$1001,MATCH(ROWS($V$2:V116),$V$2:$V$1001,0),MATCH(COLUMNS($AC$1006:AP1006),$AC$1006:$AS$1006,0)), HYPERLINK("#",""), HYPERLINK(CONCATENATE("#metadata!", ADDRESS(INDEX($X$2:$X$1001,MATCH(ROWS($V$2:V116),$V$2:$V$1001,0),0), INDEX($AC$1004:$AS$1004,1,MATCH(COLUMNS($AC$1006:AP1006),$AC$1006:$AS$1006,0)))),"Fix")))</f>
        <v xml:space="preserve"> </v>
      </c>
      <c r="P116" s="4" t="str">
        <f ca="1">IF(OR(INDEX($W$2:$W$1001,MATCH(ROWS($V$2:V116),$V$2:$V$1001,0),1)&gt;=100000,INDEX($AC$1005:$AS$1005,1,MATCH(COLUMNS($AC$1006:AQ1006),$AC$1006:$AS$1006,0))&gt;=100000), " ",IF(INDEX($AC$2:$AS$1001,MATCH(ROWS($V$2:V116),$V$2:$V$1001,0),MATCH(COLUMNS($AC$1006:AQ1006),$AC$1006:$AS$1006,0)), HYPERLINK("#",""), HYPERLINK(CONCATENATE("#metadata!", ADDRESS(INDEX($X$2:$X$1001,MATCH(ROWS($V$2:V116),$V$2:$V$1001,0),0), INDEX($AC$1004:$AS$1004,1,MATCH(COLUMNS($AC$1006:AQ1006),$AC$1006:$AS$1006,0)))),"Fix")))</f>
        <v xml:space="preserve"> </v>
      </c>
      <c r="Q116" s="4" t="str">
        <f ca="1">IF(OR(INDEX($W$2:$W$1001,MATCH(ROWS($V$2:V116),$V$2:$V$1001,0),1)&gt;=100000,INDEX($AC$1005:$AS$1005,1,MATCH(COLUMNS($AC$1006:AR1006),$AC$1006:$AS$1006,0))&gt;=100000), " ",IF(INDEX($AC$2:$AS$1001,MATCH(ROWS($V$2:V116),$V$2:$V$1001,0),MATCH(COLUMNS($AC$1006:AR1006),$AC$1006:$AS$1006,0)), HYPERLINK("#",""), HYPERLINK(CONCATENATE("#metadata!", ADDRESS(INDEX($X$2:$X$1001,MATCH(ROWS($V$2:V116),$V$2:$V$1001,0),0), INDEX($AC$1004:$AS$1004,1,MATCH(COLUMNS($AC$1006:AR1006),$AC$1006:$AS$1006,0)))),"Fix")))</f>
        <v xml:space="preserve"> </v>
      </c>
      <c r="R116" s="4" t="str">
        <f ca="1">IF(OR(INDEX($W$2:$W$1001,MATCH(ROWS($V$2:V116),$V$2:$V$1001,0),1)&gt;=100000,INDEX($AC$1005:$AS$1005,1,MATCH(COLUMNS($AC$1006:AS1006),$AC$1006:$AS$1006,0))&gt;=100000), " ",IF(INDEX($AC$2:$AS$1001,MATCH(ROWS($V$2:V116),$V$2:$V$1001,0),MATCH(COLUMNS($AC$1006:AS1006),$AC$1006:$AS$1006,0)), HYPERLINK("#",""), HYPERLINK(CONCATENATE("#metadata!", ADDRESS(INDEX($X$2:$X$1001,MATCH(ROWS($V$2:V116),$V$2:$V$1001,0),0), INDEX($AC$1004:$AS$1004,1,MATCH(COLUMNS($AC$1006:AS1006),$AC$1006:$AS$1006,0)))),"Fix")))</f>
        <v xml:space="preserve"> </v>
      </c>
      <c r="V116">
        <v>115</v>
      </c>
      <c r="W116">
        <v>100116</v>
      </c>
      <c r="X116">
        <v>116</v>
      </c>
      <c r="Y116" t="b">
        <f t="shared" si="1"/>
        <v>1</v>
      </c>
      <c r="Z116" t="b">
        <f>COUNTBLANK(metadata!B116:R116)=COLUMNS(metadata!B116:R116)</f>
        <v>1</v>
      </c>
      <c r="AA116" t="str">
        <v/>
      </c>
      <c r="AC116" t="b">
        <f ca="1"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AD116" t="b">
        <f>IF(metadata!C116="",FALSE,ISNUMBER(VALUE(metadata!C116)))</f>
        <v>0</v>
      </c>
      <c r="AE116" t="b">
        <f>AND(IF(metadata!D116="",FALSE,TRUE),EXACT(metadata!D116,"years"))</f>
        <v>0</v>
      </c>
      <c r="AF116" t="b">
        <f>OR(AND(IF(metadata!E116="",FALSE,TRUE),OR(EXACT(metadata!E116,"not applicable"),EXACT(metadata!E116,"missing: not collected"),EXACT(metadata!E116,"missing: not provided"),EXACT(metadata!E116,"missing: restricted access"))),AND(IF(metadata!E116="",FALSE,ISNUMBER(VALUE(metadata!E116))),metadata!E116&gt;0))</f>
        <v>0</v>
      </c>
      <c r="AG116" t="b">
        <f>AND(IF(metadata!F116="",FALSE,TRUE),EXACT(metadata!F116,"Not applicable"))</f>
        <v>0</v>
      </c>
      <c r="AH116" t="b">
        <f>AND(IF(metadata!G116="",FALSE,TRUE),EXACT(metadata!G116,"urban biome"))</f>
        <v>0</v>
      </c>
      <c r="AI116" t="b">
        <f>AND(IF(metadata!H116="",FALSE,TRUE),EXACT(metadata!H116,"human-associated habitat"))</f>
        <v>0</v>
      </c>
      <c r="AJ116" t="b">
        <f>AND(IF(metadata!I116="",FALSE,TRUE),OR(EXACT(metadata!I116,"human-associated"),EXACT(metadata!I116,"human-skin"),EXACT(metadata!I116,"human-oral"),EXACT(metadata!I116,"human-gut"),EXACT(metadata!I116,"human-vaginal")))</f>
        <v>0</v>
      </c>
      <c r="AK116" t="b">
        <f>IF(metadata!J116="",FALSE,ISNUMBER(VALUE(metadata!J116)))</f>
        <v>0</v>
      </c>
      <c r="AL116" t="b">
        <f>AND(IF(metadata!K116="",FALSE,TRUE),EXACT(metadata!K116,"cm"))</f>
        <v>0</v>
      </c>
      <c r="AM116" t="b">
        <f>AND(IF(metadata!L116="",FALSE,TRUE),EXACT(metadata!L116,"human"))</f>
        <v>0</v>
      </c>
      <c r="AN116" t="b">
        <f>AND(IF(metadata!M116="",FALSE,TRUE),EXACT(metadata!M116,"Homo sapiens"))</f>
        <v>0</v>
      </c>
      <c r="AO116" t="b">
        <f>AND(IF(metadata!N116="",FALSE,TRUE),EXACT(metadata!N116,"9606"))</f>
        <v>0</v>
      </c>
      <c r="AP116" t="b">
        <f>IF(metadata!O116="",FALSE,TRUE)</f>
        <v>0</v>
      </c>
      <c r="AQ116" t="b">
        <f>IF(metadata!P116="",FALSE,TRUE)</f>
        <v>0</v>
      </c>
      <c r="AR116" t="b">
        <f>IF(metadata!Q116="",FALSE,ISNUMBER(VALUE(metadata!Q116)))</f>
        <v>0</v>
      </c>
      <c r="AS116" t="b">
        <f>AND(IF(metadata!R116="",FALSE,TRUE),EXACT(metadata!R116,"kg"))</f>
        <v>0</v>
      </c>
    </row>
    <row r="117" spans="1:45" x14ac:dyDescent="0.2">
      <c r="A117" s="5" t="str">
        <f ca="1">IF(B117=" "," ",HYPERLINK(CONCATENATE("#metadata!",ADDRESS(INDEX($X$2:$X$1001,MATCH(ROWS($V$2:V117),$V$2:$V$1001,0),0),1)),INDEX($AA$2:$AA$1001,MATCH(ROWS($V$2:V117),$V$2:$V$1001,0),0)))</f>
        <v xml:space="preserve"> </v>
      </c>
      <c r="B117" s="4" t="str">
        <f ca="1">IF(OR(INDEX($W$2:$W$1001,MATCH(ROWS($V$2:V117),$V$2:$V$1001,0),1)&gt;=100000,INDEX($AC$1005:$AS$1005,1,MATCH(COLUMNS($AC$1006:AC1006),$AC$1006:$AS$1006,0))&gt;=100000), " ",IF(INDEX($AC$2:$AS$1001,MATCH(ROWS($V$2:V117),$V$2:$V$1001,0),MATCH(COLUMNS($AC$1006:AC1006),$AC$1006:$AS$1006,0)), HYPERLINK("#",""), HYPERLINK(CONCATENATE("#metadata!", ADDRESS(INDEX($X$2:$X$1001,MATCH(ROWS($V$2:V117),$V$2:$V$1001,0),0), INDEX($AC$1004:$AS$1004,1,MATCH(COLUMNS($AC$1006:AC1006),$AC$1006:$AS$1006,0)))),"Fix")))</f>
        <v xml:space="preserve"> </v>
      </c>
      <c r="C117" s="4" t="str">
        <f ca="1">IF(OR(INDEX($W$2:$W$1001,MATCH(ROWS($V$2:V117),$V$2:$V$1001,0),1)&gt;=100000,INDEX($AC$1005:$AS$1005,1,MATCH(COLUMNS($AC$1006:AD1006),$AC$1006:$AS$1006,0))&gt;=100000), " ",IF(INDEX($AC$2:$AS$1001,MATCH(ROWS($V$2:V117),$V$2:$V$1001,0),MATCH(COLUMNS($AC$1006:AD1006),$AC$1006:$AS$1006,0)), HYPERLINK("#",""), HYPERLINK(CONCATENATE("#metadata!", ADDRESS(INDEX($X$2:$X$1001,MATCH(ROWS($V$2:V117),$V$2:$V$1001,0),0), INDEX($AC$1004:$AS$1004,1,MATCH(COLUMNS($AC$1006:AD1006),$AC$1006:$AS$1006,0)))),"Fix")))</f>
        <v xml:space="preserve"> </v>
      </c>
      <c r="D117" s="4" t="str">
        <f ca="1">IF(OR(INDEX($W$2:$W$1001,MATCH(ROWS($V$2:V117),$V$2:$V$1001,0),1)&gt;=100000,INDEX($AC$1005:$AS$1005,1,MATCH(COLUMNS($AC$1006:AE1006),$AC$1006:$AS$1006,0))&gt;=100000), " ",IF(INDEX($AC$2:$AS$1001,MATCH(ROWS($V$2:V117),$V$2:$V$1001,0),MATCH(COLUMNS($AC$1006:AE1006),$AC$1006:$AS$1006,0)), HYPERLINK("#",""), HYPERLINK(CONCATENATE("#metadata!", ADDRESS(INDEX($X$2:$X$1001,MATCH(ROWS($V$2:V117),$V$2:$V$1001,0),0), INDEX($AC$1004:$AS$1004,1,MATCH(COLUMNS($AC$1006:AE1006),$AC$1006:$AS$1006,0)))),"Fix")))</f>
        <v xml:space="preserve"> </v>
      </c>
      <c r="E117" s="4" t="str">
        <f ca="1">IF(OR(INDEX($W$2:$W$1001,MATCH(ROWS($V$2:V117),$V$2:$V$1001,0),1)&gt;=100000,INDEX($AC$1005:$AS$1005,1,MATCH(COLUMNS($AC$1006:AF1006),$AC$1006:$AS$1006,0))&gt;=100000), " ",IF(INDEX($AC$2:$AS$1001,MATCH(ROWS($V$2:V117),$V$2:$V$1001,0),MATCH(COLUMNS($AC$1006:AF1006),$AC$1006:$AS$1006,0)), HYPERLINK("#",""), HYPERLINK(CONCATENATE("#metadata!", ADDRESS(INDEX($X$2:$X$1001,MATCH(ROWS($V$2:V117),$V$2:$V$1001,0),0), INDEX($AC$1004:$AS$1004,1,MATCH(COLUMNS($AC$1006:AF1006),$AC$1006:$AS$1006,0)))),"Fix")))</f>
        <v xml:space="preserve"> </v>
      </c>
      <c r="F117" s="4" t="str">
        <f ca="1">IF(OR(INDEX($W$2:$W$1001,MATCH(ROWS($V$2:V117),$V$2:$V$1001,0),1)&gt;=100000,INDEX($AC$1005:$AS$1005,1,MATCH(COLUMNS($AC$1006:AG1006),$AC$1006:$AS$1006,0))&gt;=100000), " ",IF(INDEX($AC$2:$AS$1001,MATCH(ROWS($V$2:V117),$V$2:$V$1001,0),MATCH(COLUMNS($AC$1006:AG1006),$AC$1006:$AS$1006,0)), HYPERLINK("#",""), HYPERLINK(CONCATENATE("#metadata!", ADDRESS(INDEX($X$2:$X$1001,MATCH(ROWS($V$2:V117),$V$2:$V$1001,0),0), INDEX($AC$1004:$AS$1004,1,MATCH(COLUMNS($AC$1006:AG1006),$AC$1006:$AS$1006,0)))),"Fix")))</f>
        <v xml:space="preserve"> </v>
      </c>
      <c r="G117" s="4" t="str">
        <f ca="1">IF(OR(INDEX($W$2:$W$1001,MATCH(ROWS($V$2:V117),$V$2:$V$1001,0),1)&gt;=100000,INDEX($AC$1005:$AS$1005,1,MATCH(COLUMNS($AC$1006:AH1006),$AC$1006:$AS$1006,0))&gt;=100000), " ",IF(INDEX($AC$2:$AS$1001,MATCH(ROWS($V$2:V117),$V$2:$V$1001,0),MATCH(COLUMNS($AC$1006:AH1006),$AC$1006:$AS$1006,0)), HYPERLINK("#",""), HYPERLINK(CONCATENATE("#metadata!", ADDRESS(INDEX($X$2:$X$1001,MATCH(ROWS($V$2:V117),$V$2:$V$1001,0),0), INDEX($AC$1004:$AS$1004,1,MATCH(COLUMNS($AC$1006:AH1006),$AC$1006:$AS$1006,0)))),"Fix")))</f>
        <v xml:space="preserve"> </v>
      </c>
      <c r="H117" s="4" t="str">
        <f ca="1">IF(OR(INDEX($W$2:$W$1001,MATCH(ROWS($V$2:V117),$V$2:$V$1001,0),1)&gt;=100000,INDEX($AC$1005:$AS$1005,1,MATCH(COLUMNS($AC$1006:AI1006),$AC$1006:$AS$1006,0))&gt;=100000), " ",IF(INDEX($AC$2:$AS$1001,MATCH(ROWS($V$2:V117),$V$2:$V$1001,0),MATCH(COLUMNS($AC$1006:AI1006),$AC$1006:$AS$1006,0)), HYPERLINK("#",""), HYPERLINK(CONCATENATE("#metadata!", ADDRESS(INDEX($X$2:$X$1001,MATCH(ROWS($V$2:V117),$V$2:$V$1001,0),0), INDEX($AC$1004:$AS$1004,1,MATCH(COLUMNS($AC$1006:AI1006),$AC$1006:$AS$1006,0)))),"Fix")))</f>
        <v xml:space="preserve"> </v>
      </c>
      <c r="I117" s="4" t="str">
        <f ca="1">IF(OR(INDEX($W$2:$W$1001,MATCH(ROWS($V$2:V117),$V$2:$V$1001,0),1)&gt;=100000,INDEX($AC$1005:$AS$1005,1,MATCH(COLUMNS($AC$1006:AJ1006),$AC$1006:$AS$1006,0))&gt;=100000), " ",IF(INDEX($AC$2:$AS$1001,MATCH(ROWS($V$2:V117),$V$2:$V$1001,0),MATCH(COLUMNS($AC$1006:AJ1006),$AC$1006:$AS$1006,0)), HYPERLINK("#",""), HYPERLINK(CONCATENATE("#metadata!", ADDRESS(INDEX($X$2:$X$1001,MATCH(ROWS($V$2:V117),$V$2:$V$1001,0),0), INDEX($AC$1004:$AS$1004,1,MATCH(COLUMNS($AC$1006:AJ1006),$AC$1006:$AS$1006,0)))),"Fix")))</f>
        <v xml:space="preserve"> </v>
      </c>
      <c r="J117" s="4" t="str">
        <f ca="1">IF(OR(INDEX($W$2:$W$1001,MATCH(ROWS($V$2:V117),$V$2:$V$1001,0),1)&gt;=100000,INDEX($AC$1005:$AS$1005,1,MATCH(COLUMNS($AC$1006:AK1006),$AC$1006:$AS$1006,0))&gt;=100000), " ",IF(INDEX($AC$2:$AS$1001,MATCH(ROWS($V$2:V117),$V$2:$V$1001,0),MATCH(COLUMNS($AC$1006:AK1006),$AC$1006:$AS$1006,0)), HYPERLINK("#",""), HYPERLINK(CONCATENATE("#metadata!", ADDRESS(INDEX($X$2:$X$1001,MATCH(ROWS($V$2:V117),$V$2:$V$1001,0),0), INDEX($AC$1004:$AS$1004,1,MATCH(COLUMNS($AC$1006:AK1006),$AC$1006:$AS$1006,0)))),"Fix")))</f>
        <v xml:space="preserve"> </v>
      </c>
      <c r="K117" s="4" t="str">
        <f ca="1">IF(OR(INDEX($W$2:$W$1001,MATCH(ROWS($V$2:V117),$V$2:$V$1001,0),1)&gt;=100000,INDEX($AC$1005:$AS$1005,1,MATCH(COLUMNS($AC$1006:AL1006),$AC$1006:$AS$1006,0))&gt;=100000), " ",IF(INDEX($AC$2:$AS$1001,MATCH(ROWS($V$2:V117),$V$2:$V$1001,0),MATCH(COLUMNS($AC$1006:AL1006),$AC$1006:$AS$1006,0)), HYPERLINK("#",""), HYPERLINK(CONCATENATE("#metadata!", ADDRESS(INDEX($X$2:$X$1001,MATCH(ROWS($V$2:V117),$V$2:$V$1001,0),0), INDEX($AC$1004:$AS$1004,1,MATCH(COLUMNS($AC$1006:AL1006),$AC$1006:$AS$1006,0)))),"Fix")))</f>
        <v xml:space="preserve"> </v>
      </c>
      <c r="L117" s="4" t="str">
        <f ca="1">IF(OR(INDEX($W$2:$W$1001,MATCH(ROWS($V$2:V117),$V$2:$V$1001,0),1)&gt;=100000,INDEX($AC$1005:$AS$1005,1,MATCH(COLUMNS($AC$1006:AM1006),$AC$1006:$AS$1006,0))&gt;=100000), " ",IF(INDEX($AC$2:$AS$1001,MATCH(ROWS($V$2:V117),$V$2:$V$1001,0),MATCH(COLUMNS($AC$1006:AM1006),$AC$1006:$AS$1006,0)), HYPERLINK("#",""), HYPERLINK(CONCATENATE("#metadata!", ADDRESS(INDEX($X$2:$X$1001,MATCH(ROWS($V$2:V117),$V$2:$V$1001,0),0), INDEX($AC$1004:$AS$1004,1,MATCH(COLUMNS($AC$1006:AM1006),$AC$1006:$AS$1006,0)))),"Fix")))</f>
        <v xml:space="preserve"> </v>
      </c>
      <c r="M117" s="4" t="str">
        <f ca="1">IF(OR(INDEX($W$2:$W$1001,MATCH(ROWS($V$2:V117),$V$2:$V$1001,0),1)&gt;=100000,INDEX($AC$1005:$AS$1005,1,MATCH(COLUMNS($AC$1006:AN1006),$AC$1006:$AS$1006,0))&gt;=100000), " ",IF(INDEX($AC$2:$AS$1001,MATCH(ROWS($V$2:V117),$V$2:$V$1001,0),MATCH(COLUMNS($AC$1006:AN1006),$AC$1006:$AS$1006,0)), HYPERLINK("#",""), HYPERLINK(CONCATENATE("#metadata!", ADDRESS(INDEX($X$2:$X$1001,MATCH(ROWS($V$2:V117),$V$2:$V$1001,0),0), INDEX($AC$1004:$AS$1004,1,MATCH(COLUMNS($AC$1006:AN1006),$AC$1006:$AS$1006,0)))),"Fix")))</f>
        <v xml:space="preserve"> </v>
      </c>
      <c r="N117" s="4" t="str">
        <f ca="1">IF(OR(INDEX($W$2:$W$1001,MATCH(ROWS($V$2:V117),$V$2:$V$1001,0),1)&gt;=100000,INDEX($AC$1005:$AS$1005,1,MATCH(COLUMNS($AC$1006:AO1006),$AC$1006:$AS$1006,0))&gt;=100000), " ",IF(INDEX($AC$2:$AS$1001,MATCH(ROWS($V$2:V117),$V$2:$V$1001,0),MATCH(COLUMNS($AC$1006:AO1006),$AC$1006:$AS$1006,0)), HYPERLINK("#",""), HYPERLINK(CONCATENATE("#metadata!", ADDRESS(INDEX($X$2:$X$1001,MATCH(ROWS($V$2:V117),$V$2:$V$1001,0),0), INDEX($AC$1004:$AS$1004,1,MATCH(COLUMNS($AC$1006:AO1006),$AC$1006:$AS$1006,0)))),"Fix")))</f>
        <v xml:space="preserve"> </v>
      </c>
      <c r="O117" s="4" t="str">
        <f ca="1">IF(OR(INDEX($W$2:$W$1001,MATCH(ROWS($V$2:V117),$V$2:$V$1001,0),1)&gt;=100000,INDEX($AC$1005:$AS$1005,1,MATCH(COLUMNS($AC$1006:AP1006),$AC$1006:$AS$1006,0))&gt;=100000), " ",IF(INDEX($AC$2:$AS$1001,MATCH(ROWS($V$2:V117),$V$2:$V$1001,0),MATCH(COLUMNS($AC$1006:AP1006),$AC$1006:$AS$1006,0)), HYPERLINK("#",""), HYPERLINK(CONCATENATE("#metadata!", ADDRESS(INDEX($X$2:$X$1001,MATCH(ROWS($V$2:V117),$V$2:$V$1001,0),0), INDEX($AC$1004:$AS$1004,1,MATCH(COLUMNS($AC$1006:AP1006),$AC$1006:$AS$1006,0)))),"Fix")))</f>
        <v xml:space="preserve"> </v>
      </c>
      <c r="P117" s="4" t="str">
        <f ca="1">IF(OR(INDEX($W$2:$W$1001,MATCH(ROWS($V$2:V117),$V$2:$V$1001,0),1)&gt;=100000,INDEX($AC$1005:$AS$1005,1,MATCH(COLUMNS($AC$1006:AQ1006),$AC$1006:$AS$1006,0))&gt;=100000), " ",IF(INDEX($AC$2:$AS$1001,MATCH(ROWS($V$2:V117),$V$2:$V$1001,0),MATCH(COLUMNS($AC$1006:AQ1006),$AC$1006:$AS$1006,0)), HYPERLINK("#",""), HYPERLINK(CONCATENATE("#metadata!", ADDRESS(INDEX($X$2:$X$1001,MATCH(ROWS($V$2:V117),$V$2:$V$1001,0),0), INDEX($AC$1004:$AS$1004,1,MATCH(COLUMNS($AC$1006:AQ1006),$AC$1006:$AS$1006,0)))),"Fix")))</f>
        <v xml:space="preserve"> </v>
      </c>
      <c r="Q117" s="4" t="str">
        <f ca="1">IF(OR(INDEX($W$2:$W$1001,MATCH(ROWS($V$2:V117),$V$2:$V$1001,0),1)&gt;=100000,INDEX($AC$1005:$AS$1005,1,MATCH(COLUMNS($AC$1006:AR1006),$AC$1006:$AS$1006,0))&gt;=100000), " ",IF(INDEX($AC$2:$AS$1001,MATCH(ROWS($V$2:V117),$V$2:$V$1001,0),MATCH(COLUMNS($AC$1006:AR1006),$AC$1006:$AS$1006,0)), HYPERLINK("#",""), HYPERLINK(CONCATENATE("#metadata!", ADDRESS(INDEX($X$2:$X$1001,MATCH(ROWS($V$2:V117),$V$2:$V$1001,0),0), INDEX($AC$1004:$AS$1004,1,MATCH(COLUMNS($AC$1006:AR1006),$AC$1006:$AS$1006,0)))),"Fix")))</f>
        <v xml:space="preserve"> </v>
      </c>
      <c r="R117" s="4" t="str">
        <f ca="1">IF(OR(INDEX($W$2:$W$1001,MATCH(ROWS($V$2:V117),$V$2:$V$1001,0),1)&gt;=100000,INDEX($AC$1005:$AS$1005,1,MATCH(COLUMNS($AC$1006:AS1006),$AC$1006:$AS$1006,0))&gt;=100000), " ",IF(INDEX($AC$2:$AS$1001,MATCH(ROWS($V$2:V117),$V$2:$V$1001,0),MATCH(COLUMNS($AC$1006:AS1006),$AC$1006:$AS$1006,0)), HYPERLINK("#",""), HYPERLINK(CONCATENATE("#metadata!", ADDRESS(INDEX($X$2:$X$1001,MATCH(ROWS($V$2:V117),$V$2:$V$1001,0),0), INDEX($AC$1004:$AS$1004,1,MATCH(COLUMNS($AC$1006:AS1006),$AC$1006:$AS$1006,0)))),"Fix")))</f>
        <v xml:space="preserve"> </v>
      </c>
      <c r="V117">
        <v>116</v>
      </c>
      <c r="W117">
        <v>100117</v>
      </c>
      <c r="X117">
        <v>117</v>
      </c>
      <c r="Y117" t="b">
        <f t="shared" si="1"/>
        <v>1</v>
      </c>
      <c r="Z117" t="b">
        <f>COUNTBLANK(metadata!B117:R117)=COLUMNS(metadata!B117:R117)</f>
        <v>1</v>
      </c>
      <c r="AA117" t="str">
        <v/>
      </c>
      <c r="AC117" t="b">
        <f ca="1"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AD117" t="b">
        <f>IF(metadata!C117="",FALSE,ISNUMBER(VALUE(metadata!C117)))</f>
        <v>0</v>
      </c>
      <c r="AE117" t="b">
        <f>AND(IF(metadata!D117="",FALSE,TRUE),EXACT(metadata!D117,"years"))</f>
        <v>0</v>
      </c>
      <c r="AF117" t="b">
        <f>OR(AND(IF(metadata!E117="",FALSE,TRUE),OR(EXACT(metadata!E117,"not applicable"),EXACT(metadata!E117,"missing: not collected"),EXACT(metadata!E117,"missing: not provided"),EXACT(metadata!E117,"missing: restricted access"))),AND(IF(metadata!E117="",FALSE,ISNUMBER(VALUE(metadata!E117))),metadata!E117&gt;0))</f>
        <v>0</v>
      </c>
      <c r="AG117" t="b">
        <f>AND(IF(metadata!F117="",FALSE,TRUE),EXACT(metadata!F117,"Not applicable"))</f>
        <v>0</v>
      </c>
      <c r="AH117" t="b">
        <f>AND(IF(metadata!G117="",FALSE,TRUE),EXACT(metadata!G117,"urban biome"))</f>
        <v>0</v>
      </c>
      <c r="AI117" t="b">
        <f>AND(IF(metadata!H117="",FALSE,TRUE),EXACT(metadata!H117,"human-associated habitat"))</f>
        <v>0</v>
      </c>
      <c r="AJ117" t="b">
        <f>AND(IF(metadata!I117="",FALSE,TRUE),OR(EXACT(metadata!I117,"human-associated"),EXACT(metadata!I117,"human-skin"),EXACT(metadata!I117,"human-oral"),EXACT(metadata!I117,"human-gut"),EXACT(metadata!I117,"human-vaginal")))</f>
        <v>0</v>
      </c>
      <c r="AK117" t="b">
        <f>IF(metadata!J117="",FALSE,ISNUMBER(VALUE(metadata!J117)))</f>
        <v>0</v>
      </c>
      <c r="AL117" t="b">
        <f>AND(IF(metadata!K117="",FALSE,TRUE),EXACT(metadata!K117,"cm"))</f>
        <v>0</v>
      </c>
      <c r="AM117" t="b">
        <f>AND(IF(metadata!L117="",FALSE,TRUE),EXACT(metadata!L117,"human"))</f>
        <v>0</v>
      </c>
      <c r="AN117" t="b">
        <f>AND(IF(metadata!M117="",FALSE,TRUE),EXACT(metadata!M117,"Homo sapiens"))</f>
        <v>0</v>
      </c>
      <c r="AO117" t="b">
        <f>AND(IF(metadata!N117="",FALSE,TRUE),EXACT(metadata!N117,"9606"))</f>
        <v>0</v>
      </c>
      <c r="AP117" t="b">
        <f>IF(metadata!O117="",FALSE,TRUE)</f>
        <v>0</v>
      </c>
      <c r="AQ117" t="b">
        <f>IF(metadata!P117="",FALSE,TRUE)</f>
        <v>0</v>
      </c>
      <c r="AR117" t="b">
        <f>IF(metadata!Q117="",FALSE,ISNUMBER(VALUE(metadata!Q117)))</f>
        <v>0</v>
      </c>
      <c r="AS117" t="b">
        <f>AND(IF(metadata!R117="",FALSE,TRUE),EXACT(metadata!R117,"kg"))</f>
        <v>0</v>
      </c>
    </row>
    <row r="118" spans="1:45" x14ac:dyDescent="0.2">
      <c r="A118" s="5" t="str">
        <f ca="1">IF(B118=" "," ",HYPERLINK(CONCATENATE("#metadata!",ADDRESS(INDEX($X$2:$X$1001,MATCH(ROWS($V$2:V118),$V$2:$V$1001,0),0),1)),INDEX($AA$2:$AA$1001,MATCH(ROWS($V$2:V118),$V$2:$V$1001,0),0)))</f>
        <v xml:space="preserve"> </v>
      </c>
      <c r="B118" s="4" t="str">
        <f ca="1">IF(OR(INDEX($W$2:$W$1001,MATCH(ROWS($V$2:V118),$V$2:$V$1001,0),1)&gt;=100000,INDEX($AC$1005:$AS$1005,1,MATCH(COLUMNS($AC$1006:AC1006),$AC$1006:$AS$1006,0))&gt;=100000), " ",IF(INDEX($AC$2:$AS$1001,MATCH(ROWS($V$2:V118),$V$2:$V$1001,0),MATCH(COLUMNS($AC$1006:AC1006),$AC$1006:$AS$1006,0)), HYPERLINK("#",""), HYPERLINK(CONCATENATE("#metadata!", ADDRESS(INDEX($X$2:$X$1001,MATCH(ROWS($V$2:V118),$V$2:$V$1001,0),0), INDEX($AC$1004:$AS$1004,1,MATCH(COLUMNS($AC$1006:AC1006),$AC$1006:$AS$1006,0)))),"Fix")))</f>
        <v xml:space="preserve"> </v>
      </c>
      <c r="C118" s="4" t="str">
        <f ca="1">IF(OR(INDEX($W$2:$W$1001,MATCH(ROWS($V$2:V118),$V$2:$V$1001,0),1)&gt;=100000,INDEX($AC$1005:$AS$1005,1,MATCH(COLUMNS($AC$1006:AD1006),$AC$1006:$AS$1006,0))&gt;=100000), " ",IF(INDEX($AC$2:$AS$1001,MATCH(ROWS($V$2:V118),$V$2:$V$1001,0),MATCH(COLUMNS($AC$1006:AD1006),$AC$1006:$AS$1006,0)), HYPERLINK("#",""), HYPERLINK(CONCATENATE("#metadata!", ADDRESS(INDEX($X$2:$X$1001,MATCH(ROWS($V$2:V118),$V$2:$V$1001,0),0), INDEX($AC$1004:$AS$1004,1,MATCH(COLUMNS($AC$1006:AD1006),$AC$1006:$AS$1006,0)))),"Fix")))</f>
        <v xml:space="preserve"> </v>
      </c>
      <c r="D118" s="4" t="str">
        <f ca="1">IF(OR(INDEX($W$2:$W$1001,MATCH(ROWS($V$2:V118),$V$2:$V$1001,0),1)&gt;=100000,INDEX($AC$1005:$AS$1005,1,MATCH(COLUMNS($AC$1006:AE1006),$AC$1006:$AS$1006,0))&gt;=100000), " ",IF(INDEX($AC$2:$AS$1001,MATCH(ROWS($V$2:V118),$V$2:$V$1001,0),MATCH(COLUMNS($AC$1006:AE1006),$AC$1006:$AS$1006,0)), HYPERLINK("#",""), HYPERLINK(CONCATENATE("#metadata!", ADDRESS(INDEX($X$2:$X$1001,MATCH(ROWS($V$2:V118),$V$2:$V$1001,0),0), INDEX($AC$1004:$AS$1004,1,MATCH(COLUMNS($AC$1006:AE1006),$AC$1006:$AS$1006,0)))),"Fix")))</f>
        <v xml:space="preserve"> </v>
      </c>
      <c r="E118" s="4" t="str">
        <f ca="1">IF(OR(INDEX($W$2:$W$1001,MATCH(ROWS($V$2:V118),$V$2:$V$1001,0),1)&gt;=100000,INDEX($AC$1005:$AS$1005,1,MATCH(COLUMNS($AC$1006:AF1006),$AC$1006:$AS$1006,0))&gt;=100000), " ",IF(INDEX($AC$2:$AS$1001,MATCH(ROWS($V$2:V118),$V$2:$V$1001,0),MATCH(COLUMNS($AC$1006:AF1006),$AC$1006:$AS$1006,0)), HYPERLINK("#",""), HYPERLINK(CONCATENATE("#metadata!", ADDRESS(INDEX($X$2:$X$1001,MATCH(ROWS($V$2:V118),$V$2:$V$1001,0),0), INDEX($AC$1004:$AS$1004,1,MATCH(COLUMNS($AC$1006:AF1006),$AC$1006:$AS$1006,0)))),"Fix")))</f>
        <v xml:space="preserve"> </v>
      </c>
      <c r="F118" s="4" t="str">
        <f ca="1">IF(OR(INDEX($W$2:$W$1001,MATCH(ROWS($V$2:V118),$V$2:$V$1001,0),1)&gt;=100000,INDEX($AC$1005:$AS$1005,1,MATCH(COLUMNS($AC$1006:AG1006),$AC$1006:$AS$1006,0))&gt;=100000), " ",IF(INDEX($AC$2:$AS$1001,MATCH(ROWS($V$2:V118),$V$2:$V$1001,0),MATCH(COLUMNS($AC$1006:AG1006),$AC$1006:$AS$1006,0)), HYPERLINK("#",""), HYPERLINK(CONCATENATE("#metadata!", ADDRESS(INDEX($X$2:$X$1001,MATCH(ROWS($V$2:V118),$V$2:$V$1001,0),0), INDEX($AC$1004:$AS$1004,1,MATCH(COLUMNS($AC$1006:AG1006),$AC$1006:$AS$1006,0)))),"Fix")))</f>
        <v xml:space="preserve"> </v>
      </c>
      <c r="G118" s="4" t="str">
        <f ca="1">IF(OR(INDEX($W$2:$W$1001,MATCH(ROWS($V$2:V118),$V$2:$V$1001,0),1)&gt;=100000,INDEX($AC$1005:$AS$1005,1,MATCH(COLUMNS($AC$1006:AH1006),$AC$1006:$AS$1006,0))&gt;=100000), " ",IF(INDEX($AC$2:$AS$1001,MATCH(ROWS($V$2:V118),$V$2:$V$1001,0),MATCH(COLUMNS($AC$1006:AH1006),$AC$1006:$AS$1006,0)), HYPERLINK("#",""), HYPERLINK(CONCATENATE("#metadata!", ADDRESS(INDEX($X$2:$X$1001,MATCH(ROWS($V$2:V118),$V$2:$V$1001,0),0), INDEX($AC$1004:$AS$1004,1,MATCH(COLUMNS($AC$1006:AH1006),$AC$1006:$AS$1006,0)))),"Fix")))</f>
        <v xml:space="preserve"> </v>
      </c>
      <c r="H118" s="4" t="str">
        <f ca="1">IF(OR(INDEX($W$2:$W$1001,MATCH(ROWS($V$2:V118),$V$2:$V$1001,0),1)&gt;=100000,INDEX($AC$1005:$AS$1005,1,MATCH(COLUMNS($AC$1006:AI1006),$AC$1006:$AS$1006,0))&gt;=100000), " ",IF(INDEX($AC$2:$AS$1001,MATCH(ROWS($V$2:V118),$V$2:$V$1001,0),MATCH(COLUMNS($AC$1006:AI1006),$AC$1006:$AS$1006,0)), HYPERLINK("#",""), HYPERLINK(CONCATENATE("#metadata!", ADDRESS(INDEX($X$2:$X$1001,MATCH(ROWS($V$2:V118),$V$2:$V$1001,0),0), INDEX($AC$1004:$AS$1004,1,MATCH(COLUMNS($AC$1006:AI1006),$AC$1006:$AS$1006,0)))),"Fix")))</f>
        <v xml:space="preserve"> </v>
      </c>
      <c r="I118" s="4" t="str">
        <f ca="1">IF(OR(INDEX($W$2:$W$1001,MATCH(ROWS($V$2:V118),$V$2:$V$1001,0),1)&gt;=100000,INDEX($AC$1005:$AS$1005,1,MATCH(COLUMNS($AC$1006:AJ1006),$AC$1006:$AS$1006,0))&gt;=100000), " ",IF(INDEX($AC$2:$AS$1001,MATCH(ROWS($V$2:V118),$V$2:$V$1001,0),MATCH(COLUMNS($AC$1006:AJ1006),$AC$1006:$AS$1006,0)), HYPERLINK("#",""), HYPERLINK(CONCATENATE("#metadata!", ADDRESS(INDEX($X$2:$X$1001,MATCH(ROWS($V$2:V118),$V$2:$V$1001,0),0), INDEX($AC$1004:$AS$1004,1,MATCH(COLUMNS($AC$1006:AJ1006),$AC$1006:$AS$1006,0)))),"Fix")))</f>
        <v xml:space="preserve"> </v>
      </c>
      <c r="J118" s="4" t="str">
        <f ca="1">IF(OR(INDEX($W$2:$W$1001,MATCH(ROWS($V$2:V118),$V$2:$V$1001,0),1)&gt;=100000,INDEX($AC$1005:$AS$1005,1,MATCH(COLUMNS($AC$1006:AK1006),$AC$1006:$AS$1006,0))&gt;=100000), " ",IF(INDEX($AC$2:$AS$1001,MATCH(ROWS($V$2:V118),$V$2:$V$1001,0),MATCH(COLUMNS($AC$1006:AK1006),$AC$1006:$AS$1006,0)), HYPERLINK("#",""), HYPERLINK(CONCATENATE("#metadata!", ADDRESS(INDEX($X$2:$X$1001,MATCH(ROWS($V$2:V118),$V$2:$V$1001,0),0), INDEX($AC$1004:$AS$1004,1,MATCH(COLUMNS($AC$1006:AK1006),$AC$1006:$AS$1006,0)))),"Fix")))</f>
        <v xml:space="preserve"> </v>
      </c>
      <c r="K118" s="4" t="str">
        <f ca="1">IF(OR(INDEX($W$2:$W$1001,MATCH(ROWS($V$2:V118),$V$2:$V$1001,0),1)&gt;=100000,INDEX($AC$1005:$AS$1005,1,MATCH(COLUMNS($AC$1006:AL1006),$AC$1006:$AS$1006,0))&gt;=100000), " ",IF(INDEX($AC$2:$AS$1001,MATCH(ROWS($V$2:V118),$V$2:$V$1001,0),MATCH(COLUMNS($AC$1006:AL1006),$AC$1006:$AS$1006,0)), HYPERLINK("#",""), HYPERLINK(CONCATENATE("#metadata!", ADDRESS(INDEX($X$2:$X$1001,MATCH(ROWS($V$2:V118),$V$2:$V$1001,0),0), INDEX($AC$1004:$AS$1004,1,MATCH(COLUMNS($AC$1006:AL1006),$AC$1006:$AS$1006,0)))),"Fix")))</f>
        <v xml:space="preserve"> </v>
      </c>
      <c r="L118" s="4" t="str">
        <f ca="1">IF(OR(INDEX($W$2:$W$1001,MATCH(ROWS($V$2:V118),$V$2:$V$1001,0),1)&gt;=100000,INDEX($AC$1005:$AS$1005,1,MATCH(COLUMNS($AC$1006:AM1006),$AC$1006:$AS$1006,0))&gt;=100000), " ",IF(INDEX($AC$2:$AS$1001,MATCH(ROWS($V$2:V118),$V$2:$V$1001,0),MATCH(COLUMNS($AC$1006:AM1006),$AC$1006:$AS$1006,0)), HYPERLINK("#",""), HYPERLINK(CONCATENATE("#metadata!", ADDRESS(INDEX($X$2:$X$1001,MATCH(ROWS($V$2:V118),$V$2:$V$1001,0),0), INDEX($AC$1004:$AS$1004,1,MATCH(COLUMNS($AC$1006:AM1006),$AC$1006:$AS$1006,0)))),"Fix")))</f>
        <v xml:space="preserve"> </v>
      </c>
      <c r="M118" s="4" t="str">
        <f ca="1">IF(OR(INDEX($W$2:$W$1001,MATCH(ROWS($V$2:V118),$V$2:$V$1001,0),1)&gt;=100000,INDEX($AC$1005:$AS$1005,1,MATCH(COLUMNS($AC$1006:AN1006),$AC$1006:$AS$1006,0))&gt;=100000), " ",IF(INDEX($AC$2:$AS$1001,MATCH(ROWS($V$2:V118),$V$2:$V$1001,0),MATCH(COLUMNS($AC$1006:AN1006),$AC$1006:$AS$1006,0)), HYPERLINK("#",""), HYPERLINK(CONCATENATE("#metadata!", ADDRESS(INDEX($X$2:$X$1001,MATCH(ROWS($V$2:V118),$V$2:$V$1001,0),0), INDEX($AC$1004:$AS$1004,1,MATCH(COLUMNS($AC$1006:AN1006),$AC$1006:$AS$1006,0)))),"Fix")))</f>
        <v xml:space="preserve"> </v>
      </c>
      <c r="N118" s="4" t="str">
        <f ca="1">IF(OR(INDEX($W$2:$W$1001,MATCH(ROWS($V$2:V118),$V$2:$V$1001,0),1)&gt;=100000,INDEX($AC$1005:$AS$1005,1,MATCH(COLUMNS($AC$1006:AO1006),$AC$1006:$AS$1006,0))&gt;=100000), " ",IF(INDEX($AC$2:$AS$1001,MATCH(ROWS($V$2:V118),$V$2:$V$1001,0),MATCH(COLUMNS($AC$1006:AO1006),$AC$1006:$AS$1006,0)), HYPERLINK("#",""), HYPERLINK(CONCATENATE("#metadata!", ADDRESS(INDEX($X$2:$X$1001,MATCH(ROWS($V$2:V118),$V$2:$V$1001,0),0), INDEX($AC$1004:$AS$1004,1,MATCH(COLUMNS($AC$1006:AO1006),$AC$1006:$AS$1006,0)))),"Fix")))</f>
        <v xml:space="preserve"> </v>
      </c>
      <c r="O118" s="4" t="str">
        <f ca="1">IF(OR(INDEX($W$2:$W$1001,MATCH(ROWS($V$2:V118),$V$2:$V$1001,0),1)&gt;=100000,INDEX($AC$1005:$AS$1005,1,MATCH(COLUMNS($AC$1006:AP1006),$AC$1006:$AS$1006,0))&gt;=100000), " ",IF(INDEX($AC$2:$AS$1001,MATCH(ROWS($V$2:V118),$V$2:$V$1001,0),MATCH(COLUMNS($AC$1006:AP1006),$AC$1006:$AS$1006,0)), HYPERLINK("#",""), HYPERLINK(CONCATENATE("#metadata!", ADDRESS(INDEX($X$2:$X$1001,MATCH(ROWS($V$2:V118),$V$2:$V$1001,0),0), INDEX($AC$1004:$AS$1004,1,MATCH(COLUMNS($AC$1006:AP1006),$AC$1006:$AS$1006,0)))),"Fix")))</f>
        <v xml:space="preserve"> </v>
      </c>
      <c r="P118" s="4" t="str">
        <f ca="1">IF(OR(INDEX($W$2:$W$1001,MATCH(ROWS($V$2:V118),$V$2:$V$1001,0),1)&gt;=100000,INDEX($AC$1005:$AS$1005,1,MATCH(COLUMNS($AC$1006:AQ1006),$AC$1006:$AS$1006,0))&gt;=100000), " ",IF(INDEX($AC$2:$AS$1001,MATCH(ROWS($V$2:V118),$V$2:$V$1001,0),MATCH(COLUMNS($AC$1006:AQ1006),$AC$1006:$AS$1006,0)), HYPERLINK("#",""), HYPERLINK(CONCATENATE("#metadata!", ADDRESS(INDEX($X$2:$X$1001,MATCH(ROWS($V$2:V118),$V$2:$V$1001,0),0), INDEX($AC$1004:$AS$1004,1,MATCH(COLUMNS($AC$1006:AQ1006),$AC$1006:$AS$1006,0)))),"Fix")))</f>
        <v xml:space="preserve"> </v>
      </c>
      <c r="Q118" s="4" t="str">
        <f ca="1">IF(OR(INDEX($W$2:$W$1001,MATCH(ROWS($V$2:V118),$V$2:$V$1001,0),1)&gt;=100000,INDEX($AC$1005:$AS$1005,1,MATCH(COLUMNS($AC$1006:AR1006),$AC$1006:$AS$1006,0))&gt;=100000), " ",IF(INDEX($AC$2:$AS$1001,MATCH(ROWS($V$2:V118),$V$2:$V$1001,0),MATCH(COLUMNS($AC$1006:AR1006),$AC$1006:$AS$1006,0)), HYPERLINK("#",""), HYPERLINK(CONCATENATE("#metadata!", ADDRESS(INDEX($X$2:$X$1001,MATCH(ROWS($V$2:V118),$V$2:$V$1001,0),0), INDEX($AC$1004:$AS$1004,1,MATCH(COLUMNS($AC$1006:AR1006),$AC$1006:$AS$1006,0)))),"Fix")))</f>
        <v xml:space="preserve"> </v>
      </c>
      <c r="R118" s="4" t="str">
        <f ca="1">IF(OR(INDEX($W$2:$W$1001,MATCH(ROWS($V$2:V118),$V$2:$V$1001,0),1)&gt;=100000,INDEX($AC$1005:$AS$1005,1,MATCH(COLUMNS($AC$1006:AS1006),$AC$1006:$AS$1006,0))&gt;=100000), " ",IF(INDEX($AC$2:$AS$1001,MATCH(ROWS($V$2:V118),$V$2:$V$1001,0),MATCH(COLUMNS($AC$1006:AS1006),$AC$1006:$AS$1006,0)), HYPERLINK("#",""), HYPERLINK(CONCATENATE("#metadata!", ADDRESS(INDEX($X$2:$X$1001,MATCH(ROWS($V$2:V118),$V$2:$V$1001,0),0), INDEX($AC$1004:$AS$1004,1,MATCH(COLUMNS($AC$1006:AS1006),$AC$1006:$AS$1006,0)))),"Fix")))</f>
        <v xml:space="preserve"> </v>
      </c>
      <c r="V118">
        <v>117</v>
      </c>
      <c r="W118">
        <v>100118</v>
      </c>
      <c r="X118">
        <v>118</v>
      </c>
      <c r="Y118" t="b">
        <f t="shared" si="1"/>
        <v>1</v>
      </c>
      <c r="Z118" t="b">
        <f>COUNTBLANK(metadata!B118:R118)=COLUMNS(metadata!B118:R118)</f>
        <v>1</v>
      </c>
      <c r="AA118" t="str">
        <v/>
      </c>
      <c r="AC118" t="b">
        <f ca="1"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AD118" t="b">
        <f>IF(metadata!C118="",FALSE,ISNUMBER(VALUE(metadata!C118)))</f>
        <v>0</v>
      </c>
      <c r="AE118" t="b">
        <f>AND(IF(metadata!D118="",FALSE,TRUE),EXACT(metadata!D118,"years"))</f>
        <v>0</v>
      </c>
      <c r="AF118" t="b">
        <f>OR(AND(IF(metadata!E118="",FALSE,TRUE),OR(EXACT(metadata!E118,"not applicable"),EXACT(metadata!E118,"missing: not collected"),EXACT(metadata!E118,"missing: not provided"),EXACT(metadata!E118,"missing: restricted access"))),AND(IF(metadata!E118="",FALSE,ISNUMBER(VALUE(metadata!E118))),metadata!E118&gt;0))</f>
        <v>0</v>
      </c>
      <c r="AG118" t="b">
        <f>AND(IF(metadata!F118="",FALSE,TRUE),EXACT(metadata!F118,"Not applicable"))</f>
        <v>0</v>
      </c>
      <c r="AH118" t="b">
        <f>AND(IF(metadata!G118="",FALSE,TRUE),EXACT(metadata!G118,"urban biome"))</f>
        <v>0</v>
      </c>
      <c r="AI118" t="b">
        <f>AND(IF(metadata!H118="",FALSE,TRUE),EXACT(metadata!H118,"human-associated habitat"))</f>
        <v>0</v>
      </c>
      <c r="AJ118" t="b">
        <f>AND(IF(metadata!I118="",FALSE,TRUE),OR(EXACT(metadata!I118,"human-associated"),EXACT(metadata!I118,"human-skin"),EXACT(metadata!I118,"human-oral"),EXACT(metadata!I118,"human-gut"),EXACT(metadata!I118,"human-vaginal")))</f>
        <v>0</v>
      </c>
      <c r="AK118" t="b">
        <f>IF(metadata!J118="",FALSE,ISNUMBER(VALUE(metadata!J118)))</f>
        <v>0</v>
      </c>
      <c r="AL118" t="b">
        <f>AND(IF(metadata!K118="",FALSE,TRUE),EXACT(metadata!K118,"cm"))</f>
        <v>0</v>
      </c>
      <c r="AM118" t="b">
        <f>AND(IF(metadata!L118="",FALSE,TRUE),EXACT(metadata!L118,"human"))</f>
        <v>0</v>
      </c>
      <c r="AN118" t="b">
        <f>AND(IF(metadata!M118="",FALSE,TRUE),EXACT(metadata!M118,"Homo sapiens"))</f>
        <v>0</v>
      </c>
      <c r="AO118" t="b">
        <f>AND(IF(metadata!N118="",FALSE,TRUE),EXACT(metadata!N118,"9606"))</f>
        <v>0</v>
      </c>
      <c r="AP118" t="b">
        <f>IF(metadata!O118="",FALSE,TRUE)</f>
        <v>0</v>
      </c>
      <c r="AQ118" t="b">
        <f>IF(metadata!P118="",FALSE,TRUE)</f>
        <v>0</v>
      </c>
      <c r="AR118" t="b">
        <f>IF(metadata!Q118="",FALSE,ISNUMBER(VALUE(metadata!Q118)))</f>
        <v>0</v>
      </c>
      <c r="AS118" t="b">
        <f>AND(IF(metadata!R118="",FALSE,TRUE),EXACT(metadata!R118,"kg"))</f>
        <v>0</v>
      </c>
    </row>
    <row r="119" spans="1:45" x14ac:dyDescent="0.2">
      <c r="A119" s="5" t="str">
        <f ca="1">IF(B119=" "," ",HYPERLINK(CONCATENATE("#metadata!",ADDRESS(INDEX($X$2:$X$1001,MATCH(ROWS($V$2:V119),$V$2:$V$1001,0),0),1)),INDEX($AA$2:$AA$1001,MATCH(ROWS($V$2:V119),$V$2:$V$1001,0),0)))</f>
        <v xml:space="preserve"> </v>
      </c>
      <c r="B119" s="4" t="str">
        <f ca="1">IF(OR(INDEX($W$2:$W$1001,MATCH(ROWS($V$2:V119),$V$2:$V$1001,0),1)&gt;=100000,INDEX($AC$1005:$AS$1005,1,MATCH(COLUMNS($AC$1006:AC1006),$AC$1006:$AS$1006,0))&gt;=100000), " ",IF(INDEX($AC$2:$AS$1001,MATCH(ROWS($V$2:V119),$V$2:$V$1001,0),MATCH(COLUMNS($AC$1006:AC1006),$AC$1006:$AS$1006,0)), HYPERLINK("#",""), HYPERLINK(CONCATENATE("#metadata!", ADDRESS(INDEX($X$2:$X$1001,MATCH(ROWS($V$2:V119),$V$2:$V$1001,0),0), INDEX($AC$1004:$AS$1004,1,MATCH(COLUMNS($AC$1006:AC1006),$AC$1006:$AS$1006,0)))),"Fix")))</f>
        <v xml:space="preserve"> </v>
      </c>
      <c r="C119" s="4" t="str">
        <f ca="1">IF(OR(INDEX($W$2:$W$1001,MATCH(ROWS($V$2:V119),$V$2:$V$1001,0),1)&gt;=100000,INDEX($AC$1005:$AS$1005,1,MATCH(COLUMNS($AC$1006:AD1006),$AC$1006:$AS$1006,0))&gt;=100000), " ",IF(INDEX($AC$2:$AS$1001,MATCH(ROWS($V$2:V119),$V$2:$V$1001,0),MATCH(COLUMNS($AC$1006:AD1006),$AC$1006:$AS$1006,0)), HYPERLINK("#",""), HYPERLINK(CONCATENATE("#metadata!", ADDRESS(INDEX($X$2:$X$1001,MATCH(ROWS($V$2:V119),$V$2:$V$1001,0),0), INDEX($AC$1004:$AS$1004,1,MATCH(COLUMNS($AC$1006:AD1006),$AC$1006:$AS$1006,0)))),"Fix")))</f>
        <v xml:space="preserve"> </v>
      </c>
      <c r="D119" s="4" t="str">
        <f ca="1">IF(OR(INDEX($W$2:$W$1001,MATCH(ROWS($V$2:V119),$V$2:$V$1001,0),1)&gt;=100000,INDEX($AC$1005:$AS$1005,1,MATCH(COLUMNS($AC$1006:AE1006),$AC$1006:$AS$1006,0))&gt;=100000), " ",IF(INDEX($AC$2:$AS$1001,MATCH(ROWS($V$2:V119),$V$2:$V$1001,0),MATCH(COLUMNS($AC$1006:AE1006),$AC$1006:$AS$1006,0)), HYPERLINK("#",""), HYPERLINK(CONCATENATE("#metadata!", ADDRESS(INDEX($X$2:$X$1001,MATCH(ROWS($V$2:V119),$V$2:$V$1001,0),0), INDEX($AC$1004:$AS$1004,1,MATCH(COLUMNS($AC$1006:AE1006),$AC$1006:$AS$1006,0)))),"Fix")))</f>
        <v xml:space="preserve"> </v>
      </c>
      <c r="E119" s="4" t="str">
        <f ca="1">IF(OR(INDEX($W$2:$W$1001,MATCH(ROWS($V$2:V119),$V$2:$V$1001,0),1)&gt;=100000,INDEX($AC$1005:$AS$1005,1,MATCH(COLUMNS($AC$1006:AF1006),$AC$1006:$AS$1006,0))&gt;=100000), " ",IF(INDEX($AC$2:$AS$1001,MATCH(ROWS($V$2:V119),$V$2:$V$1001,0),MATCH(COLUMNS($AC$1006:AF1006),$AC$1006:$AS$1006,0)), HYPERLINK("#",""), HYPERLINK(CONCATENATE("#metadata!", ADDRESS(INDEX($X$2:$X$1001,MATCH(ROWS($V$2:V119),$V$2:$V$1001,0),0), INDEX($AC$1004:$AS$1004,1,MATCH(COLUMNS($AC$1006:AF1006),$AC$1006:$AS$1006,0)))),"Fix")))</f>
        <v xml:space="preserve"> </v>
      </c>
      <c r="F119" s="4" t="str">
        <f ca="1">IF(OR(INDEX($W$2:$W$1001,MATCH(ROWS($V$2:V119),$V$2:$V$1001,0),1)&gt;=100000,INDEX($AC$1005:$AS$1005,1,MATCH(COLUMNS($AC$1006:AG1006),$AC$1006:$AS$1006,0))&gt;=100000), " ",IF(INDEX($AC$2:$AS$1001,MATCH(ROWS($V$2:V119),$V$2:$V$1001,0),MATCH(COLUMNS($AC$1006:AG1006),$AC$1006:$AS$1006,0)), HYPERLINK("#",""), HYPERLINK(CONCATENATE("#metadata!", ADDRESS(INDEX($X$2:$X$1001,MATCH(ROWS($V$2:V119),$V$2:$V$1001,0),0), INDEX($AC$1004:$AS$1004,1,MATCH(COLUMNS($AC$1006:AG1006),$AC$1006:$AS$1006,0)))),"Fix")))</f>
        <v xml:space="preserve"> </v>
      </c>
      <c r="G119" s="4" t="str">
        <f ca="1">IF(OR(INDEX($W$2:$W$1001,MATCH(ROWS($V$2:V119),$V$2:$V$1001,0),1)&gt;=100000,INDEX($AC$1005:$AS$1005,1,MATCH(COLUMNS($AC$1006:AH1006),$AC$1006:$AS$1006,0))&gt;=100000), " ",IF(INDEX($AC$2:$AS$1001,MATCH(ROWS($V$2:V119),$V$2:$V$1001,0),MATCH(COLUMNS($AC$1006:AH1006),$AC$1006:$AS$1006,0)), HYPERLINK("#",""), HYPERLINK(CONCATENATE("#metadata!", ADDRESS(INDEX($X$2:$X$1001,MATCH(ROWS($V$2:V119),$V$2:$V$1001,0),0), INDEX($AC$1004:$AS$1004,1,MATCH(COLUMNS($AC$1006:AH1006),$AC$1006:$AS$1006,0)))),"Fix")))</f>
        <v xml:space="preserve"> </v>
      </c>
      <c r="H119" s="4" t="str">
        <f ca="1">IF(OR(INDEX($W$2:$W$1001,MATCH(ROWS($V$2:V119),$V$2:$V$1001,0),1)&gt;=100000,INDEX($AC$1005:$AS$1005,1,MATCH(COLUMNS($AC$1006:AI1006),$AC$1006:$AS$1006,0))&gt;=100000), " ",IF(INDEX($AC$2:$AS$1001,MATCH(ROWS($V$2:V119),$V$2:$V$1001,0),MATCH(COLUMNS($AC$1006:AI1006),$AC$1006:$AS$1006,0)), HYPERLINK("#",""), HYPERLINK(CONCATENATE("#metadata!", ADDRESS(INDEX($X$2:$X$1001,MATCH(ROWS($V$2:V119),$V$2:$V$1001,0),0), INDEX($AC$1004:$AS$1004,1,MATCH(COLUMNS($AC$1006:AI1006),$AC$1006:$AS$1006,0)))),"Fix")))</f>
        <v xml:space="preserve"> </v>
      </c>
      <c r="I119" s="4" t="str">
        <f ca="1">IF(OR(INDEX($W$2:$W$1001,MATCH(ROWS($V$2:V119),$V$2:$V$1001,0),1)&gt;=100000,INDEX($AC$1005:$AS$1005,1,MATCH(COLUMNS($AC$1006:AJ1006),$AC$1006:$AS$1006,0))&gt;=100000), " ",IF(INDEX($AC$2:$AS$1001,MATCH(ROWS($V$2:V119),$V$2:$V$1001,0),MATCH(COLUMNS($AC$1006:AJ1006),$AC$1006:$AS$1006,0)), HYPERLINK("#",""), HYPERLINK(CONCATENATE("#metadata!", ADDRESS(INDEX($X$2:$X$1001,MATCH(ROWS($V$2:V119),$V$2:$V$1001,0),0), INDEX($AC$1004:$AS$1004,1,MATCH(COLUMNS($AC$1006:AJ1006),$AC$1006:$AS$1006,0)))),"Fix")))</f>
        <v xml:space="preserve"> </v>
      </c>
      <c r="J119" s="4" t="str">
        <f ca="1">IF(OR(INDEX($W$2:$W$1001,MATCH(ROWS($V$2:V119),$V$2:$V$1001,0),1)&gt;=100000,INDEX($AC$1005:$AS$1005,1,MATCH(COLUMNS($AC$1006:AK1006),$AC$1006:$AS$1006,0))&gt;=100000), " ",IF(INDEX($AC$2:$AS$1001,MATCH(ROWS($V$2:V119),$V$2:$V$1001,0),MATCH(COLUMNS($AC$1006:AK1006),$AC$1006:$AS$1006,0)), HYPERLINK("#",""), HYPERLINK(CONCATENATE("#metadata!", ADDRESS(INDEX($X$2:$X$1001,MATCH(ROWS($V$2:V119),$V$2:$V$1001,0),0), INDEX($AC$1004:$AS$1004,1,MATCH(COLUMNS($AC$1006:AK1006),$AC$1006:$AS$1006,0)))),"Fix")))</f>
        <v xml:space="preserve"> </v>
      </c>
      <c r="K119" s="4" t="str">
        <f ca="1">IF(OR(INDEX($W$2:$W$1001,MATCH(ROWS($V$2:V119),$V$2:$V$1001,0),1)&gt;=100000,INDEX($AC$1005:$AS$1005,1,MATCH(COLUMNS($AC$1006:AL1006),$AC$1006:$AS$1006,0))&gt;=100000), " ",IF(INDEX($AC$2:$AS$1001,MATCH(ROWS($V$2:V119),$V$2:$V$1001,0),MATCH(COLUMNS($AC$1006:AL1006),$AC$1006:$AS$1006,0)), HYPERLINK("#",""), HYPERLINK(CONCATENATE("#metadata!", ADDRESS(INDEX($X$2:$X$1001,MATCH(ROWS($V$2:V119),$V$2:$V$1001,0),0), INDEX($AC$1004:$AS$1004,1,MATCH(COLUMNS($AC$1006:AL1006),$AC$1006:$AS$1006,0)))),"Fix")))</f>
        <v xml:space="preserve"> </v>
      </c>
      <c r="L119" s="4" t="str">
        <f ca="1">IF(OR(INDEX($W$2:$W$1001,MATCH(ROWS($V$2:V119),$V$2:$V$1001,0),1)&gt;=100000,INDEX($AC$1005:$AS$1005,1,MATCH(COLUMNS($AC$1006:AM1006),$AC$1006:$AS$1006,0))&gt;=100000), " ",IF(INDEX($AC$2:$AS$1001,MATCH(ROWS($V$2:V119),$V$2:$V$1001,0),MATCH(COLUMNS($AC$1006:AM1006),$AC$1006:$AS$1006,0)), HYPERLINK("#",""), HYPERLINK(CONCATENATE("#metadata!", ADDRESS(INDEX($X$2:$X$1001,MATCH(ROWS($V$2:V119),$V$2:$V$1001,0),0), INDEX($AC$1004:$AS$1004,1,MATCH(COLUMNS($AC$1006:AM1006),$AC$1006:$AS$1006,0)))),"Fix")))</f>
        <v xml:space="preserve"> </v>
      </c>
      <c r="M119" s="4" t="str">
        <f ca="1">IF(OR(INDEX($W$2:$W$1001,MATCH(ROWS($V$2:V119),$V$2:$V$1001,0),1)&gt;=100000,INDEX($AC$1005:$AS$1005,1,MATCH(COLUMNS($AC$1006:AN1006),$AC$1006:$AS$1006,0))&gt;=100000), " ",IF(INDEX($AC$2:$AS$1001,MATCH(ROWS($V$2:V119),$V$2:$V$1001,0),MATCH(COLUMNS($AC$1006:AN1006),$AC$1006:$AS$1006,0)), HYPERLINK("#",""), HYPERLINK(CONCATENATE("#metadata!", ADDRESS(INDEX($X$2:$X$1001,MATCH(ROWS($V$2:V119),$V$2:$V$1001,0),0), INDEX($AC$1004:$AS$1004,1,MATCH(COLUMNS($AC$1006:AN1006),$AC$1006:$AS$1006,0)))),"Fix")))</f>
        <v xml:space="preserve"> </v>
      </c>
      <c r="N119" s="4" t="str">
        <f ca="1">IF(OR(INDEX($W$2:$W$1001,MATCH(ROWS($V$2:V119),$V$2:$V$1001,0),1)&gt;=100000,INDEX($AC$1005:$AS$1005,1,MATCH(COLUMNS($AC$1006:AO1006),$AC$1006:$AS$1006,0))&gt;=100000), " ",IF(INDEX($AC$2:$AS$1001,MATCH(ROWS($V$2:V119),$V$2:$V$1001,0),MATCH(COLUMNS($AC$1006:AO1006),$AC$1006:$AS$1006,0)), HYPERLINK("#",""), HYPERLINK(CONCATENATE("#metadata!", ADDRESS(INDEX($X$2:$X$1001,MATCH(ROWS($V$2:V119),$V$2:$V$1001,0),0), INDEX($AC$1004:$AS$1004,1,MATCH(COLUMNS($AC$1006:AO1006),$AC$1006:$AS$1006,0)))),"Fix")))</f>
        <v xml:space="preserve"> </v>
      </c>
      <c r="O119" s="4" t="str">
        <f ca="1">IF(OR(INDEX($W$2:$W$1001,MATCH(ROWS($V$2:V119),$V$2:$V$1001,0),1)&gt;=100000,INDEX($AC$1005:$AS$1005,1,MATCH(COLUMNS($AC$1006:AP1006),$AC$1006:$AS$1006,0))&gt;=100000), " ",IF(INDEX($AC$2:$AS$1001,MATCH(ROWS($V$2:V119),$V$2:$V$1001,0),MATCH(COLUMNS($AC$1006:AP1006),$AC$1006:$AS$1006,0)), HYPERLINK("#",""), HYPERLINK(CONCATENATE("#metadata!", ADDRESS(INDEX($X$2:$X$1001,MATCH(ROWS($V$2:V119),$V$2:$V$1001,0),0), INDEX($AC$1004:$AS$1004,1,MATCH(COLUMNS($AC$1006:AP1006),$AC$1006:$AS$1006,0)))),"Fix")))</f>
        <v xml:space="preserve"> </v>
      </c>
      <c r="P119" s="4" t="str">
        <f ca="1">IF(OR(INDEX($W$2:$W$1001,MATCH(ROWS($V$2:V119),$V$2:$V$1001,0),1)&gt;=100000,INDEX($AC$1005:$AS$1005,1,MATCH(COLUMNS($AC$1006:AQ1006),$AC$1006:$AS$1006,0))&gt;=100000), " ",IF(INDEX($AC$2:$AS$1001,MATCH(ROWS($V$2:V119),$V$2:$V$1001,0),MATCH(COLUMNS($AC$1006:AQ1006),$AC$1006:$AS$1006,0)), HYPERLINK("#",""), HYPERLINK(CONCATENATE("#metadata!", ADDRESS(INDEX($X$2:$X$1001,MATCH(ROWS($V$2:V119),$V$2:$V$1001,0),0), INDEX($AC$1004:$AS$1004,1,MATCH(COLUMNS($AC$1006:AQ1006),$AC$1006:$AS$1006,0)))),"Fix")))</f>
        <v xml:space="preserve"> </v>
      </c>
      <c r="Q119" s="4" t="str">
        <f ca="1">IF(OR(INDEX($W$2:$W$1001,MATCH(ROWS($V$2:V119),$V$2:$V$1001,0),1)&gt;=100000,INDEX($AC$1005:$AS$1005,1,MATCH(COLUMNS($AC$1006:AR1006),$AC$1006:$AS$1006,0))&gt;=100000), " ",IF(INDEX($AC$2:$AS$1001,MATCH(ROWS($V$2:V119),$V$2:$V$1001,0),MATCH(COLUMNS($AC$1006:AR1006),$AC$1006:$AS$1006,0)), HYPERLINK("#",""), HYPERLINK(CONCATENATE("#metadata!", ADDRESS(INDEX($X$2:$X$1001,MATCH(ROWS($V$2:V119),$V$2:$V$1001,0),0), INDEX($AC$1004:$AS$1004,1,MATCH(COLUMNS($AC$1006:AR1006),$AC$1006:$AS$1006,0)))),"Fix")))</f>
        <v xml:space="preserve"> </v>
      </c>
      <c r="R119" s="4" t="str">
        <f ca="1">IF(OR(INDEX($W$2:$W$1001,MATCH(ROWS($V$2:V119),$V$2:$V$1001,0),1)&gt;=100000,INDEX($AC$1005:$AS$1005,1,MATCH(COLUMNS($AC$1006:AS1006),$AC$1006:$AS$1006,0))&gt;=100000), " ",IF(INDEX($AC$2:$AS$1001,MATCH(ROWS($V$2:V119),$V$2:$V$1001,0),MATCH(COLUMNS($AC$1006:AS1006),$AC$1006:$AS$1006,0)), HYPERLINK("#",""), HYPERLINK(CONCATENATE("#metadata!", ADDRESS(INDEX($X$2:$X$1001,MATCH(ROWS($V$2:V119),$V$2:$V$1001,0),0), INDEX($AC$1004:$AS$1004,1,MATCH(COLUMNS($AC$1006:AS1006),$AC$1006:$AS$1006,0)))),"Fix")))</f>
        <v xml:space="preserve"> </v>
      </c>
      <c r="V119">
        <v>118</v>
      </c>
      <c r="W119">
        <v>100119</v>
      </c>
      <c r="X119">
        <v>119</v>
      </c>
      <c r="Y119" t="b">
        <f t="shared" si="1"/>
        <v>1</v>
      </c>
      <c r="Z119" t="b">
        <f>COUNTBLANK(metadata!B119:R119)=COLUMNS(metadata!B119:R119)</f>
        <v>1</v>
      </c>
      <c r="AA119" t="str">
        <v/>
      </c>
      <c r="AC119" t="b">
        <f ca="1"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AD119" t="b">
        <f>IF(metadata!C119="",FALSE,ISNUMBER(VALUE(metadata!C119)))</f>
        <v>0</v>
      </c>
      <c r="AE119" t="b">
        <f>AND(IF(metadata!D119="",FALSE,TRUE),EXACT(metadata!D119,"years"))</f>
        <v>0</v>
      </c>
      <c r="AF119" t="b">
        <f>OR(AND(IF(metadata!E119="",FALSE,TRUE),OR(EXACT(metadata!E119,"not applicable"),EXACT(metadata!E119,"missing: not collected"),EXACT(metadata!E119,"missing: not provided"),EXACT(metadata!E119,"missing: restricted access"))),AND(IF(metadata!E119="",FALSE,ISNUMBER(VALUE(metadata!E119))),metadata!E119&gt;0))</f>
        <v>0</v>
      </c>
      <c r="AG119" t="b">
        <f>AND(IF(metadata!F119="",FALSE,TRUE),EXACT(metadata!F119,"Not applicable"))</f>
        <v>0</v>
      </c>
      <c r="AH119" t="b">
        <f>AND(IF(metadata!G119="",FALSE,TRUE),EXACT(metadata!G119,"urban biome"))</f>
        <v>0</v>
      </c>
      <c r="AI119" t="b">
        <f>AND(IF(metadata!H119="",FALSE,TRUE),EXACT(metadata!H119,"human-associated habitat"))</f>
        <v>0</v>
      </c>
      <c r="AJ119" t="b">
        <f>AND(IF(metadata!I119="",FALSE,TRUE),OR(EXACT(metadata!I119,"human-associated"),EXACT(metadata!I119,"human-skin"),EXACT(metadata!I119,"human-oral"),EXACT(metadata!I119,"human-gut"),EXACT(metadata!I119,"human-vaginal")))</f>
        <v>0</v>
      </c>
      <c r="AK119" t="b">
        <f>IF(metadata!J119="",FALSE,ISNUMBER(VALUE(metadata!J119)))</f>
        <v>0</v>
      </c>
      <c r="AL119" t="b">
        <f>AND(IF(metadata!K119="",FALSE,TRUE),EXACT(metadata!K119,"cm"))</f>
        <v>0</v>
      </c>
      <c r="AM119" t="b">
        <f>AND(IF(metadata!L119="",FALSE,TRUE),EXACT(metadata!L119,"human"))</f>
        <v>0</v>
      </c>
      <c r="AN119" t="b">
        <f>AND(IF(metadata!M119="",FALSE,TRUE),EXACT(metadata!M119,"Homo sapiens"))</f>
        <v>0</v>
      </c>
      <c r="AO119" t="b">
        <f>AND(IF(metadata!N119="",FALSE,TRUE),EXACT(metadata!N119,"9606"))</f>
        <v>0</v>
      </c>
      <c r="AP119" t="b">
        <f>IF(metadata!O119="",FALSE,TRUE)</f>
        <v>0</v>
      </c>
      <c r="AQ119" t="b">
        <f>IF(metadata!P119="",FALSE,TRUE)</f>
        <v>0</v>
      </c>
      <c r="AR119" t="b">
        <f>IF(metadata!Q119="",FALSE,ISNUMBER(VALUE(metadata!Q119)))</f>
        <v>0</v>
      </c>
      <c r="AS119" t="b">
        <f>AND(IF(metadata!R119="",FALSE,TRUE),EXACT(metadata!R119,"kg"))</f>
        <v>0</v>
      </c>
    </row>
    <row r="120" spans="1:45" x14ac:dyDescent="0.2">
      <c r="A120" s="5" t="str">
        <f ca="1">IF(B120=" "," ",HYPERLINK(CONCATENATE("#metadata!",ADDRESS(INDEX($X$2:$X$1001,MATCH(ROWS($V$2:V120),$V$2:$V$1001,0),0),1)),INDEX($AA$2:$AA$1001,MATCH(ROWS($V$2:V120),$V$2:$V$1001,0),0)))</f>
        <v xml:space="preserve"> </v>
      </c>
      <c r="B120" s="4" t="str">
        <f ca="1">IF(OR(INDEX($W$2:$W$1001,MATCH(ROWS($V$2:V120),$V$2:$V$1001,0),1)&gt;=100000,INDEX($AC$1005:$AS$1005,1,MATCH(COLUMNS($AC$1006:AC1006),$AC$1006:$AS$1006,0))&gt;=100000), " ",IF(INDEX($AC$2:$AS$1001,MATCH(ROWS($V$2:V120),$V$2:$V$1001,0),MATCH(COLUMNS($AC$1006:AC1006),$AC$1006:$AS$1006,0)), HYPERLINK("#",""), HYPERLINK(CONCATENATE("#metadata!", ADDRESS(INDEX($X$2:$X$1001,MATCH(ROWS($V$2:V120),$V$2:$V$1001,0),0), INDEX($AC$1004:$AS$1004,1,MATCH(COLUMNS($AC$1006:AC1006),$AC$1006:$AS$1006,0)))),"Fix")))</f>
        <v xml:space="preserve"> </v>
      </c>
      <c r="C120" s="4" t="str">
        <f ca="1">IF(OR(INDEX($W$2:$W$1001,MATCH(ROWS($V$2:V120),$V$2:$V$1001,0),1)&gt;=100000,INDEX($AC$1005:$AS$1005,1,MATCH(COLUMNS($AC$1006:AD1006),$AC$1006:$AS$1006,0))&gt;=100000), " ",IF(INDEX($AC$2:$AS$1001,MATCH(ROWS($V$2:V120),$V$2:$V$1001,0),MATCH(COLUMNS($AC$1006:AD1006),$AC$1006:$AS$1006,0)), HYPERLINK("#",""), HYPERLINK(CONCATENATE("#metadata!", ADDRESS(INDEX($X$2:$X$1001,MATCH(ROWS($V$2:V120),$V$2:$V$1001,0),0), INDEX($AC$1004:$AS$1004,1,MATCH(COLUMNS($AC$1006:AD1006),$AC$1006:$AS$1006,0)))),"Fix")))</f>
        <v xml:space="preserve"> </v>
      </c>
      <c r="D120" s="4" t="str">
        <f ca="1">IF(OR(INDEX($W$2:$W$1001,MATCH(ROWS($V$2:V120),$V$2:$V$1001,0),1)&gt;=100000,INDEX($AC$1005:$AS$1005,1,MATCH(COLUMNS($AC$1006:AE1006),$AC$1006:$AS$1006,0))&gt;=100000), " ",IF(INDEX($AC$2:$AS$1001,MATCH(ROWS($V$2:V120),$V$2:$V$1001,0),MATCH(COLUMNS($AC$1006:AE1006),$AC$1006:$AS$1006,0)), HYPERLINK("#",""), HYPERLINK(CONCATENATE("#metadata!", ADDRESS(INDEX($X$2:$X$1001,MATCH(ROWS($V$2:V120),$V$2:$V$1001,0),0), INDEX($AC$1004:$AS$1004,1,MATCH(COLUMNS($AC$1006:AE1006),$AC$1006:$AS$1006,0)))),"Fix")))</f>
        <v xml:space="preserve"> </v>
      </c>
      <c r="E120" s="4" t="str">
        <f ca="1">IF(OR(INDEX($W$2:$W$1001,MATCH(ROWS($V$2:V120),$V$2:$V$1001,0),1)&gt;=100000,INDEX($AC$1005:$AS$1005,1,MATCH(COLUMNS($AC$1006:AF1006),$AC$1006:$AS$1006,0))&gt;=100000), " ",IF(INDEX($AC$2:$AS$1001,MATCH(ROWS($V$2:V120),$V$2:$V$1001,0),MATCH(COLUMNS($AC$1006:AF1006),$AC$1006:$AS$1006,0)), HYPERLINK("#",""), HYPERLINK(CONCATENATE("#metadata!", ADDRESS(INDEX($X$2:$X$1001,MATCH(ROWS($V$2:V120),$V$2:$V$1001,0),0), INDEX($AC$1004:$AS$1004,1,MATCH(COLUMNS($AC$1006:AF1006),$AC$1006:$AS$1006,0)))),"Fix")))</f>
        <v xml:space="preserve"> </v>
      </c>
      <c r="F120" s="4" t="str">
        <f ca="1">IF(OR(INDEX($W$2:$W$1001,MATCH(ROWS($V$2:V120),$V$2:$V$1001,0),1)&gt;=100000,INDEX($AC$1005:$AS$1005,1,MATCH(COLUMNS($AC$1006:AG1006),$AC$1006:$AS$1006,0))&gt;=100000), " ",IF(INDEX($AC$2:$AS$1001,MATCH(ROWS($V$2:V120),$V$2:$V$1001,0),MATCH(COLUMNS($AC$1006:AG1006),$AC$1006:$AS$1006,0)), HYPERLINK("#",""), HYPERLINK(CONCATENATE("#metadata!", ADDRESS(INDEX($X$2:$X$1001,MATCH(ROWS($V$2:V120),$V$2:$V$1001,0),0), INDEX($AC$1004:$AS$1004,1,MATCH(COLUMNS($AC$1006:AG1006),$AC$1006:$AS$1006,0)))),"Fix")))</f>
        <v xml:space="preserve"> </v>
      </c>
      <c r="G120" s="4" t="str">
        <f ca="1">IF(OR(INDEX($W$2:$W$1001,MATCH(ROWS($V$2:V120),$V$2:$V$1001,0),1)&gt;=100000,INDEX($AC$1005:$AS$1005,1,MATCH(COLUMNS($AC$1006:AH1006),$AC$1006:$AS$1006,0))&gt;=100000), " ",IF(INDEX($AC$2:$AS$1001,MATCH(ROWS($V$2:V120),$V$2:$V$1001,0),MATCH(COLUMNS($AC$1006:AH1006),$AC$1006:$AS$1006,0)), HYPERLINK("#",""), HYPERLINK(CONCATENATE("#metadata!", ADDRESS(INDEX($X$2:$X$1001,MATCH(ROWS($V$2:V120),$V$2:$V$1001,0),0), INDEX($AC$1004:$AS$1004,1,MATCH(COLUMNS($AC$1006:AH1006),$AC$1006:$AS$1006,0)))),"Fix")))</f>
        <v xml:space="preserve"> </v>
      </c>
      <c r="H120" s="4" t="str">
        <f ca="1">IF(OR(INDEX($W$2:$W$1001,MATCH(ROWS($V$2:V120),$V$2:$V$1001,0),1)&gt;=100000,INDEX($AC$1005:$AS$1005,1,MATCH(COLUMNS($AC$1006:AI1006),$AC$1006:$AS$1006,0))&gt;=100000), " ",IF(INDEX($AC$2:$AS$1001,MATCH(ROWS($V$2:V120),$V$2:$V$1001,0),MATCH(COLUMNS($AC$1006:AI1006),$AC$1006:$AS$1006,0)), HYPERLINK("#",""), HYPERLINK(CONCATENATE("#metadata!", ADDRESS(INDEX($X$2:$X$1001,MATCH(ROWS($V$2:V120),$V$2:$V$1001,0),0), INDEX($AC$1004:$AS$1004,1,MATCH(COLUMNS($AC$1006:AI1006),$AC$1006:$AS$1006,0)))),"Fix")))</f>
        <v xml:space="preserve"> </v>
      </c>
      <c r="I120" s="4" t="str">
        <f ca="1">IF(OR(INDEX($W$2:$W$1001,MATCH(ROWS($V$2:V120),$V$2:$V$1001,0),1)&gt;=100000,INDEX($AC$1005:$AS$1005,1,MATCH(COLUMNS($AC$1006:AJ1006),$AC$1006:$AS$1006,0))&gt;=100000), " ",IF(INDEX($AC$2:$AS$1001,MATCH(ROWS($V$2:V120),$V$2:$V$1001,0),MATCH(COLUMNS($AC$1006:AJ1006),$AC$1006:$AS$1006,0)), HYPERLINK("#",""), HYPERLINK(CONCATENATE("#metadata!", ADDRESS(INDEX($X$2:$X$1001,MATCH(ROWS($V$2:V120),$V$2:$V$1001,0),0), INDEX($AC$1004:$AS$1004,1,MATCH(COLUMNS($AC$1006:AJ1006),$AC$1006:$AS$1006,0)))),"Fix")))</f>
        <v xml:space="preserve"> </v>
      </c>
      <c r="J120" s="4" t="str">
        <f ca="1">IF(OR(INDEX($W$2:$W$1001,MATCH(ROWS($V$2:V120),$V$2:$V$1001,0),1)&gt;=100000,INDEX($AC$1005:$AS$1005,1,MATCH(COLUMNS($AC$1006:AK1006),$AC$1006:$AS$1006,0))&gt;=100000), " ",IF(INDEX($AC$2:$AS$1001,MATCH(ROWS($V$2:V120),$V$2:$V$1001,0),MATCH(COLUMNS($AC$1006:AK1006),$AC$1006:$AS$1006,0)), HYPERLINK("#",""), HYPERLINK(CONCATENATE("#metadata!", ADDRESS(INDEX($X$2:$X$1001,MATCH(ROWS($V$2:V120),$V$2:$V$1001,0),0), INDEX($AC$1004:$AS$1004,1,MATCH(COLUMNS($AC$1006:AK1006),$AC$1006:$AS$1006,0)))),"Fix")))</f>
        <v xml:space="preserve"> </v>
      </c>
      <c r="K120" s="4" t="str">
        <f ca="1">IF(OR(INDEX($W$2:$W$1001,MATCH(ROWS($V$2:V120),$V$2:$V$1001,0),1)&gt;=100000,INDEX($AC$1005:$AS$1005,1,MATCH(COLUMNS($AC$1006:AL1006),$AC$1006:$AS$1006,0))&gt;=100000), " ",IF(INDEX($AC$2:$AS$1001,MATCH(ROWS($V$2:V120),$V$2:$V$1001,0),MATCH(COLUMNS($AC$1006:AL1006),$AC$1006:$AS$1006,0)), HYPERLINK("#",""), HYPERLINK(CONCATENATE("#metadata!", ADDRESS(INDEX($X$2:$X$1001,MATCH(ROWS($V$2:V120),$V$2:$V$1001,0),0), INDEX($AC$1004:$AS$1004,1,MATCH(COLUMNS($AC$1006:AL1006),$AC$1006:$AS$1006,0)))),"Fix")))</f>
        <v xml:space="preserve"> </v>
      </c>
      <c r="L120" s="4" t="str">
        <f ca="1">IF(OR(INDEX($W$2:$W$1001,MATCH(ROWS($V$2:V120),$V$2:$V$1001,0),1)&gt;=100000,INDEX($AC$1005:$AS$1005,1,MATCH(COLUMNS($AC$1006:AM1006),$AC$1006:$AS$1006,0))&gt;=100000), " ",IF(INDEX($AC$2:$AS$1001,MATCH(ROWS($V$2:V120),$V$2:$V$1001,0),MATCH(COLUMNS($AC$1006:AM1006),$AC$1006:$AS$1006,0)), HYPERLINK("#",""), HYPERLINK(CONCATENATE("#metadata!", ADDRESS(INDEX($X$2:$X$1001,MATCH(ROWS($V$2:V120),$V$2:$V$1001,0),0), INDEX($AC$1004:$AS$1004,1,MATCH(COLUMNS($AC$1006:AM1006),$AC$1006:$AS$1006,0)))),"Fix")))</f>
        <v xml:space="preserve"> </v>
      </c>
      <c r="M120" s="4" t="str">
        <f ca="1">IF(OR(INDEX($W$2:$W$1001,MATCH(ROWS($V$2:V120),$V$2:$V$1001,0),1)&gt;=100000,INDEX($AC$1005:$AS$1005,1,MATCH(COLUMNS($AC$1006:AN1006),$AC$1006:$AS$1006,0))&gt;=100000), " ",IF(INDEX($AC$2:$AS$1001,MATCH(ROWS($V$2:V120),$V$2:$V$1001,0),MATCH(COLUMNS($AC$1006:AN1006),$AC$1006:$AS$1006,0)), HYPERLINK("#",""), HYPERLINK(CONCATENATE("#metadata!", ADDRESS(INDEX($X$2:$X$1001,MATCH(ROWS($V$2:V120),$V$2:$V$1001,0),0), INDEX($AC$1004:$AS$1004,1,MATCH(COLUMNS($AC$1006:AN1006),$AC$1006:$AS$1006,0)))),"Fix")))</f>
        <v xml:space="preserve"> </v>
      </c>
      <c r="N120" s="4" t="str">
        <f ca="1">IF(OR(INDEX($W$2:$W$1001,MATCH(ROWS($V$2:V120),$V$2:$V$1001,0),1)&gt;=100000,INDEX($AC$1005:$AS$1005,1,MATCH(COLUMNS($AC$1006:AO1006),$AC$1006:$AS$1006,0))&gt;=100000), " ",IF(INDEX($AC$2:$AS$1001,MATCH(ROWS($V$2:V120),$V$2:$V$1001,0),MATCH(COLUMNS($AC$1006:AO1006),$AC$1006:$AS$1006,0)), HYPERLINK("#",""), HYPERLINK(CONCATENATE("#metadata!", ADDRESS(INDEX($X$2:$X$1001,MATCH(ROWS($V$2:V120),$V$2:$V$1001,0),0), INDEX($AC$1004:$AS$1004,1,MATCH(COLUMNS($AC$1006:AO1006),$AC$1006:$AS$1006,0)))),"Fix")))</f>
        <v xml:space="preserve"> </v>
      </c>
      <c r="O120" s="4" t="str">
        <f ca="1">IF(OR(INDEX($W$2:$W$1001,MATCH(ROWS($V$2:V120),$V$2:$V$1001,0),1)&gt;=100000,INDEX($AC$1005:$AS$1005,1,MATCH(COLUMNS($AC$1006:AP1006),$AC$1006:$AS$1006,0))&gt;=100000), " ",IF(INDEX($AC$2:$AS$1001,MATCH(ROWS($V$2:V120),$V$2:$V$1001,0),MATCH(COLUMNS($AC$1006:AP1006),$AC$1006:$AS$1006,0)), HYPERLINK("#",""), HYPERLINK(CONCATENATE("#metadata!", ADDRESS(INDEX($X$2:$X$1001,MATCH(ROWS($V$2:V120),$V$2:$V$1001,0),0), INDEX($AC$1004:$AS$1004,1,MATCH(COLUMNS($AC$1006:AP1006),$AC$1006:$AS$1006,0)))),"Fix")))</f>
        <v xml:space="preserve"> </v>
      </c>
      <c r="P120" s="4" t="str">
        <f ca="1">IF(OR(INDEX($W$2:$W$1001,MATCH(ROWS($V$2:V120),$V$2:$V$1001,0),1)&gt;=100000,INDEX($AC$1005:$AS$1005,1,MATCH(COLUMNS($AC$1006:AQ1006),$AC$1006:$AS$1006,0))&gt;=100000), " ",IF(INDEX($AC$2:$AS$1001,MATCH(ROWS($V$2:V120),$V$2:$V$1001,0),MATCH(COLUMNS($AC$1006:AQ1006),$AC$1006:$AS$1006,0)), HYPERLINK("#",""), HYPERLINK(CONCATENATE("#metadata!", ADDRESS(INDEX($X$2:$X$1001,MATCH(ROWS($V$2:V120),$V$2:$V$1001,0),0), INDEX($AC$1004:$AS$1004,1,MATCH(COLUMNS($AC$1006:AQ1006),$AC$1006:$AS$1006,0)))),"Fix")))</f>
        <v xml:space="preserve"> </v>
      </c>
      <c r="Q120" s="4" t="str">
        <f ca="1">IF(OR(INDEX($W$2:$W$1001,MATCH(ROWS($V$2:V120),$V$2:$V$1001,0),1)&gt;=100000,INDEX($AC$1005:$AS$1005,1,MATCH(COLUMNS($AC$1006:AR1006),$AC$1006:$AS$1006,0))&gt;=100000), " ",IF(INDEX($AC$2:$AS$1001,MATCH(ROWS($V$2:V120),$V$2:$V$1001,0),MATCH(COLUMNS($AC$1006:AR1006),$AC$1006:$AS$1006,0)), HYPERLINK("#",""), HYPERLINK(CONCATENATE("#metadata!", ADDRESS(INDEX($X$2:$X$1001,MATCH(ROWS($V$2:V120),$V$2:$V$1001,0),0), INDEX($AC$1004:$AS$1004,1,MATCH(COLUMNS($AC$1006:AR1006),$AC$1006:$AS$1006,0)))),"Fix")))</f>
        <v xml:space="preserve"> </v>
      </c>
      <c r="R120" s="4" t="str">
        <f ca="1">IF(OR(INDEX($W$2:$W$1001,MATCH(ROWS($V$2:V120),$V$2:$V$1001,0),1)&gt;=100000,INDEX($AC$1005:$AS$1005,1,MATCH(COLUMNS($AC$1006:AS1006),$AC$1006:$AS$1006,0))&gt;=100000), " ",IF(INDEX($AC$2:$AS$1001,MATCH(ROWS($V$2:V120),$V$2:$V$1001,0),MATCH(COLUMNS($AC$1006:AS1006),$AC$1006:$AS$1006,0)), HYPERLINK("#",""), HYPERLINK(CONCATENATE("#metadata!", ADDRESS(INDEX($X$2:$X$1001,MATCH(ROWS($V$2:V120),$V$2:$V$1001,0),0), INDEX($AC$1004:$AS$1004,1,MATCH(COLUMNS($AC$1006:AS1006),$AC$1006:$AS$1006,0)))),"Fix")))</f>
        <v xml:space="preserve"> </v>
      </c>
      <c r="V120">
        <v>119</v>
      </c>
      <c r="W120">
        <v>100120</v>
      </c>
      <c r="X120">
        <v>120</v>
      </c>
      <c r="Y120" t="b">
        <f t="shared" si="1"/>
        <v>1</v>
      </c>
      <c r="Z120" t="b">
        <f>COUNTBLANK(metadata!B120:R120)=COLUMNS(metadata!B120:R120)</f>
        <v>1</v>
      </c>
      <c r="AA120" t="str">
        <v/>
      </c>
      <c r="AC120" t="b">
        <f ca="1"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AD120" t="b">
        <f>IF(metadata!C120="",FALSE,ISNUMBER(VALUE(metadata!C120)))</f>
        <v>0</v>
      </c>
      <c r="AE120" t="b">
        <f>AND(IF(metadata!D120="",FALSE,TRUE),EXACT(metadata!D120,"years"))</f>
        <v>0</v>
      </c>
      <c r="AF120" t="b">
        <f>OR(AND(IF(metadata!E120="",FALSE,TRUE),OR(EXACT(metadata!E120,"not applicable"),EXACT(metadata!E120,"missing: not collected"),EXACT(metadata!E120,"missing: not provided"),EXACT(metadata!E120,"missing: restricted access"))),AND(IF(metadata!E120="",FALSE,ISNUMBER(VALUE(metadata!E120))),metadata!E120&gt;0))</f>
        <v>0</v>
      </c>
      <c r="AG120" t="b">
        <f>AND(IF(metadata!F120="",FALSE,TRUE),EXACT(metadata!F120,"Not applicable"))</f>
        <v>0</v>
      </c>
      <c r="AH120" t="b">
        <f>AND(IF(metadata!G120="",FALSE,TRUE),EXACT(metadata!G120,"urban biome"))</f>
        <v>0</v>
      </c>
      <c r="AI120" t="b">
        <f>AND(IF(metadata!H120="",FALSE,TRUE),EXACT(metadata!H120,"human-associated habitat"))</f>
        <v>0</v>
      </c>
      <c r="AJ120" t="b">
        <f>AND(IF(metadata!I120="",FALSE,TRUE),OR(EXACT(metadata!I120,"human-associated"),EXACT(metadata!I120,"human-skin"),EXACT(metadata!I120,"human-oral"),EXACT(metadata!I120,"human-gut"),EXACT(metadata!I120,"human-vaginal")))</f>
        <v>0</v>
      </c>
      <c r="AK120" t="b">
        <f>IF(metadata!J120="",FALSE,ISNUMBER(VALUE(metadata!J120)))</f>
        <v>0</v>
      </c>
      <c r="AL120" t="b">
        <f>AND(IF(metadata!K120="",FALSE,TRUE),EXACT(metadata!K120,"cm"))</f>
        <v>0</v>
      </c>
      <c r="AM120" t="b">
        <f>AND(IF(metadata!L120="",FALSE,TRUE),EXACT(metadata!L120,"human"))</f>
        <v>0</v>
      </c>
      <c r="AN120" t="b">
        <f>AND(IF(metadata!M120="",FALSE,TRUE),EXACT(metadata!M120,"Homo sapiens"))</f>
        <v>0</v>
      </c>
      <c r="AO120" t="b">
        <f>AND(IF(metadata!N120="",FALSE,TRUE),EXACT(metadata!N120,"9606"))</f>
        <v>0</v>
      </c>
      <c r="AP120" t="b">
        <f>IF(metadata!O120="",FALSE,TRUE)</f>
        <v>0</v>
      </c>
      <c r="AQ120" t="b">
        <f>IF(metadata!P120="",FALSE,TRUE)</f>
        <v>0</v>
      </c>
      <c r="AR120" t="b">
        <f>IF(metadata!Q120="",FALSE,ISNUMBER(VALUE(metadata!Q120)))</f>
        <v>0</v>
      </c>
      <c r="AS120" t="b">
        <f>AND(IF(metadata!R120="",FALSE,TRUE),EXACT(metadata!R120,"kg"))</f>
        <v>0</v>
      </c>
    </row>
    <row r="121" spans="1:45" x14ac:dyDescent="0.2">
      <c r="A121" s="5" t="str">
        <f ca="1">IF(B121=" "," ",HYPERLINK(CONCATENATE("#metadata!",ADDRESS(INDEX($X$2:$X$1001,MATCH(ROWS($V$2:V121),$V$2:$V$1001,0),0),1)),INDEX($AA$2:$AA$1001,MATCH(ROWS($V$2:V121),$V$2:$V$1001,0),0)))</f>
        <v xml:space="preserve"> </v>
      </c>
      <c r="B121" s="4" t="str">
        <f ca="1">IF(OR(INDEX($W$2:$W$1001,MATCH(ROWS($V$2:V121),$V$2:$V$1001,0),1)&gt;=100000,INDEX($AC$1005:$AS$1005,1,MATCH(COLUMNS($AC$1006:AC1006),$AC$1006:$AS$1006,0))&gt;=100000), " ",IF(INDEX($AC$2:$AS$1001,MATCH(ROWS($V$2:V121),$V$2:$V$1001,0),MATCH(COLUMNS($AC$1006:AC1006),$AC$1006:$AS$1006,0)), HYPERLINK("#",""), HYPERLINK(CONCATENATE("#metadata!", ADDRESS(INDEX($X$2:$X$1001,MATCH(ROWS($V$2:V121),$V$2:$V$1001,0),0), INDEX($AC$1004:$AS$1004,1,MATCH(COLUMNS($AC$1006:AC1006),$AC$1006:$AS$1006,0)))),"Fix")))</f>
        <v xml:space="preserve"> </v>
      </c>
      <c r="C121" s="4" t="str">
        <f ca="1">IF(OR(INDEX($W$2:$W$1001,MATCH(ROWS($V$2:V121),$V$2:$V$1001,0),1)&gt;=100000,INDEX($AC$1005:$AS$1005,1,MATCH(COLUMNS($AC$1006:AD1006),$AC$1006:$AS$1006,0))&gt;=100000), " ",IF(INDEX($AC$2:$AS$1001,MATCH(ROWS($V$2:V121),$V$2:$V$1001,0),MATCH(COLUMNS($AC$1006:AD1006),$AC$1006:$AS$1006,0)), HYPERLINK("#",""), HYPERLINK(CONCATENATE("#metadata!", ADDRESS(INDEX($X$2:$X$1001,MATCH(ROWS($V$2:V121),$V$2:$V$1001,0),0), INDEX($AC$1004:$AS$1004,1,MATCH(COLUMNS($AC$1006:AD1006),$AC$1006:$AS$1006,0)))),"Fix")))</f>
        <v xml:space="preserve"> </v>
      </c>
      <c r="D121" s="4" t="str">
        <f ca="1">IF(OR(INDEX($W$2:$W$1001,MATCH(ROWS($V$2:V121),$V$2:$V$1001,0),1)&gt;=100000,INDEX($AC$1005:$AS$1005,1,MATCH(COLUMNS($AC$1006:AE1006),$AC$1006:$AS$1006,0))&gt;=100000), " ",IF(INDEX($AC$2:$AS$1001,MATCH(ROWS($V$2:V121),$V$2:$V$1001,0),MATCH(COLUMNS($AC$1006:AE1006),$AC$1006:$AS$1006,0)), HYPERLINK("#",""), HYPERLINK(CONCATENATE("#metadata!", ADDRESS(INDEX($X$2:$X$1001,MATCH(ROWS($V$2:V121),$V$2:$V$1001,0),0), INDEX($AC$1004:$AS$1004,1,MATCH(COLUMNS($AC$1006:AE1006),$AC$1006:$AS$1006,0)))),"Fix")))</f>
        <v xml:space="preserve"> </v>
      </c>
      <c r="E121" s="4" t="str">
        <f ca="1">IF(OR(INDEX($W$2:$W$1001,MATCH(ROWS($V$2:V121),$V$2:$V$1001,0),1)&gt;=100000,INDEX($AC$1005:$AS$1005,1,MATCH(COLUMNS($AC$1006:AF1006),$AC$1006:$AS$1006,0))&gt;=100000), " ",IF(INDEX($AC$2:$AS$1001,MATCH(ROWS($V$2:V121),$V$2:$V$1001,0),MATCH(COLUMNS($AC$1006:AF1006),$AC$1006:$AS$1006,0)), HYPERLINK("#",""), HYPERLINK(CONCATENATE("#metadata!", ADDRESS(INDEX($X$2:$X$1001,MATCH(ROWS($V$2:V121),$V$2:$V$1001,0),0), INDEX($AC$1004:$AS$1004,1,MATCH(COLUMNS($AC$1006:AF1006),$AC$1006:$AS$1006,0)))),"Fix")))</f>
        <v xml:space="preserve"> </v>
      </c>
      <c r="F121" s="4" t="str">
        <f ca="1">IF(OR(INDEX($W$2:$W$1001,MATCH(ROWS($V$2:V121),$V$2:$V$1001,0),1)&gt;=100000,INDEX($AC$1005:$AS$1005,1,MATCH(COLUMNS($AC$1006:AG1006),$AC$1006:$AS$1006,0))&gt;=100000), " ",IF(INDEX($AC$2:$AS$1001,MATCH(ROWS($V$2:V121),$V$2:$V$1001,0),MATCH(COLUMNS($AC$1006:AG1006),$AC$1006:$AS$1006,0)), HYPERLINK("#",""), HYPERLINK(CONCATENATE("#metadata!", ADDRESS(INDEX($X$2:$X$1001,MATCH(ROWS($V$2:V121),$V$2:$V$1001,0),0), INDEX($AC$1004:$AS$1004,1,MATCH(COLUMNS($AC$1006:AG1006),$AC$1006:$AS$1006,0)))),"Fix")))</f>
        <v xml:space="preserve"> </v>
      </c>
      <c r="G121" s="4" t="str">
        <f ca="1">IF(OR(INDEX($W$2:$W$1001,MATCH(ROWS($V$2:V121),$V$2:$V$1001,0),1)&gt;=100000,INDEX($AC$1005:$AS$1005,1,MATCH(COLUMNS($AC$1006:AH1006),$AC$1006:$AS$1006,0))&gt;=100000), " ",IF(INDEX($AC$2:$AS$1001,MATCH(ROWS($V$2:V121),$V$2:$V$1001,0),MATCH(COLUMNS($AC$1006:AH1006),$AC$1006:$AS$1006,0)), HYPERLINK("#",""), HYPERLINK(CONCATENATE("#metadata!", ADDRESS(INDEX($X$2:$X$1001,MATCH(ROWS($V$2:V121),$V$2:$V$1001,0),0), INDEX($AC$1004:$AS$1004,1,MATCH(COLUMNS($AC$1006:AH1006),$AC$1006:$AS$1006,0)))),"Fix")))</f>
        <v xml:space="preserve"> </v>
      </c>
      <c r="H121" s="4" t="str">
        <f ca="1">IF(OR(INDEX($W$2:$W$1001,MATCH(ROWS($V$2:V121),$V$2:$V$1001,0),1)&gt;=100000,INDEX($AC$1005:$AS$1005,1,MATCH(COLUMNS($AC$1006:AI1006),$AC$1006:$AS$1006,0))&gt;=100000), " ",IF(INDEX($AC$2:$AS$1001,MATCH(ROWS($V$2:V121),$V$2:$V$1001,0),MATCH(COLUMNS($AC$1006:AI1006),$AC$1006:$AS$1006,0)), HYPERLINK("#",""), HYPERLINK(CONCATENATE("#metadata!", ADDRESS(INDEX($X$2:$X$1001,MATCH(ROWS($V$2:V121),$V$2:$V$1001,0),0), INDEX($AC$1004:$AS$1004,1,MATCH(COLUMNS($AC$1006:AI1006),$AC$1006:$AS$1006,0)))),"Fix")))</f>
        <v xml:space="preserve"> </v>
      </c>
      <c r="I121" s="4" t="str">
        <f ca="1">IF(OR(INDEX($W$2:$W$1001,MATCH(ROWS($V$2:V121),$V$2:$V$1001,0),1)&gt;=100000,INDEX($AC$1005:$AS$1005,1,MATCH(COLUMNS($AC$1006:AJ1006),$AC$1006:$AS$1006,0))&gt;=100000), " ",IF(INDEX($AC$2:$AS$1001,MATCH(ROWS($V$2:V121),$V$2:$V$1001,0),MATCH(COLUMNS($AC$1006:AJ1006),$AC$1006:$AS$1006,0)), HYPERLINK("#",""), HYPERLINK(CONCATENATE("#metadata!", ADDRESS(INDEX($X$2:$X$1001,MATCH(ROWS($V$2:V121),$V$2:$V$1001,0),0), INDEX($AC$1004:$AS$1004,1,MATCH(COLUMNS($AC$1006:AJ1006),$AC$1006:$AS$1006,0)))),"Fix")))</f>
        <v xml:space="preserve"> </v>
      </c>
      <c r="J121" s="4" t="str">
        <f ca="1">IF(OR(INDEX($W$2:$W$1001,MATCH(ROWS($V$2:V121),$V$2:$V$1001,0),1)&gt;=100000,INDEX($AC$1005:$AS$1005,1,MATCH(COLUMNS($AC$1006:AK1006),$AC$1006:$AS$1006,0))&gt;=100000), " ",IF(INDEX($AC$2:$AS$1001,MATCH(ROWS($V$2:V121),$V$2:$V$1001,0),MATCH(COLUMNS($AC$1006:AK1006),$AC$1006:$AS$1006,0)), HYPERLINK("#",""), HYPERLINK(CONCATENATE("#metadata!", ADDRESS(INDEX($X$2:$X$1001,MATCH(ROWS($V$2:V121),$V$2:$V$1001,0),0), INDEX($AC$1004:$AS$1004,1,MATCH(COLUMNS($AC$1006:AK1006),$AC$1006:$AS$1006,0)))),"Fix")))</f>
        <v xml:space="preserve"> </v>
      </c>
      <c r="K121" s="4" t="str">
        <f ca="1">IF(OR(INDEX($W$2:$W$1001,MATCH(ROWS($V$2:V121),$V$2:$V$1001,0),1)&gt;=100000,INDEX($AC$1005:$AS$1005,1,MATCH(COLUMNS($AC$1006:AL1006),$AC$1006:$AS$1006,0))&gt;=100000), " ",IF(INDEX($AC$2:$AS$1001,MATCH(ROWS($V$2:V121),$V$2:$V$1001,0),MATCH(COLUMNS($AC$1006:AL1006),$AC$1006:$AS$1006,0)), HYPERLINK("#",""), HYPERLINK(CONCATENATE("#metadata!", ADDRESS(INDEX($X$2:$X$1001,MATCH(ROWS($V$2:V121),$V$2:$V$1001,0),0), INDEX($AC$1004:$AS$1004,1,MATCH(COLUMNS($AC$1006:AL1006),$AC$1006:$AS$1006,0)))),"Fix")))</f>
        <v xml:space="preserve"> </v>
      </c>
      <c r="L121" s="4" t="str">
        <f ca="1">IF(OR(INDEX($W$2:$W$1001,MATCH(ROWS($V$2:V121),$V$2:$V$1001,0),1)&gt;=100000,INDEX($AC$1005:$AS$1005,1,MATCH(COLUMNS($AC$1006:AM1006),$AC$1006:$AS$1006,0))&gt;=100000), " ",IF(INDEX($AC$2:$AS$1001,MATCH(ROWS($V$2:V121),$V$2:$V$1001,0),MATCH(COLUMNS($AC$1006:AM1006),$AC$1006:$AS$1006,0)), HYPERLINK("#",""), HYPERLINK(CONCATENATE("#metadata!", ADDRESS(INDEX($X$2:$X$1001,MATCH(ROWS($V$2:V121),$V$2:$V$1001,0),0), INDEX($AC$1004:$AS$1004,1,MATCH(COLUMNS($AC$1006:AM1006),$AC$1006:$AS$1006,0)))),"Fix")))</f>
        <v xml:space="preserve"> </v>
      </c>
      <c r="M121" s="4" t="str">
        <f ca="1">IF(OR(INDEX($W$2:$W$1001,MATCH(ROWS($V$2:V121),$V$2:$V$1001,0),1)&gt;=100000,INDEX($AC$1005:$AS$1005,1,MATCH(COLUMNS($AC$1006:AN1006),$AC$1006:$AS$1006,0))&gt;=100000), " ",IF(INDEX($AC$2:$AS$1001,MATCH(ROWS($V$2:V121),$V$2:$V$1001,0),MATCH(COLUMNS($AC$1006:AN1006),$AC$1006:$AS$1006,0)), HYPERLINK("#",""), HYPERLINK(CONCATENATE("#metadata!", ADDRESS(INDEX($X$2:$X$1001,MATCH(ROWS($V$2:V121),$V$2:$V$1001,0),0), INDEX($AC$1004:$AS$1004,1,MATCH(COLUMNS($AC$1006:AN1006),$AC$1006:$AS$1006,0)))),"Fix")))</f>
        <v xml:space="preserve"> </v>
      </c>
      <c r="N121" s="4" t="str">
        <f ca="1">IF(OR(INDEX($W$2:$W$1001,MATCH(ROWS($V$2:V121),$V$2:$V$1001,0),1)&gt;=100000,INDEX($AC$1005:$AS$1005,1,MATCH(COLUMNS($AC$1006:AO1006),$AC$1006:$AS$1006,0))&gt;=100000), " ",IF(INDEX($AC$2:$AS$1001,MATCH(ROWS($V$2:V121),$V$2:$V$1001,0),MATCH(COLUMNS($AC$1006:AO1006),$AC$1006:$AS$1006,0)), HYPERLINK("#",""), HYPERLINK(CONCATENATE("#metadata!", ADDRESS(INDEX($X$2:$X$1001,MATCH(ROWS($V$2:V121),$V$2:$V$1001,0),0), INDEX($AC$1004:$AS$1004,1,MATCH(COLUMNS($AC$1006:AO1006),$AC$1006:$AS$1006,0)))),"Fix")))</f>
        <v xml:space="preserve"> </v>
      </c>
      <c r="O121" s="4" t="str">
        <f ca="1">IF(OR(INDEX($W$2:$W$1001,MATCH(ROWS($V$2:V121),$V$2:$V$1001,0),1)&gt;=100000,INDEX($AC$1005:$AS$1005,1,MATCH(COLUMNS($AC$1006:AP1006),$AC$1006:$AS$1006,0))&gt;=100000), " ",IF(INDEX($AC$2:$AS$1001,MATCH(ROWS($V$2:V121),$V$2:$V$1001,0),MATCH(COLUMNS($AC$1006:AP1006),$AC$1006:$AS$1006,0)), HYPERLINK("#",""), HYPERLINK(CONCATENATE("#metadata!", ADDRESS(INDEX($X$2:$X$1001,MATCH(ROWS($V$2:V121),$V$2:$V$1001,0),0), INDEX($AC$1004:$AS$1004,1,MATCH(COLUMNS($AC$1006:AP1006),$AC$1006:$AS$1006,0)))),"Fix")))</f>
        <v xml:space="preserve"> </v>
      </c>
      <c r="P121" s="4" t="str">
        <f ca="1">IF(OR(INDEX($W$2:$W$1001,MATCH(ROWS($V$2:V121),$V$2:$V$1001,0),1)&gt;=100000,INDEX($AC$1005:$AS$1005,1,MATCH(COLUMNS($AC$1006:AQ1006),$AC$1006:$AS$1006,0))&gt;=100000), " ",IF(INDEX($AC$2:$AS$1001,MATCH(ROWS($V$2:V121),$V$2:$V$1001,0),MATCH(COLUMNS($AC$1006:AQ1006),$AC$1006:$AS$1006,0)), HYPERLINK("#",""), HYPERLINK(CONCATENATE("#metadata!", ADDRESS(INDEX($X$2:$X$1001,MATCH(ROWS($V$2:V121),$V$2:$V$1001,0),0), INDEX($AC$1004:$AS$1004,1,MATCH(COLUMNS($AC$1006:AQ1006),$AC$1006:$AS$1006,0)))),"Fix")))</f>
        <v xml:space="preserve"> </v>
      </c>
      <c r="Q121" s="4" t="str">
        <f ca="1">IF(OR(INDEX($W$2:$W$1001,MATCH(ROWS($V$2:V121),$V$2:$V$1001,0),1)&gt;=100000,INDEX($AC$1005:$AS$1005,1,MATCH(COLUMNS($AC$1006:AR1006),$AC$1006:$AS$1006,0))&gt;=100000), " ",IF(INDEX($AC$2:$AS$1001,MATCH(ROWS($V$2:V121),$V$2:$V$1001,0),MATCH(COLUMNS($AC$1006:AR1006),$AC$1006:$AS$1006,0)), HYPERLINK("#",""), HYPERLINK(CONCATENATE("#metadata!", ADDRESS(INDEX($X$2:$X$1001,MATCH(ROWS($V$2:V121),$V$2:$V$1001,0),0), INDEX($AC$1004:$AS$1004,1,MATCH(COLUMNS($AC$1006:AR1006),$AC$1006:$AS$1006,0)))),"Fix")))</f>
        <v xml:space="preserve"> </v>
      </c>
      <c r="R121" s="4" t="str">
        <f ca="1">IF(OR(INDEX($W$2:$W$1001,MATCH(ROWS($V$2:V121),$V$2:$V$1001,0),1)&gt;=100000,INDEX($AC$1005:$AS$1005,1,MATCH(COLUMNS($AC$1006:AS1006),$AC$1006:$AS$1006,0))&gt;=100000), " ",IF(INDEX($AC$2:$AS$1001,MATCH(ROWS($V$2:V121),$V$2:$V$1001,0),MATCH(COLUMNS($AC$1006:AS1006),$AC$1006:$AS$1006,0)), HYPERLINK("#",""), HYPERLINK(CONCATENATE("#metadata!", ADDRESS(INDEX($X$2:$X$1001,MATCH(ROWS($V$2:V121),$V$2:$V$1001,0),0), INDEX($AC$1004:$AS$1004,1,MATCH(COLUMNS($AC$1006:AS1006),$AC$1006:$AS$1006,0)))),"Fix")))</f>
        <v xml:space="preserve"> </v>
      </c>
      <c r="V121">
        <v>120</v>
      </c>
      <c r="W121">
        <v>100121</v>
      </c>
      <c r="X121">
        <v>121</v>
      </c>
      <c r="Y121" t="b">
        <f t="shared" si="1"/>
        <v>1</v>
      </c>
      <c r="Z121" t="b">
        <f>COUNTBLANK(metadata!B121:R121)=COLUMNS(metadata!B121:R121)</f>
        <v>1</v>
      </c>
      <c r="AA121" t="str">
        <v/>
      </c>
      <c r="AC121" t="b">
        <f ca="1"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AD121" t="b">
        <f>IF(metadata!C121="",FALSE,ISNUMBER(VALUE(metadata!C121)))</f>
        <v>0</v>
      </c>
      <c r="AE121" t="b">
        <f>AND(IF(metadata!D121="",FALSE,TRUE),EXACT(metadata!D121,"years"))</f>
        <v>0</v>
      </c>
      <c r="AF121" t="b">
        <f>OR(AND(IF(metadata!E121="",FALSE,TRUE),OR(EXACT(metadata!E121,"not applicable"),EXACT(metadata!E121,"missing: not collected"),EXACT(metadata!E121,"missing: not provided"),EXACT(metadata!E121,"missing: restricted access"))),AND(IF(metadata!E121="",FALSE,ISNUMBER(VALUE(metadata!E121))),metadata!E121&gt;0))</f>
        <v>0</v>
      </c>
      <c r="AG121" t="b">
        <f>AND(IF(metadata!F121="",FALSE,TRUE),EXACT(metadata!F121,"Not applicable"))</f>
        <v>0</v>
      </c>
      <c r="AH121" t="b">
        <f>AND(IF(metadata!G121="",FALSE,TRUE),EXACT(metadata!G121,"urban biome"))</f>
        <v>0</v>
      </c>
      <c r="AI121" t="b">
        <f>AND(IF(metadata!H121="",FALSE,TRUE),EXACT(metadata!H121,"human-associated habitat"))</f>
        <v>0</v>
      </c>
      <c r="AJ121" t="b">
        <f>AND(IF(metadata!I121="",FALSE,TRUE),OR(EXACT(metadata!I121,"human-associated"),EXACT(metadata!I121,"human-skin"),EXACT(metadata!I121,"human-oral"),EXACT(metadata!I121,"human-gut"),EXACT(metadata!I121,"human-vaginal")))</f>
        <v>0</v>
      </c>
      <c r="AK121" t="b">
        <f>IF(metadata!J121="",FALSE,ISNUMBER(VALUE(metadata!J121)))</f>
        <v>0</v>
      </c>
      <c r="AL121" t="b">
        <f>AND(IF(metadata!K121="",FALSE,TRUE),EXACT(metadata!K121,"cm"))</f>
        <v>0</v>
      </c>
      <c r="AM121" t="b">
        <f>AND(IF(metadata!L121="",FALSE,TRUE),EXACT(metadata!L121,"human"))</f>
        <v>0</v>
      </c>
      <c r="AN121" t="b">
        <f>AND(IF(metadata!M121="",FALSE,TRUE),EXACT(metadata!M121,"Homo sapiens"))</f>
        <v>0</v>
      </c>
      <c r="AO121" t="b">
        <f>AND(IF(metadata!N121="",FALSE,TRUE),EXACT(metadata!N121,"9606"))</f>
        <v>0</v>
      </c>
      <c r="AP121" t="b">
        <f>IF(metadata!O121="",FALSE,TRUE)</f>
        <v>0</v>
      </c>
      <c r="AQ121" t="b">
        <f>IF(metadata!P121="",FALSE,TRUE)</f>
        <v>0</v>
      </c>
      <c r="AR121" t="b">
        <f>IF(metadata!Q121="",FALSE,ISNUMBER(VALUE(metadata!Q121)))</f>
        <v>0</v>
      </c>
      <c r="AS121" t="b">
        <f>AND(IF(metadata!R121="",FALSE,TRUE),EXACT(metadata!R121,"kg"))</f>
        <v>0</v>
      </c>
    </row>
    <row r="122" spans="1:45" x14ac:dyDescent="0.2">
      <c r="A122" s="5" t="str">
        <f ca="1">IF(B122=" "," ",HYPERLINK(CONCATENATE("#metadata!",ADDRESS(INDEX($X$2:$X$1001,MATCH(ROWS($V$2:V122),$V$2:$V$1001,0),0),1)),INDEX($AA$2:$AA$1001,MATCH(ROWS($V$2:V122),$V$2:$V$1001,0),0)))</f>
        <v xml:space="preserve"> </v>
      </c>
      <c r="B122" s="4" t="str">
        <f ca="1">IF(OR(INDEX($W$2:$W$1001,MATCH(ROWS($V$2:V122),$V$2:$V$1001,0),1)&gt;=100000,INDEX($AC$1005:$AS$1005,1,MATCH(COLUMNS($AC$1006:AC1006),$AC$1006:$AS$1006,0))&gt;=100000), " ",IF(INDEX($AC$2:$AS$1001,MATCH(ROWS($V$2:V122),$V$2:$V$1001,0),MATCH(COLUMNS($AC$1006:AC1006),$AC$1006:$AS$1006,0)), HYPERLINK("#",""), HYPERLINK(CONCATENATE("#metadata!", ADDRESS(INDEX($X$2:$X$1001,MATCH(ROWS($V$2:V122),$V$2:$V$1001,0),0), INDEX($AC$1004:$AS$1004,1,MATCH(COLUMNS($AC$1006:AC1006),$AC$1006:$AS$1006,0)))),"Fix")))</f>
        <v xml:space="preserve"> </v>
      </c>
      <c r="C122" s="4" t="str">
        <f ca="1">IF(OR(INDEX($W$2:$W$1001,MATCH(ROWS($V$2:V122),$V$2:$V$1001,0),1)&gt;=100000,INDEX($AC$1005:$AS$1005,1,MATCH(COLUMNS($AC$1006:AD1006),$AC$1006:$AS$1006,0))&gt;=100000), " ",IF(INDEX($AC$2:$AS$1001,MATCH(ROWS($V$2:V122),$V$2:$V$1001,0),MATCH(COLUMNS($AC$1006:AD1006),$AC$1006:$AS$1006,0)), HYPERLINK("#",""), HYPERLINK(CONCATENATE("#metadata!", ADDRESS(INDEX($X$2:$X$1001,MATCH(ROWS($V$2:V122),$V$2:$V$1001,0),0), INDEX($AC$1004:$AS$1004,1,MATCH(COLUMNS($AC$1006:AD1006),$AC$1006:$AS$1006,0)))),"Fix")))</f>
        <v xml:space="preserve"> </v>
      </c>
      <c r="D122" s="4" t="str">
        <f ca="1">IF(OR(INDEX($W$2:$W$1001,MATCH(ROWS($V$2:V122),$V$2:$V$1001,0),1)&gt;=100000,INDEX($AC$1005:$AS$1005,1,MATCH(COLUMNS($AC$1006:AE1006),$AC$1006:$AS$1006,0))&gt;=100000), " ",IF(INDEX($AC$2:$AS$1001,MATCH(ROWS($V$2:V122),$V$2:$V$1001,0),MATCH(COLUMNS($AC$1006:AE1006),$AC$1006:$AS$1006,0)), HYPERLINK("#",""), HYPERLINK(CONCATENATE("#metadata!", ADDRESS(INDEX($X$2:$X$1001,MATCH(ROWS($V$2:V122),$V$2:$V$1001,0),0), INDEX($AC$1004:$AS$1004,1,MATCH(COLUMNS($AC$1006:AE1006),$AC$1006:$AS$1006,0)))),"Fix")))</f>
        <v xml:space="preserve"> </v>
      </c>
      <c r="E122" s="4" t="str">
        <f ca="1">IF(OR(INDEX($W$2:$W$1001,MATCH(ROWS($V$2:V122),$V$2:$V$1001,0),1)&gt;=100000,INDEX($AC$1005:$AS$1005,1,MATCH(COLUMNS($AC$1006:AF1006),$AC$1006:$AS$1006,0))&gt;=100000), " ",IF(INDEX($AC$2:$AS$1001,MATCH(ROWS($V$2:V122),$V$2:$V$1001,0),MATCH(COLUMNS($AC$1006:AF1006),$AC$1006:$AS$1006,0)), HYPERLINK("#",""), HYPERLINK(CONCATENATE("#metadata!", ADDRESS(INDEX($X$2:$X$1001,MATCH(ROWS($V$2:V122),$V$2:$V$1001,0),0), INDEX($AC$1004:$AS$1004,1,MATCH(COLUMNS($AC$1006:AF1006),$AC$1006:$AS$1006,0)))),"Fix")))</f>
        <v xml:space="preserve"> </v>
      </c>
      <c r="F122" s="4" t="str">
        <f ca="1">IF(OR(INDEX($W$2:$W$1001,MATCH(ROWS($V$2:V122),$V$2:$V$1001,0),1)&gt;=100000,INDEX($AC$1005:$AS$1005,1,MATCH(COLUMNS($AC$1006:AG1006),$AC$1006:$AS$1006,0))&gt;=100000), " ",IF(INDEX($AC$2:$AS$1001,MATCH(ROWS($V$2:V122),$V$2:$V$1001,0),MATCH(COLUMNS($AC$1006:AG1006),$AC$1006:$AS$1006,0)), HYPERLINK("#",""), HYPERLINK(CONCATENATE("#metadata!", ADDRESS(INDEX($X$2:$X$1001,MATCH(ROWS($V$2:V122),$V$2:$V$1001,0),0), INDEX($AC$1004:$AS$1004,1,MATCH(COLUMNS($AC$1006:AG1006),$AC$1006:$AS$1006,0)))),"Fix")))</f>
        <v xml:space="preserve"> </v>
      </c>
      <c r="G122" s="4" t="str">
        <f ca="1">IF(OR(INDEX($W$2:$W$1001,MATCH(ROWS($V$2:V122),$V$2:$V$1001,0),1)&gt;=100000,INDEX($AC$1005:$AS$1005,1,MATCH(COLUMNS($AC$1006:AH1006),$AC$1006:$AS$1006,0))&gt;=100000), " ",IF(INDEX($AC$2:$AS$1001,MATCH(ROWS($V$2:V122),$V$2:$V$1001,0),MATCH(COLUMNS($AC$1006:AH1006),$AC$1006:$AS$1006,0)), HYPERLINK("#",""), HYPERLINK(CONCATENATE("#metadata!", ADDRESS(INDEX($X$2:$X$1001,MATCH(ROWS($V$2:V122),$V$2:$V$1001,0),0), INDEX($AC$1004:$AS$1004,1,MATCH(COLUMNS($AC$1006:AH1006),$AC$1006:$AS$1006,0)))),"Fix")))</f>
        <v xml:space="preserve"> </v>
      </c>
      <c r="H122" s="4" t="str">
        <f ca="1">IF(OR(INDEX($W$2:$W$1001,MATCH(ROWS($V$2:V122),$V$2:$V$1001,0),1)&gt;=100000,INDEX($AC$1005:$AS$1005,1,MATCH(COLUMNS($AC$1006:AI1006),$AC$1006:$AS$1006,0))&gt;=100000), " ",IF(INDEX($AC$2:$AS$1001,MATCH(ROWS($V$2:V122),$V$2:$V$1001,0),MATCH(COLUMNS($AC$1006:AI1006),$AC$1006:$AS$1006,0)), HYPERLINK("#",""), HYPERLINK(CONCATENATE("#metadata!", ADDRESS(INDEX($X$2:$X$1001,MATCH(ROWS($V$2:V122),$V$2:$V$1001,0),0), INDEX($AC$1004:$AS$1004,1,MATCH(COLUMNS($AC$1006:AI1006),$AC$1006:$AS$1006,0)))),"Fix")))</f>
        <v xml:space="preserve"> </v>
      </c>
      <c r="I122" s="4" t="str">
        <f ca="1">IF(OR(INDEX($W$2:$W$1001,MATCH(ROWS($V$2:V122),$V$2:$V$1001,0),1)&gt;=100000,INDEX($AC$1005:$AS$1005,1,MATCH(COLUMNS($AC$1006:AJ1006),$AC$1006:$AS$1006,0))&gt;=100000), " ",IF(INDEX($AC$2:$AS$1001,MATCH(ROWS($V$2:V122),$V$2:$V$1001,0),MATCH(COLUMNS($AC$1006:AJ1006),$AC$1006:$AS$1006,0)), HYPERLINK("#",""), HYPERLINK(CONCATENATE("#metadata!", ADDRESS(INDEX($X$2:$X$1001,MATCH(ROWS($V$2:V122),$V$2:$V$1001,0),0), INDEX($AC$1004:$AS$1004,1,MATCH(COLUMNS($AC$1006:AJ1006),$AC$1006:$AS$1006,0)))),"Fix")))</f>
        <v xml:space="preserve"> </v>
      </c>
      <c r="J122" s="4" t="str">
        <f ca="1">IF(OR(INDEX($W$2:$W$1001,MATCH(ROWS($V$2:V122),$V$2:$V$1001,0),1)&gt;=100000,INDEX($AC$1005:$AS$1005,1,MATCH(COLUMNS($AC$1006:AK1006),$AC$1006:$AS$1006,0))&gt;=100000), " ",IF(INDEX($AC$2:$AS$1001,MATCH(ROWS($V$2:V122),$V$2:$V$1001,0),MATCH(COLUMNS($AC$1006:AK1006),$AC$1006:$AS$1006,0)), HYPERLINK("#",""), HYPERLINK(CONCATENATE("#metadata!", ADDRESS(INDEX($X$2:$X$1001,MATCH(ROWS($V$2:V122),$V$2:$V$1001,0),0), INDEX($AC$1004:$AS$1004,1,MATCH(COLUMNS($AC$1006:AK1006),$AC$1006:$AS$1006,0)))),"Fix")))</f>
        <v xml:space="preserve"> </v>
      </c>
      <c r="K122" s="4" t="str">
        <f ca="1">IF(OR(INDEX($W$2:$W$1001,MATCH(ROWS($V$2:V122),$V$2:$V$1001,0),1)&gt;=100000,INDEX($AC$1005:$AS$1005,1,MATCH(COLUMNS($AC$1006:AL1006),$AC$1006:$AS$1006,0))&gt;=100000), " ",IF(INDEX($AC$2:$AS$1001,MATCH(ROWS($V$2:V122),$V$2:$V$1001,0),MATCH(COLUMNS($AC$1006:AL1006),$AC$1006:$AS$1006,0)), HYPERLINK("#",""), HYPERLINK(CONCATENATE("#metadata!", ADDRESS(INDEX($X$2:$X$1001,MATCH(ROWS($V$2:V122),$V$2:$V$1001,0),0), INDEX($AC$1004:$AS$1004,1,MATCH(COLUMNS($AC$1006:AL1006),$AC$1006:$AS$1006,0)))),"Fix")))</f>
        <v xml:space="preserve"> </v>
      </c>
      <c r="L122" s="4" t="str">
        <f ca="1">IF(OR(INDEX($W$2:$W$1001,MATCH(ROWS($V$2:V122),$V$2:$V$1001,0),1)&gt;=100000,INDEX($AC$1005:$AS$1005,1,MATCH(COLUMNS($AC$1006:AM1006),$AC$1006:$AS$1006,0))&gt;=100000), " ",IF(INDEX($AC$2:$AS$1001,MATCH(ROWS($V$2:V122),$V$2:$V$1001,0),MATCH(COLUMNS($AC$1006:AM1006),$AC$1006:$AS$1006,0)), HYPERLINK("#",""), HYPERLINK(CONCATENATE("#metadata!", ADDRESS(INDEX($X$2:$X$1001,MATCH(ROWS($V$2:V122),$V$2:$V$1001,0),0), INDEX($AC$1004:$AS$1004,1,MATCH(COLUMNS($AC$1006:AM1006),$AC$1006:$AS$1006,0)))),"Fix")))</f>
        <v xml:space="preserve"> </v>
      </c>
      <c r="M122" s="4" t="str">
        <f ca="1">IF(OR(INDEX($W$2:$W$1001,MATCH(ROWS($V$2:V122),$V$2:$V$1001,0),1)&gt;=100000,INDEX($AC$1005:$AS$1005,1,MATCH(COLUMNS($AC$1006:AN1006),$AC$1006:$AS$1006,0))&gt;=100000), " ",IF(INDEX($AC$2:$AS$1001,MATCH(ROWS($V$2:V122),$V$2:$V$1001,0),MATCH(COLUMNS($AC$1006:AN1006),$AC$1006:$AS$1006,0)), HYPERLINK("#",""), HYPERLINK(CONCATENATE("#metadata!", ADDRESS(INDEX($X$2:$X$1001,MATCH(ROWS($V$2:V122),$V$2:$V$1001,0),0), INDEX($AC$1004:$AS$1004,1,MATCH(COLUMNS($AC$1006:AN1006),$AC$1006:$AS$1006,0)))),"Fix")))</f>
        <v xml:space="preserve"> </v>
      </c>
      <c r="N122" s="4" t="str">
        <f ca="1">IF(OR(INDEX($W$2:$W$1001,MATCH(ROWS($V$2:V122),$V$2:$V$1001,0),1)&gt;=100000,INDEX($AC$1005:$AS$1005,1,MATCH(COLUMNS($AC$1006:AO1006),$AC$1006:$AS$1006,0))&gt;=100000), " ",IF(INDEX($AC$2:$AS$1001,MATCH(ROWS($V$2:V122),$V$2:$V$1001,0),MATCH(COLUMNS($AC$1006:AO1006),$AC$1006:$AS$1006,0)), HYPERLINK("#",""), HYPERLINK(CONCATENATE("#metadata!", ADDRESS(INDEX($X$2:$X$1001,MATCH(ROWS($V$2:V122),$V$2:$V$1001,0),0), INDEX($AC$1004:$AS$1004,1,MATCH(COLUMNS($AC$1006:AO1006),$AC$1006:$AS$1006,0)))),"Fix")))</f>
        <v xml:space="preserve"> </v>
      </c>
      <c r="O122" s="4" t="str">
        <f ca="1">IF(OR(INDEX($W$2:$W$1001,MATCH(ROWS($V$2:V122),$V$2:$V$1001,0),1)&gt;=100000,INDEX($AC$1005:$AS$1005,1,MATCH(COLUMNS($AC$1006:AP1006),$AC$1006:$AS$1006,0))&gt;=100000), " ",IF(INDEX($AC$2:$AS$1001,MATCH(ROWS($V$2:V122),$V$2:$V$1001,0),MATCH(COLUMNS($AC$1006:AP1006),$AC$1006:$AS$1006,0)), HYPERLINK("#",""), HYPERLINK(CONCATENATE("#metadata!", ADDRESS(INDEX($X$2:$X$1001,MATCH(ROWS($V$2:V122),$V$2:$V$1001,0),0), INDEX($AC$1004:$AS$1004,1,MATCH(COLUMNS($AC$1006:AP1006),$AC$1006:$AS$1006,0)))),"Fix")))</f>
        <v xml:space="preserve"> </v>
      </c>
      <c r="P122" s="4" t="str">
        <f ca="1">IF(OR(INDEX($W$2:$W$1001,MATCH(ROWS($V$2:V122),$V$2:$V$1001,0),1)&gt;=100000,INDEX($AC$1005:$AS$1005,1,MATCH(COLUMNS($AC$1006:AQ1006),$AC$1006:$AS$1006,0))&gt;=100000), " ",IF(INDEX($AC$2:$AS$1001,MATCH(ROWS($V$2:V122),$V$2:$V$1001,0),MATCH(COLUMNS($AC$1006:AQ1006),$AC$1006:$AS$1006,0)), HYPERLINK("#",""), HYPERLINK(CONCATENATE("#metadata!", ADDRESS(INDEX($X$2:$X$1001,MATCH(ROWS($V$2:V122),$V$2:$V$1001,0),0), INDEX($AC$1004:$AS$1004,1,MATCH(COLUMNS($AC$1006:AQ1006),$AC$1006:$AS$1006,0)))),"Fix")))</f>
        <v xml:space="preserve"> </v>
      </c>
      <c r="Q122" s="4" t="str">
        <f ca="1">IF(OR(INDEX($W$2:$W$1001,MATCH(ROWS($V$2:V122),$V$2:$V$1001,0),1)&gt;=100000,INDEX($AC$1005:$AS$1005,1,MATCH(COLUMNS($AC$1006:AR1006),$AC$1006:$AS$1006,0))&gt;=100000), " ",IF(INDEX($AC$2:$AS$1001,MATCH(ROWS($V$2:V122),$V$2:$V$1001,0),MATCH(COLUMNS($AC$1006:AR1006),$AC$1006:$AS$1006,0)), HYPERLINK("#",""), HYPERLINK(CONCATENATE("#metadata!", ADDRESS(INDEX($X$2:$X$1001,MATCH(ROWS($V$2:V122),$V$2:$V$1001,0),0), INDEX($AC$1004:$AS$1004,1,MATCH(COLUMNS($AC$1006:AR1006),$AC$1006:$AS$1006,0)))),"Fix")))</f>
        <v xml:space="preserve"> </v>
      </c>
      <c r="R122" s="4" t="str">
        <f ca="1">IF(OR(INDEX($W$2:$W$1001,MATCH(ROWS($V$2:V122),$V$2:$V$1001,0),1)&gt;=100000,INDEX($AC$1005:$AS$1005,1,MATCH(COLUMNS($AC$1006:AS1006),$AC$1006:$AS$1006,0))&gt;=100000), " ",IF(INDEX($AC$2:$AS$1001,MATCH(ROWS($V$2:V122),$V$2:$V$1001,0),MATCH(COLUMNS($AC$1006:AS1006),$AC$1006:$AS$1006,0)), HYPERLINK("#",""), HYPERLINK(CONCATENATE("#metadata!", ADDRESS(INDEX($X$2:$X$1001,MATCH(ROWS($V$2:V122),$V$2:$V$1001,0),0), INDEX($AC$1004:$AS$1004,1,MATCH(COLUMNS($AC$1006:AS1006),$AC$1006:$AS$1006,0)))),"Fix")))</f>
        <v xml:space="preserve"> </v>
      </c>
      <c r="V122">
        <v>121</v>
      </c>
      <c r="W122">
        <v>100122</v>
      </c>
      <c r="X122">
        <v>122</v>
      </c>
      <c r="Y122" t="b">
        <f t="shared" si="1"/>
        <v>1</v>
      </c>
      <c r="Z122" t="b">
        <f>COUNTBLANK(metadata!B122:R122)=COLUMNS(metadata!B122:R122)</f>
        <v>1</v>
      </c>
      <c r="AA122" t="str">
        <v/>
      </c>
      <c r="AC122" t="b">
        <f ca="1"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AD122" t="b">
        <f>IF(metadata!C122="",FALSE,ISNUMBER(VALUE(metadata!C122)))</f>
        <v>0</v>
      </c>
      <c r="AE122" t="b">
        <f>AND(IF(metadata!D122="",FALSE,TRUE),EXACT(metadata!D122,"years"))</f>
        <v>0</v>
      </c>
      <c r="AF122" t="b">
        <f>OR(AND(IF(metadata!E122="",FALSE,TRUE),OR(EXACT(metadata!E122,"not applicable"),EXACT(metadata!E122,"missing: not collected"),EXACT(metadata!E122,"missing: not provided"),EXACT(metadata!E122,"missing: restricted access"))),AND(IF(metadata!E122="",FALSE,ISNUMBER(VALUE(metadata!E122))),metadata!E122&gt;0))</f>
        <v>0</v>
      </c>
      <c r="AG122" t="b">
        <f>AND(IF(metadata!F122="",FALSE,TRUE),EXACT(metadata!F122,"Not applicable"))</f>
        <v>0</v>
      </c>
      <c r="AH122" t="b">
        <f>AND(IF(metadata!G122="",FALSE,TRUE),EXACT(metadata!G122,"urban biome"))</f>
        <v>0</v>
      </c>
      <c r="AI122" t="b">
        <f>AND(IF(metadata!H122="",FALSE,TRUE),EXACT(metadata!H122,"human-associated habitat"))</f>
        <v>0</v>
      </c>
      <c r="AJ122" t="b">
        <f>AND(IF(metadata!I122="",FALSE,TRUE),OR(EXACT(metadata!I122,"human-associated"),EXACT(metadata!I122,"human-skin"),EXACT(metadata!I122,"human-oral"),EXACT(metadata!I122,"human-gut"),EXACT(metadata!I122,"human-vaginal")))</f>
        <v>0</v>
      </c>
      <c r="AK122" t="b">
        <f>IF(metadata!J122="",FALSE,ISNUMBER(VALUE(metadata!J122)))</f>
        <v>0</v>
      </c>
      <c r="AL122" t="b">
        <f>AND(IF(metadata!K122="",FALSE,TRUE),EXACT(metadata!K122,"cm"))</f>
        <v>0</v>
      </c>
      <c r="AM122" t="b">
        <f>AND(IF(metadata!L122="",FALSE,TRUE),EXACT(metadata!L122,"human"))</f>
        <v>0</v>
      </c>
      <c r="AN122" t="b">
        <f>AND(IF(metadata!M122="",FALSE,TRUE),EXACT(metadata!M122,"Homo sapiens"))</f>
        <v>0</v>
      </c>
      <c r="AO122" t="b">
        <f>AND(IF(metadata!N122="",FALSE,TRUE),EXACT(metadata!N122,"9606"))</f>
        <v>0</v>
      </c>
      <c r="AP122" t="b">
        <f>IF(metadata!O122="",FALSE,TRUE)</f>
        <v>0</v>
      </c>
      <c r="AQ122" t="b">
        <f>IF(metadata!P122="",FALSE,TRUE)</f>
        <v>0</v>
      </c>
      <c r="AR122" t="b">
        <f>IF(metadata!Q122="",FALSE,ISNUMBER(VALUE(metadata!Q122)))</f>
        <v>0</v>
      </c>
      <c r="AS122" t="b">
        <f>AND(IF(metadata!R122="",FALSE,TRUE),EXACT(metadata!R122,"kg"))</f>
        <v>0</v>
      </c>
    </row>
    <row r="123" spans="1:45" x14ac:dyDescent="0.2">
      <c r="A123" s="5" t="str">
        <f ca="1">IF(B123=" "," ",HYPERLINK(CONCATENATE("#metadata!",ADDRESS(INDEX($X$2:$X$1001,MATCH(ROWS($V$2:V123),$V$2:$V$1001,0),0),1)),INDEX($AA$2:$AA$1001,MATCH(ROWS($V$2:V123),$V$2:$V$1001,0),0)))</f>
        <v xml:space="preserve"> </v>
      </c>
      <c r="B123" s="4" t="str">
        <f ca="1">IF(OR(INDEX($W$2:$W$1001,MATCH(ROWS($V$2:V123),$V$2:$V$1001,0),1)&gt;=100000,INDEX($AC$1005:$AS$1005,1,MATCH(COLUMNS($AC$1006:AC1006),$AC$1006:$AS$1006,0))&gt;=100000), " ",IF(INDEX($AC$2:$AS$1001,MATCH(ROWS($V$2:V123),$V$2:$V$1001,0),MATCH(COLUMNS($AC$1006:AC1006),$AC$1006:$AS$1006,0)), HYPERLINK("#",""), HYPERLINK(CONCATENATE("#metadata!", ADDRESS(INDEX($X$2:$X$1001,MATCH(ROWS($V$2:V123),$V$2:$V$1001,0),0), INDEX($AC$1004:$AS$1004,1,MATCH(COLUMNS($AC$1006:AC1006),$AC$1006:$AS$1006,0)))),"Fix")))</f>
        <v xml:space="preserve"> </v>
      </c>
      <c r="C123" s="4" t="str">
        <f ca="1">IF(OR(INDEX($W$2:$W$1001,MATCH(ROWS($V$2:V123),$V$2:$V$1001,0),1)&gt;=100000,INDEX($AC$1005:$AS$1005,1,MATCH(COLUMNS($AC$1006:AD1006),$AC$1006:$AS$1006,0))&gt;=100000), " ",IF(INDEX($AC$2:$AS$1001,MATCH(ROWS($V$2:V123),$V$2:$V$1001,0),MATCH(COLUMNS($AC$1006:AD1006),$AC$1006:$AS$1006,0)), HYPERLINK("#",""), HYPERLINK(CONCATENATE("#metadata!", ADDRESS(INDEX($X$2:$X$1001,MATCH(ROWS($V$2:V123),$V$2:$V$1001,0),0), INDEX($AC$1004:$AS$1004,1,MATCH(COLUMNS($AC$1006:AD1006),$AC$1006:$AS$1006,0)))),"Fix")))</f>
        <v xml:space="preserve"> </v>
      </c>
      <c r="D123" s="4" t="str">
        <f ca="1">IF(OR(INDEX($W$2:$W$1001,MATCH(ROWS($V$2:V123),$V$2:$V$1001,0),1)&gt;=100000,INDEX($AC$1005:$AS$1005,1,MATCH(COLUMNS($AC$1006:AE1006),$AC$1006:$AS$1006,0))&gt;=100000), " ",IF(INDEX($AC$2:$AS$1001,MATCH(ROWS($V$2:V123),$V$2:$V$1001,0),MATCH(COLUMNS($AC$1006:AE1006),$AC$1006:$AS$1006,0)), HYPERLINK("#",""), HYPERLINK(CONCATENATE("#metadata!", ADDRESS(INDEX($X$2:$X$1001,MATCH(ROWS($V$2:V123),$V$2:$V$1001,0),0), INDEX($AC$1004:$AS$1004,1,MATCH(COLUMNS($AC$1006:AE1006),$AC$1006:$AS$1006,0)))),"Fix")))</f>
        <v xml:space="preserve"> </v>
      </c>
      <c r="E123" s="4" t="str">
        <f ca="1">IF(OR(INDEX($W$2:$W$1001,MATCH(ROWS($V$2:V123),$V$2:$V$1001,0),1)&gt;=100000,INDEX($AC$1005:$AS$1005,1,MATCH(COLUMNS($AC$1006:AF1006),$AC$1006:$AS$1006,0))&gt;=100000), " ",IF(INDEX($AC$2:$AS$1001,MATCH(ROWS($V$2:V123),$V$2:$V$1001,0),MATCH(COLUMNS($AC$1006:AF1006),$AC$1006:$AS$1006,0)), HYPERLINK("#",""), HYPERLINK(CONCATENATE("#metadata!", ADDRESS(INDEX($X$2:$X$1001,MATCH(ROWS($V$2:V123),$V$2:$V$1001,0),0), INDEX($AC$1004:$AS$1004,1,MATCH(COLUMNS($AC$1006:AF1006),$AC$1006:$AS$1006,0)))),"Fix")))</f>
        <v xml:space="preserve"> </v>
      </c>
      <c r="F123" s="4" t="str">
        <f ca="1">IF(OR(INDEX($W$2:$W$1001,MATCH(ROWS($V$2:V123),$V$2:$V$1001,0),1)&gt;=100000,INDEX($AC$1005:$AS$1005,1,MATCH(COLUMNS($AC$1006:AG1006),$AC$1006:$AS$1006,0))&gt;=100000), " ",IF(INDEX($AC$2:$AS$1001,MATCH(ROWS($V$2:V123),$V$2:$V$1001,0),MATCH(COLUMNS($AC$1006:AG1006),$AC$1006:$AS$1006,0)), HYPERLINK("#",""), HYPERLINK(CONCATENATE("#metadata!", ADDRESS(INDEX($X$2:$X$1001,MATCH(ROWS($V$2:V123),$V$2:$V$1001,0),0), INDEX($AC$1004:$AS$1004,1,MATCH(COLUMNS($AC$1006:AG1006),$AC$1006:$AS$1006,0)))),"Fix")))</f>
        <v xml:space="preserve"> </v>
      </c>
      <c r="G123" s="4" t="str">
        <f ca="1">IF(OR(INDEX($W$2:$W$1001,MATCH(ROWS($V$2:V123),$V$2:$V$1001,0),1)&gt;=100000,INDEX($AC$1005:$AS$1005,1,MATCH(COLUMNS($AC$1006:AH1006),$AC$1006:$AS$1006,0))&gt;=100000), " ",IF(INDEX($AC$2:$AS$1001,MATCH(ROWS($V$2:V123),$V$2:$V$1001,0),MATCH(COLUMNS($AC$1006:AH1006),$AC$1006:$AS$1006,0)), HYPERLINK("#",""), HYPERLINK(CONCATENATE("#metadata!", ADDRESS(INDEX($X$2:$X$1001,MATCH(ROWS($V$2:V123),$V$2:$V$1001,0),0), INDEX($AC$1004:$AS$1004,1,MATCH(COLUMNS($AC$1006:AH1006),$AC$1006:$AS$1006,0)))),"Fix")))</f>
        <v xml:space="preserve"> </v>
      </c>
      <c r="H123" s="4" t="str">
        <f ca="1">IF(OR(INDEX($W$2:$W$1001,MATCH(ROWS($V$2:V123),$V$2:$V$1001,0),1)&gt;=100000,INDEX($AC$1005:$AS$1005,1,MATCH(COLUMNS($AC$1006:AI1006),$AC$1006:$AS$1006,0))&gt;=100000), " ",IF(INDEX($AC$2:$AS$1001,MATCH(ROWS($V$2:V123),$V$2:$V$1001,0),MATCH(COLUMNS($AC$1006:AI1006),$AC$1006:$AS$1006,0)), HYPERLINK("#",""), HYPERLINK(CONCATENATE("#metadata!", ADDRESS(INDEX($X$2:$X$1001,MATCH(ROWS($V$2:V123),$V$2:$V$1001,0),0), INDEX($AC$1004:$AS$1004,1,MATCH(COLUMNS($AC$1006:AI1006),$AC$1006:$AS$1006,0)))),"Fix")))</f>
        <v xml:space="preserve"> </v>
      </c>
      <c r="I123" s="4" t="str">
        <f ca="1">IF(OR(INDEX($W$2:$W$1001,MATCH(ROWS($V$2:V123),$V$2:$V$1001,0),1)&gt;=100000,INDEX($AC$1005:$AS$1005,1,MATCH(COLUMNS($AC$1006:AJ1006),$AC$1006:$AS$1006,0))&gt;=100000), " ",IF(INDEX($AC$2:$AS$1001,MATCH(ROWS($V$2:V123),$V$2:$V$1001,0),MATCH(COLUMNS($AC$1006:AJ1006),$AC$1006:$AS$1006,0)), HYPERLINK("#",""), HYPERLINK(CONCATENATE("#metadata!", ADDRESS(INDEX($X$2:$X$1001,MATCH(ROWS($V$2:V123),$V$2:$V$1001,0),0), INDEX($AC$1004:$AS$1004,1,MATCH(COLUMNS($AC$1006:AJ1006),$AC$1006:$AS$1006,0)))),"Fix")))</f>
        <v xml:space="preserve"> </v>
      </c>
      <c r="J123" s="4" t="str">
        <f ca="1">IF(OR(INDEX($W$2:$W$1001,MATCH(ROWS($V$2:V123),$V$2:$V$1001,0),1)&gt;=100000,INDEX($AC$1005:$AS$1005,1,MATCH(COLUMNS($AC$1006:AK1006),$AC$1006:$AS$1006,0))&gt;=100000), " ",IF(INDEX($AC$2:$AS$1001,MATCH(ROWS($V$2:V123),$V$2:$V$1001,0),MATCH(COLUMNS($AC$1006:AK1006),$AC$1006:$AS$1006,0)), HYPERLINK("#",""), HYPERLINK(CONCATENATE("#metadata!", ADDRESS(INDEX($X$2:$X$1001,MATCH(ROWS($V$2:V123),$V$2:$V$1001,0),0), INDEX($AC$1004:$AS$1004,1,MATCH(COLUMNS($AC$1006:AK1006),$AC$1006:$AS$1006,0)))),"Fix")))</f>
        <v xml:space="preserve"> </v>
      </c>
      <c r="K123" s="4" t="str">
        <f ca="1">IF(OR(INDEX($W$2:$W$1001,MATCH(ROWS($V$2:V123),$V$2:$V$1001,0),1)&gt;=100000,INDEX($AC$1005:$AS$1005,1,MATCH(COLUMNS($AC$1006:AL1006),$AC$1006:$AS$1006,0))&gt;=100000), " ",IF(INDEX($AC$2:$AS$1001,MATCH(ROWS($V$2:V123),$V$2:$V$1001,0),MATCH(COLUMNS($AC$1006:AL1006),$AC$1006:$AS$1006,0)), HYPERLINK("#",""), HYPERLINK(CONCATENATE("#metadata!", ADDRESS(INDEX($X$2:$X$1001,MATCH(ROWS($V$2:V123),$V$2:$V$1001,0),0), INDEX($AC$1004:$AS$1004,1,MATCH(COLUMNS($AC$1006:AL1006),$AC$1006:$AS$1006,0)))),"Fix")))</f>
        <v xml:space="preserve"> </v>
      </c>
      <c r="L123" s="4" t="str">
        <f ca="1">IF(OR(INDEX($W$2:$W$1001,MATCH(ROWS($V$2:V123),$V$2:$V$1001,0),1)&gt;=100000,INDEX($AC$1005:$AS$1005,1,MATCH(COLUMNS($AC$1006:AM1006),$AC$1006:$AS$1006,0))&gt;=100000), " ",IF(INDEX($AC$2:$AS$1001,MATCH(ROWS($V$2:V123),$V$2:$V$1001,0),MATCH(COLUMNS($AC$1006:AM1006),$AC$1006:$AS$1006,0)), HYPERLINK("#",""), HYPERLINK(CONCATENATE("#metadata!", ADDRESS(INDEX($X$2:$X$1001,MATCH(ROWS($V$2:V123),$V$2:$V$1001,0),0), INDEX($AC$1004:$AS$1004,1,MATCH(COLUMNS($AC$1006:AM1006),$AC$1006:$AS$1006,0)))),"Fix")))</f>
        <v xml:space="preserve"> </v>
      </c>
      <c r="M123" s="4" t="str">
        <f ca="1">IF(OR(INDEX($W$2:$W$1001,MATCH(ROWS($V$2:V123),$V$2:$V$1001,0),1)&gt;=100000,INDEX($AC$1005:$AS$1005,1,MATCH(COLUMNS($AC$1006:AN1006),$AC$1006:$AS$1006,0))&gt;=100000), " ",IF(INDEX($AC$2:$AS$1001,MATCH(ROWS($V$2:V123),$V$2:$V$1001,0),MATCH(COLUMNS($AC$1006:AN1006),$AC$1006:$AS$1006,0)), HYPERLINK("#",""), HYPERLINK(CONCATENATE("#metadata!", ADDRESS(INDEX($X$2:$X$1001,MATCH(ROWS($V$2:V123),$V$2:$V$1001,0),0), INDEX($AC$1004:$AS$1004,1,MATCH(COLUMNS($AC$1006:AN1006),$AC$1006:$AS$1006,0)))),"Fix")))</f>
        <v xml:space="preserve"> </v>
      </c>
      <c r="N123" s="4" t="str">
        <f ca="1">IF(OR(INDEX($W$2:$W$1001,MATCH(ROWS($V$2:V123),$V$2:$V$1001,0),1)&gt;=100000,INDEX($AC$1005:$AS$1005,1,MATCH(COLUMNS($AC$1006:AO1006),$AC$1006:$AS$1006,0))&gt;=100000), " ",IF(INDEX($AC$2:$AS$1001,MATCH(ROWS($V$2:V123),$V$2:$V$1001,0),MATCH(COLUMNS($AC$1006:AO1006),$AC$1006:$AS$1006,0)), HYPERLINK("#",""), HYPERLINK(CONCATENATE("#metadata!", ADDRESS(INDEX($X$2:$X$1001,MATCH(ROWS($V$2:V123),$V$2:$V$1001,0),0), INDEX($AC$1004:$AS$1004,1,MATCH(COLUMNS($AC$1006:AO1006),$AC$1006:$AS$1006,0)))),"Fix")))</f>
        <v xml:space="preserve"> </v>
      </c>
      <c r="O123" s="4" t="str">
        <f ca="1">IF(OR(INDEX($W$2:$W$1001,MATCH(ROWS($V$2:V123),$V$2:$V$1001,0),1)&gt;=100000,INDEX($AC$1005:$AS$1005,1,MATCH(COLUMNS($AC$1006:AP1006),$AC$1006:$AS$1006,0))&gt;=100000), " ",IF(INDEX($AC$2:$AS$1001,MATCH(ROWS($V$2:V123),$V$2:$V$1001,0),MATCH(COLUMNS($AC$1006:AP1006),$AC$1006:$AS$1006,0)), HYPERLINK("#",""), HYPERLINK(CONCATENATE("#metadata!", ADDRESS(INDEX($X$2:$X$1001,MATCH(ROWS($V$2:V123),$V$2:$V$1001,0),0), INDEX($AC$1004:$AS$1004,1,MATCH(COLUMNS($AC$1006:AP1006),$AC$1006:$AS$1006,0)))),"Fix")))</f>
        <v xml:space="preserve"> </v>
      </c>
      <c r="P123" s="4" t="str">
        <f ca="1">IF(OR(INDEX($W$2:$W$1001,MATCH(ROWS($V$2:V123),$V$2:$V$1001,0),1)&gt;=100000,INDEX($AC$1005:$AS$1005,1,MATCH(COLUMNS($AC$1006:AQ1006),$AC$1006:$AS$1006,0))&gt;=100000), " ",IF(INDEX($AC$2:$AS$1001,MATCH(ROWS($V$2:V123),$V$2:$V$1001,0),MATCH(COLUMNS($AC$1006:AQ1006),$AC$1006:$AS$1006,0)), HYPERLINK("#",""), HYPERLINK(CONCATENATE("#metadata!", ADDRESS(INDEX($X$2:$X$1001,MATCH(ROWS($V$2:V123),$V$2:$V$1001,0),0), INDEX($AC$1004:$AS$1004,1,MATCH(COLUMNS($AC$1006:AQ1006),$AC$1006:$AS$1006,0)))),"Fix")))</f>
        <v xml:space="preserve"> </v>
      </c>
      <c r="Q123" s="4" t="str">
        <f ca="1">IF(OR(INDEX($W$2:$W$1001,MATCH(ROWS($V$2:V123),$V$2:$V$1001,0),1)&gt;=100000,INDEX($AC$1005:$AS$1005,1,MATCH(COLUMNS($AC$1006:AR1006),$AC$1006:$AS$1006,0))&gt;=100000), " ",IF(INDEX($AC$2:$AS$1001,MATCH(ROWS($V$2:V123),$V$2:$V$1001,0),MATCH(COLUMNS($AC$1006:AR1006),$AC$1006:$AS$1006,0)), HYPERLINK("#",""), HYPERLINK(CONCATENATE("#metadata!", ADDRESS(INDEX($X$2:$X$1001,MATCH(ROWS($V$2:V123),$V$2:$V$1001,0),0), INDEX($AC$1004:$AS$1004,1,MATCH(COLUMNS($AC$1006:AR1006),$AC$1006:$AS$1006,0)))),"Fix")))</f>
        <v xml:space="preserve"> </v>
      </c>
      <c r="R123" s="4" t="str">
        <f ca="1">IF(OR(INDEX($W$2:$W$1001,MATCH(ROWS($V$2:V123),$V$2:$V$1001,0),1)&gt;=100000,INDEX($AC$1005:$AS$1005,1,MATCH(COLUMNS($AC$1006:AS1006),$AC$1006:$AS$1006,0))&gt;=100000), " ",IF(INDEX($AC$2:$AS$1001,MATCH(ROWS($V$2:V123),$V$2:$V$1001,0),MATCH(COLUMNS($AC$1006:AS1006),$AC$1006:$AS$1006,0)), HYPERLINK("#",""), HYPERLINK(CONCATENATE("#metadata!", ADDRESS(INDEX($X$2:$X$1001,MATCH(ROWS($V$2:V123),$V$2:$V$1001,0),0), INDEX($AC$1004:$AS$1004,1,MATCH(COLUMNS($AC$1006:AS1006),$AC$1006:$AS$1006,0)))),"Fix")))</f>
        <v xml:space="preserve"> </v>
      </c>
      <c r="V123">
        <v>122</v>
      </c>
      <c r="W123">
        <v>100123</v>
      </c>
      <c r="X123">
        <v>123</v>
      </c>
      <c r="Y123" t="b">
        <f t="shared" si="1"/>
        <v>1</v>
      </c>
      <c r="Z123" t="b">
        <f>COUNTBLANK(metadata!B123:R123)=COLUMNS(metadata!B123:R123)</f>
        <v>1</v>
      </c>
      <c r="AA123" t="str">
        <v/>
      </c>
      <c r="AC123" t="b">
        <f ca="1"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AD123" t="b">
        <f>IF(metadata!C123="",FALSE,ISNUMBER(VALUE(metadata!C123)))</f>
        <v>0</v>
      </c>
      <c r="AE123" t="b">
        <f>AND(IF(metadata!D123="",FALSE,TRUE),EXACT(metadata!D123,"years"))</f>
        <v>0</v>
      </c>
      <c r="AF123" t="b">
        <f>OR(AND(IF(metadata!E123="",FALSE,TRUE),OR(EXACT(metadata!E123,"not applicable"),EXACT(metadata!E123,"missing: not collected"),EXACT(metadata!E123,"missing: not provided"),EXACT(metadata!E123,"missing: restricted access"))),AND(IF(metadata!E123="",FALSE,ISNUMBER(VALUE(metadata!E123))),metadata!E123&gt;0))</f>
        <v>0</v>
      </c>
      <c r="AG123" t="b">
        <f>AND(IF(metadata!F123="",FALSE,TRUE),EXACT(metadata!F123,"Not applicable"))</f>
        <v>0</v>
      </c>
      <c r="AH123" t="b">
        <f>AND(IF(metadata!G123="",FALSE,TRUE),EXACT(metadata!G123,"urban biome"))</f>
        <v>0</v>
      </c>
      <c r="AI123" t="b">
        <f>AND(IF(metadata!H123="",FALSE,TRUE),EXACT(metadata!H123,"human-associated habitat"))</f>
        <v>0</v>
      </c>
      <c r="AJ123" t="b">
        <f>AND(IF(metadata!I123="",FALSE,TRUE),OR(EXACT(metadata!I123,"human-associated"),EXACT(metadata!I123,"human-skin"),EXACT(metadata!I123,"human-oral"),EXACT(metadata!I123,"human-gut"),EXACT(metadata!I123,"human-vaginal")))</f>
        <v>0</v>
      </c>
      <c r="AK123" t="b">
        <f>IF(metadata!J123="",FALSE,ISNUMBER(VALUE(metadata!J123)))</f>
        <v>0</v>
      </c>
      <c r="AL123" t="b">
        <f>AND(IF(metadata!K123="",FALSE,TRUE),EXACT(metadata!K123,"cm"))</f>
        <v>0</v>
      </c>
      <c r="AM123" t="b">
        <f>AND(IF(metadata!L123="",FALSE,TRUE),EXACT(metadata!L123,"human"))</f>
        <v>0</v>
      </c>
      <c r="AN123" t="b">
        <f>AND(IF(metadata!M123="",FALSE,TRUE),EXACT(metadata!M123,"Homo sapiens"))</f>
        <v>0</v>
      </c>
      <c r="AO123" t="b">
        <f>AND(IF(metadata!N123="",FALSE,TRUE),EXACT(metadata!N123,"9606"))</f>
        <v>0</v>
      </c>
      <c r="AP123" t="b">
        <f>IF(metadata!O123="",FALSE,TRUE)</f>
        <v>0</v>
      </c>
      <c r="AQ123" t="b">
        <f>IF(metadata!P123="",FALSE,TRUE)</f>
        <v>0</v>
      </c>
      <c r="AR123" t="b">
        <f>IF(metadata!Q123="",FALSE,ISNUMBER(VALUE(metadata!Q123)))</f>
        <v>0</v>
      </c>
      <c r="AS123" t="b">
        <f>AND(IF(metadata!R123="",FALSE,TRUE),EXACT(metadata!R123,"kg"))</f>
        <v>0</v>
      </c>
    </row>
    <row r="124" spans="1:45" x14ac:dyDescent="0.2">
      <c r="A124" s="5" t="str">
        <f ca="1">IF(B124=" "," ",HYPERLINK(CONCATENATE("#metadata!",ADDRESS(INDEX($X$2:$X$1001,MATCH(ROWS($V$2:V124),$V$2:$V$1001,0),0),1)),INDEX($AA$2:$AA$1001,MATCH(ROWS($V$2:V124),$V$2:$V$1001,0),0)))</f>
        <v xml:space="preserve"> </v>
      </c>
      <c r="B124" s="4" t="str">
        <f ca="1">IF(OR(INDEX($W$2:$W$1001,MATCH(ROWS($V$2:V124),$V$2:$V$1001,0),1)&gt;=100000,INDEX($AC$1005:$AS$1005,1,MATCH(COLUMNS($AC$1006:AC1006),$AC$1006:$AS$1006,0))&gt;=100000), " ",IF(INDEX($AC$2:$AS$1001,MATCH(ROWS($V$2:V124),$V$2:$V$1001,0),MATCH(COLUMNS($AC$1006:AC1006),$AC$1006:$AS$1006,0)), HYPERLINK("#",""), HYPERLINK(CONCATENATE("#metadata!", ADDRESS(INDEX($X$2:$X$1001,MATCH(ROWS($V$2:V124),$V$2:$V$1001,0),0), INDEX($AC$1004:$AS$1004,1,MATCH(COLUMNS($AC$1006:AC1006),$AC$1006:$AS$1006,0)))),"Fix")))</f>
        <v xml:space="preserve"> </v>
      </c>
      <c r="C124" s="4" t="str">
        <f ca="1">IF(OR(INDEX($W$2:$W$1001,MATCH(ROWS($V$2:V124),$V$2:$V$1001,0),1)&gt;=100000,INDEX($AC$1005:$AS$1005,1,MATCH(COLUMNS($AC$1006:AD1006),$AC$1006:$AS$1006,0))&gt;=100000), " ",IF(INDEX($AC$2:$AS$1001,MATCH(ROWS($V$2:V124),$V$2:$V$1001,0),MATCH(COLUMNS($AC$1006:AD1006),$AC$1006:$AS$1006,0)), HYPERLINK("#",""), HYPERLINK(CONCATENATE("#metadata!", ADDRESS(INDEX($X$2:$X$1001,MATCH(ROWS($V$2:V124),$V$2:$V$1001,0),0), INDEX($AC$1004:$AS$1004,1,MATCH(COLUMNS($AC$1006:AD1006),$AC$1006:$AS$1006,0)))),"Fix")))</f>
        <v xml:space="preserve"> </v>
      </c>
      <c r="D124" s="4" t="str">
        <f ca="1">IF(OR(INDEX($W$2:$W$1001,MATCH(ROWS($V$2:V124),$V$2:$V$1001,0),1)&gt;=100000,INDEX($AC$1005:$AS$1005,1,MATCH(COLUMNS($AC$1006:AE1006),$AC$1006:$AS$1006,0))&gt;=100000), " ",IF(INDEX($AC$2:$AS$1001,MATCH(ROWS($V$2:V124),$V$2:$V$1001,0),MATCH(COLUMNS($AC$1006:AE1006),$AC$1006:$AS$1006,0)), HYPERLINK("#",""), HYPERLINK(CONCATENATE("#metadata!", ADDRESS(INDEX($X$2:$X$1001,MATCH(ROWS($V$2:V124),$V$2:$V$1001,0),0), INDEX($AC$1004:$AS$1004,1,MATCH(COLUMNS($AC$1006:AE1006),$AC$1006:$AS$1006,0)))),"Fix")))</f>
        <v xml:space="preserve"> </v>
      </c>
      <c r="E124" s="4" t="str">
        <f ca="1">IF(OR(INDEX($W$2:$W$1001,MATCH(ROWS($V$2:V124),$V$2:$V$1001,0),1)&gt;=100000,INDEX($AC$1005:$AS$1005,1,MATCH(COLUMNS($AC$1006:AF1006),$AC$1006:$AS$1006,0))&gt;=100000), " ",IF(INDEX($AC$2:$AS$1001,MATCH(ROWS($V$2:V124),$V$2:$V$1001,0),MATCH(COLUMNS($AC$1006:AF1006),$AC$1006:$AS$1006,0)), HYPERLINK("#",""), HYPERLINK(CONCATENATE("#metadata!", ADDRESS(INDEX($X$2:$X$1001,MATCH(ROWS($V$2:V124),$V$2:$V$1001,0),0), INDEX($AC$1004:$AS$1004,1,MATCH(COLUMNS($AC$1006:AF1006),$AC$1006:$AS$1006,0)))),"Fix")))</f>
        <v xml:space="preserve"> </v>
      </c>
      <c r="F124" s="4" t="str">
        <f ca="1">IF(OR(INDEX($W$2:$W$1001,MATCH(ROWS($V$2:V124),$V$2:$V$1001,0),1)&gt;=100000,INDEX($AC$1005:$AS$1005,1,MATCH(COLUMNS($AC$1006:AG1006),$AC$1006:$AS$1006,0))&gt;=100000), " ",IF(INDEX($AC$2:$AS$1001,MATCH(ROWS($V$2:V124),$V$2:$V$1001,0),MATCH(COLUMNS($AC$1006:AG1006),$AC$1006:$AS$1006,0)), HYPERLINK("#",""), HYPERLINK(CONCATENATE("#metadata!", ADDRESS(INDEX($X$2:$X$1001,MATCH(ROWS($V$2:V124),$V$2:$V$1001,0),0), INDEX($AC$1004:$AS$1004,1,MATCH(COLUMNS($AC$1006:AG1006),$AC$1006:$AS$1006,0)))),"Fix")))</f>
        <v xml:space="preserve"> </v>
      </c>
      <c r="G124" s="4" t="str">
        <f ca="1">IF(OR(INDEX($W$2:$W$1001,MATCH(ROWS($V$2:V124),$V$2:$V$1001,0),1)&gt;=100000,INDEX($AC$1005:$AS$1005,1,MATCH(COLUMNS($AC$1006:AH1006),$AC$1006:$AS$1006,0))&gt;=100000), " ",IF(INDEX($AC$2:$AS$1001,MATCH(ROWS($V$2:V124),$V$2:$V$1001,0),MATCH(COLUMNS($AC$1006:AH1006),$AC$1006:$AS$1006,0)), HYPERLINK("#",""), HYPERLINK(CONCATENATE("#metadata!", ADDRESS(INDEX($X$2:$X$1001,MATCH(ROWS($V$2:V124),$V$2:$V$1001,0),0), INDEX($AC$1004:$AS$1004,1,MATCH(COLUMNS($AC$1006:AH1006),$AC$1006:$AS$1006,0)))),"Fix")))</f>
        <v xml:space="preserve"> </v>
      </c>
      <c r="H124" s="4" t="str">
        <f ca="1">IF(OR(INDEX($W$2:$W$1001,MATCH(ROWS($V$2:V124),$V$2:$V$1001,0),1)&gt;=100000,INDEX($AC$1005:$AS$1005,1,MATCH(COLUMNS($AC$1006:AI1006),$AC$1006:$AS$1006,0))&gt;=100000), " ",IF(INDEX($AC$2:$AS$1001,MATCH(ROWS($V$2:V124),$V$2:$V$1001,0),MATCH(COLUMNS($AC$1006:AI1006),$AC$1006:$AS$1006,0)), HYPERLINK("#",""), HYPERLINK(CONCATENATE("#metadata!", ADDRESS(INDEX($X$2:$X$1001,MATCH(ROWS($V$2:V124),$V$2:$V$1001,0),0), INDEX($AC$1004:$AS$1004,1,MATCH(COLUMNS($AC$1006:AI1006),$AC$1006:$AS$1006,0)))),"Fix")))</f>
        <v xml:space="preserve"> </v>
      </c>
      <c r="I124" s="4" t="str">
        <f ca="1">IF(OR(INDEX($W$2:$W$1001,MATCH(ROWS($V$2:V124),$V$2:$V$1001,0),1)&gt;=100000,INDEX($AC$1005:$AS$1005,1,MATCH(COLUMNS($AC$1006:AJ1006),$AC$1006:$AS$1006,0))&gt;=100000), " ",IF(INDEX($AC$2:$AS$1001,MATCH(ROWS($V$2:V124),$V$2:$V$1001,0),MATCH(COLUMNS($AC$1006:AJ1006),$AC$1006:$AS$1006,0)), HYPERLINK("#",""), HYPERLINK(CONCATENATE("#metadata!", ADDRESS(INDEX($X$2:$X$1001,MATCH(ROWS($V$2:V124),$V$2:$V$1001,0),0), INDEX($AC$1004:$AS$1004,1,MATCH(COLUMNS($AC$1006:AJ1006),$AC$1006:$AS$1006,0)))),"Fix")))</f>
        <v xml:space="preserve"> </v>
      </c>
      <c r="J124" s="4" t="str">
        <f ca="1">IF(OR(INDEX($W$2:$W$1001,MATCH(ROWS($V$2:V124),$V$2:$V$1001,0),1)&gt;=100000,INDEX($AC$1005:$AS$1005,1,MATCH(COLUMNS($AC$1006:AK1006),$AC$1006:$AS$1006,0))&gt;=100000), " ",IF(INDEX($AC$2:$AS$1001,MATCH(ROWS($V$2:V124),$V$2:$V$1001,0),MATCH(COLUMNS($AC$1006:AK1006),$AC$1006:$AS$1006,0)), HYPERLINK("#",""), HYPERLINK(CONCATENATE("#metadata!", ADDRESS(INDEX($X$2:$X$1001,MATCH(ROWS($V$2:V124),$V$2:$V$1001,0),0), INDEX($AC$1004:$AS$1004,1,MATCH(COLUMNS($AC$1006:AK1006),$AC$1006:$AS$1006,0)))),"Fix")))</f>
        <v xml:space="preserve"> </v>
      </c>
      <c r="K124" s="4" t="str">
        <f ca="1">IF(OR(INDEX($W$2:$W$1001,MATCH(ROWS($V$2:V124),$V$2:$V$1001,0),1)&gt;=100000,INDEX($AC$1005:$AS$1005,1,MATCH(COLUMNS($AC$1006:AL1006),$AC$1006:$AS$1006,0))&gt;=100000), " ",IF(INDEX($AC$2:$AS$1001,MATCH(ROWS($V$2:V124),$V$2:$V$1001,0),MATCH(COLUMNS($AC$1006:AL1006),$AC$1006:$AS$1006,0)), HYPERLINK("#",""), HYPERLINK(CONCATENATE("#metadata!", ADDRESS(INDEX($X$2:$X$1001,MATCH(ROWS($V$2:V124),$V$2:$V$1001,0),0), INDEX($AC$1004:$AS$1004,1,MATCH(COLUMNS($AC$1006:AL1006),$AC$1006:$AS$1006,0)))),"Fix")))</f>
        <v xml:space="preserve"> </v>
      </c>
      <c r="L124" s="4" t="str">
        <f ca="1">IF(OR(INDEX($W$2:$W$1001,MATCH(ROWS($V$2:V124),$V$2:$V$1001,0),1)&gt;=100000,INDEX($AC$1005:$AS$1005,1,MATCH(COLUMNS($AC$1006:AM1006),$AC$1006:$AS$1006,0))&gt;=100000), " ",IF(INDEX($AC$2:$AS$1001,MATCH(ROWS($V$2:V124),$V$2:$V$1001,0),MATCH(COLUMNS($AC$1006:AM1006),$AC$1006:$AS$1006,0)), HYPERLINK("#",""), HYPERLINK(CONCATENATE("#metadata!", ADDRESS(INDEX($X$2:$X$1001,MATCH(ROWS($V$2:V124),$V$2:$V$1001,0),0), INDEX($AC$1004:$AS$1004,1,MATCH(COLUMNS($AC$1006:AM1006),$AC$1006:$AS$1006,0)))),"Fix")))</f>
        <v xml:space="preserve"> </v>
      </c>
      <c r="M124" s="4" t="str">
        <f ca="1">IF(OR(INDEX($W$2:$W$1001,MATCH(ROWS($V$2:V124),$V$2:$V$1001,0),1)&gt;=100000,INDEX($AC$1005:$AS$1005,1,MATCH(COLUMNS($AC$1006:AN1006),$AC$1006:$AS$1006,0))&gt;=100000), " ",IF(INDEX($AC$2:$AS$1001,MATCH(ROWS($V$2:V124),$V$2:$V$1001,0),MATCH(COLUMNS($AC$1006:AN1006),$AC$1006:$AS$1006,0)), HYPERLINK("#",""), HYPERLINK(CONCATENATE("#metadata!", ADDRESS(INDEX($X$2:$X$1001,MATCH(ROWS($V$2:V124),$V$2:$V$1001,0),0), INDEX($AC$1004:$AS$1004,1,MATCH(COLUMNS($AC$1006:AN1006),$AC$1006:$AS$1006,0)))),"Fix")))</f>
        <v xml:space="preserve"> </v>
      </c>
      <c r="N124" s="4" t="str">
        <f ca="1">IF(OR(INDEX($W$2:$W$1001,MATCH(ROWS($V$2:V124),$V$2:$V$1001,0),1)&gt;=100000,INDEX($AC$1005:$AS$1005,1,MATCH(COLUMNS($AC$1006:AO1006),$AC$1006:$AS$1006,0))&gt;=100000), " ",IF(INDEX($AC$2:$AS$1001,MATCH(ROWS($V$2:V124),$V$2:$V$1001,0),MATCH(COLUMNS($AC$1006:AO1006),$AC$1006:$AS$1006,0)), HYPERLINK("#",""), HYPERLINK(CONCATENATE("#metadata!", ADDRESS(INDEX($X$2:$X$1001,MATCH(ROWS($V$2:V124),$V$2:$V$1001,0),0), INDEX($AC$1004:$AS$1004,1,MATCH(COLUMNS($AC$1006:AO1006),$AC$1006:$AS$1006,0)))),"Fix")))</f>
        <v xml:space="preserve"> </v>
      </c>
      <c r="O124" s="4" t="str">
        <f ca="1">IF(OR(INDEX($W$2:$W$1001,MATCH(ROWS($V$2:V124),$V$2:$V$1001,0),1)&gt;=100000,INDEX($AC$1005:$AS$1005,1,MATCH(COLUMNS($AC$1006:AP1006),$AC$1006:$AS$1006,0))&gt;=100000), " ",IF(INDEX($AC$2:$AS$1001,MATCH(ROWS($V$2:V124),$V$2:$V$1001,0),MATCH(COLUMNS($AC$1006:AP1006),$AC$1006:$AS$1006,0)), HYPERLINK("#",""), HYPERLINK(CONCATENATE("#metadata!", ADDRESS(INDEX($X$2:$X$1001,MATCH(ROWS($V$2:V124),$V$2:$V$1001,0),0), INDEX($AC$1004:$AS$1004,1,MATCH(COLUMNS($AC$1006:AP1006),$AC$1006:$AS$1006,0)))),"Fix")))</f>
        <v xml:space="preserve"> </v>
      </c>
      <c r="P124" s="4" t="str">
        <f ca="1">IF(OR(INDEX($W$2:$W$1001,MATCH(ROWS($V$2:V124),$V$2:$V$1001,0),1)&gt;=100000,INDEX($AC$1005:$AS$1005,1,MATCH(COLUMNS($AC$1006:AQ1006),$AC$1006:$AS$1006,0))&gt;=100000), " ",IF(INDEX($AC$2:$AS$1001,MATCH(ROWS($V$2:V124),$V$2:$V$1001,0),MATCH(COLUMNS($AC$1006:AQ1006),$AC$1006:$AS$1006,0)), HYPERLINK("#",""), HYPERLINK(CONCATENATE("#metadata!", ADDRESS(INDEX($X$2:$X$1001,MATCH(ROWS($V$2:V124),$V$2:$V$1001,0),0), INDEX($AC$1004:$AS$1004,1,MATCH(COLUMNS($AC$1006:AQ1006),$AC$1006:$AS$1006,0)))),"Fix")))</f>
        <v xml:space="preserve"> </v>
      </c>
      <c r="Q124" s="4" t="str">
        <f ca="1">IF(OR(INDEX($W$2:$W$1001,MATCH(ROWS($V$2:V124),$V$2:$V$1001,0),1)&gt;=100000,INDEX($AC$1005:$AS$1005,1,MATCH(COLUMNS($AC$1006:AR1006),$AC$1006:$AS$1006,0))&gt;=100000), " ",IF(INDEX($AC$2:$AS$1001,MATCH(ROWS($V$2:V124),$V$2:$V$1001,0),MATCH(COLUMNS($AC$1006:AR1006),$AC$1006:$AS$1006,0)), HYPERLINK("#",""), HYPERLINK(CONCATENATE("#metadata!", ADDRESS(INDEX($X$2:$X$1001,MATCH(ROWS($V$2:V124),$V$2:$V$1001,0),0), INDEX($AC$1004:$AS$1004,1,MATCH(COLUMNS($AC$1006:AR1006),$AC$1006:$AS$1006,0)))),"Fix")))</f>
        <v xml:space="preserve"> </v>
      </c>
      <c r="R124" s="4" t="str">
        <f ca="1">IF(OR(INDEX($W$2:$W$1001,MATCH(ROWS($V$2:V124),$V$2:$V$1001,0),1)&gt;=100000,INDEX($AC$1005:$AS$1005,1,MATCH(COLUMNS($AC$1006:AS1006),$AC$1006:$AS$1006,0))&gt;=100000), " ",IF(INDEX($AC$2:$AS$1001,MATCH(ROWS($V$2:V124),$V$2:$V$1001,0),MATCH(COLUMNS($AC$1006:AS1006),$AC$1006:$AS$1006,0)), HYPERLINK("#",""), HYPERLINK(CONCATENATE("#metadata!", ADDRESS(INDEX($X$2:$X$1001,MATCH(ROWS($V$2:V124),$V$2:$V$1001,0),0), INDEX($AC$1004:$AS$1004,1,MATCH(COLUMNS($AC$1006:AS1006),$AC$1006:$AS$1006,0)))),"Fix")))</f>
        <v xml:space="preserve"> </v>
      </c>
      <c r="V124">
        <v>123</v>
      </c>
      <c r="W124">
        <v>100124</v>
      </c>
      <c r="X124">
        <v>124</v>
      </c>
      <c r="Y124" t="b">
        <f t="shared" si="1"/>
        <v>1</v>
      </c>
      <c r="Z124" t="b">
        <f>COUNTBLANK(metadata!B124:R124)=COLUMNS(metadata!B124:R124)</f>
        <v>1</v>
      </c>
      <c r="AA124" t="str">
        <v/>
      </c>
      <c r="AC124" t="b">
        <f ca="1"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AD124" t="b">
        <f>IF(metadata!C124="",FALSE,ISNUMBER(VALUE(metadata!C124)))</f>
        <v>0</v>
      </c>
      <c r="AE124" t="b">
        <f>AND(IF(metadata!D124="",FALSE,TRUE),EXACT(metadata!D124,"years"))</f>
        <v>0</v>
      </c>
      <c r="AF124" t="b">
        <f>OR(AND(IF(metadata!E124="",FALSE,TRUE),OR(EXACT(metadata!E124,"not applicable"),EXACT(metadata!E124,"missing: not collected"),EXACT(metadata!E124,"missing: not provided"),EXACT(metadata!E124,"missing: restricted access"))),AND(IF(metadata!E124="",FALSE,ISNUMBER(VALUE(metadata!E124))),metadata!E124&gt;0))</f>
        <v>0</v>
      </c>
      <c r="AG124" t="b">
        <f>AND(IF(metadata!F124="",FALSE,TRUE),EXACT(metadata!F124,"Not applicable"))</f>
        <v>0</v>
      </c>
      <c r="AH124" t="b">
        <f>AND(IF(metadata!G124="",FALSE,TRUE),EXACT(metadata!G124,"urban biome"))</f>
        <v>0</v>
      </c>
      <c r="AI124" t="b">
        <f>AND(IF(metadata!H124="",FALSE,TRUE),EXACT(metadata!H124,"human-associated habitat"))</f>
        <v>0</v>
      </c>
      <c r="AJ124" t="b">
        <f>AND(IF(metadata!I124="",FALSE,TRUE),OR(EXACT(metadata!I124,"human-associated"),EXACT(metadata!I124,"human-skin"),EXACT(metadata!I124,"human-oral"),EXACT(metadata!I124,"human-gut"),EXACT(metadata!I124,"human-vaginal")))</f>
        <v>0</v>
      </c>
      <c r="AK124" t="b">
        <f>IF(metadata!J124="",FALSE,ISNUMBER(VALUE(metadata!J124)))</f>
        <v>0</v>
      </c>
      <c r="AL124" t="b">
        <f>AND(IF(metadata!K124="",FALSE,TRUE),EXACT(metadata!K124,"cm"))</f>
        <v>0</v>
      </c>
      <c r="AM124" t="b">
        <f>AND(IF(metadata!L124="",FALSE,TRUE),EXACT(metadata!L124,"human"))</f>
        <v>0</v>
      </c>
      <c r="AN124" t="b">
        <f>AND(IF(metadata!M124="",FALSE,TRUE),EXACT(metadata!M124,"Homo sapiens"))</f>
        <v>0</v>
      </c>
      <c r="AO124" t="b">
        <f>AND(IF(metadata!N124="",FALSE,TRUE),EXACT(metadata!N124,"9606"))</f>
        <v>0</v>
      </c>
      <c r="AP124" t="b">
        <f>IF(metadata!O124="",FALSE,TRUE)</f>
        <v>0</v>
      </c>
      <c r="AQ124" t="b">
        <f>IF(metadata!P124="",FALSE,TRUE)</f>
        <v>0</v>
      </c>
      <c r="AR124" t="b">
        <f>IF(metadata!Q124="",FALSE,ISNUMBER(VALUE(metadata!Q124)))</f>
        <v>0</v>
      </c>
      <c r="AS124" t="b">
        <f>AND(IF(metadata!R124="",FALSE,TRUE),EXACT(metadata!R124,"kg"))</f>
        <v>0</v>
      </c>
    </row>
    <row r="125" spans="1:45" x14ac:dyDescent="0.2">
      <c r="A125" s="5" t="str">
        <f ca="1">IF(B125=" "," ",HYPERLINK(CONCATENATE("#metadata!",ADDRESS(INDEX($X$2:$X$1001,MATCH(ROWS($V$2:V125),$V$2:$V$1001,0),0),1)),INDEX($AA$2:$AA$1001,MATCH(ROWS($V$2:V125),$V$2:$V$1001,0),0)))</f>
        <v xml:space="preserve"> </v>
      </c>
      <c r="B125" s="4" t="str">
        <f ca="1">IF(OR(INDEX($W$2:$W$1001,MATCH(ROWS($V$2:V125),$V$2:$V$1001,0),1)&gt;=100000,INDEX($AC$1005:$AS$1005,1,MATCH(COLUMNS($AC$1006:AC1006),$AC$1006:$AS$1006,0))&gt;=100000), " ",IF(INDEX($AC$2:$AS$1001,MATCH(ROWS($V$2:V125),$V$2:$V$1001,0),MATCH(COLUMNS($AC$1006:AC1006),$AC$1006:$AS$1006,0)), HYPERLINK("#",""), HYPERLINK(CONCATENATE("#metadata!", ADDRESS(INDEX($X$2:$X$1001,MATCH(ROWS($V$2:V125),$V$2:$V$1001,0),0), INDEX($AC$1004:$AS$1004,1,MATCH(COLUMNS($AC$1006:AC1006),$AC$1006:$AS$1006,0)))),"Fix")))</f>
        <v xml:space="preserve"> </v>
      </c>
      <c r="C125" s="4" t="str">
        <f ca="1">IF(OR(INDEX($W$2:$W$1001,MATCH(ROWS($V$2:V125),$V$2:$V$1001,0),1)&gt;=100000,INDEX($AC$1005:$AS$1005,1,MATCH(COLUMNS($AC$1006:AD1006),$AC$1006:$AS$1006,0))&gt;=100000), " ",IF(INDEX($AC$2:$AS$1001,MATCH(ROWS($V$2:V125),$V$2:$V$1001,0),MATCH(COLUMNS($AC$1006:AD1006),$AC$1006:$AS$1006,0)), HYPERLINK("#",""), HYPERLINK(CONCATENATE("#metadata!", ADDRESS(INDEX($X$2:$X$1001,MATCH(ROWS($V$2:V125),$V$2:$V$1001,0),0), INDEX($AC$1004:$AS$1004,1,MATCH(COLUMNS($AC$1006:AD1006),$AC$1006:$AS$1006,0)))),"Fix")))</f>
        <v xml:space="preserve"> </v>
      </c>
      <c r="D125" s="4" t="str">
        <f ca="1">IF(OR(INDEX($W$2:$W$1001,MATCH(ROWS($V$2:V125),$V$2:$V$1001,0),1)&gt;=100000,INDEX($AC$1005:$AS$1005,1,MATCH(COLUMNS($AC$1006:AE1006),$AC$1006:$AS$1006,0))&gt;=100000), " ",IF(INDEX($AC$2:$AS$1001,MATCH(ROWS($V$2:V125),$V$2:$V$1001,0),MATCH(COLUMNS($AC$1006:AE1006),$AC$1006:$AS$1006,0)), HYPERLINK("#",""), HYPERLINK(CONCATENATE("#metadata!", ADDRESS(INDEX($X$2:$X$1001,MATCH(ROWS($V$2:V125),$V$2:$V$1001,0),0), INDEX($AC$1004:$AS$1004,1,MATCH(COLUMNS($AC$1006:AE1006),$AC$1006:$AS$1006,0)))),"Fix")))</f>
        <v xml:space="preserve"> </v>
      </c>
      <c r="E125" s="4" t="str">
        <f ca="1">IF(OR(INDEX($W$2:$W$1001,MATCH(ROWS($V$2:V125),$V$2:$V$1001,0),1)&gt;=100000,INDEX($AC$1005:$AS$1005,1,MATCH(COLUMNS($AC$1006:AF1006),$AC$1006:$AS$1006,0))&gt;=100000), " ",IF(INDEX($AC$2:$AS$1001,MATCH(ROWS($V$2:V125),$V$2:$V$1001,0),MATCH(COLUMNS($AC$1006:AF1006),$AC$1006:$AS$1006,0)), HYPERLINK("#",""), HYPERLINK(CONCATENATE("#metadata!", ADDRESS(INDEX($X$2:$X$1001,MATCH(ROWS($V$2:V125),$V$2:$V$1001,0),0), INDEX($AC$1004:$AS$1004,1,MATCH(COLUMNS($AC$1006:AF1006),$AC$1006:$AS$1006,0)))),"Fix")))</f>
        <v xml:space="preserve"> </v>
      </c>
      <c r="F125" s="4" t="str">
        <f ca="1">IF(OR(INDEX($W$2:$W$1001,MATCH(ROWS($V$2:V125),$V$2:$V$1001,0),1)&gt;=100000,INDEX($AC$1005:$AS$1005,1,MATCH(COLUMNS($AC$1006:AG1006),$AC$1006:$AS$1006,0))&gt;=100000), " ",IF(INDEX($AC$2:$AS$1001,MATCH(ROWS($V$2:V125),$V$2:$V$1001,0),MATCH(COLUMNS($AC$1006:AG1006),$AC$1006:$AS$1006,0)), HYPERLINK("#",""), HYPERLINK(CONCATENATE("#metadata!", ADDRESS(INDEX($X$2:$X$1001,MATCH(ROWS($V$2:V125),$V$2:$V$1001,0),0), INDEX($AC$1004:$AS$1004,1,MATCH(COLUMNS($AC$1006:AG1006),$AC$1006:$AS$1006,0)))),"Fix")))</f>
        <v xml:space="preserve"> </v>
      </c>
      <c r="G125" s="4" t="str">
        <f ca="1">IF(OR(INDEX($W$2:$W$1001,MATCH(ROWS($V$2:V125),$V$2:$V$1001,0),1)&gt;=100000,INDEX($AC$1005:$AS$1005,1,MATCH(COLUMNS($AC$1006:AH1006),$AC$1006:$AS$1006,0))&gt;=100000), " ",IF(INDEX($AC$2:$AS$1001,MATCH(ROWS($V$2:V125),$V$2:$V$1001,0),MATCH(COLUMNS($AC$1006:AH1006),$AC$1006:$AS$1006,0)), HYPERLINK("#",""), HYPERLINK(CONCATENATE("#metadata!", ADDRESS(INDEX($X$2:$X$1001,MATCH(ROWS($V$2:V125),$V$2:$V$1001,0),0), INDEX($AC$1004:$AS$1004,1,MATCH(COLUMNS($AC$1006:AH1006),$AC$1006:$AS$1006,0)))),"Fix")))</f>
        <v xml:space="preserve"> </v>
      </c>
      <c r="H125" s="4" t="str">
        <f ca="1">IF(OR(INDEX($W$2:$W$1001,MATCH(ROWS($V$2:V125),$V$2:$V$1001,0),1)&gt;=100000,INDEX($AC$1005:$AS$1005,1,MATCH(COLUMNS($AC$1006:AI1006),$AC$1006:$AS$1006,0))&gt;=100000), " ",IF(INDEX($AC$2:$AS$1001,MATCH(ROWS($V$2:V125),$V$2:$V$1001,0),MATCH(COLUMNS($AC$1006:AI1006),$AC$1006:$AS$1006,0)), HYPERLINK("#",""), HYPERLINK(CONCATENATE("#metadata!", ADDRESS(INDEX($X$2:$X$1001,MATCH(ROWS($V$2:V125),$V$2:$V$1001,0),0), INDEX($AC$1004:$AS$1004,1,MATCH(COLUMNS($AC$1006:AI1006),$AC$1006:$AS$1006,0)))),"Fix")))</f>
        <v xml:space="preserve"> </v>
      </c>
      <c r="I125" s="4" t="str">
        <f ca="1">IF(OR(INDEX($W$2:$W$1001,MATCH(ROWS($V$2:V125),$V$2:$V$1001,0),1)&gt;=100000,INDEX($AC$1005:$AS$1005,1,MATCH(COLUMNS($AC$1006:AJ1006),$AC$1006:$AS$1006,0))&gt;=100000), " ",IF(INDEX($AC$2:$AS$1001,MATCH(ROWS($V$2:V125),$V$2:$V$1001,0),MATCH(COLUMNS($AC$1006:AJ1006),$AC$1006:$AS$1006,0)), HYPERLINK("#",""), HYPERLINK(CONCATENATE("#metadata!", ADDRESS(INDEX($X$2:$X$1001,MATCH(ROWS($V$2:V125),$V$2:$V$1001,0),0), INDEX($AC$1004:$AS$1004,1,MATCH(COLUMNS($AC$1006:AJ1006),$AC$1006:$AS$1006,0)))),"Fix")))</f>
        <v xml:space="preserve"> </v>
      </c>
      <c r="J125" s="4" t="str">
        <f ca="1">IF(OR(INDEX($W$2:$W$1001,MATCH(ROWS($V$2:V125),$V$2:$V$1001,0),1)&gt;=100000,INDEX($AC$1005:$AS$1005,1,MATCH(COLUMNS($AC$1006:AK1006),$AC$1006:$AS$1006,0))&gt;=100000), " ",IF(INDEX($AC$2:$AS$1001,MATCH(ROWS($V$2:V125),$V$2:$V$1001,0),MATCH(COLUMNS($AC$1006:AK1006),$AC$1006:$AS$1006,0)), HYPERLINK("#",""), HYPERLINK(CONCATENATE("#metadata!", ADDRESS(INDEX($X$2:$X$1001,MATCH(ROWS($V$2:V125),$V$2:$V$1001,0),0), INDEX($AC$1004:$AS$1004,1,MATCH(COLUMNS($AC$1006:AK1006),$AC$1006:$AS$1006,0)))),"Fix")))</f>
        <v xml:space="preserve"> </v>
      </c>
      <c r="K125" s="4" t="str">
        <f ca="1">IF(OR(INDEX($W$2:$W$1001,MATCH(ROWS($V$2:V125),$V$2:$V$1001,0),1)&gt;=100000,INDEX($AC$1005:$AS$1005,1,MATCH(COLUMNS($AC$1006:AL1006),$AC$1006:$AS$1006,0))&gt;=100000), " ",IF(INDEX($AC$2:$AS$1001,MATCH(ROWS($V$2:V125),$V$2:$V$1001,0),MATCH(COLUMNS($AC$1006:AL1006),$AC$1006:$AS$1006,0)), HYPERLINK("#",""), HYPERLINK(CONCATENATE("#metadata!", ADDRESS(INDEX($X$2:$X$1001,MATCH(ROWS($V$2:V125),$V$2:$V$1001,0),0), INDEX($AC$1004:$AS$1004,1,MATCH(COLUMNS($AC$1006:AL1006),$AC$1006:$AS$1006,0)))),"Fix")))</f>
        <v xml:space="preserve"> </v>
      </c>
      <c r="L125" s="4" t="str">
        <f ca="1">IF(OR(INDEX($W$2:$W$1001,MATCH(ROWS($V$2:V125),$V$2:$V$1001,0),1)&gt;=100000,INDEX($AC$1005:$AS$1005,1,MATCH(COLUMNS($AC$1006:AM1006),$AC$1006:$AS$1006,0))&gt;=100000), " ",IF(INDEX($AC$2:$AS$1001,MATCH(ROWS($V$2:V125),$V$2:$V$1001,0),MATCH(COLUMNS($AC$1006:AM1006),$AC$1006:$AS$1006,0)), HYPERLINK("#",""), HYPERLINK(CONCATENATE("#metadata!", ADDRESS(INDEX($X$2:$X$1001,MATCH(ROWS($V$2:V125),$V$2:$V$1001,0),0), INDEX($AC$1004:$AS$1004,1,MATCH(COLUMNS($AC$1006:AM1006),$AC$1006:$AS$1006,0)))),"Fix")))</f>
        <v xml:space="preserve"> </v>
      </c>
      <c r="M125" s="4" t="str">
        <f ca="1">IF(OR(INDEX($W$2:$W$1001,MATCH(ROWS($V$2:V125),$V$2:$V$1001,0),1)&gt;=100000,INDEX($AC$1005:$AS$1005,1,MATCH(COLUMNS($AC$1006:AN1006),$AC$1006:$AS$1006,0))&gt;=100000), " ",IF(INDEX($AC$2:$AS$1001,MATCH(ROWS($V$2:V125),$V$2:$V$1001,0),MATCH(COLUMNS($AC$1006:AN1006),$AC$1006:$AS$1006,0)), HYPERLINK("#",""), HYPERLINK(CONCATENATE("#metadata!", ADDRESS(INDEX($X$2:$X$1001,MATCH(ROWS($V$2:V125),$V$2:$V$1001,0),0), INDEX($AC$1004:$AS$1004,1,MATCH(COLUMNS($AC$1006:AN1006),$AC$1006:$AS$1006,0)))),"Fix")))</f>
        <v xml:space="preserve"> </v>
      </c>
      <c r="N125" s="4" t="str">
        <f ca="1">IF(OR(INDEX($W$2:$W$1001,MATCH(ROWS($V$2:V125),$V$2:$V$1001,0),1)&gt;=100000,INDEX($AC$1005:$AS$1005,1,MATCH(COLUMNS($AC$1006:AO1006),$AC$1006:$AS$1006,0))&gt;=100000), " ",IF(INDEX($AC$2:$AS$1001,MATCH(ROWS($V$2:V125),$V$2:$V$1001,0),MATCH(COLUMNS($AC$1006:AO1006),$AC$1006:$AS$1006,0)), HYPERLINK("#",""), HYPERLINK(CONCATENATE("#metadata!", ADDRESS(INDEX($X$2:$X$1001,MATCH(ROWS($V$2:V125),$V$2:$V$1001,0),0), INDEX($AC$1004:$AS$1004,1,MATCH(COLUMNS($AC$1006:AO1006),$AC$1006:$AS$1006,0)))),"Fix")))</f>
        <v xml:space="preserve"> </v>
      </c>
      <c r="O125" s="4" t="str">
        <f ca="1">IF(OR(INDEX($W$2:$W$1001,MATCH(ROWS($V$2:V125),$V$2:$V$1001,0),1)&gt;=100000,INDEX($AC$1005:$AS$1005,1,MATCH(COLUMNS($AC$1006:AP1006),$AC$1006:$AS$1006,0))&gt;=100000), " ",IF(INDEX($AC$2:$AS$1001,MATCH(ROWS($V$2:V125),$V$2:$V$1001,0),MATCH(COLUMNS($AC$1006:AP1006),$AC$1006:$AS$1006,0)), HYPERLINK("#",""), HYPERLINK(CONCATENATE("#metadata!", ADDRESS(INDEX($X$2:$X$1001,MATCH(ROWS($V$2:V125),$V$2:$V$1001,0),0), INDEX($AC$1004:$AS$1004,1,MATCH(COLUMNS($AC$1006:AP1006),$AC$1006:$AS$1006,0)))),"Fix")))</f>
        <v xml:space="preserve"> </v>
      </c>
      <c r="P125" s="4" t="str">
        <f ca="1">IF(OR(INDEX($W$2:$W$1001,MATCH(ROWS($V$2:V125),$V$2:$V$1001,0),1)&gt;=100000,INDEX($AC$1005:$AS$1005,1,MATCH(COLUMNS($AC$1006:AQ1006),$AC$1006:$AS$1006,0))&gt;=100000), " ",IF(INDEX($AC$2:$AS$1001,MATCH(ROWS($V$2:V125),$V$2:$V$1001,0),MATCH(COLUMNS($AC$1006:AQ1006),$AC$1006:$AS$1006,0)), HYPERLINK("#",""), HYPERLINK(CONCATENATE("#metadata!", ADDRESS(INDEX($X$2:$X$1001,MATCH(ROWS($V$2:V125),$V$2:$V$1001,0),0), INDEX($AC$1004:$AS$1004,1,MATCH(COLUMNS($AC$1006:AQ1006),$AC$1006:$AS$1006,0)))),"Fix")))</f>
        <v xml:space="preserve"> </v>
      </c>
      <c r="Q125" s="4" t="str">
        <f ca="1">IF(OR(INDEX($W$2:$W$1001,MATCH(ROWS($V$2:V125),$V$2:$V$1001,0),1)&gt;=100000,INDEX($AC$1005:$AS$1005,1,MATCH(COLUMNS($AC$1006:AR1006),$AC$1006:$AS$1006,0))&gt;=100000), " ",IF(INDEX($AC$2:$AS$1001,MATCH(ROWS($V$2:V125),$V$2:$V$1001,0),MATCH(COLUMNS($AC$1006:AR1006),$AC$1006:$AS$1006,0)), HYPERLINK("#",""), HYPERLINK(CONCATENATE("#metadata!", ADDRESS(INDEX($X$2:$X$1001,MATCH(ROWS($V$2:V125),$V$2:$V$1001,0),0), INDEX($AC$1004:$AS$1004,1,MATCH(COLUMNS($AC$1006:AR1006),$AC$1006:$AS$1006,0)))),"Fix")))</f>
        <v xml:space="preserve"> </v>
      </c>
      <c r="R125" s="4" t="str">
        <f ca="1">IF(OR(INDEX($W$2:$W$1001,MATCH(ROWS($V$2:V125),$V$2:$V$1001,0),1)&gt;=100000,INDEX($AC$1005:$AS$1005,1,MATCH(COLUMNS($AC$1006:AS1006),$AC$1006:$AS$1006,0))&gt;=100000), " ",IF(INDEX($AC$2:$AS$1001,MATCH(ROWS($V$2:V125),$V$2:$V$1001,0),MATCH(COLUMNS($AC$1006:AS1006),$AC$1006:$AS$1006,0)), HYPERLINK("#",""), HYPERLINK(CONCATENATE("#metadata!", ADDRESS(INDEX($X$2:$X$1001,MATCH(ROWS($V$2:V125),$V$2:$V$1001,0),0), INDEX($AC$1004:$AS$1004,1,MATCH(COLUMNS($AC$1006:AS1006),$AC$1006:$AS$1006,0)))),"Fix")))</f>
        <v xml:space="preserve"> </v>
      </c>
      <c r="V125">
        <v>124</v>
      </c>
      <c r="W125">
        <v>100125</v>
      </c>
      <c r="X125">
        <v>125</v>
      </c>
      <c r="Y125" t="b">
        <f t="shared" si="1"/>
        <v>1</v>
      </c>
      <c r="Z125" t="b">
        <f>COUNTBLANK(metadata!B125:R125)=COLUMNS(metadata!B125:R125)</f>
        <v>1</v>
      </c>
      <c r="AA125" t="str">
        <v/>
      </c>
      <c r="AC125" t="b">
        <f ca="1"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AD125" t="b">
        <f>IF(metadata!C125="",FALSE,ISNUMBER(VALUE(metadata!C125)))</f>
        <v>0</v>
      </c>
      <c r="AE125" t="b">
        <f>AND(IF(metadata!D125="",FALSE,TRUE),EXACT(metadata!D125,"years"))</f>
        <v>0</v>
      </c>
      <c r="AF125" t="b">
        <f>OR(AND(IF(metadata!E125="",FALSE,TRUE),OR(EXACT(metadata!E125,"not applicable"),EXACT(metadata!E125,"missing: not collected"),EXACT(metadata!E125,"missing: not provided"),EXACT(metadata!E125,"missing: restricted access"))),AND(IF(metadata!E125="",FALSE,ISNUMBER(VALUE(metadata!E125))),metadata!E125&gt;0))</f>
        <v>0</v>
      </c>
      <c r="AG125" t="b">
        <f>AND(IF(metadata!F125="",FALSE,TRUE),EXACT(metadata!F125,"Not applicable"))</f>
        <v>0</v>
      </c>
      <c r="AH125" t="b">
        <f>AND(IF(metadata!G125="",FALSE,TRUE),EXACT(metadata!G125,"urban biome"))</f>
        <v>0</v>
      </c>
      <c r="AI125" t="b">
        <f>AND(IF(metadata!H125="",FALSE,TRUE),EXACT(metadata!H125,"human-associated habitat"))</f>
        <v>0</v>
      </c>
      <c r="AJ125" t="b">
        <f>AND(IF(metadata!I125="",FALSE,TRUE),OR(EXACT(metadata!I125,"human-associated"),EXACT(metadata!I125,"human-skin"),EXACT(metadata!I125,"human-oral"),EXACT(metadata!I125,"human-gut"),EXACT(metadata!I125,"human-vaginal")))</f>
        <v>0</v>
      </c>
      <c r="AK125" t="b">
        <f>IF(metadata!J125="",FALSE,ISNUMBER(VALUE(metadata!J125)))</f>
        <v>0</v>
      </c>
      <c r="AL125" t="b">
        <f>AND(IF(metadata!K125="",FALSE,TRUE),EXACT(metadata!K125,"cm"))</f>
        <v>0</v>
      </c>
      <c r="AM125" t="b">
        <f>AND(IF(metadata!L125="",FALSE,TRUE),EXACT(metadata!L125,"human"))</f>
        <v>0</v>
      </c>
      <c r="AN125" t="b">
        <f>AND(IF(metadata!M125="",FALSE,TRUE),EXACT(metadata!M125,"Homo sapiens"))</f>
        <v>0</v>
      </c>
      <c r="AO125" t="b">
        <f>AND(IF(metadata!N125="",FALSE,TRUE),EXACT(metadata!N125,"9606"))</f>
        <v>0</v>
      </c>
      <c r="AP125" t="b">
        <f>IF(metadata!O125="",FALSE,TRUE)</f>
        <v>0</v>
      </c>
      <c r="AQ125" t="b">
        <f>IF(metadata!P125="",FALSE,TRUE)</f>
        <v>0</v>
      </c>
      <c r="AR125" t="b">
        <f>IF(metadata!Q125="",FALSE,ISNUMBER(VALUE(metadata!Q125)))</f>
        <v>0</v>
      </c>
      <c r="AS125" t="b">
        <f>AND(IF(metadata!R125="",FALSE,TRUE),EXACT(metadata!R125,"kg"))</f>
        <v>0</v>
      </c>
    </row>
    <row r="126" spans="1:45" x14ac:dyDescent="0.2">
      <c r="A126" s="5" t="str">
        <f ca="1">IF(B126=" "," ",HYPERLINK(CONCATENATE("#metadata!",ADDRESS(INDEX($X$2:$X$1001,MATCH(ROWS($V$2:V126),$V$2:$V$1001,0),0),1)),INDEX($AA$2:$AA$1001,MATCH(ROWS($V$2:V126),$V$2:$V$1001,0),0)))</f>
        <v xml:space="preserve"> </v>
      </c>
      <c r="B126" s="4" t="str">
        <f ca="1">IF(OR(INDEX($W$2:$W$1001,MATCH(ROWS($V$2:V126),$V$2:$V$1001,0),1)&gt;=100000,INDEX($AC$1005:$AS$1005,1,MATCH(COLUMNS($AC$1006:AC1006),$AC$1006:$AS$1006,0))&gt;=100000), " ",IF(INDEX($AC$2:$AS$1001,MATCH(ROWS($V$2:V126),$V$2:$V$1001,0),MATCH(COLUMNS($AC$1006:AC1006),$AC$1006:$AS$1006,0)), HYPERLINK("#",""), HYPERLINK(CONCATENATE("#metadata!", ADDRESS(INDEX($X$2:$X$1001,MATCH(ROWS($V$2:V126),$V$2:$V$1001,0),0), INDEX($AC$1004:$AS$1004,1,MATCH(COLUMNS($AC$1006:AC1006),$AC$1006:$AS$1006,0)))),"Fix")))</f>
        <v xml:space="preserve"> </v>
      </c>
      <c r="C126" s="4" t="str">
        <f ca="1">IF(OR(INDEX($W$2:$W$1001,MATCH(ROWS($V$2:V126),$V$2:$V$1001,0),1)&gt;=100000,INDEX($AC$1005:$AS$1005,1,MATCH(COLUMNS($AC$1006:AD1006),$AC$1006:$AS$1006,0))&gt;=100000), " ",IF(INDEX($AC$2:$AS$1001,MATCH(ROWS($V$2:V126),$V$2:$V$1001,0),MATCH(COLUMNS($AC$1006:AD1006),$AC$1006:$AS$1006,0)), HYPERLINK("#",""), HYPERLINK(CONCATENATE("#metadata!", ADDRESS(INDEX($X$2:$X$1001,MATCH(ROWS($V$2:V126),$V$2:$V$1001,0),0), INDEX($AC$1004:$AS$1004,1,MATCH(COLUMNS($AC$1006:AD1006),$AC$1006:$AS$1006,0)))),"Fix")))</f>
        <v xml:space="preserve"> </v>
      </c>
      <c r="D126" s="4" t="str">
        <f ca="1">IF(OR(INDEX($W$2:$W$1001,MATCH(ROWS($V$2:V126),$V$2:$V$1001,0),1)&gt;=100000,INDEX($AC$1005:$AS$1005,1,MATCH(COLUMNS($AC$1006:AE1006),$AC$1006:$AS$1006,0))&gt;=100000), " ",IF(INDEX($AC$2:$AS$1001,MATCH(ROWS($V$2:V126),$V$2:$V$1001,0),MATCH(COLUMNS($AC$1006:AE1006),$AC$1006:$AS$1006,0)), HYPERLINK("#",""), HYPERLINK(CONCATENATE("#metadata!", ADDRESS(INDEX($X$2:$X$1001,MATCH(ROWS($V$2:V126),$V$2:$V$1001,0),0), INDEX($AC$1004:$AS$1004,1,MATCH(COLUMNS($AC$1006:AE1006),$AC$1006:$AS$1006,0)))),"Fix")))</f>
        <v xml:space="preserve"> </v>
      </c>
      <c r="E126" s="4" t="str">
        <f ca="1">IF(OR(INDEX($W$2:$W$1001,MATCH(ROWS($V$2:V126),$V$2:$V$1001,0),1)&gt;=100000,INDEX($AC$1005:$AS$1005,1,MATCH(COLUMNS($AC$1006:AF1006),$AC$1006:$AS$1006,0))&gt;=100000), " ",IF(INDEX($AC$2:$AS$1001,MATCH(ROWS($V$2:V126),$V$2:$V$1001,0),MATCH(COLUMNS($AC$1006:AF1006),$AC$1006:$AS$1006,0)), HYPERLINK("#",""), HYPERLINK(CONCATENATE("#metadata!", ADDRESS(INDEX($X$2:$X$1001,MATCH(ROWS($V$2:V126),$V$2:$V$1001,0),0), INDEX($AC$1004:$AS$1004,1,MATCH(COLUMNS($AC$1006:AF1006),$AC$1006:$AS$1006,0)))),"Fix")))</f>
        <v xml:space="preserve"> </v>
      </c>
      <c r="F126" s="4" t="str">
        <f ca="1">IF(OR(INDEX($W$2:$W$1001,MATCH(ROWS($V$2:V126),$V$2:$V$1001,0),1)&gt;=100000,INDEX($AC$1005:$AS$1005,1,MATCH(COLUMNS($AC$1006:AG1006),$AC$1006:$AS$1006,0))&gt;=100000), " ",IF(INDEX($AC$2:$AS$1001,MATCH(ROWS($V$2:V126),$V$2:$V$1001,0),MATCH(COLUMNS($AC$1006:AG1006),$AC$1006:$AS$1006,0)), HYPERLINK("#",""), HYPERLINK(CONCATENATE("#metadata!", ADDRESS(INDEX($X$2:$X$1001,MATCH(ROWS($V$2:V126),$V$2:$V$1001,0),0), INDEX($AC$1004:$AS$1004,1,MATCH(COLUMNS($AC$1006:AG1006),$AC$1006:$AS$1006,0)))),"Fix")))</f>
        <v xml:space="preserve"> </v>
      </c>
      <c r="G126" s="4" t="str">
        <f ca="1">IF(OR(INDEX($W$2:$W$1001,MATCH(ROWS($V$2:V126),$V$2:$V$1001,0),1)&gt;=100000,INDEX($AC$1005:$AS$1005,1,MATCH(COLUMNS($AC$1006:AH1006),$AC$1006:$AS$1006,0))&gt;=100000), " ",IF(INDEX($AC$2:$AS$1001,MATCH(ROWS($V$2:V126),$V$2:$V$1001,0),MATCH(COLUMNS($AC$1006:AH1006),$AC$1006:$AS$1006,0)), HYPERLINK("#",""), HYPERLINK(CONCATENATE("#metadata!", ADDRESS(INDEX($X$2:$X$1001,MATCH(ROWS($V$2:V126),$V$2:$V$1001,0),0), INDEX($AC$1004:$AS$1004,1,MATCH(COLUMNS($AC$1006:AH1006),$AC$1006:$AS$1006,0)))),"Fix")))</f>
        <v xml:space="preserve"> </v>
      </c>
      <c r="H126" s="4" t="str">
        <f ca="1">IF(OR(INDEX($W$2:$W$1001,MATCH(ROWS($V$2:V126),$V$2:$V$1001,0),1)&gt;=100000,INDEX($AC$1005:$AS$1005,1,MATCH(COLUMNS($AC$1006:AI1006),$AC$1006:$AS$1006,0))&gt;=100000), " ",IF(INDEX($AC$2:$AS$1001,MATCH(ROWS($V$2:V126),$V$2:$V$1001,0),MATCH(COLUMNS($AC$1006:AI1006),$AC$1006:$AS$1006,0)), HYPERLINK("#",""), HYPERLINK(CONCATENATE("#metadata!", ADDRESS(INDEX($X$2:$X$1001,MATCH(ROWS($V$2:V126),$V$2:$V$1001,0),0), INDEX($AC$1004:$AS$1004,1,MATCH(COLUMNS($AC$1006:AI1006),$AC$1006:$AS$1006,0)))),"Fix")))</f>
        <v xml:space="preserve"> </v>
      </c>
      <c r="I126" s="4" t="str">
        <f ca="1">IF(OR(INDEX($W$2:$W$1001,MATCH(ROWS($V$2:V126),$V$2:$V$1001,0),1)&gt;=100000,INDEX($AC$1005:$AS$1005,1,MATCH(COLUMNS($AC$1006:AJ1006),$AC$1006:$AS$1006,0))&gt;=100000), " ",IF(INDEX($AC$2:$AS$1001,MATCH(ROWS($V$2:V126),$V$2:$V$1001,0),MATCH(COLUMNS($AC$1006:AJ1006),$AC$1006:$AS$1006,0)), HYPERLINK("#",""), HYPERLINK(CONCATENATE("#metadata!", ADDRESS(INDEX($X$2:$X$1001,MATCH(ROWS($V$2:V126),$V$2:$V$1001,0),0), INDEX($AC$1004:$AS$1004,1,MATCH(COLUMNS($AC$1006:AJ1006),$AC$1006:$AS$1006,0)))),"Fix")))</f>
        <v xml:space="preserve"> </v>
      </c>
      <c r="J126" s="4" t="str">
        <f ca="1">IF(OR(INDEX($W$2:$W$1001,MATCH(ROWS($V$2:V126),$V$2:$V$1001,0),1)&gt;=100000,INDEX($AC$1005:$AS$1005,1,MATCH(COLUMNS($AC$1006:AK1006),$AC$1006:$AS$1006,0))&gt;=100000), " ",IF(INDEX($AC$2:$AS$1001,MATCH(ROWS($V$2:V126),$V$2:$V$1001,0),MATCH(COLUMNS($AC$1006:AK1006),$AC$1006:$AS$1006,0)), HYPERLINK("#",""), HYPERLINK(CONCATENATE("#metadata!", ADDRESS(INDEX($X$2:$X$1001,MATCH(ROWS($V$2:V126),$V$2:$V$1001,0),0), INDEX($AC$1004:$AS$1004,1,MATCH(COLUMNS($AC$1006:AK1006),$AC$1006:$AS$1006,0)))),"Fix")))</f>
        <v xml:space="preserve"> </v>
      </c>
      <c r="K126" s="4" t="str">
        <f ca="1">IF(OR(INDEX($W$2:$W$1001,MATCH(ROWS($V$2:V126),$V$2:$V$1001,0),1)&gt;=100000,INDEX($AC$1005:$AS$1005,1,MATCH(COLUMNS($AC$1006:AL1006),$AC$1006:$AS$1006,0))&gt;=100000), " ",IF(INDEX($AC$2:$AS$1001,MATCH(ROWS($V$2:V126),$V$2:$V$1001,0),MATCH(COLUMNS($AC$1006:AL1006),$AC$1006:$AS$1006,0)), HYPERLINK("#",""), HYPERLINK(CONCATENATE("#metadata!", ADDRESS(INDEX($X$2:$X$1001,MATCH(ROWS($V$2:V126),$V$2:$V$1001,0),0), INDEX($AC$1004:$AS$1004,1,MATCH(COLUMNS($AC$1006:AL1006),$AC$1006:$AS$1006,0)))),"Fix")))</f>
        <v xml:space="preserve"> </v>
      </c>
      <c r="L126" s="4" t="str">
        <f ca="1">IF(OR(INDEX($W$2:$W$1001,MATCH(ROWS($V$2:V126),$V$2:$V$1001,0),1)&gt;=100000,INDEX($AC$1005:$AS$1005,1,MATCH(COLUMNS($AC$1006:AM1006),$AC$1006:$AS$1006,0))&gt;=100000), " ",IF(INDEX($AC$2:$AS$1001,MATCH(ROWS($V$2:V126),$V$2:$V$1001,0),MATCH(COLUMNS($AC$1006:AM1006),$AC$1006:$AS$1006,0)), HYPERLINK("#",""), HYPERLINK(CONCATENATE("#metadata!", ADDRESS(INDEX($X$2:$X$1001,MATCH(ROWS($V$2:V126),$V$2:$V$1001,0),0), INDEX($AC$1004:$AS$1004,1,MATCH(COLUMNS($AC$1006:AM1006),$AC$1006:$AS$1006,0)))),"Fix")))</f>
        <v xml:space="preserve"> </v>
      </c>
      <c r="M126" s="4" t="str">
        <f ca="1">IF(OR(INDEX($W$2:$W$1001,MATCH(ROWS($V$2:V126),$V$2:$V$1001,0),1)&gt;=100000,INDEX($AC$1005:$AS$1005,1,MATCH(COLUMNS($AC$1006:AN1006),$AC$1006:$AS$1006,0))&gt;=100000), " ",IF(INDEX($AC$2:$AS$1001,MATCH(ROWS($V$2:V126),$V$2:$V$1001,0),MATCH(COLUMNS($AC$1006:AN1006),$AC$1006:$AS$1006,0)), HYPERLINK("#",""), HYPERLINK(CONCATENATE("#metadata!", ADDRESS(INDEX($X$2:$X$1001,MATCH(ROWS($V$2:V126),$V$2:$V$1001,0),0), INDEX($AC$1004:$AS$1004,1,MATCH(COLUMNS($AC$1006:AN1006),$AC$1006:$AS$1006,0)))),"Fix")))</f>
        <v xml:space="preserve"> </v>
      </c>
      <c r="N126" s="4" t="str">
        <f ca="1">IF(OR(INDEX($W$2:$W$1001,MATCH(ROWS($V$2:V126),$V$2:$V$1001,0),1)&gt;=100000,INDEX($AC$1005:$AS$1005,1,MATCH(COLUMNS($AC$1006:AO1006),$AC$1006:$AS$1006,0))&gt;=100000), " ",IF(INDEX($AC$2:$AS$1001,MATCH(ROWS($V$2:V126),$V$2:$V$1001,0),MATCH(COLUMNS($AC$1006:AO1006),$AC$1006:$AS$1006,0)), HYPERLINK("#",""), HYPERLINK(CONCATENATE("#metadata!", ADDRESS(INDEX($X$2:$X$1001,MATCH(ROWS($V$2:V126),$V$2:$V$1001,0),0), INDEX($AC$1004:$AS$1004,1,MATCH(COLUMNS($AC$1006:AO1006),$AC$1006:$AS$1006,0)))),"Fix")))</f>
        <v xml:space="preserve"> </v>
      </c>
      <c r="O126" s="4" t="str">
        <f ca="1">IF(OR(INDEX($W$2:$W$1001,MATCH(ROWS($V$2:V126),$V$2:$V$1001,0),1)&gt;=100000,INDEX($AC$1005:$AS$1005,1,MATCH(COLUMNS($AC$1006:AP1006),$AC$1006:$AS$1006,0))&gt;=100000), " ",IF(INDEX($AC$2:$AS$1001,MATCH(ROWS($V$2:V126),$V$2:$V$1001,0),MATCH(COLUMNS($AC$1006:AP1006),$AC$1006:$AS$1006,0)), HYPERLINK("#",""), HYPERLINK(CONCATENATE("#metadata!", ADDRESS(INDEX($X$2:$X$1001,MATCH(ROWS($V$2:V126),$V$2:$V$1001,0),0), INDEX($AC$1004:$AS$1004,1,MATCH(COLUMNS($AC$1006:AP1006),$AC$1006:$AS$1006,0)))),"Fix")))</f>
        <v xml:space="preserve"> </v>
      </c>
      <c r="P126" s="4" t="str">
        <f ca="1">IF(OR(INDEX($W$2:$W$1001,MATCH(ROWS($V$2:V126),$V$2:$V$1001,0),1)&gt;=100000,INDEX($AC$1005:$AS$1005,1,MATCH(COLUMNS($AC$1006:AQ1006),$AC$1006:$AS$1006,0))&gt;=100000), " ",IF(INDEX($AC$2:$AS$1001,MATCH(ROWS($V$2:V126),$V$2:$V$1001,0),MATCH(COLUMNS($AC$1006:AQ1006),$AC$1006:$AS$1006,0)), HYPERLINK("#",""), HYPERLINK(CONCATENATE("#metadata!", ADDRESS(INDEX($X$2:$X$1001,MATCH(ROWS($V$2:V126),$V$2:$V$1001,0),0), INDEX($AC$1004:$AS$1004,1,MATCH(COLUMNS($AC$1006:AQ1006),$AC$1006:$AS$1006,0)))),"Fix")))</f>
        <v xml:space="preserve"> </v>
      </c>
      <c r="Q126" s="4" t="str">
        <f ca="1">IF(OR(INDEX($W$2:$W$1001,MATCH(ROWS($V$2:V126),$V$2:$V$1001,0),1)&gt;=100000,INDEX($AC$1005:$AS$1005,1,MATCH(COLUMNS($AC$1006:AR1006),$AC$1006:$AS$1006,0))&gt;=100000), " ",IF(INDEX($AC$2:$AS$1001,MATCH(ROWS($V$2:V126),$V$2:$V$1001,0),MATCH(COLUMNS($AC$1006:AR1006),$AC$1006:$AS$1006,0)), HYPERLINK("#",""), HYPERLINK(CONCATENATE("#metadata!", ADDRESS(INDEX($X$2:$X$1001,MATCH(ROWS($V$2:V126),$V$2:$V$1001,0),0), INDEX($AC$1004:$AS$1004,1,MATCH(COLUMNS($AC$1006:AR1006),$AC$1006:$AS$1006,0)))),"Fix")))</f>
        <v xml:space="preserve"> </v>
      </c>
      <c r="R126" s="4" t="str">
        <f ca="1">IF(OR(INDEX($W$2:$W$1001,MATCH(ROWS($V$2:V126),$V$2:$V$1001,0),1)&gt;=100000,INDEX($AC$1005:$AS$1005,1,MATCH(COLUMNS($AC$1006:AS1006),$AC$1006:$AS$1006,0))&gt;=100000), " ",IF(INDEX($AC$2:$AS$1001,MATCH(ROWS($V$2:V126),$V$2:$V$1001,0),MATCH(COLUMNS($AC$1006:AS1006),$AC$1006:$AS$1006,0)), HYPERLINK("#",""), HYPERLINK(CONCATENATE("#metadata!", ADDRESS(INDEX($X$2:$X$1001,MATCH(ROWS($V$2:V126),$V$2:$V$1001,0),0), INDEX($AC$1004:$AS$1004,1,MATCH(COLUMNS($AC$1006:AS1006),$AC$1006:$AS$1006,0)))),"Fix")))</f>
        <v xml:space="preserve"> </v>
      </c>
      <c r="V126">
        <v>125</v>
      </c>
      <c r="W126">
        <v>100126</v>
      </c>
      <c r="X126">
        <v>126</v>
      </c>
      <c r="Y126" t="b">
        <f t="shared" si="1"/>
        <v>1</v>
      </c>
      <c r="Z126" t="b">
        <f>COUNTBLANK(metadata!B126:R126)=COLUMNS(metadata!B126:R126)</f>
        <v>1</v>
      </c>
      <c r="AA126" t="str">
        <v/>
      </c>
      <c r="AC126" t="b">
        <f ca="1"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AD126" t="b">
        <f>IF(metadata!C126="",FALSE,ISNUMBER(VALUE(metadata!C126)))</f>
        <v>0</v>
      </c>
      <c r="AE126" t="b">
        <f>AND(IF(metadata!D126="",FALSE,TRUE),EXACT(metadata!D126,"years"))</f>
        <v>0</v>
      </c>
      <c r="AF126" t="b">
        <f>OR(AND(IF(metadata!E126="",FALSE,TRUE),OR(EXACT(metadata!E126,"not applicable"),EXACT(metadata!E126,"missing: not collected"),EXACT(metadata!E126,"missing: not provided"),EXACT(metadata!E126,"missing: restricted access"))),AND(IF(metadata!E126="",FALSE,ISNUMBER(VALUE(metadata!E126))),metadata!E126&gt;0))</f>
        <v>0</v>
      </c>
      <c r="AG126" t="b">
        <f>AND(IF(metadata!F126="",FALSE,TRUE),EXACT(metadata!F126,"Not applicable"))</f>
        <v>0</v>
      </c>
      <c r="AH126" t="b">
        <f>AND(IF(metadata!G126="",FALSE,TRUE),EXACT(metadata!G126,"urban biome"))</f>
        <v>0</v>
      </c>
      <c r="AI126" t="b">
        <f>AND(IF(metadata!H126="",FALSE,TRUE),EXACT(metadata!H126,"human-associated habitat"))</f>
        <v>0</v>
      </c>
      <c r="AJ126" t="b">
        <f>AND(IF(metadata!I126="",FALSE,TRUE),OR(EXACT(metadata!I126,"human-associated"),EXACT(metadata!I126,"human-skin"),EXACT(metadata!I126,"human-oral"),EXACT(metadata!I126,"human-gut"),EXACT(metadata!I126,"human-vaginal")))</f>
        <v>0</v>
      </c>
      <c r="AK126" t="b">
        <f>IF(metadata!J126="",FALSE,ISNUMBER(VALUE(metadata!J126)))</f>
        <v>0</v>
      </c>
      <c r="AL126" t="b">
        <f>AND(IF(metadata!K126="",FALSE,TRUE),EXACT(metadata!K126,"cm"))</f>
        <v>0</v>
      </c>
      <c r="AM126" t="b">
        <f>AND(IF(metadata!L126="",FALSE,TRUE),EXACT(metadata!L126,"human"))</f>
        <v>0</v>
      </c>
      <c r="AN126" t="b">
        <f>AND(IF(metadata!M126="",FALSE,TRUE),EXACT(metadata!M126,"Homo sapiens"))</f>
        <v>0</v>
      </c>
      <c r="AO126" t="b">
        <f>AND(IF(metadata!N126="",FALSE,TRUE),EXACT(metadata!N126,"9606"))</f>
        <v>0</v>
      </c>
      <c r="AP126" t="b">
        <f>IF(metadata!O126="",FALSE,TRUE)</f>
        <v>0</v>
      </c>
      <c r="AQ126" t="b">
        <f>IF(metadata!P126="",FALSE,TRUE)</f>
        <v>0</v>
      </c>
      <c r="AR126" t="b">
        <f>IF(metadata!Q126="",FALSE,ISNUMBER(VALUE(metadata!Q126)))</f>
        <v>0</v>
      </c>
      <c r="AS126" t="b">
        <f>AND(IF(metadata!R126="",FALSE,TRUE),EXACT(metadata!R126,"kg"))</f>
        <v>0</v>
      </c>
    </row>
    <row r="127" spans="1:45" x14ac:dyDescent="0.2">
      <c r="A127" s="5" t="str">
        <f ca="1">IF(B127=" "," ",HYPERLINK(CONCATENATE("#metadata!",ADDRESS(INDEX($X$2:$X$1001,MATCH(ROWS($V$2:V127),$V$2:$V$1001,0),0),1)),INDEX($AA$2:$AA$1001,MATCH(ROWS($V$2:V127),$V$2:$V$1001,0),0)))</f>
        <v xml:space="preserve"> </v>
      </c>
      <c r="B127" s="4" t="str">
        <f ca="1">IF(OR(INDEX($W$2:$W$1001,MATCH(ROWS($V$2:V127),$V$2:$V$1001,0),1)&gt;=100000,INDEX($AC$1005:$AS$1005,1,MATCH(COLUMNS($AC$1006:AC1006),$AC$1006:$AS$1006,0))&gt;=100000), " ",IF(INDEX($AC$2:$AS$1001,MATCH(ROWS($V$2:V127),$V$2:$V$1001,0),MATCH(COLUMNS($AC$1006:AC1006),$AC$1006:$AS$1006,0)), HYPERLINK("#",""), HYPERLINK(CONCATENATE("#metadata!", ADDRESS(INDEX($X$2:$X$1001,MATCH(ROWS($V$2:V127),$V$2:$V$1001,0),0), INDEX($AC$1004:$AS$1004,1,MATCH(COLUMNS($AC$1006:AC1006),$AC$1006:$AS$1006,0)))),"Fix")))</f>
        <v xml:space="preserve"> </v>
      </c>
      <c r="C127" s="4" t="str">
        <f ca="1">IF(OR(INDEX($W$2:$W$1001,MATCH(ROWS($V$2:V127),$V$2:$V$1001,0),1)&gt;=100000,INDEX($AC$1005:$AS$1005,1,MATCH(COLUMNS($AC$1006:AD1006),$AC$1006:$AS$1006,0))&gt;=100000), " ",IF(INDEX($AC$2:$AS$1001,MATCH(ROWS($V$2:V127),$V$2:$V$1001,0),MATCH(COLUMNS($AC$1006:AD1006),$AC$1006:$AS$1006,0)), HYPERLINK("#",""), HYPERLINK(CONCATENATE("#metadata!", ADDRESS(INDEX($X$2:$X$1001,MATCH(ROWS($V$2:V127),$V$2:$V$1001,0),0), INDEX($AC$1004:$AS$1004,1,MATCH(COLUMNS($AC$1006:AD1006),$AC$1006:$AS$1006,0)))),"Fix")))</f>
        <v xml:space="preserve"> </v>
      </c>
      <c r="D127" s="4" t="str">
        <f ca="1">IF(OR(INDEX($W$2:$W$1001,MATCH(ROWS($V$2:V127),$V$2:$V$1001,0),1)&gt;=100000,INDEX($AC$1005:$AS$1005,1,MATCH(COLUMNS($AC$1006:AE1006),$AC$1006:$AS$1006,0))&gt;=100000), " ",IF(INDEX($AC$2:$AS$1001,MATCH(ROWS($V$2:V127),$V$2:$V$1001,0),MATCH(COLUMNS($AC$1006:AE1006),$AC$1006:$AS$1006,0)), HYPERLINK("#",""), HYPERLINK(CONCATENATE("#metadata!", ADDRESS(INDEX($X$2:$X$1001,MATCH(ROWS($V$2:V127),$V$2:$V$1001,0),0), INDEX($AC$1004:$AS$1004,1,MATCH(COLUMNS($AC$1006:AE1006),$AC$1006:$AS$1006,0)))),"Fix")))</f>
        <v xml:space="preserve"> </v>
      </c>
      <c r="E127" s="4" t="str">
        <f ca="1">IF(OR(INDEX($W$2:$W$1001,MATCH(ROWS($V$2:V127),$V$2:$V$1001,0),1)&gt;=100000,INDEX($AC$1005:$AS$1005,1,MATCH(COLUMNS($AC$1006:AF1006),$AC$1006:$AS$1006,0))&gt;=100000), " ",IF(INDEX($AC$2:$AS$1001,MATCH(ROWS($V$2:V127),$V$2:$V$1001,0),MATCH(COLUMNS($AC$1006:AF1006),$AC$1006:$AS$1006,0)), HYPERLINK("#",""), HYPERLINK(CONCATENATE("#metadata!", ADDRESS(INDEX($X$2:$X$1001,MATCH(ROWS($V$2:V127),$V$2:$V$1001,0),0), INDEX($AC$1004:$AS$1004,1,MATCH(COLUMNS($AC$1006:AF1006),$AC$1006:$AS$1006,0)))),"Fix")))</f>
        <v xml:space="preserve"> </v>
      </c>
      <c r="F127" s="4" t="str">
        <f ca="1">IF(OR(INDEX($W$2:$W$1001,MATCH(ROWS($V$2:V127),$V$2:$V$1001,0),1)&gt;=100000,INDEX($AC$1005:$AS$1005,1,MATCH(COLUMNS($AC$1006:AG1006),$AC$1006:$AS$1006,0))&gt;=100000), " ",IF(INDEX($AC$2:$AS$1001,MATCH(ROWS($V$2:V127),$V$2:$V$1001,0),MATCH(COLUMNS($AC$1006:AG1006),$AC$1006:$AS$1006,0)), HYPERLINK("#",""), HYPERLINK(CONCATENATE("#metadata!", ADDRESS(INDEX($X$2:$X$1001,MATCH(ROWS($V$2:V127),$V$2:$V$1001,0),0), INDEX($AC$1004:$AS$1004,1,MATCH(COLUMNS($AC$1006:AG1006),$AC$1006:$AS$1006,0)))),"Fix")))</f>
        <v xml:space="preserve"> </v>
      </c>
      <c r="G127" s="4" t="str">
        <f ca="1">IF(OR(INDEX($W$2:$W$1001,MATCH(ROWS($V$2:V127),$V$2:$V$1001,0),1)&gt;=100000,INDEX($AC$1005:$AS$1005,1,MATCH(COLUMNS($AC$1006:AH1006),$AC$1006:$AS$1006,0))&gt;=100000), " ",IF(INDEX($AC$2:$AS$1001,MATCH(ROWS($V$2:V127),$V$2:$V$1001,0),MATCH(COLUMNS($AC$1006:AH1006),$AC$1006:$AS$1006,0)), HYPERLINK("#",""), HYPERLINK(CONCATENATE("#metadata!", ADDRESS(INDEX($X$2:$X$1001,MATCH(ROWS($V$2:V127),$V$2:$V$1001,0),0), INDEX($AC$1004:$AS$1004,1,MATCH(COLUMNS($AC$1006:AH1006),$AC$1006:$AS$1006,0)))),"Fix")))</f>
        <v xml:space="preserve"> </v>
      </c>
      <c r="H127" s="4" t="str">
        <f ca="1">IF(OR(INDEX($W$2:$W$1001,MATCH(ROWS($V$2:V127),$V$2:$V$1001,0),1)&gt;=100000,INDEX($AC$1005:$AS$1005,1,MATCH(COLUMNS($AC$1006:AI1006),$AC$1006:$AS$1006,0))&gt;=100000), " ",IF(INDEX($AC$2:$AS$1001,MATCH(ROWS($V$2:V127),$V$2:$V$1001,0),MATCH(COLUMNS($AC$1006:AI1006),$AC$1006:$AS$1006,0)), HYPERLINK("#",""), HYPERLINK(CONCATENATE("#metadata!", ADDRESS(INDEX($X$2:$X$1001,MATCH(ROWS($V$2:V127),$V$2:$V$1001,0),0), INDEX($AC$1004:$AS$1004,1,MATCH(COLUMNS($AC$1006:AI1006),$AC$1006:$AS$1006,0)))),"Fix")))</f>
        <v xml:space="preserve"> </v>
      </c>
      <c r="I127" s="4" t="str">
        <f ca="1">IF(OR(INDEX($W$2:$W$1001,MATCH(ROWS($V$2:V127),$V$2:$V$1001,0),1)&gt;=100000,INDEX($AC$1005:$AS$1005,1,MATCH(COLUMNS($AC$1006:AJ1006),$AC$1006:$AS$1006,0))&gt;=100000), " ",IF(INDEX($AC$2:$AS$1001,MATCH(ROWS($V$2:V127),$V$2:$V$1001,0),MATCH(COLUMNS($AC$1006:AJ1006),$AC$1006:$AS$1006,0)), HYPERLINK("#",""), HYPERLINK(CONCATENATE("#metadata!", ADDRESS(INDEX($X$2:$X$1001,MATCH(ROWS($V$2:V127),$V$2:$V$1001,0),0), INDEX($AC$1004:$AS$1004,1,MATCH(COLUMNS($AC$1006:AJ1006),$AC$1006:$AS$1006,0)))),"Fix")))</f>
        <v xml:space="preserve"> </v>
      </c>
      <c r="J127" s="4" t="str">
        <f ca="1">IF(OR(INDEX($W$2:$W$1001,MATCH(ROWS($V$2:V127),$V$2:$V$1001,0),1)&gt;=100000,INDEX($AC$1005:$AS$1005,1,MATCH(COLUMNS($AC$1006:AK1006),$AC$1006:$AS$1006,0))&gt;=100000), " ",IF(INDEX($AC$2:$AS$1001,MATCH(ROWS($V$2:V127),$V$2:$V$1001,0),MATCH(COLUMNS($AC$1006:AK1006),$AC$1006:$AS$1006,0)), HYPERLINK("#",""), HYPERLINK(CONCATENATE("#metadata!", ADDRESS(INDEX($X$2:$X$1001,MATCH(ROWS($V$2:V127),$V$2:$V$1001,0),0), INDEX($AC$1004:$AS$1004,1,MATCH(COLUMNS($AC$1006:AK1006),$AC$1006:$AS$1006,0)))),"Fix")))</f>
        <v xml:space="preserve"> </v>
      </c>
      <c r="K127" s="4" t="str">
        <f ca="1">IF(OR(INDEX($W$2:$W$1001,MATCH(ROWS($V$2:V127),$V$2:$V$1001,0),1)&gt;=100000,INDEX($AC$1005:$AS$1005,1,MATCH(COLUMNS($AC$1006:AL1006),$AC$1006:$AS$1006,0))&gt;=100000), " ",IF(INDEX($AC$2:$AS$1001,MATCH(ROWS($V$2:V127),$V$2:$V$1001,0),MATCH(COLUMNS($AC$1006:AL1006),$AC$1006:$AS$1006,0)), HYPERLINK("#",""), HYPERLINK(CONCATENATE("#metadata!", ADDRESS(INDEX($X$2:$X$1001,MATCH(ROWS($V$2:V127),$V$2:$V$1001,0),0), INDEX($AC$1004:$AS$1004,1,MATCH(COLUMNS($AC$1006:AL1006),$AC$1006:$AS$1006,0)))),"Fix")))</f>
        <v xml:space="preserve"> </v>
      </c>
      <c r="L127" s="4" t="str">
        <f ca="1">IF(OR(INDEX($W$2:$W$1001,MATCH(ROWS($V$2:V127),$V$2:$V$1001,0),1)&gt;=100000,INDEX($AC$1005:$AS$1005,1,MATCH(COLUMNS($AC$1006:AM1006),$AC$1006:$AS$1006,0))&gt;=100000), " ",IF(INDEX($AC$2:$AS$1001,MATCH(ROWS($V$2:V127),$V$2:$V$1001,0),MATCH(COLUMNS($AC$1006:AM1006),$AC$1006:$AS$1006,0)), HYPERLINK("#",""), HYPERLINK(CONCATENATE("#metadata!", ADDRESS(INDEX($X$2:$X$1001,MATCH(ROWS($V$2:V127),$V$2:$V$1001,0),0), INDEX($AC$1004:$AS$1004,1,MATCH(COLUMNS($AC$1006:AM1006),$AC$1006:$AS$1006,0)))),"Fix")))</f>
        <v xml:space="preserve"> </v>
      </c>
      <c r="M127" s="4" t="str">
        <f ca="1">IF(OR(INDEX($W$2:$W$1001,MATCH(ROWS($V$2:V127),$V$2:$V$1001,0),1)&gt;=100000,INDEX($AC$1005:$AS$1005,1,MATCH(COLUMNS($AC$1006:AN1006),$AC$1006:$AS$1006,0))&gt;=100000), " ",IF(INDEX($AC$2:$AS$1001,MATCH(ROWS($V$2:V127),$V$2:$V$1001,0),MATCH(COLUMNS($AC$1006:AN1006),$AC$1006:$AS$1006,0)), HYPERLINK("#",""), HYPERLINK(CONCATENATE("#metadata!", ADDRESS(INDEX($X$2:$X$1001,MATCH(ROWS($V$2:V127),$V$2:$V$1001,0),0), INDEX($AC$1004:$AS$1004,1,MATCH(COLUMNS($AC$1006:AN1006),$AC$1006:$AS$1006,0)))),"Fix")))</f>
        <v xml:space="preserve"> </v>
      </c>
      <c r="N127" s="4" t="str">
        <f ca="1">IF(OR(INDEX($W$2:$W$1001,MATCH(ROWS($V$2:V127),$V$2:$V$1001,0),1)&gt;=100000,INDEX($AC$1005:$AS$1005,1,MATCH(COLUMNS($AC$1006:AO1006),$AC$1006:$AS$1006,0))&gt;=100000), " ",IF(INDEX($AC$2:$AS$1001,MATCH(ROWS($V$2:V127),$V$2:$V$1001,0),MATCH(COLUMNS($AC$1006:AO1006),$AC$1006:$AS$1006,0)), HYPERLINK("#",""), HYPERLINK(CONCATENATE("#metadata!", ADDRESS(INDEX($X$2:$X$1001,MATCH(ROWS($V$2:V127),$V$2:$V$1001,0),0), INDEX($AC$1004:$AS$1004,1,MATCH(COLUMNS($AC$1006:AO1006),$AC$1006:$AS$1006,0)))),"Fix")))</f>
        <v xml:space="preserve"> </v>
      </c>
      <c r="O127" s="4" t="str">
        <f ca="1">IF(OR(INDEX($W$2:$W$1001,MATCH(ROWS($V$2:V127),$V$2:$V$1001,0),1)&gt;=100000,INDEX($AC$1005:$AS$1005,1,MATCH(COLUMNS($AC$1006:AP1006),$AC$1006:$AS$1006,0))&gt;=100000), " ",IF(INDEX($AC$2:$AS$1001,MATCH(ROWS($V$2:V127),$V$2:$V$1001,0),MATCH(COLUMNS($AC$1006:AP1006),$AC$1006:$AS$1006,0)), HYPERLINK("#",""), HYPERLINK(CONCATENATE("#metadata!", ADDRESS(INDEX($X$2:$X$1001,MATCH(ROWS($V$2:V127),$V$2:$V$1001,0),0), INDEX($AC$1004:$AS$1004,1,MATCH(COLUMNS($AC$1006:AP1006),$AC$1006:$AS$1006,0)))),"Fix")))</f>
        <v xml:space="preserve"> </v>
      </c>
      <c r="P127" s="4" t="str">
        <f ca="1">IF(OR(INDEX($W$2:$W$1001,MATCH(ROWS($V$2:V127),$V$2:$V$1001,0),1)&gt;=100000,INDEX($AC$1005:$AS$1005,1,MATCH(COLUMNS($AC$1006:AQ1006),$AC$1006:$AS$1006,0))&gt;=100000), " ",IF(INDEX($AC$2:$AS$1001,MATCH(ROWS($V$2:V127),$V$2:$V$1001,0),MATCH(COLUMNS($AC$1006:AQ1006),$AC$1006:$AS$1006,0)), HYPERLINK("#",""), HYPERLINK(CONCATENATE("#metadata!", ADDRESS(INDEX($X$2:$X$1001,MATCH(ROWS($V$2:V127),$V$2:$V$1001,0),0), INDEX($AC$1004:$AS$1004,1,MATCH(COLUMNS($AC$1006:AQ1006),$AC$1006:$AS$1006,0)))),"Fix")))</f>
        <v xml:space="preserve"> </v>
      </c>
      <c r="Q127" s="4" t="str">
        <f ca="1">IF(OR(INDEX($W$2:$W$1001,MATCH(ROWS($V$2:V127),$V$2:$V$1001,0),1)&gt;=100000,INDEX($AC$1005:$AS$1005,1,MATCH(COLUMNS($AC$1006:AR1006),$AC$1006:$AS$1006,0))&gt;=100000), " ",IF(INDEX($AC$2:$AS$1001,MATCH(ROWS($V$2:V127),$V$2:$V$1001,0),MATCH(COLUMNS($AC$1006:AR1006),$AC$1006:$AS$1006,0)), HYPERLINK("#",""), HYPERLINK(CONCATENATE("#metadata!", ADDRESS(INDEX($X$2:$X$1001,MATCH(ROWS($V$2:V127),$V$2:$V$1001,0),0), INDEX($AC$1004:$AS$1004,1,MATCH(COLUMNS($AC$1006:AR1006),$AC$1006:$AS$1006,0)))),"Fix")))</f>
        <v xml:space="preserve"> </v>
      </c>
      <c r="R127" s="4" t="str">
        <f ca="1">IF(OR(INDEX($W$2:$W$1001,MATCH(ROWS($V$2:V127),$V$2:$V$1001,0),1)&gt;=100000,INDEX($AC$1005:$AS$1005,1,MATCH(COLUMNS($AC$1006:AS1006),$AC$1006:$AS$1006,0))&gt;=100000), " ",IF(INDEX($AC$2:$AS$1001,MATCH(ROWS($V$2:V127),$V$2:$V$1001,0),MATCH(COLUMNS($AC$1006:AS1006),$AC$1006:$AS$1006,0)), HYPERLINK("#",""), HYPERLINK(CONCATENATE("#metadata!", ADDRESS(INDEX($X$2:$X$1001,MATCH(ROWS($V$2:V127),$V$2:$V$1001,0),0), INDEX($AC$1004:$AS$1004,1,MATCH(COLUMNS($AC$1006:AS1006),$AC$1006:$AS$1006,0)))),"Fix")))</f>
        <v xml:space="preserve"> </v>
      </c>
      <c r="V127">
        <v>126</v>
      </c>
      <c r="W127">
        <v>100127</v>
      </c>
      <c r="X127">
        <v>127</v>
      </c>
      <c r="Y127" t="b">
        <f t="shared" si="1"/>
        <v>1</v>
      </c>
      <c r="Z127" t="b">
        <f>COUNTBLANK(metadata!B127:R127)=COLUMNS(metadata!B127:R127)</f>
        <v>1</v>
      </c>
      <c r="AA127" t="str">
        <v/>
      </c>
      <c r="AC127" t="b">
        <f ca="1"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AD127" t="b">
        <f>IF(metadata!C127="",FALSE,ISNUMBER(VALUE(metadata!C127)))</f>
        <v>0</v>
      </c>
      <c r="AE127" t="b">
        <f>AND(IF(metadata!D127="",FALSE,TRUE),EXACT(metadata!D127,"years"))</f>
        <v>0</v>
      </c>
      <c r="AF127" t="b">
        <f>OR(AND(IF(metadata!E127="",FALSE,TRUE),OR(EXACT(metadata!E127,"not applicable"),EXACT(metadata!E127,"missing: not collected"),EXACT(metadata!E127,"missing: not provided"),EXACT(metadata!E127,"missing: restricted access"))),AND(IF(metadata!E127="",FALSE,ISNUMBER(VALUE(metadata!E127))),metadata!E127&gt;0))</f>
        <v>0</v>
      </c>
      <c r="AG127" t="b">
        <f>AND(IF(metadata!F127="",FALSE,TRUE),EXACT(metadata!F127,"Not applicable"))</f>
        <v>0</v>
      </c>
      <c r="AH127" t="b">
        <f>AND(IF(metadata!G127="",FALSE,TRUE),EXACT(metadata!G127,"urban biome"))</f>
        <v>0</v>
      </c>
      <c r="AI127" t="b">
        <f>AND(IF(metadata!H127="",FALSE,TRUE),EXACT(metadata!H127,"human-associated habitat"))</f>
        <v>0</v>
      </c>
      <c r="AJ127" t="b">
        <f>AND(IF(metadata!I127="",FALSE,TRUE),OR(EXACT(metadata!I127,"human-associated"),EXACT(metadata!I127,"human-skin"),EXACT(metadata!I127,"human-oral"),EXACT(metadata!I127,"human-gut"),EXACT(metadata!I127,"human-vaginal")))</f>
        <v>0</v>
      </c>
      <c r="AK127" t="b">
        <f>IF(metadata!J127="",FALSE,ISNUMBER(VALUE(metadata!J127)))</f>
        <v>0</v>
      </c>
      <c r="AL127" t="b">
        <f>AND(IF(metadata!K127="",FALSE,TRUE),EXACT(metadata!K127,"cm"))</f>
        <v>0</v>
      </c>
      <c r="AM127" t="b">
        <f>AND(IF(metadata!L127="",FALSE,TRUE),EXACT(metadata!L127,"human"))</f>
        <v>0</v>
      </c>
      <c r="AN127" t="b">
        <f>AND(IF(metadata!M127="",FALSE,TRUE),EXACT(metadata!M127,"Homo sapiens"))</f>
        <v>0</v>
      </c>
      <c r="AO127" t="b">
        <f>AND(IF(metadata!N127="",FALSE,TRUE),EXACT(metadata!N127,"9606"))</f>
        <v>0</v>
      </c>
      <c r="AP127" t="b">
        <f>IF(metadata!O127="",FALSE,TRUE)</f>
        <v>0</v>
      </c>
      <c r="AQ127" t="b">
        <f>IF(metadata!P127="",FALSE,TRUE)</f>
        <v>0</v>
      </c>
      <c r="AR127" t="b">
        <f>IF(metadata!Q127="",FALSE,ISNUMBER(VALUE(metadata!Q127)))</f>
        <v>0</v>
      </c>
      <c r="AS127" t="b">
        <f>AND(IF(metadata!R127="",FALSE,TRUE),EXACT(metadata!R127,"kg"))</f>
        <v>0</v>
      </c>
    </row>
    <row r="128" spans="1:45" x14ac:dyDescent="0.2">
      <c r="A128" s="5" t="str">
        <f ca="1">IF(B128=" "," ",HYPERLINK(CONCATENATE("#metadata!",ADDRESS(INDEX($X$2:$X$1001,MATCH(ROWS($V$2:V128),$V$2:$V$1001,0),0),1)),INDEX($AA$2:$AA$1001,MATCH(ROWS($V$2:V128),$V$2:$V$1001,0),0)))</f>
        <v xml:space="preserve"> </v>
      </c>
      <c r="B128" s="4" t="str">
        <f ca="1">IF(OR(INDEX($W$2:$W$1001,MATCH(ROWS($V$2:V128),$V$2:$V$1001,0),1)&gt;=100000,INDEX($AC$1005:$AS$1005,1,MATCH(COLUMNS($AC$1006:AC1006),$AC$1006:$AS$1006,0))&gt;=100000), " ",IF(INDEX($AC$2:$AS$1001,MATCH(ROWS($V$2:V128),$V$2:$V$1001,0),MATCH(COLUMNS($AC$1006:AC1006),$AC$1006:$AS$1006,0)), HYPERLINK("#",""), HYPERLINK(CONCATENATE("#metadata!", ADDRESS(INDEX($X$2:$X$1001,MATCH(ROWS($V$2:V128),$V$2:$V$1001,0),0), INDEX($AC$1004:$AS$1004,1,MATCH(COLUMNS($AC$1006:AC1006),$AC$1006:$AS$1006,0)))),"Fix")))</f>
        <v xml:space="preserve"> </v>
      </c>
      <c r="C128" s="4" t="str">
        <f ca="1">IF(OR(INDEX($W$2:$W$1001,MATCH(ROWS($V$2:V128),$V$2:$V$1001,0),1)&gt;=100000,INDEX($AC$1005:$AS$1005,1,MATCH(COLUMNS($AC$1006:AD1006),$AC$1006:$AS$1006,0))&gt;=100000), " ",IF(INDEX($AC$2:$AS$1001,MATCH(ROWS($V$2:V128),$V$2:$V$1001,0),MATCH(COLUMNS($AC$1006:AD1006),$AC$1006:$AS$1006,0)), HYPERLINK("#",""), HYPERLINK(CONCATENATE("#metadata!", ADDRESS(INDEX($X$2:$X$1001,MATCH(ROWS($V$2:V128),$V$2:$V$1001,0),0), INDEX($AC$1004:$AS$1004,1,MATCH(COLUMNS($AC$1006:AD1006),$AC$1006:$AS$1006,0)))),"Fix")))</f>
        <v xml:space="preserve"> </v>
      </c>
      <c r="D128" s="4" t="str">
        <f ca="1">IF(OR(INDEX($W$2:$W$1001,MATCH(ROWS($V$2:V128),$V$2:$V$1001,0),1)&gt;=100000,INDEX($AC$1005:$AS$1005,1,MATCH(COLUMNS($AC$1006:AE1006),$AC$1006:$AS$1006,0))&gt;=100000), " ",IF(INDEX($AC$2:$AS$1001,MATCH(ROWS($V$2:V128),$V$2:$V$1001,0),MATCH(COLUMNS($AC$1006:AE1006),$AC$1006:$AS$1006,0)), HYPERLINK("#",""), HYPERLINK(CONCATENATE("#metadata!", ADDRESS(INDEX($X$2:$X$1001,MATCH(ROWS($V$2:V128),$V$2:$V$1001,0),0), INDEX($AC$1004:$AS$1004,1,MATCH(COLUMNS($AC$1006:AE1006),$AC$1006:$AS$1006,0)))),"Fix")))</f>
        <v xml:space="preserve"> </v>
      </c>
      <c r="E128" s="4" t="str">
        <f ca="1">IF(OR(INDEX($W$2:$W$1001,MATCH(ROWS($V$2:V128),$V$2:$V$1001,0),1)&gt;=100000,INDEX($AC$1005:$AS$1005,1,MATCH(COLUMNS($AC$1006:AF1006),$AC$1006:$AS$1006,0))&gt;=100000), " ",IF(INDEX($AC$2:$AS$1001,MATCH(ROWS($V$2:V128),$V$2:$V$1001,0),MATCH(COLUMNS($AC$1006:AF1006),$AC$1006:$AS$1006,0)), HYPERLINK("#",""), HYPERLINK(CONCATENATE("#metadata!", ADDRESS(INDEX($X$2:$X$1001,MATCH(ROWS($V$2:V128),$V$2:$V$1001,0),0), INDEX($AC$1004:$AS$1004,1,MATCH(COLUMNS($AC$1006:AF1006),$AC$1006:$AS$1006,0)))),"Fix")))</f>
        <v xml:space="preserve"> </v>
      </c>
      <c r="F128" s="4" t="str">
        <f ca="1">IF(OR(INDEX($W$2:$W$1001,MATCH(ROWS($V$2:V128),$V$2:$V$1001,0),1)&gt;=100000,INDEX($AC$1005:$AS$1005,1,MATCH(COLUMNS($AC$1006:AG1006),$AC$1006:$AS$1006,0))&gt;=100000), " ",IF(INDEX($AC$2:$AS$1001,MATCH(ROWS($V$2:V128),$V$2:$V$1001,0),MATCH(COLUMNS($AC$1006:AG1006),$AC$1006:$AS$1006,0)), HYPERLINK("#",""), HYPERLINK(CONCATENATE("#metadata!", ADDRESS(INDEX($X$2:$X$1001,MATCH(ROWS($V$2:V128),$V$2:$V$1001,0),0), INDEX($AC$1004:$AS$1004,1,MATCH(COLUMNS($AC$1006:AG1006),$AC$1006:$AS$1006,0)))),"Fix")))</f>
        <v xml:space="preserve"> </v>
      </c>
      <c r="G128" s="4" t="str">
        <f ca="1">IF(OR(INDEX($W$2:$W$1001,MATCH(ROWS($V$2:V128),$V$2:$V$1001,0),1)&gt;=100000,INDEX($AC$1005:$AS$1005,1,MATCH(COLUMNS($AC$1006:AH1006),$AC$1006:$AS$1006,0))&gt;=100000), " ",IF(INDEX($AC$2:$AS$1001,MATCH(ROWS($V$2:V128),$V$2:$V$1001,0),MATCH(COLUMNS($AC$1006:AH1006),$AC$1006:$AS$1006,0)), HYPERLINK("#",""), HYPERLINK(CONCATENATE("#metadata!", ADDRESS(INDEX($X$2:$X$1001,MATCH(ROWS($V$2:V128),$V$2:$V$1001,0),0), INDEX($AC$1004:$AS$1004,1,MATCH(COLUMNS($AC$1006:AH1006),$AC$1006:$AS$1006,0)))),"Fix")))</f>
        <v xml:space="preserve"> </v>
      </c>
      <c r="H128" s="4" t="str">
        <f ca="1">IF(OR(INDEX($W$2:$W$1001,MATCH(ROWS($V$2:V128),$V$2:$V$1001,0),1)&gt;=100000,INDEX($AC$1005:$AS$1005,1,MATCH(COLUMNS($AC$1006:AI1006),$AC$1006:$AS$1006,0))&gt;=100000), " ",IF(INDEX($AC$2:$AS$1001,MATCH(ROWS($V$2:V128),$V$2:$V$1001,0),MATCH(COLUMNS($AC$1006:AI1006),$AC$1006:$AS$1006,0)), HYPERLINK("#",""), HYPERLINK(CONCATENATE("#metadata!", ADDRESS(INDEX($X$2:$X$1001,MATCH(ROWS($V$2:V128),$V$2:$V$1001,0),0), INDEX($AC$1004:$AS$1004,1,MATCH(COLUMNS($AC$1006:AI1006),$AC$1006:$AS$1006,0)))),"Fix")))</f>
        <v xml:space="preserve"> </v>
      </c>
      <c r="I128" s="4" t="str">
        <f ca="1">IF(OR(INDEX($W$2:$W$1001,MATCH(ROWS($V$2:V128),$V$2:$V$1001,0),1)&gt;=100000,INDEX($AC$1005:$AS$1005,1,MATCH(COLUMNS($AC$1006:AJ1006),$AC$1006:$AS$1006,0))&gt;=100000), " ",IF(INDEX($AC$2:$AS$1001,MATCH(ROWS($V$2:V128),$V$2:$V$1001,0),MATCH(COLUMNS($AC$1006:AJ1006),$AC$1006:$AS$1006,0)), HYPERLINK("#",""), HYPERLINK(CONCATENATE("#metadata!", ADDRESS(INDEX($X$2:$X$1001,MATCH(ROWS($V$2:V128),$V$2:$V$1001,0),0), INDEX($AC$1004:$AS$1004,1,MATCH(COLUMNS($AC$1006:AJ1006),$AC$1006:$AS$1006,0)))),"Fix")))</f>
        <v xml:space="preserve"> </v>
      </c>
      <c r="J128" s="4" t="str">
        <f ca="1">IF(OR(INDEX($W$2:$W$1001,MATCH(ROWS($V$2:V128),$V$2:$V$1001,0),1)&gt;=100000,INDEX($AC$1005:$AS$1005,1,MATCH(COLUMNS($AC$1006:AK1006),$AC$1006:$AS$1006,0))&gt;=100000), " ",IF(INDEX($AC$2:$AS$1001,MATCH(ROWS($V$2:V128),$V$2:$V$1001,0),MATCH(COLUMNS($AC$1006:AK1006),$AC$1006:$AS$1006,0)), HYPERLINK("#",""), HYPERLINK(CONCATENATE("#metadata!", ADDRESS(INDEX($X$2:$X$1001,MATCH(ROWS($V$2:V128),$V$2:$V$1001,0),0), INDEX($AC$1004:$AS$1004,1,MATCH(COLUMNS($AC$1006:AK1006),$AC$1006:$AS$1006,0)))),"Fix")))</f>
        <v xml:space="preserve"> </v>
      </c>
      <c r="K128" s="4" t="str">
        <f ca="1">IF(OR(INDEX($W$2:$W$1001,MATCH(ROWS($V$2:V128),$V$2:$V$1001,0),1)&gt;=100000,INDEX($AC$1005:$AS$1005,1,MATCH(COLUMNS($AC$1006:AL1006),$AC$1006:$AS$1006,0))&gt;=100000), " ",IF(INDEX($AC$2:$AS$1001,MATCH(ROWS($V$2:V128),$V$2:$V$1001,0),MATCH(COLUMNS($AC$1006:AL1006),$AC$1006:$AS$1006,0)), HYPERLINK("#",""), HYPERLINK(CONCATENATE("#metadata!", ADDRESS(INDEX($X$2:$X$1001,MATCH(ROWS($V$2:V128),$V$2:$V$1001,0),0), INDEX($AC$1004:$AS$1004,1,MATCH(COLUMNS($AC$1006:AL1006),$AC$1006:$AS$1006,0)))),"Fix")))</f>
        <v xml:space="preserve"> </v>
      </c>
      <c r="L128" s="4" t="str">
        <f ca="1">IF(OR(INDEX($W$2:$W$1001,MATCH(ROWS($V$2:V128),$V$2:$V$1001,0),1)&gt;=100000,INDEX($AC$1005:$AS$1005,1,MATCH(COLUMNS($AC$1006:AM1006),$AC$1006:$AS$1006,0))&gt;=100000), " ",IF(INDEX($AC$2:$AS$1001,MATCH(ROWS($V$2:V128),$V$2:$V$1001,0),MATCH(COLUMNS($AC$1006:AM1006),$AC$1006:$AS$1006,0)), HYPERLINK("#",""), HYPERLINK(CONCATENATE("#metadata!", ADDRESS(INDEX($X$2:$X$1001,MATCH(ROWS($V$2:V128),$V$2:$V$1001,0),0), INDEX($AC$1004:$AS$1004,1,MATCH(COLUMNS($AC$1006:AM1006),$AC$1006:$AS$1006,0)))),"Fix")))</f>
        <v xml:space="preserve"> </v>
      </c>
      <c r="M128" s="4" t="str">
        <f ca="1">IF(OR(INDEX($W$2:$W$1001,MATCH(ROWS($V$2:V128),$V$2:$V$1001,0),1)&gt;=100000,INDEX($AC$1005:$AS$1005,1,MATCH(COLUMNS($AC$1006:AN1006),$AC$1006:$AS$1006,0))&gt;=100000), " ",IF(INDEX($AC$2:$AS$1001,MATCH(ROWS($V$2:V128),$V$2:$V$1001,0),MATCH(COLUMNS($AC$1006:AN1006),$AC$1006:$AS$1006,0)), HYPERLINK("#",""), HYPERLINK(CONCATENATE("#metadata!", ADDRESS(INDEX($X$2:$X$1001,MATCH(ROWS($V$2:V128),$V$2:$V$1001,0),0), INDEX($AC$1004:$AS$1004,1,MATCH(COLUMNS($AC$1006:AN1006),$AC$1006:$AS$1006,0)))),"Fix")))</f>
        <v xml:space="preserve"> </v>
      </c>
      <c r="N128" s="4" t="str">
        <f ca="1">IF(OR(INDEX($W$2:$W$1001,MATCH(ROWS($V$2:V128),$V$2:$V$1001,0),1)&gt;=100000,INDEX($AC$1005:$AS$1005,1,MATCH(COLUMNS($AC$1006:AO1006),$AC$1006:$AS$1006,0))&gt;=100000), " ",IF(INDEX($AC$2:$AS$1001,MATCH(ROWS($V$2:V128),$V$2:$V$1001,0),MATCH(COLUMNS($AC$1006:AO1006),$AC$1006:$AS$1006,0)), HYPERLINK("#",""), HYPERLINK(CONCATENATE("#metadata!", ADDRESS(INDEX($X$2:$X$1001,MATCH(ROWS($V$2:V128),$V$2:$V$1001,0),0), INDEX($AC$1004:$AS$1004,1,MATCH(COLUMNS($AC$1006:AO1006),$AC$1006:$AS$1006,0)))),"Fix")))</f>
        <v xml:space="preserve"> </v>
      </c>
      <c r="O128" s="4" t="str">
        <f ca="1">IF(OR(INDEX($W$2:$W$1001,MATCH(ROWS($V$2:V128),$V$2:$V$1001,0),1)&gt;=100000,INDEX($AC$1005:$AS$1005,1,MATCH(COLUMNS($AC$1006:AP1006),$AC$1006:$AS$1006,0))&gt;=100000), " ",IF(INDEX($AC$2:$AS$1001,MATCH(ROWS($V$2:V128),$V$2:$V$1001,0),MATCH(COLUMNS($AC$1006:AP1006),$AC$1006:$AS$1006,0)), HYPERLINK("#",""), HYPERLINK(CONCATENATE("#metadata!", ADDRESS(INDEX($X$2:$X$1001,MATCH(ROWS($V$2:V128),$V$2:$V$1001,0),0), INDEX($AC$1004:$AS$1004,1,MATCH(COLUMNS($AC$1006:AP1006),$AC$1006:$AS$1006,0)))),"Fix")))</f>
        <v xml:space="preserve"> </v>
      </c>
      <c r="P128" s="4" t="str">
        <f ca="1">IF(OR(INDEX($W$2:$W$1001,MATCH(ROWS($V$2:V128),$V$2:$V$1001,0),1)&gt;=100000,INDEX($AC$1005:$AS$1005,1,MATCH(COLUMNS($AC$1006:AQ1006),$AC$1006:$AS$1006,0))&gt;=100000), " ",IF(INDEX($AC$2:$AS$1001,MATCH(ROWS($V$2:V128),$V$2:$V$1001,0),MATCH(COLUMNS($AC$1006:AQ1006),$AC$1006:$AS$1006,0)), HYPERLINK("#",""), HYPERLINK(CONCATENATE("#metadata!", ADDRESS(INDEX($X$2:$X$1001,MATCH(ROWS($V$2:V128),$V$2:$V$1001,0),0), INDEX($AC$1004:$AS$1004,1,MATCH(COLUMNS($AC$1006:AQ1006),$AC$1006:$AS$1006,0)))),"Fix")))</f>
        <v xml:space="preserve"> </v>
      </c>
      <c r="Q128" s="4" t="str">
        <f ca="1">IF(OR(INDEX($W$2:$W$1001,MATCH(ROWS($V$2:V128),$V$2:$V$1001,0),1)&gt;=100000,INDEX($AC$1005:$AS$1005,1,MATCH(COLUMNS($AC$1006:AR1006),$AC$1006:$AS$1006,0))&gt;=100000), " ",IF(INDEX($AC$2:$AS$1001,MATCH(ROWS($V$2:V128),$V$2:$V$1001,0),MATCH(COLUMNS($AC$1006:AR1006),$AC$1006:$AS$1006,0)), HYPERLINK("#",""), HYPERLINK(CONCATENATE("#metadata!", ADDRESS(INDEX($X$2:$X$1001,MATCH(ROWS($V$2:V128),$V$2:$V$1001,0),0), INDEX($AC$1004:$AS$1004,1,MATCH(COLUMNS($AC$1006:AR1006),$AC$1006:$AS$1006,0)))),"Fix")))</f>
        <v xml:space="preserve"> </v>
      </c>
      <c r="R128" s="4" t="str">
        <f ca="1">IF(OR(INDEX($W$2:$W$1001,MATCH(ROWS($V$2:V128),$V$2:$V$1001,0),1)&gt;=100000,INDEX($AC$1005:$AS$1005,1,MATCH(COLUMNS($AC$1006:AS1006),$AC$1006:$AS$1006,0))&gt;=100000), " ",IF(INDEX($AC$2:$AS$1001,MATCH(ROWS($V$2:V128),$V$2:$V$1001,0),MATCH(COLUMNS($AC$1006:AS1006),$AC$1006:$AS$1006,0)), HYPERLINK("#",""), HYPERLINK(CONCATENATE("#metadata!", ADDRESS(INDEX($X$2:$X$1001,MATCH(ROWS($V$2:V128),$V$2:$V$1001,0),0), INDEX($AC$1004:$AS$1004,1,MATCH(COLUMNS($AC$1006:AS1006),$AC$1006:$AS$1006,0)))),"Fix")))</f>
        <v xml:space="preserve"> </v>
      </c>
      <c r="V128">
        <v>127</v>
      </c>
      <c r="W128">
        <v>100128</v>
      </c>
      <c r="X128">
        <v>128</v>
      </c>
      <c r="Y128" t="b">
        <f t="shared" si="1"/>
        <v>1</v>
      </c>
      <c r="Z128" t="b">
        <f>COUNTBLANK(metadata!B128:R128)=COLUMNS(metadata!B128:R128)</f>
        <v>1</v>
      </c>
      <c r="AA128" t="str">
        <v/>
      </c>
      <c r="AC128" t="b">
        <f ca="1"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AD128" t="b">
        <f>IF(metadata!C128="",FALSE,ISNUMBER(VALUE(metadata!C128)))</f>
        <v>0</v>
      </c>
      <c r="AE128" t="b">
        <f>AND(IF(metadata!D128="",FALSE,TRUE),EXACT(metadata!D128,"years"))</f>
        <v>0</v>
      </c>
      <c r="AF128" t="b">
        <f>OR(AND(IF(metadata!E128="",FALSE,TRUE),OR(EXACT(metadata!E128,"not applicable"),EXACT(metadata!E128,"missing: not collected"),EXACT(metadata!E128,"missing: not provided"),EXACT(metadata!E128,"missing: restricted access"))),AND(IF(metadata!E128="",FALSE,ISNUMBER(VALUE(metadata!E128))),metadata!E128&gt;0))</f>
        <v>0</v>
      </c>
      <c r="AG128" t="b">
        <f>AND(IF(metadata!F128="",FALSE,TRUE),EXACT(metadata!F128,"Not applicable"))</f>
        <v>0</v>
      </c>
      <c r="AH128" t="b">
        <f>AND(IF(metadata!G128="",FALSE,TRUE),EXACT(metadata!G128,"urban biome"))</f>
        <v>0</v>
      </c>
      <c r="AI128" t="b">
        <f>AND(IF(metadata!H128="",FALSE,TRUE),EXACT(metadata!H128,"human-associated habitat"))</f>
        <v>0</v>
      </c>
      <c r="AJ128" t="b">
        <f>AND(IF(metadata!I128="",FALSE,TRUE),OR(EXACT(metadata!I128,"human-associated"),EXACT(metadata!I128,"human-skin"),EXACT(metadata!I128,"human-oral"),EXACT(metadata!I128,"human-gut"),EXACT(metadata!I128,"human-vaginal")))</f>
        <v>0</v>
      </c>
      <c r="AK128" t="b">
        <f>IF(metadata!J128="",FALSE,ISNUMBER(VALUE(metadata!J128)))</f>
        <v>0</v>
      </c>
      <c r="AL128" t="b">
        <f>AND(IF(metadata!K128="",FALSE,TRUE),EXACT(metadata!K128,"cm"))</f>
        <v>0</v>
      </c>
      <c r="AM128" t="b">
        <f>AND(IF(metadata!L128="",FALSE,TRUE),EXACT(metadata!L128,"human"))</f>
        <v>0</v>
      </c>
      <c r="AN128" t="b">
        <f>AND(IF(metadata!M128="",FALSE,TRUE),EXACT(metadata!M128,"Homo sapiens"))</f>
        <v>0</v>
      </c>
      <c r="AO128" t="b">
        <f>AND(IF(metadata!N128="",FALSE,TRUE),EXACT(metadata!N128,"9606"))</f>
        <v>0</v>
      </c>
      <c r="AP128" t="b">
        <f>IF(metadata!O128="",FALSE,TRUE)</f>
        <v>0</v>
      </c>
      <c r="AQ128" t="b">
        <f>IF(metadata!P128="",FALSE,TRUE)</f>
        <v>0</v>
      </c>
      <c r="AR128" t="b">
        <f>IF(metadata!Q128="",FALSE,ISNUMBER(VALUE(metadata!Q128)))</f>
        <v>0</v>
      </c>
      <c r="AS128" t="b">
        <f>AND(IF(metadata!R128="",FALSE,TRUE),EXACT(metadata!R128,"kg"))</f>
        <v>0</v>
      </c>
    </row>
    <row r="129" spans="1:45" x14ac:dyDescent="0.2">
      <c r="A129" s="5" t="str">
        <f ca="1">IF(B129=" "," ",HYPERLINK(CONCATENATE("#metadata!",ADDRESS(INDEX($X$2:$X$1001,MATCH(ROWS($V$2:V129),$V$2:$V$1001,0),0),1)),INDEX($AA$2:$AA$1001,MATCH(ROWS($V$2:V129),$V$2:$V$1001,0),0)))</f>
        <v xml:space="preserve"> </v>
      </c>
      <c r="B129" s="4" t="str">
        <f ca="1">IF(OR(INDEX($W$2:$W$1001,MATCH(ROWS($V$2:V129),$V$2:$V$1001,0),1)&gt;=100000,INDEX($AC$1005:$AS$1005,1,MATCH(COLUMNS($AC$1006:AC1006),$AC$1006:$AS$1006,0))&gt;=100000), " ",IF(INDEX($AC$2:$AS$1001,MATCH(ROWS($V$2:V129),$V$2:$V$1001,0),MATCH(COLUMNS($AC$1006:AC1006),$AC$1006:$AS$1006,0)), HYPERLINK("#",""), HYPERLINK(CONCATENATE("#metadata!", ADDRESS(INDEX($X$2:$X$1001,MATCH(ROWS($V$2:V129),$V$2:$V$1001,0),0), INDEX($AC$1004:$AS$1004,1,MATCH(COLUMNS($AC$1006:AC1006),$AC$1006:$AS$1006,0)))),"Fix")))</f>
        <v xml:space="preserve"> </v>
      </c>
      <c r="C129" s="4" t="str">
        <f ca="1">IF(OR(INDEX($W$2:$W$1001,MATCH(ROWS($V$2:V129),$V$2:$V$1001,0),1)&gt;=100000,INDEX($AC$1005:$AS$1005,1,MATCH(COLUMNS($AC$1006:AD1006),$AC$1006:$AS$1006,0))&gt;=100000), " ",IF(INDEX($AC$2:$AS$1001,MATCH(ROWS($V$2:V129),$V$2:$V$1001,0),MATCH(COLUMNS($AC$1006:AD1006),$AC$1006:$AS$1006,0)), HYPERLINK("#",""), HYPERLINK(CONCATENATE("#metadata!", ADDRESS(INDEX($X$2:$X$1001,MATCH(ROWS($V$2:V129),$V$2:$V$1001,0),0), INDEX($AC$1004:$AS$1004,1,MATCH(COLUMNS($AC$1006:AD1006),$AC$1006:$AS$1006,0)))),"Fix")))</f>
        <v xml:space="preserve"> </v>
      </c>
      <c r="D129" s="4" t="str">
        <f ca="1">IF(OR(INDEX($W$2:$W$1001,MATCH(ROWS($V$2:V129),$V$2:$V$1001,0),1)&gt;=100000,INDEX($AC$1005:$AS$1005,1,MATCH(COLUMNS($AC$1006:AE1006),$AC$1006:$AS$1006,0))&gt;=100000), " ",IF(INDEX($AC$2:$AS$1001,MATCH(ROWS($V$2:V129),$V$2:$V$1001,0),MATCH(COLUMNS($AC$1006:AE1006),$AC$1006:$AS$1006,0)), HYPERLINK("#",""), HYPERLINK(CONCATENATE("#metadata!", ADDRESS(INDEX($X$2:$X$1001,MATCH(ROWS($V$2:V129),$V$2:$V$1001,0),0), INDEX($AC$1004:$AS$1004,1,MATCH(COLUMNS($AC$1006:AE1006),$AC$1006:$AS$1006,0)))),"Fix")))</f>
        <v xml:space="preserve"> </v>
      </c>
      <c r="E129" s="4" t="str">
        <f ca="1">IF(OR(INDEX($W$2:$W$1001,MATCH(ROWS($V$2:V129),$V$2:$V$1001,0),1)&gt;=100000,INDEX($AC$1005:$AS$1005,1,MATCH(COLUMNS($AC$1006:AF1006),$AC$1006:$AS$1006,0))&gt;=100000), " ",IF(INDEX($AC$2:$AS$1001,MATCH(ROWS($V$2:V129),$V$2:$V$1001,0),MATCH(COLUMNS($AC$1006:AF1006),$AC$1006:$AS$1006,0)), HYPERLINK("#",""), HYPERLINK(CONCATENATE("#metadata!", ADDRESS(INDEX($X$2:$X$1001,MATCH(ROWS($V$2:V129),$V$2:$V$1001,0),0), INDEX($AC$1004:$AS$1004,1,MATCH(COLUMNS($AC$1006:AF1006),$AC$1006:$AS$1006,0)))),"Fix")))</f>
        <v xml:space="preserve"> </v>
      </c>
      <c r="F129" s="4" t="str">
        <f ca="1">IF(OR(INDEX($W$2:$W$1001,MATCH(ROWS($V$2:V129),$V$2:$V$1001,0),1)&gt;=100000,INDEX($AC$1005:$AS$1005,1,MATCH(COLUMNS($AC$1006:AG1006),$AC$1006:$AS$1006,0))&gt;=100000), " ",IF(INDEX($AC$2:$AS$1001,MATCH(ROWS($V$2:V129),$V$2:$V$1001,0),MATCH(COLUMNS($AC$1006:AG1006),$AC$1006:$AS$1006,0)), HYPERLINK("#",""), HYPERLINK(CONCATENATE("#metadata!", ADDRESS(INDEX($X$2:$X$1001,MATCH(ROWS($V$2:V129),$V$2:$V$1001,0),0), INDEX($AC$1004:$AS$1004,1,MATCH(COLUMNS($AC$1006:AG1006),$AC$1006:$AS$1006,0)))),"Fix")))</f>
        <v xml:space="preserve"> </v>
      </c>
      <c r="G129" s="4" t="str">
        <f ca="1">IF(OR(INDEX($W$2:$W$1001,MATCH(ROWS($V$2:V129),$V$2:$V$1001,0),1)&gt;=100000,INDEX($AC$1005:$AS$1005,1,MATCH(COLUMNS($AC$1006:AH1006),$AC$1006:$AS$1006,0))&gt;=100000), " ",IF(INDEX($AC$2:$AS$1001,MATCH(ROWS($V$2:V129),$V$2:$V$1001,0),MATCH(COLUMNS($AC$1006:AH1006),$AC$1006:$AS$1006,0)), HYPERLINK("#",""), HYPERLINK(CONCATENATE("#metadata!", ADDRESS(INDEX($X$2:$X$1001,MATCH(ROWS($V$2:V129),$V$2:$V$1001,0),0), INDEX($AC$1004:$AS$1004,1,MATCH(COLUMNS($AC$1006:AH1006),$AC$1006:$AS$1006,0)))),"Fix")))</f>
        <v xml:space="preserve"> </v>
      </c>
      <c r="H129" s="4" t="str">
        <f ca="1">IF(OR(INDEX($W$2:$W$1001,MATCH(ROWS($V$2:V129),$V$2:$V$1001,0),1)&gt;=100000,INDEX($AC$1005:$AS$1005,1,MATCH(COLUMNS($AC$1006:AI1006),$AC$1006:$AS$1006,0))&gt;=100000), " ",IF(INDEX($AC$2:$AS$1001,MATCH(ROWS($V$2:V129),$V$2:$V$1001,0),MATCH(COLUMNS($AC$1006:AI1006),$AC$1006:$AS$1006,0)), HYPERLINK("#",""), HYPERLINK(CONCATENATE("#metadata!", ADDRESS(INDEX($X$2:$X$1001,MATCH(ROWS($V$2:V129),$V$2:$V$1001,0),0), INDEX($AC$1004:$AS$1004,1,MATCH(COLUMNS($AC$1006:AI1006),$AC$1006:$AS$1006,0)))),"Fix")))</f>
        <v xml:space="preserve"> </v>
      </c>
      <c r="I129" s="4" t="str">
        <f ca="1">IF(OR(INDEX($W$2:$W$1001,MATCH(ROWS($V$2:V129),$V$2:$V$1001,0),1)&gt;=100000,INDEX($AC$1005:$AS$1005,1,MATCH(COLUMNS($AC$1006:AJ1006),$AC$1006:$AS$1006,0))&gt;=100000), " ",IF(INDEX($AC$2:$AS$1001,MATCH(ROWS($V$2:V129),$V$2:$V$1001,0),MATCH(COLUMNS($AC$1006:AJ1006),$AC$1006:$AS$1006,0)), HYPERLINK("#",""), HYPERLINK(CONCATENATE("#metadata!", ADDRESS(INDEX($X$2:$X$1001,MATCH(ROWS($V$2:V129),$V$2:$V$1001,0),0), INDEX($AC$1004:$AS$1004,1,MATCH(COLUMNS($AC$1006:AJ1006),$AC$1006:$AS$1006,0)))),"Fix")))</f>
        <v xml:space="preserve"> </v>
      </c>
      <c r="J129" s="4" t="str">
        <f ca="1">IF(OR(INDEX($W$2:$W$1001,MATCH(ROWS($V$2:V129),$V$2:$V$1001,0),1)&gt;=100000,INDEX($AC$1005:$AS$1005,1,MATCH(COLUMNS($AC$1006:AK1006),$AC$1006:$AS$1006,0))&gt;=100000), " ",IF(INDEX($AC$2:$AS$1001,MATCH(ROWS($V$2:V129),$V$2:$V$1001,0),MATCH(COLUMNS($AC$1006:AK1006),$AC$1006:$AS$1006,0)), HYPERLINK("#",""), HYPERLINK(CONCATENATE("#metadata!", ADDRESS(INDEX($X$2:$X$1001,MATCH(ROWS($V$2:V129),$V$2:$V$1001,0),0), INDEX($AC$1004:$AS$1004,1,MATCH(COLUMNS($AC$1006:AK1006),$AC$1006:$AS$1006,0)))),"Fix")))</f>
        <v xml:space="preserve"> </v>
      </c>
      <c r="K129" s="4" t="str">
        <f ca="1">IF(OR(INDEX($W$2:$W$1001,MATCH(ROWS($V$2:V129),$V$2:$V$1001,0),1)&gt;=100000,INDEX($AC$1005:$AS$1005,1,MATCH(COLUMNS($AC$1006:AL1006),$AC$1006:$AS$1006,0))&gt;=100000), " ",IF(INDEX($AC$2:$AS$1001,MATCH(ROWS($V$2:V129),$V$2:$V$1001,0),MATCH(COLUMNS($AC$1006:AL1006),$AC$1006:$AS$1006,0)), HYPERLINK("#",""), HYPERLINK(CONCATENATE("#metadata!", ADDRESS(INDEX($X$2:$X$1001,MATCH(ROWS($V$2:V129),$V$2:$V$1001,0),0), INDEX($AC$1004:$AS$1004,1,MATCH(COLUMNS($AC$1006:AL1006),$AC$1006:$AS$1006,0)))),"Fix")))</f>
        <v xml:space="preserve"> </v>
      </c>
      <c r="L129" s="4" t="str">
        <f ca="1">IF(OR(INDEX($W$2:$W$1001,MATCH(ROWS($V$2:V129),$V$2:$V$1001,0),1)&gt;=100000,INDEX($AC$1005:$AS$1005,1,MATCH(COLUMNS($AC$1006:AM1006),$AC$1006:$AS$1006,0))&gt;=100000), " ",IF(INDEX($AC$2:$AS$1001,MATCH(ROWS($V$2:V129),$V$2:$V$1001,0),MATCH(COLUMNS($AC$1006:AM1006),$AC$1006:$AS$1006,0)), HYPERLINK("#",""), HYPERLINK(CONCATENATE("#metadata!", ADDRESS(INDEX($X$2:$X$1001,MATCH(ROWS($V$2:V129),$V$2:$V$1001,0),0), INDEX($AC$1004:$AS$1004,1,MATCH(COLUMNS($AC$1006:AM1006),$AC$1006:$AS$1006,0)))),"Fix")))</f>
        <v xml:space="preserve"> </v>
      </c>
      <c r="M129" s="4" t="str">
        <f ca="1">IF(OR(INDEX($W$2:$W$1001,MATCH(ROWS($V$2:V129),$V$2:$V$1001,0),1)&gt;=100000,INDEX($AC$1005:$AS$1005,1,MATCH(COLUMNS($AC$1006:AN1006),$AC$1006:$AS$1006,0))&gt;=100000), " ",IF(INDEX($AC$2:$AS$1001,MATCH(ROWS($V$2:V129),$V$2:$V$1001,0),MATCH(COLUMNS($AC$1006:AN1006),$AC$1006:$AS$1006,0)), HYPERLINK("#",""), HYPERLINK(CONCATENATE("#metadata!", ADDRESS(INDEX($X$2:$X$1001,MATCH(ROWS($V$2:V129),$V$2:$V$1001,0),0), INDEX($AC$1004:$AS$1004,1,MATCH(COLUMNS($AC$1006:AN1006),$AC$1006:$AS$1006,0)))),"Fix")))</f>
        <v xml:space="preserve"> </v>
      </c>
      <c r="N129" s="4" t="str">
        <f ca="1">IF(OR(INDEX($W$2:$W$1001,MATCH(ROWS($V$2:V129),$V$2:$V$1001,0),1)&gt;=100000,INDEX($AC$1005:$AS$1005,1,MATCH(COLUMNS($AC$1006:AO1006),$AC$1006:$AS$1006,0))&gt;=100000), " ",IF(INDEX($AC$2:$AS$1001,MATCH(ROWS($V$2:V129),$V$2:$V$1001,0),MATCH(COLUMNS($AC$1006:AO1006),$AC$1006:$AS$1006,0)), HYPERLINK("#",""), HYPERLINK(CONCATENATE("#metadata!", ADDRESS(INDEX($X$2:$X$1001,MATCH(ROWS($V$2:V129),$V$2:$V$1001,0),0), INDEX($AC$1004:$AS$1004,1,MATCH(COLUMNS($AC$1006:AO1006),$AC$1006:$AS$1006,0)))),"Fix")))</f>
        <v xml:space="preserve"> </v>
      </c>
      <c r="O129" s="4" t="str">
        <f ca="1">IF(OR(INDEX($W$2:$W$1001,MATCH(ROWS($V$2:V129),$V$2:$V$1001,0),1)&gt;=100000,INDEX($AC$1005:$AS$1005,1,MATCH(COLUMNS($AC$1006:AP1006),$AC$1006:$AS$1006,0))&gt;=100000), " ",IF(INDEX($AC$2:$AS$1001,MATCH(ROWS($V$2:V129),$V$2:$V$1001,0),MATCH(COLUMNS($AC$1006:AP1006),$AC$1006:$AS$1006,0)), HYPERLINK("#",""), HYPERLINK(CONCATENATE("#metadata!", ADDRESS(INDEX($X$2:$X$1001,MATCH(ROWS($V$2:V129),$V$2:$V$1001,0),0), INDEX($AC$1004:$AS$1004,1,MATCH(COLUMNS($AC$1006:AP1006),$AC$1006:$AS$1006,0)))),"Fix")))</f>
        <v xml:space="preserve"> </v>
      </c>
      <c r="P129" s="4" t="str">
        <f ca="1">IF(OR(INDEX($W$2:$W$1001,MATCH(ROWS($V$2:V129),$V$2:$V$1001,0),1)&gt;=100000,INDEX($AC$1005:$AS$1005,1,MATCH(COLUMNS($AC$1006:AQ1006),$AC$1006:$AS$1006,0))&gt;=100000), " ",IF(INDEX($AC$2:$AS$1001,MATCH(ROWS($V$2:V129),$V$2:$V$1001,0),MATCH(COLUMNS($AC$1006:AQ1006),$AC$1006:$AS$1006,0)), HYPERLINK("#",""), HYPERLINK(CONCATENATE("#metadata!", ADDRESS(INDEX($X$2:$X$1001,MATCH(ROWS($V$2:V129),$V$2:$V$1001,0),0), INDEX($AC$1004:$AS$1004,1,MATCH(COLUMNS($AC$1006:AQ1006),$AC$1006:$AS$1006,0)))),"Fix")))</f>
        <v xml:space="preserve"> </v>
      </c>
      <c r="Q129" s="4" t="str">
        <f ca="1">IF(OR(INDEX($W$2:$W$1001,MATCH(ROWS($V$2:V129),$V$2:$V$1001,0),1)&gt;=100000,INDEX($AC$1005:$AS$1005,1,MATCH(COLUMNS($AC$1006:AR1006),$AC$1006:$AS$1006,0))&gt;=100000), " ",IF(INDEX($AC$2:$AS$1001,MATCH(ROWS($V$2:V129),$V$2:$V$1001,0),MATCH(COLUMNS($AC$1006:AR1006),$AC$1006:$AS$1006,0)), HYPERLINK("#",""), HYPERLINK(CONCATENATE("#metadata!", ADDRESS(INDEX($X$2:$X$1001,MATCH(ROWS($V$2:V129),$V$2:$V$1001,0),0), INDEX($AC$1004:$AS$1004,1,MATCH(COLUMNS($AC$1006:AR1006),$AC$1006:$AS$1006,0)))),"Fix")))</f>
        <v xml:space="preserve"> </v>
      </c>
      <c r="R129" s="4" t="str">
        <f ca="1">IF(OR(INDEX($W$2:$W$1001,MATCH(ROWS($V$2:V129),$V$2:$V$1001,0),1)&gt;=100000,INDEX($AC$1005:$AS$1005,1,MATCH(COLUMNS($AC$1006:AS1006),$AC$1006:$AS$1006,0))&gt;=100000), " ",IF(INDEX($AC$2:$AS$1001,MATCH(ROWS($V$2:V129),$V$2:$V$1001,0),MATCH(COLUMNS($AC$1006:AS1006),$AC$1006:$AS$1006,0)), HYPERLINK("#",""), HYPERLINK(CONCATENATE("#metadata!", ADDRESS(INDEX($X$2:$X$1001,MATCH(ROWS($V$2:V129),$V$2:$V$1001,0),0), INDEX($AC$1004:$AS$1004,1,MATCH(COLUMNS($AC$1006:AS1006),$AC$1006:$AS$1006,0)))),"Fix")))</f>
        <v xml:space="preserve"> </v>
      </c>
      <c r="V129">
        <v>128</v>
      </c>
      <c r="W129">
        <v>100129</v>
      </c>
      <c r="X129">
        <v>129</v>
      </c>
      <c r="Y129" t="b">
        <f t="shared" si="1"/>
        <v>1</v>
      </c>
      <c r="Z129" t="b">
        <f>COUNTBLANK(metadata!B129:R129)=COLUMNS(metadata!B129:R129)</f>
        <v>1</v>
      </c>
      <c r="AA129" t="str">
        <v/>
      </c>
      <c r="AC129" t="b">
        <f ca="1"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AD129" t="b">
        <f>IF(metadata!C129="",FALSE,ISNUMBER(VALUE(metadata!C129)))</f>
        <v>0</v>
      </c>
      <c r="AE129" t="b">
        <f>AND(IF(metadata!D129="",FALSE,TRUE),EXACT(metadata!D129,"years"))</f>
        <v>0</v>
      </c>
      <c r="AF129" t="b">
        <f>OR(AND(IF(metadata!E129="",FALSE,TRUE),OR(EXACT(metadata!E129,"not applicable"),EXACT(metadata!E129,"missing: not collected"),EXACT(metadata!E129,"missing: not provided"),EXACT(metadata!E129,"missing: restricted access"))),AND(IF(metadata!E129="",FALSE,ISNUMBER(VALUE(metadata!E129))),metadata!E129&gt;0))</f>
        <v>0</v>
      </c>
      <c r="AG129" t="b">
        <f>AND(IF(metadata!F129="",FALSE,TRUE),EXACT(metadata!F129,"Not applicable"))</f>
        <v>0</v>
      </c>
      <c r="AH129" t="b">
        <f>AND(IF(metadata!G129="",FALSE,TRUE),EXACT(metadata!G129,"urban biome"))</f>
        <v>0</v>
      </c>
      <c r="AI129" t="b">
        <f>AND(IF(metadata!H129="",FALSE,TRUE),EXACT(metadata!H129,"human-associated habitat"))</f>
        <v>0</v>
      </c>
      <c r="AJ129" t="b">
        <f>AND(IF(metadata!I129="",FALSE,TRUE),OR(EXACT(metadata!I129,"human-associated"),EXACT(metadata!I129,"human-skin"),EXACT(metadata!I129,"human-oral"),EXACT(metadata!I129,"human-gut"),EXACT(metadata!I129,"human-vaginal")))</f>
        <v>0</v>
      </c>
      <c r="AK129" t="b">
        <f>IF(metadata!J129="",FALSE,ISNUMBER(VALUE(metadata!J129)))</f>
        <v>0</v>
      </c>
      <c r="AL129" t="b">
        <f>AND(IF(metadata!K129="",FALSE,TRUE),EXACT(metadata!K129,"cm"))</f>
        <v>0</v>
      </c>
      <c r="AM129" t="b">
        <f>AND(IF(metadata!L129="",FALSE,TRUE),EXACT(metadata!L129,"human"))</f>
        <v>0</v>
      </c>
      <c r="AN129" t="b">
        <f>AND(IF(metadata!M129="",FALSE,TRUE),EXACT(metadata!M129,"Homo sapiens"))</f>
        <v>0</v>
      </c>
      <c r="AO129" t="b">
        <f>AND(IF(metadata!N129="",FALSE,TRUE),EXACT(metadata!N129,"9606"))</f>
        <v>0</v>
      </c>
      <c r="AP129" t="b">
        <f>IF(metadata!O129="",FALSE,TRUE)</f>
        <v>0</v>
      </c>
      <c r="AQ129" t="b">
        <f>IF(metadata!P129="",FALSE,TRUE)</f>
        <v>0</v>
      </c>
      <c r="AR129" t="b">
        <f>IF(metadata!Q129="",FALSE,ISNUMBER(VALUE(metadata!Q129)))</f>
        <v>0</v>
      </c>
      <c r="AS129" t="b">
        <f>AND(IF(metadata!R129="",FALSE,TRUE),EXACT(metadata!R129,"kg"))</f>
        <v>0</v>
      </c>
    </row>
    <row r="130" spans="1:45" x14ac:dyDescent="0.2">
      <c r="A130" s="5" t="str">
        <f ca="1">IF(B130=" "," ",HYPERLINK(CONCATENATE("#metadata!",ADDRESS(INDEX($X$2:$X$1001,MATCH(ROWS($V$2:V130),$V$2:$V$1001,0),0),1)),INDEX($AA$2:$AA$1001,MATCH(ROWS($V$2:V130),$V$2:$V$1001,0),0)))</f>
        <v xml:space="preserve"> </v>
      </c>
      <c r="B130" s="4" t="str">
        <f ca="1">IF(OR(INDEX($W$2:$W$1001,MATCH(ROWS($V$2:V130),$V$2:$V$1001,0),1)&gt;=100000,INDEX($AC$1005:$AS$1005,1,MATCH(COLUMNS($AC$1006:AC1006),$AC$1006:$AS$1006,0))&gt;=100000), " ",IF(INDEX($AC$2:$AS$1001,MATCH(ROWS($V$2:V130),$V$2:$V$1001,0),MATCH(COLUMNS($AC$1006:AC1006),$AC$1006:$AS$1006,0)), HYPERLINK("#",""), HYPERLINK(CONCATENATE("#metadata!", ADDRESS(INDEX($X$2:$X$1001,MATCH(ROWS($V$2:V130),$V$2:$V$1001,0),0), INDEX($AC$1004:$AS$1004,1,MATCH(COLUMNS($AC$1006:AC1006),$AC$1006:$AS$1006,0)))),"Fix")))</f>
        <v xml:space="preserve"> </v>
      </c>
      <c r="C130" s="4" t="str">
        <f ca="1">IF(OR(INDEX($W$2:$W$1001,MATCH(ROWS($V$2:V130),$V$2:$V$1001,0),1)&gt;=100000,INDEX($AC$1005:$AS$1005,1,MATCH(COLUMNS($AC$1006:AD1006),$AC$1006:$AS$1006,0))&gt;=100000), " ",IF(INDEX($AC$2:$AS$1001,MATCH(ROWS($V$2:V130),$V$2:$V$1001,0),MATCH(COLUMNS($AC$1006:AD1006),$AC$1006:$AS$1006,0)), HYPERLINK("#",""), HYPERLINK(CONCATENATE("#metadata!", ADDRESS(INDEX($X$2:$X$1001,MATCH(ROWS($V$2:V130),$V$2:$V$1001,0),0), INDEX($AC$1004:$AS$1004,1,MATCH(COLUMNS($AC$1006:AD1006),$AC$1006:$AS$1006,0)))),"Fix")))</f>
        <v xml:space="preserve"> </v>
      </c>
      <c r="D130" s="4" t="str">
        <f ca="1">IF(OR(INDEX($W$2:$W$1001,MATCH(ROWS($V$2:V130),$V$2:$V$1001,0),1)&gt;=100000,INDEX($AC$1005:$AS$1005,1,MATCH(COLUMNS($AC$1006:AE1006),$AC$1006:$AS$1006,0))&gt;=100000), " ",IF(INDEX($AC$2:$AS$1001,MATCH(ROWS($V$2:V130),$V$2:$V$1001,0),MATCH(COLUMNS($AC$1006:AE1006),$AC$1006:$AS$1006,0)), HYPERLINK("#",""), HYPERLINK(CONCATENATE("#metadata!", ADDRESS(INDEX($X$2:$X$1001,MATCH(ROWS($V$2:V130),$V$2:$V$1001,0),0), INDEX($AC$1004:$AS$1004,1,MATCH(COLUMNS($AC$1006:AE1006),$AC$1006:$AS$1006,0)))),"Fix")))</f>
        <v xml:space="preserve"> </v>
      </c>
      <c r="E130" s="4" t="str">
        <f ca="1">IF(OR(INDEX($W$2:$W$1001,MATCH(ROWS($V$2:V130),$V$2:$V$1001,0),1)&gt;=100000,INDEX($AC$1005:$AS$1005,1,MATCH(COLUMNS($AC$1006:AF1006),$AC$1006:$AS$1006,0))&gt;=100000), " ",IF(INDEX($AC$2:$AS$1001,MATCH(ROWS($V$2:V130),$V$2:$V$1001,0),MATCH(COLUMNS($AC$1006:AF1006),$AC$1006:$AS$1006,0)), HYPERLINK("#",""), HYPERLINK(CONCATENATE("#metadata!", ADDRESS(INDEX($X$2:$X$1001,MATCH(ROWS($V$2:V130),$V$2:$V$1001,0),0), INDEX($AC$1004:$AS$1004,1,MATCH(COLUMNS($AC$1006:AF1006),$AC$1006:$AS$1006,0)))),"Fix")))</f>
        <v xml:space="preserve"> </v>
      </c>
      <c r="F130" s="4" t="str">
        <f ca="1">IF(OR(INDEX($W$2:$W$1001,MATCH(ROWS($V$2:V130),$V$2:$V$1001,0),1)&gt;=100000,INDEX($AC$1005:$AS$1005,1,MATCH(COLUMNS($AC$1006:AG1006),$AC$1006:$AS$1006,0))&gt;=100000), " ",IF(INDEX($AC$2:$AS$1001,MATCH(ROWS($V$2:V130),$V$2:$V$1001,0),MATCH(COLUMNS($AC$1006:AG1006),$AC$1006:$AS$1006,0)), HYPERLINK("#",""), HYPERLINK(CONCATENATE("#metadata!", ADDRESS(INDEX($X$2:$X$1001,MATCH(ROWS($V$2:V130),$V$2:$V$1001,0),0), INDEX($AC$1004:$AS$1004,1,MATCH(COLUMNS($AC$1006:AG1006),$AC$1006:$AS$1006,0)))),"Fix")))</f>
        <v xml:space="preserve"> </v>
      </c>
      <c r="G130" s="4" t="str">
        <f ca="1">IF(OR(INDEX($W$2:$W$1001,MATCH(ROWS($V$2:V130),$V$2:$V$1001,0),1)&gt;=100000,INDEX($AC$1005:$AS$1005,1,MATCH(COLUMNS($AC$1006:AH1006),$AC$1006:$AS$1006,0))&gt;=100000), " ",IF(INDEX($AC$2:$AS$1001,MATCH(ROWS($V$2:V130),$V$2:$V$1001,0),MATCH(COLUMNS($AC$1006:AH1006),$AC$1006:$AS$1006,0)), HYPERLINK("#",""), HYPERLINK(CONCATENATE("#metadata!", ADDRESS(INDEX($X$2:$X$1001,MATCH(ROWS($V$2:V130),$V$2:$V$1001,0),0), INDEX($AC$1004:$AS$1004,1,MATCH(COLUMNS($AC$1006:AH1006),$AC$1006:$AS$1006,0)))),"Fix")))</f>
        <v xml:space="preserve"> </v>
      </c>
      <c r="H130" s="4" t="str">
        <f ca="1">IF(OR(INDEX($W$2:$W$1001,MATCH(ROWS($V$2:V130),$V$2:$V$1001,0),1)&gt;=100000,INDEX($AC$1005:$AS$1005,1,MATCH(COLUMNS($AC$1006:AI1006),$AC$1006:$AS$1006,0))&gt;=100000), " ",IF(INDEX($AC$2:$AS$1001,MATCH(ROWS($V$2:V130),$V$2:$V$1001,0),MATCH(COLUMNS($AC$1006:AI1006),$AC$1006:$AS$1006,0)), HYPERLINK("#",""), HYPERLINK(CONCATENATE("#metadata!", ADDRESS(INDEX($X$2:$X$1001,MATCH(ROWS($V$2:V130),$V$2:$V$1001,0),0), INDEX($AC$1004:$AS$1004,1,MATCH(COLUMNS($AC$1006:AI1006),$AC$1006:$AS$1006,0)))),"Fix")))</f>
        <v xml:space="preserve"> </v>
      </c>
      <c r="I130" s="4" t="str">
        <f ca="1">IF(OR(INDEX($W$2:$W$1001,MATCH(ROWS($V$2:V130),$V$2:$V$1001,0),1)&gt;=100000,INDEX($AC$1005:$AS$1005,1,MATCH(COLUMNS($AC$1006:AJ1006),$AC$1006:$AS$1006,0))&gt;=100000), " ",IF(INDEX($AC$2:$AS$1001,MATCH(ROWS($V$2:V130),$V$2:$V$1001,0),MATCH(COLUMNS($AC$1006:AJ1006),$AC$1006:$AS$1006,0)), HYPERLINK("#",""), HYPERLINK(CONCATENATE("#metadata!", ADDRESS(INDEX($X$2:$X$1001,MATCH(ROWS($V$2:V130),$V$2:$V$1001,0),0), INDEX($AC$1004:$AS$1004,1,MATCH(COLUMNS($AC$1006:AJ1006),$AC$1006:$AS$1006,0)))),"Fix")))</f>
        <v xml:space="preserve"> </v>
      </c>
      <c r="J130" s="4" t="str">
        <f ca="1">IF(OR(INDEX($W$2:$W$1001,MATCH(ROWS($V$2:V130),$V$2:$V$1001,0),1)&gt;=100000,INDEX($AC$1005:$AS$1005,1,MATCH(COLUMNS($AC$1006:AK1006),$AC$1006:$AS$1006,0))&gt;=100000), " ",IF(INDEX($AC$2:$AS$1001,MATCH(ROWS($V$2:V130),$V$2:$V$1001,0),MATCH(COLUMNS($AC$1006:AK1006),$AC$1006:$AS$1006,0)), HYPERLINK("#",""), HYPERLINK(CONCATENATE("#metadata!", ADDRESS(INDEX($X$2:$X$1001,MATCH(ROWS($V$2:V130),$V$2:$V$1001,0),0), INDEX($AC$1004:$AS$1004,1,MATCH(COLUMNS($AC$1006:AK1006),$AC$1006:$AS$1006,0)))),"Fix")))</f>
        <v xml:space="preserve"> </v>
      </c>
      <c r="K130" s="4" t="str">
        <f ca="1">IF(OR(INDEX($W$2:$W$1001,MATCH(ROWS($V$2:V130),$V$2:$V$1001,0),1)&gt;=100000,INDEX($AC$1005:$AS$1005,1,MATCH(COLUMNS($AC$1006:AL1006),$AC$1006:$AS$1006,0))&gt;=100000), " ",IF(INDEX($AC$2:$AS$1001,MATCH(ROWS($V$2:V130),$V$2:$V$1001,0),MATCH(COLUMNS($AC$1006:AL1006),$AC$1006:$AS$1006,0)), HYPERLINK("#",""), HYPERLINK(CONCATENATE("#metadata!", ADDRESS(INDEX($X$2:$X$1001,MATCH(ROWS($V$2:V130),$V$2:$V$1001,0),0), INDEX($AC$1004:$AS$1004,1,MATCH(COLUMNS($AC$1006:AL1006),$AC$1006:$AS$1006,0)))),"Fix")))</f>
        <v xml:space="preserve"> </v>
      </c>
      <c r="L130" s="4" t="str">
        <f ca="1">IF(OR(INDEX($W$2:$W$1001,MATCH(ROWS($V$2:V130),$V$2:$V$1001,0),1)&gt;=100000,INDEX($AC$1005:$AS$1005,1,MATCH(COLUMNS($AC$1006:AM1006),$AC$1006:$AS$1006,0))&gt;=100000), " ",IF(INDEX($AC$2:$AS$1001,MATCH(ROWS($V$2:V130),$V$2:$V$1001,0),MATCH(COLUMNS($AC$1006:AM1006),$AC$1006:$AS$1006,0)), HYPERLINK("#",""), HYPERLINK(CONCATENATE("#metadata!", ADDRESS(INDEX($X$2:$X$1001,MATCH(ROWS($V$2:V130),$V$2:$V$1001,0),0), INDEX($AC$1004:$AS$1004,1,MATCH(COLUMNS($AC$1006:AM1006),$AC$1006:$AS$1006,0)))),"Fix")))</f>
        <v xml:space="preserve"> </v>
      </c>
      <c r="M130" s="4" t="str">
        <f ca="1">IF(OR(INDEX($W$2:$W$1001,MATCH(ROWS($V$2:V130),$V$2:$V$1001,0),1)&gt;=100000,INDEX($AC$1005:$AS$1005,1,MATCH(COLUMNS($AC$1006:AN1006),$AC$1006:$AS$1006,0))&gt;=100000), " ",IF(INDEX($AC$2:$AS$1001,MATCH(ROWS($V$2:V130),$V$2:$V$1001,0),MATCH(COLUMNS($AC$1006:AN1006),$AC$1006:$AS$1006,0)), HYPERLINK("#",""), HYPERLINK(CONCATENATE("#metadata!", ADDRESS(INDEX($X$2:$X$1001,MATCH(ROWS($V$2:V130),$V$2:$V$1001,0),0), INDEX($AC$1004:$AS$1004,1,MATCH(COLUMNS($AC$1006:AN1006),$AC$1006:$AS$1006,0)))),"Fix")))</f>
        <v xml:space="preserve"> </v>
      </c>
      <c r="N130" s="4" t="str">
        <f ca="1">IF(OR(INDEX($W$2:$W$1001,MATCH(ROWS($V$2:V130),$V$2:$V$1001,0),1)&gt;=100000,INDEX($AC$1005:$AS$1005,1,MATCH(COLUMNS($AC$1006:AO1006),$AC$1006:$AS$1006,0))&gt;=100000), " ",IF(INDEX($AC$2:$AS$1001,MATCH(ROWS($V$2:V130),$V$2:$V$1001,0),MATCH(COLUMNS($AC$1006:AO1006),$AC$1006:$AS$1006,0)), HYPERLINK("#",""), HYPERLINK(CONCATENATE("#metadata!", ADDRESS(INDEX($X$2:$X$1001,MATCH(ROWS($V$2:V130),$V$2:$V$1001,0),0), INDEX($AC$1004:$AS$1004,1,MATCH(COLUMNS($AC$1006:AO1006),$AC$1006:$AS$1006,0)))),"Fix")))</f>
        <v xml:space="preserve"> </v>
      </c>
      <c r="O130" s="4" t="str">
        <f ca="1">IF(OR(INDEX($W$2:$W$1001,MATCH(ROWS($V$2:V130),$V$2:$V$1001,0),1)&gt;=100000,INDEX($AC$1005:$AS$1005,1,MATCH(COLUMNS($AC$1006:AP1006),$AC$1006:$AS$1006,0))&gt;=100000), " ",IF(INDEX($AC$2:$AS$1001,MATCH(ROWS($V$2:V130),$V$2:$V$1001,0),MATCH(COLUMNS($AC$1006:AP1006),$AC$1006:$AS$1006,0)), HYPERLINK("#",""), HYPERLINK(CONCATENATE("#metadata!", ADDRESS(INDEX($X$2:$X$1001,MATCH(ROWS($V$2:V130),$V$2:$V$1001,0),0), INDEX($AC$1004:$AS$1004,1,MATCH(COLUMNS($AC$1006:AP1006),$AC$1006:$AS$1006,0)))),"Fix")))</f>
        <v xml:space="preserve"> </v>
      </c>
      <c r="P130" s="4" t="str">
        <f ca="1">IF(OR(INDEX($W$2:$W$1001,MATCH(ROWS($V$2:V130),$V$2:$V$1001,0),1)&gt;=100000,INDEX($AC$1005:$AS$1005,1,MATCH(COLUMNS($AC$1006:AQ1006),$AC$1006:$AS$1006,0))&gt;=100000), " ",IF(INDEX($AC$2:$AS$1001,MATCH(ROWS($V$2:V130),$V$2:$V$1001,0),MATCH(COLUMNS($AC$1006:AQ1006),$AC$1006:$AS$1006,0)), HYPERLINK("#",""), HYPERLINK(CONCATENATE("#metadata!", ADDRESS(INDEX($X$2:$X$1001,MATCH(ROWS($V$2:V130),$V$2:$V$1001,0),0), INDEX($AC$1004:$AS$1004,1,MATCH(COLUMNS($AC$1006:AQ1006),$AC$1006:$AS$1006,0)))),"Fix")))</f>
        <v xml:space="preserve"> </v>
      </c>
      <c r="Q130" s="4" t="str">
        <f ca="1">IF(OR(INDEX($W$2:$W$1001,MATCH(ROWS($V$2:V130),$V$2:$V$1001,0),1)&gt;=100000,INDEX($AC$1005:$AS$1005,1,MATCH(COLUMNS($AC$1006:AR1006),$AC$1006:$AS$1006,0))&gt;=100000), " ",IF(INDEX($AC$2:$AS$1001,MATCH(ROWS($V$2:V130),$V$2:$V$1001,0),MATCH(COLUMNS($AC$1006:AR1006),$AC$1006:$AS$1006,0)), HYPERLINK("#",""), HYPERLINK(CONCATENATE("#metadata!", ADDRESS(INDEX($X$2:$X$1001,MATCH(ROWS($V$2:V130),$V$2:$V$1001,0),0), INDEX($AC$1004:$AS$1004,1,MATCH(COLUMNS($AC$1006:AR1006),$AC$1006:$AS$1006,0)))),"Fix")))</f>
        <v xml:space="preserve"> </v>
      </c>
      <c r="R130" s="4" t="str">
        <f ca="1">IF(OR(INDEX($W$2:$W$1001,MATCH(ROWS($V$2:V130),$V$2:$V$1001,0),1)&gt;=100000,INDEX($AC$1005:$AS$1005,1,MATCH(COLUMNS($AC$1006:AS1006),$AC$1006:$AS$1006,0))&gt;=100000), " ",IF(INDEX($AC$2:$AS$1001,MATCH(ROWS($V$2:V130),$V$2:$V$1001,0),MATCH(COLUMNS($AC$1006:AS1006),$AC$1006:$AS$1006,0)), HYPERLINK("#",""), HYPERLINK(CONCATENATE("#metadata!", ADDRESS(INDEX($X$2:$X$1001,MATCH(ROWS($V$2:V130),$V$2:$V$1001,0),0), INDEX($AC$1004:$AS$1004,1,MATCH(COLUMNS($AC$1006:AS1006),$AC$1006:$AS$1006,0)))),"Fix")))</f>
        <v xml:space="preserve"> </v>
      </c>
      <c r="V130">
        <v>129</v>
      </c>
      <c r="W130">
        <v>100130</v>
      </c>
      <c r="X130">
        <v>130</v>
      </c>
      <c r="Y130" t="b">
        <f t="shared" ref="Y130:Y193" si="2">IF(Z130,TRUE,AND(AC130:AS130))</f>
        <v>1</v>
      </c>
      <c r="Z130" t="b">
        <f>COUNTBLANK(metadata!B130:R130)=COLUMNS(metadata!B130:R130)</f>
        <v>1</v>
      </c>
      <c r="AA130" t="str">
        <v/>
      </c>
      <c r="AC130" t="b">
        <f ca="1"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AD130" t="b">
        <f>IF(metadata!C130="",FALSE,ISNUMBER(VALUE(metadata!C130)))</f>
        <v>0</v>
      </c>
      <c r="AE130" t="b">
        <f>AND(IF(metadata!D130="",FALSE,TRUE),EXACT(metadata!D130,"years"))</f>
        <v>0</v>
      </c>
      <c r="AF130" t="b">
        <f>OR(AND(IF(metadata!E130="",FALSE,TRUE),OR(EXACT(metadata!E130,"not applicable"),EXACT(metadata!E130,"missing: not collected"),EXACT(metadata!E130,"missing: not provided"),EXACT(metadata!E130,"missing: restricted access"))),AND(IF(metadata!E130="",FALSE,ISNUMBER(VALUE(metadata!E130))),metadata!E130&gt;0))</f>
        <v>0</v>
      </c>
      <c r="AG130" t="b">
        <f>AND(IF(metadata!F130="",FALSE,TRUE),EXACT(metadata!F130,"Not applicable"))</f>
        <v>0</v>
      </c>
      <c r="AH130" t="b">
        <f>AND(IF(metadata!G130="",FALSE,TRUE),EXACT(metadata!G130,"urban biome"))</f>
        <v>0</v>
      </c>
      <c r="AI130" t="b">
        <f>AND(IF(metadata!H130="",FALSE,TRUE),EXACT(metadata!H130,"human-associated habitat"))</f>
        <v>0</v>
      </c>
      <c r="AJ130" t="b">
        <f>AND(IF(metadata!I130="",FALSE,TRUE),OR(EXACT(metadata!I130,"human-associated"),EXACT(metadata!I130,"human-skin"),EXACT(metadata!I130,"human-oral"),EXACT(metadata!I130,"human-gut"),EXACT(metadata!I130,"human-vaginal")))</f>
        <v>0</v>
      </c>
      <c r="AK130" t="b">
        <f>IF(metadata!J130="",FALSE,ISNUMBER(VALUE(metadata!J130)))</f>
        <v>0</v>
      </c>
      <c r="AL130" t="b">
        <f>AND(IF(metadata!K130="",FALSE,TRUE),EXACT(metadata!K130,"cm"))</f>
        <v>0</v>
      </c>
      <c r="AM130" t="b">
        <f>AND(IF(metadata!L130="",FALSE,TRUE),EXACT(metadata!L130,"human"))</f>
        <v>0</v>
      </c>
      <c r="AN130" t="b">
        <f>AND(IF(metadata!M130="",FALSE,TRUE),EXACT(metadata!M130,"Homo sapiens"))</f>
        <v>0</v>
      </c>
      <c r="AO130" t="b">
        <f>AND(IF(metadata!N130="",FALSE,TRUE),EXACT(metadata!N130,"9606"))</f>
        <v>0</v>
      </c>
      <c r="AP130" t="b">
        <f>IF(metadata!O130="",FALSE,TRUE)</f>
        <v>0</v>
      </c>
      <c r="AQ130" t="b">
        <f>IF(metadata!P130="",FALSE,TRUE)</f>
        <v>0</v>
      </c>
      <c r="AR130" t="b">
        <f>IF(metadata!Q130="",FALSE,ISNUMBER(VALUE(metadata!Q130)))</f>
        <v>0</v>
      </c>
      <c r="AS130" t="b">
        <f>AND(IF(metadata!R130="",FALSE,TRUE),EXACT(metadata!R130,"kg"))</f>
        <v>0</v>
      </c>
    </row>
    <row r="131" spans="1:45" x14ac:dyDescent="0.2">
      <c r="A131" s="5" t="str">
        <f ca="1">IF(B131=" "," ",HYPERLINK(CONCATENATE("#metadata!",ADDRESS(INDEX($X$2:$X$1001,MATCH(ROWS($V$2:V131),$V$2:$V$1001,0),0),1)),INDEX($AA$2:$AA$1001,MATCH(ROWS($V$2:V131),$V$2:$V$1001,0),0)))</f>
        <v xml:space="preserve"> </v>
      </c>
      <c r="B131" s="4" t="str">
        <f ca="1">IF(OR(INDEX($W$2:$W$1001,MATCH(ROWS($V$2:V131),$V$2:$V$1001,0),1)&gt;=100000,INDEX($AC$1005:$AS$1005,1,MATCH(COLUMNS($AC$1006:AC1006),$AC$1006:$AS$1006,0))&gt;=100000), " ",IF(INDEX($AC$2:$AS$1001,MATCH(ROWS($V$2:V131),$V$2:$V$1001,0),MATCH(COLUMNS($AC$1006:AC1006),$AC$1006:$AS$1006,0)), HYPERLINK("#",""), HYPERLINK(CONCATENATE("#metadata!", ADDRESS(INDEX($X$2:$X$1001,MATCH(ROWS($V$2:V131),$V$2:$V$1001,0),0), INDEX($AC$1004:$AS$1004,1,MATCH(COLUMNS($AC$1006:AC1006),$AC$1006:$AS$1006,0)))),"Fix")))</f>
        <v xml:space="preserve"> </v>
      </c>
      <c r="C131" s="4" t="str">
        <f ca="1">IF(OR(INDEX($W$2:$W$1001,MATCH(ROWS($V$2:V131),$V$2:$V$1001,0),1)&gt;=100000,INDEX($AC$1005:$AS$1005,1,MATCH(COLUMNS($AC$1006:AD1006),$AC$1006:$AS$1006,0))&gt;=100000), " ",IF(INDEX($AC$2:$AS$1001,MATCH(ROWS($V$2:V131),$V$2:$V$1001,0),MATCH(COLUMNS($AC$1006:AD1006),$AC$1006:$AS$1006,0)), HYPERLINK("#",""), HYPERLINK(CONCATENATE("#metadata!", ADDRESS(INDEX($X$2:$X$1001,MATCH(ROWS($V$2:V131),$V$2:$V$1001,0),0), INDEX($AC$1004:$AS$1004,1,MATCH(COLUMNS($AC$1006:AD1006),$AC$1006:$AS$1006,0)))),"Fix")))</f>
        <v xml:space="preserve"> </v>
      </c>
      <c r="D131" s="4" t="str">
        <f ca="1">IF(OR(INDEX($W$2:$W$1001,MATCH(ROWS($V$2:V131),$V$2:$V$1001,0),1)&gt;=100000,INDEX($AC$1005:$AS$1005,1,MATCH(COLUMNS($AC$1006:AE1006),$AC$1006:$AS$1006,0))&gt;=100000), " ",IF(INDEX($AC$2:$AS$1001,MATCH(ROWS($V$2:V131),$V$2:$V$1001,0),MATCH(COLUMNS($AC$1006:AE1006),$AC$1006:$AS$1006,0)), HYPERLINK("#",""), HYPERLINK(CONCATENATE("#metadata!", ADDRESS(INDEX($X$2:$X$1001,MATCH(ROWS($V$2:V131),$V$2:$V$1001,0),0), INDEX($AC$1004:$AS$1004,1,MATCH(COLUMNS($AC$1006:AE1006),$AC$1006:$AS$1006,0)))),"Fix")))</f>
        <v xml:space="preserve"> </v>
      </c>
      <c r="E131" s="4" t="str">
        <f ca="1">IF(OR(INDEX($W$2:$W$1001,MATCH(ROWS($V$2:V131),$V$2:$V$1001,0),1)&gt;=100000,INDEX($AC$1005:$AS$1005,1,MATCH(COLUMNS($AC$1006:AF1006),$AC$1006:$AS$1006,0))&gt;=100000), " ",IF(INDEX($AC$2:$AS$1001,MATCH(ROWS($V$2:V131),$V$2:$V$1001,0),MATCH(COLUMNS($AC$1006:AF1006),$AC$1006:$AS$1006,0)), HYPERLINK("#",""), HYPERLINK(CONCATENATE("#metadata!", ADDRESS(INDEX($X$2:$X$1001,MATCH(ROWS($V$2:V131),$V$2:$V$1001,0),0), INDEX($AC$1004:$AS$1004,1,MATCH(COLUMNS($AC$1006:AF1006),$AC$1006:$AS$1006,0)))),"Fix")))</f>
        <v xml:space="preserve"> </v>
      </c>
      <c r="F131" s="4" t="str">
        <f ca="1">IF(OR(INDEX($W$2:$W$1001,MATCH(ROWS($V$2:V131),$V$2:$V$1001,0),1)&gt;=100000,INDEX($AC$1005:$AS$1005,1,MATCH(COLUMNS($AC$1006:AG1006),$AC$1006:$AS$1006,0))&gt;=100000), " ",IF(INDEX($AC$2:$AS$1001,MATCH(ROWS($V$2:V131),$V$2:$V$1001,0),MATCH(COLUMNS($AC$1006:AG1006),$AC$1006:$AS$1006,0)), HYPERLINK("#",""), HYPERLINK(CONCATENATE("#metadata!", ADDRESS(INDEX($X$2:$X$1001,MATCH(ROWS($V$2:V131),$V$2:$V$1001,0),0), INDEX($AC$1004:$AS$1004,1,MATCH(COLUMNS($AC$1006:AG1006),$AC$1006:$AS$1006,0)))),"Fix")))</f>
        <v xml:space="preserve"> </v>
      </c>
      <c r="G131" s="4" t="str">
        <f ca="1">IF(OR(INDEX($W$2:$W$1001,MATCH(ROWS($V$2:V131),$V$2:$V$1001,0),1)&gt;=100000,INDEX($AC$1005:$AS$1005,1,MATCH(COLUMNS($AC$1006:AH1006),$AC$1006:$AS$1006,0))&gt;=100000), " ",IF(INDEX($AC$2:$AS$1001,MATCH(ROWS($V$2:V131),$V$2:$V$1001,0),MATCH(COLUMNS($AC$1006:AH1006),$AC$1006:$AS$1006,0)), HYPERLINK("#",""), HYPERLINK(CONCATENATE("#metadata!", ADDRESS(INDEX($X$2:$X$1001,MATCH(ROWS($V$2:V131),$V$2:$V$1001,0),0), INDEX($AC$1004:$AS$1004,1,MATCH(COLUMNS($AC$1006:AH1006),$AC$1006:$AS$1006,0)))),"Fix")))</f>
        <v xml:space="preserve"> </v>
      </c>
      <c r="H131" s="4" t="str">
        <f ca="1">IF(OR(INDEX($W$2:$W$1001,MATCH(ROWS($V$2:V131),$V$2:$V$1001,0),1)&gt;=100000,INDEX($AC$1005:$AS$1005,1,MATCH(COLUMNS($AC$1006:AI1006),$AC$1006:$AS$1006,0))&gt;=100000), " ",IF(INDEX($AC$2:$AS$1001,MATCH(ROWS($V$2:V131),$V$2:$V$1001,0),MATCH(COLUMNS($AC$1006:AI1006),$AC$1006:$AS$1006,0)), HYPERLINK("#",""), HYPERLINK(CONCATENATE("#metadata!", ADDRESS(INDEX($X$2:$X$1001,MATCH(ROWS($V$2:V131),$V$2:$V$1001,0),0), INDEX($AC$1004:$AS$1004,1,MATCH(COLUMNS($AC$1006:AI1006),$AC$1006:$AS$1006,0)))),"Fix")))</f>
        <v xml:space="preserve"> </v>
      </c>
      <c r="I131" s="4" t="str">
        <f ca="1">IF(OR(INDEX($W$2:$W$1001,MATCH(ROWS($V$2:V131),$V$2:$V$1001,0),1)&gt;=100000,INDEX($AC$1005:$AS$1005,1,MATCH(COLUMNS($AC$1006:AJ1006),$AC$1006:$AS$1006,0))&gt;=100000), " ",IF(INDEX($AC$2:$AS$1001,MATCH(ROWS($V$2:V131),$V$2:$V$1001,0),MATCH(COLUMNS($AC$1006:AJ1006),$AC$1006:$AS$1006,0)), HYPERLINK("#",""), HYPERLINK(CONCATENATE("#metadata!", ADDRESS(INDEX($X$2:$X$1001,MATCH(ROWS($V$2:V131),$V$2:$V$1001,0),0), INDEX($AC$1004:$AS$1004,1,MATCH(COLUMNS($AC$1006:AJ1006),$AC$1006:$AS$1006,0)))),"Fix")))</f>
        <v xml:space="preserve"> </v>
      </c>
      <c r="J131" s="4" t="str">
        <f ca="1">IF(OR(INDEX($W$2:$W$1001,MATCH(ROWS($V$2:V131),$V$2:$V$1001,0),1)&gt;=100000,INDEX($AC$1005:$AS$1005,1,MATCH(COLUMNS($AC$1006:AK1006),$AC$1006:$AS$1006,0))&gt;=100000), " ",IF(INDEX($AC$2:$AS$1001,MATCH(ROWS($V$2:V131),$V$2:$V$1001,0),MATCH(COLUMNS($AC$1006:AK1006),$AC$1006:$AS$1006,0)), HYPERLINK("#",""), HYPERLINK(CONCATENATE("#metadata!", ADDRESS(INDEX($X$2:$X$1001,MATCH(ROWS($V$2:V131),$V$2:$V$1001,0),0), INDEX($AC$1004:$AS$1004,1,MATCH(COLUMNS($AC$1006:AK1006),$AC$1006:$AS$1006,0)))),"Fix")))</f>
        <v xml:space="preserve"> </v>
      </c>
      <c r="K131" s="4" t="str">
        <f ca="1">IF(OR(INDEX($W$2:$W$1001,MATCH(ROWS($V$2:V131),$V$2:$V$1001,0),1)&gt;=100000,INDEX($AC$1005:$AS$1005,1,MATCH(COLUMNS($AC$1006:AL1006),$AC$1006:$AS$1006,0))&gt;=100000), " ",IF(INDEX($AC$2:$AS$1001,MATCH(ROWS($V$2:V131),$V$2:$V$1001,0),MATCH(COLUMNS($AC$1006:AL1006),$AC$1006:$AS$1006,0)), HYPERLINK("#",""), HYPERLINK(CONCATENATE("#metadata!", ADDRESS(INDEX($X$2:$X$1001,MATCH(ROWS($V$2:V131),$V$2:$V$1001,0),0), INDEX($AC$1004:$AS$1004,1,MATCH(COLUMNS($AC$1006:AL1006),$AC$1006:$AS$1006,0)))),"Fix")))</f>
        <v xml:space="preserve"> </v>
      </c>
      <c r="L131" s="4" t="str">
        <f ca="1">IF(OR(INDEX($W$2:$W$1001,MATCH(ROWS($V$2:V131),$V$2:$V$1001,0),1)&gt;=100000,INDEX($AC$1005:$AS$1005,1,MATCH(COLUMNS($AC$1006:AM1006),$AC$1006:$AS$1006,0))&gt;=100000), " ",IF(INDEX($AC$2:$AS$1001,MATCH(ROWS($V$2:V131),$V$2:$V$1001,0),MATCH(COLUMNS($AC$1006:AM1006),$AC$1006:$AS$1006,0)), HYPERLINK("#",""), HYPERLINK(CONCATENATE("#metadata!", ADDRESS(INDEX($X$2:$X$1001,MATCH(ROWS($V$2:V131),$V$2:$V$1001,0),0), INDEX($AC$1004:$AS$1004,1,MATCH(COLUMNS($AC$1006:AM1006),$AC$1006:$AS$1006,0)))),"Fix")))</f>
        <v xml:space="preserve"> </v>
      </c>
      <c r="M131" s="4" t="str">
        <f ca="1">IF(OR(INDEX($W$2:$W$1001,MATCH(ROWS($V$2:V131),$V$2:$V$1001,0),1)&gt;=100000,INDEX($AC$1005:$AS$1005,1,MATCH(COLUMNS($AC$1006:AN1006),$AC$1006:$AS$1006,0))&gt;=100000), " ",IF(INDEX($AC$2:$AS$1001,MATCH(ROWS($V$2:V131),$V$2:$V$1001,0),MATCH(COLUMNS($AC$1006:AN1006),$AC$1006:$AS$1006,0)), HYPERLINK("#",""), HYPERLINK(CONCATENATE("#metadata!", ADDRESS(INDEX($X$2:$X$1001,MATCH(ROWS($V$2:V131),$V$2:$V$1001,0),0), INDEX($AC$1004:$AS$1004,1,MATCH(COLUMNS($AC$1006:AN1006),$AC$1006:$AS$1006,0)))),"Fix")))</f>
        <v xml:space="preserve"> </v>
      </c>
      <c r="N131" s="4" t="str">
        <f ca="1">IF(OR(INDEX($W$2:$W$1001,MATCH(ROWS($V$2:V131),$V$2:$V$1001,0),1)&gt;=100000,INDEX($AC$1005:$AS$1005,1,MATCH(COLUMNS($AC$1006:AO1006),$AC$1006:$AS$1006,0))&gt;=100000), " ",IF(INDEX($AC$2:$AS$1001,MATCH(ROWS($V$2:V131),$V$2:$V$1001,0),MATCH(COLUMNS($AC$1006:AO1006),$AC$1006:$AS$1006,0)), HYPERLINK("#",""), HYPERLINK(CONCATENATE("#metadata!", ADDRESS(INDEX($X$2:$X$1001,MATCH(ROWS($V$2:V131),$V$2:$V$1001,0),0), INDEX($AC$1004:$AS$1004,1,MATCH(COLUMNS($AC$1006:AO1006),$AC$1006:$AS$1006,0)))),"Fix")))</f>
        <v xml:space="preserve"> </v>
      </c>
      <c r="O131" s="4" t="str">
        <f ca="1">IF(OR(INDEX($W$2:$W$1001,MATCH(ROWS($V$2:V131),$V$2:$V$1001,0),1)&gt;=100000,INDEX($AC$1005:$AS$1005,1,MATCH(COLUMNS($AC$1006:AP1006),$AC$1006:$AS$1006,0))&gt;=100000), " ",IF(INDEX($AC$2:$AS$1001,MATCH(ROWS($V$2:V131),$V$2:$V$1001,0),MATCH(COLUMNS($AC$1006:AP1006),$AC$1006:$AS$1006,0)), HYPERLINK("#",""), HYPERLINK(CONCATENATE("#metadata!", ADDRESS(INDEX($X$2:$X$1001,MATCH(ROWS($V$2:V131),$V$2:$V$1001,0),0), INDEX($AC$1004:$AS$1004,1,MATCH(COLUMNS($AC$1006:AP1006),$AC$1006:$AS$1006,0)))),"Fix")))</f>
        <v xml:space="preserve"> </v>
      </c>
      <c r="P131" s="4" t="str">
        <f ca="1">IF(OR(INDEX($W$2:$W$1001,MATCH(ROWS($V$2:V131),$V$2:$V$1001,0),1)&gt;=100000,INDEX($AC$1005:$AS$1005,1,MATCH(COLUMNS($AC$1006:AQ1006),$AC$1006:$AS$1006,0))&gt;=100000), " ",IF(INDEX($AC$2:$AS$1001,MATCH(ROWS($V$2:V131),$V$2:$V$1001,0),MATCH(COLUMNS($AC$1006:AQ1006),$AC$1006:$AS$1006,0)), HYPERLINK("#",""), HYPERLINK(CONCATENATE("#metadata!", ADDRESS(INDEX($X$2:$X$1001,MATCH(ROWS($V$2:V131),$V$2:$V$1001,0),0), INDEX($AC$1004:$AS$1004,1,MATCH(COLUMNS($AC$1006:AQ1006),$AC$1006:$AS$1006,0)))),"Fix")))</f>
        <v xml:space="preserve"> </v>
      </c>
      <c r="Q131" s="4" t="str">
        <f ca="1">IF(OR(INDEX($W$2:$W$1001,MATCH(ROWS($V$2:V131),$V$2:$V$1001,0),1)&gt;=100000,INDEX($AC$1005:$AS$1005,1,MATCH(COLUMNS($AC$1006:AR1006),$AC$1006:$AS$1006,0))&gt;=100000), " ",IF(INDEX($AC$2:$AS$1001,MATCH(ROWS($V$2:V131),$V$2:$V$1001,0),MATCH(COLUMNS($AC$1006:AR1006),$AC$1006:$AS$1006,0)), HYPERLINK("#",""), HYPERLINK(CONCATENATE("#metadata!", ADDRESS(INDEX($X$2:$X$1001,MATCH(ROWS($V$2:V131),$V$2:$V$1001,0),0), INDEX($AC$1004:$AS$1004,1,MATCH(COLUMNS($AC$1006:AR1006),$AC$1006:$AS$1006,0)))),"Fix")))</f>
        <v xml:space="preserve"> </v>
      </c>
      <c r="R131" s="4" t="str">
        <f ca="1">IF(OR(INDEX($W$2:$W$1001,MATCH(ROWS($V$2:V131),$V$2:$V$1001,0),1)&gt;=100000,INDEX($AC$1005:$AS$1005,1,MATCH(COLUMNS($AC$1006:AS1006),$AC$1006:$AS$1006,0))&gt;=100000), " ",IF(INDEX($AC$2:$AS$1001,MATCH(ROWS($V$2:V131),$V$2:$V$1001,0),MATCH(COLUMNS($AC$1006:AS1006),$AC$1006:$AS$1006,0)), HYPERLINK("#",""), HYPERLINK(CONCATENATE("#metadata!", ADDRESS(INDEX($X$2:$X$1001,MATCH(ROWS($V$2:V131),$V$2:$V$1001,0),0), INDEX($AC$1004:$AS$1004,1,MATCH(COLUMNS($AC$1006:AS1006),$AC$1006:$AS$1006,0)))),"Fix")))</f>
        <v xml:space="preserve"> </v>
      </c>
      <c r="V131">
        <v>130</v>
      </c>
      <c r="W131">
        <v>100131</v>
      </c>
      <c r="X131">
        <v>131</v>
      </c>
      <c r="Y131" t="b">
        <f t="shared" si="2"/>
        <v>1</v>
      </c>
      <c r="Z131" t="b">
        <f>COUNTBLANK(metadata!B131:R131)=COLUMNS(metadata!B131:R131)</f>
        <v>1</v>
      </c>
      <c r="AA131" t="str">
        <v/>
      </c>
      <c r="AC131" t="b">
        <f ca="1"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AD131" t="b">
        <f>IF(metadata!C131="",FALSE,ISNUMBER(VALUE(metadata!C131)))</f>
        <v>0</v>
      </c>
      <c r="AE131" t="b">
        <f>AND(IF(metadata!D131="",FALSE,TRUE),EXACT(metadata!D131,"years"))</f>
        <v>0</v>
      </c>
      <c r="AF131" t="b">
        <f>OR(AND(IF(metadata!E131="",FALSE,TRUE),OR(EXACT(metadata!E131,"not applicable"),EXACT(metadata!E131,"missing: not collected"),EXACT(metadata!E131,"missing: not provided"),EXACT(metadata!E131,"missing: restricted access"))),AND(IF(metadata!E131="",FALSE,ISNUMBER(VALUE(metadata!E131))),metadata!E131&gt;0))</f>
        <v>0</v>
      </c>
      <c r="AG131" t="b">
        <f>AND(IF(metadata!F131="",FALSE,TRUE),EXACT(metadata!F131,"Not applicable"))</f>
        <v>0</v>
      </c>
      <c r="AH131" t="b">
        <f>AND(IF(metadata!G131="",FALSE,TRUE),EXACT(metadata!G131,"urban biome"))</f>
        <v>0</v>
      </c>
      <c r="AI131" t="b">
        <f>AND(IF(metadata!H131="",FALSE,TRUE),EXACT(metadata!H131,"human-associated habitat"))</f>
        <v>0</v>
      </c>
      <c r="AJ131" t="b">
        <f>AND(IF(metadata!I131="",FALSE,TRUE),OR(EXACT(metadata!I131,"human-associated"),EXACT(metadata!I131,"human-skin"),EXACT(metadata!I131,"human-oral"),EXACT(metadata!I131,"human-gut"),EXACT(metadata!I131,"human-vaginal")))</f>
        <v>0</v>
      </c>
      <c r="AK131" t="b">
        <f>IF(metadata!J131="",FALSE,ISNUMBER(VALUE(metadata!J131)))</f>
        <v>0</v>
      </c>
      <c r="AL131" t="b">
        <f>AND(IF(metadata!K131="",FALSE,TRUE),EXACT(metadata!K131,"cm"))</f>
        <v>0</v>
      </c>
      <c r="AM131" t="b">
        <f>AND(IF(metadata!L131="",FALSE,TRUE),EXACT(metadata!L131,"human"))</f>
        <v>0</v>
      </c>
      <c r="AN131" t="b">
        <f>AND(IF(metadata!M131="",FALSE,TRUE),EXACT(metadata!M131,"Homo sapiens"))</f>
        <v>0</v>
      </c>
      <c r="AO131" t="b">
        <f>AND(IF(metadata!N131="",FALSE,TRUE),EXACT(metadata!N131,"9606"))</f>
        <v>0</v>
      </c>
      <c r="AP131" t="b">
        <f>IF(metadata!O131="",FALSE,TRUE)</f>
        <v>0</v>
      </c>
      <c r="AQ131" t="b">
        <f>IF(metadata!P131="",FALSE,TRUE)</f>
        <v>0</v>
      </c>
      <c r="AR131" t="b">
        <f>IF(metadata!Q131="",FALSE,ISNUMBER(VALUE(metadata!Q131)))</f>
        <v>0</v>
      </c>
      <c r="AS131" t="b">
        <f>AND(IF(metadata!R131="",FALSE,TRUE),EXACT(metadata!R131,"kg"))</f>
        <v>0</v>
      </c>
    </row>
    <row r="132" spans="1:45" x14ac:dyDescent="0.2">
      <c r="A132" s="5" t="str">
        <f ca="1">IF(B132=" "," ",HYPERLINK(CONCATENATE("#metadata!",ADDRESS(INDEX($X$2:$X$1001,MATCH(ROWS($V$2:V132),$V$2:$V$1001,0),0),1)),INDEX($AA$2:$AA$1001,MATCH(ROWS($V$2:V132),$V$2:$V$1001,0),0)))</f>
        <v xml:space="preserve"> </v>
      </c>
      <c r="B132" s="4" t="str">
        <f ca="1">IF(OR(INDEX($W$2:$W$1001,MATCH(ROWS($V$2:V132),$V$2:$V$1001,0),1)&gt;=100000,INDEX($AC$1005:$AS$1005,1,MATCH(COLUMNS($AC$1006:AC1006),$AC$1006:$AS$1006,0))&gt;=100000), " ",IF(INDEX($AC$2:$AS$1001,MATCH(ROWS($V$2:V132),$V$2:$V$1001,0),MATCH(COLUMNS($AC$1006:AC1006),$AC$1006:$AS$1006,0)), HYPERLINK("#",""), HYPERLINK(CONCATENATE("#metadata!", ADDRESS(INDEX($X$2:$X$1001,MATCH(ROWS($V$2:V132),$V$2:$V$1001,0),0), INDEX($AC$1004:$AS$1004,1,MATCH(COLUMNS($AC$1006:AC1006),$AC$1006:$AS$1006,0)))),"Fix")))</f>
        <v xml:space="preserve"> </v>
      </c>
      <c r="C132" s="4" t="str">
        <f ca="1">IF(OR(INDEX($W$2:$W$1001,MATCH(ROWS($V$2:V132),$V$2:$V$1001,0),1)&gt;=100000,INDEX($AC$1005:$AS$1005,1,MATCH(COLUMNS($AC$1006:AD1006),$AC$1006:$AS$1006,0))&gt;=100000), " ",IF(INDEX($AC$2:$AS$1001,MATCH(ROWS($V$2:V132),$V$2:$V$1001,0),MATCH(COLUMNS($AC$1006:AD1006),$AC$1006:$AS$1006,0)), HYPERLINK("#",""), HYPERLINK(CONCATENATE("#metadata!", ADDRESS(INDEX($X$2:$X$1001,MATCH(ROWS($V$2:V132),$V$2:$V$1001,0),0), INDEX($AC$1004:$AS$1004,1,MATCH(COLUMNS($AC$1006:AD1006),$AC$1006:$AS$1006,0)))),"Fix")))</f>
        <v xml:space="preserve"> </v>
      </c>
      <c r="D132" s="4" t="str">
        <f ca="1">IF(OR(INDEX($W$2:$W$1001,MATCH(ROWS($V$2:V132),$V$2:$V$1001,0),1)&gt;=100000,INDEX($AC$1005:$AS$1005,1,MATCH(COLUMNS($AC$1006:AE1006),$AC$1006:$AS$1006,0))&gt;=100000), " ",IF(INDEX($AC$2:$AS$1001,MATCH(ROWS($V$2:V132),$V$2:$V$1001,0),MATCH(COLUMNS($AC$1006:AE1006),$AC$1006:$AS$1006,0)), HYPERLINK("#",""), HYPERLINK(CONCATENATE("#metadata!", ADDRESS(INDEX($X$2:$X$1001,MATCH(ROWS($V$2:V132),$V$2:$V$1001,0),0), INDEX($AC$1004:$AS$1004,1,MATCH(COLUMNS($AC$1006:AE1006),$AC$1006:$AS$1006,0)))),"Fix")))</f>
        <v xml:space="preserve"> </v>
      </c>
      <c r="E132" s="4" t="str">
        <f ca="1">IF(OR(INDEX($W$2:$W$1001,MATCH(ROWS($V$2:V132),$V$2:$V$1001,0),1)&gt;=100000,INDEX($AC$1005:$AS$1005,1,MATCH(COLUMNS($AC$1006:AF1006),$AC$1006:$AS$1006,0))&gt;=100000), " ",IF(INDEX($AC$2:$AS$1001,MATCH(ROWS($V$2:V132),$V$2:$V$1001,0),MATCH(COLUMNS($AC$1006:AF1006),$AC$1006:$AS$1006,0)), HYPERLINK("#",""), HYPERLINK(CONCATENATE("#metadata!", ADDRESS(INDEX($X$2:$X$1001,MATCH(ROWS($V$2:V132),$V$2:$V$1001,0),0), INDEX($AC$1004:$AS$1004,1,MATCH(COLUMNS($AC$1006:AF1006),$AC$1006:$AS$1006,0)))),"Fix")))</f>
        <v xml:space="preserve"> </v>
      </c>
      <c r="F132" s="4" t="str">
        <f ca="1">IF(OR(INDEX($W$2:$W$1001,MATCH(ROWS($V$2:V132),$V$2:$V$1001,0),1)&gt;=100000,INDEX($AC$1005:$AS$1005,1,MATCH(COLUMNS($AC$1006:AG1006),$AC$1006:$AS$1006,0))&gt;=100000), " ",IF(INDEX($AC$2:$AS$1001,MATCH(ROWS($V$2:V132),$V$2:$V$1001,0),MATCH(COLUMNS($AC$1006:AG1006),$AC$1006:$AS$1006,0)), HYPERLINK("#",""), HYPERLINK(CONCATENATE("#metadata!", ADDRESS(INDEX($X$2:$X$1001,MATCH(ROWS($V$2:V132),$V$2:$V$1001,0),0), INDEX($AC$1004:$AS$1004,1,MATCH(COLUMNS($AC$1006:AG1006),$AC$1006:$AS$1006,0)))),"Fix")))</f>
        <v xml:space="preserve"> </v>
      </c>
      <c r="G132" s="4" t="str">
        <f ca="1">IF(OR(INDEX($W$2:$W$1001,MATCH(ROWS($V$2:V132),$V$2:$V$1001,0),1)&gt;=100000,INDEX($AC$1005:$AS$1005,1,MATCH(COLUMNS($AC$1006:AH1006),$AC$1006:$AS$1006,0))&gt;=100000), " ",IF(INDEX($AC$2:$AS$1001,MATCH(ROWS($V$2:V132),$V$2:$V$1001,0),MATCH(COLUMNS($AC$1006:AH1006),$AC$1006:$AS$1006,0)), HYPERLINK("#",""), HYPERLINK(CONCATENATE("#metadata!", ADDRESS(INDEX($X$2:$X$1001,MATCH(ROWS($V$2:V132),$V$2:$V$1001,0),0), INDEX($AC$1004:$AS$1004,1,MATCH(COLUMNS($AC$1006:AH1006),$AC$1006:$AS$1006,0)))),"Fix")))</f>
        <v xml:space="preserve"> </v>
      </c>
      <c r="H132" s="4" t="str">
        <f ca="1">IF(OR(INDEX($W$2:$W$1001,MATCH(ROWS($V$2:V132),$V$2:$V$1001,0),1)&gt;=100000,INDEX($AC$1005:$AS$1005,1,MATCH(COLUMNS($AC$1006:AI1006),$AC$1006:$AS$1006,0))&gt;=100000), " ",IF(INDEX($AC$2:$AS$1001,MATCH(ROWS($V$2:V132),$V$2:$V$1001,0),MATCH(COLUMNS($AC$1006:AI1006),$AC$1006:$AS$1006,0)), HYPERLINK("#",""), HYPERLINK(CONCATENATE("#metadata!", ADDRESS(INDEX($X$2:$X$1001,MATCH(ROWS($V$2:V132),$V$2:$V$1001,0),0), INDEX($AC$1004:$AS$1004,1,MATCH(COLUMNS($AC$1006:AI1006),$AC$1006:$AS$1006,0)))),"Fix")))</f>
        <v xml:space="preserve"> </v>
      </c>
      <c r="I132" s="4" t="str">
        <f ca="1">IF(OR(INDEX($W$2:$W$1001,MATCH(ROWS($V$2:V132),$V$2:$V$1001,0),1)&gt;=100000,INDEX($AC$1005:$AS$1005,1,MATCH(COLUMNS($AC$1006:AJ1006),$AC$1006:$AS$1006,0))&gt;=100000), " ",IF(INDEX($AC$2:$AS$1001,MATCH(ROWS($V$2:V132),$V$2:$V$1001,0),MATCH(COLUMNS($AC$1006:AJ1006),$AC$1006:$AS$1006,0)), HYPERLINK("#",""), HYPERLINK(CONCATENATE("#metadata!", ADDRESS(INDEX($X$2:$X$1001,MATCH(ROWS($V$2:V132),$V$2:$V$1001,0),0), INDEX($AC$1004:$AS$1004,1,MATCH(COLUMNS($AC$1006:AJ1006),$AC$1006:$AS$1006,0)))),"Fix")))</f>
        <v xml:space="preserve"> </v>
      </c>
      <c r="J132" s="4" t="str">
        <f ca="1">IF(OR(INDEX($W$2:$W$1001,MATCH(ROWS($V$2:V132),$V$2:$V$1001,0),1)&gt;=100000,INDEX($AC$1005:$AS$1005,1,MATCH(COLUMNS($AC$1006:AK1006),$AC$1006:$AS$1006,0))&gt;=100000), " ",IF(INDEX($AC$2:$AS$1001,MATCH(ROWS($V$2:V132),$V$2:$V$1001,0),MATCH(COLUMNS($AC$1006:AK1006),$AC$1006:$AS$1006,0)), HYPERLINK("#",""), HYPERLINK(CONCATENATE("#metadata!", ADDRESS(INDEX($X$2:$X$1001,MATCH(ROWS($V$2:V132),$V$2:$V$1001,0),0), INDEX($AC$1004:$AS$1004,1,MATCH(COLUMNS($AC$1006:AK1006),$AC$1006:$AS$1006,0)))),"Fix")))</f>
        <v xml:space="preserve"> </v>
      </c>
      <c r="K132" s="4" t="str">
        <f ca="1">IF(OR(INDEX($W$2:$W$1001,MATCH(ROWS($V$2:V132),$V$2:$V$1001,0),1)&gt;=100000,INDEX($AC$1005:$AS$1005,1,MATCH(COLUMNS($AC$1006:AL1006),$AC$1006:$AS$1006,0))&gt;=100000), " ",IF(INDEX($AC$2:$AS$1001,MATCH(ROWS($V$2:V132),$V$2:$V$1001,0),MATCH(COLUMNS($AC$1006:AL1006),$AC$1006:$AS$1006,0)), HYPERLINK("#",""), HYPERLINK(CONCATENATE("#metadata!", ADDRESS(INDEX($X$2:$X$1001,MATCH(ROWS($V$2:V132),$V$2:$V$1001,0),0), INDEX($AC$1004:$AS$1004,1,MATCH(COLUMNS($AC$1006:AL1006),$AC$1006:$AS$1006,0)))),"Fix")))</f>
        <v xml:space="preserve"> </v>
      </c>
      <c r="L132" s="4" t="str">
        <f ca="1">IF(OR(INDEX($W$2:$W$1001,MATCH(ROWS($V$2:V132),$V$2:$V$1001,0),1)&gt;=100000,INDEX($AC$1005:$AS$1005,1,MATCH(COLUMNS($AC$1006:AM1006),$AC$1006:$AS$1006,0))&gt;=100000), " ",IF(INDEX($AC$2:$AS$1001,MATCH(ROWS($V$2:V132),$V$2:$V$1001,0),MATCH(COLUMNS($AC$1006:AM1006),$AC$1006:$AS$1006,0)), HYPERLINK("#",""), HYPERLINK(CONCATENATE("#metadata!", ADDRESS(INDEX($X$2:$X$1001,MATCH(ROWS($V$2:V132),$V$2:$V$1001,0),0), INDEX($AC$1004:$AS$1004,1,MATCH(COLUMNS($AC$1006:AM1006),$AC$1006:$AS$1006,0)))),"Fix")))</f>
        <v xml:space="preserve"> </v>
      </c>
      <c r="M132" s="4" t="str">
        <f ca="1">IF(OR(INDEX($W$2:$W$1001,MATCH(ROWS($V$2:V132),$V$2:$V$1001,0),1)&gt;=100000,INDEX($AC$1005:$AS$1005,1,MATCH(COLUMNS($AC$1006:AN1006),$AC$1006:$AS$1006,0))&gt;=100000), " ",IF(INDEX($AC$2:$AS$1001,MATCH(ROWS($V$2:V132),$V$2:$V$1001,0),MATCH(COLUMNS($AC$1006:AN1006),$AC$1006:$AS$1006,0)), HYPERLINK("#",""), HYPERLINK(CONCATENATE("#metadata!", ADDRESS(INDEX($X$2:$X$1001,MATCH(ROWS($V$2:V132),$V$2:$V$1001,0),0), INDEX($AC$1004:$AS$1004,1,MATCH(COLUMNS($AC$1006:AN1006),$AC$1006:$AS$1006,0)))),"Fix")))</f>
        <v xml:space="preserve"> </v>
      </c>
      <c r="N132" s="4" t="str">
        <f ca="1">IF(OR(INDEX($W$2:$W$1001,MATCH(ROWS($V$2:V132),$V$2:$V$1001,0),1)&gt;=100000,INDEX($AC$1005:$AS$1005,1,MATCH(COLUMNS($AC$1006:AO1006),$AC$1006:$AS$1006,0))&gt;=100000), " ",IF(INDEX($AC$2:$AS$1001,MATCH(ROWS($V$2:V132),$V$2:$V$1001,0),MATCH(COLUMNS($AC$1006:AO1006),$AC$1006:$AS$1006,0)), HYPERLINK("#",""), HYPERLINK(CONCATENATE("#metadata!", ADDRESS(INDEX($X$2:$X$1001,MATCH(ROWS($V$2:V132),$V$2:$V$1001,0),0), INDEX($AC$1004:$AS$1004,1,MATCH(COLUMNS($AC$1006:AO1006),$AC$1006:$AS$1006,0)))),"Fix")))</f>
        <v xml:space="preserve"> </v>
      </c>
      <c r="O132" s="4" t="str">
        <f ca="1">IF(OR(INDEX($W$2:$W$1001,MATCH(ROWS($V$2:V132),$V$2:$V$1001,0),1)&gt;=100000,INDEX($AC$1005:$AS$1005,1,MATCH(COLUMNS($AC$1006:AP1006),$AC$1006:$AS$1006,0))&gt;=100000), " ",IF(INDEX($AC$2:$AS$1001,MATCH(ROWS($V$2:V132),$V$2:$V$1001,0),MATCH(COLUMNS($AC$1006:AP1006),$AC$1006:$AS$1006,0)), HYPERLINK("#",""), HYPERLINK(CONCATENATE("#metadata!", ADDRESS(INDEX($X$2:$X$1001,MATCH(ROWS($V$2:V132),$V$2:$V$1001,0),0), INDEX($AC$1004:$AS$1004,1,MATCH(COLUMNS($AC$1006:AP1006),$AC$1006:$AS$1006,0)))),"Fix")))</f>
        <v xml:space="preserve"> </v>
      </c>
      <c r="P132" s="4" t="str">
        <f ca="1">IF(OR(INDEX($W$2:$W$1001,MATCH(ROWS($V$2:V132),$V$2:$V$1001,0),1)&gt;=100000,INDEX($AC$1005:$AS$1005,1,MATCH(COLUMNS($AC$1006:AQ1006),$AC$1006:$AS$1006,0))&gt;=100000), " ",IF(INDEX($AC$2:$AS$1001,MATCH(ROWS($V$2:V132),$V$2:$V$1001,0),MATCH(COLUMNS($AC$1006:AQ1006),$AC$1006:$AS$1006,0)), HYPERLINK("#",""), HYPERLINK(CONCATENATE("#metadata!", ADDRESS(INDEX($X$2:$X$1001,MATCH(ROWS($V$2:V132),$V$2:$V$1001,0),0), INDEX($AC$1004:$AS$1004,1,MATCH(COLUMNS($AC$1006:AQ1006),$AC$1006:$AS$1006,0)))),"Fix")))</f>
        <v xml:space="preserve"> </v>
      </c>
      <c r="Q132" s="4" t="str">
        <f ca="1">IF(OR(INDEX($W$2:$W$1001,MATCH(ROWS($V$2:V132),$V$2:$V$1001,0),1)&gt;=100000,INDEX($AC$1005:$AS$1005,1,MATCH(COLUMNS($AC$1006:AR1006),$AC$1006:$AS$1006,0))&gt;=100000), " ",IF(INDEX($AC$2:$AS$1001,MATCH(ROWS($V$2:V132),$V$2:$V$1001,0),MATCH(COLUMNS($AC$1006:AR1006),$AC$1006:$AS$1006,0)), HYPERLINK("#",""), HYPERLINK(CONCATENATE("#metadata!", ADDRESS(INDEX($X$2:$X$1001,MATCH(ROWS($V$2:V132),$V$2:$V$1001,0),0), INDEX($AC$1004:$AS$1004,1,MATCH(COLUMNS($AC$1006:AR1006),$AC$1006:$AS$1006,0)))),"Fix")))</f>
        <v xml:space="preserve"> </v>
      </c>
      <c r="R132" s="4" t="str">
        <f ca="1">IF(OR(INDEX($W$2:$W$1001,MATCH(ROWS($V$2:V132),$V$2:$V$1001,0),1)&gt;=100000,INDEX($AC$1005:$AS$1005,1,MATCH(COLUMNS($AC$1006:AS1006),$AC$1006:$AS$1006,0))&gt;=100000), " ",IF(INDEX($AC$2:$AS$1001,MATCH(ROWS($V$2:V132),$V$2:$V$1001,0),MATCH(COLUMNS($AC$1006:AS1006),$AC$1006:$AS$1006,0)), HYPERLINK("#",""), HYPERLINK(CONCATENATE("#metadata!", ADDRESS(INDEX($X$2:$X$1001,MATCH(ROWS($V$2:V132),$V$2:$V$1001,0),0), INDEX($AC$1004:$AS$1004,1,MATCH(COLUMNS($AC$1006:AS1006),$AC$1006:$AS$1006,0)))),"Fix")))</f>
        <v xml:space="preserve"> </v>
      </c>
      <c r="V132">
        <v>131</v>
      </c>
      <c r="W132">
        <v>100132</v>
      </c>
      <c r="X132">
        <v>132</v>
      </c>
      <c r="Y132" t="b">
        <f t="shared" si="2"/>
        <v>1</v>
      </c>
      <c r="Z132" t="b">
        <f>COUNTBLANK(metadata!B132:R132)=COLUMNS(metadata!B132:R132)</f>
        <v>1</v>
      </c>
      <c r="AA132" t="str">
        <v/>
      </c>
      <c r="AC132" t="b">
        <f ca="1"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AD132" t="b">
        <f>IF(metadata!C132="",FALSE,ISNUMBER(VALUE(metadata!C132)))</f>
        <v>0</v>
      </c>
      <c r="AE132" t="b">
        <f>AND(IF(metadata!D132="",FALSE,TRUE),EXACT(metadata!D132,"years"))</f>
        <v>0</v>
      </c>
      <c r="AF132" t="b">
        <f>OR(AND(IF(metadata!E132="",FALSE,TRUE),OR(EXACT(metadata!E132,"not applicable"),EXACT(metadata!E132,"missing: not collected"),EXACT(metadata!E132,"missing: not provided"),EXACT(metadata!E132,"missing: restricted access"))),AND(IF(metadata!E132="",FALSE,ISNUMBER(VALUE(metadata!E132))),metadata!E132&gt;0))</f>
        <v>0</v>
      </c>
      <c r="AG132" t="b">
        <f>AND(IF(metadata!F132="",FALSE,TRUE),EXACT(metadata!F132,"Not applicable"))</f>
        <v>0</v>
      </c>
      <c r="AH132" t="b">
        <f>AND(IF(metadata!G132="",FALSE,TRUE),EXACT(metadata!G132,"urban biome"))</f>
        <v>0</v>
      </c>
      <c r="AI132" t="b">
        <f>AND(IF(metadata!H132="",FALSE,TRUE),EXACT(metadata!H132,"human-associated habitat"))</f>
        <v>0</v>
      </c>
      <c r="AJ132" t="b">
        <f>AND(IF(metadata!I132="",FALSE,TRUE),OR(EXACT(metadata!I132,"human-associated"),EXACT(metadata!I132,"human-skin"),EXACT(metadata!I132,"human-oral"),EXACT(metadata!I132,"human-gut"),EXACT(metadata!I132,"human-vaginal")))</f>
        <v>0</v>
      </c>
      <c r="AK132" t="b">
        <f>IF(metadata!J132="",FALSE,ISNUMBER(VALUE(metadata!J132)))</f>
        <v>0</v>
      </c>
      <c r="AL132" t="b">
        <f>AND(IF(metadata!K132="",FALSE,TRUE),EXACT(metadata!K132,"cm"))</f>
        <v>0</v>
      </c>
      <c r="AM132" t="b">
        <f>AND(IF(metadata!L132="",FALSE,TRUE),EXACT(metadata!L132,"human"))</f>
        <v>0</v>
      </c>
      <c r="AN132" t="b">
        <f>AND(IF(metadata!M132="",FALSE,TRUE),EXACT(metadata!M132,"Homo sapiens"))</f>
        <v>0</v>
      </c>
      <c r="AO132" t="b">
        <f>AND(IF(metadata!N132="",FALSE,TRUE),EXACT(metadata!N132,"9606"))</f>
        <v>0</v>
      </c>
      <c r="AP132" t="b">
        <f>IF(metadata!O132="",FALSE,TRUE)</f>
        <v>0</v>
      </c>
      <c r="AQ132" t="b">
        <f>IF(metadata!P132="",FALSE,TRUE)</f>
        <v>0</v>
      </c>
      <c r="AR132" t="b">
        <f>IF(metadata!Q132="",FALSE,ISNUMBER(VALUE(metadata!Q132)))</f>
        <v>0</v>
      </c>
      <c r="AS132" t="b">
        <f>AND(IF(metadata!R132="",FALSE,TRUE),EXACT(metadata!R132,"kg"))</f>
        <v>0</v>
      </c>
    </row>
    <row r="133" spans="1:45" x14ac:dyDescent="0.2">
      <c r="A133" s="5" t="str">
        <f ca="1">IF(B133=" "," ",HYPERLINK(CONCATENATE("#metadata!",ADDRESS(INDEX($X$2:$X$1001,MATCH(ROWS($V$2:V133),$V$2:$V$1001,0),0),1)),INDEX($AA$2:$AA$1001,MATCH(ROWS($V$2:V133),$V$2:$V$1001,0),0)))</f>
        <v xml:space="preserve"> </v>
      </c>
      <c r="B133" s="4" t="str">
        <f ca="1">IF(OR(INDEX($W$2:$W$1001,MATCH(ROWS($V$2:V133),$V$2:$V$1001,0),1)&gt;=100000,INDEX($AC$1005:$AS$1005,1,MATCH(COLUMNS($AC$1006:AC1006),$AC$1006:$AS$1006,0))&gt;=100000), " ",IF(INDEX($AC$2:$AS$1001,MATCH(ROWS($V$2:V133),$V$2:$V$1001,0),MATCH(COLUMNS($AC$1006:AC1006),$AC$1006:$AS$1006,0)), HYPERLINK("#",""), HYPERLINK(CONCATENATE("#metadata!", ADDRESS(INDEX($X$2:$X$1001,MATCH(ROWS($V$2:V133),$V$2:$V$1001,0),0), INDEX($AC$1004:$AS$1004,1,MATCH(COLUMNS($AC$1006:AC1006),$AC$1006:$AS$1006,0)))),"Fix")))</f>
        <v xml:space="preserve"> </v>
      </c>
      <c r="C133" s="4" t="str">
        <f ca="1">IF(OR(INDEX($W$2:$W$1001,MATCH(ROWS($V$2:V133),$V$2:$V$1001,0),1)&gt;=100000,INDEX($AC$1005:$AS$1005,1,MATCH(COLUMNS($AC$1006:AD1006),$AC$1006:$AS$1006,0))&gt;=100000), " ",IF(INDEX($AC$2:$AS$1001,MATCH(ROWS($V$2:V133),$V$2:$V$1001,0),MATCH(COLUMNS($AC$1006:AD1006),$AC$1006:$AS$1006,0)), HYPERLINK("#",""), HYPERLINK(CONCATENATE("#metadata!", ADDRESS(INDEX($X$2:$X$1001,MATCH(ROWS($V$2:V133),$V$2:$V$1001,0),0), INDEX($AC$1004:$AS$1004,1,MATCH(COLUMNS($AC$1006:AD1006),$AC$1006:$AS$1006,0)))),"Fix")))</f>
        <v xml:space="preserve"> </v>
      </c>
      <c r="D133" s="4" t="str">
        <f ca="1">IF(OR(INDEX($W$2:$W$1001,MATCH(ROWS($V$2:V133),$V$2:$V$1001,0),1)&gt;=100000,INDEX($AC$1005:$AS$1005,1,MATCH(COLUMNS($AC$1006:AE1006),$AC$1006:$AS$1006,0))&gt;=100000), " ",IF(INDEX($AC$2:$AS$1001,MATCH(ROWS($V$2:V133),$V$2:$V$1001,0),MATCH(COLUMNS($AC$1006:AE1006),$AC$1006:$AS$1006,0)), HYPERLINK("#",""), HYPERLINK(CONCATENATE("#metadata!", ADDRESS(INDEX($X$2:$X$1001,MATCH(ROWS($V$2:V133),$V$2:$V$1001,0),0), INDEX($AC$1004:$AS$1004,1,MATCH(COLUMNS($AC$1006:AE1006),$AC$1006:$AS$1006,0)))),"Fix")))</f>
        <v xml:space="preserve"> </v>
      </c>
      <c r="E133" s="4" t="str">
        <f ca="1">IF(OR(INDEX($W$2:$W$1001,MATCH(ROWS($V$2:V133),$V$2:$V$1001,0),1)&gt;=100000,INDEX($AC$1005:$AS$1005,1,MATCH(COLUMNS($AC$1006:AF1006),$AC$1006:$AS$1006,0))&gt;=100000), " ",IF(INDEX($AC$2:$AS$1001,MATCH(ROWS($V$2:V133),$V$2:$V$1001,0),MATCH(COLUMNS($AC$1006:AF1006),$AC$1006:$AS$1006,0)), HYPERLINK("#",""), HYPERLINK(CONCATENATE("#metadata!", ADDRESS(INDEX($X$2:$X$1001,MATCH(ROWS($V$2:V133),$V$2:$V$1001,0),0), INDEX($AC$1004:$AS$1004,1,MATCH(COLUMNS($AC$1006:AF1006),$AC$1006:$AS$1006,0)))),"Fix")))</f>
        <v xml:space="preserve"> </v>
      </c>
      <c r="F133" s="4" t="str">
        <f ca="1">IF(OR(INDEX($W$2:$W$1001,MATCH(ROWS($V$2:V133),$V$2:$V$1001,0),1)&gt;=100000,INDEX($AC$1005:$AS$1005,1,MATCH(COLUMNS($AC$1006:AG1006),$AC$1006:$AS$1006,0))&gt;=100000), " ",IF(INDEX($AC$2:$AS$1001,MATCH(ROWS($V$2:V133),$V$2:$V$1001,0),MATCH(COLUMNS($AC$1006:AG1006),$AC$1006:$AS$1006,0)), HYPERLINK("#",""), HYPERLINK(CONCATENATE("#metadata!", ADDRESS(INDEX($X$2:$X$1001,MATCH(ROWS($V$2:V133),$V$2:$V$1001,0),0), INDEX($AC$1004:$AS$1004,1,MATCH(COLUMNS($AC$1006:AG1006),$AC$1006:$AS$1006,0)))),"Fix")))</f>
        <v xml:space="preserve"> </v>
      </c>
      <c r="G133" s="4" t="str">
        <f ca="1">IF(OR(INDEX($W$2:$W$1001,MATCH(ROWS($V$2:V133),$V$2:$V$1001,0),1)&gt;=100000,INDEX($AC$1005:$AS$1005,1,MATCH(COLUMNS($AC$1006:AH1006),$AC$1006:$AS$1006,0))&gt;=100000), " ",IF(INDEX($AC$2:$AS$1001,MATCH(ROWS($V$2:V133),$V$2:$V$1001,0),MATCH(COLUMNS($AC$1006:AH1006),$AC$1006:$AS$1006,0)), HYPERLINK("#",""), HYPERLINK(CONCATENATE("#metadata!", ADDRESS(INDEX($X$2:$X$1001,MATCH(ROWS($V$2:V133),$V$2:$V$1001,0),0), INDEX($AC$1004:$AS$1004,1,MATCH(COLUMNS($AC$1006:AH1006),$AC$1006:$AS$1006,0)))),"Fix")))</f>
        <v xml:space="preserve"> </v>
      </c>
      <c r="H133" s="4" t="str">
        <f ca="1">IF(OR(INDEX($W$2:$W$1001,MATCH(ROWS($V$2:V133),$V$2:$V$1001,0),1)&gt;=100000,INDEX($AC$1005:$AS$1005,1,MATCH(COLUMNS($AC$1006:AI1006),$AC$1006:$AS$1006,0))&gt;=100000), " ",IF(INDEX($AC$2:$AS$1001,MATCH(ROWS($V$2:V133),$V$2:$V$1001,0),MATCH(COLUMNS($AC$1006:AI1006),$AC$1006:$AS$1006,0)), HYPERLINK("#",""), HYPERLINK(CONCATENATE("#metadata!", ADDRESS(INDEX($X$2:$X$1001,MATCH(ROWS($V$2:V133),$V$2:$V$1001,0),0), INDEX($AC$1004:$AS$1004,1,MATCH(COLUMNS($AC$1006:AI1006),$AC$1006:$AS$1006,0)))),"Fix")))</f>
        <v xml:space="preserve"> </v>
      </c>
      <c r="I133" s="4" t="str">
        <f ca="1">IF(OR(INDEX($W$2:$W$1001,MATCH(ROWS($V$2:V133),$V$2:$V$1001,0),1)&gt;=100000,INDEX($AC$1005:$AS$1005,1,MATCH(COLUMNS($AC$1006:AJ1006),$AC$1006:$AS$1006,0))&gt;=100000), " ",IF(INDEX($AC$2:$AS$1001,MATCH(ROWS($V$2:V133),$V$2:$V$1001,0),MATCH(COLUMNS($AC$1006:AJ1006),$AC$1006:$AS$1006,0)), HYPERLINK("#",""), HYPERLINK(CONCATENATE("#metadata!", ADDRESS(INDEX($X$2:$X$1001,MATCH(ROWS($V$2:V133),$V$2:$V$1001,0),0), INDEX($AC$1004:$AS$1004,1,MATCH(COLUMNS($AC$1006:AJ1006),$AC$1006:$AS$1006,0)))),"Fix")))</f>
        <v xml:space="preserve"> </v>
      </c>
      <c r="J133" s="4" t="str">
        <f ca="1">IF(OR(INDEX($W$2:$W$1001,MATCH(ROWS($V$2:V133),$V$2:$V$1001,0),1)&gt;=100000,INDEX($AC$1005:$AS$1005,1,MATCH(COLUMNS($AC$1006:AK1006),$AC$1006:$AS$1006,0))&gt;=100000), " ",IF(INDEX($AC$2:$AS$1001,MATCH(ROWS($V$2:V133),$V$2:$V$1001,0),MATCH(COLUMNS($AC$1006:AK1006),$AC$1006:$AS$1006,0)), HYPERLINK("#",""), HYPERLINK(CONCATENATE("#metadata!", ADDRESS(INDEX($X$2:$X$1001,MATCH(ROWS($V$2:V133),$V$2:$V$1001,0),0), INDEX($AC$1004:$AS$1004,1,MATCH(COLUMNS($AC$1006:AK1006),$AC$1006:$AS$1006,0)))),"Fix")))</f>
        <v xml:space="preserve"> </v>
      </c>
      <c r="K133" s="4" t="str">
        <f ca="1">IF(OR(INDEX($W$2:$W$1001,MATCH(ROWS($V$2:V133),$V$2:$V$1001,0),1)&gt;=100000,INDEX($AC$1005:$AS$1005,1,MATCH(COLUMNS($AC$1006:AL1006),$AC$1006:$AS$1006,0))&gt;=100000), " ",IF(INDEX($AC$2:$AS$1001,MATCH(ROWS($V$2:V133),$V$2:$V$1001,0),MATCH(COLUMNS($AC$1006:AL1006),$AC$1006:$AS$1006,0)), HYPERLINK("#",""), HYPERLINK(CONCATENATE("#metadata!", ADDRESS(INDEX($X$2:$X$1001,MATCH(ROWS($V$2:V133),$V$2:$V$1001,0),0), INDEX($AC$1004:$AS$1004,1,MATCH(COLUMNS($AC$1006:AL1006),$AC$1006:$AS$1006,0)))),"Fix")))</f>
        <v xml:space="preserve"> </v>
      </c>
      <c r="L133" s="4" t="str">
        <f ca="1">IF(OR(INDEX($W$2:$W$1001,MATCH(ROWS($V$2:V133),$V$2:$V$1001,0),1)&gt;=100000,INDEX($AC$1005:$AS$1005,1,MATCH(COLUMNS($AC$1006:AM1006),$AC$1006:$AS$1006,0))&gt;=100000), " ",IF(INDEX($AC$2:$AS$1001,MATCH(ROWS($V$2:V133),$V$2:$V$1001,0),MATCH(COLUMNS($AC$1006:AM1006),$AC$1006:$AS$1006,0)), HYPERLINK("#",""), HYPERLINK(CONCATENATE("#metadata!", ADDRESS(INDEX($X$2:$X$1001,MATCH(ROWS($V$2:V133),$V$2:$V$1001,0),0), INDEX($AC$1004:$AS$1004,1,MATCH(COLUMNS($AC$1006:AM1006),$AC$1006:$AS$1006,0)))),"Fix")))</f>
        <v xml:space="preserve"> </v>
      </c>
      <c r="M133" s="4" t="str">
        <f ca="1">IF(OR(INDEX($W$2:$W$1001,MATCH(ROWS($V$2:V133),$V$2:$V$1001,0),1)&gt;=100000,INDEX($AC$1005:$AS$1005,1,MATCH(COLUMNS($AC$1006:AN1006),$AC$1006:$AS$1006,0))&gt;=100000), " ",IF(INDEX($AC$2:$AS$1001,MATCH(ROWS($V$2:V133),$V$2:$V$1001,0),MATCH(COLUMNS($AC$1006:AN1006),$AC$1006:$AS$1006,0)), HYPERLINK("#",""), HYPERLINK(CONCATENATE("#metadata!", ADDRESS(INDEX($X$2:$X$1001,MATCH(ROWS($V$2:V133),$V$2:$V$1001,0),0), INDEX($AC$1004:$AS$1004,1,MATCH(COLUMNS($AC$1006:AN1006),$AC$1006:$AS$1006,0)))),"Fix")))</f>
        <v xml:space="preserve"> </v>
      </c>
      <c r="N133" s="4" t="str">
        <f ca="1">IF(OR(INDEX($W$2:$W$1001,MATCH(ROWS($V$2:V133),$V$2:$V$1001,0),1)&gt;=100000,INDEX($AC$1005:$AS$1005,1,MATCH(COLUMNS($AC$1006:AO1006),$AC$1006:$AS$1006,0))&gt;=100000), " ",IF(INDEX($AC$2:$AS$1001,MATCH(ROWS($V$2:V133),$V$2:$V$1001,0),MATCH(COLUMNS($AC$1006:AO1006),$AC$1006:$AS$1006,0)), HYPERLINK("#",""), HYPERLINK(CONCATENATE("#metadata!", ADDRESS(INDEX($X$2:$X$1001,MATCH(ROWS($V$2:V133),$V$2:$V$1001,0),0), INDEX($AC$1004:$AS$1004,1,MATCH(COLUMNS($AC$1006:AO1006),$AC$1006:$AS$1006,0)))),"Fix")))</f>
        <v xml:space="preserve"> </v>
      </c>
      <c r="O133" s="4" t="str">
        <f ca="1">IF(OR(INDEX($W$2:$W$1001,MATCH(ROWS($V$2:V133),$V$2:$V$1001,0),1)&gt;=100000,INDEX($AC$1005:$AS$1005,1,MATCH(COLUMNS($AC$1006:AP1006),$AC$1006:$AS$1006,0))&gt;=100000), " ",IF(INDEX($AC$2:$AS$1001,MATCH(ROWS($V$2:V133),$V$2:$V$1001,0),MATCH(COLUMNS($AC$1006:AP1006),$AC$1006:$AS$1006,0)), HYPERLINK("#",""), HYPERLINK(CONCATENATE("#metadata!", ADDRESS(INDEX($X$2:$X$1001,MATCH(ROWS($V$2:V133),$V$2:$V$1001,0),0), INDEX($AC$1004:$AS$1004,1,MATCH(COLUMNS($AC$1006:AP1006),$AC$1006:$AS$1006,0)))),"Fix")))</f>
        <v xml:space="preserve"> </v>
      </c>
      <c r="P133" s="4" t="str">
        <f ca="1">IF(OR(INDEX($W$2:$W$1001,MATCH(ROWS($V$2:V133),$V$2:$V$1001,0),1)&gt;=100000,INDEX($AC$1005:$AS$1005,1,MATCH(COLUMNS($AC$1006:AQ1006),$AC$1006:$AS$1006,0))&gt;=100000), " ",IF(INDEX($AC$2:$AS$1001,MATCH(ROWS($V$2:V133),$V$2:$V$1001,0),MATCH(COLUMNS($AC$1006:AQ1006),$AC$1006:$AS$1006,0)), HYPERLINK("#",""), HYPERLINK(CONCATENATE("#metadata!", ADDRESS(INDEX($X$2:$X$1001,MATCH(ROWS($V$2:V133),$V$2:$V$1001,0),0), INDEX($AC$1004:$AS$1004,1,MATCH(COLUMNS($AC$1006:AQ1006),$AC$1006:$AS$1006,0)))),"Fix")))</f>
        <v xml:space="preserve"> </v>
      </c>
      <c r="Q133" s="4" t="str">
        <f ca="1">IF(OR(INDEX($W$2:$W$1001,MATCH(ROWS($V$2:V133),$V$2:$V$1001,0),1)&gt;=100000,INDEX($AC$1005:$AS$1005,1,MATCH(COLUMNS($AC$1006:AR1006),$AC$1006:$AS$1006,0))&gt;=100000), " ",IF(INDEX($AC$2:$AS$1001,MATCH(ROWS($V$2:V133),$V$2:$V$1001,0),MATCH(COLUMNS($AC$1006:AR1006),$AC$1006:$AS$1006,0)), HYPERLINK("#",""), HYPERLINK(CONCATENATE("#metadata!", ADDRESS(INDEX($X$2:$X$1001,MATCH(ROWS($V$2:V133),$V$2:$V$1001,0),0), INDEX($AC$1004:$AS$1004,1,MATCH(COLUMNS($AC$1006:AR1006),$AC$1006:$AS$1006,0)))),"Fix")))</f>
        <v xml:space="preserve"> </v>
      </c>
      <c r="R133" s="4" t="str">
        <f ca="1">IF(OR(INDEX($W$2:$W$1001,MATCH(ROWS($V$2:V133),$V$2:$V$1001,0),1)&gt;=100000,INDEX($AC$1005:$AS$1005,1,MATCH(COLUMNS($AC$1006:AS1006),$AC$1006:$AS$1006,0))&gt;=100000), " ",IF(INDEX($AC$2:$AS$1001,MATCH(ROWS($V$2:V133),$V$2:$V$1001,0),MATCH(COLUMNS($AC$1006:AS1006),$AC$1006:$AS$1006,0)), HYPERLINK("#",""), HYPERLINK(CONCATENATE("#metadata!", ADDRESS(INDEX($X$2:$X$1001,MATCH(ROWS($V$2:V133),$V$2:$V$1001,0),0), INDEX($AC$1004:$AS$1004,1,MATCH(COLUMNS($AC$1006:AS1006),$AC$1006:$AS$1006,0)))),"Fix")))</f>
        <v xml:space="preserve"> </v>
      </c>
      <c r="V133">
        <v>132</v>
      </c>
      <c r="W133">
        <v>100133</v>
      </c>
      <c r="X133">
        <v>133</v>
      </c>
      <c r="Y133" t="b">
        <f t="shared" si="2"/>
        <v>1</v>
      </c>
      <c r="Z133" t="b">
        <f>COUNTBLANK(metadata!B133:R133)=COLUMNS(metadata!B133:R133)</f>
        <v>1</v>
      </c>
      <c r="AA133" t="str">
        <v/>
      </c>
      <c r="AC133" t="b">
        <f ca="1"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AD133" t="b">
        <f>IF(metadata!C133="",FALSE,ISNUMBER(VALUE(metadata!C133)))</f>
        <v>0</v>
      </c>
      <c r="AE133" t="b">
        <f>AND(IF(metadata!D133="",FALSE,TRUE),EXACT(metadata!D133,"years"))</f>
        <v>0</v>
      </c>
      <c r="AF133" t="b">
        <f>OR(AND(IF(metadata!E133="",FALSE,TRUE),OR(EXACT(metadata!E133,"not applicable"),EXACT(metadata!E133,"missing: not collected"),EXACT(metadata!E133,"missing: not provided"),EXACT(metadata!E133,"missing: restricted access"))),AND(IF(metadata!E133="",FALSE,ISNUMBER(VALUE(metadata!E133))),metadata!E133&gt;0))</f>
        <v>0</v>
      </c>
      <c r="AG133" t="b">
        <f>AND(IF(metadata!F133="",FALSE,TRUE),EXACT(metadata!F133,"Not applicable"))</f>
        <v>0</v>
      </c>
      <c r="AH133" t="b">
        <f>AND(IF(metadata!G133="",FALSE,TRUE),EXACT(metadata!G133,"urban biome"))</f>
        <v>0</v>
      </c>
      <c r="AI133" t="b">
        <f>AND(IF(metadata!H133="",FALSE,TRUE),EXACT(metadata!H133,"human-associated habitat"))</f>
        <v>0</v>
      </c>
      <c r="AJ133" t="b">
        <f>AND(IF(metadata!I133="",FALSE,TRUE),OR(EXACT(metadata!I133,"human-associated"),EXACT(metadata!I133,"human-skin"),EXACT(metadata!I133,"human-oral"),EXACT(metadata!I133,"human-gut"),EXACT(metadata!I133,"human-vaginal")))</f>
        <v>0</v>
      </c>
      <c r="AK133" t="b">
        <f>IF(metadata!J133="",FALSE,ISNUMBER(VALUE(metadata!J133)))</f>
        <v>0</v>
      </c>
      <c r="AL133" t="b">
        <f>AND(IF(metadata!K133="",FALSE,TRUE),EXACT(metadata!K133,"cm"))</f>
        <v>0</v>
      </c>
      <c r="AM133" t="b">
        <f>AND(IF(metadata!L133="",FALSE,TRUE),EXACT(metadata!L133,"human"))</f>
        <v>0</v>
      </c>
      <c r="AN133" t="b">
        <f>AND(IF(metadata!M133="",FALSE,TRUE),EXACT(metadata!M133,"Homo sapiens"))</f>
        <v>0</v>
      </c>
      <c r="AO133" t="b">
        <f>AND(IF(metadata!N133="",FALSE,TRUE),EXACT(metadata!N133,"9606"))</f>
        <v>0</v>
      </c>
      <c r="AP133" t="b">
        <f>IF(metadata!O133="",FALSE,TRUE)</f>
        <v>0</v>
      </c>
      <c r="AQ133" t="b">
        <f>IF(metadata!P133="",FALSE,TRUE)</f>
        <v>0</v>
      </c>
      <c r="AR133" t="b">
        <f>IF(metadata!Q133="",FALSE,ISNUMBER(VALUE(metadata!Q133)))</f>
        <v>0</v>
      </c>
      <c r="AS133" t="b">
        <f>AND(IF(metadata!R133="",FALSE,TRUE),EXACT(metadata!R133,"kg"))</f>
        <v>0</v>
      </c>
    </row>
    <row r="134" spans="1:45" x14ac:dyDescent="0.2">
      <c r="A134" s="5" t="str">
        <f ca="1">IF(B134=" "," ",HYPERLINK(CONCATENATE("#metadata!",ADDRESS(INDEX($X$2:$X$1001,MATCH(ROWS($V$2:V134),$V$2:$V$1001,0),0),1)),INDEX($AA$2:$AA$1001,MATCH(ROWS($V$2:V134),$V$2:$V$1001,0),0)))</f>
        <v xml:space="preserve"> </v>
      </c>
      <c r="B134" s="4" t="str">
        <f ca="1">IF(OR(INDEX($W$2:$W$1001,MATCH(ROWS($V$2:V134),$V$2:$V$1001,0),1)&gt;=100000,INDEX($AC$1005:$AS$1005,1,MATCH(COLUMNS($AC$1006:AC1006),$AC$1006:$AS$1006,0))&gt;=100000), " ",IF(INDEX($AC$2:$AS$1001,MATCH(ROWS($V$2:V134),$V$2:$V$1001,0),MATCH(COLUMNS($AC$1006:AC1006),$AC$1006:$AS$1006,0)), HYPERLINK("#",""), HYPERLINK(CONCATENATE("#metadata!", ADDRESS(INDEX($X$2:$X$1001,MATCH(ROWS($V$2:V134),$V$2:$V$1001,0),0), INDEX($AC$1004:$AS$1004,1,MATCH(COLUMNS($AC$1006:AC1006),$AC$1006:$AS$1006,0)))),"Fix")))</f>
        <v xml:space="preserve"> </v>
      </c>
      <c r="C134" s="4" t="str">
        <f ca="1">IF(OR(INDEX($W$2:$W$1001,MATCH(ROWS($V$2:V134),$V$2:$V$1001,0),1)&gt;=100000,INDEX($AC$1005:$AS$1005,1,MATCH(COLUMNS($AC$1006:AD1006),$AC$1006:$AS$1006,0))&gt;=100000), " ",IF(INDEX($AC$2:$AS$1001,MATCH(ROWS($V$2:V134),$V$2:$V$1001,0),MATCH(COLUMNS($AC$1006:AD1006),$AC$1006:$AS$1006,0)), HYPERLINK("#",""), HYPERLINK(CONCATENATE("#metadata!", ADDRESS(INDEX($X$2:$X$1001,MATCH(ROWS($V$2:V134),$V$2:$V$1001,0),0), INDEX($AC$1004:$AS$1004,1,MATCH(COLUMNS($AC$1006:AD1006),$AC$1006:$AS$1006,0)))),"Fix")))</f>
        <v xml:space="preserve"> </v>
      </c>
      <c r="D134" s="4" t="str">
        <f ca="1">IF(OR(INDEX($W$2:$W$1001,MATCH(ROWS($V$2:V134),$V$2:$V$1001,0),1)&gt;=100000,INDEX($AC$1005:$AS$1005,1,MATCH(COLUMNS($AC$1006:AE1006),$AC$1006:$AS$1006,0))&gt;=100000), " ",IF(INDEX($AC$2:$AS$1001,MATCH(ROWS($V$2:V134),$V$2:$V$1001,0),MATCH(COLUMNS($AC$1006:AE1006),$AC$1006:$AS$1006,0)), HYPERLINK("#",""), HYPERLINK(CONCATENATE("#metadata!", ADDRESS(INDEX($X$2:$X$1001,MATCH(ROWS($V$2:V134),$V$2:$V$1001,0),0), INDEX($AC$1004:$AS$1004,1,MATCH(COLUMNS($AC$1006:AE1006),$AC$1006:$AS$1006,0)))),"Fix")))</f>
        <v xml:space="preserve"> </v>
      </c>
      <c r="E134" s="4" t="str">
        <f ca="1">IF(OR(INDEX($W$2:$W$1001,MATCH(ROWS($V$2:V134),$V$2:$V$1001,0),1)&gt;=100000,INDEX($AC$1005:$AS$1005,1,MATCH(COLUMNS($AC$1006:AF1006),$AC$1006:$AS$1006,0))&gt;=100000), " ",IF(INDEX($AC$2:$AS$1001,MATCH(ROWS($V$2:V134),$V$2:$V$1001,0),MATCH(COLUMNS($AC$1006:AF1006),$AC$1006:$AS$1006,0)), HYPERLINK("#",""), HYPERLINK(CONCATENATE("#metadata!", ADDRESS(INDEX($X$2:$X$1001,MATCH(ROWS($V$2:V134),$V$2:$V$1001,0),0), INDEX($AC$1004:$AS$1004,1,MATCH(COLUMNS($AC$1006:AF1006),$AC$1006:$AS$1006,0)))),"Fix")))</f>
        <v xml:space="preserve"> </v>
      </c>
      <c r="F134" s="4" t="str">
        <f ca="1">IF(OR(INDEX($W$2:$W$1001,MATCH(ROWS($V$2:V134),$V$2:$V$1001,0),1)&gt;=100000,INDEX($AC$1005:$AS$1005,1,MATCH(COLUMNS($AC$1006:AG1006),$AC$1006:$AS$1006,0))&gt;=100000), " ",IF(INDEX($AC$2:$AS$1001,MATCH(ROWS($V$2:V134),$V$2:$V$1001,0),MATCH(COLUMNS($AC$1006:AG1006),$AC$1006:$AS$1006,0)), HYPERLINK("#",""), HYPERLINK(CONCATENATE("#metadata!", ADDRESS(INDEX($X$2:$X$1001,MATCH(ROWS($V$2:V134),$V$2:$V$1001,0),0), INDEX($AC$1004:$AS$1004,1,MATCH(COLUMNS($AC$1006:AG1006),$AC$1006:$AS$1006,0)))),"Fix")))</f>
        <v xml:space="preserve"> </v>
      </c>
      <c r="G134" s="4" t="str">
        <f ca="1">IF(OR(INDEX($W$2:$W$1001,MATCH(ROWS($V$2:V134),$V$2:$V$1001,0),1)&gt;=100000,INDEX($AC$1005:$AS$1005,1,MATCH(COLUMNS($AC$1006:AH1006),$AC$1006:$AS$1006,0))&gt;=100000), " ",IF(INDEX($AC$2:$AS$1001,MATCH(ROWS($V$2:V134),$V$2:$V$1001,0),MATCH(COLUMNS($AC$1006:AH1006),$AC$1006:$AS$1006,0)), HYPERLINK("#",""), HYPERLINK(CONCATENATE("#metadata!", ADDRESS(INDEX($X$2:$X$1001,MATCH(ROWS($V$2:V134),$V$2:$V$1001,0),0), INDEX($AC$1004:$AS$1004,1,MATCH(COLUMNS($AC$1006:AH1006),$AC$1006:$AS$1006,0)))),"Fix")))</f>
        <v xml:space="preserve"> </v>
      </c>
      <c r="H134" s="4" t="str">
        <f ca="1">IF(OR(INDEX($W$2:$W$1001,MATCH(ROWS($V$2:V134),$V$2:$V$1001,0),1)&gt;=100000,INDEX($AC$1005:$AS$1005,1,MATCH(COLUMNS($AC$1006:AI1006),$AC$1006:$AS$1006,0))&gt;=100000), " ",IF(INDEX($AC$2:$AS$1001,MATCH(ROWS($V$2:V134),$V$2:$V$1001,0),MATCH(COLUMNS($AC$1006:AI1006),$AC$1006:$AS$1006,0)), HYPERLINK("#",""), HYPERLINK(CONCATENATE("#metadata!", ADDRESS(INDEX($X$2:$X$1001,MATCH(ROWS($V$2:V134),$V$2:$V$1001,0),0), INDEX($AC$1004:$AS$1004,1,MATCH(COLUMNS($AC$1006:AI1006),$AC$1006:$AS$1006,0)))),"Fix")))</f>
        <v xml:space="preserve"> </v>
      </c>
      <c r="I134" s="4" t="str">
        <f ca="1">IF(OR(INDEX($W$2:$W$1001,MATCH(ROWS($V$2:V134),$V$2:$V$1001,0),1)&gt;=100000,INDEX($AC$1005:$AS$1005,1,MATCH(COLUMNS($AC$1006:AJ1006),$AC$1006:$AS$1006,0))&gt;=100000), " ",IF(INDEX($AC$2:$AS$1001,MATCH(ROWS($V$2:V134),$V$2:$V$1001,0),MATCH(COLUMNS($AC$1006:AJ1006),$AC$1006:$AS$1006,0)), HYPERLINK("#",""), HYPERLINK(CONCATENATE("#metadata!", ADDRESS(INDEX($X$2:$X$1001,MATCH(ROWS($V$2:V134),$V$2:$V$1001,0),0), INDEX($AC$1004:$AS$1004,1,MATCH(COLUMNS($AC$1006:AJ1006),$AC$1006:$AS$1006,0)))),"Fix")))</f>
        <v xml:space="preserve"> </v>
      </c>
      <c r="J134" s="4" t="str">
        <f ca="1">IF(OR(INDEX($W$2:$W$1001,MATCH(ROWS($V$2:V134),$V$2:$V$1001,0),1)&gt;=100000,INDEX($AC$1005:$AS$1005,1,MATCH(COLUMNS($AC$1006:AK1006),$AC$1006:$AS$1006,0))&gt;=100000), " ",IF(INDEX($AC$2:$AS$1001,MATCH(ROWS($V$2:V134),$V$2:$V$1001,0),MATCH(COLUMNS($AC$1006:AK1006),$AC$1006:$AS$1006,0)), HYPERLINK("#",""), HYPERLINK(CONCATENATE("#metadata!", ADDRESS(INDEX($X$2:$X$1001,MATCH(ROWS($V$2:V134),$V$2:$V$1001,0),0), INDEX($AC$1004:$AS$1004,1,MATCH(COLUMNS($AC$1006:AK1006),$AC$1006:$AS$1006,0)))),"Fix")))</f>
        <v xml:space="preserve"> </v>
      </c>
      <c r="K134" s="4" t="str">
        <f ca="1">IF(OR(INDEX($W$2:$W$1001,MATCH(ROWS($V$2:V134),$V$2:$V$1001,0),1)&gt;=100000,INDEX($AC$1005:$AS$1005,1,MATCH(COLUMNS($AC$1006:AL1006),$AC$1006:$AS$1006,0))&gt;=100000), " ",IF(INDEX($AC$2:$AS$1001,MATCH(ROWS($V$2:V134),$V$2:$V$1001,0),MATCH(COLUMNS($AC$1006:AL1006),$AC$1006:$AS$1006,0)), HYPERLINK("#",""), HYPERLINK(CONCATENATE("#metadata!", ADDRESS(INDEX($X$2:$X$1001,MATCH(ROWS($V$2:V134),$V$2:$V$1001,0),0), INDEX($AC$1004:$AS$1004,1,MATCH(COLUMNS($AC$1006:AL1006),$AC$1006:$AS$1006,0)))),"Fix")))</f>
        <v xml:space="preserve"> </v>
      </c>
      <c r="L134" s="4" t="str">
        <f ca="1">IF(OR(INDEX($W$2:$W$1001,MATCH(ROWS($V$2:V134),$V$2:$V$1001,0),1)&gt;=100000,INDEX($AC$1005:$AS$1005,1,MATCH(COLUMNS($AC$1006:AM1006),$AC$1006:$AS$1006,0))&gt;=100000), " ",IF(INDEX($AC$2:$AS$1001,MATCH(ROWS($V$2:V134),$V$2:$V$1001,0),MATCH(COLUMNS($AC$1006:AM1006),$AC$1006:$AS$1006,0)), HYPERLINK("#",""), HYPERLINK(CONCATENATE("#metadata!", ADDRESS(INDEX($X$2:$X$1001,MATCH(ROWS($V$2:V134),$V$2:$V$1001,0),0), INDEX($AC$1004:$AS$1004,1,MATCH(COLUMNS($AC$1006:AM1006),$AC$1006:$AS$1006,0)))),"Fix")))</f>
        <v xml:space="preserve"> </v>
      </c>
      <c r="M134" s="4" t="str">
        <f ca="1">IF(OR(INDEX($W$2:$W$1001,MATCH(ROWS($V$2:V134),$V$2:$V$1001,0),1)&gt;=100000,INDEX($AC$1005:$AS$1005,1,MATCH(COLUMNS($AC$1006:AN1006),$AC$1006:$AS$1006,0))&gt;=100000), " ",IF(INDEX($AC$2:$AS$1001,MATCH(ROWS($V$2:V134),$V$2:$V$1001,0),MATCH(COLUMNS($AC$1006:AN1006),$AC$1006:$AS$1006,0)), HYPERLINK("#",""), HYPERLINK(CONCATENATE("#metadata!", ADDRESS(INDEX($X$2:$X$1001,MATCH(ROWS($V$2:V134),$V$2:$V$1001,0),0), INDEX($AC$1004:$AS$1004,1,MATCH(COLUMNS($AC$1006:AN1006),$AC$1006:$AS$1006,0)))),"Fix")))</f>
        <v xml:space="preserve"> </v>
      </c>
      <c r="N134" s="4" t="str">
        <f ca="1">IF(OR(INDEX($W$2:$W$1001,MATCH(ROWS($V$2:V134),$V$2:$V$1001,0),1)&gt;=100000,INDEX($AC$1005:$AS$1005,1,MATCH(COLUMNS($AC$1006:AO1006),$AC$1006:$AS$1006,0))&gt;=100000), " ",IF(INDEX($AC$2:$AS$1001,MATCH(ROWS($V$2:V134),$V$2:$V$1001,0),MATCH(COLUMNS($AC$1006:AO1006),$AC$1006:$AS$1006,0)), HYPERLINK("#",""), HYPERLINK(CONCATENATE("#metadata!", ADDRESS(INDEX($X$2:$X$1001,MATCH(ROWS($V$2:V134),$V$2:$V$1001,0),0), INDEX($AC$1004:$AS$1004,1,MATCH(COLUMNS($AC$1006:AO1006),$AC$1006:$AS$1006,0)))),"Fix")))</f>
        <v xml:space="preserve"> </v>
      </c>
      <c r="O134" s="4" t="str">
        <f ca="1">IF(OR(INDEX($W$2:$W$1001,MATCH(ROWS($V$2:V134),$V$2:$V$1001,0),1)&gt;=100000,INDEX($AC$1005:$AS$1005,1,MATCH(COLUMNS($AC$1006:AP1006),$AC$1006:$AS$1006,0))&gt;=100000), " ",IF(INDEX($AC$2:$AS$1001,MATCH(ROWS($V$2:V134),$V$2:$V$1001,0),MATCH(COLUMNS($AC$1006:AP1006),$AC$1006:$AS$1006,0)), HYPERLINK("#",""), HYPERLINK(CONCATENATE("#metadata!", ADDRESS(INDEX($X$2:$X$1001,MATCH(ROWS($V$2:V134),$V$2:$V$1001,0),0), INDEX($AC$1004:$AS$1004,1,MATCH(COLUMNS($AC$1006:AP1006),$AC$1006:$AS$1006,0)))),"Fix")))</f>
        <v xml:space="preserve"> </v>
      </c>
      <c r="P134" s="4" t="str">
        <f ca="1">IF(OR(INDEX($W$2:$W$1001,MATCH(ROWS($V$2:V134),$V$2:$V$1001,0),1)&gt;=100000,INDEX($AC$1005:$AS$1005,1,MATCH(COLUMNS($AC$1006:AQ1006),$AC$1006:$AS$1006,0))&gt;=100000), " ",IF(INDEX($AC$2:$AS$1001,MATCH(ROWS($V$2:V134),$V$2:$V$1001,0),MATCH(COLUMNS($AC$1006:AQ1006),$AC$1006:$AS$1006,0)), HYPERLINK("#",""), HYPERLINK(CONCATENATE("#metadata!", ADDRESS(INDEX($X$2:$X$1001,MATCH(ROWS($V$2:V134),$V$2:$V$1001,0),0), INDEX($AC$1004:$AS$1004,1,MATCH(COLUMNS($AC$1006:AQ1006),$AC$1006:$AS$1006,0)))),"Fix")))</f>
        <v xml:space="preserve"> </v>
      </c>
      <c r="Q134" s="4" t="str">
        <f ca="1">IF(OR(INDEX($W$2:$W$1001,MATCH(ROWS($V$2:V134),$V$2:$V$1001,0),1)&gt;=100000,INDEX($AC$1005:$AS$1005,1,MATCH(COLUMNS($AC$1006:AR1006),$AC$1006:$AS$1006,0))&gt;=100000), " ",IF(INDEX($AC$2:$AS$1001,MATCH(ROWS($V$2:V134),$V$2:$V$1001,0),MATCH(COLUMNS($AC$1006:AR1006),$AC$1006:$AS$1006,0)), HYPERLINK("#",""), HYPERLINK(CONCATENATE("#metadata!", ADDRESS(INDEX($X$2:$X$1001,MATCH(ROWS($V$2:V134),$V$2:$V$1001,0),0), INDEX($AC$1004:$AS$1004,1,MATCH(COLUMNS($AC$1006:AR1006),$AC$1006:$AS$1006,0)))),"Fix")))</f>
        <v xml:space="preserve"> </v>
      </c>
      <c r="R134" s="4" t="str">
        <f ca="1">IF(OR(INDEX($W$2:$W$1001,MATCH(ROWS($V$2:V134),$V$2:$V$1001,0),1)&gt;=100000,INDEX($AC$1005:$AS$1005,1,MATCH(COLUMNS($AC$1006:AS1006),$AC$1006:$AS$1006,0))&gt;=100000), " ",IF(INDEX($AC$2:$AS$1001,MATCH(ROWS($V$2:V134),$V$2:$V$1001,0),MATCH(COLUMNS($AC$1006:AS1006),$AC$1006:$AS$1006,0)), HYPERLINK("#",""), HYPERLINK(CONCATENATE("#metadata!", ADDRESS(INDEX($X$2:$X$1001,MATCH(ROWS($V$2:V134),$V$2:$V$1001,0),0), INDEX($AC$1004:$AS$1004,1,MATCH(COLUMNS($AC$1006:AS1006),$AC$1006:$AS$1006,0)))),"Fix")))</f>
        <v xml:space="preserve"> </v>
      </c>
      <c r="V134">
        <v>133</v>
      </c>
      <c r="W134">
        <v>100134</v>
      </c>
      <c r="X134">
        <v>134</v>
      </c>
      <c r="Y134" t="b">
        <f t="shared" si="2"/>
        <v>1</v>
      </c>
      <c r="Z134" t="b">
        <f>COUNTBLANK(metadata!B134:R134)=COLUMNS(metadata!B134:R134)</f>
        <v>1</v>
      </c>
      <c r="AA134" t="str">
        <v/>
      </c>
      <c r="AC134" t="b">
        <f ca="1"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AD134" t="b">
        <f>IF(metadata!C134="",FALSE,ISNUMBER(VALUE(metadata!C134)))</f>
        <v>0</v>
      </c>
      <c r="AE134" t="b">
        <f>AND(IF(metadata!D134="",FALSE,TRUE),EXACT(metadata!D134,"years"))</f>
        <v>0</v>
      </c>
      <c r="AF134" t="b">
        <f>OR(AND(IF(metadata!E134="",FALSE,TRUE),OR(EXACT(metadata!E134,"not applicable"),EXACT(metadata!E134,"missing: not collected"),EXACT(metadata!E134,"missing: not provided"),EXACT(metadata!E134,"missing: restricted access"))),AND(IF(metadata!E134="",FALSE,ISNUMBER(VALUE(metadata!E134))),metadata!E134&gt;0))</f>
        <v>0</v>
      </c>
      <c r="AG134" t="b">
        <f>AND(IF(metadata!F134="",FALSE,TRUE),EXACT(metadata!F134,"Not applicable"))</f>
        <v>0</v>
      </c>
      <c r="AH134" t="b">
        <f>AND(IF(metadata!G134="",FALSE,TRUE),EXACT(metadata!G134,"urban biome"))</f>
        <v>0</v>
      </c>
      <c r="AI134" t="b">
        <f>AND(IF(metadata!H134="",FALSE,TRUE),EXACT(metadata!H134,"human-associated habitat"))</f>
        <v>0</v>
      </c>
      <c r="AJ134" t="b">
        <f>AND(IF(metadata!I134="",FALSE,TRUE),OR(EXACT(metadata!I134,"human-associated"),EXACT(metadata!I134,"human-skin"),EXACT(metadata!I134,"human-oral"),EXACT(metadata!I134,"human-gut"),EXACT(metadata!I134,"human-vaginal")))</f>
        <v>0</v>
      </c>
      <c r="AK134" t="b">
        <f>IF(metadata!J134="",FALSE,ISNUMBER(VALUE(metadata!J134)))</f>
        <v>0</v>
      </c>
      <c r="AL134" t="b">
        <f>AND(IF(metadata!K134="",FALSE,TRUE),EXACT(metadata!K134,"cm"))</f>
        <v>0</v>
      </c>
      <c r="AM134" t="b">
        <f>AND(IF(metadata!L134="",FALSE,TRUE),EXACT(metadata!L134,"human"))</f>
        <v>0</v>
      </c>
      <c r="AN134" t="b">
        <f>AND(IF(metadata!M134="",FALSE,TRUE),EXACT(metadata!M134,"Homo sapiens"))</f>
        <v>0</v>
      </c>
      <c r="AO134" t="b">
        <f>AND(IF(metadata!N134="",FALSE,TRUE),EXACT(metadata!N134,"9606"))</f>
        <v>0</v>
      </c>
      <c r="AP134" t="b">
        <f>IF(metadata!O134="",FALSE,TRUE)</f>
        <v>0</v>
      </c>
      <c r="AQ134" t="b">
        <f>IF(metadata!P134="",FALSE,TRUE)</f>
        <v>0</v>
      </c>
      <c r="AR134" t="b">
        <f>IF(metadata!Q134="",FALSE,ISNUMBER(VALUE(metadata!Q134)))</f>
        <v>0</v>
      </c>
      <c r="AS134" t="b">
        <f>AND(IF(metadata!R134="",FALSE,TRUE),EXACT(metadata!R134,"kg"))</f>
        <v>0</v>
      </c>
    </row>
    <row r="135" spans="1:45" x14ac:dyDescent="0.2">
      <c r="A135" s="5" t="str">
        <f ca="1">IF(B135=" "," ",HYPERLINK(CONCATENATE("#metadata!",ADDRESS(INDEX($X$2:$X$1001,MATCH(ROWS($V$2:V135),$V$2:$V$1001,0),0),1)),INDEX($AA$2:$AA$1001,MATCH(ROWS($V$2:V135),$V$2:$V$1001,0),0)))</f>
        <v xml:space="preserve"> </v>
      </c>
      <c r="B135" s="4" t="str">
        <f ca="1">IF(OR(INDEX($W$2:$W$1001,MATCH(ROWS($V$2:V135),$V$2:$V$1001,0),1)&gt;=100000,INDEX($AC$1005:$AS$1005,1,MATCH(COLUMNS($AC$1006:AC1006),$AC$1006:$AS$1006,0))&gt;=100000), " ",IF(INDEX($AC$2:$AS$1001,MATCH(ROWS($V$2:V135),$V$2:$V$1001,0),MATCH(COLUMNS($AC$1006:AC1006),$AC$1006:$AS$1006,0)), HYPERLINK("#",""), HYPERLINK(CONCATENATE("#metadata!", ADDRESS(INDEX($X$2:$X$1001,MATCH(ROWS($V$2:V135),$V$2:$V$1001,0),0), INDEX($AC$1004:$AS$1004,1,MATCH(COLUMNS($AC$1006:AC1006),$AC$1006:$AS$1006,0)))),"Fix")))</f>
        <v xml:space="preserve"> </v>
      </c>
      <c r="C135" s="4" t="str">
        <f ca="1">IF(OR(INDEX($W$2:$W$1001,MATCH(ROWS($V$2:V135),$V$2:$V$1001,0),1)&gt;=100000,INDEX($AC$1005:$AS$1005,1,MATCH(COLUMNS($AC$1006:AD1006),$AC$1006:$AS$1006,0))&gt;=100000), " ",IF(INDEX($AC$2:$AS$1001,MATCH(ROWS($V$2:V135),$V$2:$V$1001,0),MATCH(COLUMNS($AC$1006:AD1006),$AC$1006:$AS$1006,0)), HYPERLINK("#",""), HYPERLINK(CONCATENATE("#metadata!", ADDRESS(INDEX($X$2:$X$1001,MATCH(ROWS($V$2:V135),$V$2:$V$1001,0),0), INDEX($AC$1004:$AS$1004,1,MATCH(COLUMNS($AC$1006:AD1006),$AC$1006:$AS$1006,0)))),"Fix")))</f>
        <v xml:space="preserve"> </v>
      </c>
      <c r="D135" s="4" t="str">
        <f ca="1">IF(OR(INDEX($W$2:$W$1001,MATCH(ROWS($V$2:V135),$V$2:$V$1001,0),1)&gt;=100000,INDEX($AC$1005:$AS$1005,1,MATCH(COLUMNS($AC$1006:AE1006),$AC$1006:$AS$1006,0))&gt;=100000), " ",IF(INDEX($AC$2:$AS$1001,MATCH(ROWS($V$2:V135),$V$2:$V$1001,0),MATCH(COLUMNS($AC$1006:AE1006),$AC$1006:$AS$1006,0)), HYPERLINK("#",""), HYPERLINK(CONCATENATE("#metadata!", ADDRESS(INDEX($X$2:$X$1001,MATCH(ROWS($V$2:V135),$V$2:$V$1001,0),0), INDEX($AC$1004:$AS$1004,1,MATCH(COLUMNS($AC$1006:AE1006),$AC$1006:$AS$1006,0)))),"Fix")))</f>
        <v xml:space="preserve"> </v>
      </c>
      <c r="E135" s="4" t="str">
        <f ca="1">IF(OR(INDEX($W$2:$W$1001,MATCH(ROWS($V$2:V135),$V$2:$V$1001,0),1)&gt;=100000,INDEX($AC$1005:$AS$1005,1,MATCH(COLUMNS($AC$1006:AF1006),$AC$1006:$AS$1006,0))&gt;=100000), " ",IF(INDEX($AC$2:$AS$1001,MATCH(ROWS($V$2:V135),$V$2:$V$1001,0),MATCH(COLUMNS($AC$1006:AF1006),$AC$1006:$AS$1006,0)), HYPERLINK("#",""), HYPERLINK(CONCATENATE("#metadata!", ADDRESS(INDEX($X$2:$X$1001,MATCH(ROWS($V$2:V135),$V$2:$V$1001,0),0), INDEX($AC$1004:$AS$1004,1,MATCH(COLUMNS($AC$1006:AF1006),$AC$1006:$AS$1006,0)))),"Fix")))</f>
        <v xml:space="preserve"> </v>
      </c>
      <c r="F135" s="4" t="str">
        <f ca="1">IF(OR(INDEX($W$2:$W$1001,MATCH(ROWS($V$2:V135),$V$2:$V$1001,0),1)&gt;=100000,INDEX($AC$1005:$AS$1005,1,MATCH(COLUMNS($AC$1006:AG1006),$AC$1006:$AS$1006,0))&gt;=100000), " ",IF(INDEX($AC$2:$AS$1001,MATCH(ROWS($V$2:V135),$V$2:$V$1001,0),MATCH(COLUMNS($AC$1006:AG1006),$AC$1006:$AS$1006,0)), HYPERLINK("#",""), HYPERLINK(CONCATENATE("#metadata!", ADDRESS(INDEX($X$2:$X$1001,MATCH(ROWS($V$2:V135),$V$2:$V$1001,0),0), INDEX($AC$1004:$AS$1004,1,MATCH(COLUMNS($AC$1006:AG1006),$AC$1006:$AS$1006,0)))),"Fix")))</f>
        <v xml:space="preserve"> </v>
      </c>
      <c r="G135" s="4" t="str">
        <f ca="1">IF(OR(INDEX($W$2:$W$1001,MATCH(ROWS($V$2:V135),$V$2:$V$1001,0),1)&gt;=100000,INDEX($AC$1005:$AS$1005,1,MATCH(COLUMNS($AC$1006:AH1006),$AC$1006:$AS$1006,0))&gt;=100000), " ",IF(INDEX($AC$2:$AS$1001,MATCH(ROWS($V$2:V135),$V$2:$V$1001,0),MATCH(COLUMNS($AC$1006:AH1006),$AC$1006:$AS$1006,0)), HYPERLINK("#",""), HYPERLINK(CONCATENATE("#metadata!", ADDRESS(INDEX($X$2:$X$1001,MATCH(ROWS($V$2:V135),$V$2:$V$1001,0),0), INDEX($AC$1004:$AS$1004,1,MATCH(COLUMNS($AC$1006:AH1006),$AC$1006:$AS$1006,0)))),"Fix")))</f>
        <v xml:space="preserve"> </v>
      </c>
      <c r="H135" s="4" t="str">
        <f ca="1">IF(OR(INDEX($W$2:$W$1001,MATCH(ROWS($V$2:V135),$V$2:$V$1001,0),1)&gt;=100000,INDEX($AC$1005:$AS$1005,1,MATCH(COLUMNS($AC$1006:AI1006),$AC$1006:$AS$1006,0))&gt;=100000), " ",IF(INDEX($AC$2:$AS$1001,MATCH(ROWS($V$2:V135),$V$2:$V$1001,0),MATCH(COLUMNS($AC$1006:AI1006),$AC$1006:$AS$1006,0)), HYPERLINK("#",""), HYPERLINK(CONCATENATE("#metadata!", ADDRESS(INDEX($X$2:$X$1001,MATCH(ROWS($V$2:V135),$V$2:$V$1001,0),0), INDEX($AC$1004:$AS$1004,1,MATCH(COLUMNS($AC$1006:AI1006),$AC$1006:$AS$1006,0)))),"Fix")))</f>
        <v xml:space="preserve"> </v>
      </c>
      <c r="I135" s="4" t="str">
        <f ca="1">IF(OR(INDEX($W$2:$W$1001,MATCH(ROWS($V$2:V135),$V$2:$V$1001,0),1)&gt;=100000,INDEX($AC$1005:$AS$1005,1,MATCH(COLUMNS($AC$1006:AJ1006),$AC$1006:$AS$1006,0))&gt;=100000), " ",IF(INDEX($AC$2:$AS$1001,MATCH(ROWS($V$2:V135),$V$2:$V$1001,0),MATCH(COLUMNS($AC$1006:AJ1006),$AC$1006:$AS$1006,0)), HYPERLINK("#",""), HYPERLINK(CONCATENATE("#metadata!", ADDRESS(INDEX($X$2:$X$1001,MATCH(ROWS($V$2:V135),$V$2:$V$1001,0),0), INDEX($AC$1004:$AS$1004,1,MATCH(COLUMNS($AC$1006:AJ1006),$AC$1006:$AS$1006,0)))),"Fix")))</f>
        <v xml:space="preserve"> </v>
      </c>
      <c r="J135" s="4" t="str">
        <f ca="1">IF(OR(INDEX($W$2:$W$1001,MATCH(ROWS($V$2:V135),$V$2:$V$1001,0),1)&gt;=100000,INDEX($AC$1005:$AS$1005,1,MATCH(COLUMNS($AC$1006:AK1006),$AC$1006:$AS$1006,0))&gt;=100000), " ",IF(INDEX($AC$2:$AS$1001,MATCH(ROWS($V$2:V135),$V$2:$V$1001,0),MATCH(COLUMNS($AC$1006:AK1006),$AC$1006:$AS$1006,0)), HYPERLINK("#",""), HYPERLINK(CONCATENATE("#metadata!", ADDRESS(INDEX($X$2:$X$1001,MATCH(ROWS($V$2:V135),$V$2:$V$1001,0),0), INDEX($AC$1004:$AS$1004,1,MATCH(COLUMNS($AC$1006:AK1006),$AC$1006:$AS$1006,0)))),"Fix")))</f>
        <v xml:space="preserve"> </v>
      </c>
      <c r="K135" s="4" t="str">
        <f ca="1">IF(OR(INDEX($W$2:$W$1001,MATCH(ROWS($V$2:V135),$V$2:$V$1001,0),1)&gt;=100000,INDEX($AC$1005:$AS$1005,1,MATCH(COLUMNS($AC$1006:AL1006),$AC$1006:$AS$1006,0))&gt;=100000), " ",IF(INDEX($AC$2:$AS$1001,MATCH(ROWS($V$2:V135),$V$2:$V$1001,0),MATCH(COLUMNS($AC$1006:AL1006),$AC$1006:$AS$1006,0)), HYPERLINK("#",""), HYPERLINK(CONCATENATE("#metadata!", ADDRESS(INDEX($X$2:$X$1001,MATCH(ROWS($V$2:V135),$V$2:$V$1001,0),0), INDEX($AC$1004:$AS$1004,1,MATCH(COLUMNS($AC$1006:AL1006),$AC$1006:$AS$1006,0)))),"Fix")))</f>
        <v xml:space="preserve"> </v>
      </c>
      <c r="L135" s="4" t="str">
        <f ca="1">IF(OR(INDEX($W$2:$W$1001,MATCH(ROWS($V$2:V135),$V$2:$V$1001,0),1)&gt;=100000,INDEX($AC$1005:$AS$1005,1,MATCH(COLUMNS($AC$1006:AM1006),$AC$1006:$AS$1006,0))&gt;=100000), " ",IF(INDEX($AC$2:$AS$1001,MATCH(ROWS($V$2:V135),$V$2:$V$1001,0),MATCH(COLUMNS($AC$1006:AM1006),$AC$1006:$AS$1006,0)), HYPERLINK("#",""), HYPERLINK(CONCATENATE("#metadata!", ADDRESS(INDEX($X$2:$X$1001,MATCH(ROWS($V$2:V135),$V$2:$V$1001,0),0), INDEX($AC$1004:$AS$1004,1,MATCH(COLUMNS($AC$1006:AM1006),$AC$1006:$AS$1006,0)))),"Fix")))</f>
        <v xml:space="preserve"> </v>
      </c>
      <c r="M135" s="4" t="str">
        <f ca="1">IF(OR(INDEX($W$2:$W$1001,MATCH(ROWS($V$2:V135),$V$2:$V$1001,0),1)&gt;=100000,INDEX($AC$1005:$AS$1005,1,MATCH(COLUMNS($AC$1006:AN1006),$AC$1006:$AS$1006,0))&gt;=100000), " ",IF(INDEX($AC$2:$AS$1001,MATCH(ROWS($V$2:V135),$V$2:$V$1001,0),MATCH(COLUMNS($AC$1006:AN1006),$AC$1006:$AS$1006,0)), HYPERLINK("#",""), HYPERLINK(CONCATENATE("#metadata!", ADDRESS(INDEX($X$2:$X$1001,MATCH(ROWS($V$2:V135),$V$2:$V$1001,0),0), INDEX($AC$1004:$AS$1004,1,MATCH(COLUMNS($AC$1006:AN1006),$AC$1006:$AS$1006,0)))),"Fix")))</f>
        <v xml:space="preserve"> </v>
      </c>
      <c r="N135" s="4" t="str">
        <f ca="1">IF(OR(INDEX($W$2:$W$1001,MATCH(ROWS($V$2:V135),$V$2:$V$1001,0),1)&gt;=100000,INDEX($AC$1005:$AS$1005,1,MATCH(COLUMNS($AC$1006:AO1006),$AC$1006:$AS$1006,0))&gt;=100000), " ",IF(INDEX($AC$2:$AS$1001,MATCH(ROWS($V$2:V135),$V$2:$V$1001,0),MATCH(COLUMNS($AC$1006:AO1006),$AC$1006:$AS$1006,0)), HYPERLINK("#",""), HYPERLINK(CONCATENATE("#metadata!", ADDRESS(INDEX($X$2:$X$1001,MATCH(ROWS($V$2:V135),$V$2:$V$1001,0),0), INDEX($AC$1004:$AS$1004,1,MATCH(COLUMNS($AC$1006:AO1006),$AC$1006:$AS$1006,0)))),"Fix")))</f>
        <v xml:space="preserve"> </v>
      </c>
      <c r="O135" s="4" t="str">
        <f ca="1">IF(OR(INDEX($W$2:$W$1001,MATCH(ROWS($V$2:V135),$V$2:$V$1001,0),1)&gt;=100000,INDEX($AC$1005:$AS$1005,1,MATCH(COLUMNS($AC$1006:AP1006),$AC$1006:$AS$1006,0))&gt;=100000), " ",IF(INDEX($AC$2:$AS$1001,MATCH(ROWS($V$2:V135),$V$2:$V$1001,0),MATCH(COLUMNS($AC$1006:AP1006),$AC$1006:$AS$1006,0)), HYPERLINK("#",""), HYPERLINK(CONCATENATE("#metadata!", ADDRESS(INDEX($X$2:$X$1001,MATCH(ROWS($V$2:V135),$V$2:$V$1001,0),0), INDEX($AC$1004:$AS$1004,1,MATCH(COLUMNS($AC$1006:AP1006),$AC$1006:$AS$1006,0)))),"Fix")))</f>
        <v xml:space="preserve"> </v>
      </c>
      <c r="P135" s="4" t="str">
        <f ca="1">IF(OR(INDEX($W$2:$W$1001,MATCH(ROWS($V$2:V135),$V$2:$V$1001,0),1)&gt;=100000,INDEX($AC$1005:$AS$1005,1,MATCH(COLUMNS($AC$1006:AQ1006),$AC$1006:$AS$1006,0))&gt;=100000), " ",IF(INDEX($AC$2:$AS$1001,MATCH(ROWS($V$2:V135),$V$2:$V$1001,0),MATCH(COLUMNS($AC$1006:AQ1006),$AC$1006:$AS$1006,0)), HYPERLINK("#",""), HYPERLINK(CONCATENATE("#metadata!", ADDRESS(INDEX($X$2:$X$1001,MATCH(ROWS($V$2:V135),$V$2:$V$1001,0),0), INDEX($AC$1004:$AS$1004,1,MATCH(COLUMNS($AC$1006:AQ1006),$AC$1006:$AS$1006,0)))),"Fix")))</f>
        <v xml:space="preserve"> </v>
      </c>
      <c r="Q135" s="4" t="str">
        <f ca="1">IF(OR(INDEX($W$2:$W$1001,MATCH(ROWS($V$2:V135),$V$2:$V$1001,0),1)&gt;=100000,INDEX($AC$1005:$AS$1005,1,MATCH(COLUMNS($AC$1006:AR1006),$AC$1006:$AS$1006,0))&gt;=100000), " ",IF(INDEX($AC$2:$AS$1001,MATCH(ROWS($V$2:V135),$V$2:$V$1001,0),MATCH(COLUMNS($AC$1006:AR1006),$AC$1006:$AS$1006,0)), HYPERLINK("#",""), HYPERLINK(CONCATENATE("#metadata!", ADDRESS(INDEX($X$2:$X$1001,MATCH(ROWS($V$2:V135),$V$2:$V$1001,0),0), INDEX($AC$1004:$AS$1004,1,MATCH(COLUMNS($AC$1006:AR1006),$AC$1006:$AS$1006,0)))),"Fix")))</f>
        <v xml:space="preserve"> </v>
      </c>
      <c r="R135" s="4" t="str">
        <f ca="1">IF(OR(INDEX($W$2:$W$1001,MATCH(ROWS($V$2:V135),$V$2:$V$1001,0),1)&gt;=100000,INDEX($AC$1005:$AS$1005,1,MATCH(COLUMNS($AC$1006:AS1006),$AC$1006:$AS$1006,0))&gt;=100000), " ",IF(INDEX($AC$2:$AS$1001,MATCH(ROWS($V$2:V135),$V$2:$V$1001,0),MATCH(COLUMNS($AC$1006:AS1006),$AC$1006:$AS$1006,0)), HYPERLINK("#",""), HYPERLINK(CONCATENATE("#metadata!", ADDRESS(INDEX($X$2:$X$1001,MATCH(ROWS($V$2:V135),$V$2:$V$1001,0),0), INDEX($AC$1004:$AS$1004,1,MATCH(COLUMNS($AC$1006:AS1006),$AC$1006:$AS$1006,0)))),"Fix")))</f>
        <v xml:space="preserve"> </v>
      </c>
      <c r="V135">
        <v>134</v>
      </c>
      <c r="W135">
        <v>100135</v>
      </c>
      <c r="X135">
        <v>135</v>
      </c>
      <c r="Y135" t="b">
        <f t="shared" si="2"/>
        <v>1</v>
      </c>
      <c r="Z135" t="b">
        <f>COUNTBLANK(metadata!B135:R135)=COLUMNS(metadata!B135:R135)</f>
        <v>1</v>
      </c>
      <c r="AA135" t="str">
        <v/>
      </c>
      <c r="AC135" t="b">
        <f ca="1"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AD135" t="b">
        <f>IF(metadata!C135="",FALSE,ISNUMBER(VALUE(metadata!C135)))</f>
        <v>0</v>
      </c>
      <c r="AE135" t="b">
        <f>AND(IF(metadata!D135="",FALSE,TRUE),EXACT(metadata!D135,"years"))</f>
        <v>0</v>
      </c>
      <c r="AF135" t="b">
        <f>OR(AND(IF(metadata!E135="",FALSE,TRUE),OR(EXACT(metadata!E135,"not applicable"),EXACT(metadata!E135,"missing: not collected"),EXACT(metadata!E135,"missing: not provided"),EXACT(metadata!E135,"missing: restricted access"))),AND(IF(metadata!E135="",FALSE,ISNUMBER(VALUE(metadata!E135))),metadata!E135&gt;0))</f>
        <v>0</v>
      </c>
      <c r="AG135" t="b">
        <f>AND(IF(metadata!F135="",FALSE,TRUE),EXACT(metadata!F135,"Not applicable"))</f>
        <v>0</v>
      </c>
      <c r="AH135" t="b">
        <f>AND(IF(metadata!G135="",FALSE,TRUE),EXACT(metadata!G135,"urban biome"))</f>
        <v>0</v>
      </c>
      <c r="AI135" t="b">
        <f>AND(IF(metadata!H135="",FALSE,TRUE),EXACT(metadata!H135,"human-associated habitat"))</f>
        <v>0</v>
      </c>
      <c r="AJ135" t="b">
        <f>AND(IF(metadata!I135="",FALSE,TRUE),OR(EXACT(metadata!I135,"human-associated"),EXACT(metadata!I135,"human-skin"),EXACT(metadata!I135,"human-oral"),EXACT(metadata!I135,"human-gut"),EXACT(metadata!I135,"human-vaginal")))</f>
        <v>0</v>
      </c>
      <c r="AK135" t="b">
        <f>IF(metadata!J135="",FALSE,ISNUMBER(VALUE(metadata!J135)))</f>
        <v>0</v>
      </c>
      <c r="AL135" t="b">
        <f>AND(IF(metadata!K135="",FALSE,TRUE),EXACT(metadata!K135,"cm"))</f>
        <v>0</v>
      </c>
      <c r="AM135" t="b">
        <f>AND(IF(metadata!L135="",FALSE,TRUE),EXACT(metadata!L135,"human"))</f>
        <v>0</v>
      </c>
      <c r="AN135" t="b">
        <f>AND(IF(metadata!M135="",FALSE,TRUE),EXACT(metadata!M135,"Homo sapiens"))</f>
        <v>0</v>
      </c>
      <c r="AO135" t="b">
        <f>AND(IF(metadata!N135="",FALSE,TRUE),EXACT(metadata!N135,"9606"))</f>
        <v>0</v>
      </c>
      <c r="AP135" t="b">
        <f>IF(metadata!O135="",FALSE,TRUE)</f>
        <v>0</v>
      </c>
      <c r="AQ135" t="b">
        <f>IF(metadata!P135="",FALSE,TRUE)</f>
        <v>0</v>
      </c>
      <c r="AR135" t="b">
        <f>IF(metadata!Q135="",FALSE,ISNUMBER(VALUE(metadata!Q135)))</f>
        <v>0</v>
      </c>
      <c r="AS135" t="b">
        <f>AND(IF(metadata!R135="",FALSE,TRUE),EXACT(metadata!R135,"kg"))</f>
        <v>0</v>
      </c>
    </row>
    <row r="136" spans="1:45" x14ac:dyDescent="0.2">
      <c r="A136" s="5" t="str">
        <f ca="1">IF(B136=" "," ",HYPERLINK(CONCATENATE("#metadata!",ADDRESS(INDEX($X$2:$X$1001,MATCH(ROWS($V$2:V136),$V$2:$V$1001,0),0),1)),INDEX($AA$2:$AA$1001,MATCH(ROWS($V$2:V136),$V$2:$V$1001,0),0)))</f>
        <v xml:space="preserve"> </v>
      </c>
      <c r="B136" s="4" t="str">
        <f ca="1">IF(OR(INDEX($W$2:$W$1001,MATCH(ROWS($V$2:V136),$V$2:$V$1001,0),1)&gt;=100000,INDEX($AC$1005:$AS$1005,1,MATCH(COLUMNS($AC$1006:AC1006),$AC$1006:$AS$1006,0))&gt;=100000), " ",IF(INDEX($AC$2:$AS$1001,MATCH(ROWS($V$2:V136),$V$2:$V$1001,0),MATCH(COLUMNS($AC$1006:AC1006),$AC$1006:$AS$1006,0)), HYPERLINK("#",""), HYPERLINK(CONCATENATE("#metadata!", ADDRESS(INDEX($X$2:$X$1001,MATCH(ROWS($V$2:V136),$V$2:$V$1001,0),0), INDEX($AC$1004:$AS$1004,1,MATCH(COLUMNS($AC$1006:AC1006),$AC$1006:$AS$1006,0)))),"Fix")))</f>
        <v xml:space="preserve"> </v>
      </c>
      <c r="C136" s="4" t="str">
        <f ca="1">IF(OR(INDEX($W$2:$W$1001,MATCH(ROWS($V$2:V136),$V$2:$V$1001,0),1)&gt;=100000,INDEX($AC$1005:$AS$1005,1,MATCH(COLUMNS($AC$1006:AD1006),$AC$1006:$AS$1006,0))&gt;=100000), " ",IF(INDEX($AC$2:$AS$1001,MATCH(ROWS($V$2:V136),$V$2:$V$1001,0),MATCH(COLUMNS($AC$1006:AD1006),$AC$1006:$AS$1006,0)), HYPERLINK("#",""), HYPERLINK(CONCATENATE("#metadata!", ADDRESS(INDEX($X$2:$X$1001,MATCH(ROWS($V$2:V136),$V$2:$V$1001,0),0), INDEX($AC$1004:$AS$1004,1,MATCH(COLUMNS($AC$1006:AD1006),$AC$1006:$AS$1006,0)))),"Fix")))</f>
        <v xml:space="preserve"> </v>
      </c>
      <c r="D136" s="4" t="str">
        <f ca="1">IF(OR(INDEX($W$2:$W$1001,MATCH(ROWS($V$2:V136),$V$2:$V$1001,0),1)&gt;=100000,INDEX($AC$1005:$AS$1005,1,MATCH(COLUMNS($AC$1006:AE1006),$AC$1006:$AS$1006,0))&gt;=100000), " ",IF(INDEX($AC$2:$AS$1001,MATCH(ROWS($V$2:V136),$V$2:$V$1001,0),MATCH(COLUMNS($AC$1006:AE1006),$AC$1006:$AS$1006,0)), HYPERLINK("#",""), HYPERLINK(CONCATENATE("#metadata!", ADDRESS(INDEX($X$2:$X$1001,MATCH(ROWS($V$2:V136),$V$2:$V$1001,0),0), INDEX($AC$1004:$AS$1004,1,MATCH(COLUMNS($AC$1006:AE1006),$AC$1006:$AS$1006,0)))),"Fix")))</f>
        <v xml:space="preserve"> </v>
      </c>
      <c r="E136" s="4" t="str">
        <f ca="1">IF(OR(INDEX($W$2:$W$1001,MATCH(ROWS($V$2:V136),$V$2:$V$1001,0),1)&gt;=100000,INDEX($AC$1005:$AS$1005,1,MATCH(COLUMNS($AC$1006:AF1006),$AC$1006:$AS$1006,0))&gt;=100000), " ",IF(INDEX($AC$2:$AS$1001,MATCH(ROWS($V$2:V136),$V$2:$V$1001,0),MATCH(COLUMNS($AC$1006:AF1006),$AC$1006:$AS$1006,0)), HYPERLINK("#",""), HYPERLINK(CONCATENATE("#metadata!", ADDRESS(INDEX($X$2:$X$1001,MATCH(ROWS($V$2:V136),$V$2:$V$1001,0),0), INDEX($AC$1004:$AS$1004,1,MATCH(COLUMNS($AC$1006:AF1006),$AC$1006:$AS$1006,0)))),"Fix")))</f>
        <v xml:space="preserve"> </v>
      </c>
      <c r="F136" s="4" t="str">
        <f ca="1">IF(OR(INDEX($W$2:$W$1001,MATCH(ROWS($V$2:V136),$V$2:$V$1001,0),1)&gt;=100000,INDEX($AC$1005:$AS$1005,1,MATCH(COLUMNS($AC$1006:AG1006),$AC$1006:$AS$1006,0))&gt;=100000), " ",IF(INDEX($AC$2:$AS$1001,MATCH(ROWS($V$2:V136),$V$2:$V$1001,0),MATCH(COLUMNS($AC$1006:AG1006),$AC$1006:$AS$1006,0)), HYPERLINK("#",""), HYPERLINK(CONCATENATE("#metadata!", ADDRESS(INDEX($X$2:$X$1001,MATCH(ROWS($V$2:V136),$V$2:$V$1001,0),0), INDEX($AC$1004:$AS$1004,1,MATCH(COLUMNS($AC$1006:AG1006),$AC$1006:$AS$1006,0)))),"Fix")))</f>
        <v xml:space="preserve"> </v>
      </c>
      <c r="G136" s="4" t="str">
        <f ca="1">IF(OR(INDEX($W$2:$W$1001,MATCH(ROWS($V$2:V136),$V$2:$V$1001,0),1)&gt;=100000,INDEX($AC$1005:$AS$1005,1,MATCH(COLUMNS($AC$1006:AH1006),$AC$1006:$AS$1006,0))&gt;=100000), " ",IF(INDEX($AC$2:$AS$1001,MATCH(ROWS($V$2:V136),$V$2:$V$1001,0),MATCH(COLUMNS($AC$1006:AH1006),$AC$1006:$AS$1006,0)), HYPERLINK("#",""), HYPERLINK(CONCATENATE("#metadata!", ADDRESS(INDEX($X$2:$X$1001,MATCH(ROWS($V$2:V136),$V$2:$V$1001,0),0), INDEX($AC$1004:$AS$1004,1,MATCH(COLUMNS($AC$1006:AH1006),$AC$1006:$AS$1006,0)))),"Fix")))</f>
        <v xml:space="preserve"> </v>
      </c>
      <c r="H136" s="4" t="str">
        <f ca="1">IF(OR(INDEX($W$2:$W$1001,MATCH(ROWS($V$2:V136),$V$2:$V$1001,0),1)&gt;=100000,INDEX($AC$1005:$AS$1005,1,MATCH(COLUMNS($AC$1006:AI1006),$AC$1006:$AS$1006,0))&gt;=100000), " ",IF(INDEX($AC$2:$AS$1001,MATCH(ROWS($V$2:V136),$V$2:$V$1001,0),MATCH(COLUMNS($AC$1006:AI1006),$AC$1006:$AS$1006,0)), HYPERLINK("#",""), HYPERLINK(CONCATENATE("#metadata!", ADDRESS(INDEX($X$2:$X$1001,MATCH(ROWS($V$2:V136),$V$2:$V$1001,0),0), INDEX($AC$1004:$AS$1004,1,MATCH(COLUMNS($AC$1006:AI1006),$AC$1006:$AS$1006,0)))),"Fix")))</f>
        <v xml:space="preserve"> </v>
      </c>
      <c r="I136" s="4" t="str">
        <f ca="1">IF(OR(INDEX($W$2:$W$1001,MATCH(ROWS($V$2:V136),$V$2:$V$1001,0),1)&gt;=100000,INDEX($AC$1005:$AS$1005,1,MATCH(COLUMNS($AC$1006:AJ1006),$AC$1006:$AS$1006,0))&gt;=100000), " ",IF(INDEX($AC$2:$AS$1001,MATCH(ROWS($V$2:V136),$V$2:$V$1001,0),MATCH(COLUMNS($AC$1006:AJ1006),$AC$1006:$AS$1006,0)), HYPERLINK("#",""), HYPERLINK(CONCATENATE("#metadata!", ADDRESS(INDEX($X$2:$X$1001,MATCH(ROWS($V$2:V136),$V$2:$V$1001,0),0), INDEX($AC$1004:$AS$1004,1,MATCH(COLUMNS($AC$1006:AJ1006),$AC$1006:$AS$1006,0)))),"Fix")))</f>
        <v xml:space="preserve"> </v>
      </c>
      <c r="J136" s="4" t="str">
        <f ca="1">IF(OR(INDEX($W$2:$W$1001,MATCH(ROWS($V$2:V136),$V$2:$V$1001,0),1)&gt;=100000,INDEX($AC$1005:$AS$1005,1,MATCH(COLUMNS($AC$1006:AK1006),$AC$1006:$AS$1006,0))&gt;=100000), " ",IF(INDEX($AC$2:$AS$1001,MATCH(ROWS($V$2:V136),$V$2:$V$1001,0),MATCH(COLUMNS($AC$1006:AK1006),$AC$1006:$AS$1006,0)), HYPERLINK("#",""), HYPERLINK(CONCATENATE("#metadata!", ADDRESS(INDEX($X$2:$X$1001,MATCH(ROWS($V$2:V136),$V$2:$V$1001,0),0), INDEX($AC$1004:$AS$1004,1,MATCH(COLUMNS($AC$1006:AK1006),$AC$1006:$AS$1006,0)))),"Fix")))</f>
        <v xml:space="preserve"> </v>
      </c>
      <c r="K136" s="4" t="str">
        <f ca="1">IF(OR(INDEX($W$2:$W$1001,MATCH(ROWS($V$2:V136),$V$2:$V$1001,0),1)&gt;=100000,INDEX($AC$1005:$AS$1005,1,MATCH(COLUMNS($AC$1006:AL1006),$AC$1006:$AS$1006,0))&gt;=100000), " ",IF(INDEX($AC$2:$AS$1001,MATCH(ROWS($V$2:V136),$V$2:$V$1001,0),MATCH(COLUMNS($AC$1006:AL1006),$AC$1006:$AS$1006,0)), HYPERLINK("#",""), HYPERLINK(CONCATENATE("#metadata!", ADDRESS(INDEX($X$2:$X$1001,MATCH(ROWS($V$2:V136),$V$2:$V$1001,0),0), INDEX($AC$1004:$AS$1004,1,MATCH(COLUMNS($AC$1006:AL1006),$AC$1006:$AS$1006,0)))),"Fix")))</f>
        <v xml:space="preserve"> </v>
      </c>
      <c r="L136" s="4" t="str">
        <f ca="1">IF(OR(INDEX($W$2:$W$1001,MATCH(ROWS($V$2:V136),$V$2:$V$1001,0),1)&gt;=100000,INDEX($AC$1005:$AS$1005,1,MATCH(COLUMNS($AC$1006:AM1006),$AC$1006:$AS$1006,0))&gt;=100000), " ",IF(INDEX($AC$2:$AS$1001,MATCH(ROWS($V$2:V136),$V$2:$V$1001,0),MATCH(COLUMNS($AC$1006:AM1006),$AC$1006:$AS$1006,0)), HYPERLINK("#",""), HYPERLINK(CONCATENATE("#metadata!", ADDRESS(INDEX($X$2:$X$1001,MATCH(ROWS($V$2:V136),$V$2:$V$1001,0),0), INDEX($AC$1004:$AS$1004,1,MATCH(COLUMNS($AC$1006:AM1006),$AC$1006:$AS$1006,0)))),"Fix")))</f>
        <v xml:space="preserve"> </v>
      </c>
      <c r="M136" s="4" t="str">
        <f ca="1">IF(OR(INDEX($W$2:$W$1001,MATCH(ROWS($V$2:V136),$V$2:$V$1001,0),1)&gt;=100000,INDEX($AC$1005:$AS$1005,1,MATCH(COLUMNS($AC$1006:AN1006),$AC$1006:$AS$1006,0))&gt;=100000), " ",IF(INDEX($AC$2:$AS$1001,MATCH(ROWS($V$2:V136),$V$2:$V$1001,0),MATCH(COLUMNS($AC$1006:AN1006),$AC$1006:$AS$1006,0)), HYPERLINK("#",""), HYPERLINK(CONCATENATE("#metadata!", ADDRESS(INDEX($X$2:$X$1001,MATCH(ROWS($V$2:V136),$V$2:$V$1001,0),0), INDEX($AC$1004:$AS$1004,1,MATCH(COLUMNS($AC$1006:AN1006),$AC$1006:$AS$1006,0)))),"Fix")))</f>
        <v xml:space="preserve"> </v>
      </c>
      <c r="N136" s="4" t="str">
        <f ca="1">IF(OR(INDEX($W$2:$W$1001,MATCH(ROWS($V$2:V136),$V$2:$V$1001,0),1)&gt;=100000,INDEX($AC$1005:$AS$1005,1,MATCH(COLUMNS($AC$1006:AO1006),$AC$1006:$AS$1006,0))&gt;=100000), " ",IF(INDEX($AC$2:$AS$1001,MATCH(ROWS($V$2:V136),$V$2:$V$1001,0),MATCH(COLUMNS($AC$1006:AO1006),$AC$1006:$AS$1006,0)), HYPERLINK("#",""), HYPERLINK(CONCATENATE("#metadata!", ADDRESS(INDEX($X$2:$X$1001,MATCH(ROWS($V$2:V136),$V$2:$V$1001,0),0), INDEX($AC$1004:$AS$1004,1,MATCH(COLUMNS($AC$1006:AO1006),$AC$1006:$AS$1006,0)))),"Fix")))</f>
        <v xml:space="preserve"> </v>
      </c>
      <c r="O136" s="4" t="str">
        <f ca="1">IF(OR(INDEX($W$2:$W$1001,MATCH(ROWS($V$2:V136),$V$2:$V$1001,0),1)&gt;=100000,INDEX($AC$1005:$AS$1005,1,MATCH(COLUMNS($AC$1006:AP1006),$AC$1006:$AS$1006,0))&gt;=100000), " ",IF(INDEX($AC$2:$AS$1001,MATCH(ROWS($V$2:V136),$V$2:$V$1001,0),MATCH(COLUMNS($AC$1006:AP1006),$AC$1006:$AS$1006,0)), HYPERLINK("#",""), HYPERLINK(CONCATENATE("#metadata!", ADDRESS(INDEX($X$2:$X$1001,MATCH(ROWS($V$2:V136),$V$2:$V$1001,0),0), INDEX($AC$1004:$AS$1004,1,MATCH(COLUMNS($AC$1006:AP1006),$AC$1006:$AS$1006,0)))),"Fix")))</f>
        <v xml:space="preserve"> </v>
      </c>
      <c r="P136" s="4" t="str">
        <f ca="1">IF(OR(INDEX($W$2:$W$1001,MATCH(ROWS($V$2:V136),$V$2:$V$1001,0),1)&gt;=100000,INDEX($AC$1005:$AS$1005,1,MATCH(COLUMNS($AC$1006:AQ1006),$AC$1006:$AS$1006,0))&gt;=100000), " ",IF(INDEX($AC$2:$AS$1001,MATCH(ROWS($V$2:V136),$V$2:$V$1001,0),MATCH(COLUMNS($AC$1006:AQ1006),$AC$1006:$AS$1006,0)), HYPERLINK("#",""), HYPERLINK(CONCATENATE("#metadata!", ADDRESS(INDEX($X$2:$X$1001,MATCH(ROWS($V$2:V136),$V$2:$V$1001,0),0), INDEX($AC$1004:$AS$1004,1,MATCH(COLUMNS($AC$1006:AQ1006),$AC$1006:$AS$1006,0)))),"Fix")))</f>
        <v xml:space="preserve"> </v>
      </c>
      <c r="Q136" s="4" t="str">
        <f ca="1">IF(OR(INDEX($W$2:$W$1001,MATCH(ROWS($V$2:V136),$V$2:$V$1001,0),1)&gt;=100000,INDEX($AC$1005:$AS$1005,1,MATCH(COLUMNS($AC$1006:AR1006),$AC$1006:$AS$1006,0))&gt;=100000), " ",IF(INDEX($AC$2:$AS$1001,MATCH(ROWS($V$2:V136),$V$2:$V$1001,0),MATCH(COLUMNS($AC$1006:AR1006),$AC$1006:$AS$1006,0)), HYPERLINK("#",""), HYPERLINK(CONCATENATE("#metadata!", ADDRESS(INDEX($X$2:$X$1001,MATCH(ROWS($V$2:V136),$V$2:$V$1001,0),0), INDEX($AC$1004:$AS$1004,1,MATCH(COLUMNS($AC$1006:AR1006),$AC$1006:$AS$1006,0)))),"Fix")))</f>
        <v xml:space="preserve"> </v>
      </c>
      <c r="R136" s="4" t="str">
        <f ca="1">IF(OR(INDEX($W$2:$W$1001,MATCH(ROWS($V$2:V136),$V$2:$V$1001,0),1)&gt;=100000,INDEX($AC$1005:$AS$1005,1,MATCH(COLUMNS($AC$1006:AS1006),$AC$1006:$AS$1006,0))&gt;=100000), " ",IF(INDEX($AC$2:$AS$1001,MATCH(ROWS($V$2:V136),$V$2:$V$1001,0),MATCH(COLUMNS($AC$1006:AS1006),$AC$1006:$AS$1006,0)), HYPERLINK("#",""), HYPERLINK(CONCATENATE("#metadata!", ADDRESS(INDEX($X$2:$X$1001,MATCH(ROWS($V$2:V136),$V$2:$V$1001,0),0), INDEX($AC$1004:$AS$1004,1,MATCH(COLUMNS($AC$1006:AS1006),$AC$1006:$AS$1006,0)))),"Fix")))</f>
        <v xml:space="preserve"> </v>
      </c>
      <c r="V136">
        <v>135</v>
      </c>
      <c r="W136">
        <v>100136</v>
      </c>
      <c r="X136">
        <v>136</v>
      </c>
      <c r="Y136" t="b">
        <f t="shared" si="2"/>
        <v>1</v>
      </c>
      <c r="Z136" t="b">
        <f>COUNTBLANK(metadata!B136:R136)=COLUMNS(metadata!B136:R136)</f>
        <v>1</v>
      </c>
      <c r="AA136" t="str">
        <v/>
      </c>
      <c r="AC136" t="b">
        <f ca="1"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AD136" t="b">
        <f>IF(metadata!C136="",FALSE,ISNUMBER(VALUE(metadata!C136)))</f>
        <v>0</v>
      </c>
      <c r="AE136" t="b">
        <f>AND(IF(metadata!D136="",FALSE,TRUE),EXACT(metadata!D136,"years"))</f>
        <v>0</v>
      </c>
      <c r="AF136" t="b">
        <f>OR(AND(IF(metadata!E136="",FALSE,TRUE),OR(EXACT(metadata!E136,"not applicable"),EXACT(metadata!E136,"missing: not collected"),EXACT(metadata!E136,"missing: not provided"),EXACT(metadata!E136,"missing: restricted access"))),AND(IF(metadata!E136="",FALSE,ISNUMBER(VALUE(metadata!E136))),metadata!E136&gt;0))</f>
        <v>0</v>
      </c>
      <c r="AG136" t="b">
        <f>AND(IF(metadata!F136="",FALSE,TRUE),EXACT(metadata!F136,"Not applicable"))</f>
        <v>0</v>
      </c>
      <c r="AH136" t="b">
        <f>AND(IF(metadata!G136="",FALSE,TRUE),EXACT(metadata!G136,"urban biome"))</f>
        <v>0</v>
      </c>
      <c r="AI136" t="b">
        <f>AND(IF(metadata!H136="",FALSE,TRUE),EXACT(metadata!H136,"human-associated habitat"))</f>
        <v>0</v>
      </c>
      <c r="AJ136" t="b">
        <f>AND(IF(metadata!I136="",FALSE,TRUE),OR(EXACT(metadata!I136,"human-associated"),EXACT(metadata!I136,"human-skin"),EXACT(metadata!I136,"human-oral"),EXACT(metadata!I136,"human-gut"),EXACT(metadata!I136,"human-vaginal")))</f>
        <v>0</v>
      </c>
      <c r="AK136" t="b">
        <f>IF(metadata!J136="",FALSE,ISNUMBER(VALUE(metadata!J136)))</f>
        <v>0</v>
      </c>
      <c r="AL136" t="b">
        <f>AND(IF(metadata!K136="",FALSE,TRUE),EXACT(metadata!K136,"cm"))</f>
        <v>0</v>
      </c>
      <c r="AM136" t="b">
        <f>AND(IF(metadata!L136="",FALSE,TRUE),EXACT(metadata!L136,"human"))</f>
        <v>0</v>
      </c>
      <c r="AN136" t="b">
        <f>AND(IF(metadata!M136="",FALSE,TRUE),EXACT(metadata!M136,"Homo sapiens"))</f>
        <v>0</v>
      </c>
      <c r="AO136" t="b">
        <f>AND(IF(metadata!N136="",FALSE,TRUE),EXACT(metadata!N136,"9606"))</f>
        <v>0</v>
      </c>
      <c r="AP136" t="b">
        <f>IF(metadata!O136="",FALSE,TRUE)</f>
        <v>0</v>
      </c>
      <c r="AQ136" t="b">
        <f>IF(metadata!P136="",FALSE,TRUE)</f>
        <v>0</v>
      </c>
      <c r="AR136" t="b">
        <f>IF(metadata!Q136="",FALSE,ISNUMBER(VALUE(metadata!Q136)))</f>
        <v>0</v>
      </c>
      <c r="AS136" t="b">
        <f>AND(IF(metadata!R136="",FALSE,TRUE),EXACT(metadata!R136,"kg"))</f>
        <v>0</v>
      </c>
    </row>
    <row r="137" spans="1:45" x14ac:dyDescent="0.2">
      <c r="A137" s="5" t="str">
        <f ca="1">IF(B137=" "," ",HYPERLINK(CONCATENATE("#metadata!",ADDRESS(INDEX($X$2:$X$1001,MATCH(ROWS($V$2:V137),$V$2:$V$1001,0),0),1)),INDEX($AA$2:$AA$1001,MATCH(ROWS($V$2:V137),$V$2:$V$1001,0),0)))</f>
        <v xml:space="preserve"> </v>
      </c>
      <c r="B137" s="4" t="str">
        <f ca="1">IF(OR(INDEX($W$2:$W$1001,MATCH(ROWS($V$2:V137),$V$2:$V$1001,0),1)&gt;=100000,INDEX($AC$1005:$AS$1005,1,MATCH(COLUMNS($AC$1006:AC1006),$AC$1006:$AS$1006,0))&gt;=100000), " ",IF(INDEX($AC$2:$AS$1001,MATCH(ROWS($V$2:V137),$V$2:$V$1001,0),MATCH(COLUMNS($AC$1006:AC1006),$AC$1006:$AS$1006,0)), HYPERLINK("#",""), HYPERLINK(CONCATENATE("#metadata!", ADDRESS(INDEX($X$2:$X$1001,MATCH(ROWS($V$2:V137),$V$2:$V$1001,0),0), INDEX($AC$1004:$AS$1004,1,MATCH(COLUMNS($AC$1006:AC1006),$AC$1006:$AS$1006,0)))),"Fix")))</f>
        <v xml:space="preserve"> </v>
      </c>
      <c r="C137" s="4" t="str">
        <f ca="1">IF(OR(INDEX($W$2:$W$1001,MATCH(ROWS($V$2:V137),$V$2:$V$1001,0),1)&gt;=100000,INDEX($AC$1005:$AS$1005,1,MATCH(COLUMNS($AC$1006:AD1006),$AC$1006:$AS$1006,0))&gt;=100000), " ",IF(INDEX($AC$2:$AS$1001,MATCH(ROWS($V$2:V137),$V$2:$V$1001,0),MATCH(COLUMNS($AC$1006:AD1006),$AC$1006:$AS$1006,0)), HYPERLINK("#",""), HYPERLINK(CONCATENATE("#metadata!", ADDRESS(INDEX($X$2:$X$1001,MATCH(ROWS($V$2:V137),$V$2:$V$1001,0),0), INDEX($AC$1004:$AS$1004,1,MATCH(COLUMNS($AC$1006:AD1006),$AC$1006:$AS$1006,0)))),"Fix")))</f>
        <v xml:space="preserve"> </v>
      </c>
      <c r="D137" s="4" t="str">
        <f ca="1">IF(OR(INDEX($W$2:$W$1001,MATCH(ROWS($V$2:V137),$V$2:$V$1001,0),1)&gt;=100000,INDEX($AC$1005:$AS$1005,1,MATCH(COLUMNS($AC$1006:AE1006),$AC$1006:$AS$1006,0))&gt;=100000), " ",IF(INDEX($AC$2:$AS$1001,MATCH(ROWS($V$2:V137),$V$2:$V$1001,0),MATCH(COLUMNS($AC$1006:AE1006),$AC$1006:$AS$1006,0)), HYPERLINK("#",""), HYPERLINK(CONCATENATE("#metadata!", ADDRESS(INDEX($X$2:$X$1001,MATCH(ROWS($V$2:V137),$V$2:$V$1001,0),0), INDEX($AC$1004:$AS$1004,1,MATCH(COLUMNS($AC$1006:AE1006),$AC$1006:$AS$1006,0)))),"Fix")))</f>
        <v xml:space="preserve"> </v>
      </c>
      <c r="E137" s="4" t="str">
        <f ca="1">IF(OR(INDEX($W$2:$W$1001,MATCH(ROWS($V$2:V137),$V$2:$V$1001,0),1)&gt;=100000,INDEX($AC$1005:$AS$1005,1,MATCH(COLUMNS($AC$1006:AF1006),$AC$1006:$AS$1006,0))&gt;=100000), " ",IF(INDEX($AC$2:$AS$1001,MATCH(ROWS($V$2:V137),$V$2:$V$1001,0),MATCH(COLUMNS($AC$1006:AF1006),$AC$1006:$AS$1006,0)), HYPERLINK("#",""), HYPERLINK(CONCATENATE("#metadata!", ADDRESS(INDEX($X$2:$X$1001,MATCH(ROWS($V$2:V137),$V$2:$V$1001,0),0), INDEX($AC$1004:$AS$1004,1,MATCH(COLUMNS($AC$1006:AF1006),$AC$1006:$AS$1006,0)))),"Fix")))</f>
        <v xml:space="preserve"> </v>
      </c>
      <c r="F137" s="4" t="str">
        <f ca="1">IF(OR(INDEX($W$2:$W$1001,MATCH(ROWS($V$2:V137),$V$2:$V$1001,0),1)&gt;=100000,INDEX($AC$1005:$AS$1005,1,MATCH(COLUMNS($AC$1006:AG1006),$AC$1006:$AS$1006,0))&gt;=100000), " ",IF(INDEX($AC$2:$AS$1001,MATCH(ROWS($V$2:V137),$V$2:$V$1001,0),MATCH(COLUMNS($AC$1006:AG1006),$AC$1006:$AS$1006,0)), HYPERLINK("#",""), HYPERLINK(CONCATENATE("#metadata!", ADDRESS(INDEX($X$2:$X$1001,MATCH(ROWS($V$2:V137),$V$2:$V$1001,0),0), INDEX($AC$1004:$AS$1004,1,MATCH(COLUMNS($AC$1006:AG1006),$AC$1006:$AS$1006,0)))),"Fix")))</f>
        <v xml:space="preserve"> </v>
      </c>
      <c r="G137" s="4" t="str">
        <f ca="1">IF(OR(INDEX($W$2:$W$1001,MATCH(ROWS($V$2:V137),$V$2:$V$1001,0),1)&gt;=100000,INDEX($AC$1005:$AS$1005,1,MATCH(COLUMNS($AC$1006:AH1006),$AC$1006:$AS$1006,0))&gt;=100000), " ",IF(INDEX($AC$2:$AS$1001,MATCH(ROWS($V$2:V137),$V$2:$V$1001,0),MATCH(COLUMNS($AC$1006:AH1006),$AC$1006:$AS$1006,0)), HYPERLINK("#",""), HYPERLINK(CONCATENATE("#metadata!", ADDRESS(INDEX($X$2:$X$1001,MATCH(ROWS($V$2:V137),$V$2:$V$1001,0),0), INDEX($AC$1004:$AS$1004,1,MATCH(COLUMNS($AC$1006:AH1006),$AC$1006:$AS$1006,0)))),"Fix")))</f>
        <v xml:space="preserve"> </v>
      </c>
      <c r="H137" s="4" t="str">
        <f ca="1">IF(OR(INDEX($W$2:$W$1001,MATCH(ROWS($V$2:V137),$V$2:$V$1001,0),1)&gt;=100000,INDEX($AC$1005:$AS$1005,1,MATCH(COLUMNS($AC$1006:AI1006),$AC$1006:$AS$1006,0))&gt;=100000), " ",IF(INDEX($AC$2:$AS$1001,MATCH(ROWS($V$2:V137),$V$2:$V$1001,0),MATCH(COLUMNS($AC$1006:AI1006),$AC$1006:$AS$1006,0)), HYPERLINK("#",""), HYPERLINK(CONCATENATE("#metadata!", ADDRESS(INDEX($X$2:$X$1001,MATCH(ROWS($V$2:V137),$V$2:$V$1001,0),0), INDEX($AC$1004:$AS$1004,1,MATCH(COLUMNS($AC$1006:AI1006),$AC$1006:$AS$1006,0)))),"Fix")))</f>
        <v xml:space="preserve"> </v>
      </c>
      <c r="I137" s="4" t="str">
        <f ca="1">IF(OR(INDEX($W$2:$W$1001,MATCH(ROWS($V$2:V137),$V$2:$V$1001,0),1)&gt;=100000,INDEX($AC$1005:$AS$1005,1,MATCH(COLUMNS($AC$1006:AJ1006),$AC$1006:$AS$1006,0))&gt;=100000), " ",IF(INDEX($AC$2:$AS$1001,MATCH(ROWS($V$2:V137),$V$2:$V$1001,0),MATCH(COLUMNS($AC$1006:AJ1006),$AC$1006:$AS$1006,0)), HYPERLINK("#",""), HYPERLINK(CONCATENATE("#metadata!", ADDRESS(INDEX($X$2:$X$1001,MATCH(ROWS($V$2:V137),$V$2:$V$1001,0),0), INDEX($AC$1004:$AS$1004,1,MATCH(COLUMNS($AC$1006:AJ1006),$AC$1006:$AS$1006,0)))),"Fix")))</f>
        <v xml:space="preserve"> </v>
      </c>
      <c r="J137" s="4" t="str">
        <f ca="1">IF(OR(INDEX($W$2:$W$1001,MATCH(ROWS($V$2:V137),$V$2:$V$1001,0),1)&gt;=100000,INDEX($AC$1005:$AS$1005,1,MATCH(COLUMNS($AC$1006:AK1006),$AC$1006:$AS$1006,0))&gt;=100000), " ",IF(INDEX($AC$2:$AS$1001,MATCH(ROWS($V$2:V137),$V$2:$V$1001,0),MATCH(COLUMNS($AC$1006:AK1006),$AC$1006:$AS$1006,0)), HYPERLINK("#",""), HYPERLINK(CONCATENATE("#metadata!", ADDRESS(INDEX($X$2:$X$1001,MATCH(ROWS($V$2:V137),$V$2:$V$1001,0),0), INDEX($AC$1004:$AS$1004,1,MATCH(COLUMNS($AC$1006:AK1006),$AC$1006:$AS$1006,0)))),"Fix")))</f>
        <v xml:space="preserve"> </v>
      </c>
      <c r="K137" s="4" t="str">
        <f ca="1">IF(OR(INDEX($W$2:$W$1001,MATCH(ROWS($V$2:V137),$V$2:$V$1001,0),1)&gt;=100000,INDEX($AC$1005:$AS$1005,1,MATCH(COLUMNS($AC$1006:AL1006),$AC$1006:$AS$1006,0))&gt;=100000), " ",IF(INDEX($AC$2:$AS$1001,MATCH(ROWS($V$2:V137),$V$2:$V$1001,0),MATCH(COLUMNS($AC$1006:AL1006),$AC$1006:$AS$1006,0)), HYPERLINK("#",""), HYPERLINK(CONCATENATE("#metadata!", ADDRESS(INDEX($X$2:$X$1001,MATCH(ROWS($V$2:V137),$V$2:$V$1001,0),0), INDEX($AC$1004:$AS$1004,1,MATCH(COLUMNS($AC$1006:AL1006),$AC$1006:$AS$1006,0)))),"Fix")))</f>
        <v xml:space="preserve"> </v>
      </c>
      <c r="L137" s="4" t="str">
        <f ca="1">IF(OR(INDEX($W$2:$W$1001,MATCH(ROWS($V$2:V137),$V$2:$V$1001,0),1)&gt;=100000,INDEX($AC$1005:$AS$1005,1,MATCH(COLUMNS($AC$1006:AM1006),$AC$1006:$AS$1006,0))&gt;=100000), " ",IF(INDEX($AC$2:$AS$1001,MATCH(ROWS($V$2:V137),$V$2:$V$1001,0),MATCH(COLUMNS($AC$1006:AM1006),$AC$1006:$AS$1006,0)), HYPERLINK("#",""), HYPERLINK(CONCATENATE("#metadata!", ADDRESS(INDEX($X$2:$X$1001,MATCH(ROWS($V$2:V137),$V$2:$V$1001,0),0), INDEX($AC$1004:$AS$1004,1,MATCH(COLUMNS($AC$1006:AM1006),$AC$1006:$AS$1006,0)))),"Fix")))</f>
        <v xml:space="preserve"> </v>
      </c>
      <c r="M137" s="4" t="str">
        <f ca="1">IF(OR(INDEX($W$2:$W$1001,MATCH(ROWS($V$2:V137),$V$2:$V$1001,0),1)&gt;=100000,INDEX($AC$1005:$AS$1005,1,MATCH(COLUMNS($AC$1006:AN1006),$AC$1006:$AS$1006,0))&gt;=100000), " ",IF(INDEX($AC$2:$AS$1001,MATCH(ROWS($V$2:V137),$V$2:$V$1001,0),MATCH(COLUMNS($AC$1006:AN1006),$AC$1006:$AS$1006,0)), HYPERLINK("#",""), HYPERLINK(CONCATENATE("#metadata!", ADDRESS(INDEX($X$2:$X$1001,MATCH(ROWS($V$2:V137),$V$2:$V$1001,0),0), INDEX($AC$1004:$AS$1004,1,MATCH(COLUMNS($AC$1006:AN1006),$AC$1006:$AS$1006,0)))),"Fix")))</f>
        <v xml:space="preserve"> </v>
      </c>
      <c r="N137" s="4" t="str">
        <f ca="1">IF(OR(INDEX($W$2:$W$1001,MATCH(ROWS($V$2:V137),$V$2:$V$1001,0),1)&gt;=100000,INDEX($AC$1005:$AS$1005,1,MATCH(COLUMNS($AC$1006:AO1006),$AC$1006:$AS$1006,0))&gt;=100000), " ",IF(INDEX($AC$2:$AS$1001,MATCH(ROWS($V$2:V137),$V$2:$V$1001,0),MATCH(COLUMNS($AC$1006:AO1006),$AC$1006:$AS$1006,0)), HYPERLINK("#",""), HYPERLINK(CONCATENATE("#metadata!", ADDRESS(INDEX($X$2:$X$1001,MATCH(ROWS($V$2:V137),$V$2:$V$1001,0),0), INDEX($AC$1004:$AS$1004,1,MATCH(COLUMNS($AC$1006:AO1006),$AC$1006:$AS$1006,0)))),"Fix")))</f>
        <v xml:space="preserve"> </v>
      </c>
      <c r="O137" s="4" t="str">
        <f ca="1">IF(OR(INDEX($W$2:$W$1001,MATCH(ROWS($V$2:V137),$V$2:$V$1001,0),1)&gt;=100000,INDEX($AC$1005:$AS$1005,1,MATCH(COLUMNS($AC$1006:AP1006),$AC$1006:$AS$1006,0))&gt;=100000), " ",IF(INDEX($AC$2:$AS$1001,MATCH(ROWS($V$2:V137),$V$2:$V$1001,0),MATCH(COLUMNS($AC$1006:AP1006),$AC$1006:$AS$1006,0)), HYPERLINK("#",""), HYPERLINK(CONCATENATE("#metadata!", ADDRESS(INDEX($X$2:$X$1001,MATCH(ROWS($V$2:V137),$V$2:$V$1001,0),0), INDEX($AC$1004:$AS$1004,1,MATCH(COLUMNS($AC$1006:AP1006),$AC$1006:$AS$1006,0)))),"Fix")))</f>
        <v xml:space="preserve"> </v>
      </c>
      <c r="P137" s="4" t="str">
        <f ca="1">IF(OR(INDEX($W$2:$W$1001,MATCH(ROWS($V$2:V137),$V$2:$V$1001,0),1)&gt;=100000,INDEX($AC$1005:$AS$1005,1,MATCH(COLUMNS($AC$1006:AQ1006),$AC$1006:$AS$1006,0))&gt;=100000), " ",IF(INDEX($AC$2:$AS$1001,MATCH(ROWS($V$2:V137),$V$2:$V$1001,0),MATCH(COLUMNS($AC$1006:AQ1006),$AC$1006:$AS$1006,0)), HYPERLINK("#",""), HYPERLINK(CONCATENATE("#metadata!", ADDRESS(INDEX($X$2:$X$1001,MATCH(ROWS($V$2:V137),$V$2:$V$1001,0),0), INDEX($AC$1004:$AS$1004,1,MATCH(COLUMNS($AC$1006:AQ1006),$AC$1006:$AS$1006,0)))),"Fix")))</f>
        <v xml:space="preserve"> </v>
      </c>
      <c r="Q137" s="4" t="str">
        <f ca="1">IF(OR(INDEX($W$2:$W$1001,MATCH(ROWS($V$2:V137),$V$2:$V$1001,0),1)&gt;=100000,INDEX($AC$1005:$AS$1005,1,MATCH(COLUMNS($AC$1006:AR1006),$AC$1006:$AS$1006,0))&gt;=100000), " ",IF(INDEX($AC$2:$AS$1001,MATCH(ROWS($V$2:V137),$V$2:$V$1001,0),MATCH(COLUMNS($AC$1006:AR1006),$AC$1006:$AS$1006,0)), HYPERLINK("#",""), HYPERLINK(CONCATENATE("#metadata!", ADDRESS(INDEX($X$2:$X$1001,MATCH(ROWS($V$2:V137),$V$2:$V$1001,0),0), INDEX($AC$1004:$AS$1004,1,MATCH(COLUMNS($AC$1006:AR1006),$AC$1006:$AS$1006,0)))),"Fix")))</f>
        <v xml:space="preserve"> </v>
      </c>
      <c r="R137" s="4" t="str">
        <f ca="1">IF(OR(INDEX($W$2:$W$1001,MATCH(ROWS($V$2:V137),$V$2:$V$1001,0),1)&gt;=100000,INDEX($AC$1005:$AS$1005,1,MATCH(COLUMNS($AC$1006:AS1006),$AC$1006:$AS$1006,0))&gt;=100000), " ",IF(INDEX($AC$2:$AS$1001,MATCH(ROWS($V$2:V137),$V$2:$V$1001,0),MATCH(COLUMNS($AC$1006:AS1006),$AC$1006:$AS$1006,0)), HYPERLINK("#",""), HYPERLINK(CONCATENATE("#metadata!", ADDRESS(INDEX($X$2:$X$1001,MATCH(ROWS($V$2:V137),$V$2:$V$1001,0),0), INDEX($AC$1004:$AS$1004,1,MATCH(COLUMNS($AC$1006:AS1006),$AC$1006:$AS$1006,0)))),"Fix")))</f>
        <v xml:space="preserve"> </v>
      </c>
      <c r="V137">
        <v>136</v>
      </c>
      <c r="W137">
        <v>100137</v>
      </c>
      <c r="X137">
        <v>137</v>
      </c>
      <c r="Y137" t="b">
        <f t="shared" si="2"/>
        <v>1</v>
      </c>
      <c r="Z137" t="b">
        <f>COUNTBLANK(metadata!B137:R137)=COLUMNS(metadata!B137:R137)</f>
        <v>1</v>
      </c>
      <c r="AA137" t="str">
        <v/>
      </c>
      <c r="AC137" t="b">
        <f ca="1"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AD137" t="b">
        <f>IF(metadata!C137="",FALSE,ISNUMBER(VALUE(metadata!C137)))</f>
        <v>0</v>
      </c>
      <c r="AE137" t="b">
        <f>AND(IF(metadata!D137="",FALSE,TRUE),EXACT(metadata!D137,"years"))</f>
        <v>0</v>
      </c>
      <c r="AF137" t="b">
        <f>OR(AND(IF(metadata!E137="",FALSE,TRUE),OR(EXACT(metadata!E137,"not applicable"),EXACT(metadata!E137,"missing: not collected"),EXACT(metadata!E137,"missing: not provided"),EXACT(metadata!E137,"missing: restricted access"))),AND(IF(metadata!E137="",FALSE,ISNUMBER(VALUE(metadata!E137))),metadata!E137&gt;0))</f>
        <v>0</v>
      </c>
      <c r="AG137" t="b">
        <f>AND(IF(metadata!F137="",FALSE,TRUE),EXACT(metadata!F137,"Not applicable"))</f>
        <v>0</v>
      </c>
      <c r="AH137" t="b">
        <f>AND(IF(metadata!G137="",FALSE,TRUE),EXACT(metadata!G137,"urban biome"))</f>
        <v>0</v>
      </c>
      <c r="AI137" t="b">
        <f>AND(IF(metadata!H137="",FALSE,TRUE),EXACT(metadata!H137,"human-associated habitat"))</f>
        <v>0</v>
      </c>
      <c r="AJ137" t="b">
        <f>AND(IF(metadata!I137="",FALSE,TRUE),OR(EXACT(metadata!I137,"human-associated"),EXACT(metadata!I137,"human-skin"),EXACT(metadata!I137,"human-oral"),EXACT(metadata!I137,"human-gut"),EXACT(metadata!I137,"human-vaginal")))</f>
        <v>0</v>
      </c>
      <c r="AK137" t="b">
        <f>IF(metadata!J137="",FALSE,ISNUMBER(VALUE(metadata!J137)))</f>
        <v>0</v>
      </c>
      <c r="AL137" t="b">
        <f>AND(IF(metadata!K137="",FALSE,TRUE),EXACT(metadata!K137,"cm"))</f>
        <v>0</v>
      </c>
      <c r="AM137" t="b">
        <f>AND(IF(metadata!L137="",FALSE,TRUE),EXACT(metadata!L137,"human"))</f>
        <v>0</v>
      </c>
      <c r="AN137" t="b">
        <f>AND(IF(metadata!M137="",FALSE,TRUE),EXACT(metadata!M137,"Homo sapiens"))</f>
        <v>0</v>
      </c>
      <c r="AO137" t="b">
        <f>AND(IF(metadata!N137="",FALSE,TRUE),EXACT(metadata!N137,"9606"))</f>
        <v>0</v>
      </c>
      <c r="AP137" t="b">
        <f>IF(metadata!O137="",FALSE,TRUE)</f>
        <v>0</v>
      </c>
      <c r="AQ137" t="b">
        <f>IF(metadata!P137="",FALSE,TRUE)</f>
        <v>0</v>
      </c>
      <c r="AR137" t="b">
        <f>IF(metadata!Q137="",FALSE,ISNUMBER(VALUE(metadata!Q137)))</f>
        <v>0</v>
      </c>
      <c r="AS137" t="b">
        <f>AND(IF(metadata!R137="",FALSE,TRUE),EXACT(metadata!R137,"kg"))</f>
        <v>0</v>
      </c>
    </row>
    <row r="138" spans="1:45" x14ac:dyDescent="0.2">
      <c r="A138" s="5" t="str">
        <f ca="1">IF(B138=" "," ",HYPERLINK(CONCATENATE("#metadata!",ADDRESS(INDEX($X$2:$X$1001,MATCH(ROWS($V$2:V138),$V$2:$V$1001,0),0),1)),INDEX($AA$2:$AA$1001,MATCH(ROWS($V$2:V138),$V$2:$V$1001,0),0)))</f>
        <v xml:space="preserve"> </v>
      </c>
      <c r="B138" s="4" t="str">
        <f ca="1">IF(OR(INDEX($W$2:$W$1001,MATCH(ROWS($V$2:V138),$V$2:$V$1001,0),1)&gt;=100000,INDEX($AC$1005:$AS$1005,1,MATCH(COLUMNS($AC$1006:AC1006),$AC$1006:$AS$1006,0))&gt;=100000), " ",IF(INDEX($AC$2:$AS$1001,MATCH(ROWS($V$2:V138),$V$2:$V$1001,0),MATCH(COLUMNS($AC$1006:AC1006),$AC$1006:$AS$1006,0)), HYPERLINK("#",""), HYPERLINK(CONCATENATE("#metadata!", ADDRESS(INDEX($X$2:$X$1001,MATCH(ROWS($V$2:V138),$V$2:$V$1001,0),0), INDEX($AC$1004:$AS$1004,1,MATCH(COLUMNS($AC$1006:AC1006),$AC$1006:$AS$1006,0)))),"Fix")))</f>
        <v xml:space="preserve"> </v>
      </c>
      <c r="C138" s="4" t="str">
        <f ca="1">IF(OR(INDEX($W$2:$W$1001,MATCH(ROWS($V$2:V138),$V$2:$V$1001,0),1)&gt;=100000,INDEX($AC$1005:$AS$1005,1,MATCH(COLUMNS($AC$1006:AD1006),$AC$1006:$AS$1006,0))&gt;=100000), " ",IF(INDEX($AC$2:$AS$1001,MATCH(ROWS($V$2:V138),$V$2:$V$1001,0),MATCH(COLUMNS($AC$1006:AD1006),$AC$1006:$AS$1006,0)), HYPERLINK("#",""), HYPERLINK(CONCATENATE("#metadata!", ADDRESS(INDEX($X$2:$X$1001,MATCH(ROWS($V$2:V138),$V$2:$V$1001,0),0), INDEX($AC$1004:$AS$1004,1,MATCH(COLUMNS($AC$1006:AD1006),$AC$1006:$AS$1006,0)))),"Fix")))</f>
        <v xml:space="preserve"> </v>
      </c>
      <c r="D138" s="4" t="str">
        <f ca="1">IF(OR(INDEX($W$2:$W$1001,MATCH(ROWS($V$2:V138),$V$2:$V$1001,0),1)&gt;=100000,INDEX($AC$1005:$AS$1005,1,MATCH(COLUMNS($AC$1006:AE1006),$AC$1006:$AS$1006,0))&gt;=100000), " ",IF(INDEX($AC$2:$AS$1001,MATCH(ROWS($V$2:V138),$V$2:$V$1001,0),MATCH(COLUMNS($AC$1006:AE1006),$AC$1006:$AS$1006,0)), HYPERLINK("#",""), HYPERLINK(CONCATENATE("#metadata!", ADDRESS(INDEX($X$2:$X$1001,MATCH(ROWS($V$2:V138),$V$2:$V$1001,0),0), INDEX($AC$1004:$AS$1004,1,MATCH(COLUMNS($AC$1006:AE1006),$AC$1006:$AS$1006,0)))),"Fix")))</f>
        <v xml:space="preserve"> </v>
      </c>
      <c r="E138" s="4" t="str">
        <f ca="1">IF(OR(INDEX($W$2:$W$1001,MATCH(ROWS($V$2:V138),$V$2:$V$1001,0),1)&gt;=100000,INDEX($AC$1005:$AS$1005,1,MATCH(COLUMNS($AC$1006:AF1006),$AC$1006:$AS$1006,0))&gt;=100000), " ",IF(INDEX($AC$2:$AS$1001,MATCH(ROWS($V$2:V138),$V$2:$V$1001,0),MATCH(COLUMNS($AC$1006:AF1006),$AC$1006:$AS$1006,0)), HYPERLINK("#",""), HYPERLINK(CONCATENATE("#metadata!", ADDRESS(INDEX($X$2:$X$1001,MATCH(ROWS($V$2:V138),$V$2:$V$1001,0),0), INDEX($AC$1004:$AS$1004,1,MATCH(COLUMNS($AC$1006:AF1006),$AC$1006:$AS$1006,0)))),"Fix")))</f>
        <v xml:space="preserve"> </v>
      </c>
      <c r="F138" s="4" t="str">
        <f ca="1">IF(OR(INDEX($W$2:$W$1001,MATCH(ROWS($V$2:V138),$V$2:$V$1001,0),1)&gt;=100000,INDEX($AC$1005:$AS$1005,1,MATCH(COLUMNS($AC$1006:AG1006),$AC$1006:$AS$1006,0))&gt;=100000), " ",IF(INDEX($AC$2:$AS$1001,MATCH(ROWS($V$2:V138),$V$2:$V$1001,0),MATCH(COLUMNS($AC$1006:AG1006),$AC$1006:$AS$1006,0)), HYPERLINK("#",""), HYPERLINK(CONCATENATE("#metadata!", ADDRESS(INDEX($X$2:$X$1001,MATCH(ROWS($V$2:V138),$V$2:$V$1001,0),0), INDEX($AC$1004:$AS$1004,1,MATCH(COLUMNS($AC$1006:AG1006),$AC$1006:$AS$1006,0)))),"Fix")))</f>
        <v xml:space="preserve"> </v>
      </c>
      <c r="G138" s="4" t="str">
        <f ca="1">IF(OR(INDEX($W$2:$W$1001,MATCH(ROWS($V$2:V138),$V$2:$V$1001,0),1)&gt;=100000,INDEX($AC$1005:$AS$1005,1,MATCH(COLUMNS($AC$1006:AH1006),$AC$1006:$AS$1006,0))&gt;=100000), " ",IF(INDEX($AC$2:$AS$1001,MATCH(ROWS($V$2:V138),$V$2:$V$1001,0),MATCH(COLUMNS($AC$1006:AH1006),$AC$1006:$AS$1006,0)), HYPERLINK("#",""), HYPERLINK(CONCATENATE("#metadata!", ADDRESS(INDEX($X$2:$X$1001,MATCH(ROWS($V$2:V138),$V$2:$V$1001,0),0), INDEX($AC$1004:$AS$1004,1,MATCH(COLUMNS($AC$1006:AH1006),$AC$1006:$AS$1006,0)))),"Fix")))</f>
        <v xml:space="preserve"> </v>
      </c>
      <c r="H138" s="4" t="str">
        <f ca="1">IF(OR(INDEX($W$2:$W$1001,MATCH(ROWS($V$2:V138),$V$2:$V$1001,0),1)&gt;=100000,INDEX($AC$1005:$AS$1005,1,MATCH(COLUMNS($AC$1006:AI1006),$AC$1006:$AS$1006,0))&gt;=100000), " ",IF(INDEX($AC$2:$AS$1001,MATCH(ROWS($V$2:V138),$V$2:$V$1001,0),MATCH(COLUMNS($AC$1006:AI1006),$AC$1006:$AS$1006,0)), HYPERLINK("#",""), HYPERLINK(CONCATENATE("#metadata!", ADDRESS(INDEX($X$2:$X$1001,MATCH(ROWS($V$2:V138),$V$2:$V$1001,0),0), INDEX($AC$1004:$AS$1004,1,MATCH(COLUMNS($AC$1006:AI1006),$AC$1006:$AS$1006,0)))),"Fix")))</f>
        <v xml:space="preserve"> </v>
      </c>
      <c r="I138" s="4" t="str">
        <f ca="1">IF(OR(INDEX($W$2:$W$1001,MATCH(ROWS($V$2:V138),$V$2:$V$1001,0),1)&gt;=100000,INDEX($AC$1005:$AS$1005,1,MATCH(COLUMNS($AC$1006:AJ1006),$AC$1006:$AS$1006,0))&gt;=100000), " ",IF(INDEX($AC$2:$AS$1001,MATCH(ROWS($V$2:V138),$V$2:$V$1001,0),MATCH(COLUMNS($AC$1006:AJ1006),$AC$1006:$AS$1006,0)), HYPERLINK("#",""), HYPERLINK(CONCATENATE("#metadata!", ADDRESS(INDEX($X$2:$X$1001,MATCH(ROWS($V$2:V138),$V$2:$V$1001,0),0), INDEX($AC$1004:$AS$1004,1,MATCH(COLUMNS($AC$1006:AJ1006),$AC$1006:$AS$1006,0)))),"Fix")))</f>
        <v xml:space="preserve"> </v>
      </c>
      <c r="J138" s="4" t="str">
        <f ca="1">IF(OR(INDEX($W$2:$W$1001,MATCH(ROWS($V$2:V138),$V$2:$V$1001,0),1)&gt;=100000,INDEX($AC$1005:$AS$1005,1,MATCH(COLUMNS($AC$1006:AK1006),$AC$1006:$AS$1006,0))&gt;=100000), " ",IF(INDEX($AC$2:$AS$1001,MATCH(ROWS($V$2:V138),$V$2:$V$1001,0),MATCH(COLUMNS($AC$1006:AK1006),$AC$1006:$AS$1006,0)), HYPERLINK("#",""), HYPERLINK(CONCATENATE("#metadata!", ADDRESS(INDEX($X$2:$X$1001,MATCH(ROWS($V$2:V138),$V$2:$V$1001,0),0), INDEX($AC$1004:$AS$1004,1,MATCH(COLUMNS($AC$1006:AK1006),$AC$1006:$AS$1006,0)))),"Fix")))</f>
        <v xml:space="preserve"> </v>
      </c>
      <c r="K138" s="4" t="str">
        <f ca="1">IF(OR(INDEX($W$2:$W$1001,MATCH(ROWS($V$2:V138),$V$2:$V$1001,0),1)&gt;=100000,INDEX($AC$1005:$AS$1005,1,MATCH(COLUMNS($AC$1006:AL1006),$AC$1006:$AS$1006,0))&gt;=100000), " ",IF(INDEX($AC$2:$AS$1001,MATCH(ROWS($V$2:V138),$V$2:$V$1001,0),MATCH(COLUMNS($AC$1006:AL1006),$AC$1006:$AS$1006,0)), HYPERLINK("#",""), HYPERLINK(CONCATENATE("#metadata!", ADDRESS(INDEX($X$2:$X$1001,MATCH(ROWS($V$2:V138),$V$2:$V$1001,0),0), INDEX($AC$1004:$AS$1004,1,MATCH(COLUMNS($AC$1006:AL1006),$AC$1006:$AS$1006,0)))),"Fix")))</f>
        <v xml:space="preserve"> </v>
      </c>
      <c r="L138" s="4" t="str">
        <f ca="1">IF(OR(INDEX($W$2:$W$1001,MATCH(ROWS($V$2:V138),$V$2:$V$1001,0),1)&gt;=100000,INDEX($AC$1005:$AS$1005,1,MATCH(COLUMNS($AC$1006:AM1006),$AC$1006:$AS$1006,0))&gt;=100000), " ",IF(INDEX($AC$2:$AS$1001,MATCH(ROWS($V$2:V138),$V$2:$V$1001,0),MATCH(COLUMNS($AC$1006:AM1006),$AC$1006:$AS$1006,0)), HYPERLINK("#",""), HYPERLINK(CONCATENATE("#metadata!", ADDRESS(INDEX($X$2:$X$1001,MATCH(ROWS($V$2:V138),$V$2:$V$1001,0),0), INDEX($AC$1004:$AS$1004,1,MATCH(COLUMNS($AC$1006:AM1006),$AC$1006:$AS$1006,0)))),"Fix")))</f>
        <v xml:space="preserve"> </v>
      </c>
      <c r="M138" s="4" t="str">
        <f ca="1">IF(OR(INDEX($W$2:$W$1001,MATCH(ROWS($V$2:V138),$V$2:$V$1001,0),1)&gt;=100000,INDEX($AC$1005:$AS$1005,1,MATCH(COLUMNS($AC$1006:AN1006),$AC$1006:$AS$1006,0))&gt;=100000), " ",IF(INDEX($AC$2:$AS$1001,MATCH(ROWS($V$2:V138),$V$2:$V$1001,0),MATCH(COLUMNS($AC$1006:AN1006),$AC$1006:$AS$1006,0)), HYPERLINK("#",""), HYPERLINK(CONCATENATE("#metadata!", ADDRESS(INDEX($X$2:$X$1001,MATCH(ROWS($V$2:V138),$V$2:$V$1001,0),0), INDEX($AC$1004:$AS$1004,1,MATCH(COLUMNS($AC$1006:AN1006),$AC$1006:$AS$1006,0)))),"Fix")))</f>
        <v xml:space="preserve"> </v>
      </c>
      <c r="N138" s="4" t="str">
        <f ca="1">IF(OR(INDEX($W$2:$W$1001,MATCH(ROWS($V$2:V138),$V$2:$V$1001,0),1)&gt;=100000,INDEX($AC$1005:$AS$1005,1,MATCH(COLUMNS($AC$1006:AO1006),$AC$1006:$AS$1006,0))&gt;=100000), " ",IF(INDEX($AC$2:$AS$1001,MATCH(ROWS($V$2:V138),$V$2:$V$1001,0),MATCH(COLUMNS($AC$1006:AO1006),$AC$1006:$AS$1006,0)), HYPERLINK("#",""), HYPERLINK(CONCATENATE("#metadata!", ADDRESS(INDEX($X$2:$X$1001,MATCH(ROWS($V$2:V138),$V$2:$V$1001,0),0), INDEX($AC$1004:$AS$1004,1,MATCH(COLUMNS($AC$1006:AO1006),$AC$1006:$AS$1006,0)))),"Fix")))</f>
        <v xml:space="preserve"> </v>
      </c>
      <c r="O138" s="4" t="str">
        <f ca="1">IF(OR(INDEX($W$2:$W$1001,MATCH(ROWS($V$2:V138),$V$2:$V$1001,0),1)&gt;=100000,INDEX($AC$1005:$AS$1005,1,MATCH(COLUMNS($AC$1006:AP1006),$AC$1006:$AS$1006,0))&gt;=100000), " ",IF(INDEX($AC$2:$AS$1001,MATCH(ROWS($V$2:V138),$V$2:$V$1001,0),MATCH(COLUMNS($AC$1006:AP1006),$AC$1006:$AS$1006,0)), HYPERLINK("#",""), HYPERLINK(CONCATENATE("#metadata!", ADDRESS(INDEX($X$2:$X$1001,MATCH(ROWS($V$2:V138),$V$2:$V$1001,0),0), INDEX($AC$1004:$AS$1004,1,MATCH(COLUMNS($AC$1006:AP1006),$AC$1006:$AS$1006,0)))),"Fix")))</f>
        <v xml:space="preserve"> </v>
      </c>
      <c r="P138" s="4" t="str">
        <f ca="1">IF(OR(INDEX($W$2:$W$1001,MATCH(ROWS($V$2:V138),$V$2:$V$1001,0),1)&gt;=100000,INDEX($AC$1005:$AS$1005,1,MATCH(COLUMNS($AC$1006:AQ1006),$AC$1006:$AS$1006,0))&gt;=100000), " ",IF(INDEX($AC$2:$AS$1001,MATCH(ROWS($V$2:V138),$V$2:$V$1001,0),MATCH(COLUMNS($AC$1006:AQ1006),$AC$1006:$AS$1006,0)), HYPERLINK("#",""), HYPERLINK(CONCATENATE("#metadata!", ADDRESS(INDEX($X$2:$X$1001,MATCH(ROWS($V$2:V138),$V$2:$V$1001,0),0), INDEX($AC$1004:$AS$1004,1,MATCH(COLUMNS($AC$1006:AQ1006),$AC$1006:$AS$1006,0)))),"Fix")))</f>
        <v xml:space="preserve"> </v>
      </c>
      <c r="Q138" s="4" t="str">
        <f ca="1">IF(OR(INDEX($W$2:$W$1001,MATCH(ROWS($V$2:V138),$V$2:$V$1001,0),1)&gt;=100000,INDEX($AC$1005:$AS$1005,1,MATCH(COLUMNS($AC$1006:AR1006),$AC$1006:$AS$1006,0))&gt;=100000), " ",IF(INDEX($AC$2:$AS$1001,MATCH(ROWS($V$2:V138),$V$2:$V$1001,0),MATCH(COLUMNS($AC$1006:AR1006),$AC$1006:$AS$1006,0)), HYPERLINK("#",""), HYPERLINK(CONCATENATE("#metadata!", ADDRESS(INDEX($X$2:$X$1001,MATCH(ROWS($V$2:V138),$V$2:$V$1001,0),0), INDEX($AC$1004:$AS$1004,1,MATCH(COLUMNS($AC$1006:AR1006),$AC$1006:$AS$1006,0)))),"Fix")))</f>
        <v xml:space="preserve"> </v>
      </c>
      <c r="R138" s="4" t="str">
        <f ca="1">IF(OR(INDEX($W$2:$W$1001,MATCH(ROWS($V$2:V138),$V$2:$V$1001,0),1)&gt;=100000,INDEX($AC$1005:$AS$1005,1,MATCH(COLUMNS($AC$1006:AS1006),$AC$1006:$AS$1006,0))&gt;=100000), " ",IF(INDEX($AC$2:$AS$1001,MATCH(ROWS($V$2:V138),$V$2:$V$1001,0),MATCH(COLUMNS($AC$1006:AS1006),$AC$1006:$AS$1006,0)), HYPERLINK("#",""), HYPERLINK(CONCATENATE("#metadata!", ADDRESS(INDEX($X$2:$X$1001,MATCH(ROWS($V$2:V138),$V$2:$V$1001,0),0), INDEX($AC$1004:$AS$1004,1,MATCH(COLUMNS($AC$1006:AS1006),$AC$1006:$AS$1006,0)))),"Fix")))</f>
        <v xml:space="preserve"> </v>
      </c>
      <c r="V138">
        <v>137</v>
      </c>
      <c r="W138">
        <v>100138</v>
      </c>
      <c r="X138">
        <v>138</v>
      </c>
      <c r="Y138" t="b">
        <f t="shared" si="2"/>
        <v>1</v>
      </c>
      <c r="Z138" t="b">
        <f>COUNTBLANK(metadata!B138:R138)=COLUMNS(metadata!B138:R138)</f>
        <v>1</v>
      </c>
      <c r="AA138" t="str">
        <v/>
      </c>
      <c r="AC138" t="b">
        <f ca="1"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AD138" t="b">
        <f>IF(metadata!C138="",FALSE,ISNUMBER(VALUE(metadata!C138)))</f>
        <v>0</v>
      </c>
      <c r="AE138" t="b">
        <f>AND(IF(metadata!D138="",FALSE,TRUE),EXACT(metadata!D138,"years"))</f>
        <v>0</v>
      </c>
      <c r="AF138" t="b">
        <f>OR(AND(IF(metadata!E138="",FALSE,TRUE),OR(EXACT(metadata!E138,"not applicable"),EXACT(metadata!E138,"missing: not collected"),EXACT(metadata!E138,"missing: not provided"),EXACT(metadata!E138,"missing: restricted access"))),AND(IF(metadata!E138="",FALSE,ISNUMBER(VALUE(metadata!E138))),metadata!E138&gt;0))</f>
        <v>0</v>
      </c>
      <c r="AG138" t="b">
        <f>AND(IF(metadata!F138="",FALSE,TRUE),EXACT(metadata!F138,"Not applicable"))</f>
        <v>0</v>
      </c>
      <c r="AH138" t="b">
        <f>AND(IF(metadata!G138="",FALSE,TRUE),EXACT(metadata!G138,"urban biome"))</f>
        <v>0</v>
      </c>
      <c r="AI138" t="b">
        <f>AND(IF(metadata!H138="",FALSE,TRUE),EXACT(metadata!H138,"human-associated habitat"))</f>
        <v>0</v>
      </c>
      <c r="AJ138" t="b">
        <f>AND(IF(metadata!I138="",FALSE,TRUE),OR(EXACT(metadata!I138,"human-associated"),EXACT(metadata!I138,"human-skin"),EXACT(metadata!I138,"human-oral"),EXACT(metadata!I138,"human-gut"),EXACT(metadata!I138,"human-vaginal")))</f>
        <v>0</v>
      </c>
      <c r="AK138" t="b">
        <f>IF(metadata!J138="",FALSE,ISNUMBER(VALUE(metadata!J138)))</f>
        <v>0</v>
      </c>
      <c r="AL138" t="b">
        <f>AND(IF(metadata!K138="",FALSE,TRUE),EXACT(metadata!K138,"cm"))</f>
        <v>0</v>
      </c>
      <c r="AM138" t="b">
        <f>AND(IF(metadata!L138="",FALSE,TRUE),EXACT(metadata!L138,"human"))</f>
        <v>0</v>
      </c>
      <c r="AN138" t="b">
        <f>AND(IF(metadata!M138="",FALSE,TRUE),EXACT(metadata!M138,"Homo sapiens"))</f>
        <v>0</v>
      </c>
      <c r="AO138" t="b">
        <f>AND(IF(metadata!N138="",FALSE,TRUE),EXACT(metadata!N138,"9606"))</f>
        <v>0</v>
      </c>
      <c r="AP138" t="b">
        <f>IF(metadata!O138="",FALSE,TRUE)</f>
        <v>0</v>
      </c>
      <c r="AQ138" t="b">
        <f>IF(metadata!P138="",FALSE,TRUE)</f>
        <v>0</v>
      </c>
      <c r="AR138" t="b">
        <f>IF(metadata!Q138="",FALSE,ISNUMBER(VALUE(metadata!Q138)))</f>
        <v>0</v>
      </c>
      <c r="AS138" t="b">
        <f>AND(IF(metadata!R138="",FALSE,TRUE),EXACT(metadata!R138,"kg"))</f>
        <v>0</v>
      </c>
    </row>
    <row r="139" spans="1:45" x14ac:dyDescent="0.2">
      <c r="A139" s="5" t="str">
        <f ca="1">IF(B139=" "," ",HYPERLINK(CONCATENATE("#metadata!",ADDRESS(INDEX($X$2:$X$1001,MATCH(ROWS($V$2:V139),$V$2:$V$1001,0),0),1)),INDEX($AA$2:$AA$1001,MATCH(ROWS($V$2:V139),$V$2:$V$1001,0),0)))</f>
        <v xml:space="preserve"> </v>
      </c>
      <c r="B139" s="4" t="str">
        <f ca="1">IF(OR(INDEX($W$2:$W$1001,MATCH(ROWS($V$2:V139),$V$2:$V$1001,0),1)&gt;=100000,INDEX($AC$1005:$AS$1005,1,MATCH(COLUMNS($AC$1006:AC1006),$AC$1006:$AS$1006,0))&gt;=100000), " ",IF(INDEX($AC$2:$AS$1001,MATCH(ROWS($V$2:V139),$V$2:$V$1001,0),MATCH(COLUMNS($AC$1006:AC1006),$AC$1006:$AS$1006,0)), HYPERLINK("#",""), HYPERLINK(CONCATENATE("#metadata!", ADDRESS(INDEX($X$2:$X$1001,MATCH(ROWS($V$2:V139),$V$2:$V$1001,0),0), INDEX($AC$1004:$AS$1004,1,MATCH(COLUMNS($AC$1006:AC1006),$AC$1006:$AS$1006,0)))),"Fix")))</f>
        <v xml:space="preserve"> </v>
      </c>
      <c r="C139" s="4" t="str">
        <f ca="1">IF(OR(INDEX($W$2:$W$1001,MATCH(ROWS($V$2:V139),$V$2:$V$1001,0),1)&gt;=100000,INDEX($AC$1005:$AS$1005,1,MATCH(COLUMNS($AC$1006:AD1006),$AC$1006:$AS$1006,0))&gt;=100000), " ",IF(INDEX($AC$2:$AS$1001,MATCH(ROWS($V$2:V139),$V$2:$V$1001,0),MATCH(COLUMNS($AC$1006:AD1006),$AC$1006:$AS$1006,0)), HYPERLINK("#",""), HYPERLINK(CONCATENATE("#metadata!", ADDRESS(INDEX($X$2:$X$1001,MATCH(ROWS($V$2:V139),$V$2:$V$1001,0),0), INDEX($AC$1004:$AS$1004,1,MATCH(COLUMNS($AC$1006:AD1006),$AC$1006:$AS$1006,0)))),"Fix")))</f>
        <v xml:space="preserve"> </v>
      </c>
      <c r="D139" s="4" t="str">
        <f ca="1">IF(OR(INDEX($W$2:$W$1001,MATCH(ROWS($V$2:V139),$V$2:$V$1001,0),1)&gt;=100000,INDEX($AC$1005:$AS$1005,1,MATCH(COLUMNS($AC$1006:AE1006),$AC$1006:$AS$1006,0))&gt;=100000), " ",IF(INDEX($AC$2:$AS$1001,MATCH(ROWS($V$2:V139),$V$2:$V$1001,0),MATCH(COLUMNS($AC$1006:AE1006),$AC$1006:$AS$1006,0)), HYPERLINK("#",""), HYPERLINK(CONCATENATE("#metadata!", ADDRESS(INDEX($X$2:$X$1001,MATCH(ROWS($V$2:V139),$V$2:$V$1001,0),0), INDEX($AC$1004:$AS$1004,1,MATCH(COLUMNS($AC$1006:AE1006),$AC$1006:$AS$1006,0)))),"Fix")))</f>
        <v xml:space="preserve"> </v>
      </c>
      <c r="E139" s="4" t="str">
        <f ca="1">IF(OR(INDEX($W$2:$W$1001,MATCH(ROWS($V$2:V139),$V$2:$V$1001,0),1)&gt;=100000,INDEX($AC$1005:$AS$1005,1,MATCH(COLUMNS($AC$1006:AF1006),$AC$1006:$AS$1006,0))&gt;=100000), " ",IF(INDEX($AC$2:$AS$1001,MATCH(ROWS($V$2:V139),$V$2:$V$1001,0),MATCH(COLUMNS($AC$1006:AF1006),$AC$1006:$AS$1006,0)), HYPERLINK("#",""), HYPERLINK(CONCATENATE("#metadata!", ADDRESS(INDEX($X$2:$X$1001,MATCH(ROWS($V$2:V139),$V$2:$V$1001,0),0), INDEX($AC$1004:$AS$1004,1,MATCH(COLUMNS($AC$1006:AF1006),$AC$1006:$AS$1006,0)))),"Fix")))</f>
        <v xml:space="preserve"> </v>
      </c>
      <c r="F139" s="4" t="str">
        <f ca="1">IF(OR(INDEX($W$2:$W$1001,MATCH(ROWS($V$2:V139),$V$2:$V$1001,0),1)&gt;=100000,INDEX($AC$1005:$AS$1005,1,MATCH(COLUMNS($AC$1006:AG1006),$AC$1006:$AS$1006,0))&gt;=100000), " ",IF(INDEX($AC$2:$AS$1001,MATCH(ROWS($V$2:V139),$V$2:$V$1001,0),MATCH(COLUMNS($AC$1006:AG1006),$AC$1006:$AS$1006,0)), HYPERLINK("#",""), HYPERLINK(CONCATENATE("#metadata!", ADDRESS(INDEX($X$2:$X$1001,MATCH(ROWS($V$2:V139),$V$2:$V$1001,0),0), INDEX($AC$1004:$AS$1004,1,MATCH(COLUMNS($AC$1006:AG1006),$AC$1006:$AS$1006,0)))),"Fix")))</f>
        <v xml:space="preserve"> </v>
      </c>
      <c r="G139" s="4" t="str">
        <f ca="1">IF(OR(INDEX($W$2:$W$1001,MATCH(ROWS($V$2:V139),$V$2:$V$1001,0),1)&gt;=100000,INDEX($AC$1005:$AS$1005,1,MATCH(COLUMNS($AC$1006:AH1006),$AC$1006:$AS$1006,0))&gt;=100000), " ",IF(INDEX($AC$2:$AS$1001,MATCH(ROWS($V$2:V139),$V$2:$V$1001,0),MATCH(COLUMNS($AC$1006:AH1006),$AC$1006:$AS$1006,0)), HYPERLINK("#",""), HYPERLINK(CONCATENATE("#metadata!", ADDRESS(INDEX($X$2:$X$1001,MATCH(ROWS($V$2:V139),$V$2:$V$1001,0),0), INDEX($AC$1004:$AS$1004,1,MATCH(COLUMNS($AC$1006:AH1006),$AC$1006:$AS$1006,0)))),"Fix")))</f>
        <v xml:space="preserve"> </v>
      </c>
      <c r="H139" s="4" t="str">
        <f ca="1">IF(OR(INDEX($W$2:$W$1001,MATCH(ROWS($V$2:V139),$V$2:$V$1001,0),1)&gt;=100000,INDEX($AC$1005:$AS$1005,1,MATCH(COLUMNS($AC$1006:AI1006),$AC$1006:$AS$1006,0))&gt;=100000), " ",IF(INDEX($AC$2:$AS$1001,MATCH(ROWS($V$2:V139),$V$2:$V$1001,0),MATCH(COLUMNS($AC$1006:AI1006),$AC$1006:$AS$1006,0)), HYPERLINK("#",""), HYPERLINK(CONCATENATE("#metadata!", ADDRESS(INDEX($X$2:$X$1001,MATCH(ROWS($V$2:V139),$V$2:$V$1001,0),0), INDEX($AC$1004:$AS$1004,1,MATCH(COLUMNS($AC$1006:AI1006),$AC$1006:$AS$1006,0)))),"Fix")))</f>
        <v xml:space="preserve"> </v>
      </c>
      <c r="I139" s="4" t="str">
        <f ca="1">IF(OR(INDEX($W$2:$W$1001,MATCH(ROWS($V$2:V139),$V$2:$V$1001,0),1)&gt;=100000,INDEX($AC$1005:$AS$1005,1,MATCH(COLUMNS($AC$1006:AJ1006),$AC$1006:$AS$1006,0))&gt;=100000), " ",IF(INDEX($AC$2:$AS$1001,MATCH(ROWS($V$2:V139),$V$2:$V$1001,0),MATCH(COLUMNS($AC$1006:AJ1006),$AC$1006:$AS$1006,0)), HYPERLINK("#",""), HYPERLINK(CONCATENATE("#metadata!", ADDRESS(INDEX($X$2:$X$1001,MATCH(ROWS($V$2:V139),$V$2:$V$1001,0),0), INDEX($AC$1004:$AS$1004,1,MATCH(COLUMNS($AC$1006:AJ1006),$AC$1006:$AS$1006,0)))),"Fix")))</f>
        <v xml:space="preserve"> </v>
      </c>
      <c r="J139" s="4" t="str">
        <f ca="1">IF(OR(INDEX($W$2:$W$1001,MATCH(ROWS($V$2:V139),$V$2:$V$1001,0),1)&gt;=100000,INDEX($AC$1005:$AS$1005,1,MATCH(COLUMNS($AC$1006:AK1006),$AC$1006:$AS$1006,0))&gt;=100000), " ",IF(INDEX($AC$2:$AS$1001,MATCH(ROWS($V$2:V139),$V$2:$V$1001,0),MATCH(COLUMNS($AC$1006:AK1006),$AC$1006:$AS$1006,0)), HYPERLINK("#",""), HYPERLINK(CONCATENATE("#metadata!", ADDRESS(INDEX($X$2:$X$1001,MATCH(ROWS($V$2:V139),$V$2:$V$1001,0),0), INDEX($AC$1004:$AS$1004,1,MATCH(COLUMNS($AC$1006:AK1006),$AC$1006:$AS$1006,0)))),"Fix")))</f>
        <v xml:space="preserve"> </v>
      </c>
      <c r="K139" s="4" t="str">
        <f ca="1">IF(OR(INDEX($W$2:$W$1001,MATCH(ROWS($V$2:V139),$V$2:$V$1001,0),1)&gt;=100000,INDEX($AC$1005:$AS$1005,1,MATCH(COLUMNS($AC$1006:AL1006),$AC$1006:$AS$1006,0))&gt;=100000), " ",IF(INDEX($AC$2:$AS$1001,MATCH(ROWS($V$2:V139),$V$2:$V$1001,0),MATCH(COLUMNS($AC$1006:AL1006),$AC$1006:$AS$1006,0)), HYPERLINK("#",""), HYPERLINK(CONCATENATE("#metadata!", ADDRESS(INDEX($X$2:$X$1001,MATCH(ROWS($V$2:V139),$V$2:$V$1001,0),0), INDEX($AC$1004:$AS$1004,1,MATCH(COLUMNS($AC$1006:AL1006),$AC$1006:$AS$1006,0)))),"Fix")))</f>
        <v xml:space="preserve"> </v>
      </c>
      <c r="L139" s="4" t="str">
        <f ca="1">IF(OR(INDEX($W$2:$W$1001,MATCH(ROWS($V$2:V139),$V$2:$V$1001,0),1)&gt;=100000,INDEX($AC$1005:$AS$1005,1,MATCH(COLUMNS($AC$1006:AM1006),$AC$1006:$AS$1006,0))&gt;=100000), " ",IF(INDEX($AC$2:$AS$1001,MATCH(ROWS($V$2:V139),$V$2:$V$1001,0),MATCH(COLUMNS($AC$1006:AM1006),$AC$1006:$AS$1006,0)), HYPERLINK("#",""), HYPERLINK(CONCATENATE("#metadata!", ADDRESS(INDEX($X$2:$X$1001,MATCH(ROWS($V$2:V139),$V$2:$V$1001,0),0), INDEX($AC$1004:$AS$1004,1,MATCH(COLUMNS($AC$1006:AM1006),$AC$1006:$AS$1006,0)))),"Fix")))</f>
        <v xml:space="preserve"> </v>
      </c>
      <c r="M139" s="4" t="str">
        <f ca="1">IF(OR(INDEX($W$2:$W$1001,MATCH(ROWS($V$2:V139),$V$2:$V$1001,0),1)&gt;=100000,INDEX($AC$1005:$AS$1005,1,MATCH(COLUMNS($AC$1006:AN1006),$AC$1006:$AS$1006,0))&gt;=100000), " ",IF(INDEX($AC$2:$AS$1001,MATCH(ROWS($V$2:V139),$V$2:$V$1001,0),MATCH(COLUMNS($AC$1006:AN1006),$AC$1006:$AS$1006,0)), HYPERLINK("#",""), HYPERLINK(CONCATENATE("#metadata!", ADDRESS(INDEX($X$2:$X$1001,MATCH(ROWS($V$2:V139),$V$2:$V$1001,0),0), INDEX($AC$1004:$AS$1004,1,MATCH(COLUMNS($AC$1006:AN1006),$AC$1006:$AS$1006,0)))),"Fix")))</f>
        <v xml:space="preserve"> </v>
      </c>
      <c r="N139" s="4" t="str">
        <f ca="1">IF(OR(INDEX($W$2:$W$1001,MATCH(ROWS($V$2:V139),$V$2:$V$1001,0),1)&gt;=100000,INDEX($AC$1005:$AS$1005,1,MATCH(COLUMNS($AC$1006:AO1006),$AC$1006:$AS$1006,0))&gt;=100000), " ",IF(INDEX($AC$2:$AS$1001,MATCH(ROWS($V$2:V139),$V$2:$V$1001,0),MATCH(COLUMNS($AC$1006:AO1006),$AC$1006:$AS$1006,0)), HYPERLINK("#",""), HYPERLINK(CONCATENATE("#metadata!", ADDRESS(INDEX($X$2:$X$1001,MATCH(ROWS($V$2:V139),$V$2:$V$1001,0),0), INDEX($AC$1004:$AS$1004,1,MATCH(COLUMNS($AC$1006:AO1006),$AC$1006:$AS$1006,0)))),"Fix")))</f>
        <v xml:space="preserve"> </v>
      </c>
      <c r="O139" s="4" t="str">
        <f ca="1">IF(OR(INDEX($W$2:$W$1001,MATCH(ROWS($V$2:V139),$V$2:$V$1001,0),1)&gt;=100000,INDEX($AC$1005:$AS$1005,1,MATCH(COLUMNS($AC$1006:AP1006),$AC$1006:$AS$1006,0))&gt;=100000), " ",IF(INDEX($AC$2:$AS$1001,MATCH(ROWS($V$2:V139),$V$2:$V$1001,0),MATCH(COLUMNS($AC$1006:AP1006),$AC$1006:$AS$1006,0)), HYPERLINK("#",""), HYPERLINK(CONCATENATE("#metadata!", ADDRESS(INDEX($X$2:$X$1001,MATCH(ROWS($V$2:V139),$V$2:$V$1001,0),0), INDEX($AC$1004:$AS$1004,1,MATCH(COLUMNS($AC$1006:AP1006),$AC$1006:$AS$1006,0)))),"Fix")))</f>
        <v xml:space="preserve"> </v>
      </c>
      <c r="P139" s="4" t="str">
        <f ca="1">IF(OR(INDEX($W$2:$W$1001,MATCH(ROWS($V$2:V139),$V$2:$V$1001,0),1)&gt;=100000,INDEX($AC$1005:$AS$1005,1,MATCH(COLUMNS($AC$1006:AQ1006),$AC$1006:$AS$1006,0))&gt;=100000), " ",IF(INDEX($AC$2:$AS$1001,MATCH(ROWS($V$2:V139),$V$2:$V$1001,0),MATCH(COLUMNS($AC$1006:AQ1006),$AC$1006:$AS$1006,0)), HYPERLINK("#",""), HYPERLINK(CONCATENATE("#metadata!", ADDRESS(INDEX($X$2:$X$1001,MATCH(ROWS($V$2:V139),$V$2:$V$1001,0),0), INDEX($AC$1004:$AS$1004,1,MATCH(COLUMNS($AC$1006:AQ1006),$AC$1006:$AS$1006,0)))),"Fix")))</f>
        <v xml:space="preserve"> </v>
      </c>
      <c r="Q139" s="4" t="str">
        <f ca="1">IF(OR(INDEX($W$2:$W$1001,MATCH(ROWS($V$2:V139),$V$2:$V$1001,0),1)&gt;=100000,INDEX($AC$1005:$AS$1005,1,MATCH(COLUMNS($AC$1006:AR1006),$AC$1006:$AS$1006,0))&gt;=100000), " ",IF(INDEX($AC$2:$AS$1001,MATCH(ROWS($V$2:V139),$V$2:$V$1001,0),MATCH(COLUMNS($AC$1006:AR1006),$AC$1006:$AS$1006,0)), HYPERLINK("#",""), HYPERLINK(CONCATENATE("#metadata!", ADDRESS(INDEX($X$2:$X$1001,MATCH(ROWS($V$2:V139),$V$2:$V$1001,0),0), INDEX($AC$1004:$AS$1004,1,MATCH(COLUMNS($AC$1006:AR1006),$AC$1006:$AS$1006,0)))),"Fix")))</f>
        <v xml:space="preserve"> </v>
      </c>
      <c r="R139" s="4" t="str">
        <f ca="1">IF(OR(INDEX($W$2:$W$1001,MATCH(ROWS($V$2:V139),$V$2:$V$1001,0),1)&gt;=100000,INDEX($AC$1005:$AS$1005,1,MATCH(COLUMNS($AC$1006:AS1006),$AC$1006:$AS$1006,0))&gt;=100000), " ",IF(INDEX($AC$2:$AS$1001,MATCH(ROWS($V$2:V139),$V$2:$V$1001,0),MATCH(COLUMNS($AC$1006:AS1006),$AC$1006:$AS$1006,0)), HYPERLINK("#",""), HYPERLINK(CONCATENATE("#metadata!", ADDRESS(INDEX($X$2:$X$1001,MATCH(ROWS($V$2:V139),$V$2:$V$1001,0),0), INDEX($AC$1004:$AS$1004,1,MATCH(COLUMNS($AC$1006:AS1006),$AC$1006:$AS$1006,0)))),"Fix")))</f>
        <v xml:space="preserve"> </v>
      </c>
      <c r="V139">
        <v>138</v>
      </c>
      <c r="W139">
        <v>100139</v>
      </c>
      <c r="X139">
        <v>139</v>
      </c>
      <c r="Y139" t="b">
        <f t="shared" si="2"/>
        <v>1</v>
      </c>
      <c r="Z139" t="b">
        <f>COUNTBLANK(metadata!B139:R139)=COLUMNS(metadata!B139:R139)</f>
        <v>1</v>
      </c>
      <c r="AA139" t="str">
        <v/>
      </c>
      <c r="AC139" t="b">
        <f ca="1"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AD139" t="b">
        <f>IF(metadata!C139="",FALSE,ISNUMBER(VALUE(metadata!C139)))</f>
        <v>0</v>
      </c>
      <c r="AE139" t="b">
        <f>AND(IF(metadata!D139="",FALSE,TRUE),EXACT(metadata!D139,"years"))</f>
        <v>0</v>
      </c>
      <c r="AF139" t="b">
        <f>OR(AND(IF(metadata!E139="",FALSE,TRUE),OR(EXACT(metadata!E139,"not applicable"),EXACT(metadata!E139,"missing: not collected"),EXACT(metadata!E139,"missing: not provided"),EXACT(metadata!E139,"missing: restricted access"))),AND(IF(metadata!E139="",FALSE,ISNUMBER(VALUE(metadata!E139))),metadata!E139&gt;0))</f>
        <v>0</v>
      </c>
      <c r="AG139" t="b">
        <f>AND(IF(metadata!F139="",FALSE,TRUE),EXACT(metadata!F139,"Not applicable"))</f>
        <v>0</v>
      </c>
      <c r="AH139" t="b">
        <f>AND(IF(metadata!G139="",FALSE,TRUE),EXACT(metadata!G139,"urban biome"))</f>
        <v>0</v>
      </c>
      <c r="AI139" t="b">
        <f>AND(IF(metadata!H139="",FALSE,TRUE),EXACT(metadata!H139,"human-associated habitat"))</f>
        <v>0</v>
      </c>
      <c r="AJ139" t="b">
        <f>AND(IF(metadata!I139="",FALSE,TRUE),OR(EXACT(metadata!I139,"human-associated"),EXACT(metadata!I139,"human-skin"),EXACT(metadata!I139,"human-oral"),EXACT(metadata!I139,"human-gut"),EXACT(metadata!I139,"human-vaginal")))</f>
        <v>0</v>
      </c>
      <c r="AK139" t="b">
        <f>IF(metadata!J139="",FALSE,ISNUMBER(VALUE(metadata!J139)))</f>
        <v>0</v>
      </c>
      <c r="AL139" t="b">
        <f>AND(IF(metadata!K139="",FALSE,TRUE),EXACT(metadata!K139,"cm"))</f>
        <v>0</v>
      </c>
      <c r="AM139" t="b">
        <f>AND(IF(metadata!L139="",FALSE,TRUE),EXACT(metadata!L139,"human"))</f>
        <v>0</v>
      </c>
      <c r="AN139" t="b">
        <f>AND(IF(metadata!M139="",FALSE,TRUE),EXACT(metadata!M139,"Homo sapiens"))</f>
        <v>0</v>
      </c>
      <c r="AO139" t="b">
        <f>AND(IF(metadata!N139="",FALSE,TRUE),EXACT(metadata!N139,"9606"))</f>
        <v>0</v>
      </c>
      <c r="AP139" t="b">
        <f>IF(metadata!O139="",FALSE,TRUE)</f>
        <v>0</v>
      </c>
      <c r="AQ139" t="b">
        <f>IF(metadata!P139="",FALSE,TRUE)</f>
        <v>0</v>
      </c>
      <c r="AR139" t="b">
        <f>IF(metadata!Q139="",FALSE,ISNUMBER(VALUE(metadata!Q139)))</f>
        <v>0</v>
      </c>
      <c r="AS139" t="b">
        <f>AND(IF(metadata!R139="",FALSE,TRUE),EXACT(metadata!R139,"kg"))</f>
        <v>0</v>
      </c>
    </row>
    <row r="140" spans="1:45" x14ac:dyDescent="0.2">
      <c r="A140" s="5" t="str">
        <f ca="1">IF(B140=" "," ",HYPERLINK(CONCATENATE("#metadata!",ADDRESS(INDEX($X$2:$X$1001,MATCH(ROWS($V$2:V140),$V$2:$V$1001,0),0),1)),INDEX($AA$2:$AA$1001,MATCH(ROWS($V$2:V140),$V$2:$V$1001,0),0)))</f>
        <v xml:space="preserve"> </v>
      </c>
      <c r="B140" s="4" t="str">
        <f ca="1">IF(OR(INDEX($W$2:$W$1001,MATCH(ROWS($V$2:V140),$V$2:$V$1001,0),1)&gt;=100000,INDEX($AC$1005:$AS$1005,1,MATCH(COLUMNS($AC$1006:AC1006),$AC$1006:$AS$1006,0))&gt;=100000), " ",IF(INDEX($AC$2:$AS$1001,MATCH(ROWS($V$2:V140),$V$2:$V$1001,0),MATCH(COLUMNS($AC$1006:AC1006),$AC$1006:$AS$1006,0)), HYPERLINK("#",""), HYPERLINK(CONCATENATE("#metadata!", ADDRESS(INDEX($X$2:$X$1001,MATCH(ROWS($V$2:V140),$V$2:$V$1001,0),0), INDEX($AC$1004:$AS$1004,1,MATCH(COLUMNS($AC$1006:AC1006),$AC$1006:$AS$1006,0)))),"Fix")))</f>
        <v xml:space="preserve"> </v>
      </c>
      <c r="C140" s="4" t="str">
        <f ca="1">IF(OR(INDEX($W$2:$W$1001,MATCH(ROWS($V$2:V140),$V$2:$V$1001,0),1)&gt;=100000,INDEX($AC$1005:$AS$1005,1,MATCH(COLUMNS($AC$1006:AD1006),$AC$1006:$AS$1006,0))&gt;=100000), " ",IF(INDEX($AC$2:$AS$1001,MATCH(ROWS($V$2:V140),$V$2:$V$1001,0),MATCH(COLUMNS($AC$1006:AD1006),$AC$1006:$AS$1006,0)), HYPERLINK("#",""), HYPERLINK(CONCATENATE("#metadata!", ADDRESS(INDEX($X$2:$X$1001,MATCH(ROWS($V$2:V140),$V$2:$V$1001,0),0), INDEX($AC$1004:$AS$1004,1,MATCH(COLUMNS($AC$1006:AD1006),$AC$1006:$AS$1006,0)))),"Fix")))</f>
        <v xml:space="preserve"> </v>
      </c>
      <c r="D140" s="4" t="str">
        <f ca="1">IF(OR(INDEX($W$2:$W$1001,MATCH(ROWS($V$2:V140),$V$2:$V$1001,0),1)&gt;=100000,INDEX($AC$1005:$AS$1005,1,MATCH(COLUMNS($AC$1006:AE1006),$AC$1006:$AS$1006,0))&gt;=100000), " ",IF(INDEX($AC$2:$AS$1001,MATCH(ROWS($V$2:V140),$V$2:$V$1001,0),MATCH(COLUMNS($AC$1006:AE1006),$AC$1006:$AS$1006,0)), HYPERLINK("#",""), HYPERLINK(CONCATENATE("#metadata!", ADDRESS(INDEX($X$2:$X$1001,MATCH(ROWS($V$2:V140),$V$2:$V$1001,0),0), INDEX($AC$1004:$AS$1004,1,MATCH(COLUMNS($AC$1006:AE1006),$AC$1006:$AS$1006,0)))),"Fix")))</f>
        <v xml:space="preserve"> </v>
      </c>
      <c r="E140" s="4" t="str">
        <f ca="1">IF(OR(INDEX($W$2:$W$1001,MATCH(ROWS($V$2:V140),$V$2:$V$1001,0),1)&gt;=100000,INDEX($AC$1005:$AS$1005,1,MATCH(COLUMNS($AC$1006:AF1006),$AC$1006:$AS$1006,0))&gt;=100000), " ",IF(INDEX($AC$2:$AS$1001,MATCH(ROWS($V$2:V140),$V$2:$V$1001,0),MATCH(COLUMNS($AC$1006:AF1006),$AC$1006:$AS$1006,0)), HYPERLINK("#",""), HYPERLINK(CONCATENATE("#metadata!", ADDRESS(INDEX($X$2:$X$1001,MATCH(ROWS($V$2:V140),$V$2:$V$1001,0),0), INDEX($AC$1004:$AS$1004,1,MATCH(COLUMNS($AC$1006:AF1006),$AC$1006:$AS$1006,0)))),"Fix")))</f>
        <v xml:space="preserve"> </v>
      </c>
      <c r="F140" s="4" t="str">
        <f ca="1">IF(OR(INDEX($W$2:$W$1001,MATCH(ROWS($V$2:V140),$V$2:$V$1001,0),1)&gt;=100000,INDEX($AC$1005:$AS$1005,1,MATCH(COLUMNS($AC$1006:AG1006),$AC$1006:$AS$1006,0))&gt;=100000), " ",IF(INDEX($AC$2:$AS$1001,MATCH(ROWS($V$2:V140),$V$2:$V$1001,0),MATCH(COLUMNS($AC$1006:AG1006),$AC$1006:$AS$1006,0)), HYPERLINK("#",""), HYPERLINK(CONCATENATE("#metadata!", ADDRESS(INDEX($X$2:$X$1001,MATCH(ROWS($V$2:V140),$V$2:$V$1001,0),0), INDEX($AC$1004:$AS$1004,1,MATCH(COLUMNS($AC$1006:AG1006),$AC$1006:$AS$1006,0)))),"Fix")))</f>
        <v xml:space="preserve"> </v>
      </c>
      <c r="G140" s="4" t="str">
        <f ca="1">IF(OR(INDEX($W$2:$W$1001,MATCH(ROWS($V$2:V140),$V$2:$V$1001,0),1)&gt;=100000,INDEX($AC$1005:$AS$1005,1,MATCH(COLUMNS($AC$1006:AH1006),$AC$1006:$AS$1006,0))&gt;=100000), " ",IF(INDEX($AC$2:$AS$1001,MATCH(ROWS($V$2:V140),$V$2:$V$1001,0),MATCH(COLUMNS($AC$1006:AH1006),$AC$1006:$AS$1006,0)), HYPERLINK("#",""), HYPERLINK(CONCATENATE("#metadata!", ADDRESS(INDEX($X$2:$X$1001,MATCH(ROWS($V$2:V140),$V$2:$V$1001,0),0), INDEX($AC$1004:$AS$1004,1,MATCH(COLUMNS($AC$1006:AH1006),$AC$1006:$AS$1006,0)))),"Fix")))</f>
        <v xml:space="preserve"> </v>
      </c>
      <c r="H140" s="4" t="str">
        <f ca="1">IF(OR(INDEX($W$2:$W$1001,MATCH(ROWS($V$2:V140),$V$2:$V$1001,0),1)&gt;=100000,INDEX($AC$1005:$AS$1005,1,MATCH(COLUMNS($AC$1006:AI1006),$AC$1006:$AS$1006,0))&gt;=100000), " ",IF(INDEX($AC$2:$AS$1001,MATCH(ROWS($V$2:V140),$V$2:$V$1001,0),MATCH(COLUMNS($AC$1006:AI1006),$AC$1006:$AS$1006,0)), HYPERLINK("#",""), HYPERLINK(CONCATENATE("#metadata!", ADDRESS(INDEX($X$2:$X$1001,MATCH(ROWS($V$2:V140),$V$2:$V$1001,0),0), INDEX($AC$1004:$AS$1004,1,MATCH(COLUMNS($AC$1006:AI1006),$AC$1006:$AS$1006,0)))),"Fix")))</f>
        <v xml:space="preserve"> </v>
      </c>
      <c r="I140" s="4" t="str">
        <f ca="1">IF(OR(INDEX($W$2:$W$1001,MATCH(ROWS($V$2:V140),$V$2:$V$1001,0),1)&gt;=100000,INDEX($AC$1005:$AS$1005,1,MATCH(COLUMNS($AC$1006:AJ1006),$AC$1006:$AS$1006,0))&gt;=100000), " ",IF(INDEX($AC$2:$AS$1001,MATCH(ROWS($V$2:V140),$V$2:$V$1001,0),MATCH(COLUMNS($AC$1006:AJ1006),$AC$1006:$AS$1006,0)), HYPERLINK("#",""), HYPERLINK(CONCATENATE("#metadata!", ADDRESS(INDEX($X$2:$X$1001,MATCH(ROWS($V$2:V140),$V$2:$V$1001,0),0), INDEX($AC$1004:$AS$1004,1,MATCH(COLUMNS($AC$1006:AJ1006),$AC$1006:$AS$1006,0)))),"Fix")))</f>
        <v xml:space="preserve"> </v>
      </c>
      <c r="J140" s="4" t="str">
        <f ca="1">IF(OR(INDEX($W$2:$W$1001,MATCH(ROWS($V$2:V140),$V$2:$V$1001,0),1)&gt;=100000,INDEX($AC$1005:$AS$1005,1,MATCH(COLUMNS($AC$1006:AK1006),$AC$1006:$AS$1006,0))&gt;=100000), " ",IF(INDEX($AC$2:$AS$1001,MATCH(ROWS($V$2:V140),$V$2:$V$1001,0),MATCH(COLUMNS($AC$1006:AK1006),$AC$1006:$AS$1006,0)), HYPERLINK("#",""), HYPERLINK(CONCATENATE("#metadata!", ADDRESS(INDEX($X$2:$X$1001,MATCH(ROWS($V$2:V140),$V$2:$V$1001,0),0), INDEX($AC$1004:$AS$1004,1,MATCH(COLUMNS($AC$1006:AK1006),$AC$1006:$AS$1006,0)))),"Fix")))</f>
        <v xml:space="preserve"> </v>
      </c>
      <c r="K140" s="4" t="str">
        <f ca="1">IF(OR(INDEX($W$2:$W$1001,MATCH(ROWS($V$2:V140),$V$2:$V$1001,0),1)&gt;=100000,INDEX($AC$1005:$AS$1005,1,MATCH(COLUMNS($AC$1006:AL1006),$AC$1006:$AS$1006,0))&gt;=100000), " ",IF(INDEX($AC$2:$AS$1001,MATCH(ROWS($V$2:V140),$V$2:$V$1001,0),MATCH(COLUMNS($AC$1006:AL1006),$AC$1006:$AS$1006,0)), HYPERLINK("#",""), HYPERLINK(CONCATENATE("#metadata!", ADDRESS(INDEX($X$2:$X$1001,MATCH(ROWS($V$2:V140),$V$2:$V$1001,0),0), INDEX($AC$1004:$AS$1004,1,MATCH(COLUMNS($AC$1006:AL1006),$AC$1006:$AS$1006,0)))),"Fix")))</f>
        <v xml:space="preserve"> </v>
      </c>
      <c r="L140" s="4" t="str">
        <f ca="1">IF(OR(INDEX($W$2:$W$1001,MATCH(ROWS($V$2:V140),$V$2:$V$1001,0),1)&gt;=100000,INDEX($AC$1005:$AS$1005,1,MATCH(COLUMNS($AC$1006:AM1006),$AC$1006:$AS$1006,0))&gt;=100000), " ",IF(INDEX($AC$2:$AS$1001,MATCH(ROWS($V$2:V140),$V$2:$V$1001,0),MATCH(COLUMNS($AC$1006:AM1006),$AC$1006:$AS$1006,0)), HYPERLINK("#",""), HYPERLINK(CONCATENATE("#metadata!", ADDRESS(INDEX($X$2:$X$1001,MATCH(ROWS($V$2:V140),$V$2:$V$1001,0),0), INDEX($AC$1004:$AS$1004,1,MATCH(COLUMNS($AC$1006:AM1006),$AC$1006:$AS$1006,0)))),"Fix")))</f>
        <v xml:space="preserve"> </v>
      </c>
      <c r="M140" s="4" t="str">
        <f ca="1">IF(OR(INDEX($W$2:$W$1001,MATCH(ROWS($V$2:V140),$V$2:$V$1001,0),1)&gt;=100000,INDEX($AC$1005:$AS$1005,1,MATCH(COLUMNS($AC$1006:AN1006),$AC$1006:$AS$1006,0))&gt;=100000), " ",IF(INDEX($AC$2:$AS$1001,MATCH(ROWS($V$2:V140),$V$2:$V$1001,0),MATCH(COLUMNS($AC$1006:AN1006),$AC$1006:$AS$1006,0)), HYPERLINK("#",""), HYPERLINK(CONCATENATE("#metadata!", ADDRESS(INDEX($X$2:$X$1001,MATCH(ROWS($V$2:V140),$V$2:$V$1001,0),0), INDEX($AC$1004:$AS$1004,1,MATCH(COLUMNS($AC$1006:AN1006),$AC$1006:$AS$1006,0)))),"Fix")))</f>
        <v xml:space="preserve"> </v>
      </c>
      <c r="N140" s="4" t="str">
        <f ca="1">IF(OR(INDEX($W$2:$W$1001,MATCH(ROWS($V$2:V140),$V$2:$V$1001,0),1)&gt;=100000,INDEX($AC$1005:$AS$1005,1,MATCH(COLUMNS($AC$1006:AO1006),$AC$1006:$AS$1006,0))&gt;=100000), " ",IF(INDEX($AC$2:$AS$1001,MATCH(ROWS($V$2:V140),$V$2:$V$1001,0),MATCH(COLUMNS($AC$1006:AO1006),$AC$1006:$AS$1006,0)), HYPERLINK("#",""), HYPERLINK(CONCATENATE("#metadata!", ADDRESS(INDEX($X$2:$X$1001,MATCH(ROWS($V$2:V140),$V$2:$V$1001,0),0), INDEX($AC$1004:$AS$1004,1,MATCH(COLUMNS($AC$1006:AO1006),$AC$1006:$AS$1006,0)))),"Fix")))</f>
        <v xml:space="preserve"> </v>
      </c>
      <c r="O140" s="4" t="str">
        <f ca="1">IF(OR(INDEX($W$2:$W$1001,MATCH(ROWS($V$2:V140),$V$2:$V$1001,0),1)&gt;=100000,INDEX($AC$1005:$AS$1005,1,MATCH(COLUMNS($AC$1006:AP1006),$AC$1006:$AS$1006,0))&gt;=100000), " ",IF(INDEX($AC$2:$AS$1001,MATCH(ROWS($V$2:V140),$V$2:$V$1001,0),MATCH(COLUMNS($AC$1006:AP1006),$AC$1006:$AS$1006,0)), HYPERLINK("#",""), HYPERLINK(CONCATENATE("#metadata!", ADDRESS(INDEX($X$2:$X$1001,MATCH(ROWS($V$2:V140),$V$2:$V$1001,0),0), INDEX($AC$1004:$AS$1004,1,MATCH(COLUMNS($AC$1006:AP1006),$AC$1006:$AS$1006,0)))),"Fix")))</f>
        <v xml:space="preserve"> </v>
      </c>
      <c r="P140" s="4" t="str">
        <f ca="1">IF(OR(INDEX($W$2:$W$1001,MATCH(ROWS($V$2:V140),$V$2:$V$1001,0),1)&gt;=100000,INDEX($AC$1005:$AS$1005,1,MATCH(COLUMNS($AC$1006:AQ1006),$AC$1006:$AS$1006,0))&gt;=100000), " ",IF(INDEX($AC$2:$AS$1001,MATCH(ROWS($V$2:V140),$V$2:$V$1001,0),MATCH(COLUMNS($AC$1006:AQ1006),$AC$1006:$AS$1006,0)), HYPERLINK("#",""), HYPERLINK(CONCATENATE("#metadata!", ADDRESS(INDEX($X$2:$X$1001,MATCH(ROWS($V$2:V140),$V$2:$V$1001,0),0), INDEX($AC$1004:$AS$1004,1,MATCH(COLUMNS($AC$1006:AQ1006),$AC$1006:$AS$1006,0)))),"Fix")))</f>
        <v xml:space="preserve"> </v>
      </c>
      <c r="Q140" s="4" t="str">
        <f ca="1">IF(OR(INDEX($W$2:$W$1001,MATCH(ROWS($V$2:V140),$V$2:$V$1001,0),1)&gt;=100000,INDEX($AC$1005:$AS$1005,1,MATCH(COLUMNS($AC$1006:AR1006),$AC$1006:$AS$1006,0))&gt;=100000), " ",IF(INDEX($AC$2:$AS$1001,MATCH(ROWS($V$2:V140),$V$2:$V$1001,0),MATCH(COLUMNS($AC$1006:AR1006),$AC$1006:$AS$1006,0)), HYPERLINK("#",""), HYPERLINK(CONCATENATE("#metadata!", ADDRESS(INDEX($X$2:$X$1001,MATCH(ROWS($V$2:V140),$V$2:$V$1001,0),0), INDEX($AC$1004:$AS$1004,1,MATCH(COLUMNS($AC$1006:AR1006),$AC$1006:$AS$1006,0)))),"Fix")))</f>
        <v xml:space="preserve"> </v>
      </c>
      <c r="R140" s="4" t="str">
        <f ca="1">IF(OR(INDEX($W$2:$W$1001,MATCH(ROWS($V$2:V140),$V$2:$V$1001,0),1)&gt;=100000,INDEX($AC$1005:$AS$1005,1,MATCH(COLUMNS($AC$1006:AS1006),$AC$1006:$AS$1006,0))&gt;=100000), " ",IF(INDEX($AC$2:$AS$1001,MATCH(ROWS($V$2:V140),$V$2:$V$1001,0),MATCH(COLUMNS($AC$1006:AS1006),$AC$1006:$AS$1006,0)), HYPERLINK("#",""), HYPERLINK(CONCATENATE("#metadata!", ADDRESS(INDEX($X$2:$X$1001,MATCH(ROWS($V$2:V140),$V$2:$V$1001,0),0), INDEX($AC$1004:$AS$1004,1,MATCH(COLUMNS($AC$1006:AS1006),$AC$1006:$AS$1006,0)))),"Fix")))</f>
        <v xml:space="preserve"> </v>
      </c>
      <c r="V140">
        <v>139</v>
      </c>
      <c r="W140">
        <v>100140</v>
      </c>
      <c r="X140">
        <v>140</v>
      </c>
      <c r="Y140" t="b">
        <f t="shared" si="2"/>
        <v>1</v>
      </c>
      <c r="Z140" t="b">
        <f>COUNTBLANK(metadata!B140:R140)=COLUMNS(metadata!B140:R140)</f>
        <v>1</v>
      </c>
      <c r="AA140" t="str">
        <v/>
      </c>
      <c r="AC140" t="b">
        <f ca="1"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AD140" t="b">
        <f>IF(metadata!C140="",FALSE,ISNUMBER(VALUE(metadata!C140)))</f>
        <v>0</v>
      </c>
      <c r="AE140" t="b">
        <f>AND(IF(metadata!D140="",FALSE,TRUE),EXACT(metadata!D140,"years"))</f>
        <v>0</v>
      </c>
      <c r="AF140" t="b">
        <f>OR(AND(IF(metadata!E140="",FALSE,TRUE),OR(EXACT(metadata!E140,"not applicable"),EXACT(metadata!E140,"missing: not collected"),EXACT(metadata!E140,"missing: not provided"),EXACT(metadata!E140,"missing: restricted access"))),AND(IF(metadata!E140="",FALSE,ISNUMBER(VALUE(metadata!E140))),metadata!E140&gt;0))</f>
        <v>0</v>
      </c>
      <c r="AG140" t="b">
        <f>AND(IF(metadata!F140="",FALSE,TRUE),EXACT(metadata!F140,"Not applicable"))</f>
        <v>0</v>
      </c>
      <c r="AH140" t="b">
        <f>AND(IF(metadata!G140="",FALSE,TRUE),EXACT(metadata!G140,"urban biome"))</f>
        <v>0</v>
      </c>
      <c r="AI140" t="b">
        <f>AND(IF(metadata!H140="",FALSE,TRUE),EXACT(metadata!H140,"human-associated habitat"))</f>
        <v>0</v>
      </c>
      <c r="AJ140" t="b">
        <f>AND(IF(metadata!I140="",FALSE,TRUE),OR(EXACT(metadata!I140,"human-associated"),EXACT(metadata!I140,"human-skin"),EXACT(metadata!I140,"human-oral"),EXACT(metadata!I140,"human-gut"),EXACT(metadata!I140,"human-vaginal")))</f>
        <v>0</v>
      </c>
      <c r="AK140" t="b">
        <f>IF(metadata!J140="",FALSE,ISNUMBER(VALUE(metadata!J140)))</f>
        <v>0</v>
      </c>
      <c r="AL140" t="b">
        <f>AND(IF(metadata!K140="",FALSE,TRUE),EXACT(metadata!K140,"cm"))</f>
        <v>0</v>
      </c>
      <c r="AM140" t="b">
        <f>AND(IF(metadata!L140="",FALSE,TRUE),EXACT(metadata!L140,"human"))</f>
        <v>0</v>
      </c>
      <c r="AN140" t="b">
        <f>AND(IF(metadata!M140="",FALSE,TRUE),EXACT(metadata!M140,"Homo sapiens"))</f>
        <v>0</v>
      </c>
      <c r="AO140" t="b">
        <f>AND(IF(metadata!N140="",FALSE,TRUE),EXACT(metadata!N140,"9606"))</f>
        <v>0</v>
      </c>
      <c r="AP140" t="b">
        <f>IF(metadata!O140="",FALSE,TRUE)</f>
        <v>0</v>
      </c>
      <c r="AQ140" t="b">
        <f>IF(metadata!P140="",FALSE,TRUE)</f>
        <v>0</v>
      </c>
      <c r="AR140" t="b">
        <f>IF(metadata!Q140="",FALSE,ISNUMBER(VALUE(metadata!Q140)))</f>
        <v>0</v>
      </c>
      <c r="AS140" t="b">
        <f>AND(IF(metadata!R140="",FALSE,TRUE),EXACT(metadata!R140,"kg"))</f>
        <v>0</v>
      </c>
    </row>
    <row r="141" spans="1:45" x14ac:dyDescent="0.2">
      <c r="A141" s="5" t="str">
        <f ca="1">IF(B141=" "," ",HYPERLINK(CONCATENATE("#metadata!",ADDRESS(INDEX($X$2:$X$1001,MATCH(ROWS($V$2:V141),$V$2:$V$1001,0),0),1)),INDEX($AA$2:$AA$1001,MATCH(ROWS($V$2:V141),$V$2:$V$1001,0),0)))</f>
        <v xml:space="preserve"> </v>
      </c>
      <c r="B141" s="4" t="str">
        <f ca="1">IF(OR(INDEX($W$2:$W$1001,MATCH(ROWS($V$2:V141),$V$2:$V$1001,0),1)&gt;=100000,INDEX($AC$1005:$AS$1005,1,MATCH(COLUMNS($AC$1006:AC1006),$AC$1006:$AS$1006,0))&gt;=100000), " ",IF(INDEX($AC$2:$AS$1001,MATCH(ROWS($V$2:V141),$V$2:$V$1001,0),MATCH(COLUMNS($AC$1006:AC1006),$AC$1006:$AS$1006,0)), HYPERLINK("#",""), HYPERLINK(CONCATENATE("#metadata!", ADDRESS(INDEX($X$2:$X$1001,MATCH(ROWS($V$2:V141),$V$2:$V$1001,0),0), INDEX($AC$1004:$AS$1004,1,MATCH(COLUMNS($AC$1006:AC1006),$AC$1006:$AS$1006,0)))),"Fix")))</f>
        <v xml:space="preserve"> </v>
      </c>
      <c r="C141" s="4" t="str">
        <f ca="1">IF(OR(INDEX($W$2:$W$1001,MATCH(ROWS($V$2:V141),$V$2:$V$1001,0),1)&gt;=100000,INDEX($AC$1005:$AS$1005,1,MATCH(COLUMNS($AC$1006:AD1006),$AC$1006:$AS$1006,0))&gt;=100000), " ",IF(INDEX($AC$2:$AS$1001,MATCH(ROWS($V$2:V141),$V$2:$V$1001,0),MATCH(COLUMNS($AC$1006:AD1006),$AC$1006:$AS$1006,0)), HYPERLINK("#",""), HYPERLINK(CONCATENATE("#metadata!", ADDRESS(INDEX($X$2:$X$1001,MATCH(ROWS($V$2:V141),$V$2:$V$1001,0),0), INDEX($AC$1004:$AS$1004,1,MATCH(COLUMNS($AC$1006:AD1006),$AC$1006:$AS$1006,0)))),"Fix")))</f>
        <v xml:space="preserve"> </v>
      </c>
      <c r="D141" s="4" t="str">
        <f ca="1">IF(OR(INDEX($W$2:$W$1001,MATCH(ROWS($V$2:V141),$V$2:$V$1001,0),1)&gt;=100000,INDEX($AC$1005:$AS$1005,1,MATCH(COLUMNS($AC$1006:AE1006),$AC$1006:$AS$1006,0))&gt;=100000), " ",IF(INDEX($AC$2:$AS$1001,MATCH(ROWS($V$2:V141),$V$2:$V$1001,0),MATCH(COLUMNS($AC$1006:AE1006),$AC$1006:$AS$1006,0)), HYPERLINK("#",""), HYPERLINK(CONCATENATE("#metadata!", ADDRESS(INDEX($X$2:$X$1001,MATCH(ROWS($V$2:V141),$V$2:$V$1001,0),0), INDEX($AC$1004:$AS$1004,1,MATCH(COLUMNS($AC$1006:AE1006),$AC$1006:$AS$1006,0)))),"Fix")))</f>
        <v xml:space="preserve"> </v>
      </c>
      <c r="E141" s="4" t="str">
        <f ca="1">IF(OR(INDEX($W$2:$W$1001,MATCH(ROWS($V$2:V141),$V$2:$V$1001,0),1)&gt;=100000,INDEX($AC$1005:$AS$1005,1,MATCH(COLUMNS($AC$1006:AF1006),$AC$1006:$AS$1006,0))&gt;=100000), " ",IF(INDEX($AC$2:$AS$1001,MATCH(ROWS($V$2:V141),$V$2:$V$1001,0),MATCH(COLUMNS($AC$1006:AF1006),$AC$1006:$AS$1006,0)), HYPERLINK("#",""), HYPERLINK(CONCATENATE("#metadata!", ADDRESS(INDEX($X$2:$X$1001,MATCH(ROWS($V$2:V141),$V$2:$V$1001,0),0), INDEX($AC$1004:$AS$1004,1,MATCH(COLUMNS($AC$1006:AF1006),$AC$1006:$AS$1006,0)))),"Fix")))</f>
        <v xml:space="preserve"> </v>
      </c>
      <c r="F141" s="4" t="str">
        <f ca="1">IF(OR(INDEX($W$2:$W$1001,MATCH(ROWS($V$2:V141),$V$2:$V$1001,0),1)&gt;=100000,INDEX($AC$1005:$AS$1005,1,MATCH(COLUMNS($AC$1006:AG1006),$AC$1006:$AS$1006,0))&gt;=100000), " ",IF(INDEX($AC$2:$AS$1001,MATCH(ROWS($V$2:V141),$V$2:$V$1001,0),MATCH(COLUMNS($AC$1006:AG1006),$AC$1006:$AS$1006,0)), HYPERLINK("#",""), HYPERLINK(CONCATENATE("#metadata!", ADDRESS(INDEX($X$2:$X$1001,MATCH(ROWS($V$2:V141),$V$2:$V$1001,0),0), INDEX($AC$1004:$AS$1004,1,MATCH(COLUMNS($AC$1006:AG1006),$AC$1006:$AS$1006,0)))),"Fix")))</f>
        <v xml:space="preserve"> </v>
      </c>
      <c r="G141" s="4" t="str">
        <f ca="1">IF(OR(INDEX($W$2:$W$1001,MATCH(ROWS($V$2:V141),$V$2:$V$1001,0),1)&gt;=100000,INDEX($AC$1005:$AS$1005,1,MATCH(COLUMNS($AC$1006:AH1006),$AC$1006:$AS$1006,0))&gt;=100000), " ",IF(INDEX($AC$2:$AS$1001,MATCH(ROWS($V$2:V141),$V$2:$V$1001,0),MATCH(COLUMNS($AC$1006:AH1006),$AC$1006:$AS$1006,0)), HYPERLINK("#",""), HYPERLINK(CONCATENATE("#metadata!", ADDRESS(INDEX($X$2:$X$1001,MATCH(ROWS($V$2:V141),$V$2:$V$1001,0),0), INDEX($AC$1004:$AS$1004,1,MATCH(COLUMNS($AC$1006:AH1006),$AC$1006:$AS$1006,0)))),"Fix")))</f>
        <v xml:space="preserve"> </v>
      </c>
      <c r="H141" s="4" t="str">
        <f ca="1">IF(OR(INDEX($W$2:$W$1001,MATCH(ROWS($V$2:V141),$V$2:$V$1001,0),1)&gt;=100000,INDEX($AC$1005:$AS$1005,1,MATCH(COLUMNS($AC$1006:AI1006),$AC$1006:$AS$1006,0))&gt;=100000), " ",IF(INDEX($AC$2:$AS$1001,MATCH(ROWS($V$2:V141),$V$2:$V$1001,0),MATCH(COLUMNS($AC$1006:AI1006),$AC$1006:$AS$1006,0)), HYPERLINK("#",""), HYPERLINK(CONCATENATE("#metadata!", ADDRESS(INDEX($X$2:$X$1001,MATCH(ROWS($V$2:V141),$V$2:$V$1001,0),0), INDEX($AC$1004:$AS$1004,1,MATCH(COLUMNS($AC$1006:AI1006),$AC$1006:$AS$1006,0)))),"Fix")))</f>
        <v xml:space="preserve"> </v>
      </c>
      <c r="I141" s="4" t="str">
        <f ca="1">IF(OR(INDEX($W$2:$W$1001,MATCH(ROWS($V$2:V141),$V$2:$V$1001,0),1)&gt;=100000,INDEX($AC$1005:$AS$1005,1,MATCH(COLUMNS($AC$1006:AJ1006),$AC$1006:$AS$1006,0))&gt;=100000), " ",IF(INDEX($AC$2:$AS$1001,MATCH(ROWS($V$2:V141),$V$2:$V$1001,0),MATCH(COLUMNS($AC$1006:AJ1006),$AC$1006:$AS$1006,0)), HYPERLINK("#",""), HYPERLINK(CONCATENATE("#metadata!", ADDRESS(INDEX($X$2:$X$1001,MATCH(ROWS($V$2:V141),$V$2:$V$1001,0),0), INDEX($AC$1004:$AS$1004,1,MATCH(COLUMNS($AC$1006:AJ1006),$AC$1006:$AS$1006,0)))),"Fix")))</f>
        <v xml:space="preserve"> </v>
      </c>
      <c r="J141" s="4" t="str">
        <f ca="1">IF(OR(INDEX($W$2:$W$1001,MATCH(ROWS($V$2:V141),$V$2:$V$1001,0),1)&gt;=100000,INDEX($AC$1005:$AS$1005,1,MATCH(COLUMNS($AC$1006:AK1006),$AC$1006:$AS$1006,0))&gt;=100000), " ",IF(INDEX($AC$2:$AS$1001,MATCH(ROWS($V$2:V141),$V$2:$V$1001,0),MATCH(COLUMNS($AC$1006:AK1006),$AC$1006:$AS$1006,0)), HYPERLINK("#",""), HYPERLINK(CONCATENATE("#metadata!", ADDRESS(INDEX($X$2:$X$1001,MATCH(ROWS($V$2:V141),$V$2:$V$1001,0),0), INDEX($AC$1004:$AS$1004,1,MATCH(COLUMNS($AC$1006:AK1006),$AC$1006:$AS$1006,0)))),"Fix")))</f>
        <v xml:space="preserve"> </v>
      </c>
      <c r="K141" s="4" t="str">
        <f ca="1">IF(OR(INDEX($W$2:$W$1001,MATCH(ROWS($V$2:V141),$V$2:$V$1001,0),1)&gt;=100000,INDEX($AC$1005:$AS$1005,1,MATCH(COLUMNS($AC$1006:AL1006),$AC$1006:$AS$1006,0))&gt;=100000), " ",IF(INDEX($AC$2:$AS$1001,MATCH(ROWS($V$2:V141),$V$2:$V$1001,0),MATCH(COLUMNS($AC$1006:AL1006),$AC$1006:$AS$1006,0)), HYPERLINK("#",""), HYPERLINK(CONCATENATE("#metadata!", ADDRESS(INDEX($X$2:$X$1001,MATCH(ROWS($V$2:V141),$V$2:$V$1001,0),0), INDEX($AC$1004:$AS$1004,1,MATCH(COLUMNS($AC$1006:AL1006),$AC$1006:$AS$1006,0)))),"Fix")))</f>
        <v xml:space="preserve"> </v>
      </c>
      <c r="L141" s="4" t="str">
        <f ca="1">IF(OR(INDEX($W$2:$W$1001,MATCH(ROWS($V$2:V141),$V$2:$V$1001,0),1)&gt;=100000,INDEX($AC$1005:$AS$1005,1,MATCH(COLUMNS($AC$1006:AM1006),$AC$1006:$AS$1006,0))&gt;=100000), " ",IF(INDEX($AC$2:$AS$1001,MATCH(ROWS($V$2:V141),$V$2:$V$1001,0),MATCH(COLUMNS($AC$1006:AM1006),$AC$1006:$AS$1006,0)), HYPERLINK("#",""), HYPERLINK(CONCATENATE("#metadata!", ADDRESS(INDEX($X$2:$X$1001,MATCH(ROWS($V$2:V141),$V$2:$V$1001,0),0), INDEX($AC$1004:$AS$1004,1,MATCH(COLUMNS($AC$1006:AM1006),$AC$1006:$AS$1006,0)))),"Fix")))</f>
        <v xml:space="preserve"> </v>
      </c>
      <c r="M141" s="4" t="str">
        <f ca="1">IF(OR(INDEX($W$2:$W$1001,MATCH(ROWS($V$2:V141),$V$2:$V$1001,0),1)&gt;=100000,INDEX($AC$1005:$AS$1005,1,MATCH(COLUMNS($AC$1006:AN1006),$AC$1006:$AS$1006,0))&gt;=100000), " ",IF(INDEX($AC$2:$AS$1001,MATCH(ROWS($V$2:V141),$V$2:$V$1001,0),MATCH(COLUMNS($AC$1006:AN1006),$AC$1006:$AS$1006,0)), HYPERLINK("#",""), HYPERLINK(CONCATENATE("#metadata!", ADDRESS(INDEX($X$2:$X$1001,MATCH(ROWS($V$2:V141),$V$2:$V$1001,0),0), INDEX($AC$1004:$AS$1004,1,MATCH(COLUMNS($AC$1006:AN1006),$AC$1006:$AS$1006,0)))),"Fix")))</f>
        <v xml:space="preserve"> </v>
      </c>
      <c r="N141" s="4" t="str">
        <f ca="1">IF(OR(INDEX($W$2:$W$1001,MATCH(ROWS($V$2:V141),$V$2:$V$1001,0),1)&gt;=100000,INDEX($AC$1005:$AS$1005,1,MATCH(COLUMNS($AC$1006:AO1006),$AC$1006:$AS$1006,0))&gt;=100000), " ",IF(INDEX($AC$2:$AS$1001,MATCH(ROWS($V$2:V141),$V$2:$V$1001,0),MATCH(COLUMNS($AC$1006:AO1006),$AC$1006:$AS$1006,0)), HYPERLINK("#",""), HYPERLINK(CONCATENATE("#metadata!", ADDRESS(INDEX($X$2:$X$1001,MATCH(ROWS($V$2:V141),$V$2:$V$1001,0),0), INDEX($AC$1004:$AS$1004,1,MATCH(COLUMNS($AC$1006:AO1006),$AC$1006:$AS$1006,0)))),"Fix")))</f>
        <v xml:space="preserve"> </v>
      </c>
      <c r="O141" s="4" t="str">
        <f ca="1">IF(OR(INDEX($W$2:$W$1001,MATCH(ROWS($V$2:V141),$V$2:$V$1001,0),1)&gt;=100000,INDEX($AC$1005:$AS$1005,1,MATCH(COLUMNS($AC$1006:AP1006),$AC$1006:$AS$1006,0))&gt;=100000), " ",IF(INDEX($AC$2:$AS$1001,MATCH(ROWS($V$2:V141),$V$2:$V$1001,0),MATCH(COLUMNS($AC$1006:AP1006),$AC$1006:$AS$1006,0)), HYPERLINK("#",""), HYPERLINK(CONCATENATE("#metadata!", ADDRESS(INDEX($X$2:$X$1001,MATCH(ROWS($V$2:V141),$V$2:$V$1001,0),0), INDEX($AC$1004:$AS$1004,1,MATCH(COLUMNS($AC$1006:AP1006),$AC$1006:$AS$1006,0)))),"Fix")))</f>
        <v xml:space="preserve"> </v>
      </c>
      <c r="P141" s="4" t="str">
        <f ca="1">IF(OR(INDEX($W$2:$W$1001,MATCH(ROWS($V$2:V141),$V$2:$V$1001,0),1)&gt;=100000,INDEX($AC$1005:$AS$1005,1,MATCH(COLUMNS($AC$1006:AQ1006),$AC$1006:$AS$1006,0))&gt;=100000), " ",IF(INDEX($AC$2:$AS$1001,MATCH(ROWS($V$2:V141),$V$2:$V$1001,0),MATCH(COLUMNS($AC$1006:AQ1006),$AC$1006:$AS$1006,0)), HYPERLINK("#",""), HYPERLINK(CONCATENATE("#metadata!", ADDRESS(INDEX($X$2:$X$1001,MATCH(ROWS($V$2:V141),$V$2:$V$1001,0),0), INDEX($AC$1004:$AS$1004,1,MATCH(COLUMNS($AC$1006:AQ1006),$AC$1006:$AS$1006,0)))),"Fix")))</f>
        <v xml:space="preserve"> </v>
      </c>
      <c r="Q141" s="4" t="str">
        <f ca="1">IF(OR(INDEX($W$2:$W$1001,MATCH(ROWS($V$2:V141),$V$2:$V$1001,0),1)&gt;=100000,INDEX($AC$1005:$AS$1005,1,MATCH(COLUMNS($AC$1006:AR1006),$AC$1006:$AS$1006,0))&gt;=100000), " ",IF(INDEX($AC$2:$AS$1001,MATCH(ROWS($V$2:V141),$V$2:$V$1001,0),MATCH(COLUMNS($AC$1006:AR1006),$AC$1006:$AS$1006,0)), HYPERLINK("#",""), HYPERLINK(CONCATENATE("#metadata!", ADDRESS(INDEX($X$2:$X$1001,MATCH(ROWS($V$2:V141),$V$2:$V$1001,0),0), INDEX($AC$1004:$AS$1004,1,MATCH(COLUMNS($AC$1006:AR1006),$AC$1006:$AS$1006,0)))),"Fix")))</f>
        <v xml:space="preserve"> </v>
      </c>
      <c r="R141" s="4" t="str">
        <f ca="1">IF(OR(INDEX($W$2:$W$1001,MATCH(ROWS($V$2:V141),$V$2:$V$1001,0),1)&gt;=100000,INDEX($AC$1005:$AS$1005,1,MATCH(COLUMNS($AC$1006:AS1006),$AC$1006:$AS$1006,0))&gt;=100000), " ",IF(INDEX($AC$2:$AS$1001,MATCH(ROWS($V$2:V141),$V$2:$V$1001,0),MATCH(COLUMNS($AC$1006:AS1006),$AC$1006:$AS$1006,0)), HYPERLINK("#",""), HYPERLINK(CONCATENATE("#metadata!", ADDRESS(INDEX($X$2:$X$1001,MATCH(ROWS($V$2:V141),$V$2:$V$1001,0),0), INDEX($AC$1004:$AS$1004,1,MATCH(COLUMNS($AC$1006:AS1006),$AC$1006:$AS$1006,0)))),"Fix")))</f>
        <v xml:space="preserve"> </v>
      </c>
      <c r="V141">
        <v>140</v>
      </c>
      <c r="W141">
        <v>100141</v>
      </c>
      <c r="X141">
        <v>141</v>
      </c>
      <c r="Y141" t="b">
        <f t="shared" si="2"/>
        <v>1</v>
      </c>
      <c r="Z141" t="b">
        <f>COUNTBLANK(metadata!B141:R141)=COLUMNS(metadata!B141:R141)</f>
        <v>1</v>
      </c>
      <c r="AA141" t="str">
        <v/>
      </c>
      <c r="AC141" t="b">
        <f ca="1"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AD141" t="b">
        <f>IF(metadata!C141="",FALSE,ISNUMBER(VALUE(metadata!C141)))</f>
        <v>0</v>
      </c>
      <c r="AE141" t="b">
        <f>AND(IF(metadata!D141="",FALSE,TRUE),EXACT(metadata!D141,"years"))</f>
        <v>0</v>
      </c>
      <c r="AF141" t="b">
        <f>OR(AND(IF(metadata!E141="",FALSE,TRUE),OR(EXACT(metadata!E141,"not applicable"),EXACT(metadata!E141,"missing: not collected"),EXACT(metadata!E141,"missing: not provided"),EXACT(metadata!E141,"missing: restricted access"))),AND(IF(metadata!E141="",FALSE,ISNUMBER(VALUE(metadata!E141))),metadata!E141&gt;0))</f>
        <v>0</v>
      </c>
      <c r="AG141" t="b">
        <f>AND(IF(metadata!F141="",FALSE,TRUE),EXACT(metadata!F141,"Not applicable"))</f>
        <v>0</v>
      </c>
      <c r="AH141" t="b">
        <f>AND(IF(metadata!G141="",FALSE,TRUE),EXACT(metadata!G141,"urban biome"))</f>
        <v>0</v>
      </c>
      <c r="AI141" t="b">
        <f>AND(IF(metadata!H141="",FALSE,TRUE),EXACT(metadata!H141,"human-associated habitat"))</f>
        <v>0</v>
      </c>
      <c r="AJ141" t="b">
        <f>AND(IF(metadata!I141="",FALSE,TRUE),OR(EXACT(metadata!I141,"human-associated"),EXACT(metadata!I141,"human-skin"),EXACT(metadata!I141,"human-oral"),EXACT(metadata!I141,"human-gut"),EXACT(metadata!I141,"human-vaginal")))</f>
        <v>0</v>
      </c>
      <c r="AK141" t="b">
        <f>IF(metadata!J141="",FALSE,ISNUMBER(VALUE(metadata!J141)))</f>
        <v>0</v>
      </c>
      <c r="AL141" t="b">
        <f>AND(IF(metadata!K141="",FALSE,TRUE),EXACT(metadata!K141,"cm"))</f>
        <v>0</v>
      </c>
      <c r="AM141" t="b">
        <f>AND(IF(metadata!L141="",FALSE,TRUE),EXACT(metadata!L141,"human"))</f>
        <v>0</v>
      </c>
      <c r="AN141" t="b">
        <f>AND(IF(metadata!M141="",FALSE,TRUE),EXACT(metadata!M141,"Homo sapiens"))</f>
        <v>0</v>
      </c>
      <c r="AO141" t="b">
        <f>AND(IF(metadata!N141="",FALSE,TRUE),EXACT(metadata!N141,"9606"))</f>
        <v>0</v>
      </c>
      <c r="AP141" t="b">
        <f>IF(metadata!O141="",FALSE,TRUE)</f>
        <v>0</v>
      </c>
      <c r="AQ141" t="b">
        <f>IF(metadata!P141="",FALSE,TRUE)</f>
        <v>0</v>
      </c>
      <c r="AR141" t="b">
        <f>IF(metadata!Q141="",FALSE,ISNUMBER(VALUE(metadata!Q141)))</f>
        <v>0</v>
      </c>
      <c r="AS141" t="b">
        <f>AND(IF(metadata!R141="",FALSE,TRUE),EXACT(metadata!R141,"kg"))</f>
        <v>0</v>
      </c>
    </row>
    <row r="142" spans="1:45" x14ac:dyDescent="0.2">
      <c r="A142" s="5" t="str">
        <f ca="1">IF(B142=" "," ",HYPERLINK(CONCATENATE("#metadata!",ADDRESS(INDEX($X$2:$X$1001,MATCH(ROWS($V$2:V142),$V$2:$V$1001,0),0),1)),INDEX($AA$2:$AA$1001,MATCH(ROWS($V$2:V142),$V$2:$V$1001,0),0)))</f>
        <v xml:space="preserve"> </v>
      </c>
      <c r="B142" s="4" t="str">
        <f ca="1">IF(OR(INDEX($W$2:$W$1001,MATCH(ROWS($V$2:V142),$V$2:$V$1001,0),1)&gt;=100000,INDEX($AC$1005:$AS$1005,1,MATCH(COLUMNS($AC$1006:AC1006),$AC$1006:$AS$1006,0))&gt;=100000), " ",IF(INDEX($AC$2:$AS$1001,MATCH(ROWS($V$2:V142),$V$2:$V$1001,0),MATCH(COLUMNS($AC$1006:AC1006),$AC$1006:$AS$1006,0)), HYPERLINK("#",""), HYPERLINK(CONCATENATE("#metadata!", ADDRESS(INDEX($X$2:$X$1001,MATCH(ROWS($V$2:V142),$V$2:$V$1001,0),0), INDEX($AC$1004:$AS$1004,1,MATCH(COLUMNS($AC$1006:AC1006),$AC$1006:$AS$1006,0)))),"Fix")))</f>
        <v xml:space="preserve"> </v>
      </c>
      <c r="C142" s="4" t="str">
        <f ca="1">IF(OR(INDEX($W$2:$W$1001,MATCH(ROWS($V$2:V142),$V$2:$V$1001,0),1)&gt;=100000,INDEX($AC$1005:$AS$1005,1,MATCH(COLUMNS($AC$1006:AD1006),$AC$1006:$AS$1006,0))&gt;=100000), " ",IF(INDEX($AC$2:$AS$1001,MATCH(ROWS($V$2:V142),$V$2:$V$1001,0),MATCH(COLUMNS($AC$1006:AD1006),$AC$1006:$AS$1006,0)), HYPERLINK("#",""), HYPERLINK(CONCATENATE("#metadata!", ADDRESS(INDEX($X$2:$X$1001,MATCH(ROWS($V$2:V142),$V$2:$V$1001,0),0), INDEX($AC$1004:$AS$1004,1,MATCH(COLUMNS($AC$1006:AD1006),$AC$1006:$AS$1006,0)))),"Fix")))</f>
        <v xml:space="preserve"> </v>
      </c>
      <c r="D142" s="4" t="str">
        <f ca="1">IF(OR(INDEX($W$2:$W$1001,MATCH(ROWS($V$2:V142),$V$2:$V$1001,0),1)&gt;=100000,INDEX($AC$1005:$AS$1005,1,MATCH(COLUMNS($AC$1006:AE1006),$AC$1006:$AS$1006,0))&gt;=100000), " ",IF(INDEX($AC$2:$AS$1001,MATCH(ROWS($V$2:V142),$V$2:$V$1001,0),MATCH(COLUMNS($AC$1006:AE1006),$AC$1006:$AS$1006,0)), HYPERLINK("#",""), HYPERLINK(CONCATENATE("#metadata!", ADDRESS(INDEX($X$2:$X$1001,MATCH(ROWS($V$2:V142),$V$2:$V$1001,0),0), INDEX($AC$1004:$AS$1004,1,MATCH(COLUMNS($AC$1006:AE1006),$AC$1006:$AS$1006,0)))),"Fix")))</f>
        <v xml:space="preserve"> </v>
      </c>
      <c r="E142" s="4" t="str">
        <f ca="1">IF(OR(INDEX($W$2:$W$1001,MATCH(ROWS($V$2:V142),$V$2:$V$1001,0),1)&gt;=100000,INDEX($AC$1005:$AS$1005,1,MATCH(COLUMNS($AC$1006:AF1006),$AC$1006:$AS$1006,0))&gt;=100000), " ",IF(INDEX($AC$2:$AS$1001,MATCH(ROWS($V$2:V142),$V$2:$V$1001,0),MATCH(COLUMNS($AC$1006:AF1006),$AC$1006:$AS$1006,0)), HYPERLINK("#",""), HYPERLINK(CONCATENATE("#metadata!", ADDRESS(INDEX($X$2:$X$1001,MATCH(ROWS($V$2:V142),$V$2:$V$1001,0),0), INDEX($AC$1004:$AS$1004,1,MATCH(COLUMNS($AC$1006:AF1006),$AC$1006:$AS$1006,0)))),"Fix")))</f>
        <v xml:space="preserve"> </v>
      </c>
      <c r="F142" s="4" t="str">
        <f ca="1">IF(OR(INDEX($W$2:$W$1001,MATCH(ROWS($V$2:V142),$V$2:$V$1001,0),1)&gt;=100000,INDEX($AC$1005:$AS$1005,1,MATCH(COLUMNS($AC$1006:AG1006),$AC$1006:$AS$1006,0))&gt;=100000), " ",IF(INDEX($AC$2:$AS$1001,MATCH(ROWS($V$2:V142),$V$2:$V$1001,0),MATCH(COLUMNS($AC$1006:AG1006),$AC$1006:$AS$1006,0)), HYPERLINK("#",""), HYPERLINK(CONCATENATE("#metadata!", ADDRESS(INDEX($X$2:$X$1001,MATCH(ROWS($V$2:V142),$V$2:$V$1001,0),0), INDEX($AC$1004:$AS$1004,1,MATCH(COLUMNS($AC$1006:AG1006),$AC$1006:$AS$1006,0)))),"Fix")))</f>
        <v xml:space="preserve"> </v>
      </c>
      <c r="G142" s="4" t="str">
        <f ca="1">IF(OR(INDEX($W$2:$W$1001,MATCH(ROWS($V$2:V142),$V$2:$V$1001,0),1)&gt;=100000,INDEX($AC$1005:$AS$1005,1,MATCH(COLUMNS($AC$1006:AH1006),$AC$1006:$AS$1006,0))&gt;=100000), " ",IF(INDEX($AC$2:$AS$1001,MATCH(ROWS($V$2:V142),$V$2:$V$1001,0),MATCH(COLUMNS($AC$1006:AH1006),$AC$1006:$AS$1006,0)), HYPERLINK("#",""), HYPERLINK(CONCATENATE("#metadata!", ADDRESS(INDEX($X$2:$X$1001,MATCH(ROWS($V$2:V142),$V$2:$V$1001,0),0), INDEX($AC$1004:$AS$1004,1,MATCH(COLUMNS($AC$1006:AH1006),$AC$1006:$AS$1006,0)))),"Fix")))</f>
        <v xml:space="preserve"> </v>
      </c>
      <c r="H142" s="4" t="str">
        <f ca="1">IF(OR(INDEX($W$2:$W$1001,MATCH(ROWS($V$2:V142),$V$2:$V$1001,0),1)&gt;=100000,INDEX($AC$1005:$AS$1005,1,MATCH(COLUMNS($AC$1006:AI1006),$AC$1006:$AS$1006,0))&gt;=100000), " ",IF(INDEX($AC$2:$AS$1001,MATCH(ROWS($V$2:V142),$V$2:$V$1001,0),MATCH(COLUMNS($AC$1006:AI1006),$AC$1006:$AS$1006,0)), HYPERLINK("#",""), HYPERLINK(CONCATENATE("#metadata!", ADDRESS(INDEX($X$2:$X$1001,MATCH(ROWS($V$2:V142),$V$2:$V$1001,0),0), INDEX($AC$1004:$AS$1004,1,MATCH(COLUMNS($AC$1006:AI1006),$AC$1006:$AS$1006,0)))),"Fix")))</f>
        <v xml:space="preserve"> </v>
      </c>
      <c r="I142" s="4" t="str">
        <f ca="1">IF(OR(INDEX($W$2:$W$1001,MATCH(ROWS($V$2:V142),$V$2:$V$1001,0),1)&gt;=100000,INDEX($AC$1005:$AS$1005,1,MATCH(COLUMNS($AC$1006:AJ1006),$AC$1006:$AS$1006,0))&gt;=100000), " ",IF(INDEX($AC$2:$AS$1001,MATCH(ROWS($V$2:V142),$V$2:$V$1001,0),MATCH(COLUMNS($AC$1006:AJ1006),$AC$1006:$AS$1006,0)), HYPERLINK("#",""), HYPERLINK(CONCATENATE("#metadata!", ADDRESS(INDEX($X$2:$X$1001,MATCH(ROWS($V$2:V142),$V$2:$V$1001,0),0), INDEX($AC$1004:$AS$1004,1,MATCH(COLUMNS($AC$1006:AJ1006),$AC$1006:$AS$1006,0)))),"Fix")))</f>
        <v xml:space="preserve"> </v>
      </c>
      <c r="J142" s="4" t="str">
        <f ca="1">IF(OR(INDEX($W$2:$W$1001,MATCH(ROWS($V$2:V142),$V$2:$V$1001,0),1)&gt;=100000,INDEX($AC$1005:$AS$1005,1,MATCH(COLUMNS($AC$1006:AK1006),$AC$1006:$AS$1006,0))&gt;=100000), " ",IF(INDEX($AC$2:$AS$1001,MATCH(ROWS($V$2:V142),$V$2:$V$1001,0),MATCH(COLUMNS($AC$1006:AK1006),$AC$1006:$AS$1006,0)), HYPERLINK("#",""), HYPERLINK(CONCATENATE("#metadata!", ADDRESS(INDEX($X$2:$X$1001,MATCH(ROWS($V$2:V142),$V$2:$V$1001,0),0), INDEX($AC$1004:$AS$1004,1,MATCH(COLUMNS($AC$1006:AK1006),$AC$1006:$AS$1006,0)))),"Fix")))</f>
        <v xml:space="preserve"> </v>
      </c>
      <c r="K142" s="4" t="str">
        <f ca="1">IF(OR(INDEX($W$2:$W$1001,MATCH(ROWS($V$2:V142),$V$2:$V$1001,0),1)&gt;=100000,INDEX($AC$1005:$AS$1005,1,MATCH(COLUMNS($AC$1006:AL1006),$AC$1006:$AS$1006,0))&gt;=100000), " ",IF(INDEX($AC$2:$AS$1001,MATCH(ROWS($V$2:V142),$V$2:$V$1001,0),MATCH(COLUMNS($AC$1006:AL1006),$AC$1006:$AS$1006,0)), HYPERLINK("#",""), HYPERLINK(CONCATENATE("#metadata!", ADDRESS(INDEX($X$2:$X$1001,MATCH(ROWS($V$2:V142),$V$2:$V$1001,0),0), INDEX($AC$1004:$AS$1004,1,MATCH(COLUMNS($AC$1006:AL1006),$AC$1006:$AS$1006,0)))),"Fix")))</f>
        <v xml:space="preserve"> </v>
      </c>
      <c r="L142" s="4" t="str">
        <f ca="1">IF(OR(INDEX($W$2:$W$1001,MATCH(ROWS($V$2:V142),$V$2:$V$1001,0),1)&gt;=100000,INDEX($AC$1005:$AS$1005,1,MATCH(COLUMNS($AC$1006:AM1006),$AC$1006:$AS$1006,0))&gt;=100000), " ",IF(INDEX($AC$2:$AS$1001,MATCH(ROWS($V$2:V142),$V$2:$V$1001,0),MATCH(COLUMNS($AC$1006:AM1006),$AC$1006:$AS$1006,0)), HYPERLINK("#",""), HYPERLINK(CONCATENATE("#metadata!", ADDRESS(INDEX($X$2:$X$1001,MATCH(ROWS($V$2:V142),$V$2:$V$1001,0),0), INDEX($AC$1004:$AS$1004,1,MATCH(COLUMNS($AC$1006:AM1006),$AC$1006:$AS$1006,0)))),"Fix")))</f>
        <v xml:space="preserve"> </v>
      </c>
      <c r="M142" s="4" t="str">
        <f ca="1">IF(OR(INDEX($W$2:$W$1001,MATCH(ROWS($V$2:V142),$V$2:$V$1001,0),1)&gt;=100000,INDEX($AC$1005:$AS$1005,1,MATCH(COLUMNS($AC$1006:AN1006),$AC$1006:$AS$1006,0))&gt;=100000), " ",IF(INDEX($AC$2:$AS$1001,MATCH(ROWS($V$2:V142),$V$2:$V$1001,0),MATCH(COLUMNS($AC$1006:AN1006),$AC$1006:$AS$1006,0)), HYPERLINK("#",""), HYPERLINK(CONCATENATE("#metadata!", ADDRESS(INDEX($X$2:$X$1001,MATCH(ROWS($V$2:V142),$V$2:$V$1001,0),0), INDEX($AC$1004:$AS$1004,1,MATCH(COLUMNS($AC$1006:AN1006),$AC$1006:$AS$1006,0)))),"Fix")))</f>
        <v xml:space="preserve"> </v>
      </c>
      <c r="N142" s="4" t="str">
        <f ca="1">IF(OR(INDEX($W$2:$W$1001,MATCH(ROWS($V$2:V142),$V$2:$V$1001,0),1)&gt;=100000,INDEX($AC$1005:$AS$1005,1,MATCH(COLUMNS($AC$1006:AO1006),$AC$1006:$AS$1006,0))&gt;=100000), " ",IF(INDEX($AC$2:$AS$1001,MATCH(ROWS($V$2:V142),$V$2:$V$1001,0),MATCH(COLUMNS($AC$1006:AO1006),$AC$1006:$AS$1006,0)), HYPERLINK("#",""), HYPERLINK(CONCATENATE("#metadata!", ADDRESS(INDEX($X$2:$X$1001,MATCH(ROWS($V$2:V142),$V$2:$V$1001,0),0), INDEX($AC$1004:$AS$1004,1,MATCH(COLUMNS($AC$1006:AO1006),$AC$1006:$AS$1006,0)))),"Fix")))</f>
        <v xml:space="preserve"> </v>
      </c>
      <c r="O142" s="4" t="str">
        <f ca="1">IF(OR(INDEX($W$2:$W$1001,MATCH(ROWS($V$2:V142),$V$2:$V$1001,0),1)&gt;=100000,INDEX($AC$1005:$AS$1005,1,MATCH(COLUMNS($AC$1006:AP1006),$AC$1006:$AS$1006,0))&gt;=100000), " ",IF(INDEX($AC$2:$AS$1001,MATCH(ROWS($V$2:V142),$V$2:$V$1001,0),MATCH(COLUMNS($AC$1006:AP1006),$AC$1006:$AS$1006,0)), HYPERLINK("#",""), HYPERLINK(CONCATENATE("#metadata!", ADDRESS(INDEX($X$2:$X$1001,MATCH(ROWS($V$2:V142),$V$2:$V$1001,0),0), INDEX($AC$1004:$AS$1004,1,MATCH(COLUMNS($AC$1006:AP1006),$AC$1006:$AS$1006,0)))),"Fix")))</f>
        <v xml:space="preserve"> </v>
      </c>
      <c r="P142" s="4" t="str">
        <f ca="1">IF(OR(INDEX($W$2:$W$1001,MATCH(ROWS($V$2:V142),$V$2:$V$1001,0),1)&gt;=100000,INDEX($AC$1005:$AS$1005,1,MATCH(COLUMNS($AC$1006:AQ1006),$AC$1006:$AS$1006,0))&gt;=100000), " ",IF(INDEX($AC$2:$AS$1001,MATCH(ROWS($V$2:V142),$V$2:$V$1001,0),MATCH(COLUMNS($AC$1006:AQ1006),$AC$1006:$AS$1006,0)), HYPERLINK("#",""), HYPERLINK(CONCATENATE("#metadata!", ADDRESS(INDEX($X$2:$X$1001,MATCH(ROWS($V$2:V142),$V$2:$V$1001,0),0), INDEX($AC$1004:$AS$1004,1,MATCH(COLUMNS($AC$1006:AQ1006),$AC$1006:$AS$1006,0)))),"Fix")))</f>
        <v xml:space="preserve"> </v>
      </c>
      <c r="Q142" s="4" t="str">
        <f ca="1">IF(OR(INDEX($W$2:$W$1001,MATCH(ROWS($V$2:V142),$V$2:$V$1001,0),1)&gt;=100000,INDEX($AC$1005:$AS$1005,1,MATCH(COLUMNS($AC$1006:AR1006),$AC$1006:$AS$1006,0))&gt;=100000), " ",IF(INDEX($AC$2:$AS$1001,MATCH(ROWS($V$2:V142),$V$2:$V$1001,0),MATCH(COLUMNS($AC$1006:AR1006),$AC$1006:$AS$1006,0)), HYPERLINK("#",""), HYPERLINK(CONCATENATE("#metadata!", ADDRESS(INDEX($X$2:$X$1001,MATCH(ROWS($V$2:V142),$V$2:$V$1001,0),0), INDEX($AC$1004:$AS$1004,1,MATCH(COLUMNS($AC$1006:AR1006),$AC$1006:$AS$1006,0)))),"Fix")))</f>
        <v xml:space="preserve"> </v>
      </c>
      <c r="R142" s="4" t="str">
        <f ca="1">IF(OR(INDEX($W$2:$W$1001,MATCH(ROWS($V$2:V142),$V$2:$V$1001,0),1)&gt;=100000,INDEX($AC$1005:$AS$1005,1,MATCH(COLUMNS($AC$1006:AS1006),$AC$1006:$AS$1006,0))&gt;=100000), " ",IF(INDEX($AC$2:$AS$1001,MATCH(ROWS($V$2:V142),$V$2:$V$1001,0),MATCH(COLUMNS($AC$1006:AS1006),$AC$1006:$AS$1006,0)), HYPERLINK("#",""), HYPERLINK(CONCATENATE("#metadata!", ADDRESS(INDEX($X$2:$X$1001,MATCH(ROWS($V$2:V142),$V$2:$V$1001,0),0), INDEX($AC$1004:$AS$1004,1,MATCH(COLUMNS($AC$1006:AS1006),$AC$1006:$AS$1006,0)))),"Fix")))</f>
        <v xml:space="preserve"> </v>
      </c>
      <c r="V142">
        <v>141</v>
      </c>
      <c r="W142">
        <v>100142</v>
      </c>
      <c r="X142">
        <v>142</v>
      </c>
      <c r="Y142" t="b">
        <f t="shared" si="2"/>
        <v>1</v>
      </c>
      <c r="Z142" t="b">
        <f>COUNTBLANK(metadata!B142:R142)=COLUMNS(metadata!B142:R142)</f>
        <v>1</v>
      </c>
      <c r="AA142" t="str">
        <v/>
      </c>
      <c r="AC142" t="b">
        <f ca="1"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AD142" t="b">
        <f>IF(metadata!C142="",FALSE,ISNUMBER(VALUE(metadata!C142)))</f>
        <v>0</v>
      </c>
      <c r="AE142" t="b">
        <f>AND(IF(metadata!D142="",FALSE,TRUE),EXACT(metadata!D142,"years"))</f>
        <v>0</v>
      </c>
      <c r="AF142" t="b">
        <f>OR(AND(IF(metadata!E142="",FALSE,TRUE),OR(EXACT(metadata!E142,"not applicable"),EXACT(metadata!E142,"missing: not collected"),EXACT(metadata!E142,"missing: not provided"),EXACT(metadata!E142,"missing: restricted access"))),AND(IF(metadata!E142="",FALSE,ISNUMBER(VALUE(metadata!E142))),metadata!E142&gt;0))</f>
        <v>0</v>
      </c>
      <c r="AG142" t="b">
        <f>AND(IF(metadata!F142="",FALSE,TRUE),EXACT(metadata!F142,"Not applicable"))</f>
        <v>0</v>
      </c>
      <c r="AH142" t="b">
        <f>AND(IF(metadata!G142="",FALSE,TRUE),EXACT(metadata!G142,"urban biome"))</f>
        <v>0</v>
      </c>
      <c r="AI142" t="b">
        <f>AND(IF(metadata!H142="",FALSE,TRUE),EXACT(metadata!H142,"human-associated habitat"))</f>
        <v>0</v>
      </c>
      <c r="AJ142" t="b">
        <f>AND(IF(metadata!I142="",FALSE,TRUE),OR(EXACT(metadata!I142,"human-associated"),EXACT(metadata!I142,"human-skin"),EXACT(metadata!I142,"human-oral"),EXACT(metadata!I142,"human-gut"),EXACT(metadata!I142,"human-vaginal")))</f>
        <v>0</v>
      </c>
      <c r="AK142" t="b">
        <f>IF(metadata!J142="",FALSE,ISNUMBER(VALUE(metadata!J142)))</f>
        <v>0</v>
      </c>
      <c r="AL142" t="b">
        <f>AND(IF(metadata!K142="",FALSE,TRUE),EXACT(metadata!K142,"cm"))</f>
        <v>0</v>
      </c>
      <c r="AM142" t="b">
        <f>AND(IF(metadata!L142="",FALSE,TRUE),EXACT(metadata!L142,"human"))</f>
        <v>0</v>
      </c>
      <c r="AN142" t="b">
        <f>AND(IF(metadata!M142="",FALSE,TRUE),EXACT(metadata!M142,"Homo sapiens"))</f>
        <v>0</v>
      </c>
      <c r="AO142" t="b">
        <f>AND(IF(metadata!N142="",FALSE,TRUE),EXACT(metadata!N142,"9606"))</f>
        <v>0</v>
      </c>
      <c r="AP142" t="b">
        <f>IF(metadata!O142="",FALSE,TRUE)</f>
        <v>0</v>
      </c>
      <c r="AQ142" t="b">
        <f>IF(metadata!P142="",FALSE,TRUE)</f>
        <v>0</v>
      </c>
      <c r="AR142" t="b">
        <f>IF(metadata!Q142="",FALSE,ISNUMBER(VALUE(metadata!Q142)))</f>
        <v>0</v>
      </c>
      <c r="AS142" t="b">
        <f>AND(IF(metadata!R142="",FALSE,TRUE),EXACT(metadata!R142,"kg"))</f>
        <v>0</v>
      </c>
    </row>
    <row r="143" spans="1:45" x14ac:dyDescent="0.2">
      <c r="A143" s="5" t="str">
        <f ca="1">IF(B143=" "," ",HYPERLINK(CONCATENATE("#metadata!",ADDRESS(INDEX($X$2:$X$1001,MATCH(ROWS($V$2:V143),$V$2:$V$1001,0),0),1)),INDEX($AA$2:$AA$1001,MATCH(ROWS($V$2:V143),$V$2:$V$1001,0),0)))</f>
        <v xml:space="preserve"> </v>
      </c>
      <c r="B143" s="4" t="str">
        <f ca="1">IF(OR(INDEX($W$2:$W$1001,MATCH(ROWS($V$2:V143),$V$2:$V$1001,0),1)&gt;=100000,INDEX($AC$1005:$AS$1005,1,MATCH(COLUMNS($AC$1006:AC1006),$AC$1006:$AS$1006,0))&gt;=100000), " ",IF(INDEX($AC$2:$AS$1001,MATCH(ROWS($V$2:V143),$V$2:$V$1001,0),MATCH(COLUMNS($AC$1006:AC1006),$AC$1006:$AS$1006,0)), HYPERLINK("#",""), HYPERLINK(CONCATENATE("#metadata!", ADDRESS(INDEX($X$2:$X$1001,MATCH(ROWS($V$2:V143),$V$2:$V$1001,0),0), INDEX($AC$1004:$AS$1004,1,MATCH(COLUMNS($AC$1006:AC1006),$AC$1006:$AS$1006,0)))),"Fix")))</f>
        <v xml:space="preserve"> </v>
      </c>
      <c r="C143" s="4" t="str">
        <f ca="1">IF(OR(INDEX($W$2:$W$1001,MATCH(ROWS($V$2:V143),$V$2:$V$1001,0),1)&gt;=100000,INDEX($AC$1005:$AS$1005,1,MATCH(COLUMNS($AC$1006:AD1006),$AC$1006:$AS$1006,0))&gt;=100000), " ",IF(INDEX($AC$2:$AS$1001,MATCH(ROWS($V$2:V143),$V$2:$V$1001,0),MATCH(COLUMNS($AC$1006:AD1006),$AC$1006:$AS$1006,0)), HYPERLINK("#",""), HYPERLINK(CONCATENATE("#metadata!", ADDRESS(INDEX($X$2:$X$1001,MATCH(ROWS($V$2:V143),$V$2:$V$1001,0),0), INDEX($AC$1004:$AS$1004,1,MATCH(COLUMNS($AC$1006:AD1006),$AC$1006:$AS$1006,0)))),"Fix")))</f>
        <v xml:space="preserve"> </v>
      </c>
      <c r="D143" s="4" t="str">
        <f ca="1">IF(OR(INDEX($W$2:$W$1001,MATCH(ROWS($V$2:V143),$V$2:$V$1001,0),1)&gt;=100000,INDEX($AC$1005:$AS$1005,1,MATCH(COLUMNS($AC$1006:AE1006),$AC$1006:$AS$1006,0))&gt;=100000), " ",IF(INDEX($AC$2:$AS$1001,MATCH(ROWS($V$2:V143),$V$2:$V$1001,0),MATCH(COLUMNS($AC$1006:AE1006),$AC$1006:$AS$1006,0)), HYPERLINK("#",""), HYPERLINK(CONCATENATE("#metadata!", ADDRESS(INDEX($X$2:$X$1001,MATCH(ROWS($V$2:V143),$V$2:$V$1001,0),0), INDEX($AC$1004:$AS$1004,1,MATCH(COLUMNS($AC$1006:AE1006),$AC$1006:$AS$1006,0)))),"Fix")))</f>
        <v xml:space="preserve"> </v>
      </c>
      <c r="E143" s="4" t="str">
        <f ca="1">IF(OR(INDEX($W$2:$W$1001,MATCH(ROWS($V$2:V143),$V$2:$V$1001,0),1)&gt;=100000,INDEX($AC$1005:$AS$1005,1,MATCH(COLUMNS($AC$1006:AF1006),$AC$1006:$AS$1006,0))&gt;=100000), " ",IF(INDEX($AC$2:$AS$1001,MATCH(ROWS($V$2:V143),$V$2:$V$1001,0),MATCH(COLUMNS($AC$1006:AF1006),$AC$1006:$AS$1006,0)), HYPERLINK("#",""), HYPERLINK(CONCATENATE("#metadata!", ADDRESS(INDEX($X$2:$X$1001,MATCH(ROWS($V$2:V143),$V$2:$V$1001,0),0), INDEX($AC$1004:$AS$1004,1,MATCH(COLUMNS($AC$1006:AF1006),$AC$1006:$AS$1006,0)))),"Fix")))</f>
        <v xml:space="preserve"> </v>
      </c>
      <c r="F143" s="4" t="str">
        <f ca="1">IF(OR(INDEX($W$2:$W$1001,MATCH(ROWS($V$2:V143),$V$2:$V$1001,0),1)&gt;=100000,INDEX($AC$1005:$AS$1005,1,MATCH(COLUMNS($AC$1006:AG1006),$AC$1006:$AS$1006,0))&gt;=100000), " ",IF(INDEX($AC$2:$AS$1001,MATCH(ROWS($V$2:V143),$V$2:$V$1001,0),MATCH(COLUMNS($AC$1006:AG1006),$AC$1006:$AS$1006,0)), HYPERLINK("#",""), HYPERLINK(CONCATENATE("#metadata!", ADDRESS(INDEX($X$2:$X$1001,MATCH(ROWS($V$2:V143),$V$2:$V$1001,0),0), INDEX($AC$1004:$AS$1004,1,MATCH(COLUMNS($AC$1006:AG1006),$AC$1006:$AS$1006,0)))),"Fix")))</f>
        <v xml:space="preserve"> </v>
      </c>
      <c r="G143" s="4" t="str">
        <f ca="1">IF(OR(INDEX($W$2:$W$1001,MATCH(ROWS($V$2:V143),$V$2:$V$1001,0),1)&gt;=100000,INDEX($AC$1005:$AS$1005,1,MATCH(COLUMNS($AC$1006:AH1006),$AC$1006:$AS$1006,0))&gt;=100000), " ",IF(INDEX($AC$2:$AS$1001,MATCH(ROWS($V$2:V143),$V$2:$V$1001,0),MATCH(COLUMNS($AC$1006:AH1006),$AC$1006:$AS$1006,0)), HYPERLINK("#",""), HYPERLINK(CONCATENATE("#metadata!", ADDRESS(INDEX($X$2:$X$1001,MATCH(ROWS($V$2:V143),$V$2:$V$1001,0),0), INDEX($AC$1004:$AS$1004,1,MATCH(COLUMNS($AC$1006:AH1006),$AC$1006:$AS$1006,0)))),"Fix")))</f>
        <v xml:space="preserve"> </v>
      </c>
      <c r="H143" s="4" t="str">
        <f ca="1">IF(OR(INDEX($W$2:$W$1001,MATCH(ROWS($V$2:V143),$V$2:$V$1001,0),1)&gt;=100000,INDEX($AC$1005:$AS$1005,1,MATCH(COLUMNS($AC$1006:AI1006),$AC$1006:$AS$1006,0))&gt;=100000), " ",IF(INDEX($AC$2:$AS$1001,MATCH(ROWS($V$2:V143),$V$2:$V$1001,0),MATCH(COLUMNS($AC$1006:AI1006),$AC$1006:$AS$1006,0)), HYPERLINK("#",""), HYPERLINK(CONCATENATE("#metadata!", ADDRESS(INDEX($X$2:$X$1001,MATCH(ROWS($V$2:V143),$V$2:$V$1001,0),0), INDEX($AC$1004:$AS$1004,1,MATCH(COLUMNS($AC$1006:AI1006),$AC$1006:$AS$1006,0)))),"Fix")))</f>
        <v xml:space="preserve"> </v>
      </c>
      <c r="I143" s="4" t="str">
        <f ca="1">IF(OR(INDEX($W$2:$W$1001,MATCH(ROWS($V$2:V143),$V$2:$V$1001,0),1)&gt;=100000,INDEX($AC$1005:$AS$1005,1,MATCH(COLUMNS($AC$1006:AJ1006),$AC$1006:$AS$1006,0))&gt;=100000), " ",IF(INDEX($AC$2:$AS$1001,MATCH(ROWS($V$2:V143),$V$2:$V$1001,0),MATCH(COLUMNS($AC$1006:AJ1006),$AC$1006:$AS$1006,0)), HYPERLINK("#",""), HYPERLINK(CONCATENATE("#metadata!", ADDRESS(INDEX($X$2:$X$1001,MATCH(ROWS($V$2:V143),$V$2:$V$1001,0),0), INDEX($AC$1004:$AS$1004,1,MATCH(COLUMNS($AC$1006:AJ1006),$AC$1006:$AS$1006,0)))),"Fix")))</f>
        <v xml:space="preserve"> </v>
      </c>
      <c r="J143" s="4" t="str">
        <f ca="1">IF(OR(INDEX($W$2:$W$1001,MATCH(ROWS($V$2:V143),$V$2:$V$1001,0),1)&gt;=100000,INDEX($AC$1005:$AS$1005,1,MATCH(COLUMNS($AC$1006:AK1006),$AC$1006:$AS$1006,0))&gt;=100000), " ",IF(INDEX($AC$2:$AS$1001,MATCH(ROWS($V$2:V143),$V$2:$V$1001,0),MATCH(COLUMNS($AC$1006:AK1006),$AC$1006:$AS$1006,0)), HYPERLINK("#",""), HYPERLINK(CONCATENATE("#metadata!", ADDRESS(INDEX($X$2:$X$1001,MATCH(ROWS($V$2:V143),$V$2:$V$1001,0),0), INDEX($AC$1004:$AS$1004,1,MATCH(COLUMNS($AC$1006:AK1006),$AC$1006:$AS$1006,0)))),"Fix")))</f>
        <v xml:space="preserve"> </v>
      </c>
      <c r="K143" s="4" t="str">
        <f ca="1">IF(OR(INDEX($W$2:$W$1001,MATCH(ROWS($V$2:V143),$V$2:$V$1001,0),1)&gt;=100000,INDEX($AC$1005:$AS$1005,1,MATCH(COLUMNS($AC$1006:AL1006),$AC$1006:$AS$1006,0))&gt;=100000), " ",IF(INDEX($AC$2:$AS$1001,MATCH(ROWS($V$2:V143),$V$2:$V$1001,0),MATCH(COLUMNS($AC$1006:AL1006),$AC$1006:$AS$1006,0)), HYPERLINK("#",""), HYPERLINK(CONCATENATE("#metadata!", ADDRESS(INDEX($X$2:$X$1001,MATCH(ROWS($V$2:V143),$V$2:$V$1001,0),0), INDEX($AC$1004:$AS$1004,1,MATCH(COLUMNS($AC$1006:AL1006),$AC$1006:$AS$1006,0)))),"Fix")))</f>
        <v xml:space="preserve"> </v>
      </c>
      <c r="L143" s="4" t="str">
        <f ca="1">IF(OR(INDEX($W$2:$W$1001,MATCH(ROWS($V$2:V143),$V$2:$V$1001,0),1)&gt;=100000,INDEX($AC$1005:$AS$1005,1,MATCH(COLUMNS($AC$1006:AM1006),$AC$1006:$AS$1006,0))&gt;=100000), " ",IF(INDEX($AC$2:$AS$1001,MATCH(ROWS($V$2:V143),$V$2:$V$1001,0),MATCH(COLUMNS($AC$1006:AM1006),$AC$1006:$AS$1006,0)), HYPERLINK("#",""), HYPERLINK(CONCATENATE("#metadata!", ADDRESS(INDEX($X$2:$X$1001,MATCH(ROWS($V$2:V143),$V$2:$V$1001,0),0), INDEX($AC$1004:$AS$1004,1,MATCH(COLUMNS($AC$1006:AM1006),$AC$1006:$AS$1006,0)))),"Fix")))</f>
        <v xml:space="preserve"> </v>
      </c>
      <c r="M143" s="4" t="str">
        <f ca="1">IF(OR(INDEX($W$2:$W$1001,MATCH(ROWS($V$2:V143),$V$2:$V$1001,0),1)&gt;=100000,INDEX($AC$1005:$AS$1005,1,MATCH(COLUMNS($AC$1006:AN1006),$AC$1006:$AS$1006,0))&gt;=100000), " ",IF(INDEX($AC$2:$AS$1001,MATCH(ROWS($V$2:V143),$V$2:$V$1001,0),MATCH(COLUMNS($AC$1006:AN1006),$AC$1006:$AS$1006,0)), HYPERLINK("#",""), HYPERLINK(CONCATENATE("#metadata!", ADDRESS(INDEX($X$2:$X$1001,MATCH(ROWS($V$2:V143),$V$2:$V$1001,0),0), INDEX($AC$1004:$AS$1004,1,MATCH(COLUMNS($AC$1006:AN1006),$AC$1006:$AS$1006,0)))),"Fix")))</f>
        <v xml:space="preserve"> </v>
      </c>
      <c r="N143" s="4" t="str">
        <f ca="1">IF(OR(INDEX($W$2:$W$1001,MATCH(ROWS($V$2:V143),$V$2:$V$1001,0),1)&gt;=100000,INDEX($AC$1005:$AS$1005,1,MATCH(COLUMNS($AC$1006:AO1006),$AC$1006:$AS$1006,0))&gt;=100000), " ",IF(INDEX($AC$2:$AS$1001,MATCH(ROWS($V$2:V143),$V$2:$V$1001,0),MATCH(COLUMNS($AC$1006:AO1006),$AC$1006:$AS$1006,0)), HYPERLINK("#",""), HYPERLINK(CONCATENATE("#metadata!", ADDRESS(INDEX($X$2:$X$1001,MATCH(ROWS($V$2:V143),$V$2:$V$1001,0),0), INDEX($AC$1004:$AS$1004,1,MATCH(COLUMNS($AC$1006:AO1006),$AC$1006:$AS$1006,0)))),"Fix")))</f>
        <v xml:space="preserve"> </v>
      </c>
      <c r="O143" s="4" t="str">
        <f ca="1">IF(OR(INDEX($W$2:$W$1001,MATCH(ROWS($V$2:V143),$V$2:$V$1001,0),1)&gt;=100000,INDEX($AC$1005:$AS$1005,1,MATCH(COLUMNS($AC$1006:AP1006),$AC$1006:$AS$1006,0))&gt;=100000), " ",IF(INDEX($AC$2:$AS$1001,MATCH(ROWS($V$2:V143),$V$2:$V$1001,0),MATCH(COLUMNS($AC$1006:AP1006),$AC$1006:$AS$1006,0)), HYPERLINK("#",""), HYPERLINK(CONCATENATE("#metadata!", ADDRESS(INDEX($X$2:$X$1001,MATCH(ROWS($V$2:V143),$V$2:$V$1001,0),0), INDEX($AC$1004:$AS$1004,1,MATCH(COLUMNS($AC$1006:AP1006),$AC$1006:$AS$1006,0)))),"Fix")))</f>
        <v xml:space="preserve"> </v>
      </c>
      <c r="P143" s="4" t="str">
        <f ca="1">IF(OR(INDEX($W$2:$W$1001,MATCH(ROWS($V$2:V143),$V$2:$V$1001,0),1)&gt;=100000,INDEX($AC$1005:$AS$1005,1,MATCH(COLUMNS($AC$1006:AQ1006),$AC$1006:$AS$1006,0))&gt;=100000), " ",IF(INDEX($AC$2:$AS$1001,MATCH(ROWS($V$2:V143),$V$2:$V$1001,0),MATCH(COLUMNS($AC$1006:AQ1006),$AC$1006:$AS$1006,0)), HYPERLINK("#",""), HYPERLINK(CONCATENATE("#metadata!", ADDRESS(INDEX($X$2:$X$1001,MATCH(ROWS($V$2:V143),$V$2:$V$1001,0),0), INDEX($AC$1004:$AS$1004,1,MATCH(COLUMNS($AC$1006:AQ1006),$AC$1006:$AS$1006,0)))),"Fix")))</f>
        <v xml:space="preserve"> </v>
      </c>
      <c r="Q143" s="4" t="str">
        <f ca="1">IF(OR(INDEX($W$2:$W$1001,MATCH(ROWS($V$2:V143),$V$2:$V$1001,0),1)&gt;=100000,INDEX($AC$1005:$AS$1005,1,MATCH(COLUMNS($AC$1006:AR1006),$AC$1006:$AS$1006,0))&gt;=100000), " ",IF(INDEX($AC$2:$AS$1001,MATCH(ROWS($V$2:V143),$V$2:$V$1001,0),MATCH(COLUMNS($AC$1006:AR1006),$AC$1006:$AS$1006,0)), HYPERLINK("#",""), HYPERLINK(CONCATENATE("#metadata!", ADDRESS(INDEX($X$2:$X$1001,MATCH(ROWS($V$2:V143),$V$2:$V$1001,0),0), INDEX($AC$1004:$AS$1004,1,MATCH(COLUMNS($AC$1006:AR1006),$AC$1006:$AS$1006,0)))),"Fix")))</f>
        <v xml:space="preserve"> </v>
      </c>
      <c r="R143" s="4" t="str">
        <f ca="1">IF(OR(INDEX($W$2:$W$1001,MATCH(ROWS($V$2:V143),$V$2:$V$1001,0),1)&gt;=100000,INDEX($AC$1005:$AS$1005,1,MATCH(COLUMNS($AC$1006:AS1006),$AC$1006:$AS$1006,0))&gt;=100000), " ",IF(INDEX($AC$2:$AS$1001,MATCH(ROWS($V$2:V143),$V$2:$V$1001,0),MATCH(COLUMNS($AC$1006:AS1006),$AC$1006:$AS$1006,0)), HYPERLINK("#",""), HYPERLINK(CONCATENATE("#metadata!", ADDRESS(INDEX($X$2:$X$1001,MATCH(ROWS($V$2:V143),$V$2:$V$1001,0),0), INDEX($AC$1004:$AS$1004,1,MATCH(COLUMNS($AC$1006:AS1006),$AC$1006:$AS$1006,0)))),"Fix")))</f>
        <v xml:space="preserve"> </v>
      </c>
      <c r="V143">
        <v>142</v>
      </c>
      <c r="W143">
        <v>100143</v>
      </c>
      <c r="X143">
        <v>143</v>
      </c>
      <c r="Y143" t="b">
        <f t="shared" si="2"/>
        <v>1</v>
      </c>
      <c r="Z143" t="b">
        <f>COUNTBLANK(metadata!B143:R143)=COLUMNS(metadata!B143:R143)</f>
        <v>1</v>
      </c>
      <c r="AA143" t="str">
        <v/>
      </c>
      <c r="AC143" t="b">
        <f ca="1"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AD143" t="b">
        <f>IF(metadata!C143="",FALSE,ISNUMBER(VALUE(metadata!C143)))</f>
        <v>0</v>
      </c>
      <c r="AE143" t="b">
        <f>AND(IF(metadata!D143="",FALSE,TRUE),EXACT(metadata!D143,"years"))</f>
        <v>0</v>
      </c>
      <c r="AF143" t="b">
        <f>OR(AND(IF(metadata!E143="",FALSE,TRUE),OR(EXACT(metadata!E143,"not applicable"),EXACT(metadata!E143,"missing: not collected"),EXACT(metadata!E143,"missing: not provided"),EXACT(metadata!E143,"missing: restricted access"))),AND(IF(metadata!E143="",FALSE,ISNUMBER(VALUE(metadata!E143))),metadata!E143&gt;0))</f>
        <v>0</v>
      </c>
      <c r="AG143" t="b">
        <f>AND(IF(metadata!F143="",FALSE,TRUE),EXACT(metadata!F143,"Not applicable"))</f>
        <v>0</v>
      </c>
      <c r="AH143" t="b">
        <f>AND(IF(metadata!G143="",FALSE,TRUE),EXACT(metadata!G143,"urban biome"))</f>
        <v>0</v>
      </c>
      <c r="AI143" t="b">
        <f>AND(IF(metadata!H143="",FALSE,TRUE),EXACT(metadata!H143,"human-associated habitat"))</f>
        <v>0</v>
      </c>
      <c r="AJ143" t="b">
        <f>AND(IF(metadata!I143="",FALSE,TRUE),OR(EXACT(metadata!I143,"human-associated"),EXACT(metadata!I143,"human-skin"),EXACT(metadata!I143,"human-oral"),EXACT(metadata!I143,"human-gut"),EXACT(metadata!I143,"human-vaginal")))</f>
        <v>0</v>
      </c>
      <c r="AK143" t="b">
        <f>IF(metadata!J143="",FALSE,ISNUMBER(VALUE(metadata!J143)))</f>
        <v>0</v>
      </c>
      <c r="AL143" t="b">
        <f>AND(IF(metadata!K143="",FALSE,TRUE),EXACT(metadata!K143,"cm"))</f>
        <v>0</v>
      </c>
      <c r="AM143" t="b">
        <f>AND(IF(metadata!L143="",FALSE,TRUE),EXACT(metadata!L143,"human"))</f>
        <v>0</v>
      </c>
      <c r="AN143" t="b">
        <f>AND(IF(metadata!M143="",FALSE,TRUE),EXACT(metadata!M143,"Homo sapiens"))</f>
        <v>0</v>
      </c>
      <c r="AO143" t="b">
        <f>AND(IF(metadata!N143="",FALSE,TRUE),EXACT(metadata!N143,"9606"))</f>
        <v>0</v>
      </c>
      <c r="AP143" t="b">
        <f>IF(metadata!O143="",FALSE,TRUE)</f>
        <v>0</v>
      </c>
      <c r="AQ143" t="b">
        <f>IF(metadata!P143="",FALSE,TRUE)</f>
        <v>0</v>
      </c>
      <c r="AR143" t="b">
        <f>IF(metadata!Q143="",FALSE,ISNUMBER(VALUE(metadata!Q143)))</f>
        <v>0</v>
      </c>
      <c r="AS143" t="b">
        <f>AND(IF(metadata!R143="",FALSE,TRUE),EXACT(metadata!R143,"kg"))</f>
        <v>0</v>
      </c>
    </row>
    <row r="144" spans="1:45" x14ac:dyDescent="0.2">
      <c r="A144" s="5" t="str">
        <f ca="1">IF(B144=" "," ",HYPERLINK(CONCATENATE("#metadata!",ADDRESS(INDEX($X$2:$X$1001,MATCH(ROWS($V$2:V144),$V$2:$V$1001,0),0),1)),INDEX($AA$2:$AA$1001,MATCH(ROWS($V$2:V144),$V$2:$V$1001,0),0)))</f>
        <v xml:space="preserve"> </v>
      </c>
      <c r="B144" s="4" t="str">
        <f ca="1">IF(OR(INDEX($W$2:$W$1001,MATCH(ROWS($V$2:V144),$V$2:$V$1001,0),1)&gt;=100000,INDEX($AC$1005:$AS$1005,1,MATCH(COLUMNS($AC$1006:AC1006),$AC$1006:$AS$1006,0))&gt;=100000), " ",IF(INDEX($AC$2:$AS$1001,MATCH(ROWS($V$2:V144),$V$2:$V$1001,0),MATCH(COLUMNS($AC$1006:AC1006),$AC$1006:$AS$1006,0)), HYPERLINK("#",""), HYPERLINK(CONCATENATE("#metadata!", ADDRESS(INDEX($X$2:$X$1001,MATCH(ROWS($V$2:V144),$V$2:$V$1001,0),0), INDEX($AC$1004:$AS$1004,1,MATCH(COLUMNS($AC$1006:AC1006),$AC$1006:$AS$1006,0)))),"Fix")))</f>
        <v xml:space="preserve"> </v>
      </c>
      <c r="C144" s="4" t="str">
        <f ca="1">IF(OR(INDEX($W$2:$W$1001,MATCH(ROWS($V$2:V144),$V$2:$V$1001,0),1)&gt;=100000,INDEX($AC$1005:$AS$1005,1,MATCH(COLUMNS($AC$1006:AD1006),$AC$1006:$AS$1006,0))&gt;=100000), " ",IF(INDEX($AC$2:$AS$1001,MATCH(ROWS($V$2:V144),$V$2:$V$1001,0),MATCH(COLUMNS($AC$1006:AD1006),$AC$1006:$AS$1006,0)), HYPERLINK("#",""), HYPERLINK(CONCATENATE("#metadata!", ADDRESS(INDEX($X$2:$X$1001,MATCH(ROWS($V$2:V144),$V$2:$V$1001,0),0), INDEX($AC$1004:$AS$1004,1,MATCH(COLUMNS($AC$1006:AD1006),$AC$1006:$AS$1006,0)))),"Fix")))</f>
        <v xml:space="preserve"> </v>
      </c>
      <c r="D144" s="4" t="str">
        <f ca="1">IF(OR(INDEX($W$2:$W$1001,MATCH(ROWS($V$2:V144),$V$2:$V$1001,0),1)&gt;=100000,INDEX($AC$1005:$AS$1005,1,MATCH(COLUMNS($AC$1006:AE1006),$AC$1006:$AS$1006,0))&gt;=100000), " ",IF(INDEX($AC$2:$AS$1001,MATCH(ROWS($V$2:V144),$V$2:$V$1001,0),MATCH(COLUMNS($AC$1006:AE1006),$AC$1006:$AS$1006,0)), HYPERLINK("#",""), HYPERLINK(CONCATENATE("#metadata!", ADDRESS(INDEX($X$2:$X$1001,MATCH(ROWS($V$2:V144),$V$2:$V$1001,0),0), INDEX($AC$1004:$AS$1004,1,MATCH(COLUMNS($AC$1006:AE1006),$AC$1006:$AS$1006,0)))),"Fix")))</f>
        <v xml:space="preserve"> </v>
      </c>
      <c r="E144" s="4" t="str">
        <f ca="1">IF(OR(INDEX($W$2:$W$1001,MATCH(ROWS($V$2:V144),$V$2:$V$1001,0),1)&gt;=100000,INDEX($AC$1005:$AS$1005,1,MATCH(COLUMNS($AC$1006:AF1006),$AC$1006:$AS$1006,0))&gt;=100000), " ",IF(INDEX($AC$2:$AS$1001,MATCH(ROWS($V$2:V144),$V$2:$V$1001,0),MATCH(COLUMNS($AC$1006:AF1006),$AC$1006:$AS$1006,0)), HYPERLINK("#",""), HYPERLINK(CONCATENATE("#metadata!", ADDRESS(INDEX($X$2:$X$1001,MATCH(ROWS($V$2:V144),$V$2:$V$1001,0),0), INDEX($AC$1004:$AS$1004,1,MATCH(COLUMNS($AC$1006:AF1006),$AC$1006:$AS$1006,0)))),"Fix")))</f>
        <v xml:space="preserve"> </v>
      </c>
      <c r="F144" s="4" t="str">
        <f ca="1">IF(OR(INDEX($W$2:$W$1001,MATCH(ROWS($V$2:V144),$V$2:$V$1001,0),1)&gt;=100000,INDEX($AC$1005:$AS$1005,1,MATCH(COLUMNS($AC$1006:AG1006),$AC$1006:$AS$1006,0))&gt;=100000), " ",IF(INDEX($AC$2:$AS$1001,MATCH(ROWS($V$2:V144),$V$2:$V$1001,0),MATCH(COLUMNS($AC$1006:AG1006),$AC$1006:$AS$1006,0)), HYPERLINK("#",""), HYPERLINK(CONCATENATE("#metadata!", ADDRESS(INDEX($X$2:$X$1001,MATCH(ROWS($V$2:V144),$V$2:$V$1001,0),0), INDEX($AC$1004:$AS$1004,1,MATCH(COLUMNS($AC$1006:AG1006),$AC$1006:$AS$1006,0)))),"Fix")))</f>
        <v xml:space="preserve"> </v>
      </c>
      <c r="G144" s="4" t="str">
        <f ca="1">IF(OR(INDEX($W$2:$W$1001,MATCH(ROWS($V$2:V144),$V$2:$V$1001,0),1)&gt;=100000,INDEX($AC$1005:$AS$1005,1,MATCH(COLUMNS($AC$1006:AH1006),$AC$1006:$AS$1006,0))&gt;=100000), " ",IF(INDEX($AC$2:$AS$1001,MATCH(ROWS($V$2:V144),$V$2:$V$1001,0),MATCH(COLUMNS($AC$1006:AH1006),$AC$1006:$AS$1006,0)), HYPERLINK("#",""), HYPERLINK(CONCATENATE("#metadata!", ADDRESS(INDEX($X$2:$X$1001,MATCH(ROWS($V$2:V144),$V$2:$V$1001,0),0), INDEX($AC$1004:$AS$1004,1,MATCH(COLUMNS($AC$1006:AH1006),$AC$1006:$AS$1006,0)))),"Fix")))</f>
        <v xml:space="preserve"> </v>
      </c>
      <c r="H144" s="4" t="str">
        <f ca="1">IF(OR(INDEX($W$2:$W$1001,MATCH(ROWS($V$2:V144),$V$2:$V$1001,0),1)&gt;=100000,INDEX($AC$1005:$AS$1005,1,MATCH(COLUMNS($AC$1006:AI1006),$AC$1006:$AS$1006,0))&gt;=100000), " ",IF(INDEX($AC$2:$AS$1001,MATCH(ROWS($V$2:V144),$V$2:$V$1001,0),MATCH(COLUMNS($AC$1006:AI1006),$AC$1006:$AS$1006,0)), HYPERLINK("#",""), HYPERLINK(CONCATENATE("#metadata!", ADDRESS(INDEX($X$2:$X$1001,MATCH(ROWS($V$2:V144),$V$2:$V$1001,0),0), INDEX($AC$1004:$AS$1004,1,MATCH(COLUMNS($AC$1006:AI1006),$AC$1006:$AS$1006,0)))),"Fix")))</f>
        <v xml:space="preserve"> </v>
      </c>
      <c r="I144" s="4" t="str">
        <f ca="1">IF(OR(INDEX($W$2:$W$1001,MATCH(ROWS($V$2:V144),$V$2:$V$1001,0),1)&gt;=100000,INDEX($AC$1005:$AS$1005,1,MATCH(COLUMNS($AC$1006:AJ1006),$AC$1006:$AS$1006,0))&gt;=100000), " ",IF(INDEX($AC$2:$AS$1001,MATCH(ROWS($V$2:V144),$V$2:$V$1001,0),MATCH(COLUMNS($AC$1006:AJ1006),$AC$1006:$AS$1006,0)), HYPERLINK("#",""), HYPERLINK(CONCATENATE("#metadata!", ADDRESS(INDEX($X$2:$X$1001,MATCH(ROWS($V$2:V144),$V$2:$V$1001,0),0), INDEX($AC$1004:$AS$1004,1,MATCH(COLUMNS($AC$1006:AJ1006),$AC$1006:$AS$1006,0)))),"Fix")))</f>
        <v xml:space="preserve"> </v>
      </c>
      <c r="J144" s="4" t="str">
        <f ca="1">IF(OR(INDEX($W$2:$W$1001,MATCH(ROWS($V$2:V144),$V$2:$V$1001,0),1)&gt;=100000,INDEX($AC$1005:$AS$1005,1,MATCH(COLUMNS($AC$1006:AK1006),$AC$1006:$AS$1006,0))&gt;=100000), " ",IF(INDEX($AC$2:$AS$1001,MATCH(ROWS($V$2:V144),$V$2:$V$1001,0),MATCH(COLUMNS($AC$1006:AK1006),$AC$1006:$AS$1006,0)), HYPERLINK("#",""), HYPERLINK(CONCATENATE("#metadata!", ADDRESS(INDEX($X$2:$X$1001,MATCH(ROWS($V$2:V144),$V$2:$V$1001,0),0), INDEX($AC$1004:$AS$1004,1,MATCH(COLUMNS($AC$1006:AK1006),$AC$1006:$AS$1006,0)))),"Fix")))</f>
        <v xml:space="preserve"> </v>
      </c>
      <c r="K144" s="4" t="str">
        <f ca="1">IF(OR(INDEX($W$2:$W$1001,MATCH(ROWS($V$2:V144),$V$2:$V$1001,0),1)&gt;=100000,INDEX($AC$1005:$AS$1005,1,MATCH(COLUMNS($AC$1006:AL1006),$AC$1006:$AS$1006,0))&gt;=100000), " ",IF(INDEX($AC$2:$AS$1001,MATCH(ROWS($V$2:V144),$V$2:$V$1001,0),MATCH(COLUMNS($AC$1006:AL1006),$AC$1006:$AS$1006,0)), HYPERLINK("#",""), HYPERLINK(CONCATENATE("#metadata!", ADDRESS(INDEX($X$2:$X$1001,MATCH(ROWS($V$2:V144),$V$2:$V$1001,0),0), INDEX($AC$1004:$AS$1004,1,MATCH(COLUMNS($AC$1006:AL1006),$AC$1006:$AS$1006,0)))),"Fix")))</f>
        <v xml:space="preserve"> </v>
      </c>
      <c r="L144" s="4" t="str">
        <f ca="1">IF(OR(INDEX($W$2:$W$1001,MATCH(ROWS($V$2:V144),$V$2:$V$1001,0),1)&gt;=100000,INDEX($AC$1005:$AS$1005,1,MATCH(COLUMNS($AC$1006:AM1006),$AC$1006:$AS$1006,0))&gt;=100000), " ",IF(INDEX($AC$2:$AS$1001,MATCH(ROWS($V$2:V144),$V$2:$V$1001,0),MATCH(COLUMNS($AC$1006:AM1006),$AC$1006:$AS$1006,0)), HYPERLINK("#",""), HYPERLINK(CONCATENATE("#metadata!", ADDRESS(INDEX($X$2:$X$1001,MATCH(ROWS($V$2:V144),$V$2:$V$1001,0),0), INDEX($AC$1004:$AS$1004,1,MATCH(COLUMNS($AC$1006:AM1006),$AC$1006:$AS$1006,0)))),"Fix")))</f>
        <v xml:space="preserve"> </v>
      </c>
      <c r="M144" s="4" t="str">
        <f ca="1">IF(OR(INDEX($W$2:$W$1001,MATCH(ROWS($V$2:V144),$V$2:$V$1001,0),1)&gt;=100000,INDEX($AC$1005:$AS$1005,1,MATCH(COLUMNS($AC$1006:AN1006),$AC$1006:$AS$1006,0))&gt;=100000), " ",IF(INDEX($AC$2:$AS$1001,MATCH(ROWS($V$2:V144),$V$2:$V$1001,0),MATCH(COLUMNS($AC$1006:AN1006),$AC$1006:$AS$1006,0)), HYPERLINK("#",""), HYPERLINK(CONCATENATE("#metadata!", ADDRESS(INDEX($X$2:$X$1001,MATCH(ROWS($V$2:V144),$V$2:$V$1001,0),0), INDEX($AC$1004:$AS$1004,1,MATCH(COLUMNS($AC$1006:AN1006),$AC$1006:$AS$1006,0)))),"Fix")))</f>
        <v xml:space="preserve"> </v>
      </c>
      <c r="N144" s="4" t="str">
        <f ca="1">IF(OR(INDEX($W$2:$W$1001,MATCH(ROWS($V$2:V144),$V$2:$V$1001,0),1)&gt;=100000,INDEX($AC$1005:$AS$1005,1,MATCH(COLUMNS($AC$1006:AO1006),$AC$1006:$AS$1006,0))&gt;=100000), " ",IF(INDEX($AC$2:$AS$1001,MATCH(ROWS($V$2:V144),$V$2:$V$1001,0),MATCH(COLUMNS($AC$1006:AO1006),$AC$1006:$AS$1006,0)), HYPERLINK("#",""), HYPERLINK(CONCATENATE("#metadata!", ADDRESS(INDEX($X$2:$X$1001,MATCH(ROWS($V$2:V144),$V$2:$V$1001,0),0), INDEX($AC$1004:$AS$1004,1,MATCH(COLUMNS($AC$1006:AO1006),$AC$1006:$AS$1006,0)))),"Fix")))</f>
        <v xml:space="preserve"> </v>
      </c>
      <c r="O144" s="4" t="str">
        <f ca="1">IF(OR(INDEX($W$2:$W$1001,MATCH(ROWS($V$2:V144),$V$2:$V$1001,0),1)&gt;=100000,INDEX($AC$1005:$AS$1005,1,MATCH(COLUMNS($AC$1006:AP1006),$AC$1006:$AS$1006,0))&gt;=100000), " ",IF(INDEX($AC$2:$AS$1001,MATCH(ROWS($V$2:V144),$V$2:$V$1001,0),MATCH(COLUMNS($AC$1006:AP1006),$AC$1006:$AS$1006,0)), HYPERLINK("#",""), HYPERLINK(CONCATENATE("#metadata!", ADDRESS(INDEX($X$2:$X$1001,MATCH(ROWS($V$2:V144),$V$2:$V$1001,0),0), INDEX($AC$1004:$AS$1004,1,MATCH(COLUMNS($AC$1006:AP1006),$AC$1006:$AS$1006,0)))),"Fix")))</f>
        <v xml:space="preserve"> </v>
      </c>
      <c r="P144" s="4" t="str">
        <f ca="1">IF(OR(INDEX($W$2:$W$1001,MATCH(ROWS($V$2:V144),$V$2:$V$1001,0),1)&gt;=100000,INDEX($AC$1005:$AS$1005,1,MATCH(COLUMNS($AC$1006:AQ1006),$AC$1006:$AS$1006,0))&gt;=100000), " ",IF(INDEX($AC$2:$AS$1001,MATCH(ROWS($V$2:V144),$V$2:$V$1001,0),MATCH(COLUMNS($AC$1006:AQ1006),$AC$1006:$AS$1006,0)), HYPERLINK("#",""), HYPERLINK(CONCATENATE("#metadata!", ADDRESS(INDEX($X$2:$X$1001,MATCH(ROWS($V$2:V144),$V$2:$V$1001,0),0), INDEX($AC$1004:$AS$1004,1,MATCH(COLUMNS($AC$1006:AQ1006),$AC$1006:$AS$1006,0)))),"Fix")))</f>
        <v xml:space="preserve"> </v>
      </c>
      <c r="Q144" s="4" t="str">
        <f ca="1">IF(OR(INDEX($W$2:$W$1001,MATCH(ROWS($V$2:V144),$V$2:$V$1001,0),1)&gt;=100000,INDEX($AC$1005:$AS$1005,1,MATCH(COLUMNS($AC$1006:AR1006),$AC$1006:$AS$1006,0))&gt;=100000), " ",IF(INDEX($AC$2:$AS$1001,MATCH(ROWS($V$2:V144),$V$2:$V$1001,0),MATCH(COLUMNS($AC$1006:AR1006),$AC$1006:$AS$1006,0)), HYPERLINK("#",""), HYPERLINK(CONCATENATE("#metadata!", ADDRESS(INDEX($X$2:$X$1001,MATCH(ROWS($V$2:V144),$V$2:$V$1001,0),0), INDEX($AC$1004:$AS$1004,1,MATCH(COLUMNS($AC$1006:AR1006),$AC$1006:$AS$1006,0)))),"Fix")))</f>
        <v xml:space="preserve"> </v>
      </c>
      <c r="R144" s="4" t="str">
        <f ca="1">IF(OR(INDEX($W$2:$W$1001,MATCH(ROWS($V$2:V144),$V$2:$V$1001,0),1)&gt;=100000,INDEX($AC$1005:$AS$1005,1,MATCH(COLUMNS($AC$1006:AS1006),$AC$1006:$AS$1006,0))&gt;=100000), " ",IF(INDEX($AC$2:$AS$1001,MATCH(ROWS($V$2:V144),$V$2:$V$1001,0),MATCH(COLUMNS($AC$1006:AS1006),$AC$1006:$AS$1006,0)), HYPERLINK("#",""), HYPERLINK(CONCATENATE("#metadata!", ADDRESS(INDEX($X$2:$X$1001,MATCH(ROWS($V$2:V144),$V$2:$V$1001,0),0), INDEX($AC$1004:$AS$1004,1,MATCH(COLUMNS($AC$1006:AS1006),$AC$1006:$AS$1006,0)))),"Fix")))</f>
        <v xml:space="preserve"> </v>
      </c>
      <c r="V144">
        <v>143</v>
      </c>
      <c r="W144">
        <v>100144</v>
      </c>
      <c r="X144">
        <v>144</v>
      </c>
      <c r="Y144" t="b">
        <f t="shared" si="2"/>
        <v>1</v>
      </c>
      <c r="Z144" t="b">
        <f>COUNTBLANK(metadata!B144:R144)=COLUMNS(metadata!B144:R144)</f>
        <v>1</v>
      </c>
      <c r="AA144" t="str">
        <v/>
      </c>
      <c r="AC144" t="b">
        <f ca="1"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AD144" t="b">
        <f>IF(metadata!C144="",FALSE,ISNUMBER(VALUE(metadata!C144)))</f>
        <v>0</v>
      </c>
      <c r="AE144" t="b">
        <f>AND(IF(metadata!D144="",FALSE,TRUE),EXACT(metadata!D144,"years"))</f>
        <v>0</v>
      </c>
      <c r="AF144" t="b">
        <f>OR(AND(IF(metadata!E144="",FALSE,TRUE),OR(EXACT(metadata!E144,"not applicable"),EXACT(metadata!E144,"missing: not collected"),EXACT(metadata!E144,"missing: not provided"),EXACT(metadata!E144,"missing: restricted access"))),AND(IF(metadata!E144="",FALSE,ISNUMBER(VALUE(metadata!E144))),metadata!E144&gt;0))</f>
        <v>0</v>
      </c>
      <c r="AG144" t="b">
        <f>AND(IF(metadata!F144="",FALSE,TRUE),EXACT(metadata!F144,"Not applicable"))</f>
        <v>0</v>
      </c>
      <c r="AH144" t="b">
        <f>AND(IF(metadata!G144="",FALSE,TRUE),EXACT(metadata!G144,"urban biome"))</f>
        <v>0</v>
      </c>
      <c r="AI144" t="b">
        <f>AND(IF(metadata!H144="",FALSE,TRUE),EXACT(metadata!H144,"human-associated habitat"))</f>
        <v>0</v>
      </c>
      <c r="AJ144" t="b">
        <f>AND(IF(metadata!I144="",FALSE,TRUE),OR(EXACT(metadata!I144,"human-associated"),EXACT(metadata!I144,"human-skin"),EXACT(metadata!I144,"human-oral"),EXACT(metadata!I144,"human-gut"),EXACT(metadata!I144,"human-vaginal")))</f>
        <v>0</v>
      </c>
      <c r="AK144" t="b">
        <f>IF(metadata!J144="",FALSE,ISNUMBER(VALUE(metadata!J144)))</f>
        <v>0</v>
      </c>
      <c r="AL144" t="b">
        <f>AND(IF(metadata!K144="",FALSE,TRUE),EXACT(metadata!K144,"cm"))</f>
        <v>0</v>
      </c>
      <c r="AM144" t="b">
        <f>AND(IF(metadata!L144="",FALSE,TRUE),EXACT(metadata!L144,"human"))</f>
        <v>0</v>
      </c>
      <c r="AN144" t="b">
        <f>AND(IF(metadata!M144="",FALSE,TRUE),EXACT(metadata!M144,"Homo sapiens"))</f>
        <v>0</v>
      </c>
      <c r="AO144" t="b">
        <f>AND(IF(metadata!N144="",FALSE,TRUE),EXACT(metadata!N144,"9606"))</f>
        <v>0</v>
      </c>
      <c r="AP144" t="b">
        <f>IF(metadata!O144="",FALSE,TRUE)</f>
        <v>0</v>
      </c>
      <c r="AQ144" t="b">
        <f>IF(metadata!P144="",FALSE,TRUE)</f>
        <v>0</v>
      </c>
      <c r="AR144" t="b">
        <f>IF(metadata!Q144="",FALSE,ISNUMBER(VALUE(metadata!Q144)))</f>
        <v>0</v>
      </c>
      <c r="AS144" t="b">
        <f>AND(IF(metadata!R144="",FALSE,TRUE),EXACT(metadata!R144,"kg"))</f>
        <v>0</v>
      </c>
    </row>
    <row r="145" spans="1:45" x14ac:dyDescent="0.2">
      <c r="A145" s="5" t="str">
        <f ca="1">IF(B145=" "," ",HYPERLINK(CONCATENATE("#metadata!",ADDRESS(INDEX($X$2:$X$1001,MATCH(ROWS($V$2:V145),$V$2:$V$1001,0),0),1)),INDEX($AA$2:$AA$1001,MATCH(ROWS($V$2:V145),$V$2:$V$1001,0),0)))</f>
        <v xml:space="preserve"> </v>
      </c>
      <c r="B145" s="4" t="str">
        <f ca="1">IF(OR(INDEX($W$2:$W$1001,MATCH(ROWS($V$2:V145),$V$2:$V$1001,0),1)&gt;=100000,INDEX($AC$1005:$AS$1005,1,MATCH(COLUMNS($AC$1006:AC1006),$AC$1006:$AS$1006,0))&gt;=100000), " ",IF(INDEX($AC$2:$AS$1001,MATCH(ROWS($V$2:V145),$V$2:$V$1001,0),MATCH(COLUMNS($AC$1006:AC1006),$AC$1006:$AS$1006,0)), HYPERLINK("#",""), HYPERLINK(CONCATENATE("#metadata!", ADDRESS(INDEX($X$2:$X$1001,MATCH(ROWS($V$2:V145),$V$2:$V$1001,0),0), INDEX($AC$1004:$AS$1004,1,MATCH(COLUMNS($AC$1006:AC1006),$AC$1006:$AS$1006,0)))),"Fix")))</f>
        <v xml:space="preserve"> </v>
      </c>
      <c r="C145" s="4" t="str">
        <f ca="1">IF(OR(INDEX($W$2:$W$1001,MATCH(ROWS($V$2:V145),$V$2:$V$1001,0),1)&gt;=100000,INDEX($AC$1005:$AS$1005,1,MATCH(COLUMNS($AC$1006:AD1006),$AC$1006:$AS$1006,0))&gt;=100000), " ",IF(INDEX($AC$2:$AS$1001,MATCH(ROWS($V$2:V145),$V$2:$V$1001,0),MATCH(COLUMNS($AC$1006:AD1006),$AC$1006:$AS$1006,0)), HYPERLINK("#",""), HYPERLINK(CONCATENATE("#metadata!", ADDRESS(INDEX($X$2:$X$1001,MATCH(ROWS($V$2:V145),$V$2:$V$1001,0),0), INDEX($AC$1004:$AS$1004,1,MATCH(COLUMNS($AC$1006:AD1006),$AC$1006:$AS$1006,0)))),"Fix")))</f>
        <v xml:space="preserve"> </v>
      </c>
      <c r="D145" s="4" t="str">
        <f ca="1">IF(OR(INDEX($W$2:$W$1001,MATCH(ROWS($V$2:V145),$V$2:$V$1001,0),1)&gt;=100000,INDEX($AC$1005:$AS$1005,1,MATCH(COLUMNS($AC$1006:AE1006),$AC$1006:$AS$1006,0))&gt;=100000), " ",IF(INDEX($AC$2:$AS$1001,MATCH(ROWS($V$2:V145),$V$2:$V$1001,0),MATCH(COLUMNS($AC$1006:AE1006),$AC$1006:$AS$1006,0)), HYPERLINK("#",""), HYPERLINK(CONCATENATE("#metadata!", ADDRESS(INDEX($X$2:$X$1001,MATCH(ROWS($V$2:V145),$V$2:$V$1001,0),0), INDEX($AC$1004:$AS$1004,1,MATCH(COLUMNS($AC$1006:AE1006),$AC$1006:$AS$1006,0)))),"Fix")))</f>
        <v xml:space="preserve"> </v>
      </c>
      <c r="E145" s="4" t="str">
        <f ca="1">IF(OR(INDEX($W$2:$W$1001,MATCH(ROWS($V$2:V145),$V$2:$V$1001,0),1)&gt;=100000,INDEX($AC$1005:$AS$1005,1,MATCH(COLUMNS($AC$1006:AF1006),$AC$1006:$AS$1006,0))&gt;=100000), " ",IF(INDEX($AC$2:$AS$1001,MATCH(ROWS($V$2:V145),$V$2:$V$1001,0),MATCH(COLUMNS($AC$1006:AF1006),$AC$1006:$AS$1006,0)), HYPERLINK("#",""), HYPERLINK(CONCATENATE("#metadata!", ADDRESS(INDEX($X$2:$X$1001,MATCH(ROWS($V$2:V145),$V$2:$V$1001,0),0), INDEX($AC$1004:$AS$1004,1,MATCH(COLUMNS($AC$1006:AF1006),$AC$1006:$AS$1006,0)))),"Fix")))</f>
        <v xml:space="preserve"> </v>
      </c>
      <c r="F145" s="4" t="str">
        <f ca="1">IF(OR(INDEX($W$2:$W$1001,MATCH(ROWS($V$2:V145),$V$2:$V$1001,0),1)&gt;=100000,INDEX($AC$1005:$AS$1005,1,MATCH(COLUMNS($AC$1006:AG1006),$AC$1006:$AS$1006,0))&gt;=100000), " ",IF(INDEX($AC$2:$AS$1001,MATCH(ROWS($V$2:V145),$V$2:$V$1001,0),MATCH(COLUMNS($AC$1006:AG1006),$AC$1006:$AS$1006,0)), HYPERLINK("#",""), HYPERLINK(CONCATENATE("#metadata!", ADDRESS(INDEX($X$2:$X$1001,MATCH(ROWS($V$2:V145),$V$2:$V$1001,0),0), INDEX($AC$1004:$AS$1004,1,MATCH(COLUMNS($AC$1006:AG1006),$AC$1006:$AS$1006,0)))),"Fix")))</f>
        <v xml:space="preserve"> </v>
      </c>
      <c r="G145" s="4" t="str">
        <f ca="1">IF(OR(INDEX($W$2:$W$1001,MATCH(ROWS($V$2:V145),$V$2:$V$1001,0),1)&gt;=100000,INDEX($AC$1005:$AS$1005,1,MATCH(COLUMNS($AC$1006:AH1006),$AC$1006:$AS$1006,0))&gt;=100000), " ",IF(INDEX($AC$2:$AS$1001,MATCH(ROWS($V$2:V145),$V$2:$V$1001,0),MATCH(COLUMNS($AC$1006:AH1006),$AC$1006:$AS$1006,0)), HYPERLINK("#",""), HYPERLINK(CONCATENATE("#metadata!", ADDRESS(INDEX($X$2:$X$1001,MATCH(ROWS($V$2:V145),$V$2:$V$1001,0),0), INDEX($AC$1004:$AS$1004,1,MATCH(COLUMNS($AC$1006:AH1006),$AC$1006:$AS$1006,0)))),"Fix")))</f>
        <v xml:space="preserve"> </v>
      </c>
      <c r="H145" s="4" t="str">
        <f ca="1">IF(OR(INDEX($W$2:$W$1001,MATCH(ROWS($V$2:V145),$V$2:$V$1001,0),1)&gt;=100000,INDEX($AC$1005:$AS$1005,1,MATCH(COLUMNS($AC$1006:AI1006),$AC$1006:$AS$1006,0))&gt;=100000), " ",IF(INDEX($AC$2:$AS$1001,MATCH(ROWS($V$2:V145),$V$2:$V$1001,0),MATCH(COLUMNS($AC$1006:AI1006),$AC$1006:$AS$1006,0)), HYPERLINK("#",""), HYPERLINK(CONCATENATE("#metadata!", ADDRESS(INDEX($X$2:$X$1001,MATCH(ROWS($V$2:V145),$V$2:$V$1001,0),0), INDEX($AC$1004:$AS$1004,1,MATCH(COLUMNS($AC$1006:AI1006),$AC$1006:$AS$1006,0)))),"Fix")))</f>
        <v xml:space="preserve"> </v>
      </c>
      <c r="I145" s="4" t="str">
        <f ca="1">IF(OR(INDEX($W$2:$W$1001,MATCH(ROWS($V$2:V145),$V$2:$V$1001,0),1)&gt;=100000,INDEX($AC$1005:$AS$1005,1,MATCH(COLUMNS($AC$1006:AJ1006),$AC$1006:$AS$1006,0))&gt;=100000), " ",IF(INDEX($AC$2:$AS$1001,MATCH(ROWS($V$2:V145),$V$2:$V$1001,0),MATCH(COLUMNS($AC$1006:AJ1006),$AC$1006:$AS$1006,0)), HYPERLINK("#",""), HYPERLINK(CONCATENATE("#metadata!", ADDRESS(INDEX($X$2:$X$1001,MATCH(ROWS($V$2:V145),$V$2:$V$1001,0),0), INDEX($AC$1004:$AS$1004,1,MATCH(COLUMNS($AC$1006:AJ1006),$AC$1006:$AS$1006,0)))),"Fix")))</f>
        <v xml:space="preserve"> </v>
      </c>
      <c r="J145" s="4" t="str">
        <f ca="1">IF(OR(INDEX($W$2:$W$1001,MATCH(ROWS($V$2:V145),$V$2:$V$1001,0),1)&gt;=100000,INDEX($AC$1005:$AS$1005,1,MATCH(COLUMNS($AC$1006:AK1006),$AC$1006:$AS$1006,0))&gt;=100000), " ",IF(INDEX($AC$2:$AS$1001,MATCH(ROWS($V$2:V145),$V$2:$V$1001,0),MATCH(COLUMNS($AC$1006:AK1006),$AC$1006:$AS$1006,0)), HYPERLINK("#",""), HYPERLINK(CONCATENATE("#metadata!", ADDRESS(INDEX($X$2:$X$1001,MATCH(ROWS($V$2:V145),$V$2:$V$1001,0),0), INDEX($AC$1004:$AS$1004,1,MATCH(COLUMNS($AC$1006:AK1006),$AC$1006:$AS$1006,0)))),"Fix")))</f>
        <v xml:space="preserve"> </v>
      </c>
      <c r="K145" s="4" t="str">
        <f ca="1">IF(OR(INDEX($W$2:$W$1001,MATCH(ROWS($V$2:V145),$V$2:$V$1001,0),1)&gt;=100000,INDEX($AC$1005:$AS$1005,1,MATCH(COLUMNS($AC$1006:AL1006),$AC$1006:$AS$1006,0))&gt;=100000), " ",IF(INDEX($AC$2:$AS$1001,MATCH(ROWS($V$2:V145),$V$2:$V$1001,0),MATCH(COLUMNS($AC$1006:AL1006),$AC$1006:$AS$1006,0)), HYPERLINK("#",""), HYPERLINK(CONCATENATE("#metadata!", ADDRESS(INDEX($X$2:$X$1001,MATCH(ROWS($V$2:V145),$V$2:$V$1001,0),0), INDEX($AC$1004:$AS$1004,1,MATCH(COLUMNS($AC$1006:AL1006),$AC$1006:$AS$1006,0)))),"Fix")))</f>
        <v xml:space="preserve"> </v>
      </c>
      <c r="L145" s="4" t="str">
        <f ca="1">IF(OR(INDEX($W$2:$W$1001,MATCH(ROWS($V$2:V145),$V$2:$V$1001,0),1)&gt;=100000,INDEX($AC$1005:$AS$1005,1,MATCH(COLUMNS($AC$1006:AM1006),$AC$1006:$AS$1006,0))&gt;=100000), " ",IF(INDEX($AC$2:$AS$1001,MATCH(ROWS($V$2:V145),$V$2:$V$1001,0),MATCH(COLUMNS($AC$1006:AM1006),$AC$1006:$AS$1006,0)), HYPERLINK("#",""), HYPERLINK(CONCATENATE("#metadata!", ADDRESS(INDEX($X$2:$X$1001,MATCH(ROWS($V$2:V145),$V$2:$V$1001,0),0), INDEX($AC$1004:$AS$1004,1,MATCH(COLUMNS($AC$1006:AM1006),$AC$1006:$AS$1006,0)))),"Fix")))</f>
        <v xml:space="preserve"> </v>
      </c>
      <c r="M145" s="4" t="str">
        <f ca="1">IF(OR(INDEX($W$2:$W$1001,MATCH(ROWS($V$2:V145),$V$2:$V$1001,0),1)&gt;=100000,INDEX($AC$1005:$AS$1005,1,MATCH(COLUMNS($AC$1006:AN1006),$AC$1006:$AS$1006,0))&gt;=100000), " ",IF(INDEX($AC$2:$AS$1001,MATCH(ROWS($V$2:V145),$V$2:$V$1001,0),MATCH(COLUMNS($AC$1006:AN1006),$AC$1006:$AS$1006,0)), HYPERLINK("#",""), HYPERLINK(CONCATENATE("#metadata!", ADDRESS(INDEX($X$2:$X$1001,MATCH(ROWS($V$2:V145),$V$2:$V$1001,0),0), INDEX($AC$1004:$AS$1004,1,MATCH(COLUMNS($AC$1006:AN1006),$AC$1006:$AS$1006,0)))),"Fix")))</f>
        <v xml:space="preserve"> </v>
      </c>
      <c r="N145" s="4" t="str">
        <f ca="1">IF(OR(INDEX($W$2:$W$1001,MATCH(ROWS($V$2:V145),$V$2:$V$1001,0),1)&gt;=100000,INDEX($AC$1005:$AS$1005,1,MATCH(COLUMNS($AC$1006:AO1006),$AC$1006:$AS$1006,0))&gt;=100000), " ",IF(INDEX($AC$2:$AS$1001,MATCH(ROWS($V$2:V145),$V$2:$V$1001,0),MATCH(COLUMNS($AC$1006:AO1006),$AC$1006:$AS$1006,0)), HYPERLINK("#",""), HYPERLINK(CONCATENATE("#metadata!", ADDRESS(INDEX($X$2:$X$1001,MATCH(ROWS($V$2:V145),$V$2:$V$1001,0),0), INDEX($AC$1004:$AS$1004,1,MATCH(COLUMNS($AC$1006:AO1006),$AC$1006:$AS$1006,0)))),"Fix")))</f>
        <v xml:space="preserve"> </v>
      </c>
      <c r="O145" s="4" t="str">
        <f ca="1">IF(OR(INDEX($W$2:$W$1001,MATCH(ROWS($V$2:V145),$V$2:$V$1001,0),1)&gt;=100000,INDEX($AC$1005:$AS$1005,1,MATCH(COLUMNS($AC$1006:AP1006),$AC$1006:$AS$1006,0))&gt;=100000), " ",IF(INDEX($AC$2:$AS$1001,MATCH(ROWS($V$2:V145),$V$2:$V$1001,0),MATCH(COLUMNS($AC$1006:AP1006),$AC$1006:$AS$1006,0)), HYPERLINK("#",""), HYPERLINK(CONCATENATE("#metadata!", ADDRESS(INDEX($X$2:$X$1001,MATCH(ROWS($V$2:V145),$V$2:$V$1001,0),0), INDEX($AC$1004:$AS$1004,1,MATCH(COLUMNS($AC$1006:AP1006),$AC$1006:$AS$1006,0)))),"Fix")))</f>
        <v xml:space="preserve"> </v>
      </c>
      <c r="P145" s="4" t="str">
        <f ca="1">IF(OR(INDEX($W$2:$W$1001,MATCH(ROWS($V$2:V145),$V$2:$V$1001,0),1)&gt;=100000,INDEX($AC$1005:$AS$1005,1,MATCH(COLUMNS($AC$1006:AQ1006),$AC$1006:$AS$1006,0))&gt;=100000), " ",IF(INDEX($AC$2:$AS$1001,MATCH(ROWS($V$2:V145),$V$2:$V$1001,0),MATCH(COLUMNS($AC$1006:AQ1006),$AC$1006:$AS$1006,0)), HYPERLINK("#",""), HYPERLINK(CONCATENATE("#metadata!", ADDRESS(INDEX($X$2:$X$1001,MATCH(ROWS($V$2:V145),$V$2:$V$1001,0),0), INDEX($AC$1004:$AS$1004,1,MATCH(COLUMNS($AC$1006:AQ1006),$AC$1006:$AS$1006,0)))),"Fix")))</f>
        <v xml:space="preserve"> </v>
      </c>
      <c r="Q145" s="4" t="str">
        <f ca="1">IF(OR(INDEX($W$2:$W$1001,MATCH(ROWS($V$2:V145),$V$2:$V$1001,0),1)&gt;=100000,INDEX($AC$1005:$AS$1005,1,MATCH(COLUMNS($AC$1006:AR1006),$AC$1006:$AS$1006,0))&gt;=100000), " ",IF(INDEX($AC$2:$AS$1001,MATCH(ROWS($V$2:V145),$V$2:$V$1001,0),MATCH(COLUMNS($AC$1006:AR1006),$AC$1006:$AS$1006,0)), HYPERLINK("#",""), HYPERLINK(CONCATENATE("#metadata!", ADDRESS(INDEX($X$2:$X$1001,MATCH(ROWS($V$2:V145),$V$2:$V$1001,0),0), INDEX($AC$1004:$AS$1004,1,MATCH(COLUMNS($AC$1006:AR1006),$AC$1006:$AS$1006,0)))),"Fix")))</f>
        <v xml:space="preserve"> </v>
      </c>
      <c r="R145" s="4" t="str">
        <f ca="1">IF(OR(INDEX($W$2:$W$1001,MATCH(ROWS($V$2:V145),$V$2:$V$1001,0),1)&gt;=100000,INDEX($AC$1005:$AS$1005,1,MATCH(COLUMNS($AC$1006:AS1006),$AC$1006:$AS$1006,0))&gt;=100000), " ",IF(INDEX($AC$2:$AS$1001,MATCH(ROWS($V$2:V145),$V$2:$V$1001,0),MATCH(COLUMNS($AC$1006:AS1006),$AC$1006:$AS$1006,0)), HYPERLINK("#",""), HYPERLINK(CONCATENATE("#metadata!", ADDRESS(INDEX($X$2:$X$1001,MATCH(ROWS($V$2:V145),$V$2:$V$1001,0),0), INDEX($AC$1004:$AS$1004,1,MATCH(COLUMNS($AC$1006:AS1006),$AC$1006:$AS$1006,0)))),"Fix")))</f>
        <v xml:space="preserve"> </v>
      </c>
      <c r="V145">
        <v>144</v>
      </c>
      <c r="W145">
        <v>100145</v>
      </c>
      <c r="X145">
        <v>145</v>
      </c>
      <c r="Y145" t="b">
        <f t="shared" si="2"/>
        <v>1</v>
      </c>
      <c r="Z145" t="b">
        <f>COUNTBLANK(metadata!B145:R145)=COLUMNS(metadata!B145:R145)</f>
        <v>1</v>
      </c>
      <c r="AA145" t="str">
        <v/>
      </c>
      <c r="AC145" t="b">
        <f ca="1"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AD145" t="b">
        <f>IF(metadata!C145="",FALSE,ISNUMBER(VALUE(metadata!C145)))</f>
        <v>0</v>
      </c>
      <c r="AE145" t="b">
        <f>AND(IF(metadata!D145="",FALSE,TRUE),EXACT(metadata!D145,"years"))</f>
        <v>0</v>
      </c>
      <c r="AF145" t="b">
        <f>OR(AND(IF(metadata!E145="",FALSE,TRUE),OR(EXACT(metadata!E145,"not applicable"),EXACT(metadata!E145,"missing: not collected"),EXACT(metadata!E145,"missing: not provided"),EXACT(metadata!E145,"missing: restricted access"))),AND(IF(metadata!E145="",FALSE,ISNUMBER(VALUE(metadata!E145))),metadata!E145&gt;0))</f>
        <v>0</v>
      </c>
      <c r="AG145" t="b">
        <f>AND(IF(metadata!F145="",FALSE,TRUE),EXACT(metadata!F145,"Not applicable"))</f>
        <v>0</v>
      </c>
      <c r="AH145" t="b">
        <f>AND(IF(metadata!G145="",FALSE,TRUE),EXACT(metadata!G145,"urban biome"))</f>
        <v>0</v>
      </c>
      <c r="AI145" t="b">
        <f>AND(IF(metadata!H145="",FALSE,TRUE),EXACT(metadata!H145,"human-associated habitat"))</f>
        <v>0</v>
      </c>
      <c r="AJ145" t="b">
        <f>AND(IF(metadata!I145="",FALSE,TRUE),OR(EXACT(metadata!I145,"human-associated"),EXACT(metadata!I145,"human-skin"),EXACT(metadata!I145,"human-oral"),EXACT(metadata!I145,"human-gut"),EXACT(metadata!I145,"human-vaginal")))</f>
        <v>0</v>
      </c>
      <c r="AK145" t="b">
        <f>IF(metadata!J145="",FALSE,ISNUMBER(VALUE(metadata!J145)))</f>
        <v>0</v>
      </c>
      <c r="AL145" t="b">
        <f>AND(IF(metadata!K145="",FALSE,TRUE),EXACT(metadata!K145,"cm"))</f>
        <v>0</v>
      </c>
      <c r="AM145" t="b">
        <f>AND(IF(metadata!L145="",FALSE,TRUE),EXACT(metadata!L145,"human"))</f>
        <v>0</v>
      </c>
      <c r="AN145" t="b">
        <f>AND(IF(metadata!M145="",FALSE,TRUE),EXACT(metadata!M145,"Homo sapiens"))</f>
        <v>0</v>
      </c>
      <c r="AO145" t="b">
        <f>AND(IF(metadata!N145="",FALSE,TRUE),EXACT(metadata!N145,"9606"))</f>
        <v>0</v>
      </c>
      <c r="AP145" t="b">
        <f>IF(metadata!O145="",FALSE,TRUE)</f>
        <v>0</v>
      </c>
      <c r="AQ145" t="b">
        <f>IF(metadata!P145="",FALSE,TRUE)</f>
        <v>0</v>
      </c>
      <c r="AR145" t="b">
        <f>IF(metadata!Q145="",FALSE,ISNUMBER(VALUE(metadata!Q145)))</f>
        <v>0</v>
      </c>
      <c r="AS145" t="b">
        <f>AND(IF(metadata!R145="",FALSE,TRUE),EXACT(metadata!R145,"kg"))</f>
        <v>0</v>
      </c>
    </row>
    <row r="146" spans="1:45" x14ac:dyDescent="0.2">
      <c r="A146" s="5" t="str">
        <f ca="1">IF(B146=" "," ",HYPERLINK(CONCATENATE("#metadata!",ADDRESS(INDEX($X$2:$X$1001,MATCH(ROWS($V$2:V146),$V$2:$V$1001,0),0),1)),INDEX($AA$2:$AA$1001,MATCH(ROWS($V$2:V146),$V$2:$V$1001,0),0)))</f>
        <v xml:space="preserve"> </v>
      </c>
      <c r="B146" s="4" t="str">
        <f ca="1">IF(OR(INDEX($W$2:$W$1001,MATCH(ROWS($V$2:V146),$V$2:$V$1001,0),1)&gt;=100000,INDEX($AC$1005:$AS$1005,1,MATCH(COLUMNS($AC$1006:AC1006),$AC$1006:$AS$1006,0))&gt;=100000), " ",IF(INDEX($AC$2:$AS$1001,MATCH(ROWS($V$2:V146),$V$2:$V$1001,0),MATCH(COLUMNS($AC$1006:AC1006),$AC$1006:$AS$1006,0)), HYPERLINK("#",""), HYPERLINK(CONCATENATE("#metadata!", ADDRESS(INDEX($X$2:$X$1001,MATCH(ROWS($V$2:V146),$V$2:$V$1001,0),0), INDEX($AC$1004:$AS$1004,1,MATCH(COLUMNS($AC$1006:AC1006),$AC$1006:$AS$1006,0)))),"Fix")))</f>
        <v xml:space="preserve"> </v>
      </c>
      <c r="C146" s="4" t="str">
        <f ca="1">IF(OR(INDEX($W$2:$W$1001,MATCH(ROWS($V$2:V146),$V$2:$V$1001,0),1)&gt;=100000,INDEX($AC$1005:$AS$1005,1,MATCH(COLUMNS($AC$1006:AD1006),$AC$1006:$AS$1006,0))&gt;=100000), " ",IF(INDEX($AC$2:$AS$1001,MATCH(ROWS($V$2:V146),$V$2:$V$1001,0),MATCH(COLUMNS($AC$1006:AD1006),$AC$1006:$AS$1006,0)), HYPERLINK("#",""), HYPERLINK(CONCATENATE("#metadata!", ADDRESS(INDEX($X$2:$X$1001,MATCH(ROWS($V$2:V146),$V$2:$V$1001,0),0), INDEX($AC$1004:$AS$1004,1,MATCH(COLUMNS($AC$1006:AD1006),$AC$1006:$AS$1006,0)))),"Fix")))</f>
        <v xml:space="preserve"> </v>
      </c>
      <c r="D146" s="4" t="str">
        <f ca="1">IF(OR(INDEX($W$2:$W$1001,MATCH(ROWS($V$2:V146),$V$2:$V$1001,0),1)&gt;=100000,INDEX($AC$1005:$AS$1005,1,MATCH(COLUMNS($AC$1006:AE1006),$AC$1006:$AS$1006,0))&gt;=100000), " ",IF(INDEX($AC$2:$AS$1001,MATCH(ROWS($V$2:V146),$V$2:$V$1001,0),MATCH(COLUMNS($AC$1006:AE1006),$AC$1006:$AS$1006,0)), HYPERLINK("#",""), HYPERLINK(CONCATENATE("#metadata!", ADDRESS(INDEX($X$2:$X$1001,MATCH(ROWS($V$2:V146),$V$2:$V$1001,0),0), INDEX($AC$1004:$AS$1004,1,MATCH(COLUMNS($AC$1006:AE1006),$AC$1006:$AS$1006,0)))),"Fix")))</f>
        <v xml:space="preserve"> </v>
      </c>
      <c r="E146" s="4" t="str">
        <f ca="1">IF(OR(INDEX($W$2:$W$1001,MATCH(ROWS($V$2:V146),$V$2:$V$1001,0),1)&gt;=100000,INDEX($AC$1005:$AS$1005,1,MATCH(COLUMNS($AC$1006:AF1006),$AC$1006:$AS$1006,0))&gt;=100000), " ",IF(INDEX($AC$2:$AS$1001,MATCH(ROWS($V$2:V146),$V$2:$V$1001,0),MATCH(COLUMNS($AC$1006:AF1006),$AC$1006:$AS$1006,0)), HYPERLINK("#",""), HYPERLINK(CONCATENATE("#metadata!", ADDRESS(INDEX($X$2:$X$1001,MATCH(ROWS($V$2:V146),$V$2:$V$1001,0),0), INDEX($AC$1004:$AS$1004,1,MATCH(COLUMNS($AC$1006:AF1006),$AC$1006:$AS$1006,0)))),"Fix")))</f>
        <v xml:space="preserve"> </v>
      </c>
      <c r="F146" s="4" t="str">
        <f ca="1">IF(OR(INDEX($W$2:$W$1001,MATCH(ROWS($V$2:V146),$V$2:$V$1001,0),1)&gt;=100000,INDEX($AC$1005:$AS$1005,1,MATCH(COLUMNS($AC$1006:AG1006),$AC$1006:$AS$1006,0))&gt;=100000), " ",IF(INDEX($AC$2:$AS$1001,MATCH(ROWS($V$2:V146),$V$2:$V$1001,0),MATCH(COLUMNS($AC$1006:AG1006),$AC$1006:$AS$1006,0)), HYPERLINK("#",""), HYPERLINK(CONCATENATE("#metadata!", ADDRESS(INDEX($X$2:$X$1001,MATCH(ROWS($V$2:V146),$V$2:$V$1001,0),0), INDEX($AC$1004:$AS$1004,1,MATCH(COLUMNS($AC$1006:AG1006),$AC$1006:$AS$1006,0)))),"Fix")))</f>
        <v xml:space="preserve"> </v>
      </c>
      <c r="G146" s="4" t="str">
        <f ca="1">IF(OR(INDEX($W$2:$W$1001,MATCH(ROWS($V$2:V146),$V$2:$V$1001,0),1)&gt;=100000,INDEX($AC$1005:$AS$1005,1,MATCH(COLUMNS($AC$1006:AH1006),$AC$1006:$AS$1006,0))&gt;=100000), " ",IF(INDEX($AC$2:$AS$1001,MATCH(ROWS($V$2:V146),$V$2:$V$1001,0),MATCH(COLUMNS($AC$1006:AH1006),$AC$1006:$AS$1006,0)), HYPERLINK("#",""), HYPERLINK(CONCATENATE("#metadata!", ADDRESS(INDEX($X$2:$X$1001,MATCH(ROWS($V$2:V146),$V$2:$V$1001,0),0), INDEX($AC$1004:$AS$1004,1,MATCH(COLUMNS($AC$1006:AH1006),$AC$1006:$AS$1006,0)))),"Fix")))</f>
        <v xml:space="preserve"> </v>
      </c>
      <c r="H146" s="4" t="str">
        <f ca="1">IF(OR(INDEX($W$2:$W$1001,MATCH(ROWS($V$2:V146),$V$2:$V$1001,0),1)&gt;=100000,INDEX($AC$1005:$AS$1005,1,MATCH(COLUMNS($AC$1006:AI1006),$AC$1006:$AS$1006,0))&gt;=100000), " ",IF(INDEX($AC$2:$AS$1001,MATCH(ROWS($V$2:V146),$V$2:$V$1001,0),MATCH(COLUMNS($AC$1006:AI1006),$AC$1006:$AS$1006,0)), HYPERLINK("#",""), HYPERLINK(CONCATENATE("#metadata!", ADDRESS(INDEX($X$2:$X$1001,MATCH(ROWS($V$2:V146),$V$2:$V$1001,0),0), INDEX($AC$1004:$AS$1004,1,MATCH(COLUMNS($AC$1006:AI1006),$AC$1006:$AS$1006,0)))),"Fix")))</f>
        <v xml:space="preserve"> </v>
      </c>
      <c r="I146" s="4" t="str">
        <f ca="1">IF(OR(INDEX($W$2:$W$1001,MATCH(ROWS($V$2:V146),$V$2:$V$1001,0),1)&gt;=100000,INDEX($AC$1005:$AS$1005,1,MATCH(COLUMNS($AC$1006:AJ1006),$AC$1006:$AS$1006,0))&gt;=100000), " ",IF(INDEX($AC$2:$AS$1001,MATCH(ROWS($V$2:V146),$V$2:$V$1001,0),MATCH(COLUMNS($AC$1006:AJ1006),$AC$1006:$AS$1006,0)), HYPERLINK("#",""), HYPERLINK(CONCATENATE("#metadata!", ADDRESS(INDEX($X$2:$X$1001,MATCH(ROWS($V$2:V146),$V$2:$V$1001,0),0), INDEX($AC$1004:$AS$1004,1,MATCH(COLUMNS($AC$1006:AJ1006),$AC$1006:$AS$1006,0)))),"Fix")))</f>
        <v xml:space="preserve"> </v>
      </c>
      <c r="J146" s="4" t="str">
        <f ca="1">IF(OR(INDEX($W$2:$W$1001,MATCH(ROWS($V$2:V146),$V$2:$V$1001,0),1)&gt;=100000,INDEX($AC$1005:$AS$1005,1,MATCH(COLUMNS($AC$1006:AK1006),$AC$1006:$AS$1006,0))&gt;=100000), " ",IF(INDEX($AC$2:$AS$1001,MATCH(ROWS($V$2:V146),$V$2:$V$1001,0),MATCH(COLUMNS($AC$1006:AK1006),$AC$1006:$AS$1006,0)), HYPERLINK("#",""), HYPERLINK(CONCATENATE("#metadata!", ADDRESS(INDEX($X$2:$X$1001,MATCH(ROWS($V$2:V146),$V$2:$V$1001,0),0), INDEX($AC$1004:$AS$1004,1,MATCH(COLUMNS($AC$1006:AK1006),$AC$1006:$AS$1006,0)))),"Fix")))</f>
        <v xml:space="preserve"> </v>
      </c>
      <c r="K146" s="4" t="str">
        <f ca="1">IF(OR(INDEX($W$2:$W$1001,MATCH(ROWS($V$2:V146),$V$2:$V$1001,0),1)&gt;=100000,INDEX($AC$1005:$AS$1005,1,MATCH(COLUMNS($AC$1006:AL1006),$AC$1006:$AS$1006,0))&gt;=100000), " ",IF(INDEX($AC$2:$AS$1001,MATCH(ROWS($V$2:V146),$V$2:$V$1001,0),MATCH(COLUMNS($AC$1006:AL1006),$AC$1006:$AS$1006,0)), HYPERLINK("#",""), HYPERLINK(CONCATENATE("#metadata!", ADDRESS(INDEX($X$2:$X$1001,MATCH(ROWS($V$2:V146),$V$2:$V$1001,0),0), INDEX($AC$1004:$AS$1004,1,MATCH(COLUMNS($AC$1006:AL1006),$AC$1006:$AS$1006,0)))),"Fix")))</f>
        <v xml:space="preserve"> </v>
      </c>
      <c r="L146" s="4" t="str">
        <f ca="1">IF(OR(INDEX($W$2:$W$1001,MATCH(ROWS($V$2:V146),$V$2:$V$1001,0),1)&gt;=100000,INDEX($AC$1005:$AS$1005,1,MATCH(COLUMNS($AC$1006:AM1006),$AC$1006:$AS$1006,0))&gt;=100000), " ",IF(INDEX($AC$2:$AS$1001,MATCH(ROWS($V$2:V146),$V$2:$V$1001,0),MATCH(COLUMNS($AC$1006:AM1006),$AC$1006:$AS$1006,0)), HYPERLINK("#",""), HYPERLINK(CONCATENATE("#metadata!", ADDRESS(INDEX($X$2:$X$1001,MATCH(ROWS($V$2:V146),$V$2:$V$1001,0),0), INDEX($AC$1004:$AS$1004,1,MATCH(COLUMNS($AC$1006:AM1006),$AC$1006:$AS$1006,0)))),"Fix")))</f>
        <v xml:space="preserve"> </v>
      </c>
      <c r="M146" s="4" t="str">
        <f ca="1">IF(OR(INDEX($W$2:$W$1001,MATCH(ROWS($V$2:V146),$V$2:$V$1001,0),1)&gt;=100000,INDEX($AC$1005:$AS$1005,1,MATCH(COLUMNS($AC$1006:AN1006),$AC$1006:$AS$1006,0))&gt;=100000), " ",IF(INDEX($AC$2:$AS$1001,MATCH(ROWS($V$2:V146),$V$2:$V$1001,0),MATCH(COLUMNS($AC$1006:AN1006),$AC$1006:$AS$1006,0)), HYPERLINK("#",""), HYPERLINK(CONCATENATE("#metadata!", ADDRESS(INDEX($X$2:$X$1001,MATCH(ROWS($V$2:V146),$V$2:$V$1001,0),0), INDEX($AC$1004:$AS$1004,1,MATCH(COLUMNS($AC$1006:AN1006),$AC$1006:$AS$1006,0)))),"Fix")))</f>
        <v xml:space="preserve"> </v>
      </c>
      <c r="N146" s="4" t="str">
        <f ca="1">IF(OR(INDEX($W$2:$W$1001,MATCH(ROWS($V$2:V146),$V$2:$V$1001,0),1)&gt;=100000,INDEX($AC$1005:$AS$1005,1,MATCH(COLUMNS($AC$1006:AO1006),$AC$1006:$AS$1006,0))&gt;=100000), " ",IF(INDEX($AC$2:$AS$1001,MATCH(ROWS($V$2:V146),$V$2:$V$1001,0),MATCH(COLUMNS($AC$1006:AO1006),$AC$1006:$AS$1006,0)), HYPERLINK("#",""), HYPERLINK(CONCATENATE("#metadata!", ADDRESS(INDEX($X$2:$X$1001,MATCH(ROWS($V$2:V146),$V$2:$V$1001,0),0), INDEX($AC$1004:$AS$1004,1,MATCH(COLUMNS($AC$1006:AO1006),$AC$1006:$AS$1006,0)))),"Fix")))</f>
        <v xml:space="preserve"> </v>
      </c>
      <c r="O146" s="4" t="str">
        <f ca="1">IF(OR(INDEX($W$2:$W$1001,MATCH(ROWS($V$2:V146),$V$2:$V$1001,0),1)&gt;=100000,INDEX($AC$1005:$AS$1005,1,MATCH(COLUMNS($AC$1006:AP1006),$AC$1006:$AS$1006,0))&gt;=100000), " ",IF(INDEX($AC$2:$AS$1001,MATCH(ROWS($V$2:V146),$V$2:$V$1001,0),MATCH(COLUMNS($AC$1006:AP1006),$AC$1006:$AS$1006,0)), HYPERLINK("#",""), HYPERLINK(CONCATENATE("#metadata!", ADDRESS(INDEX($X$2:$X$1001,MATCH(ROWS($V$2:V146),$V$2:$V$1001,0),0), INDEX($AC$1004:$AS$1004,1,MATCH(COLUMNS($AC$1006:AP1006),$AC$1006:$AS$1006,0)))),"Fix")))</f>
        <v xml:space="preserve"> </v>
      </c>
      <c r="P146" s="4" t="str">
        <f ca="1">IF(OR(INDEX($W$2:$W$1001,MATCH(ROWS($V$2:V146),$V$2:$V$1001,0),1)&gt;=100000,INDEX($AC$1005:$AS$1005,1,MATCH(COLUMNS($AC$1006:AQ1006),$AC$1006:$AS$1006,0))&gt;=100000), " ",IF(INDEX($AC$2:$AS$1001,MATCH(ROWS($V$2:V146),$V$2:$V$1001,0),MATCH(COLUMNS($AC$1006:AQ1006),$AC$1006:$AS$1006,0)), HYPERLINK("#",""), HYPERLINK(CONCATENATE("#metadata!", ADDRESS(INDEX($X$2:$X$1001,MATCH(ROWS($V$2:V146),$V$2:$V$1001,0),0), INDEX($AC$1004:$AS$1004,1,MATCH(COLUMNS($AC$1006:AQ1006),$AC$1006:$AS$1006,0)))),"Fix")))</f>
        <v xml:space="preserve"> </v>
      </c>
      <c r="Q146" s="4" t="str">
        <f ca="1">IF(OR(INDEX($W$2:$W$1001,MATCH(ROWS($V$2:V146),$V$2:$V$1001,0),1)&gt;=100000,INDEX($AC$1005:$AS$1005,1,MATCH(COLUMNS($AC$1006:AR1006),$AC$1006:$AS$1006,0))&gt;=100000), " ",IF(INDEX($AC$2:$AS$1001,MATCH(ROWS($V$2:V146),$V$2:$V$1001,0),MATCH(COLUMNS($AC$1006:AR1006),$AC$1006:$AS$1006,0)), HYPERLINK("#",""), HYPERLINK(CONCATENATE("#metadata!", ADDRESS(INDEX($X$2:$X$1001,MATCH(ROWS($V$2:V146),$V$2:$V$1001,0),0), INDEX($AC$1004:$AS$1004,1,MATCH(COLUMNS($AC$1006:AR1006),$AC$1006:$AS$1006,0)))),"Fix")))</f>
        <v xml:space="preserve"> </v>
      </c>
      <c r="R146" s="4" t="str">
        <f ca="1">IF(OR(INDEX($W$2:$W$1001,MATCH(ROWS($V$2:V146),$V$2:$V$1001,0),1)&gt;=100000,INDEX($AC$1005:$AS$1005,1,MATCH(COLUMNS($AC$1006:AS1006),$AC$1006:$AS$1006,0))&gt;=100000), " ",IF(INDEX($AC$2:$AS$1001,MATCH(ROWS($V$2:V146),$V$2:$V$1001,0),MATCH(COLUMNS($AC$1006:AS1006),$AC$1006:$AS$1006,0)), HYPERLINK("#",""), HYPERLINK(CONCATENATE("#metadata!", ADDRESS(INDEX($X$2:$X$1001,MATCH(ROWS($V$2:V146),$V$2:$V$1001,0),0), INDEX($AC$1004:$AS$1004,1,MATCH(COLUMNS($AC$1006:AS1006),$AC$1006:$AS$1006,0)))),"Fix")))</f>
        <v xml:space="preserve"> </v>
      </c>
      <c r="V146">
        <v>145</v>
      </c>
      <c r="W146">
        <v>100146</v>
      </c>
      <c r="X146">
        <v>146</v>
      </c>
      <c r="Y146" t="b">
        <f t="shared" si="2"/>
        <v>1</v>
      </c>
      <c r="Z146" t="b">
        <f>COUNTBLANK(metadata!B146:R146)=COLUMNS(metadata!B146:R146)</f>
        <v>1</v>
      </c>
      <c r="AA146" t="str">
        <v/>
      </c>
      <c r="AC146" t="b">
        <f ca="1"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AD146" t="b">
        <f>IF(metadata!C146="",FALSE,ISNUMBER(VALUE(metadata!C146)))</f>
        <v>0</v>
      </c>
      <c r="AE146" t="b">
        <f>AND(IF(metadata!D146="",FALSE,TRUE),EXACT(metadata!D146,"years"))</f>
        <v>0</v>
      </c>
      <c r="AF146" t="b">
        <f>OR(AND(IF(metadata!E146="",FALSE,TRUE),OR(EXACT(metadata!E146,"not applicable"),EXACT(metadata!E146,"missing: not collected"),EXACT(metadata!E146,"missing: not provided"),EXACT(metadata!E146,"missing: restricted access"))),AND(IF(metadata!E146="",FALSE,ISNUMBER(VALUE(metadata!E146))),metadata!E146&gt;0))</f>
        <v>0</v>
      </c>
      <c r="AG146" t="b">
        <f>AND(IF(metadata!F146="",FALSE,TRUE),EXACT(metadata!F146,"Not applicable"))</f>
        <v>0</v>
      </c>
      <c r="AH146" t="b">
        <f>AND(IF(metadata!G146="",FALSE,TRUE),EXACT(metadata!G146,"urban biome"))</f>
        <v>0</v>
      </c>
      <c r="AI146" t="b">
        <f>AND(IF(metadata!H146="",FALSE,TRUE),EXACT(metadata!H146,"human-associated habitat"))</f>
        <v>0</v>
      </c>
      <c r="AJ146" t="b">
        <f>AND(IF(metadata!I146="",FALSE,TRUE),OR(EXACT(metadata!I146,"human-associated"),EXACT(metadata!I146,"human-skin"),EXACT(metadata!I146,"human-oral"),EXACT(metadata!I146,"human-gut"),EXACT(metadata!I146,"human-vaginal")))</f>
        <v>0</v>
      </c>
      <c r="AK146" t="b">
        <f>IF(metadata!J146="",FALSE,ISNUMBER(VALUE(metadata!J146)))</f>
        <v>0</v>
      </c>
      <c r="AL146" t="b">
        <f>AND(IF(metadata!K146="",FALSE,TRUE),EXACT(metadata!K146,"cm"))</f>
        <v>0</v>
      </c>
      <c r="AM146" t="b">
        <f>AND(IF(metadata!L146="",FALSE,TRUE),EXACT(metadata!L146,"human"))</f>
        <v>0</v>
      </c>
      <c r="AN146" t="b">
        <f>AND(IF(metadata!M146="",FALSE,TRUE),EXACT(metadata!M146,"Homo sapiens"))</f>
        <v>0</v>
      </c>
      <c r="AO146" t="b">
        <f>AND(IF(metadata!N146="",FALSE,TRUE),EXACT(metadata!N146,"9606"))</f>
        <v>0</v>
      </c>
      <c r="AP146" t="b">
        <f>IF(metadata!O146="",FALSE,TRUE)</f>
        <v>0</v>
      </c>
      <c r="AQ146" t="b">
        <f>IF(metadata!P146="",FALSE,TRUE)</f>
        <v>0</v>
      </c>
      <c r="AR146" t="b">
        <f>IF(metadata!Q146="",FALSE,ISNUMBER(VALUE(metadata!Q146)))</f>
        <v>0</v>
      </c>
      <c r="AS146" t="b">
        <f>AND(IF(metadata!R146="",FALSE,TRUE),EXACT(metadata!R146,"kg"))</f>
        <v>0</v>
      </c>
    </row>
    <row r="147" spans="1:45" x14ac:dyDescent="0.2">
      <c r="A147" s="5" t="str">
        <f ca="1">IF(B147=" "," ",HYPERLINK(CONCATENATE("#metadata!",ADDRESS(INDEX($X$2:$X$1001,MATCH(ROWS($V$2:V147),$V$2:$V$1001,0),0),1)),INDEX($AA$2:$AA$1001,MATCH(ROWS($V$2:V147),$V$2:$V$1001,0),0)))</f>
        <v xml:space="preserve"> </v>
      </c>
      <c r="B147" s="4" t="str">
        <f ca="1">IF(OR(INDEX($W$2:$W$1001,MATCH(ROWS($V$2:V147),$V$2:$V$1001,0),1)&gt;=100000,INDEX($AC$1005:$AS$1005,1,MATCH(COLUMNS($AC$1006:AC1006),$AC$1006:$AS$1006,0))&gt;=100000), " ",IF(INDEX($AC$2:$AS$1001,MATCH(ROWS($V$2:V147),$V$2:$V$1001,0),MATCH(COLUMNS($AC$1006:AC1006),$AC$1006:$AS$1006,0)), HYPERLINK("#",""), HYPERLINK(CONCATENATE("#metadata!", ADDRESS(INDEX($X$2:$X$1001,MATCH(ROWS($V$2:V147),$V$2:$V$1001,0),0), INDEX($AC$1004:$AS$1004,1,MATCH(COLUMNS($AC$1006:AC1006),$AC$1006:$AS$1006,0)))),"Fix")))</f>
        <v xml:space="preserve"> </v>
      </c>
      <c r="C147" s="4" t="str">
        <f ca="1">IF(OR(INDEX($W$2:$W$1001,MATCH(ROWS($V$2:V147),$V$2:$V$1001,0),1)&gt;=100000,INDEX($AC$1005:$AS$1005,1,MATCH(COLUMNS($AC$1006:AD1006),$AC$1006:$AS$1006,0))&gt;=100000), " ",IF(INDEX($AC$2:$AS$1001,MATCH(ROWS($V$2:V147),$V$2:$V$1001,0),MATCH(COLUMNS($AC$1006:AD1006),$AC$1006:$AS$1006,0)), HYPERLINK("#",""), HYPERLINK(CONCATENATE("#metadata!", ADDRESS(INDEX($X$2:$X$1001,MATCH(ROWS($V$2:V147),$V$2:$V$1001,0),0), INDEX($AC$1004:$AS$1004,1,MATCH(COLUMNS($AC$1006:AD1006),$AC$1006:$AS$1006,0)))),"Fix")))</f>
        <v xml:space="preserve"> </v>
      </c>
      <c r="D147" s="4" t="str">
        <f ca="1">IF(OR(INDEX($W$2:$W$1001,MATCH(ROWS($V$2:V147),$V$2:$V$1001,0),1)&gt;=100000,INDEX($AC$1005:$AS$1005,1,MATCH(COLUMNS($AC$1006:AE1006),$AC$1006:$AS$1006,0))&gt;=100000), " ",IF(INDEX($AC$2:$AS$1001,MATCH(ROWS($V$2:V147),$V$2:$V$1001,0),MATCH(COLUMNS($AC$1006:AE1006),$AC$1006:$AS$1006,0)), HYPERLINK("#",""), HYPERLINK(CONCATENATE("#metadata!", ADDRESS(INDEX($X$2:$X$1001,MATCH(ROWS($V$2:V147),$V$2:$V$1001,0),0), INDEX($AC$1004:$AS$1004,1,MATCH(COLUMNS($AC$1006:AE1006),$AC$1006:$AS$1006,0)))),"Fix")))</f>
        <v xml:space="preserve"> </v>
      </c>
      <c r="E147" s="4" t="str">
        <f ca="1">IF(OR(INDEX($W$2:$W$1001,MATCH(ROWS($V$2:V147),$V$2:$V$1001,0),1)&gt;=100000,INDEX($AC$1005:$AS$1005,1,MATCH(COLUMNS($AC$1006:AF1006),$AC$1006:$AS$1006,0))&gt;=100000), " ",IF(INDEX($AC$2:$AS$1001,MATCH(ROWS($V$2:V147),$V$2:$V$1001,0),MATCH(COLUMNS($AC$1006:AF1006),$AC$1006:$AS$1006,0)), HYPERLINK("#",""), HYPERLINK(CONCATENATE("#metadata!", ADDRESS(INDEX($X$2:$X$1001,MATCH(ROWS($V$2:V147),$V$2:$V$1001,0),0), INDEX($AC$1004:$AS$1004,1,MATCH(COLUMNS($AC$1006:AF1006),$AC$1006:$AS$1006,0)))),"Fix")))</f>
        <v xml:space="preserve"> </v>
      </c>
      <c r="F147" s="4" t="str">
        <f ca="1">IF(OR(INDEX($W$2:$W$1001,MATCH(ROWS($V$2:V147),$V$2:$V$1001,0),1)&gt;=100000,INDEX($AC$1005:$AS$1005,1,MATCH(COLUMNS($AC$1006:AG1006),$AC$1006:$AS$1006,0))&gt;=100000), " ",IF(INDEX($AC$2:$AS$1001,MATCH(ROWS($V$2:V147),$V$2:$V$1001,0),MATCH(COLUMNS($AC$1006:AG1006),$AC$1006:$AS$1006,0)), HYPERLINK("#",""), HYPERLINK(CONCATENATE("#metadata!", ADDRESS(INDEX($X$2:$X$1001,MATCH(ROWS($V$2:V147),$V$2:$V$1001,0),0), INDEX($AC$1004:$AS$1004,1,MATCH(COLUMNS($AC$1006:AG1006),$AC$1006:$AS$1006,0)))),"Fix")))</f>
        <v xml:space="preserve"> </v>
      </c>
      <c r="G147" s="4" t="str">
        <f ca="1">IF(OR(INDEX($W$2:$W$1001,MATCH(ROWS($V$2:V147),$V$2:$V$1001,0),1)&gt;=100000,INDEX($AC$1005:$AS$1005,1,MATCH(COLUMNS($AC$1006:AH1006),$AC$1006:$AS$1006,0))&gt;=100000), " ",IF(INDEX($AC$2:$AS$1001,MATCH(ROWS($V$2:V147),$V$2:$V$1001,0),MATCH(COLUMNS($AC$1006:AH1006),$AC$1006:$AS$1006,0)), HYPERLINK("#",""), HYPERLINK(CONCATENATE("#metadata!", ADDRESS(INDEX($X$2:$X$1001,MATCH(ROWS($V$2:V147),$V$2:$V$1001,0),0), INDEX($AC$1004:$AS$1004,1,MATCH(COLUMNS($AC$1006:AH1006),$AC$1006:$AS$1006,0)))),"Fix")))</f>
        <v xml:space="preserve"> </v>
      </c>
      <c r="H147" s="4" t="str">
        <f ca="1">IF(OR(INDEX($W$2:$W$1001,MATCH(ROWS($V$2:V147),$V$2:$V$1001,0),1)&gt;=100000,INDEX($AC$1005:$AS$1005,1,MATCH(COLUMNS($AC$1006:AI1006),$AC$1006:$AS$1006,0))&gt;=100000), " ",IF(INDEX($AC$2:$AS$1001,MATCH(ROWS($V$2:V147),$V$2:$V$1001,0),MATCH(COLUMNS($AC$1006:AI1006),$AC$1006:$AS$1006,0)), HYPERLINK("#",""), HYPERLINK(CONCATENATE("#metadata!", ADDRESS(INDEX($X$2:$X$1001,MATCH(ROWS($V$2:V147),$V$2:$V$1001,0),0), INDEX($AC$1004:$AS$1004,1,MATCH(COLUMNS($AC$1006:AI1006),$AC$1006:$AS$1006,0)))),"Fix")))</f>
        <v xml:space="preserve"> </v>
      </c>
      <c r="I147" s="4" t="str">
        <f ca="1">IF(OR(INDEX($W$2:$W$1001,MATCH(ROWS($V$2:V147),$V$2:$V$1001,0),1)&gt;=100000,INDEX($AC$1005:$AS$1005,1,MATCH(COLUMNS($AC$1006:AJ1006),$AC$1006:$AS$1006,0))&gt;=100000), " ",IF(INDEX($AC$2:$AS$1001,MATCH(ROWS($V$2:V147),$V$2:$V$1001,0),MATCH(COLUMNS($AC$1006:AJ1006),$AC$1006:$AS$1006,0)), HYPERLINK("#",""), HYPERLINK(CONCATENATE("#metadata!", ADDRESS(INDEX($X$2:$X$1001,MATCH(ROWS($V$2:V147),$V$2:$V$1001,0),0), INDEX($AC$1004:$AS$1004,1,MATCH(COLUMNS($AC$1006:AJ1006),$AC$1006:$AS$1006,0)))),"Fix")))</f>
        <v xml:space="preserve"> </v>
      </c>
      <c r="J147" s="4" t="str">
        <f ca="1">IF(OR(INDEX($W$2:$W$1001,MATCH(ROWS($V$2:V147),$V$2:$V$1001,0),1)&gt;=100000,INDEX($AC$1005:$AS$1005,1,MATCH(COLUMNS($AC$1006:AK1006),$AC$1006:$AS$1006,0))&gt;=100000), " ",IF(INDEX($AC$2:$AS$1001,MATCH(ROWS($V$2:V147),$V$2:$V$1001,0),MATCH(COLUMNS($AC$1006:AK1006),$AC$1006:$AS$1006,0)), HYPERLINK("#",""), HYPERLINK(CONCATENATE("#metadata!", ADDRESS(INDEX($X$2:$X$1001,MATCH(ROWS($V$2:V147),$V$2:$V$1001,0),0), INDEX($AC$1004:$AS$1004,1,MATCH(COLUMNS($AC$1006:AK1006),$AC$1006:$AS$1006,0)))),"Fix")))</f>
        <v xml:space="preserve"> </v>
      </c>
      <c r="K147" s="4" t="str">
        <f ca="1">IF(OR(INDEX($W$2:$W$1001,MATCH(ROWS($V$2:V147),$V$2:$V$1001,0),1)&gt;=100000,INDEX($AC$1005:$AS$1005,1,MATCH(COLUMNS($AC$1006:AL1006),$AC$1006:$AS$1006,0))&gt;=100000), " ",IF(INDEX($AC$2:$AS$1001,MATCH(ROWS($V$2:V147),$V$2:$V$1001,0),MATCH(COLUMNS($AC$1006:AL1006),$AC$1006:$AS$1006,0)), HYPERLINK("#",""), HYPERLINK(CONCATENATE("#metadata!", ADDRESS(INDEX($X$2:$X$1001,MATCH(ROWS($V$2:V147),$V$2:$V$1001,0),0), INDEX($AC$1004:$AS$1004,1,MATCH(COLUMNS($AC$1006:AL1006),$AC$1006:$AS$1006,0)))),"Fix")))</f>
        <v xml:space="preserve"> </v>
      </c>
      <c r="L147" s="4" t="str">
        <f ca="1">IF(OR(INDEX($W$2:$W$1001,MATCH(ROWS($V$2:V147),$V$2:$V$1001,0),1)&gt;=100000,INDEX($AC$1005:$AS$1005,1,MATCH(COLUMNS($AC$1006:AM1006),$AC$1006:$AS$1006,0))&gt;=100000), " ",IF(INDEX($AC$2:$AS$1001,MATCH(ROWS($V$2:V147),$V$2:$V$1001,0),MATCH(COLUMNS($AC$1006:AM1006),$AC$1006:$AS$1006,0)), HYPERLINK("#",""), HYPERLINK(CONCATENATE("#metadata!", ADDRESS(INDEX($X$2:$X$1001,MATCH(ROWS($V$2:V147),$V$2:$V$1001,0),0), INDEX($AC$1004:$AS$1004,1,MATCH(COLUMNS($AC$1006:AM1006),$AC$1006:$AS$1006,0)))),"Fix")))</f>
        <v xml:space="preserve"> </v>
      </c>
      <c r="M147" s="4" t="str">
        <f ca="1">IF(OR(INDEX($W$2:$W$1001,MATCH(ROWS($V$2:V147),$V$2:$V$1001,0),1)&gt;=100000,INDEX($AC$1005:$AS$1005,1,MATCH(COLUMNS($AC$1006:AN1006),$AC$1006:$AS$1006,0))&gt;=100000), " ",IF(INDEX($AC$2:$AS$1001,MATCH(ROWS($V$2:V147),$V$2:$V$1001,0),MATCH(COLUMNS($AC$1006:AN1006),$AC$1006:$AS$1006,0)), HYPERLINK("#",""), HYPERLINK(CONCATENATE("#metadata!", ADDRESS(INDEX($X$2:$X$1001,MATCH(ROWS($V$2:V147),$V$2:$V$1001,0),0), INDEX($AC$1004:$AS$1004,1,MATCH(COLUMNS($AC$1006:AN1006),$AC$1006:$AS$1006,0)))),"Fix")))</f>
        <v xml:space="preserve"> </v>
      </c>
      <c r="N147" s="4" t="str">
        <f ca="1">IF(OR(INDEX($W$2:$W$1001,MATCH(ROWS($V$2:V147),$V$2:$V$1001,0),1)&gt;=100000,INDEX($AC$1005:$AS$1005,1,MATCH(COLUMNS($AC$1006:AO1006),$AC$1006:$AS$1006,0))&gt;=100000), " ",IF(INDEX($AC$2:$AS$1001,MATCH(ROWS($V$2:V147),$V$2:$V$1001,0),MATCH(COLUMNS($AC$1006:AO1006),$AC$1006:$AS$1006,0)), HYPERLINK("#",""), HYPERLINK(CONCATENATE("#metadata!", ADDRESS(INDEX($X$2:$X$1001,MATCH(ROWS($V$2:V147),$V$2:$V$1001,0),0), INDEX($AC$1004:$AS$1004,1,MATCH(COLUMNS($AC$1006:AO1006),$AC$1006:$AS$1006,0)))),"Fix")))</f>
        <v xml:space="preserve"> </v>
      </c>
      <c r="O147" s="4" t="str">
        <f ca="1">IF(OR(INDEX($W$2:$W$1001,MATCH(ROWS($V$2:V147),$V$2:$V$1001,0),1)&gt;=100000,INDEX($AC$1005:$AS$1005,1,MATCH(COLUMNS($AC$1006:AP1006),$AC$1006:$AS$1006,0))&gt;=100000), " ",IF(INDEX($AC$2:$AS$1001,MATCH(ROWS($V$2:V147),$V$2:$V$1001,0),MATCH(COLUMNS($AC$1006:AP1006),$AC$1006:$AS$1006,0)), HYPERLINK("#",""), HYPERLINK(CONCATENATE("#metadata!", ADDRESS(INDEX($X$2:$X$1001,MATCH(ROWS($V$2:V147),$V$2:$V$1001,0),0), INDEX($AC$1004:$AS$1004,1,MATCH(COLUMNS($AC$1006:AP1006),$AC$1006:$AS$1006,0)))),"Fix")))</f>
        <v xml:space="preserve"> </v>
      </c>
      <c r="P147" s="4" t="str">
        <f ca="1">IF(OR(INDEX($W$2:$W$1001,MATCH(ROWS($V$2:V147),$V$2:$V$1001,0),1)&gt;=100000,INDEX($AC$1005:$AS$1005,1,MATCH(COLUMNS($AC$1006:AQ1006),$AC$1006:$AS$1006,0))&gt;=100000), " ",IF(INDEX($AC$2:$AS$1001,MATCH(ROWS($V$2:V147),$V$2:$V$1001,0),MATCH(COLUMNS($AC$1006:AQ1006),$AC$1006:$AS$1006,0)), HYPERLINK("#",""), HYPERLINK(CONCATENATE("#metadata!", ADDRESS(INDEX($X$2:$X$1001,MATCH(ROWS($V$2:V147),$V$2:$V$1001,0),0), INDEX($AC$1004:$AS$1004,1,MATCH(COLUMNS($AC$1006:AQ1006),$AC$1006:$AS$1006,0)))),"Fix")))</f>
        <v xml:space="preserve"> </v>
      </c>
      <c r="Q147" s="4" t="str">
        <f ca="1">IF(OR(INDEX($W$2:$W$1001,MATCH(ROWS($V$2:V147),$V$2:$V$1001,0),1)&gt;=100000,INDEX($AC$1005:$AS$1005,1,MATCH(COLUMNS($AC$1006:AR1006),$AC$1006:$AS$1006,0))&gt;=100000), " ",IF(INDEX($AC$2:$AS$1001,MATCH(ROWS($V$2:V147),$V$2:$V$1001,0),MATCH(COLUMNS($AC$1006:AR1006),$AC$1006:$AS$1006,0)), HYPERLINK("#",""), HYPERLINK(CONCATENATE("#metadata!", ADDRESS(INDEX($X$2:$X$1001,MATCH(ROWS($V$2:V147),$V$2:$V$1001,0),0), INDEX($AC$1004:$AS$1004,1,MATCH(COLUMNS($AC$1006:AR1006),$AC$1006:$AS$1006,0)))),"Fix")))</f>
        <v xml:space="preserve"> </v>
      </c>
      <c r="R147" s="4" t="str">
        <f ca="1">IF(OR(INDEX($W$2:$W$1001,MATCH(ROWS($V$2:V147),$V$2:$V$1001,0),1)&gt;=100000,INDEX($AC$1005:$AS$1005,1,MATCH(COLUMNS($AC$1006:AS1006),$AC$1006:$AS$1006,0))&gt;=100000), " ",IF(INDEX($AC$2:$AS$1001,MATCH(ROWS($V$2:V147),$V$2:$V$1001,0),MATCH(COLUMNS($AC$1006:AS1006),$AC$1006:$AS$1006,0)), HYPERLINK("#",""), HYPERLINK(CONCATENATE("#metadata!", ADDRESS(INDEX($X$2:$X$1001,MATCH(ROWS($V$2:V147),$V$2:$V$1001,0),0), INDEX($AC$1004:$AS$1004,1,MATCH(COLUMNS($AC$1006:AS1006),$AC$1006:$AS$1006,0)))),"Fix")))</f>
        <v xml:space="preserve"> </v>
      </c>
      <c r="V147">
        <v>146</v>
      </c>
      <c r="W147">
        <v>100147</v>
      </c>
      <c r="X147">
        <v>147</v>
      </c>
      <c r="Y147" t="b">
        <f t="shared" si="2"/>
        <v>1</v>
      </c>
      <c r="Z147" t="b">
        <f>COUNTBLANK(metadata!B147:R147)=COLUMNS(metadata!B147:R147)</f>
        <v>1</v>
      </c>
      <c r="AA147" t="str">
        <v/>
      </c>
      <c r="AC147" t="b">
        <f ca="1"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AD147" t="b">
        <f>IF(metadata!C147="",FALSE,ISNUMBER(VALUE(metadata!C147)))</f>
        <v>0</v>
      </c>
      <c r="AE147" t="b">
        <f>AND(IF(metadata!D147="",FALSE,TRUE),EXACT(metadata!D147,"years"))</f>
        <v>0</v>
      </c>
      <c r="AF147" t="b">
        <f>OR(AND(IF(metadata!E147="",FALSE,TRUE),OR(EXACT(metadata!E147,"not applicable"),EXACT(metadata!E147,"missing: not collected"),EXACT(metadata!E147,"missing: not provided"),EXACT(metadata!E147,"missing: restricted access"))),AND(IF(metadata!E147="",FALSE,ISNUMBER(VALUE(metadata!E147))),metadata!E147&gt;0))</f>
        <v>0</v>
      </c>
      <c r="AG147" t="b">
        <f>AND(IF(metadata!F147="",FALSE,TRUE),EXACT(metadata!F147,"Not applicable"))</f>
        <v>0</v>
      </c>
      <c r="AH147" t="b">
        <f>AND(IF(metadata!G147="",FALSE,TRUE),EXACT(metadata!G147,"urban biome"))</f>
        <v>0</v>
      </c>
      <c r="AI147" t="b">
        <f>AND(IF(metadata!H147="",FALSE,TRUE),EXACT(metadata!H147,"human-associated habitat"))</f>
        <v>0</v>
      </c>
      <c r="AJ147" t="b">
        <f>AND(IF(metadata!I147="",FALSE,TRUE),OR(EXACT(metadata!I147,"human-associated"),EXACT(metadata!I147,"human-skin"),EXACT(metadata!I147,"human-oral"),EXACT(metadata!I147,"human-gut"),EXACT(metadata!I147,"human-vaginal")))</f>
        <v>0</v>
      </c>
      <c r="AK147" t="b">
        <f>IF(metadata!J147="",FALSE,ISNUMBER(VALUE(metadata!J147)))</f>
        <v>0</v>
      </c>
      <c r="AL147" t="b">
        <f>AND(IF(metadata!K147="",FALSE,TRUE),EXACT(metadata!K147,"cm"))</f>
        <v>0</v>
      </c>
      <c r="AM147" t="b">
        <f>AND(IF(metadata!L147="",FALSE,TRUE),EXACT(metadata!L147,"human"))</f>
        <v>0</v>
      </c>
      <c r="AN147" t="b">
        <f>AND(IF(metadata!M147="",FALSE,TRUE),EXACT(metadata!M147,"Homo sapiens"))</f>
        <v>0</v>
      </c>
      <c r="AO147" t="b">
        <f>AND(IF(metadata!N147="",FALSE,TRUE),EXACT(metadata!N147,"9606"))</f>
        <v>0</v>
      </c>
      <c r="AP147" t="b">
        <f>IF(metadata!O147="",FALSE,TRUE)</f>
        <v>0</v>
      </c>
      <c r="AQ147" t="b">
        <f>IF(metadata!P147="",FALSE,TRUE)</f>
        <v>0</v>
      </c>
      <c r="AR147" t="b">
        <f>IF(metadata!Q147="",FALSE,ISNUMBER(VALUE(metadata!Q147)))</f>
        <v>0</v>
      </c>
      <c r="AS147" t="b">
        <f>AND(IF(metadata!R147="",FALSE,TRUE),EXACT(metadata!R147,"kg"))</f>
        <v>0</v>
      </c>
    </row>
    <row r="148" spans="1:45" x14ac:dyDescent="0.2">
      <c r="A148" s="5" t="str">
        <f ca="1">IF(B148=" "," ",HYPERLINK(CONCATENATE("#metadata!",ADDRESS(INDEX($X$2:$X$1001,MATCH(ROWS($V$2:V148),$V$2:$V$1001,0),0),1)),INDEX($AA$2:$AA$1001,MATCH(ROWS($V$2:V148),$V$2:$V$1001,0),0)))</f>
        <v xml:space="preserve"> </v>
      </c>
      <c r="B148" s="4" t="str">
        <f ca="1">IF(OR(INDEX($W$2:$W$1001,MATCH(ROWS($V$2:V148),$V$2:$V$1001,0),1)&gt;=100000,INDEX($AC$1005:$AS$1005,1,MATCH(COLUMNS($AC$1006:AC1006),$AC$1006:$AS$1006,0))&gt;=100000), " ",IF(INDEX($AC$2:$AS$1001,MATCH(ROWS($V$2:V148),$V$2:$V$1001,0),MATCH(COLUMNS($AC$1006:AC1006),$AC$1006:$AS$1006,0)), HYPERLINK("#",""), HYPERLINK(CONCATENATE("#metadata!", ADDRESS(INDEX($X$2:$X$1001,MATCH(ROWS($V$2:V148),$V$2:$V$1001,0),0), INDEX($AC$1004:$AS$1004,1,MATCH(COLUMNS($AC$1006:AC1006),$AC$1006:$AS$1006,0)))),"Fix")))</f>
        <v xml:space="preserve"> </v>
      </c>
      <c r="C148" s="4" t="str">
        <f ca="1">IF(OR(INDEX($W$2:$W$1001,MATCH(ROWS($V$2:V148),$V$2:$V$1001,0),1)&gt;=100000,INDEX($AC$1005:$AS$1005,1,MATCH(COLUMNS($AC$1006:AD1006),$AC$1006:$AS$1006,0))&gt;=100000), " ",IF(INDEX($AC$2:$AS$1001,MATCH(ROWS($V$2:V148),$V$2:$V$1001,0),MATCH(COLUMNS($AC$1006:AD1006),$AC$1006:$AS$1006,0)), HYPERLINK("#",""), HYPERLINK(CONCATENATE("#metadata!", ADDRESS(INDEX($X$2:$X$1001,MATCH(ROWS($V$2:V148),$V$2:$V$1001,0),0), INDEX($AC$1004:$AS$1004,1,MATCH(COLUMNS($AC$1006:AD1006),$AC$1006:$AS$1006,0)))),"Fix")))</f>
        <v xml:space="preserve"> </v>
      </c>
      <c r="D148" s="4" t="str">
        <f ca="1">IF(OR(INDEX($W$2:$W$1001,MATCH(ROWS($V$2:V148),$V$2:$V$1001,0),1)&gt;=100000,INDEX($AC$1005:$AS$1005,1,MATCH(COLUMNS($AC$1006:AE1006),$AC$1006:$AS$1006,0))&gt;=100000), " ",IF(INDEX($AC$2:$AS$1001,MATCH(ROWS($V$2:V148),$V$2:$V$1001,0),MATCH(COLUMNS($AC$1006:AE1006),$AC$1006:$AS$1006,0)), HYPERLINK("#",""), HYPERLINK(CONCATENATE("#metadata!", ADDRESS(INDEX($X$2:$X$1001,MATCH(ROWS($V$2:V148),$V$2:$V$1001,0),0), INDEX($AC$1004:$AS$1004,1,MATCH(COLUMNS($AC$1006:AE1006),$AC$1006:$AS$1006,0)))),"Fix")))</f>
        <v xml:space="preserve"> </v>
      </c>
      <c r="E148" s="4" t="str">
        <f ca="1">IF(OR(INDEX($W$2:$W$1001,MATCH(ROWS($V$2:V148),$V$2:$V$1001,0),1)&gt;=100000,INDEX($AC$1005:$AS$1005,1,MATCH(COLUMNS($AC$1006:AF1006),$AC$1006:$AS$1006,0))&gt;=100000), " ",IF(INDEX($AC$2:$AS$1001,MATCH(ROWS($V$2:V148),$V$2:$V$1001,0),MATCH(COLUMNS($AC$1006:AF1006),$AC$1006:$AS$1006,0)), HYPERLINK("#",""), HYPERLINK(CONCATENATE("#metadata!", ADDRESS(INDEX($X$2:$X$1001,MATCH(ROWS($V$2:V148),$V$2:$V$1001,0),0), INDEX($AC$1004:$AS$1004,1,MATCH(COLUMNS($AC$1006:AF1006),$AC$1006:$AS$1006,0)))),"Fix")))</f>
        <v xml:space="preserve"> </v>
      </c>
      <c r="F148" s="4" t="str">
        <f ca="1">IF(OR(INDEX($W$2:$W$1001,MATCH(ROWS($V$2:V148),$V$2:$V$1001,0),1)&gt;=100000,INDEX($AC$1005:$AS$1005,1,MATCH(COLUMNS($AC$1006:AG1006),$AC$1006:$AS$1006,0))&gt;=100000), " ",IF(INDEX($AC$2:$AS$1001,MATCH(ROWS($V$2:V148),$V$2:$V$1001,0),MATCH(COLUMNS($AC$1006:AG1006),$AC$1006:$AS$1006,0)), HYPERLINK("#",""), HYPERLINK(CONCATENATE("#metadata!", ADDRESS(INDEX($X$2:$X$1001,MATCH(ROWS($V$2:V148),$V$2:$V$1001,0),0), INDEX($AC$1004:$AS$1004,1,MATCH(COLUMNS($AC$1006:AG1006),$AC$1006:$AS$1006,0)))),"Fix")))</f>
        <v xml:space="preserve"> </v>
      </c>
      <c r="G148" s="4" t="str">
        <f ca="1">IF(OR(INDEX($W$2:$W$1001,MATCH(ROWS($V$2:V148),$V$2:$V$1001,0),1)&gt;=100000,INDEX($AC$1005:$AS$1005,1,MATCH(COLUMNS($AC$1006:AH1006),$AC$1006:$AS$1006,0))&gt;=100000), " ",IF(INDEX($AC$2:$AS$1001,MATCH(ROWS($V$2:V148),$V$2:$V$1001,0),MATCH(COLUMNS($AC$1006:AH1006),$AC$1006:$AS$1006,0)), HYPERLINK("#",""), HYPERLINK(CONCATENATE("#metadata!", ADDRESS(INDEX($X$2:$X$1001,MATCH(ROWS($V$2:V148),$V$2:$V$1001,0),0), INDEX($AC$1004:$AS$1004,1,MATCH(COLUMNS($AC$1006:AH1006),$AC$1006:$AS$1006,0)))),"Fix")))</f>
        <v xml:space="preserve"> </v>
      </c>
      <c r="H148" s="4" t="str">
        <f ca="1">IF(OR(INDEX($W$2:$W$1001,MATCH(ROWS($V$2:V148),$V$2:$V$1001,0),1)&gt;=100000,INDEX($AC$1005:$AS$1005,1,MATCH(COLUMNS($AC$1006:AI1006),$AC$1006:$AS$1006,0))&gt;=100000), " ",IF(INDEX($AC$2:$AS$1001,MATCH(ROWS($V$2:V148),$V$2:$V$1001,0),MATCH(COLUMNS($AC$1006:AI1006),$AC$1006:$AS$1006,0)), HYPERLINK("#",""), HYPERLINK(CONCATENATE("#metadata!", ADDRESS(INDEX($X$2:$X$1001,MATCH(ROWS($V$2:V148),$V$2:$V$1001,0),0), INDEX($AC$1004:$AS$1004,1,MATCH(COLUMNS($AC$1006:AI1006),$AC$1006:$AS$1006,0)))),"Fix")))</f>
        <v xml:space="preserve"> </v>
      </c>
      <c r="I148" s="4" t="str">
        <f ca="1">IF(OR(INDEX($W$2:$W$1001,MATCH(ROWS($V$2:V148),$V$2:$V$1001,0),1)&gt;=100000,INDEX($AC$1005:$AS$1005,1,MATCH(COLUMNS($AC$1006:AJ1006),$AC$1006:$AS$1006,0))&gt;=100000), " ",IF(INDEX($AC$2:$AS$1001,MATCH(ROWS($V$2:V148),$V$2:$V$1001,0),MATCH(COLUMNS($AC$1006:AJ1006),$AC$1006:$AS$1006,0)), HYPERLINK("#",""), HYPERLINK(CONCATENATE("#metadata!", ADDRESS(INDEX($X$2:$X$1001,MATCH(ROWS($V$2:V148),$V$2:$V$1001,0),0), INDEX($AC$1004:$AS$1004,1,MATCH(COLUMNS($AC$1006:AJ1006),$AC$1006:$AS$1006,0)))),"Fix")))</f>
        <v xml:space="preserve"> </v>
      </c>
      <c r="J148" s="4" t="str">
        <f ca="1">IF(OR(INDEX($W$2:$W$1001,MATCH(ROWS($V$2:V148),$V$2:$V$1001,0),1)&gt;=100000,INDEX($AC$1005:$AS$1005,1,MATCH(COLUMNS($AC$1006:AK1006),$AC$1006:$AS$1006,0))&gt;=100000), " ",IF(INDEX($AC$2:$AS$1001,MATCH(ROWS($V$2:V148),$V$2:$V$1001,0),MATCH(COLUMNS($AC$1006:AK1006),$AC$1006:$AS$1006,0)), HYPERLINK("#",""), HYPERLINK(CONCATENATE("#metadata!", ADDRESS(INDEX($X$2:$X$1001,MATCH(ROWS($V$2:V148),$V$2:$V$1001,0),0), INDEX($AC$1004:$AS$1004,1,MATCH(COLUMNS($AC$1006:AK1006),$AC$1006:$AS$1006,0)))),"Fix")))</f>
        <v xml:space="preserve"> </v>
      </c>
      <c r="K148" s="4" t="str">
        <f ca="1">IF(OR(INDEX($W$2:$W$1001,MATCH(ROWS($V$2:V148),$V$2:$V$1001,0),1)&gt;=100000,INDEX($AC$1005:$AS$1005,1,MATCH(COLUMNS($AC$1006:AL1006),$AC$1006:$AS$1006,0))&gt;=100000), " ",IF(INDEX($AC$2:$AS$1001,MATCH(ROWS($V$2:V148),$V$2:$V$1001,0),MATCH(COLUMNS($AC$1006:AL1006),$AC$1006:$AS$1006,0)), HYPERLINK("#",""), HYPERLINK(CONCATENATE("#metadata!", ADDRESS(INDEX($X$2:$X$1001,MATCH(ROWS($V$2:V148),$V$2:$V$1001,0),0), INDEX($AC$1004:$AS$1004,1,MATCH(COLUMNS($AC$1006:AL1006),$AC$1006:$AS$1006,0)))),"Fix")))</f>
        <v xml:space="preserve"> </v>
      </c>
      <c r="L148" s="4" t="str">
        <f ca="1">IF(OR(INDEX($W$2:$W$1001,MATCH(ROWS($V$2:V148),$V$2:$V$1001,0),1)&gt;=100000,INDEX($AC$1005:$AS$1005,1,MATCH(COLUMNS($AC$1006:AM1006),$AC$1006:$AS$1006,0))&gt;=100000), " ",IF(INDEX($AC$2:$AS$1001,MATCH(ROWS($V$2:V148),$V$2:$V$1001,0),MATCH(COLUMNS($AC$1006:AM1006),$AC$1006:$AS$1006,0)), HYPERLINK("#",""), HYPERLINK(CONCATENATE("#metadata!", ADDRESS(INDEX($X$2:$X$1001,MATCH(ROWS($V$2:V148),$V$2:$V$1001,0),0), INDEX($AC$1004:$AS$1004,1,MATCH(COLUMNS($AC$1006:AM1006),$AC$1006:$AS$1006,0)))),"Fix")))</f>
        <v xml:space="preserve"> </v>
      </c>
      <c r="M148" s="4" t="str">
        <f ca="1">IF(OR(INDEX($W$2:$W$1001,MATCH(ROWS($V$2:V148),$V$2:$V$1001,0),1)&gt;=100000,INDEX($AC$1005:$AS$1005,1,MATCH(COLUMNS($AC$1006:AN1006),$AC$1006:$AS$1006,0))&gt;=100000), " ",IF(INDEX($AC$2:$AS$1001,MATCH(ROWS($V$2:V148),$V$2:$V$1001,0),MATCH(COLUMNS($AC$1006:AN1006),$AC$1006:$AS$1006,0)), HYPERLINK("#",""), HYPERLINK(CONCATENATE("#metadata!", ADDRESS(INDEX($X$2:$X$1001,MATCH(ROWS($V$2:V148),$V$2:$V$1001,0),0), INDEX($AC$1004:$AS$1004,1,MATCH(COLUMNS($AC$1006:AN1006),$AC$1006:$AS$1006,0)))),"Fix")))</f>
        <v xml:space="preserve"> </v>
      </c>
      <c r="N148" s="4" t="str">
        <f ca="1">IF(OR(INDEX($W$2:$W$1001,MATCH(ROWS($V$2:V148),$V$2:$V$1001,0),1)&gt;=100000,INDEX($AC$1005:$AS$1005,1,MATCH(COLUMNS($AC$1006:AO1006),$AC$1006:$AS$1006,0))&gt;=100000), " ",IF(INDEX($AC$2:$AS$1001,MATCH(ROWS($V$2:V148),$V$2:$V$1001,0),MATCH(COLUMNS($AC$1006:AO1006),$AC$1006:$AS$1006,0)), HYPERLINK("#",""), HYPERLINK(CONCATENATE("#metadata!", ADDRESS(INDEX($X$2:$X$1001,MATCH(ROWS($V$2:V148),$V$2:$V$1001,0),0), INDEX($AC$1004:$AS$1004,1,MATCH(COLUMNS($AC$1006:AO1006),$AC$1006:$AS$1006,0)))),"Fix")))</f>
        <v xml:space="preserve"> </v>
      </c>
      <c r="O148" s="4" t="str">
        <f ca="1">IF(OR(INDEX($W$2:$W$1001,MATCH(ROWS($V$2:V148),$V$2:$V$1001,0),1)&gt;=100000,INDEX($AC$1005:$AS$1005,1,MATCH(COLUMNS($AC$1006:AP1006),$AC$1006:$AS$1006,0))&gt;=100000), " ",IF(INDEX($AC$2:$AS$1001,MATCH(ROWS($V$2:V148),$V$2:$V$1001,0),MATCH(COLUMNS($AC$1006:AP1006),$AC$1006:$AS$1006,0)), HYPERLINK("#",""), HYPERLINK(CONCATENATE("#metadata!", ADDRESS(INDEX($X$2:$X$1001,MATCH(ROWS($V$2:V148),$V$2:$V$1001,0),0), INDEX($AC$1004:$AS$1004,1,MATCH(COLUMNS($AC$1006:AP1006),$AC$1006:$AS$1006,0)))),"Fix")))</f>
        <v xml:space="preserve"> </v>
      </c>
      <c r="P148" s="4" t="str">
        <f ca="1">IF(OR(INDEX($W$2:$W$1001,MATCH(ROWS($V$2:V148),$V$2:$V$1001,0),1)&gt;=100000,INDEX($AC$1005:$AS$1005,1,MATCH(COLUMNS($AC$1006:AQ1006),$AC$1006:$AS$1006,0))&gt;=100000), " ",IF(INDEX($AC$2:$AS$1001,MATCH(ROWS($V$2:V148),$V$2:$V$1001,0),MATCH(COLUMNS($AC$1006:AQ1006),$AC$1006:$AS$1006,0)), HYPERLINK("#",""), HYPERLINK(CONCATENATE("#metadata!", ADDRESS(INDEX($X$2:$X$1001,MATCH(ROWS($V$2:V148),$V$2:$V$1001,0),0), INDEX($AC$1004:$AS$1004,1,MATCH(COLUMNS($AC$1006:AQ1006),$AC$1006:$AS$1006,0)))),"Fix")))</f>
        <v xml:space="preserve"> </v>
      </c>
      <c r="Q148" s="4" t="str">
        <f ca="1">IF(OR(INDEX($W$2:$W$1001,MATCH(ROWS($V$2:V148),$V$2:$V$1001,0),1)&gt;=100000,INDEX($AC$1005:$AS$1005,1,MATCH(COLUMNS($AC$1006:AR1006),$AC$1006:$AS$1006,0))&gt;=100000), " ",IF(INDEX($AC$2:$AS$1001,MATCH(ROWS($V$2:V148),$V$2:$V$1001,0),MATCH(COLUMNS($AC$1006:AR1006),$AC$1006:$AS$1006,0)), HYPERLINK("#",""), HYPERLINK(CONCATENATE("#metadata!", ADDRESS(INDEX($X$2:$X$1001,MATCH(ROWS($V$2:V148),$V$2:$V$1001,0),0), INDEX($AC$1004:$AS$1004,1,MATCH(COLUMNS($AC$1006:AR1006),$AC$1006:$AS$1006,0)))),"Fix")))</f>
        <v xml:space="preserve"> </v>
      </c>
      <c r="R148" s="4" t="str">
        <f ca="1">IF(OR(INDEX($W$2:$W$1001,MATCH(ROWS($V$2:V148),$V$2:$V$1001,0),1)&gt;=100000,INDEX($AC$1005:$AS$1005,1,MATCH(COLUMNS($AC$1006:AS1006),$AC$1006:$AS$1006,0))&gt;=100000), " ",IF(INDEX($AC$2:$AS$1001,MATCH(ROWS($V$2:V148),$V$2:$V$1001,0),MATCH(COLUMNS($AC$1006:AS1006),$AC$1006:$AS$1006,0)), HYPERLINK("#",""), HYPERLINK(CONCATENATE("#metadata!", ADDRESS(INDEX($X$2:$X$1001,MATCH(ROWS($V$2:V148),$V$2:$V$1001,0),0), INDEX($AC$1004:$AS$1004,1,MATCH(COLUMNS($AC$1006:AS1006),$AC$1006:$AS$1006,0)))),"Fix")))</f>
        <v xml:space="preserve"> </v>
      </c>
      <c r="V148">
        <v>147</v>
      </c>
      <c r="W148">
        <v>100148</v>
      </c>
      <c r="X148">
        <v>148</v>
      </c>
      <c r="Y148" t="b">
        <f t="shared" si="2"/>
        <v>1</v>
      </c>
      <c r="Z148" t="b">
        <f>COUNTBLANK(metadata!B148:R148)=COLUMNS(metadata!B148:R148)</f>
        <v>1</v>
      </c>
      <c r="AA148" t="str">
        <v/>
      </c>
      <c r="AC148" t="b">
        <f ca="1"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AD148" t="b">
        <f>IF(metadata!C148="",FALSE,ISNUMBER(VALUE(metadata!C148)))</f>
        <v>0</v>
      </c>
      <c r="AE148" t="b">
        <f>AND(IF(metadata!D148="",FALSE,TRUE),EXACT(metadata!D148,"years"))</f>
        <v>0</v>
      </c>
      <c r="AF148" t="b">
        <f>OR(AND(IF(metadata!E148="",FALSE,TRUE),OR(EXACT(metadata!E148,"not applicable"),EXACT(metadata!E148,"missing: not collected"),EXACT(metadata!E148,"missing: not provided"),EXACT(metadata!E148,"missing: restricted access"))),AND(IF(metadata!E148="",FALSE,ISNUMBER(VALUE(metadata!E148))),metadata!E148&gt;0))</f>
        <v>0</v>
      </c>
      <c r="AG148" t="b">
        <f>AND(IF(metadata!F148="",FALSE,TRUE),EXACT(metadata!F148,"Not applicable"))</f>
        <v>0</v>
      </c>
      <c r="AH148" t="b">
        <f>AND(IF(metadata!G148="",FALSE,TRUE),EXACT(metadata!G148,"urban biome"))</f>
        <v>0</v>
      </c>
      <c r="AI148" t="b">
        <f>AND(IF(metadata!H148="",FALSE,TRUE),EXACT(metadata!H148,"human-associated habitat"))</f>
        <v>0</v>
      </c>
      <c r="AJ148" t="b">
        <f>AND(IF(metadata!I148="",FALSE,TRUE),OR(EXACT(metadata!I148,"human-associated"),EXACT(metadata!I148,"human-skin"),EXACT(metadata!I148,"human-oral"),EXACT(metadata!I148,"human-gut"),EXACT(metadata!I148,"human-vaginal")))</f>
        <v>0</v>
      </c>
      <c r="AK148" t="b">
        <f>IF(metadata!J148="",FALSE,ISNUMBER(VALUE(metadata!J148)))</f>
        <v>0</v>
      </c>
      <c r="AL148" t="b">
        <f>AND(IF(metadata!K148="",FALSE,TRUE),EXACT(metadata!K148,"cm"))</f>
        <v>0</v>
      </c>
      <c r="AM148" t="b">
        <f>AND(IF(metadata!L148="",FALSE,TRUE),EXACT(metadata!L148,"human"))</f>
        <v>0</v>
      </c>
      <c r="AN148" t="b">
        <f>AND(IF(metadata!M148="",FALSE,TRUE),EXACT(metadata!M148,"Homo sapiens"))</f>
        <v>0</v>
      </c>
      <c r="AO148" t="b">
        <f>AND(IF(metadata!N148="",FALSE,TRUE),EXACT(metadata!N148,"9606"))</f>
        <v>0</v>
      </c>
      <c r="AP148" t="b">
        <f>IF(metadata!O148="",FALSE,TRUE)</f>
        <v>0</v>
      </c>
      <c r="AQ148" t="b">
        <f>IF(metadata!P148="",FALSE,TRUE)</f>
        <v>0</v>
      </c>
      <c r="AR148" t="b">
        <f>IF(metadata!Q148="",FALSE,ISNUMBER(VALUE(metadata!Q148)))</f>
        <v>0</v>
      </c>
      <c r="AS148" t="b">
        <f>AND(IF(metadata!R148="",FALSE,TRUE),EXACT(metadata!R148,"kg"))</f>
        <v>0</v>
      </c>
    </row>
    <row r="149" spans="1:45" x14ac:dyDescent="0.2">
      <c r="A149" s="5" t="str">
        <f ca="1">IF(B149=" "," ",HYPERLINK(CONCATENATE("#metadata!",ADDRESS(INDEX($X$2:$X$1001,MATCH(ROWS($V$2:V149),$V$2:$V$1001,0),0),1)),INDEX($AA$2:$AA$1001,MATCH(ROWS($V$2:V149),$V$2:$V$1001,0),0)))</f>
        <v xml:space="preserve"> </v>
      </c>
      <c r="B149" s="4" t="str">
        <f ca="1">IF(OR(INDEX($W$2:$W$1001,MATCH(ROWS($V$2:V149),$V$2:$V$1001,0),1)&gt;=100000,INDEX($AC$1005:$AS$1005,1,MATCH(COLUMNS($AC$1006:AC1006),$AC$1006:$AS$1006,0))&gt;=100000), " ",IF(INDEX($AC$2:$AS$1001,MATCH(ROWS($V$2:V149),$V$2:$V$1001,0),MATCH(COLUMNS($AC$1006:AC1006),$AC$1006:$AS$1006,0)), HYPERLINK("#",""), HYPERLINK(CONCATENATE("#metadata!", ADDRESS(INDEX($X$2:$X$1001,MATCH(ROWS($V$2:V149),$V$2:$V$1001,0),0), INDEX($AC$1004:$AS$1004,1,MATCH(COLUMNS($AC$1006:AC1006),$AC$1006:$AS$1006,0)))),"Fix")))</f>
        <v xml:space="preserve"> </v>
      </c>
      <c r="C149" s="4" t="str">
        <f ca="1">IF(OR(INDEX($W$2:$W$1001,MATCH(ROWS($V$2:V149),$V$2:$V$1001,0),1)&gt;=100000,INDEX($AC$1005:$AS$1005,1,MATCH(COLUMNS($AC$1006:AD1006),$AC$1006:$AS$1006,0))&gt;=100000), " ",IF(INDEX($AC$2:$AS$1001,MATCH(ROWS($V$2:V149),$V$2:$V$1001,0),MATCH(COLUMNS($AC$1006:AD1006),$AC$1006:$AS$1006,0)), HYPERLINK("#",""), HYPERLINK(CONCATENATE("#metadata!", ADDRESS(INDEX($X$2:$X$1001,MATCH(ROWS($V$2:V149),$V$2:$V$1001,0),0), INDEX($AC$1004:$AS$1004,1,MATCH(COLUMNS($AC$1006:AD1006),$AC$1006:$AS$1006,0)))),"Fix")))</f>
        <v xml:space="preserve"> </v>
      </c>
      <c r="D149" s="4" t="str">
        <f ca="1">IF(OR(INDEX($W$2:$W$1001,MATCH(ROWS($V$2:V149),$V$2:$V$1001,0),1)&gt;=100000,INDEX($AC$1005:$AS$1005,1,MATCH(COLUMNS($AC$1006:AE1006),$AC$1006:$AS$1006,0))&gt;=100000), " ",IF(INDEX($AC$2:$AS$1001,MATCH(ROWS($V$2:V149),$V$2:$V$1001,0),MATCH(COLUMNS($AC$1006:AE1006),$AC$1006:$AS$1006,0)), HYPERLINK("#",""), HYPERLINK(CONCATENATE("#metadata!", ADDRESS(INDEX($X$2:$X$1001,MATCH(ROWS($V$2:V149),$V$2:$V$1001,0),0), INDEX($AC$1004:$AS$1004,1,MATCH(COLUMNS($AC$1006:AE1006),$AC$1006:$AS$1006,0)))),"Fix")))</f>
        <v xml:space="preserve"> </v>
      </c>
      <c r="E149" s="4" t="str">
        <f ca="1">IF(OR(INDEX($W$2:$W$1001,MATCH(ROWS($V$2:V149),$V$2:$V$1001,0),1)&gt;=100000,INDEX($AC$1005:$AS$1005,1,MATCH(COLUMNS($AC$1006:AF1006),$AC$1006:$AS$1006,0))&gt;=100000), " ",IF(INDEX($AC$2:$AS$1001,MATCH(ROWS($V$2:V149),$V$2:$V$1001,0),MATCH(COLUMNS($AC$1006:AF1006),$AC$1006:$AS$1006,0)), HYPERLINK("#",""), HYPERLINK(CONCATENATE("#metadata!", ADDRESS(INDEX($X$2:$X$1001,MATCH(ROWS($V$2:V149),$V$2:$V$1001,0),0), INDEX($AC$1004:$AS$1004,1,MATCH(COLUMNS($AC$1006:AF1006),$AC$1006:$AS$1006,0)))),"Fix")))</f>
        <v xml:space="preserve"> </v>
      </c>
      <c r="F149" s="4" t="str">
        <f ca="1">IF(OR(INDEX($W$2:$W$1001,MATCH(ROWS($V$2:V149),$V$2:$V$1001,0),1)&gt;=100000,INDEX($AC$1005:$AS$1005,1,MATCH(COLUMNS($AC$1006:AG1006),$AC$1006:$AS$1006,0))&gt;=100000), " ",IF(INDEX($AC$2:$AS$1001,MATCH(ROWS($V$2:V149),$V$2:$V$1001,0),MATCH(COLUMNS($AC$1006:AG1006),$AC$1006:$AS$1006,0)), HYPERLINK("#",""), HYPERLINK(CONCATENATE("#metadata!", ADDRESS(INDEX($X$2:$X$1001,MATCH(ROWS($V$2:V149),$V$2:$V$1001,0),0), INDEX($AC$1004:$AS$1004,1,MATCH(COLUMNS($AC$1006:AG1006),$AC$1006:$AS$1006,0)))),"Fix")))</f>
        <v xml:space="preserve"> </v>
      </c>
      <c r="G149" s="4" t="str">
        <f ca="1">IF(OR(INDEX($W$2:$W$1001,MATCH(ROWS($V$2:V149),$V$2:$V$1001,0),1)&gt;=100000,INDEX($AC$1005:$AS$1005,1,MATCH(COLUMNS($AC$1006:AH1006),$AC$1006:$AS$1006,0))&gt;=100000), " ",IF(INDEX($AC$2:$AS$1001,MATCH(ROWS($V$2:V149),$V$2:$V$1001,0),MATCH(COLUMNS($AC$1006:AH1006),$AC$1006:$AS$1006,0)), HYPERLINK("#",""), HYPERLINK(CONCATENATE("#metadata!", ADDRESS(INDEX($X$2:$X$1001,MATCH(ROWS($V$2:V149),$V$2:$V$1001,0),0), INDEX($AC$1004:$AS$1004,1,MATCH(COLUMNS($AC$1006:AH1006),$AC$1006:$AS$1006,0)))),"Fix")))</f>
        <v xml:space="preserve"> </v>
      </c>
      <c r="H149" s="4" t="str">
        <f ca="1">IF(OR(INDEX($W$2:$W$1001,MATCH(ROWS($V$2:V149),$V$2:$V$1001,0),1)&gt;=100000,INDEX($AC$1005:$AS$1005,1,MATCH(COLUMNS($AC$1006:AI1006),$AC$1006:$AS$1006,0))&gt;=100000), " ",IF(INDEX($AC$2:$AS$1001,MATCH(ROWS($V$2:V149),$V$2:$V$1001,0),MATCH(COLUMNS($AC$1006:AI1006),$AC$1006:$AS$1006,0)), HYPERLINK("#",""), HYPERLINK(CONCATENATE("#metadata!", ADDRESS(INDEX($X$2:$X$1001,MATCH(ROWS($V$2:V149),$V$2:$V$1001,0),0), INDEX($AC$1004:$AS$1004,1,MATCH(COLUMNS($AC$1006:AI1006),$AC$1006:$AS$1006,0)))),"Fix")))</f>
        <v xml:space="preserve"> </v>
      </c>
      <c r="I149" s="4" t="str">
        <f ca="1">IF(OR(INDEX($W$2:$W$1001,MATCH(ROWS($V$2:V149),$V$2:$V$1001,0),1)&gt;=100000,INDEX($AC$1005:$AS$1005,1,MATCH(COLUMNS($AC$1006:AJ1006),$AC$1006:$AS$1006,0))&gt;=100000), " ",IF(INDEX($AC$2:$AS$1001,MATCH(ROWS($V$2:V149),$V$2:$V$1001,0),MATCH(COLUMNS($AC$1006:AJ1006),$AC$1006:$AS$1006,0)), HYPERLINK("#",""), HYPERLINK(CONCATENATE("#metadata!", ADDRESS(INDEX($X$2:$X$1001,MATCH(ROWS($V$2:V149),$V$2:$V$1001,0),0), INDEX($AC$1004:$AS$1004,1,MATCH(COLUMNS($AC$1006:AJ1006),$AC$1006:$AS$1006,0)))),"Fix")))</f>
        <v xml:space="preserve"> </v>
      </c>
      <c r="J149" s="4" t="str">
        <f ca="1">IF(OR(INDEX($W$2:$W$1001,MATCH(ROWS($V$2:V149),$V$2:$V$1001,0),1)&gt;=100000,INDEX($AC$1005:$AS$1005,1,MATCH(COLUMNS($AC$1006:AK1006),$AC$1006:$AS$1006,0))&gt;=100000), " ",IF(INDEX($AC$2:$AS$1001,MATCH(ROWS($V$2:V149),$V$2:$V$1001,0),MATCH(COLUMNS($AC$1006:AK1006),$AC$1006:$AS$1006,0)), HYPERLINK("#",""), HYPERLINK(CONCATENATE("#metadata!", ADDRESS(INDEX($X$2:$X$1001,MATCH(ROWS($V$2:V149),$V$2:$V$1001,0),0), INDEX($AC$1004:$AS$1004,1,MATCH(COLUMNS($AC$1006:AK1006),$AC$1006:$AS$1006,0)))),"Fix")))</f>
        <v xml:space="preserve"> </v>
      </c>
      <c r="K149" s="4" t="str">
        <f ca="1">IF(OR(INDEX($W$2:$W$1001,MATCH(ROWS($V$2:V149),$V$2:$V$1001,0),1)&gt;=100000,INDEX($AC$1005:$AS$1005,1,MATCH(COLUMNS($AC$1006:AL1006),$AC$1006:$AS$1006,0))&gt;=100000), " ",IF(INDEX($AC$2:$AS$1001,MATCH(ROWS($V$2:V149),$V$2:$V$1001,0),MATCH(COLUMNS($AC$1006:AL1006),$AC$1006:$AS$1006,0)), HYPERLINK("#",""), HYPERLINK(CONCATENATE("#metadata!", ADDRESS(INDEX($X$2:$X$1001,MATCH(ROWS($V$2:V149),$V$2:$V$1001,0),0), INDEX($AC$1004:$AS$1004,1,MATCH(COLUMNS($AC$1006:AL1006),$AC$1006:$AS$1006,0)))),"Fix")))</f>
        <v xml:space="preserve"> </v>
      </c>
      <c r="L149" s="4" t="str">
        <f ca="1">IF(OR(INDEX($W$2:$W$1001,MATCH(ROWS($V$2:V149),$V$2:$V$1001,0),1)&gt;=100000,INDEX($AC$1005:$AS$1005,1,MATCH(COLUMNS($AC$1006:AM1006),$AC$1006:$AS$1006,0))&gt;=100000), " ",IF(INDEX($AC$2:$AS$1001,MATCH(ROWS($V$2:V149),$V$2:$V$1001,0),MATCH(COLUMNS($AC$1006:AM1006),$AC$1006:$AS$1006,0)), HYPERLINK("#",""), HYPERLINK(CONCATENATE("#metadata!", ADDRESS(INDEX($X$2:$X$1001,MATCH(ROWS($V$2:V149),$V$2:$V$1001,0),0), INDEX($AC$1004:$AS$1004,1,MATCH(COLUMNS($AC$1006:AM1006),$AC$1006:$AS$1006,0)))),"Fix")))</f>
        <v xml:space="preserve"> </v>
      </c>
      <c r="M149" s="4" t="str">
        <f ca="1">IF(OR(INDEX($W$2:$W$1001,MATCH(ROWS($V$2:V149),$V$2:$V$1001,0),1)&gt;=100000,INDEX($AC$1005:$AS$1005,1,MATCH(COLUMNS($AC$1006:AN1006),$AC$1006:$AS$1006,0))&gt;=100000), " ",IF(INDEX($AC$2:$AS$1001,MATCH(ROWS($V$2:V149),$V$2:$V$1001,0),MATCH(COLUMNS($AC$1006:AN1006),$AC$1006:$AS$1006,0)), HYPERLINK("#",""), HYPERLINK(CONCATENATE("#metadata!", ADDRESS(INDEX($X$2:$X$1001,MATCH(ROWS($V$2:V149),$V$2:$V$1001,0),0), INDEX($AC$1004:$AS$1004,1,MATCH(COLUMNS($AC$1006:AN1006),$AC$1006:$AS$1006,0)))),"Fix")))</f>
        <v xml:space="preserve"> </v>
      </c>
      <c r="N149" s="4" t="str">
        <f ca="1">IF(OR(INDEX($W$2:$W$1001,MATCH(ROWS($V$2:V149),$V$2:$V$1001,0),1)&gt;=100000,INDEX($AC$1005:$AS$1005,1,MATCH(COLUMNS($AC$1006:AO1006),$AC$1006:$AS$1006,0))&gt;=100000), " ",IF(INDEX($AC$2:$AS$1001,MATCH(ROWS($V$2:V149),$V$2:$V$1001,0),MATCH(COLUMNS($AC$1006:AO1006),$AC$1006:$AS$1006,0)), HYPERLINK("#",""), HYPERLINK(CONCATENATE("#metadata!", ADDRESS(INDEX($X$2:$X$1001,MATCH(ROWS($V$2:V149),$V$2:$V$1001,0),0), INDEX($AC$1004:$AS$1004,1,MATCH(COLUMNS($AC$1006:AO1006),$AC$1006:$AS$1006,0)))),"Fix")))</f>
        <v xml:space="preserve"> </v>
      </c>
      <c r="O149" s="4" t="str">
        <f ca="1">IF(OR(INDEX($W$2:$W$1001,MATCH(ROWS($V$2:V149),$V$2:$V$1001,0),1)&gt;=100000,INDEX($AC$1005:$AS$1005,1,MATCH(COLUMNS($AC$1006:AP1006),$AC$1006:$AS$1006,0))&gt;=100000), " ",IF(INDEX($AC$2:$AS$1001,MATCH(ROWS($V$2:V149),$V$2:$V$1001,0),MATCH(COLUMNS($AC$1006:AP1006),$AC$1006:$AS$1006,0)), HYPERLINK("#",""), HYPERLINK(CONCATENATE("#metadata!", ADDRESS(INDEX($X$2:$X$1001,MATCH(ROWS($V$2:V149),$V$2:$V$1001,0),0), INDEX($AC$1004:$AS$1004,1,MATCH(COLUMNS($AC$1006:AP1006),$AC$1006:$AS$1006,0)))),"Fix")))</f>
        <v xml:space="preserve"> </v>
      </c>
      <c r="P149" s="4" t="str">
        <f ca="1">IF(OR(INDEX($W$2:$W$1001,MATCH(ROWS($V$2:V149),$V$2:$V$1001,0),1)&gt;=100000,INDEX($AC$1005:$AS$1005,1,MATCH(COLUMNS($AC$1006:AQ1006),$AC$1006:$AS$1006,0))&gt;=100000), " ",IF(INDEX($AC$2:$AS$1001,MATCH(ROWS($V$2:V149),$V$2:$V$1001,0),MATCH(COLUMNS($AC$1006:AQ1006),$AC$1006:$AS$1006,0)), HYPERLINK("#",""), HYPERLINK(CONCATENATE("#metadata!", ADDRESS(INDEX($X$2:$X$1001,MATCH(ROWS($V$2:V149),$V$2:$V$1001,0),0), INDEX($AC$1004:$AS$1004,1,MATCH(COLUMNS($AC$1006:AQ1006),$AC$1006:$AS$1006,0)))),"Fix")))</f>
        <v xml:space="preserve"> </v>
      </c>
      <c r="Q149" s="4" t="str">
        <f ca="1">IF(OR(INDEX($W$2:$W$1001,MATCH(ROWS($V$2:V149),$V$2:$V$1001,0),1)&gt;=100000,INDEX($AC$1005:$AS$1005,1,MATCH(COLUMNS($AC$1006:AR1006),$AC$1006:$AS$1006,0))&gt;=100000), " ",IF(INDEX($AC$2:$AS$1001,MATCH(ROWS($V$2:V149),$V$2:$V$1001,0),MATCH(COLUMNS($AC$1006:AR1006),$AC$1006:$AS$1006,0)), HYPERLINK("#",""), HYPERLINK(CONCATENATE("#metadata!", ADDRESS(INDEX($X$2:$X$1001,MATCH(ROWS($V$2:V149),$V$2:$V$1001,0),0), INDEX($AC$1004:$AS$1004,1,MATCH(COLUMNS($AC$1006:AR1006),$AC$1006:$AS$1006,0)))),"Fix")))</f>
        <v xml:space="preserve"> </v>
      </c>
      <c r="R149" s="4" t="str">
        <f ca="1">IF(OR(INDEX($W$2:$W$1001,MATCH(ROWS($V$2:V149),$V$2:$V$1001,0),1)&gt;=100000,INDEX($AC$1005:$AS$1005,1,MATCH(COLUMNS($AC$1006:AS1006),$AC$1006:$AS$1006,0))&gt;=100000), " ",IF(INDEX($AC$2:$AS$1001,MATCH(ROWS($V$2:V149),$V$2:$V$1001,0),MATCH(COLUMNS($AC$1006:AS1006),$AC$1006:$AS$1006,0)), HYPERLINK("#",""), HYPERLINK(CONCATENATE("#metadata!", ADDRESS(INDEX($X$2:$X$1001,MATCH(ROWS($V$2:V149),$V$2:$V$1001,0),0), INDEX($AC$1004:$AS$1004,1,MATCH(COLUMNS($AC$1006:AS1006),$AC$1006:$AS$1006,0)))),"Fix")))</f>
        <v xml:space="preserve"> </v>
      </c>
      <c r="V149">
        <v>148</v>
      </c>
      <c r="W149">
        <v>100149</v>
      </c>
      <c r="X149">
        <v>149</v>
      </c>
      <c r="Y149" t="b">
        <f t="shared" si="2"/>
        <v>1</v>
      </c>
      <c r="Z149" t="b">
        <f>COUNTBLANK(metadata!B149:R149)=COLUMNS(metadata!B149:R149)</f>
        <v>1</v>
      </c>
      <c r="AA149" t="str">
        <v/>
      </c>
      <c r="AC149" t="b">
        <f ca="1"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AD149" t="b">
        <f>IF(metadata!C149="",FALSE,ISNUMBER(VALUE(metadata!C149)))</f>
        <v>0</v>
      </c>
      <c r="AE149" t="b">
        <f>AND(IF(metadata!D149="",FALSE,TRUE),EXACT(metadata!D149,"years"))</f>
        <v>0</v>
      </c>
      <c r="AF149" t="b">
        <f>OR(AND(IF(metadata!E149="",FALSE,TRUE),OR(EXACT(metadata!E149,"not applicable"),EXACT(metadata!E149,"missing: not collected"),EXACT(metadata!E149,"missing: not provided"),EXACT(metadata!E149,"missing: restricted access"))),AND(IF(metadata!E149="",FALSE,ISNUMBER(VALUE(metadata!E149))),metadata!E149&gt;0))</f>
        <v>0</v>
      </c>
      <c r="AG149" t="b">
        <f>AND(IF(metadata!F149="",FALSE,TRUE),EXACT(metadata!F149,"Not applicable"))</f>
        <v>0</v>
      </c>
      <c r="AH149" t="b">
        <f>AND(IF(metadata!G149="",FALSE,TRUE),EXACT(metadata!G149,"urban biome"))</f>
        <v>0</v>
      </c>
      <c r="AI149" t="b">
        <f>AND(IF(metadata!H149="",FALSE,TRUE),EXACT(metadata!H149,"human-associated habitat"))</f>
        <v>0</v>
      </c>
      <c r="AJ149" t="b">
        <f>AND(IF(metadata!I149="",FALSE,TRUE),OR(EXACT(metadata!I149,"human-associated"),EXACT(metadata!I149,"human-skin"),EXACT(metadata!I149,"human-oral"),EXACT(metadata!I149,"human-gut"),EXACT(metadata!I149,"human-vaginal")))</f>
        <v>0</v>
      </c>
      <c r="AK149" t="b">
        <f>IF(metadata!J149="",FALSE,ISNUMBER(VALUE(metadata!J149)))</f>
        <v>0</v>
      </c>
      <c r="AL149" t="b">
        <f>AND(IF(metadata!K149="",FALSE,TRUE),EXACT(metadata!K149,"cm"))</f>
        <v>0</v>
      </c>
      <c r="AM149" t="b">
        <f>AND(IF(metadata!L149="",FALSE,TRUE),EXACT(metadata!L149,"human"))</f>
        <v>0</v>
      </c>
      <c r="AN149" t="b">
        <f>AND(IF(metadata!M149="",FALSE,TRUE),EXACT(metadata!M149,"Homo sapiens"))</f>
        <v>0</v>
      </c>
      <c r="AO149" t="b">
        <f>AND(IF(metadata!N149="",FALSE,TRUE),EXACT(metadata!N149,"9606"))</f>
        <v>0</v>
      </c>
      <c r="AP149" t="b">
        <f>IF(metadata!O149="",FALSE,TRUE)</f>
        <v>0</v>
      </c>
      <c r="AQ149" t="b">
        <f>IF(metadata!P149="",FALSE,TRUE)</f>
        <v>0</v>
      </c>
      <c r="AR149" t="b">
        <f>IF(metadata!Q149="",FALSE,ISNUMBER(VALUE(metadata!Q149)))</f>
        <v>0</v>
      </c>
      <c r="AS149" t="b">
        <f>AND(IF(metadata!R149="",FALSE,TRUE),EXACT(metadata!R149,"kg"))</f>
        <v>0</v>
      </c>
    </row>
    <row r="150" spans="1:45" x14ac:dyDescent="0.2">
      <c r="A150" s="5" t="str">
        <f ca="1">IF(B150=" "," ",HYPERLINK(CONCATENATE("#metadata!",ADDRESS(INDEX($X$2:$X$1001,MATCH(ROWS($V$2:V150),$V$2:$V$1001,0),0),1)),INDEX($AA$2:$AA$1001,MATCH(ROWS($V$2:V150),$V$2:$V$1001,0),0)))</f>
        <v xml:space="preserve"> </v>
      </c>
      <c r="B150" s="4" t="str">
        <f ca="1">IF(OR(INDEX($W$2:$W$1001,MATCH(ROWS($V$2:V150),$V$2:$V$1001,0),1)&gt;=100000,INDEX($AC$1005:$AS$1005,1,MATCH(COLUMNS($AC$1006:AC1006),$AC$1006:$AS$1006,0))&gt;=100000), " ",IF(INDEX($AC$2:$AS$1001,MATCH(ROWS($V$2:V150),$V$2:$V$1001,0),MATCH(COLUMNS($AC$1006:AC1006),$AC$1006:$AS$1006,0)), HYPERLINK("#",""), HYPERLINK(CONCATENATE("#metadata!", ADDRESS(INDEX($X$2:$X$1001,MATCH(ROWS($V$2:V150),$V$2:$V$1001,0),0), INDEX($AC$1004:$AS$1004,1,MATCH(COLUMNS($AC$1006:AC1006),$AC$1006:$AS$1006,0)))),"Fix")))</f>
        <v xml:space="preserve"> </v>
      </c>
      <c r="C150" s="4" t="str">
        <f ca="1">IF(OR(INDEX($W$2:$W$1001,MATCH(ROWS($V$2:V150),$V$2:$V$1001,0),1)&gt;=100000,INDEX($AC$1005:$AS$1005,1,MATCH(COLUMNS($AC$1006:AD1006),$AC$1006:$AS$1006,0))&gt;=100000), " ",IF(INDEX($AC$2:$AS$1001,MATCH(ROWS($V$2:V150),$V$2:$V$1001,0),MATCH(COLUMNS($AC$1006:AD1006),$AC$1006:$AS$1006,0)), HYPERLINK("#",""), HYPERLINK(CONCATENATE("#metadata!", ADDRESS(INDEX($X$2:$X$1001,MATCH(ROWS($V$2:V150),$V$2:$V$1001,0),0), INDEX($AC$1004:$AS$1004,1,MATCH(COLUMNS($AC$1006:AD1006),$AC$1006:$AS$1006,0)))),"Fix")))</f>
        <v xml:space="preserve"> </v>
      </c>
      <c r="D150" s="4" t="str">
        <f ca="1">IF(OR(INDEX($W$2:$W$1001,MATCH(ROWS($V$2:V150),$V$2:$V$1001,0),1)&gt;=100000,INDEX($AC$1005:$AS$1005,1,MATCH(COLUMNS($AC$1006:AE1006),$AC$1006:$AS$1006,0))&gt;=100000), " ",IF(INDEX($AC$2:$AS$1001,MATCH(ROWS($V$2:V150),$V$2:$V$1001,0),MATCH(COLUMNS($AC$1006:AE1006),$AC$1006:$AS$1006,0)), HYPERLINK("#",""), HYPERLINK(CONCATENATE("#metadata!", ADDRESS(INDEX($X$2:$X$1001,MATCH(ROWS($V$2:V150),$V$2:$V$1001,0),0), INDEX($AC$1004:$AS$1004,1,MATCH(COLUMNS($AC$1006:AE1006),$AC$1006:$AS$1006,0)))),"Fix")))</f>
        <v xml:space="preserve"> </v>
      </c>
      <c r="E150" s="4" t="str">
        <f ca="1">IF(OR(INDEX($W$2:$W$1001,MATCH(ROWS($V$2:V150),$V$2:$V$1001,0),1)&gt;=100000,INDEX($AC$1005:$AS$1005,1,MATCH(COLUMNS($AC$1006:AF1006),$AC$1006:$AS$1006,0))&gt;=100000), " ",IF(INDEX($AC$2:$AS$1001,MATCH(ROWS($V$2:V150),$V$2:$V$1001,0),MATCH(COLUMNS($AC$1006:AF1006),$AC$1006:$AS$1006,0)), HYPERLINK("#",""), HYPERLINK(CONCATENATE("#metadata!", ADDRESS(INDEX($X$2:$X$1001,MATCH(ROWS($V$2:V150),$V$2:$V$1001,0),0), INDEX($AC$1004:$AS$1004,1,MATCH(COLUMNS($AC$1006:AF1006),$AC$1006:$AS$1006,0)))),"Fix")))</f>
        <v xml:space="preserve"> </v>
      </c>
      <c r="F150" s="4" t="str">
        <f ca="1">IF(OR(INDEX($W$2:$W$1001,MATCH(ROWS($V$2:V150),$V$2:$V$1001,0),1)&gt;=100000,INDEX($AC$1005:$AS$1005,1,MATCH(COLUMNS($AC$1006:AG1006),$AC$1006:$AS$1006,0))&gt;=100000), " ",IF(INDEX($AC$2:$AS$1001,MATCH(ROWS($V$2:V150),$V$2:$V$1001,0),MATCH(COLUMNS($AC$1006:AG1006),$AC$1006:$AS$1006,0)), HYPERLINK("#",""), HYPERLINK(CONCATENATE("#metadata!", ADDRESS(INDEX($X$2:$X$1001,MATCH(ROWS($V$2:V150),$V$2:$V$1001,0),0), INDEX($AC$1004:$AS$1004,1,MATCH(COLUMNS($AC$1006:AG1006),$AC$1006:$AS$1006,0)))),"Fix")))</f>
        <v xml:space="preserve"> </v>
      </c>
      <c r="G150" s="4" t="str">
        <f ca="1">IF(OR(INDEX($W$2:$W$1001,MATCH(ROWS($V$2:V150),$V$2:$V$1001,0),1)&gt;=100000,INDEX($AC$1005:$AS$1005,1,MATCH(COLUMNS($AC$1006:AH1006),$AC$1006:$AS$1006,0))&gt;=100000), " ",IF(INDEX($AC$2:$AS$1001,MATCH(ROWS($V$2:V150),$V$2:$V$1001,0),MATCH(COLUMNS($AC$1006:AH1006),$AC$1006:$AS$1006,0)), HYPERLINK("#",""), HYPERLINK(CONCATENATE("#metadata!", ADDRESS(INDEX($X$2:$X$1001,MATCH(ROWS($V$2:V150),$V$2:$V$1001,0),0), INDEX($AC$1004:$AS$1004,1,MATCH(COLUMNS($AC$1006:AH1006),$AC$1006:$AS$1006,0)))),"Fix")))</f>
        <v xml:space="preserve"> </v>
      </c>
      <c r="H150" s="4" t="str">
        <f ca="1">IF(OR(INDEX($W$2:$W$1001,MATCH(ROWS($V$2:V150),$V$2:$V$1001,0),1)&gt;=100000,INDEX($AC$1005:$AS$1005,1,MATCH(COLUMNS($AC$1006:AI1006),$AC$1006:$AS$1006,0))&gt;=100000), " ",IF(INDEX($AC$2:$AS$1001,MATCH(ROWS($V$2:V150),$V$2:$V$1001,0),MATCH(COLUMNS($AC$1006:AI1006),$AC$1006:$AS$1006,0)), HYPERLINK("#",""), HYPERLINK(CONCATENATE("#metadata!", ADDRESS(INDEX($X$2:$X$1001,MATCH(ROWS($V$2:V150),$V$2:$V$1001,0),0), INDEX($AC$1004:$AS$1004,1,MATCH(COLUMNS($AC$1006:AI1006),$AC$1006:$AS$1006,0)))),"Fix")))</f>
        <v xml:space="preserve"> </v>
      </c>
      <c r="I150" s="4" t="str">
        <f ca="1">IF(OR(INDEX($W$2:$W$1001,MATCH(ROWS($V$2:V150),$V$2:$V$1001,0),1)&gt;=100000,INDEX($AC$1005:$AS$1005,1,MATCH(COLUMNS($AC$1006:AJ1006),$AC$1006:$AS$1006,0))&gt;=100000), " ",IF(INDEX($AC$2:$AS$1001,MATCH(ROWS($V$2:V150),$V$2:$V$1001,0),MATCH(COLUMNS($AC$1006:AJ1006),$AC$1006:$AS$1006,0)), HYPERLINK("#",""), HYPERLINK(CONCATENATE("#metadata!", ADDRESS(INDEX($X$2:$X$1001,MATCH(ROWS($V$2:V150),$V$2:$V$1001,0),0), INDEX($AC$1004:$AS$1004,1,MATCH(COLUMNS($AC$1006:AJ1006),$AC$1006:$AS$1006,0)))),"Fix")))</f>
        <v xml:space="preserve"> </v>
      </c>
      <c r="J150" s="4" t="str">
        <f ca="1">IF(OR(INDEX($W$2:$W$1001,MATCH(ROWS($V$2:V150),$V$2:$V$1001,0),1)&gt;=100000,INDEX($AC$1005:$AS$1005,1,MATCH(COLUMNS($AC$1006:AK1006),$AC$1006:$AS$1006,0))&gt;=100000), " ",IF(INDEX($AC$2:$AS$1001,MATCH(ROWS($V$2:V150),$V$2:$V$1001,0),MATCH(COLUMNS($AC$1006:AK1006),$AC$1006:$AS$1006,0)), HYPERLINK("#",""), HYPERLINK(CONCATENATE("#metadata!", ADDRESS(INDEX($X$2:$X$1001,MATCH(ROWS($V$2:V150),$V$2:$V$1001,0),0), INDEX($AC$1004:$AS$1004,1,MATCH(COLUMNS($AC$1006:AK1006),$AC$1006:$AS$1006,0)))),"Fix")))</f>
        <v xml:space="preserve"> </v>
      </c>
      <c r="K150" s="4" t="str">
        <f ca="1">IF(OR(INDEX($W$2:$W$1001,MATCH(ROWS($V$2:V150),$V$2:$V$1001,0),1)&gt;=100000,INDEX($AC$1005:$AS$1005,1,MATCH(COLUMNS($AC$1006:AL1006),$AC$1006:$AS$1006,0))&gt;=100000), " ",IF(INDEX($AC$2:$AS$1001,MATCH(ROWS($V$2:V150),$V$2:$V$1001,0),MATCH(COLUMNS($AC$1006:AL1006),$AC$1006:$AS$1006,0)), HYPERLINK("#",""), HYPERLINK(CONCATENATE("#metadata!", ADDRESS(INDEX($X$2:$X$1001,MATCH(ROWS($V$2:V150),$V$2:$V$1001,0),0), INDEX($AC$1004:$AS$1004,1,MATCH(COLUMNS($AC$1006:AL1006),$AC$1006:$AS$1006,0)))),"Fix")))</f>
        <v xml:space="preserve"> </v>
      </c>
      <c r="L150" s="4" t="str">
        <f ca="1">IF(OR(INDEX($W$2:$W$1001,MATCH(ROWS($V$2:V150),$V$2:$V$1001,0),1)&gt;=100000,INDEX($AC$1005:$AS$1005,1,MATCH(COLUMNS($AC$1006:AM1006),$AC$1006:$AS$1006,0))&gt;=100000), " ",IF(INDEX($AC$2:$AS$1001,MATCH(ROWS($V$2:V150),$V$2:$V$1001,0),MATCH(COLUMNS($AC$1006:AM1006),$AC$1006:$AS$1006,0)), HYPERLINK("#",""), HYPERLINK(CONCATENATE("#metadata!", ADDRESS(INDEX($X$2:$X$1001,MATCH(ROWS($V$2:V150),$V$2:$V$1001,0),0), INDEX($AC$1004:$AS$1004,1,MATCH(COLUMNS($AC$1006:AM1006),$AC$1006:$AS$1006,0)))),"Fix")))</f>
        <v xml:space="preserve"> </v>
      </c>
      <c r="M150" s="4" t="str">
        <f ca="1">IF(OR(INDEX($W$2:$W$1001,MATCH(ROWS($V$2:V150),$V$2:$V$1001,0),1)&gt;=100000,INDEX($AC$1005:$AS$1005,1,MATCH(COLUMNS($AC$1006:AN1006),$AC$1006:$AS$1006,0))&gt;=100000), " ",IF(INDEX($AC$2:$AS$1001,MATCH(ROWS($V$2:V150),$V$2:$V$1001,0),MATCH(COLUMNS($AC$1006:AN1006),$AC$1006:$AS$1006,0)), HYPERLINK("#",""), HYPERLINK(CONCATENATE("#metadata!", ADDRESS(INDEX($X$2:$X$1001,MATCH(ROWS($V$2:V150),$V$2:$V$1001,0),0), INDEX($AC$1004:$AS$1004,1,MATCH(COLUMNS($AC$1006:AN1006),$AC$1006:$AS$1006,0)))),"Fix")))</f>
        <v xml:space="preserve"> </v>
      </c>
      <c r="N150" s="4" t="str">
        <f ca="1">IF(OR(INDEX($W$2:$W$1001,MATCH(ROWS($V$2:V150),$V$2:$V$1001,0),1)&gt;=100000,INDEX($AC$1005:$AS$1005,1,MATCH(COLUMNS($AC$1006:AO1006),$AC$1006:$AS$1006,0))&gt;=100000), " ",IF(INDEX($AC$2:$AS$1001,MATCH(ROWS($V$2:V150),$V$2:$V$1001,0),MATCH(COLUMNS($AC$1006:AO1006),$AC$1006:$AS$1006,0)), HYPERLINK("#",""), HYPERLINK(CONCATENATE("#metadata!", ADDRESS(INDEX($X$2:$X$1001,MATCH(ROWS($V$2:V150),$V$2:$V$1001,0),0), INDEX($AC$1004:$AS$1004,1,MATCH(COLUMNS($AC$1006:AO1006),$AC$1006:$AS$1006,0)))),"Fix")))</f>
        <v xml:space="preserve"> </v>
      </c>
      <c r="O150" s="4" t="str">
        <f ca="1">IF(OR(INDEX($W$2:$W$1001,MATCH(ROWS($V$2:V150),$V$2:$V$1001,0),1)&gt;=100000,INDEX($AC$1005:$AS$1005,1,MATCH(COLUMNS($AC$1006:AP1006),$AC$1006:$AS$1006,0))&gt;=100000), " ",IF(INDEX($AC$2:$AS$1001,MATCH(ROWS($V$2:V150),$V$2:$V$1001,0),MATCH(COLUMNS($AC$1006:AP1006),$AC$1006:$AS$1006,0)), HYPERLINK("#",""), HYPERLINK(CONCATENATE("#metadata!", ADDRESS(INDEX($X$2:$X$1001,MATCH(ROWS($V$2:V150),$V$2:$V$1001,0),0), INDEX($AC$1004:$AS$1004,1,MATCH(COLUMNS($AC$1006:AP1006),$AC$1006:$AS$1006,0)))),"Fix")))</f>
        <v xml:space="preserve"> </v>
      </c>
      <c r="P150" s="4" t="str">
        <f ca="1">IF(OR(INDEX($W$2:$W$1001,MATCH(ROWS($V$2:V150),$V$2:$V$1001,0),1)&gt;=100000,INDEX($AC$1005:$AS$1005,1,MATCH(COLUMNS($AC$1006:AQ1006),$AC$1006:$AS$1006,0))&gt;=100000), " ",IF(INDEX($AC$2:$AS$1001,MATCH(ROWS($V$2:V150),$V$2:$V$1001,0),MATCH(COLUMNS($AC$1006:AQ1006),$AC$1006:$AS$1006,0)), HYPERLINK("#",""), HYPERLINK(CONCATENATE("#metadata!", ADDRESS(INDEX($X$2:$X$1001,MATCH(ROWS($V$2:V150),$V$2:$V$1001,0),0), INDEX($AC$1004:$AS$1004,1,MATCH(COLUMNS($AC$1006:AQ1006),$AC$1006:$AS$1006,0)))),"Fix")))</f>
        <v xml:space="preserve"> </v>
      </c>
      <c r="Q150" s="4" t="str">
        <f ca="1">IF(OR(INDEX($W$2:$W$1001,MATCH(ROWS($V$2:V150),$V$2:$V$1001,0),1)&gt;=100000,INDEX($AC$1005:$AS$1005,1,MATCH(COLUMNS($AC$1006:AR1006),$AC$1006:$AS$1006,0))&gt;=100000), " ",IF(INDEX($AC$2:$AS$1001,MATCH(ROWS($V$2:V150),$V$2:$V$1001,0),MATCH(COLUMNS($AC$1006:AR1006),$AC$1006:$AS$1006,0)), HYPERLINK("#",""), HYPERLINK(CONCATENATE("#metadata!", ADDRESS(INDEX($X$2:$X$1001,MATCH(ROWS($V$2:V150),$V$2:$V$1001,0),0), INDEX($AC$1004:$AS$1004,1,MATCH(COLUMNS($AC$1006:AR1006),$AC$1006:$AS$1006,0)))),"Fix")))</f>
        <v xml:space="preserve"> </v>
      </c>
      <c r="R150" s="4" t="str">
        <f ca="1">IF(OR(INDEX($W$2:$W$1001,MATCH(ROWS($V$2:V150),$V$2:$V$1001,0),1)&gt;=100000,INDEX($AC$1005:$AS$1005,1,MATCH(COLUMNS($AC$1006:AS1006),$AC$1006:$AS$1006,0))&gt;=100000), " ",IF(INDEX($AC$2:$AS$1001,MATCH(ROWS($V$2:V150),$V$2:$V$1001,0),MATCH(COLUMNS($AC$1006:AS1006),$AC$1006:$AS$1006,0)), HYPERLINK("#",""), HYPERLINK(CONCATENATE("#metadata!", ADDRESS(INDEX($X$2:$X$1001,MATCH(ROWS($V$2:V150),$V$2:$V$1001,0),0), INDEX($AC$1004:$AS$1004,1,MATCH(COLUMNS($AC$1006:AS1006),$AC$1006:$AS$1006,0)))),"Fix")))</f>
        <v xml:space="preserve"> </v>
      </c>
      <c r="V150">
        <v>149</v>
      </c>
      <c r="W150">
        <v>100150</v>
      </c>
      <c r="X150">
        <v>150</v>
      </c>
      <c r="Y150" t="b">
        <f t="shared" si="2"/>
        <v>1</v>
      </c>
      <c r="Z150" t="b">
        <f>COUNTBLANK(metadata!B150:R150)=COLUMNS(metadata!B150:R150)</f>
        <v>1</v>
      </c>
      <c r="AA150" t="str">
        <v/>
      </c>
      <c r="AC150" t="b">
        <f ca="1"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AD150" t="b">
        <f>IF(metadata!C150="",FALSE,ISNUMBER(VALUE(metadata!C150)))</f>
        <v>0</v>
      </c>
      <c r="AE150" t="b">
        <f>AND(IF(metadata!D150="",FALSE,TRUE),EXACT(metadata!D150,"years"))</f>
        <v>0</v>
      </c>
      <c r="AF150" t="b">
        <f>OR(AND(IF(metadata!E150="",FALSE,TRUE),OR(EXACT(metadata!E150,"not applicable"),EXACT(metadata!E150,"missing: not collected"),EXACT(metadata!E150,"missing: not provided"),EXACT(metadata!E150,"missing: restricted access"))),AND(IF(metadata!E150="",FALSE,ISNUMBER(VALUE(metadata!E150))),metadata!E150&gt;0))</f>
        <v>0</v>
      </c>
      <c r="AG150" t="b">
        <f>AND(IF(metadata!F150="",FALSE,TRUE),EXACT(metadata!F150,"Not applicable"))</f>
        <v>0</v>
      </c>
      <c r="AH150" t="b">
        <f>AND(IF(metadata!G150="",FALSE,TRUE),EXACT(metadata!G150,"urban biome"))</f>
        <v>0</v>
      </c>
      <c r="AI150" t="b">
        <f>AND(IF(metadata!H150="",FALSE,TRUE),EXACT(metadata!H150,"human-associated habitat"))</f>
        <v>0</v>
      </c>
      <c r="AJ150" t="b">
        <f>AND(IF(metadata!I150="",FALSE,TRUE),OR(EXACT(metadata!I150,"human-associated"),EXACT(metadata!I150,"human-skin"),EXACT(metadata!I150,"human-oral"),EXACT(metadata!I150,"human-gut"),EXACT(metadata!I150,"human-vaginal")))</f>
        <v>0</v>
      </c>
      <c r="AK150" t="b">
        <f>IF(metadata!J150="",FALSE,ISNUMBER(VALUE(metadata!J150)))</f>
        <v>0</v>
      </c>
      <c r="AL150" t="b">
        <f>AND(IF(metadata!K150="",FALSE,TRUE),EXACT(metadata!K150,"cm"))</f>
        <v>0</v>
      </c>
      <c r="AM150" t="b">
        <f>AND(IF(metadata!L150="",FALSE,TRUE),EXACT(metadata!L150,"human"))</f>
        <v>0</v>
      </c>
      <c r="AN150" t="b">
        <f>AND(IF(metadata!M150="",FALSE,TRUE),EXACT(metadata!M150,"Homo sapiens"))</f>
        <v>0</v>
      </c>
      <c r="AO150" t="b">
        <f>AND(IF(metadata!N150="",FALSE,TRUE),EXACT(metadata!N150,"9606"))</f>
        <v>0</v>
      </c>
      <c r="AP150" t="b">
        <f>IF(metadata!O150="",FALSE,TRUE)</f>
        <v>0</v>
      </c>
      <c r="AQ150" t="b">
        <f>IF(metadata!P150="",FALSE,TRUE)</f>
        <v>0</v>
      </c>
      <c r="AR150" t="b">
        <f>IF(metadata!Q150="",FALSE,ISNUMBER(VALUE(metadata!Q150)))</f>
        <v>0</v>
      </c>
      <c r="AS150" t="b">
        <f>AND(IF(metadata!R150="",FALSE,TRUE),EXACT(metadata!R150,"kg"))</f>
        <v>0</v>
      </c>
    </row>
    <row r="151" spans="1:45" x14ac:dyDescent="0.2">
      <c r="A151" s="5" t="str">
        <f ca="1">IF(B151=" "," ",HYPERLINK(CONCATENATE("#metadata!",ADDRESS(INDEX($X$2:$X$1001,MATCH(ROWS($V$2:V151),$V$2:$V$1001,0),0),1)),INDEX($AA$2:$AA$1001,MATCH(ROWS($V$2:V151),$V$2:$V$1001,0),0)))</f>
        <v xml:space="preserve"> </v>
      </c>
      <c r="B151" s="4" t="str">
        <f ca="1">IF(OR(INDEX($W$2:$W$1001,MATCH(ROWS($V$2:V151),$V$2:$V$1001,0),1)&gt;=100000,INDEX($AC$1005:$AS$1005,1,MATCH(COLUMNS($AC$1006:AC1006),$AC$1006:$AS$1006,0))&gt;=100000), " ",IF(INDEX($AC$2:$AS$1001,MATCH(ROWS($V$2:V151),$V$2:$V$1001,0),MATCH(COLUMNS($AC$1006:AC1006),$AC$1006:$AS$1006,0)), HYPERLINK("#",""), HYPERLINK(CONCATENATE("#metadata!", ADDRESS(INDEX($X$2:$X$1001,MATCH(ROWS($V$2:V151),$V$2:$V$1001,0),0), INDEX($AC$1004:$AS$1004,1,MATCH(COLUMNS($AC$1006:AC1006),$AC$1006:$AS$1006,0)))),"Fix")))</f>
        <v xml:space="preserve"> </v>
      </c>
      <c r="C151" s="4" t="str">
        <f ca="1">IF(OR(INDEX($W$2:$W$1001,MATCH(ROWS($V$2:V151),$V$2:$V$1001,0),1)&gt;=100000,INDEX($AC$1005:$AS$1005,1,MATCH(COLUMNS($AC$1006:AD1006),$AC$1006:$AS$1006,0))&gt;=100000), " ",IF(INDEX($AC$2:$AS$1001,MATCH(ROWS($V$2:V151),$V$2:$V$1001,0),MATCH(COLUMNS($AC$1006:AD1006),$AC$1006:$AS$1006,0)), HYPERLINK("#",""), HYPERLINK(CONCATENATE("#metadata!", ADDRESS(INDEX($X$2:$X$1001,MATCH(ROWS($V$2:V151),$V$2:$V$1001,0),0), INDEX($AC$1004:$AS$1004,1,MATCH(COLUMNS($AC$1006:AD1006),$AC$1006:$AS$1006,0)))),"Fix")))</f>
        <v xml:space="preserve"> </v>
      </c>
      <c r="D151" s="4" t="str">
        <f ca="1">IF(OR(INDEX($W$2:$W$1001,MATCH(ROWS($V$2:V151),$V$2:$V$1001,0),1)&gt;=100000,INDEX($AC$1005:$AS$1005,1,MATCH(COLUMNS($AC$1006:AE1006),$AC$1006:$AS$1006,0))&gt;=100000), " ",IF(INDEX($AC$2:$AS$1001,MATCH(ROWS($V$2:V151),$V$2:$V$1001,0),MATCH(COLUMNS($AC$1006:AE1006),$AC$1006:$AS$1006,0)), HYPERLINK("#",""), HYPERLINK(CONCATENATE("#metadata!", ADDRESS(INDEX($X$2:$X$1001,MATCH(ROWS($V$2:V151),$V$2:$V$1001,0),0), INDEX($AC$1004:$AS$1004,1,MATCH(COLUMNS($AC$1006:AE1006),$AC$1006:$AS$1006,0)))),"Fix")))</f>
        <v xml:space="preserve"> </v>
      </c>
      <c r="E151" s="4" t="str">
        <f ca="1">IF(OR(INDEX($W$2:$W$1001,MATCH(ROWS($V$2:V151),$V$2:$V$1001,0),1)&gt;=100000,INDEX($AC$1005:$AS$1005,1,MATCH(COLUMNS($AC$1006:AF1006),$AC$1006:$AS$1006,0))&gt;=100000), " ",IF(INDEX($AC$2:$AS$1001,MATCH(ROWS($V$2:V151),$V$2:$V$1001,0),MATCH(COLUMNS($AC$1006:AF1006),$AC$1006:$AS$1006,0)), HYPERLINK("#",""), HYPERLINK(CONCATENATE("#metadata!", ADDRESS(INDEX($X$2:$X$1001,MATCH(ROWS($V$2:V151),$V$2:$V$1001,0),0), INDEX($AC$1004:$AS$1004,1,MATCH(COLUMNS($AC$1006:AF1006),$AC$1006:$AS$1006,0)))),"Fix")))</f>
        <v xml:space="preserve"> </v>
      </c>
      <c r="F151" s="4" t="str">
        <f ca="1">IF(OR(INDEX($W$2:$W$1001,MATCH(ROWS($V$2:V151),$V$2:$V$1001,0),1)&gt;=100000,INDEX($AC$1005:$AS$1005,1,MATCH(COLUMNS($AC$1006:AG1006),$AC$1006:$AS$1006,0))&gt;=100000), " ",IF(INDEX($AC$2:$AS$1001,MATCH(ROWS($V$2:V151),$V$2:$V$1001,0),MATCH(COLUMNS($AC$1006:AG1006),$AC$1006:$AS$1006,0)), HYPERLINK("#",""), HYPERLINK(CONCATENATE("#metadata!", ADDRESS(INDEX($X$2:$X$1001,MATCH(ROWS($V$2:V151),$V$2:$V$1001,0),0), INDEX($AC$1004:$AS$1004,1,MATCH(COLUMNS($AC$1006:AG1006),$AC$1006:$AS$1006,0)))),"Fix")))</f>
        <v xml:space="preserve"> </v>
      </c>
      <c r="G151" s="4" t="str">
        <f ca="1">IF(OR(INDEX($W$2:$W$1001,MATCH(ROWS($V$2:V151),$V$2:$V$1001,0),1)&gt;=100000,INDEX($AC$1005:$AS$1005,1,MATCH(COLUMNS($AC$1006:AH1006),$AC$1006:$AS$1006,0))&gt;=100000), " ",IF(INDEX($AC$2:$AS$1001,MATCH(ROWS($V$2:V151),$V$2:$V$1001,0),MATCH(COLUMNS($AC$1006:AH1006),$AC$1006:$AS$1006,0)), HYPERLINK("#",""), HYPERLINK(CONCATENATE("#metadata!", ADDRESS(INDEX($X$2:$X$1001,MATCH(ROWS($V$2:V151),$V$2:$V$1001,0),0), INDEX($AC$1004:$AS$1004,1,MATCH(COLUMNS($AC$1006:AH1006),$AC$1006:$AS$1006,0)))),"Fix")))</f>
        <v xml:space="preserve"> </v>
      </c>
      <c r="H151" s="4" t="str">
        <f ca="1">IF(OR(INDEX($W$2:$W$1001,MATCH(ROWS($V$2:V151),$V$2:$V$1001,0),1)&gt;=100000,INDEX($AC$1005:$AS$1005,1,MATCH(COLUMNS($AC$1006:AI1006),$AC$1006:$AS$1006,0))&gt;=100000), " ",IF(INDEX($AC$2:$AS$1001,MATCH(ROWS($V$2:V151),$V$2:$V$1001,0),MATCH(COLUMNS($AC$1006:AI1006),$AC$1006:$AS$1006,0)), HYPERLINK("#",""), HYPERLINK(CONCATENATE("#metadata!", ADDRESS(INDEX($X$2:$X$1001,MATCH(ROWS($V$2:V151),$V$2:$V$1001,0),0), INDEX($AC$1004:$AS$1004,1,MATCH(COLUMNS($AC$1006:AI1006),$AC$1006:$AS$1006,0)))),"Fix")))</f>
        <v xml:space="preserve"> </v>
      </c>
      <c r="I151" s="4" t="str">
        <f ca="1">IF(OR(INDEX($W$2:$W$1001,MATCH(ROWS($V$2:V151),$V$2:$V$1001,0),1)&gt;=100000,INDEX($AC$1005:$AS$1005,1,MATCH(COLUMNS($AC$1006:AJ1006),$AC$1006:$AS$1006,0))&gt;=100000), " ",IF(INDEX($AC$2:$AS$1001,MATCH(ROWS($V$2:V151),$V$2:$V$1001,0),MATCH(COLUMNS($AC$1006:AJ1006),$AC$1006:$AS$1006,0)), HYPERLINK("#",""), HYPERLINK(CONCATENATE("#metadata!", ADDRESS(INDEX($X$2:$X$1001,MATCH(ROWS($V$2:V151),$V$2:$V$1001,0),0), INDEX($AC$1004:$AS$1004,1,MATCH(COLUMNS($AC$1006:AJ1006),$AC$1006:$AS$1006,0)))),"Fix")))</f>
        <v xml:space="preserve"> </v>
      </c>
      <c r="J151" s="4" t="str">
        <f ca="1">IF(OR(INDEX($W$2:$W$1001,MATCH(ROWS($V$2:V151),$V$2:$V$1001,0),1)&gt;=100000,INDEX($AC$1005:$AS$1005,1,MATCH(COLUMNS($AC$1006:AK1006),$AC$1006:$AS$1006,0))&gt;=100000), " ",IF(INDEX($AC$2:$AS$1001,MATCH(ROWS($V$2:V151),$V$2:$V$1001,0),MATCH(COLUMNS($AC$1006:AK1006),$AC$1006:$AS$1006,0)), HYPERLINK("#",""), HYPERLINK(CONCATENATE("#metadata!", ADDRESS(INDEX($X$2:$X$1001,MATCH(ROWS($V$2:V151),$V$2:$V$1001,0),0), INDEX($AC$1004:$AS$1004,1,MATCH(COLUMNS($AC$1006:AK1006),$AC$1006:$AS$1006,0)))),"Fix")))</f>
        <v xml:space="preserve"> </v>
      </c>
      <c r="K151" s="4" t="str">
        <f ca="1">IF(OR(INDEX($W$2:$W$1001,MATCH(ROWS($V$2:V151),$V$2:$V$1001,0),1)&gt;=100000,INDEX($AC$1005:$AS$1005,1,MATCH(COLUMNS($AC$1006:AL1006),$AC$1006:$AS$1006,0))&gt;=100000), " ",IF(INDEX($AC$2:$AS$1001,MATCH(ROWS($V$2:V151),$V$2:$V$1001,0),MATCH(COLUMNS($AC$1006:AL1006),$AC$1006:$AS$1006,0)), HYPERLINK("#",""), HYPERLINK(CONCATENATE("#metadata!", ADDRESS(INDEX($X$2:$X$1001,MATCH(ROWS($V$2:V151),$V$2:$V$1001,0),0), INDEX($AC$1004:$AS$1004,1,MATCH(COLUMNS($AC$1006:AL1006),$AC$1006:$AS$1006,0)))),"Fix")))</f>
        <v xml:space="preserve"> </v>
      </c>
      <c r="L151" s="4" t="str">
        <f ca="1">IF(OR(INDEX($W$2:$W$1001,MATCH(ROWS($V$2:V151),$V$2:$V$1001,0),1)&gt;=100000,INDEX($AC$1005:$AS$1005,1,MATCH(COLUMNS($AC$1006:AM1006),$AC$1006:$AS$1006,0))&gt;=100000), " ",IF(INDEX($AC$2:$AS$1001,MATCH(ROWS($V$2:V151),$V$2:$V$1001,0),MATCH(COLUMNS($AC$1006:AM1006),$AC$1006:$AS$1006,0)), HYPERLINK("#",""), HYPERLINK(CONCATENATE("#metadata!", ADDRESS(INDEX($X$2:$X$1001,MATCH(ROWS($V$2:V151),$V$2:$V$1001,0),0), INDEX($AC$1004:$AS$1004,1,MATCH(COLUMNS($AC$1006:AM1006),$AC$1006:$AS$1006,0)))),"Fix")))</f>
        <v xml:space="preserve"> </v>
      </c>
      <c r="M151" s="4" t="str">
        <f ca="1">IF(OR(INDEX($W$2:$W$1001,MATCH(ROWS($V$2:V151),$V$2:$V$1001,0),1)&gt;=100000,INDEX($AC$1005:$AS$1005,1,MATCH(COLUMNS($AC$1006:AN1006),$AC$1006:$AS$1006,0))&gt;=100000), " ",IF(INDEX($AC$2:$AS$1001,MATCH(ROWS($V$2:V151),$V$2:$V$1001,0),MATCH(COLUMNS($AC$1006:AN1006),$AC$1006:$AS$1006,0)), HYPERLINK("#",""), HYPERLINK(CONCATENATE("#metadata!", ADDRESS(INDEX($X$2:$X$1001,MATCH(ROWS($V$2:V151),$V$2:$V$1001,0),0), INDEX($AC$1004:$AS$1004,1,MATCH(COLUMNS($AC$1006:AN1006),$AC$1006:$AS$1006,0)))),"Fix")))</f>
        <v xml:space="preserve"> </v>
      </c>
      <c r="N151" s="4" t="str">
        <f ca="1">IF(OR(INDEX($W$2:$W$1001,MATCH(ROWS($V$2:V151),$V$2:$V$1001,0),1)&gt;=100000,INDEX($AC$1005:$AS$1005,1,MATCH(COLUMNS($AC$1006:AO1006),$AC$1006:$AS$1006,0))&gt;=100000), " ",IF(INDEX($AC$2:$AS$1001,MATCH(ROWS($V$2:V151),$V$2:$V$1001,0),MATCH(COLUMNS($AC$1006:AO1006),$AC$1006:$AS$1006,0)), HYPERLINK("#",""), HYPERLINK(CONCATENATE("#metadata!", ADDRESS(INDEX($X$2:$X$1001,MATCH(ROWS($V$2:V151),$V$2:$V$1001,0),0), INDEX($AC$1004:$AS$1004,1,MATCH(COLUMNS($AC$1006:AO1006),$AC$1006:$AS$1006,0)))),"Fix")))</f>
        <v xml:space="preserve"> </v>
      </c>
      <c r="O151" s="4" t="str">
        <f ca="1">IF(OR(INDEX($W$2:$W$1001,MATCH(ROWS($V$2:V151),$V$2:$V$1001,0),1)&gt;=100000,INDEX($AC$1005:$AS$1005,1,MATCH(COLUMNS($AC$1006:AP1006),$AC$1006:$AS$1006,0))&gt;=100000), " ",IF(INDEX($AC$2:$AS$1001,MATCH(ROWS($V$2:V151),$V$2:$V$1001,0),MATCH(COLUMNS($AC$1006:AP1006),$AC$1006:$AS$1006,0)), HYPERLINK("#",""), HYPERLINK(CONCATENATE("#metadata!", ADDRESS(INDEX($X$2:$X$1001,MATCH(ROWS($V$2:V151),$V$2:$V$1001,0),0), INDEX($AC$1004:$AS$1004,1,MATCH(COLUMNS($AC$1006:AP1006),$AC$1006:$AS$1006,0)))),"Fix")))</f>
        <v xml:space="preserve"> </v>
      </c>
      <c r="P151" s="4" t="str">
        <f ca="1">IF(OR(INDEX($W$2:$W$1001,MATCH(ROWS($V$2:V151),$V$2:$V$1001,0),1)&gt;=100000,INDEX($AC$1005:$AS$1005,1,MATCH(COLUMNS($AC$1006:AQ1006),$AC$1006:$AS$1006,0))&gt;=100000), " ",IF(INDEX($AC$2:$AS$1001,MATCH(ROWS($V$2:V151),$V$2:$V$1001,0),MATCH(COLUMNS($AC$1006:AQ1006),$AC$1006:$AS$1006,0)), HYPERLINK("#",""), HYPERLINK(CONCATENATE("#metadata!", ADDRESS(INDEX($X$2:$X$1001,MATCH(ROWS($V$2:V151),$V$2:$V$1001,0),0), INDEX($AC$1004:$AS$1004,1,MATCH(COLUMNS($AC$1006:AQ1006),$AC$1006:$AS$1006,0)))),"Fix")))</f>
        <v xml:space="preserve"> </v>
      </c>
      <c r="Q151" s="4" t="str">
        <f ca="1">IF(OR(INDEX($W$2:$W$1001,MATCH(ROWS($V$2:V151),$V$2:$V$1001,0),1)&gt;=100000,INDEX($AC$1005:$AS$1005,1,MATCH(COLUMNS($AC$1006:AR1006),$AC$1006:$AS$1006,0))&gt;=100000), " ",IF(INDEX($AC$2:$AS$1001,MATCH(ROWS($V$2:V151),$V$2:$V$1001,0),MATCH(COLUMNS($AC$1006:AR1006),$AC$1006:$AS$1006,0)), HYPERLINK("#",""), HYPERLINK(CONCATENATE("#metadata!", ADDRESS(INDEX($X$2:$X$1001,MATCH(ROWS($V$2:V151),$V$2:$V$1001,0),0), INDEX($AC$1004:$AS$1004,1,MATCH(COLUMNS($AC$1006:AR1006),$AC$1006:$AS$1006,0)))),"Fix")))</f>
        <v xml:space="preserve"> </v>
      </c>
      <c r="R151" s="4" t="str">
        <f ca="1">IF(OR(INDEX($W$2:$W$1001,MATCH(ROWS($V$2:V151),$V$2:$V$1001,0),1)&gt;=100000,INDEX($AC$1005:$AS$1005,1,MATCH(COLUMNS($AC$1006:AS1006),$AC$1006:$AS$1006,0))&gt;=100000), " ",IF(INDEX($AC$2:$AS$1001,MATCH(ROWS($V$2:V151),$V$2:$V$1001,0),MATCH(COLUMNS($AC$1006:AS1006),$AC$1006:$AS$1006,0)), HYPERLINK("#",""), HYPERLINK(CONCATENATE("#metadata!", ADDRESS(INDEX($X$2:$X$1001,MATCH(ROWS($V$2:V151),$V$2:$V$1001,0),0), INDEX($AC$1004:$AS$1004,1,MATCH(COLUMNS($AC$1006:AS1006),$AC$1006:$AS$1006,0)))),"Fix")))</f>
        <v xml:space="preserve"> </v>
      </c>
      <c r="V151">
        <v>150</v>
      </c>
      <c r="W151">
        <v>100151</v>
      </c>
      <c r="X151">
        <v>151</v>
      </c>
      <c r="Y151" t="b">
        <f t="shared" si="2"/>
        <v>1</v>
      </c>
      <c r="Z151" t="b">
        <f>COUNTBLANK(metadata!B151:R151)=COLUMNS(metadata!B151:R151)</f>
        <v>1</v>
      </c>
      <c r="AA151" t="str">
        <v/>
      </c>
      <c r="AC151" t="b">
        <f ca="1"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AD151" t="b">
        <f>IF(metadata!C151="",FALSE,ISNUMBER(VALUE(metadata!C151)))</f>
        <v>0</v>
      </c>
      <c r="AE151" t="b">
        <f>AND(IF(metadata!D151="",FALSE,TRUE),EXACT(metadata!D151,"years"))</f>
        <v>0</v>
      </c>
      <c r="AF151" t="b">
        <f>OR(AND(IF(metadata!E151="",FALSE,TRUE),OR(EXACT(metadata!E151,"not applicable"),EXACT(metadata!E151,"missing: not collected"),EXACT(metadata!E151,"missing: not provided"),EXACT(metadata!E151,"missing: restricted access"))),AND(IF(metadata!E151="",FALSE,ISNUMBER(VALUE(metadata!E151))),metadata!E151&gt;0))</f>
        <v>0</v>
      </c>
      <c r="AG151" t="b">
        <f>AND(IF(metadata!F151="",FALSE,TRUE),EXACT(metadata!F151,"Not applicable"))</f>
        <v>0</v>
      </c>
      <c r="AH151" t="b">
        <f>AND(IF(metadata!G151="",FALSE,TRUE),EXACT(metadata!G151,"urban biome"))</f>
        <v>0</v>
      </c>
      <c r="AI151" t="b">
        <f>AND(IF(metadata!H151="",FALSE,TRUE),EXACT(metadata!H151,"human-associated habitat"))</f>
        <v>0</v>
      </c>
      <c r="AJ151" t="b">
        <f>AND(IF(metadata!I151="",FALSE,TRUE),OR(EXACT(metadata!I151,"human-associated"),EXACT(metadata!I151,"human-skin"),EXACT(metadata!I151,"human-oral"),EXACT(metadata!I151,"human-gut"),EXACT(metadata!I151,"human-vaginal")))</f>
        <v>0</v>
      </c>
      <c r="AK151" t="b">
        <f>IF(metadata!J151="",FALSE,ISNUMBER(VALUE(metadata!J151)))</f>
        <v>0</v>
      </c>
      <c r="AL151" t="b">
        <f>AND(IF(metadata!K151="",FALSE,TRUE),EXACT(metadata!K151,"cm"))</f>
        <v>0</v>
      </c>
      <c r="AM151" t="b">
        <f>AND(IF(metadata!L151="",FALSE,TRUE),EXACT(metadata!L151,"human"))</f>
        <v>0</v>
      </c>
      <c r="AN151" t="b">
        <f>AND(IF(metadata!M151="",FALSE,TRUE),EXACT(metadata!M151,"Homo sapiens"))</f>
        <v>0</v>
      </c>
      <c r="AO151" t="b">
        <f>AND(IF(metadata!N151="",FALSE,TRUE),EXACT(metadata!N151,"9606"))</f>
        <v>0</v>
      </c>
      <c r="AP151" t="b">
        <f>IF(metadata!O151="",FALSE,TRUE)</f>
        <v>0</v>
      </c>
      <c r="AQ151" t="b">
        <f>IF(metadata!P151="",FALSE,TRUE)</f>
        <v>0</v>
      </c>
      <c r="AR151" t="b">
        <f>IF(metadata!Q151="",FALSE,ISNUMBER(VALUE(metadata!Q151)))</f>
        <v>0</v>
      </c>
      <c r="AS151" t="b">
        <f>AND(IF(metadata!R151="",FALSE,TRUE),EXACT(metadata!R151,"kg"))</f>
        <v>0</v>
      </c>
    </row>
    <row r="152" spans="1:45" x14ac:dyDescent="0.2">
      <c r="A152" s="5" t="str">
        <f ca="1">IF(B152=" "," ",HYPERLINK(CONCATENATE("#metadata!",ADDRESS(INDEX($X$2:$X$1001,MATCH(ROWS($V$2:V152),$V$2:$V$1001,0),0),1)),INDEX($AA$2:$AA$1001,MATCH(ROWS($V$2:V152),$V$2:$V$1001,0),0)))</f>
        <v xml:space="preserve"> </v>
      </c>
      <c r="B152" s="4" t="str">
        <f ca="1">IF(OR(INDEX($W$2:$W$1001,MATCH(ROWS($V$2:V152),$V$2:$V$1001,0),1)&gt;=100000,INDEX($AC$1005:$AS$1005,1,MATCH(COLUMNS($AC$1006:AC1006),$AC$1006:$AS$1006,0))&gt;=100000), " ",IF(INDEX($AC$2:$AS$1001,MATCH(ROWS($V$2:V152),$V$2:$V$1001,0),MATCH(COLUMNS($AC$1006:AC1006),$AC$1006:$AS$1006,0)), HYPERLINK("#",""), HYPERLINK(CONCATENATE("#metadata!", ADDRESS(INDEX($X$2:$X$1001,MATCH(ROWS($V$2:V152),$V$2:$V$1001,0),0), INDEX($AC$1004:$AS$1004,1,MATCH(COLUMNS($AC$1006:AC1006),$AC$1006:$AS$1006,0)))),"Fix")))</f>
        <v xml:space="preserve"> </v>
      </c>
      <c r="C152" s="4" t="str">
        <f ca="1">IF(OR(INDEX($W$2:$W$1001,MATCH(ROWS($V$2:V152),$V$2:$V$1001,0),1)&gt;=100000,INDEX($AC$1005:$AS$1005,1,MATCH(COLUMNS($AC$1006:AD1006),$AC$1006:$AS$1006,0))&gt;=100000), " ",IF(INDEX($AC$2:$AS$1001,MATCH(ROWS($V$2:V152),$V$2:$V$1001,0),MATCH(COLUMNS($AC$1006:AD1006),$AC$1006:$AS$1006,0)), HYPERLINK("#",""), HYPERLINK(CONCATENATE("#metadata!", ADDRESS(INDEX($X$2:$X$1001,MATCH(ROWS($V$2:V152),$V$2:$V$1001,0),0), INDEX($AC$1004:$AS$1004,1,MATCH(COLUMNS($AC$1006:AD1006),$AC$1006:$AS$1006,0)))),"Fix")))</f>
        <v xml:space="preserve"> </v>
      </c>
      <c r="D152" s="4" t="str">
        <f ca="1">IF(OR(INDEX($W$2:$W$1001,MATCH(ROWS($V$2:V152),$V$2:$V$1001,0),1)&gt;=100000,INDEX($AC$1005:$AS$1005,1,MATCH(COLUMNS($AC$1006:AE1006),$AC$1006:$AS$1006,0))&gt;=100000), " ",IF(INDEX($AC$2:$AS$1001,MATCH(ROWS($V$2:V152),$V$2:$V$1001,0),MATCH(COLUMNS($AC$1006:AE1006),$AC$1006:$AS$1006,0)), HYPERLINK("#",""), HYPERLINK(CONCATENATE("#metadata!", ADDRESS(INDEX($X$2:$X$1001,MATCH(ROWS($V$2:V152),$V$2:$V$1001,0),0), INDEX($AC$1004:$AS$1004,1,MATCH(COLUMNS($AC$1006:AE1006),$AC$1006:$AS$1006,0)))),"Fix")))</f>
        <v xml:space="preserve"> </v>
      </c>
      <c r="E152" s="4" t="str">
        <f ca="1">IF(OR(INDEX($W$2:$W$1001,MATCH(ROWS($V$2:V152),$V$2:$V$1001,0),1)&gt;=100000,INDEX($AC$1005:$AS$1005,1,MATCH(COLUMNS($AC$1006:AF1006),$AC$1006:$AS$1006,0))&gt;=100000), " ",IF(INDEX($AC$2:$AS$1001,MATCH(ROWS($V$2:V152),$V$2:$V$1001,0),MATCH(COLUMNS($AC$1006:AF1006),$AC$1006:$AS$1006,0)), HYPERLINK("#",""), HYPERLINK(CONCATENATE("#metadata!", ADDRESS(INDEX($X$2:$X$1001,MATCH(ROWS($V$2:V152),$V$2:$V$1001,0),0), INDEX($AC$1004:$AS$1004,1,MATCH(COLUMNS($AC$1006:AF1006),$AC$1006:$AS$1006,0)))),"Fix")))</f>
        <v xml:space="preserve"> </v>
      </c>
      <c r="F152" s="4" t="str">
        <f ca="1">IF(OR(INDEX($W$2:$W$1001,MATCH(ROWS($V$2:V152),$V$2:$V$1001,0),1)&gt;=100000,INDEX($AC$1005:$AS$1005,1,MATCH(COLUMNS($AC$1006:AG1006),$AC$1006:$AS$1006,0))&gt;=100000), " ",IF(INDEX($AC$2:$AS$1001,MATCH(ROWS($V$2:V152),$V$2:$V$1001,0),MATCH(COLUMNS($AC$1006:AG1006),$AC$1006:$AS$1006,0)), HYPERLINK("#",""), HYPERLINK(CONCATENATE("#metadata!", ADDRESS(INDEX($X$2:$X$1001,MATCH(ROWS($V$2:V152),$V$2:$V$1001,0),0), INDEX($AC$1004:$AS$1004,1,MATCH(COLUMNS($AC$1006:AG1006),$AC$1006:$AS$1006,0)))),"Fix")))</f>
        <v xml:space="preserve"> </v>
      </c>
      <c r="G152" s="4" t="str">
        <f ca="1">IF(OR(INDEX($W$2:$W$1001,MATCH(ROWS($V$2:V152),$V$2:$V$1001,0),1)&gt;=100000,INDEX($AC$1005:$AS$1005,1,MATCH(COLUMNS($AC$1006:AH1006),$AC$1006:$AS$1006,0))&gt;=100000), " ",IF(INDEX($AC$2:$AS$1001,MATCH(ROWS($V$2:V152),$V$2:$V$1001,0),MATCH(COLUMNS($AC$1006:AH1006),$AC$1006:$AS$1006,0)), HYPERLINK("#",""), HYPERLINK(CONCATENATE("#metadata!", ADDRESS(INDEX($X$2:$X$1001,MATCH(ROWS($V$2:V152),$V$2:$V$1001,0),0), INDEX($AC$1004:$AS$1004,1,MATCH(COLUMNS($AC$1006:AH1006),$AC$1006:$AS$1006,0)))),"Fix")))</f>
        <v xml:space="preserve"> </v>
      </c>
      <c r="H152" s="4" t="str">
        <f ca="1">IF(OR(INDEX($W$2:$W$1001,MATCH(ROWS($V$2:V152),$V$2:$V$1001,0),1)&gt;=100000,INDEX($AC$1005:$AS$1005,1,MATCH(COLUMNS($AC$1006:AI1006),$AC$1006:$AS$1006,0))&gt;=100000), " ",IF(INDEX($AC$2:$AS$1001,MATCH(ROWS($V$2:V152),$V$2:$V$1001,0),MATCH(COLUMNS($AC$1006:AI1006),$AC$1006:$AS$1006,0)), HYPERLINK("#",""), HYPERLINK(CONCATENATE("#metadata!", ADDRESS(INDEX($X$2:$X$1001,MATCH(ROWS($V$2:V152),$V$2:$V$1001,0),0), INDEX($AC$1004:$AS$1004,1,MATCH(COLUMNS($AC$1006:AI1006),$AC$1006:$AS$1006,0)))),"Fix")))</f>
        <v xml:space="preserve"> </v>
      </c>
      <c r="I152" s="4" t="str">
        <f ca="1">IF(OR(INDEX($W$2:$W$1001,MATCH(ROWS($V$2:V152),$V$2:$V$1001,0),1)&gt;=100000,INDEX($AC$1005:$AS$1005,1,MATCH(COLUMNS($AC$1006:AJ1006),$AC$1006:$AS$1006,0))&gt;=100000), " ",IF(INDEX($AC$2:$AS$1001,MATCH(ROWS($V$2:V152),$V$2:$V$1001,0),MATCH(COLUMNS($AC$1006:AJ1006),$AC$1006:$AS$1006,0)), HYPERLINK("#",""), HYPERLINK(CONCATENATE("#metadata!", ADDRESS(INDEX($X$2:$X$1001,MATCH(ROWS($V$2:V152),$V$2:$V$1001,0),0), INDEX($AC$1004:$AS$1004,1,MATCH(COLUMNS($AC$1006:AJ1006),$AC$1006:$AS$1006,0)))),"Fix")))</f>
        <v xml:space="preserve"> </v>
      </c>
      <c r="J152" s="4" t="str">
        <f ca="1">IF(OR(INDEX($W$2:$W$1001,MATCH(ROWS($V$2:V152),$V$2:$V$1001,0),1)&gt;=100000,INDEX($AC$1005:$AS$1005,1,MATCH(COLUMNS($AC$1006:AK1006),$AC$1006:$AS$1006,0))&gt;=100000), " ",IF(INDEX($AC$2:$AS$1001,MATCH(ROWS($V$2:V152),$V$2:$V$1001,0),MATCH(COLUMNS($AC$1006:AK1006),$AC$1006:$AS$1006,0)), HYPERLINK("#",""), HYPERLINK(CONCATENATE("#metadata!", ADDRESS(INDEX($X$2:$X$1001,MATCH(ROWS($V$2:V152),$V$2:$V$1001,0),0), INDEX($AC$1004:$AS$1004,1,MATCH(COLUMNS($AC$1006:AK1006),$AC$1006:$AS$1006,0)))),"Fix")))</f>
        <v xml:space="preserve"> </v>
      </c>
      <c r="K152" s="4" t="str">
        <f ca="1">IF(OR(INDEX($W$2:$W$1001,MATCH(ROWS($V$2:V152),$V$2:$V$1001,0),1)&gt;=100000,INDEX($AC$1005:$AS$1005,1,MATCH(COLUMNS($AC$1006:AL1006),$AC$1006:$AS$1006,0))&gt;=100000), " ",IF(INDEX($AC$2:$AS$1001,MATCH(ROWS($V$2:V152),$V$2:$V$1001,0),MATCH(COLUMNS($AC$1006:AL1006),$AC$1006:$AS$1006,0)), HYPERLINK("#",""), HYPERLINK(CONCATENATE("#metadata!", ADDRESS(INDEX($X$2:$X$1001,MATCH(ROWS($V$2:V152),$V$2:$V$1001,0),0), INDEX($AC$1004:$AS$1004,1,MATCH(COLUMNS($AC$1006:AL1006),$AC$1006:$AS$1006,0)))),"Fix")))</f>
        <v xml:space="preserve"> </v>
      </c>
      <c r="L152" s="4" t="str">
        <f ca="1">IF(OR(INDEX($W$2:$W$1001,MATCH(ROWS($V$2:V152),$V$2:$V$1001,0),1)&gt;=100000,INDEX($AC$1005:$AS$1005,1,MATCH(COLUMNS($AC$1006:AM1006),$AC$1006:$AS$1006,0))&gt;=100000), " ",IF(INDEX($AC$2:$AS$1001,MATCH(ROWS($V$2:V152),$V$2:$V$1001,0),MATCH(COLUMNS($AC$1006:AM1006),$AC$1006:$AS$1006,0)), HYPERLINK("#",""), HYPERLINK(CONCATENATE("#metadata!", ADDRESS(INDEX($X$2:$X$1001,MATCH(ROWS($V$2:V152),$V$2:$V$1001,0),0), INDEX($AC$1004:$AS$1004,1,MATCH(COLUMNS($AC$1006:AM1006),$AC$1006:$AS$1006,0)))),"Fix")))</f>
        <v xml:space="preserve"> </v>
      </c>
      <c r="M152" s="4" t="str">
        <f ca="1">IF(OR(INDEX($W$2:$W$1001,MATCH(ROWS($V$2:V152),$V$2:$V$1001,0),1)&gt;=100000,INDEX($AC$1005:$AS$1005,1,MATCH(COLUMNS($AC$1006:AN1006),$AC$1006:$AS$1006,0))&gt;=100000), " ",IF(INDEX($AC$2:$AS$1001,MATCH(ROWS($V$2:V152),$V$2:$V$1001,0),MATCH(COLUMNS($AC$1006:AN1006),$AC$1006:$AS$1006,0)), HYPERLINK("#",""), HYPERLINK(CONCATENATE("#metadata!", ADDRESS(INDEX($X$2:$X$1001,MATCH(ROWS($V$2:V152),$V$2:$V$1001,0),0), INDEX($AC$1004:$AS$1004,1,MATCH(COLUMNS($AC$1006:AN1006),$AC$1006:$AS$1006,0)))),"Fix")))</f>
        <v xml:space="preserve"> </v>
      </c>
      <c r="N152" s="4" t="str">
        <f ca="1">IF(OR(INDEX($W$2:$W$1001,MATCH(ROWS($V$2:V152),$V$2:$V$1001,0),1)&gt;=100000,INDEX($AC$1005:$AS$1005,1,MATCH(COLUMNS($AC$1006:AO1006),$AC$1006:$AS$1006,0))&gt;=100000), " ",IF(INDEX($AC$2:$AS$1001,MATCH(ROWS($V$2:V152),$V$2:$V$1001,0),MATCH(COLUMNS($AC$1006:AO1006),$AC$1006:$AS$1006,0)), HYPERLINK("#",""), HYPERLINK(CONCATENATE("#metadata!", ADDRESS(INDEX($X$2:$X$1001,MATCH(ROWS($V$2:V152),$V$2:$V$1001,0),0), INDEX($AC$1004:$AS$1004,1,MATCH(COLUMNS($AC$1006:AO1006),$AC$1006:$AS$1006,0)))),"Fix")))</f>
        <v xml:space="preserve"> </v>
      </c>
      <c r="O152" s="4" t="str">
        <f ca="1">IF(OR(INDEX($W$2:$W$1001,MATCH(ROWS($V$2:V152),$V$2:$V$1001,0),1)&gt;=100000,INDEX($AC$1005:$AS$1005,1,MATCH(COLUMNS($AC$1006:AP1006),$AC$1006:$AS$1006,0))&gt;=100000), " ",IF(INDEX($AC$2:$AS$1001,MATCH(ROWS($V$2:V152),$V$2:$V$1001,0),MATCH(COLUMNS($AC$1006:AP1006),$AC$1006:$AS$1006,0)), HYPERLINK("#",""), HYPERLINK(CONCATENATE("#metadata!", ADDRESS(INDEX($X$2:$X$1001,MATCH(ROWS($V$2:V152),$V$2:$V$1001,0),0), INDEX($AC$1004:$AS$1004,1,MATCH(COLUMNS($AC$1006:AP1006),$AC$1006:$AS$1006,0)))),"Fix")))</f>
        <v xml:space="preserve"> </v>
      </c>
      <c r="P152" s="4" t="str">
        <f ca="1">IF(OR(INDEX($W$2:$W$1001,MATCH(ROWS($V$2:V152),$V$2:$V$1001,0),1)&gt;=100000,INDEX($AC$1005:$AS$1005,1,MATCH(COLUMNS($AC$1006:AQ1006),$AC$1006:$AS$1006,0))&gt;=100000), " ",IF(INDEX($AC$2:$AS$1001,MATCH(ROWS($V$2:V152),$V$2:$V$1001,0),MATCH(COLUMNS($AC$1006:AQ1006),$AC$1006:$AS$1006,0)), HYPERLINK("#",""), HYPERLINK(CONCATENATE("#metadata!", ADDRESS(INDEX($X$2:$X$1001,MATCH(ROWS($V$2:V152),$V$2:$V$1001,0),0), INDEX($AC$1004:$AS$1004,1,MATCH(COLUMNS($AC$1006:AQ1006),$AC$1006:$AS$1006,0)))),"Fix")))</f>
        <v xml:space="preserve"> </v>
      </c>
      <c r="Q152" s="4" t="str">
        <f ca="1">IF(OR(INDEX($W$2:$W$1001,MATCH(ROWS($V$2:V152),$V$2:$V$1001,0),1)&gt;=100000,INDEX($AC$1005:$AS$1005,1,MATCH(COLUMNS($AC$1006:AR1006),$AC$1006:$AS$1006,0))&gt;=100000), " ",IF(INDEX($AC$2:$AS$1001,MATCH(ROWS($V$2:V152),$V$2:$V$1001,0),MATCH(COLUMNS($AC$1006:AR1006),$AC$1006:$AS$1006,0)), HYPERLINK("#",""), HYPERLINK(CONCATENATE("#metadata!", ADDRESS(INDEX($X$2:$X$1001,MATCH(ROWS($V$2:V152),$V$2:$V$1001,0),0), INDEX($AC$1004:$AS$1004,1,MATCH(COLUMNS($AC$1006:AR1006),$AC$1006:$AS$1006,0)))),"Fix")))</f>
        <v xml:space="preserve"> </v>
      </c>
      <c r="R152" s="4" t="str">
        <f ca="1">IF(OR(INDEX($W$2:$W$1001,MATCH(ROWS($V$2:V152),$V$2:$V$1001,0),1)&gt;=100000,INDEX($AC$1005:$AS$1005,1,MATCH(COLUMNS($AC$1006:AS1006),$AC$1006:$AS$1006,0))&gt;=100000), " ",IF(INDEX($AC$2:$AS$1001,MATCH(ROWS($V$2:V152),$V$2:$V$1001,0),MATCH(COLUMNS($AC$1006:AS1006),$AC$1006:$AS$1006,0)), HYPERLINK("#",""), HYPERLINK(CONCATENATE("#metadata!", ADDRESS(INDEX($X$2:$X$1001,MATCH(ROWS($V$2:V152),$V$2:$V$1001,0),0), INDEX($AC$1004:$AS$1004,1,MATCH(COLUMNS($AC$1006:AS1006),$AC$1006:$AS$1006,0)))),"Fix")))</f>
        <v xml:space="preserve"> </v>
      </c>
      <c r="V152">
        <v>151</v>
      </c>
      <c r="W152">
        <v>100152</v>
      </c>
      <c r="X152">
        <v>152</v>
      </c>
      <c r="Y152" t="b">
        <f t="shared" si="2"/>
        <v>1</v>
      </c>
      <c r="Z152" t="b">
        <f>COUNTBLANK(metadata!B152:R152)=COLUMNS(metadata!B152:R152)</f>
        <v>1</v>
      </c>
      <c r="AA152" t="str">
        <v/>
      </c>
      <c r="AC152" t="b">
        <f ca="1"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AD152" t="b">
        <f>IF(metadata!C152="",FALSE,ISNUMBER(VALUE(metadata!C152)))</f>
        <v>0</v>
      </c>
      <c r="AE152" t="b">
        <f>AND(IF(metadata!D152="",FALSE,TRUE),EXACT(metadata!D152,"years"))</f>
        <v>0</v>
      </c>
      <c r="AF152" t="b">
        <f>OR(AND(IF(metadata!E152="",FALSE,TRUE),OR(EXACT(metadata!E152,"not applicable"),EXACT(metadata!E152,"missing: not collected"),EXACT(metadata!E152,"missing: not provided"),EXACT(metadata!E152,"missing: restricted access"))),AND(IF(metadata!E152="",FALSE,ISNUMBER(VALUE(metadata!E152))),metadata!E152&gt;0))</f>
        <v>0</v>
      </c>
      <c r="AG152" t="b">
        <f>AND(IF(metadata!F152="",FALSE,TRUE),EXACT(metadata!F152,"Not applicable"))</f>
        <v>0</v>
      </c>
      <c r="AH152" t="b">
        <f>AND(IF(metadata!G152="",FALSE,TRUE),EXACT(metadata!G152,"urban biome"))</f>
        <v>0</v>
      </c>
      <c r="AI152" t="b">
        <f>AND(IF(metadata!H152="",FALSE,TRUE),EXACT(metadata!H152,"human-associated habitat"))</f>
        <v>0</v>
      </c>
      <c r="AJ152" t="b">
        <f>AND(IF(metadata!I152="",FALSE,TRUE),OR(EXACT(metadata!I152,"human-associated"),EXACT(metadata!I152,"human-skin"),EXACT(metadata!I152,"human-oral"),EXACT(metadata!I152,"human-gut"),EXACT(metadata!I152,"human-vaginal")))</f>
        <v>0</v>
      </c>
      <c r="AK152" t="b">
        <f>IF(metadata!J152="",FALSE,ISNUMBER(VALUE(metadata!J152)))</f>
        <v>0</v>
      </c>
      <c r="AL152" t="b">
        <f>AND(IF(metadata!K152="",FALSE,TRUE),EXACT(metadata!K152,"cm"))</f>
        <v>0</v>
      </c>
      <c r="AM152" t="b">
        <f>AND(IF(metadata!L152="",FALSE,TRUE),EXACT(metadata!L152,"human"))</f>
        <v>0</v>
      </c>
      <c r="AN152" t="b">
        <f>AND(IF(metadata!M152="",FALSE,TRUE),EXACT(metadata!M152,"Homo sapiens"))</f>
        <v>0</v>
      </c>
      <c r="AO152" t="b">
        <f>AND(IF(metadata!N152="",FALSE,TRUE),EXACT(metadata!N152,"9606"))</f>
        <v>0</v>
      </c>
      <c r="AP152" t="b">
        <f>IF(metadata!O152="",FALSE,TRUE)</f>
        <v>0</v>
      </c>
      <c r="AQ152" t="b">
        <f>IF(metadata!P152="",FALSE,TRUE)</f>
        <v>0</v>
      </c>
      <c r="AR152" t="b">
        <f>IF(metadata!Q152="",FALSE,ISNUMBER(VALUE(metadata!Q152)))</f>
        <v>0</v>
      </c>
      <c r="AS152" t="b">
        <f>AND(IF(metadata!R152="",FALSE,TRUE),EXACT(metadata!R152,"kg"))</f>
        <v>0</v>
      </c>
    </row>
    <row r="153" spans="1:45" x14ac:dyDescent="0.2">
      <c r="A153" s="5" t="str">
        <f ca="1">IF(B153=" "," ",HYPERLINK(CONCATENATE("#metadata!",ADDRESS(INDEX($X$2:$X$1001,MATCH(ROWS($V$2:V153),$V$2:$V$1001,0),0),1)),INDEX($AA$2:$AA$1001,MATCH(ROWS($V$2:V153),$V$2:$V$1001,0),0)))</f>
        <v xml:space="preserve"> </v>
      </c>
      <c r="B153" s="4" t="str">
        <f ca="1">IF(OR(INDEX($W$2:$W$1001,MATCH(ROWS($V$2:V153),$V$2:$V$1001,0),1)&gt;=100000,INDEX($AC$1005:$AS$1005,1,MATCH(COLUMNS($AC$1006:AC1006),$AC$1006:$AS$1006,0))&gt;=100000), " ",IF(INDEX($AC$2:$AS$1001,MATCH(ROWS($V$2:V153),$V$2:$V$1001,0),MATCH(COLUMNS($AC$1006:AC1006),$AC$1006:$AS$1006,0)), HYPERLINK("#",""), HYPERLINK(CONCATENATE("#metadata!", ADDRESS(INDEX($X$2:$X$1001,MATCH(ROWS($V$2:V153),$V$2:$V$1001,0),0), INDEX($AC$1004:$AS$1004,1,MATCH(COLUMNS($AC$1006:AC1006),$AC$1006:$AS$1006,0)))),"Fix")))</f>
        <v xml:space="preserve"> </v>
      </c>
      <c r="C153" s="4" t="str">
        <f ca="1">IF(OR(INDEX($W$2:$W$1001,MATCH(ROWS($V$2:V153),$V$2:$V$1001,0),1)&gt;=100000,INDEX($AC$1005:$AS$1005,1,MATCH(COLUMNS($AC$1006:AD1006),$AC$1006:$AS$1006,0))&gt;=100000), " ",IF(INDEX($AC$2:$AS$1001,MATCH(ROWS($V$2:V153),$V$2:$V$1001,0),MATCH(COLUMNS($AC$1006:AD1006),$AC$1006:$AS$1006,0)), HYPERLINK("#",""), HYPERLINK(CONCATENATE("#metadata!", ADDRESS(INDEX($X$2:$X$1001,MATCH(ROWS($V$2:V153),$V$2:$V$1001,0),0), INDEX($AC$1004:$AS$1004,1,MATCH(COLUMNS($AC$1006:AD1006),$AC$1006:$AS$1006,0)))),"Fix")))</f>
        <v xml:space="preserve"> </v>
      </c>
      <c r="D153" s="4" t="str">
        <f ca="1">IF(OR(INDEX($W$2:$W$1001,MATCH(ROWS($V$2:V153),$V$2:$V$1001,0),1)&gt;=100000,INDEX($AC$1005:$AS$1005,1,MATCH(COLUMNS($AC$1006:AE1006),$AC$1006:$AS$1006,0))&gt;=100000), " ",IF(INDEX($AC$2:$AS$1001,MATCH(ROWS($V$2:V153),$V$2:$V$1001,0),MATCH(COLUMNS($AC$1006:AE1006),$AC$1006:$AS$1006,0)), HYPERLINK("#",""), HYPERLINK(CONCATENATE("#metadata!", ADDRESS(INDEX($X$2:$X$1001,MATCH(ROWS($V$2:V153),$V$2:$V$1001,0),0), INDEX($AC$1004:$AS$1004,1,MATCH(COLUMNS($AC$1006:AE1006),$AC$1006:$AS$1006,0)))),"Fix")))</f>
        <v xml:space="preserve"> </v>
      </c>
      <c r="E153" s="4" t="str">
        <f ca="1">IF(OR(INDEX($W$2:$W$1001,MATCH(ROWS($V$2:V153),$V$2:$V$1001,0),1)&gt;=100000,INDEX($AC$1005:$AS$1005,1,MATCH(COLUMNS($AC$1006:AF1006),$AC$1006:$AS$1006,0))&gt;=100000), " ",IF(INDEX($AC$2:$AS$1001,MATCH(ROWS($V$2:V153),$V$2:$V$1001,0),MATCH(COLUMNS($AC$1006:AF1006),$AC$1006:$AS$1006,0)), HYPERLINK("#",""), HYPERLINK(CONCATENATE("#metadata!", ADDRESS(INDEX($X$2:$X$1001,MATCH(ROWS($V$2:V153),$V$2:$V$1001,0),0), INDEX($AC$1004:$AS$1004,1,MATCH(COLUMNS($AC$1006:AF1006),$AC$1006:$AS$1006,0)))),"Fix")))</f>
        <v xml:space="preserve"> </v>
      </c>
      <c r="F153" s="4" t="str">
        <f ca="1">IF(OR(INDEX($W$2:$W$1001,MATCH(ROWS($V$2:V153),$V$2:$V$1001,0),1)&gt;=100000,INDEX($AC$1005:$AS$1005,1,MATCH(COLUMNS($AC$1006:AG1006),$AC$1006:$AS$1006,0))&gt;=100000), " ",IF(INDEX($AC$2:$AS$1001,MATCH(ROWS($V$2:V153),$V$2:$V$1001,0),MATCH(COLUMNS($AC$1006:AG1006),$AC$1006:$AS$1006,0)), HYPERLINK("#",""), HYPERLINK(CONCATENATE("#metadata!", ADDRESS(INDEX($X$2:$X$1001,MATCH(ROWS($V$2:V153),$V$2:$V$1001,0),0), INDEX($AC$1004:$AS$1004,1,MATCH(COLUMNS($AC$1006:AG1006),$AC$1006:$AS$1006,0)))),"Fix")))</f>
        <v xml:space="preserve"> </v>
      </c>
      <c r="G153" s="4" t="str">
        <f ca="1">IF(OR(INDEX($W$2:$W$1001,MATCH(ROWS($V$2:V153),$V$2:$V$1001,0),1)&gt;=100000,INDEX($AC$1005:$AS$1005,1,MATCH(COLUMNS($AC$1006:AH1006),$AC$1006:$AS$1006,0))&gt;=100000), " ",IF(INDEX($AC$2:$AS$1001,MATCH(ROWS($V$2:V153),$V$2:$V$1001,0),MATCH(COLUMNS($AC$1006:AH1006),$AC$1006:$AS$1006,0)), HYPERLINK("#",""), HYPERLINK(CONCATENATE("#metadata!", ADDRESS(INDEX($X$2:$X$1001,MATCH(ROWS($V$2:V153),$V$2:$V$1001,0),0), INDEX($AC$1004:$AS$1004,1,MATCH(COLUMNS($AC$1006:AH1006),$AC$1006:$AS$1006,0)))),"Fix")))</f>
        <v xml:space="preserve"> </v>
      </c>
      <c r="H153" s="4" t="str">
        <f ca="1">IF(OR(INDEX($W$2:$W$1001,MATCH(ROWS($V$2:V153),$V$2:$V$1001,0),1)&gt;=100000,INDEX($AC$1005:$AS$1005,1,MATCH(COLUMNS($AC$1006:AI1006),$AC$1006:$AS$1006,0))&gt;=100000), " ",IF(INDEX($AC$2:$AS$1001,MATCH(ROWS($V$2:V153),$V$2:$V$1001,0),MATCH(COLUMNS($AC$1006:AI1006),$AC$1006:$AS$1006,0)), HYPERLINK("#",""), HYPERLINK(CONCATENATE("#metadata!", ADDRESS(INDEX($X$2:$X$1001,MATCH(ROWS($V$2:V153),$V$2:$V$1001,0),0), INDEX($AC$1004:$AS$1004,1,MATCH(COLUMNS($AC$1006:AI1006),$AC$1006:$AS$1006,0)))),"Fix")))</f>
        <v xml:space="preserve"> </v>
      </c>
      <c r="I153" s="4" t="str">
        <f ca="1">IF(OR(INDEX($W$2:$W$1001,MATCH(ROWS($V$2:V153),$V$2:$V$1001,0),1)&gt;=100000,INDEX($AC$1005:$AS$1005,1,MATCH(COLUMNS($AC$1006:AJ1006),$AC$1006:$AS$1006,0))&gt;=100000), " ",IF(INDEX($AC$2:$AS$1001,MATCH(ROWS($V$2:V153),$V$2:$V$1001,0),MATCH(COLUMNS($AC$1006:AJ1006),$AC$1006:$AS$1006,0)), HYPERLINK("#",""), HYPERLINK(CONCATENATE("#metadata!", ADDRESS(INDEX($X$2:$X$1001,MATCH(ROWS($V$2:V153),$V$2:$V$1001,0),0), INDEX($AC$1004:$AS$1004,1,MATCH(COLUMNS($AC$1006:AJ1006),$AC$1006:$AS$1006,0)))),"Fix")))</f>
        <v xml:space="preserve"> </v>
      </c>
      <c r="J153" s="4" t="str">
        <f ca="1">IF(OR(INDEX($W$2:$W$1001,MATCH(ROWS($V$2:V153),$V$2:$V$1001,0),1)&gt;=100000,INDEX($AC$1005:$AS$1005,1,MATCH(COLUMNS($AC$1006:AK1006),$AC$1006:$AS$1006,0))&gt;=100000), " ",IF(INDEX($AC$2:$AS$1001,MATCH(ROWS($V$2:V153),$V$2:$V$1001,0),MATCH(COLUMNS($AC$1006:AK1006),$AC$1006:$AS$1006,0)), HYPERLINK("#",""), HYPERLINK(CONCATENATE("#metadata!", ADDRESS(INDEX($X$2:$X$1001,MATCH(ROWS($V$2:V153),$V$2:$V$1001,0),0), INDEX($AC$1004:$AS$1004,1,MATCH(COLUMNS($AC$1006:AK1006),$AC$1006:$AS$1006,0)))),"Fix")))</f>
        <v xml:space="preserve"> </v>
      </c>
      <c r="K153" s="4" t="str">
        <f ca="1">IF(OR(INDEX($W$2:$W$1001,MATCH(ROWS($V$2:V153),$V$2:$V$1001,0),1)&gt;=100000,INDEX($AC$1005:$AS$1005,1,MATCH(COLUMNS($AC$1006:AL1006),$AC$1006:$AS$1006,0))&gt;=100000), " ",IF(INDEX($AC$2:$AS$1001,MATCH(ROWS($V$2:V153),$V$2:$V$1001,0),MATCH(COLUMNS($AC$1006:AL1006),$AC$1006:$AS$1006,0)), HYPERLINK("#",""), HYPERLINK(CONCATENATE("#metadata!", ADDRESS(INDEX($X$2:$X$1001,MATCH(ROWS($V$2:V153),$V$2:$V$1001,0),0), INDEX($AC$1004:$AS$1004,1,MATCH(COLUMNS($AC$1006:AL1006),$AC$1006:$AS$1006,0)))),"Fix")))</f>
        <v xml:space="preserve"> </v>
      </c>
      <c r="L153" s="4" t="str">
        <f ca="1">IF(OR(INDEX($W$2:$W$1001,MATCH(ROWS($V$2:V153),$V$2:$V$1001,0),1)&gt;=100000,INDEX($AC$1005:$AS$1005,1,MATCH(COLUMNS($AC$1006:AM1006),$AC$1006:$AS$1006,0))&gt;=100000), " ",IF(INDEX($AC$2:$AS$1001,MATCH(ROWS($V$2:V153),$V$2:$V$1001,0),MATCH(COLUMNS($AC$1006:AM1006),$AC$1006:$AS$1006,0)), HYPERLINK("#",""), HYPERLINK(CONCATENATE("#metadata!", ADDRESS(INDEX($X$2:$X$1001,MATCH(ROWS($V$2:V153),$V$2:$V$1001,0),0), INDEX($AC$1004:$AS$1004,1,MATCH(COLUMNS($AC$1006:AM1006),$AC$1006:$AS$1006,0)))),"Fix")))</f>
        <v xml:space="preserve"> </v>
      </c>
      <c r="M153" s="4" t="str">
        <f ca="1">IF(OR(INDEX($W$2:$W$1001,MATCH(ROWS($V$2:V153),$V$2:$V$1001,0),1)&gt;=100000,INDEX($AC$1005:$AS$1005,1,MATCH(COLUMNS($AC$1006:AN1006),$AC$1006:$AS$1006,0))&gt;=100000), " ",IF(INDEX($AC$2:$AS$1001,MATCH(ROWS($V$2:V153),$V$2:$V$1001,0),MATCH(COLUMNS($AC$1006:AN1006),$AC$1006:$AS$1006,0)), HYPERLINK("#",""), HYPERLINK(CONCATENATE("#metadata!", ADDRESS(INDEX($X$2:$X$1001,MATCH(ROWS($V$2:V153),$V$2:$V$1001,0),0), INDEX($AC$1004:$AS$1004,1,MATCH(COLUMNS($AC$1006:AN1006),$AC$1006:$AS$1006,0)))),"Fix")))</f>
        <v xml:space="preserve"> </v>
      </c>
      <c r="N153" s="4" t="str">
        <f ca="1">IF(OR(INDEX($W$2:$W$1001,MATCH(ROWS($V$2:V153),$V$2:$V$1001,0),1)&gt;=100000,INDEX($AC$1005:$AS$1005,1,MATCH(COLUMNS($AC$1006:AO1006),$AC$1006:$AS$1006,0))&gt;=100000), " ",IF(INDEX($AC$2:$AS$1001,MATCH(ROWS($V$2:V153),$V$2:$V$1001,0),MATCH(COLUMNS($AC$1006:AO1006),$AC$1006:$AS$1006,0)), HYPERLINK("#",""), HYPERLINK(CONCATENATE("#metadata!", ADDRESS(INDEX($X$2:$X$1001,MATCH(ROWS($V$2:V153),$V$2:$V$1001,0),0), INDEX($AC$1004:$AS$1004,1,MATCH(COLUMNS($AC$1006:AO1006),$AC$1006:$AS$1006,0)))),"Fix")))</f>
        <v xml:space="preserve"> </v>
      </c>
      <c r="O153" s="4" t="str">
        <f ca="1">IF(OR(INDEX($W$2:$W$1001,MATCH(ROWS($V$2:V153),$V$2:$V$1001,0),1)&gt;=100000,INDEX($AC$1005:$AS$1005,1,MATCH(COLUMNS($AC$1006:AP1006),$AC$1006:$AS$1006,0))&gt;=100000), " ",IF(INDEX($AC$2:$AS$1001,MATCH(ROWS($V$2:V153),$V$2:$V$1001,0),MATCH(COLUMNS($AC$1006:AP1006),$AC$1006:$AS$1006,0)), HYPERLINK("#",""), HYPERLINK(CONCATENATE("#metadata!", ADDRESS(INDEX($X$2:$X$1001,MATCH(ROWS($V$2:V153),$V$2:$V$1001,0),0), INDEX($AC$1004:$AS$1004,1,MATCH(COLUMNS($AC$1006:AP1006),$AC$1006:$AS$1006,0)))),"Fix")))</f>
        <v xml:space="preserve"> </v>
      </c>
      <c r="P153" s="4" t="str">
        <f ca="1">IF(OR(INDEX($W$2:$W$1001,MATCH(ROWS($V$2:V153),$V$2:$V$1001,0),1)&gt;=100000,INDEX($AC$1005:$AS$1005,1,MATCH(COLUMNS($AC$1006:AQ1006),$AC$1006:$AS$1006,0))&gt;=100000), " ",IF(INDEX($AC$2:$AS$1001,MATCH(ROWS($V$2:V153),$V$2:$V$1001,0),MATCH(COLUMNS($AC$1006:AQ1006),$AC$1006:$AS$1006,0)), HYPERLINK("#",""), HYPERLINK(CONCATENATE("#metadata!", ADDRESS(INDEX($X$2:$X$1001,MATCH(ROWS($V$2:V153),$V$2:$V$1001,0),0), INDEX($AC$1004:$AS$1004,1,MATCH(COLUMNS($AC$1006:AQ1006),$AC$1006:$AS$1006,0)))),"Fix")))</f>
        <v xml:space="preserve"> </v>
      </c>
      <c r="Q153" s="4" t="str">
        <f ca="1">IF(OR(INDEX($W$2:$W$1001,MATCH(ROWS($V$2:V153),$V$2:$V$1001,0),1)&gt;=100000,INDEX($AC$1005:$AS$1005,1,MATCH(COLUMNS($AC$1006:AR1006),$AC$1006:$AS$1006,0))&gt;=100000), " ",IF(INDEX($AC$2:$AS$1001,MATCH(ROWS($V$2:V153),$V$2:$V$1001,0),MATCH(COLUMNS($AC$1006:AR1006),$AC$1006:$AS$1006,0)), HYPERLINK("#",""), HYPERLINK(CONCATENATE("#metadata!", ADDRESS(INDEX($X$2:$X$1001,MATCH(ROWS($V$2:V153),$V$2:$V$1001,0),0), INDEX($AC$1004:$AS$1004,1,MATCH(COLUMNS($AC$1006:AR1006),$AC$1006:$AS$1006,0)))),"Fix")))</f>
        <v xml:space="preserve"> </v>
      </c>
      <c r="R153" s="4" t="str">
        <f ca="1">IF(OR(INDEX($W$2:$W$1001,MATCH(ROWS($V$2:V153),$V$2:$V$1001,0),1)&gt;=100000,INDEX($AC$1005:$AS$1005,1,MATCH(COLUMNS($AC$1006:AS1006),$AC$1006:$AS$1006,0))&gt;=100000), " ",IF(INDEX($AC$2:$AS$1001,MATCH(ROWS($V$2:V153),$V$2:$V$1001,0),MATCH(COLUMNS($AC$1006:AS1006),$AC$1006:$AS$1006,0)), HYPERLINK("#",""), HYPERLINK(CONCATENATE("#metadata!", ADDRESS(INDEX($X$2:$X$1001,MATCH(ROWS($V$2:V153),$V$2:$V$1001,0),0), INDEX($AC$1004:$AS$1004,1,MATCH(COLUMNS($AC$1006:AS1006),$AC$1006:$AS$1006,0)))),"Fix")))</f>
        <v xml:space="preserve"> </v>
      </c>
      <c r="V153">
        <v>152</v>
      </c>
      <c r="W153">
        <v>100153</v>
      </c>
      <c r="X153">
        <v>153</v>
      </c>
      <c r="Y153" t="b">
        <f t="shared" si="2"/>
        <v>1</v>
      </c>
      <c r="Z153" t="b">
        <f>COUNTBLANK(metadata!B153:R153)=COLUMNS(metadata!B153:R153)</f>
        <v>1</v>
      </c>
      <c r="AA153" t="str">
        <v/>
      </c>
      <c r="AC153" t="b">
        <f ca="1"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AD153" t="b">
        <f>IF(metadata!C153="",FALSE,ISNUMBER(VALUE(metadata!C153)))</f>
        <v>0</v>
      </c>
      <c r="AE153" t="b">
        <f>AND(IF(metadata!D153="",FALSE,TRUE),EXACT(metadata!D153,"years"))</f>
        <v>0</v>
      </c>
      <c r="AF153" t="b">
        <f>OR(AND(IF(metadata!E153="",FALSE,TRUE),OR(EXACT(metadata!E153,"not applicable"),EXACT(metadata!E153,"missing: not collected"),EXACT(metadata!E153,"missing: not provided"),EXACT(metadata!E153,"missing: restricted access"))),AND(IF(metadata!E153="",FALSE,ISNUMBER(VALUE(metadata!E153))),metadata!E153&gt;0))</f>
        <v>0</v>
      </c>
      <c r="AG153" t="b">
        <f>AND(IF(metadata!F153="",FALSE,TRUE),EXACT(metadata!F153,"Not applicable"))</f>
        <v>0</v>
      </c>
      <c r="AH153" t="b">
        <f>AND(IF(metadata!G153="",FALSE,TRUE),EXACT(metadata!G153,"urban biome"))</f>
        <v>0</v>
      </c>
      <c r="AI153" t="b">
        <f>AND(IF(metadata!H153="",FALSE,TRUE),EXACT(metadata!H153,"human-associated habitat"))</f>
        <v>0</v>
      </c>
      <c r="AJ153" t="b">
        <f>AND(IF(metadata!I153="",FALSE,TRUE),OR(EXACT(metadata!I153,"human-associated"),EXACT(metadata!I153,"human-skin"),EXACT(metadata!I153,"human-oral"),EXACT(metadata!I153,"human-gut"),EXACT(metadata!I153,"human-vaginal")))</f>
        <v>0</v>
      </c>
      <c r="AK153" t="b">
        <f>IF(metadata!J153="",FALSE,ISNUMBER(VALUE(metadata!J153)))</f>
        <v>0</v>
      </c>
      <c r="AL153" t="b">
        <f>AND(IF(metadata!K153="",FALSE,TRUE),EXACT(metadata!K153,"cm"))</f>
        <v>0</v>
      </c>
      <c r="AM153" t="b">
        <f>AND(IF(metadata!L153="",FALSE,TRUE),EXACT(metadata!L153,"human"))</f>
        <v>0</v>
      </c>
      <c r="AN153" t="b">
        <f>AND(IF(metadata!M153="",FALSE,TRUE),EXACT(metadata!M153,"Homo sapiens"))</f>
        <v>0</v>
      </c>
      <c r="AO153" t="b">
        <f>AND(IF(metadata!N153="",FALSE,TRUE),EXACT(metadata!N153,"9606"))</f>
        <v>0</v>
      </c>
      <c r="AP153" t="b">
        <f>IF(metadata!O153="",FALSE,TRUE)</f>
        <v>0</v>
      </c>
      <c r="AQ153" t="b">
        <f>IF(metadata!P153="",FALSE,TRUE)</f>
        <v>0</v>
      </c>
      <c r="AR153" t="b">
        <f>IF(metadata!Q153="",FALSE,ISNUMBER(VALUE(metadata!Q153)))</f>
        <v>0</v>
      </c>
      <c r="AS153" t="b">
        <f>AND(IF(metadata!R153="",FALSE,TRUE),EXACT(metadata!R153,"kg"))</f>
        <v>0</v>
      </c>
    </row>
    <row r="154" spans="1:45" x14ac:dyDescent="0.2">
      <c r="A154" s="5" t="str">
        <f ca="1">IF(B154=" "," ",HYPERLINK(CONCATENATE("#metadata!",ADDRESS(INDEX($X$2:$X$1001,MATCH(ROWS($V$2:V154),$V$2:$V$1001,0),0),1)),INDEX($AA$2:$AA$1001,MATCH(ROWS($V$2:V154),$V$2:$V$1001,0),0)))</f>
        <v xml:space="preserve"> </v>
      </c>
      <c r="B154" s="4" t="str">
        <f ca="1">IF(OR(INDEX($W$2:$W$1001,MATCH(ROWS($V$2:V154),$V$2:$V$1001,0),1)&gt;=100000,INDEX($AC$1005:$AS$1005,1,MATCH(COLUMNS($AC$1006:AC1006),$AC$1006:$AS$1006,0))&gt;=100000), " ",IF(INDEX($AC$2:$AS$1001,MATCH(ROWS($V$2:V154),$V$2:$V$1001,0),MATCH(COLUMNS($AC$1006:AC1006),$AC$1006:$AS$1006,0)), HYPERLINK("#",""), HYPERLINK(CONCATENATE("#metadata!", ADDRESS(INDEX($X$2:$X$1001,MATCH(ROWS($V$2:V154),$V$2:$V$1001,0),0), INDEX($AC$1004:$AS$1004,1,MATCH(COLUMNS($AC$1006:AC1006),$AC$1006:$AS$1006,0)))),"Fix")))</f>
        <v xml:space="preserve"> </v>
      </c>
      <c r="C154" s="4" t="str">
        <f ca="1">IF(OR(INDEX($W$2:$W$1001,MATCH(ROWS($V$2:V154),$V$2:$V$1001,0),1)&gt;=100000,INDEX($AC$1005:$AS$1005,1,MATCH(COLUMNS($AC$1006:AD1006),$AC$1006:$AS$1006,0))&gt;=100000), " ",IF(INDEX($AC$2:$AS$1001,MATCH(ROWS($V$2:V154),$V$2:$V$1001,0),MATCH(COLUMNS($AC$1006:AD1006),$AC$1006:$AS$1006,0)), HYPERLINK("#",""), HYPERLINK(CONCATENATE("#metadata!", ADDRESS(INDEX($X$2:$X$1001,MATCH(ROWS($V$2:V154),$V$2:$V$1001,0),0), INDEX($AC$1004:$AS$1004,1,MATCH(COLUMNS($AC$1006:AD1006),$AC$1006:$AS$1006,0)))),"Fix")))</f>
        <v xml:space="preserve"> </v>
      </c>
      <c r="D154" s="4" t="str">
        <f ca="1">IF(OR(INDEX($W$2:$W$1001,MATCH(ROWS($V$2:V154),$V$2:$V$1001,0),1)&gt;=100000,INDEX($AC$1005:$AS$1005,1,MATCH(COLUMNS($AC$1006:AE1006),$AC$1006:$AS$1006,0))&gt;=100000), " ",IF(INDEX($AC$2:$AS$1001,MATCH(ROWS($V$2:V154),$V$2:$V$1001,0),MATCH(COLUMNS($AC$1006:AE1006),$AC$1006:$AS$1006,0)), HYPERLINK("#",""), HYPERLINK(CONCATENATE("#metadata!", ADDRESS(INDEX($X$2:$X$1001,MATCH(ROWS($V$2:V154),$V$2:$V$1001,0),0), INDEX($AC$1004:$AS$1004,1,MATCH(COLUMNS($AC$1006:AE1006),$AC$1006:$AS$1006,0)))),"Fix")))</f>
        <v xml:space="preserve"> </v>
      </c>
      <c r="E154" s="4" t="str">
        <f ca="1">IF(OR(INDEX($W$2:$W$1001,MATCH(ROWS($V$2:V154),$V$2:$V$1001,0),1)&gt;=100000,INDEX($AC$1005:$AS$1005,1,MATCH(COLUMNS($AC$1006:AF1006),$AC$1006:$AS$1006,0))&gt;=100000), " ",IF(INDEX($AC$2:$AS$1001,MATCH(ROWS($V$2:V154),$V$2:$V$1001,0),MATCH(COLUMNS($AC$1006:AF1006),$AC$1006:$AS$1006,0)), HYPERLINK("#",""), HYPERLINK(CONCATENATE("#metadata!", ADDRESS(INDEX($X$2:$X$1001,MATCH(ROWS($V$2:V154),$V$2:$V$1001,0),0), INDEX($AC$1004:$AS$1004,1,MATCH(COLUMNS($AC$1006:AF1006),$AC$1006:$AS$1006,0)))),"Fix")))</f>
        <v xml:space="preserve"> </v>
      </c>
      <c r="F154" s="4" t="str">
        <f ca="1">IF(OR(INDEX($W$2:$W$1001,MATCH(ROWS($V$2:V154),$V$2:$V$1001,0),1)&gt;=100000,INDEX($AC$1005:$AS$1005,1,MATCH(COLUMNS($AC$1006:AG1006),$AC$1006:$AS$1006,0))&gt;=100000), " ",IF(INDEX($AC$2:$AS$1001,MATCH(ROWS($V$2:V154),$V$2:$V$1001,0),MATCH(COLUMNS($AC$1006:AG1006),$AC$1006:$AS$1006,0)), HYPERLINK("#",""), HYPERLINK(CONCATENATE("#metadata!", ADDRESS(INDEX($X$2:$X$1001,MATCH(ROWS($V$2:V154),$V$2:$V$1001,0),0), INDEX($AC$1004:$AS$1004,1,MATCH(COLUMNS($AC$1006:AG1006),$AC$1006:$AS$1006,0)))),"Fix")))</f>
        <v xml:space="preserve"> </v>
      </c>
      <c r="G154" s="4" t="str">
        <f ca="1">IF(OR(INDEX($W$2:$W$1001,MATCH(ROWS($V$2:V154),$V$2:$V$1001,0),1)&gt;=100000,INDEX($AC$1005:$AS$1005,1,MATCH(COLUMNS($AC$1006:AH1006),$AC$1006:$AS$1006,0))&gt;=100000), " ",IF(INDEX($AC$2:$AS$1001,MATCH(ROWS($V$2:V154),$V$2:$V$1001,0),MATCH(COLUMNS($AC$1006:AH1006),$AC$1006:$AS$1006,0)), HYPERLINK("#",""), HYPERLINK(CONCATENATE("#metadata!", ADDRESS(INDEX($X$2:$X$1001,MATCH(ROWS($V$2:V154),$V$2:$V$1001,0),0), INDEX($AC$1004:$AS$1004,1,MATCH(COLUMNS($AC$1006:AH1006),$AC$1006:$AS$1006,0)))),"Fix")))</f>
        <v xml:space="preserve"> </v>
      </c>
      <c r="H154" s="4" t="str">
        <f ca="1">IF(OR(INDEX($W$2:$W$1001,MATCH(ROWS($V$2:V154),$V$2:$V$1001,0),1)&gt;=100000,INDEX($AC$1005:$AS$1005,1,MATCH(COLUMNS($AC$1006:AI1006),$AC$1006:$AS$1006,0))&gt;=100000), " ",IF(INDEX($AC$2:$AS$1001,MATCH(ROWS($V$2:V154),$V$2:$V$1001,0),MATCH(COLUMNS($AC$1006:AI1006),$AC$1006:$AS$1006,0)), HYPERLINK("#",""), HYPERLINK(CONCATENATE("#metadata!", ADDRESS(INDEX($X$2:$X$1001,MATCH(ROWS($V$2:V154),$V$2:$V$1001,0),0), INDEX($AC$1004:$AS$1004,1,MATCH(COLUMNS($AC$1006:AI1006),$AC$1006:$AS$1006,0)))),"Fix")))</f>
        <v xml:space="preserve"> </v>
      </c>
      <c r="I154" s="4" t="str">
        <f ca="1">IF(OR(INDEX($W$2:$W$1001,MATCH(ROWS($V$2:V154),$V$2:$V$1001,0),1)&gt;=100000,INDEX($AC$1005:$AS$1005,1,MATCH(COLUMNS($AC$1006:AJ1006),$AC$1006:$AS$1006,0))&gt;=100000), " ",IF(INDEX($AC$2:$AS$1001,MATCH(ROWS($V$2:V154),$V$2:$V$1001,0),MATCH(COLUMNS($AC$1006:AJ1006),$AC$1006:$AS$1006,0)), HYPERLINK("#",""), HYPERLINK(CONCATENATE("#metadata!", ADDRESS(INDEX($X$2:$X$1001,MATCH(ROWS($V$2:V154),$V$2:$V$1001,0),0), INDEX($AC$1004:$AS$1004,1,MATCH(COLUMNS($AC$1006:AJ1006),$AC$1006:$AS$1006,0)))),"Fix")))</f>
        <v xml:space="preserve"> </v>
      </c>
      <c r="J154" s="4" t="str">
        <f ca="1">IF(OR(INDEX($W$2:$W$1001,MATCH(ROWS($V$2:V154),$V$2:$V$1001,0),1)&gt;=100000,INDEX($AC$1005:$AS$1005,1,MATCH(COLUMNS($AC$1006:AK1006),$AC$1006:$AS$1006,0))&gt;=100000), " ",IF(INDEX($AC$2:$AS$1001,MATCH(ROWS($V$2:V154),$V$2:$V$1001,0),MATCH(COLUMNS($AC$1006:AK1006),$AC$1006:$AS$1006,0)), HYPERLINK("#",""), HYPERLINK(CONCATENATE("#metadata!", ADDRESS(INDEX($X$2:$X$1001,MATCH(ROWS($V$2:V154),$V$2:$V$1001,0),0), INDEX($AC$1004:$AS$1004,1,MATCH(COLUMNS($AC$1006:AK1006),$AC$1006:$AS$1006,0)))),"Fix")))</f>
        <v xml:space="preserve"> </v>
      </c>
      <c r="K154" s="4" t="str">
        <f ca="1">IF(OR(INDEX($W$2:$W$1001,MATCH(ROWS($V$2:V154),$V$2:$V$1001,0),1)&gt;=100000,INDEX($AC$1005:$AS$1005,1,MATCH(COLUMNS($AC$1006:AL1006),$AC$1006:$AS$1006,0))&gt;=100000), " ",IF(INDEX($AC$2:$AS$1001,MATCH(ROWS($V$2:V154),$V$2:$V$1001,0),MATCH(COLUMNS($AC$1006:AL1006),$AC$1006:$AS$1006,0)), HYPERLINK("#",""), HYPERLINK(CONCATENATE("#metadata!", ADDRESS(INDEX($X$2:$X$1001,MATCH(ROWS($V$2:V154),$V$2:$V$1001,0),0), INDEX($AC$1004:$AS$1004,1,MATCH(COLUMNS($AC$1006:AL1006),$AC$1006:$AS$1006,0)))),"Fix")))</f>
        <v xml:space="preserve"> </v>
      </c>
      <c r="L154" s="4" t="str">
        <f ca="1">IF(OR(INDEX($W$2:$W$1001,MATCH(ROWS($V$2:V154),$V$2:$V$1001,0),1)&gt;=100000,INDEX($AC$1005:$AS$1005,1,MATCH(COLUMNS($AC$1006:AM1006),$AC$1006:$AS$1006,0))&gt;=100000), " ",IF(INDEX($AC$2:$AS$1001,MATCH(ROWS($V$2:V154),$V$2:$V$1001,0),MATCH(COLUMNS($AC$1006:AM1006),$AC$1006:$AS$1006,0)), HYPERLINK("#",""), HYPERLINK(CONCATENATE("#metadata!", ADDRESS(INDEX($X$2:$X$1001,MATCH(ROWS($V$2:V154),$V$2:$V$1001,0),0), INDEX($AC$1004:$AS$1004,1,MATCH(COLUMNS($AC$1006:AM1006),$AC$1006:$AS$1006,0)))),"Fix")))</f>
        <v xml:space="preserve"> </v>
      </c>
      <c r="M154" s="4" t="str">
        <f ca="1">IF(OR(INDEX($W$2:$W$1001,MATCH(ROWS($V$2:V154),$V$2:$V$1001,0),1)&gt;=100000,INDEX($AC$1005:$AS$1005,1,MATCH(COLUMNS($AC$1006:AN1006),$AC$1006:$AS$1006,0))&gt;=100000), " ",IF(INDEX($AC$2:$AS$1001,MATCH(ROWS($V$2:V154),$V$2:$V$1001,0),MATCH(COLUMNS($AC$1006:AN1006),$AC$1006:$AS$1006,0)), HYPERLINK("#",""), HYPERLINK(CONCATENATE("#metadata!", ADDRESS(INDEX($X$2:$X$1001,MATCH(ROWS($V$2:V154),$V$2:$V$1001,0),0), INDEX($AC$1004:$AS$1004,1,MATCH(COLUMNS($AC$1006:AN1006),$AC$1006:$AS$1006,0)))),"Fix")))</f>
        <v xml:space="preserve"> </v>
      </c>
      <c r="N154" s="4" t="str">
        <f ca="1">IF(OR(INDEX($W$2:$W$1001,MATCH(ROWS($V$2:V154),$V$2:$V$1001,0),1)&gt;=100000,INDEX($AC$1005:$AS$1005,1,MATCH(COLUMNS($AC$1006:AO1006),$AC$1006:$AS$1006,0))&gt;=100000), " ",IF(INDEX($AC$2:$AS$1001,MATCH(ROWS($V$2:V154),$V$2:$V$1001,0),MATCH(COLUMNS($AC$1006:AO1006),$AC$1006:$AS$1006,0)), HYPERLINK("#",""), HYPERLINK(CONCATENATE("#metadata!", ADDRESS(INDEX($X$2:$X$1001,MATCH(ROWS($V$2:V154),$V$2:$V$1001,0),0), INDEX($AC$1004:$AS$1004,1,MATCH(COLUMNS($AC$1006:AO1006),$AC$1006:$AS$1006,0)))),"Fix")))</f>
        <v xml:space="preserve"> </v>
      </c>
      <c r="O154" s="4" t="str">
        <f ca="1">IF(OR(INDEX($W$2:$W$1001,MATCH(ROWS($V$2:V154),$V$2:$V$1001,0),1)&gt;=100000,INDEX($AC$1005:$AS$1005,1,MATCH(COLUMNS($AC$1006:AP1006),$AC$1006:$AS$1006,0))&gt;=100000), " ",IF(INDEX($AC$2:$AS$1001,MATCH(ROWS($V$2:V154),$V$2:$V$1001,0),MATCH(COLUMNS($AC$1006:AP1006),$AC$1006:$AS$1006,0)), HYPERLINK("#",""), HYPERLINK(CONCATENATE("#metadata!", ADDRESS(INDEX($X$2:$X$1001,MATCH(ROWS($V$2:V154),$V$2:$V$1001,0),0), INDEX($AC$1004:$AS$1004,1,MATCH(COLUMNS($AC$1006:AP1006),$AC$1006:$AS$1006,0)))),"Fix")))</f>
        <v xml:space="preserve"> </v>
      </c>
      <c r="P154" s="4" t="str">
        <f ca="1">IF(OR(INDEX($W$2:$W$1001,MATCH(ROWS($V$2:V154),$V$2:$V$1001,0),1)&gt;=100000,INDEX($AC$1005:$AS$1005,1,MATCH(COLUMNS($AC$1006:AQ1006),$AC$1006:$AS$1006,0))&gt;=100000), " ",IF(INDEX($AC$2:$AS$1001,MATCH(ROWS($V$2:V154),$V$2:$V$1001,0),MATCH(COLUMNS($AC$1006:AQ1006),$AC$1006:$AS$1006,0)), HYPERLINK("#",""), HYPERLINK(CONCATENATE("#metadata!", ADDRESS(INDEX($X$2:$X$1001,MATCH(ROWS($V$2:V154),$V$2:$V$1001,0),0), INDEX($AC$1004:$AS$1004,1,MATCH(COLUMNS($AC$1006:AQ1006),$AC$1006:$AS$1006,0)))),"Fix")))</f>
        <v xml:space="preserve"> </v>
      </c>
      <c r="Q154" s="4" t="str">
        <f ca="1">IF(OR(INDEX($W$2:$W$1001,MATCH(ROWS($V$2:V154),$V$2:$V$1001,0),1)&gt;=100000,INDEX($AC$1005:$AS$1005,1,MATCH(COLUMNS($AC$1006:AR1006),$AC$1006:$AS$1006,0))&gt;=100000), " ",IF(INDEX($AC$2:$AS$1001,MATCH(ROWS($V$2:V154),$V$2:$V$1001,0),MATCH(COLUMNS($AC$1006:AR1006),$AC$1006:$AS$1006,0)), HYPERLINK("#",""), HYPERLINK(CONCATENATE("#metadata!", ADDRESS(INDEX($X$2:$X$1001,MATCH(ROWS($V$2:V154),$V$2:$V$1001,0),0), INDEX($AC$1004:$AS$1004,1,MATCH(COLUMNS($AC$1006:AR1006),$AC$1006:$AS$1006,0)))),"Fix")))</f>
        <v xml:space="preserve"> </v>
      </c>
      <c r="R154" s="4" t="str">
        <f ca="1">IF(OR(INDEX($W$2:$W$1001,MATCH(ROWS($V$2:V154),$V$2:$V$1001,0),1)&gt;=100000,INDEX($AC$1005:$AS$1005,1,MATCH(COLUMNS($AC$1006:AS1006),$AC$1006:$AS$1006,0))&gt;=100000), " ",IF(INDEX($AC$2:$AS$1001,MATCH(ROWS($V$2:V154),$V$2:$V$1001,0),MATCH(COLUMNS($AC$1006:AS1006),$AC$1006:$AS$1006,0)), HYPERLINK("#",""), HYPERLINK(CONCATENATE("#metadata!", ADDRESS(INDEX($X$2:$X$1001,MATCH(ROWS($V$2:V154),$V$2:$V$1001,0),0), INDEX($AC$1004:$AS$1004,1,MATCH(COLUMNS($AC$1006:AS1006),$AC$1006:$AS$1006,0)))),"Fix")))</f>
        <v xml:space="preserve"> </v>
      </c>
      <c r="V154">
        <v>153</v>
      </c>
      <c r="W154">
        <v>100154</v>
      </c>
      <c r="X154">
        <v>154</v>
      </c>
      <c r="Y154" t="b">
        <f t="shared" si="2"/>
        <v>1</v>
      </c>
      <c r="Z154" t="b">
        <f>COUNTBLANK(metadata!B154:R154)=COLUMNS(metadata!B154:R154)</f>
        <v>1</v>
      </c>
      <c r="AA154" t="str">
        <v/>
      </c>
      <c r="AC154" t="b">
        <f ca="1"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AD154" t="b">
        <f>IF(metadata!C154="",FALSE,ISNUMBER(VALUE(metadata!C154)))</f>
        <v>0</v>
      </c>
      <c r="AE154" t="b">
        <f>AND(IF(metadata!D154="",FALSE,TRUE),EXACT(metadata!D154,"years"))</f>
        <v>0</v>
      </c>
      <c r="AF154" t="b">
        <f>OR(AND(IF(metadata!E154="",FALSE,TRUE),OR(EXACT(metadata!E154,"not applicable"),EXACT(metadata!E154,"missing: not collected"),EXACT(metadata!E154,"missing: not provided"),EXACT(metadata!E154,"missing: restricted access"))),AND(IF(metadata!E154="",FALSE,ISNUMBER(VALUE(metadata!E154))),metadata!E154&gt;0))</f>
        <v>0</v>
      </c>
      <c r="AG154" t="b">
        <f>AND(IF(metadata!F154="",FALSE,TRUE),EXACT(metadata!F154,"Not applicable"))</f>
        <v>0</v>
      </c>
      <c r="AH154" t="b">
        <f>AND(IF(metadata!G154="",FALSE,TRUE),EXACT(metadata!G154,"urban biome"))</f>
        <v>0</v>
      </c>
      <c r="AI154" t="b">
        <f>AND(IF(metadata!H154="",FALSE,TRUE),EXACT(metadata!H154,"human-associated habitat"))</f>
        <v>0</v>
      </c>
      <c r="AJ154" t="b">
        <f>AND(IF(metadata!I154="",FALSE,TRUE),OR(EXACT(metadata!I154,"human-associated"),EXACT(metadata!I154,"human-skin"),EXACT(metadata!I154,"human-oral"),EXACT(metadata!I154,"human-gut"),EXACT(metadata!I154,"human-vaginal")))</f>
        <v>0</v>
      </c>
      <c r="AK154" t="b">
        <f>IF(metadata!J154="",FALSE,ISNUMBER(VALUE(metadata!J154)))</f>
        <v>0</v>
      </c>
      <c r="AL154" t="b">
        <f>AND(IF(metadata!K154="",FALSE,TRUE),EXACT(metadata!K154,"cm"))</f>
        <v>0</v>
      </c>
      <c r="AM154" t="b">
        <f>AND(IF(metadata!L154="",FALSE,TRUE),EXACT(metadata!L154,"human"))</f>
        <v>0</v>
      </c>
      <c r="AN154" t="b">
        <f>AND(IF(metadata!M154="",FALSE,TRUE),EXACT(metadata!M154,"Homo sapiens"))</f>
        <v>0</v>
      </c>
      <c r="AO154" t="b">
        <f>AND(IF(metadata!N154="",FALSE,TRUE),EXACT(metadata!N154,"9606"))</f>
        <v>0</v>
      </c>
      <c r="AP154" t="b">
        <f>IF(metadata!O154="",FALSE,TRUE)</f>
        <v>0</v>
      </c>
      <c r="AQ154" t="b">
        <f>IF(metadata!P154="",FALSE,TRUE)</f>
        <v>0</v>
      </c>
      <c r="AR154" t="b">
        <f>IF(metadata!Q154="",FALSE,ISNUMBER(VALUE(metadata!Q154)))</f>
        <v>0</v>
      </c>
      <c r="AS154" t="b">
        <f>AND(IF(metadata!R154="",FALSE,TRUE),EXACT(metadata!R154,"kg"))</f>
        <v>0</v>
      </c>
    </row>
    <row r="155" spans="1:45" x14ac:dyDescent="0.2">
      <c r="A155" s="5" t="str">
        <f ca="1">IF(B155=" "," ",HYPERLINK(CONCATENATE("#metadata!",ADDRESS(INDEX($X$2:$X$1001,MATCH(ROWS($V$2:V155),$V$2:$V$1001,0),0),1)),INDEX($AA$2:$AA$1001,MATCH(ROWS($V$2:V155),$V$2:$V$1001,0),0)))</f>
        <v xml:space="preserve"> </v>
      </c>
      <c r="B155" s="4" t="str">
        <f ca="1">IF(OR(INDEX($W$2:$W$1001,MATCH(ROWS($V$2:V155),$V$2:$V$1001,0),1)&gt;=100000,INDEX($AC$1005:$AS$1005,1,MATCH(COLUMNS($AC$1006:AC1006),$AC$1006:$AS$1006,0))&gt;=100000), " ",IF(INDEX($AC$2:$AS$1001,MATCH(ROWS($V$2:V155),$V$2:$V$1001,0),MATCH(COLUMNS($AC$1006:AC1006),$AC$1006:$AS$1006,0)), HYPERLINK("#",""), HYPERLINK(CONCATENATE("#metadata!", ADDRESS(INDEX($X$2:$X$1001,MATCH(ROWS($V$2:V155),$V$2:$V$1001,0),0), INDEX($AC$1004:$AS$1004,1,MATCH(COLUMNS($AC$1006:AC1006),$AC$1006:$AS$1006,0)))),"Fix")))</f>
        <v xml:space="preserve"> </v>
      </c>
      <c r="C155" s="4" t="str">
        <f ca="1">IF(OR(INDEX($W$2:$W$1001,MATCH(ROWS($V$2:V155),$V$2:$V$1001,0),1)&gt;=100000,INDEX($AC$1005:$AS$1005,1,MATCH(COLUMNS($AC$1006:AD1006),$AC$1006:$AS$1006,0))&gt;=100000), " ",IF(INDEX($AC$2:$AS$1001,MATCH(ROWS($V$2:V155),$V$2:$V$1001,0),MATCH(COLUMNS($AC$1006:AD1006),$AC$1006:$AS$1006,0)), HYPERLINK("#",""), HYPERLINK(CONCATENATE("#metadata!", ADDRESS(INDEX($X$2:$X$1001,MATCH(ROWS($V$2:V155),$V$2:$V$1001,0),0), INDEX($AC$1004:$AS$1004,1,MATCH(COLUMNS($AC$1006:AD1006),$AC$1006:$AS$1006,0)))),"Fix")))</f>
        <v xml:space="preserve"> </v>
      </c>
      <c r="D155" s="4" t="str">
        <f ca="1">IF(OR(INDEX($W$2:$W$1001,MATCH(ROWS($V$2:V155),$V$2:$V$1001,0),1)&gt;=100000,INDEX($AC$1005:$AS$1005,1,MATCH(COLUMNS($AC$1006:AE1006),$AC$1006:$AS$1006,0))&gt;=100000), " ",IF(INDEX($AC$2:$AS$1001,MATCH(ROWS($V$2:V155),$V$2:$V$1001,0),MATCH(COLUMNS($AC$1006:AE1006),$AC$1006:$AS$1006,0)), HYPERLINK("#",""), HYPERLINK(CONCATENATE("#metadata!", ADDRESS(INDEX($X$2:$X$1001,MATCH(ROWS($V$2:V155),$V$2:$V$1001,0),0), INDEX($AC$1004:$AS$1004,1,MATCH(COLUMNS($AC$1006:AE1006),$AC$1006:$AS$1006,0)))),"Fix")))</f>
        <v xml:space="preserve"> </v>
      </c>
      <c r="E155" s="4" t="str">
        <f ca="1">IF(OR(INDEX($W$2:$W$1001,MATCH(ROWS($V$2:V155),$V$2:$V$1001,0),1)&gt;=100000,INDEX($AC$1005:$AS$1005,1,MATCH(COLUMNS($AC$1006:AF1006),$AC$1006:$AS$1006,0))&gt;=100000), " ",IF(INDEX($AC$2:$AS$1001,MATCH(ROWS($V$2:V155),$V$2:$V$1001,0),MATCH(COLUMNS($AC$1006:AF1006),$AC$1006:$AS$1006,0)), HYPERLINK("#",""), HYPERLINK(CONCATENATE("#metadata!", ADDRESS(INDEX($X$2:$X$1001,MATCH(ROWS($V$2:V155),$V$2:$V$1001,0),0), INDEX($AC$1004:$AS$1004,1,MATCH(COLUMNS($AC$1006:AF1006),$AC$1006:$AS$1006,0)))),"Fix")))</f>
        <v xml:space="preserve"> </v>
      </c>
      <c r="F155" s="4" t="str">
        <f ca="1">IF(OR(INDEX($W$2:$W$1001,MATCH(ROWS($V$2:V155),$V$2:$V$1001,0),1)&gt;=100000,INDEX($AC$1005:$AS$1005,1,MATCH(COLUMNS($AC$1006:AG1006),$AC$1006:$AS$1006,0))&gt;=100000), " ",IF(INDEX($AC$2:$AS$1001,MATCH(ROWS($V$2:V155),$V$2:$V$1001,0),MATCH(COLUMNS($AC$1006:AG1006),$AC$1006:$AS$1006,0)), HYPERLINK("#",""), HYPERLINK(CONCATENATE("#metadata!", ADDRESS(INDEX($X$2:$X$1001,MATCH(ROWS($V$2:V155),$V$2:$V$1001,0),0), INDEX($AC$1004:$AS$1004,1,MATCH(COLUMNS($AC$1006:AG1006),$AC$1006:$AS$1006,0)))),"Fix")))</f>
        <v xml:space="preserve"> </v>
      </c>
      <c r="G155" s="4" t="str">
        <f ca="1">IF(OR(INDEX($W$2:$W$1001,MATCH(ROWS($V$2:V155),$V$2:$V$1001,0),1)&gt;=100000,INDEX($AC$1005:$AS$1005,1,MATCH(COLUMNS($AC$1006:AH1006),$AC$1006:$AS$1006,0))&gt;=100000), " ",IF(INDEX($AC$2:$AS$1001,MATCH(ROWS($V$2:V155),$V$2:$V$1001,0),MATCH(COLUMNS($AC$1006:AH1006),$AC$1006:$AS$1006,0)), HYPERLINK("#",""), HYPERLINK(CONCATENATE("#metadata!", ADDRESS(INDEX($X$2:$X$1001,MATCH(ROWS($V$2:V155),$V$2:$V$1001,0),0), INDEX($AC$1004:$AS$1004,1,MATCH(COLUMNS($AC$1006:AH1006),$AC$1006:$AS$1006,0)))),"Fix")))</f>
        <v xml:space="preserve"> </v>
      </c>
      <c r="H155" s="4" t="str">
        <f ca="1">IF(OR(INDEX($W$2:$W$1001,MATCH(ROWS($V$2:V155),$V$2:$V$1001,0),1)&gt;=100000,INDEX($AC$1005:$AS$1005,1,MATCH(COLUMNS($AC$1006:AI1006),$AC$1006:$AS$1006,0))&gt;=100000), " ",IF(INDEX($AC$2:$AS$1001,MATCH(ROWS($V$2:V155),$V$2:$V$1001,0),MATCH(COLUMNS($AC$1006:AI1006),$AC$1006:$AS$1006,0)), HYPERLINK("#",""), HYPERLINK(CONCATENATE("#metadata!", ADDRESS(INDEX($X$2:$X$1001,MATCH(ROWS($V$2:V155),$V$2:$V$1001,0),0), INDEX($AC$1004:$AS$1004,1,MATCH(COLUMNS($AC$1006:AI1006),$AC$1006:$AS$1006,0)))),"Fix")))</f>
        <v xml:space="preserve"> </v>
      </c>
      <c r="I155" s="4" t="str">
        <f ca="1">IF(OR(INDEX($W$2:$W$1001,MATCH(ROWS($V$2:V155),$V$2:$V$1001,0),1)&gt;=100000,INDEX($AC$1005:$AS$1005,1,MATCH(COLUMNS($AC$1006:AJ1006),$AC$1006:$AS$1006,0))&gt;=100000), " ",IF(INDEX($AC$2:$AS$1001,MATCH(ROWS($V$2:V155),$V$2:$V$1001,0),MATCH(COLUMNS($AC$1006:AJ1006),$AC$1006:$AS$1006,0)), HYPERLINK("#",""), HYPERLINK(CONCATENATE("#metadata!", ADDRESS(INDEX($X$2:$X$1001,MATCH(ROWS($V$2:V155),$V$2:$V$1001,0),0), INDEX($AC$1004:$AS$1004,1,MATCH(COLUMNS($AC$1006:AJ1006),$AC$1006:$AS$1006,0)))),"Fix")))</f>
        <v xml:space="preserve"> </v>
      </c>
      <c r="J155" s="4" t="str">
        <f ca="1">IF(OR(INDEX($W$2:$W$1001,MATCH(ROWS($V$2:V155),$V$2:$V$1001,0),1)&gt;=100000,INDEX($AC$1005:$AS$1005,1,MATCH(COLUMNS($AC$1006:AK1006),$AC$1006:$AS$1006,0))&gt;=100000), " ",IF(INDEX($AC$2:$AS$1001,MATCH(ROWS($V$2:V155),$V$2:$V$1001,0),MATCH(COLUMNS($AC$1006:AK1006),$AC$1006:$AS$1006,0)), HYPERLINK("#",""), HYPERLINK(CONCATENATE("#metadata!", ADDRESS(INDEX($X$2:$X$1001,MATCH(ROWS($V$2:V155),$V$2:$V$1001,0),0), INDEX($AC$1004:$AS$1004,1,MATCH(COLUMNS($AC$1006:AK1006),$AC$1006:$AS$1006,0)))),"Fix")))</f>
        <v xml:space="preserve"> </v>
      </c>
      <c r="K155" s="4" t="str">
        <f ca="1">IF(OR(INDEX($W$2:$W$1001,MATCH(ROWS($V$2:V155),$V$2:$V$1001,0),1)&gt;=100000,INDEX($AC$1005:$AS$1005,1,MATCH(COLUMNS($AC$1006:AL1006),$AC$1006:$AS$1006,0))&gt;=100000), " ",IF(INDEX($AC$2:$AS$1001,MATCH(ROWS($V$2:V155),$V$2:$V$1001,0),MATCH(COLUMNS($AC$1006:AL1006),$AC$1006:$AS$1006,0)), HYPERLINK("#",""), HYPERLINK(CONCATENATE("#metadata!", ADDRESS(INDEX($X$2:$X$1001,MATCH(ROWS($V$2:V155),$V$2:$V$1001,0),0), INDEX($AC$1004:$AS$1004,1,MATCH(COLUMNS($AC$1006:AL1006),$AC$1006:$AS$1006,0)))),"Fix")))</f>
        <v xml:space="preserve"> </v>
      </c>
      <c r="L155" s="4" t="str">
        <f ca="1">IF(OR(INDEX($W$2:$W$1001,MATCH(ROWS($V$2:V155),$V$2:$V$1001,0),1)&gt;=100000,INDEX($AC$1005:$AS$1005,1,MATCH(COLUMNS($AC$1006:AM1006),$AC$1006:$AS$1006,0))&gt;=100000), " ",IF(INDEX($AC$2:$AS$1001,MATCH(ROWS($V$2:V155),$V$2:$V$1001,0),MATCH(COLUMNS($AC$1006:AM1006),$AC$1006:$AS$1006,0)), HYPERLINK("#",""), HYPERLINK(CONCATENATE("#metadata!", ADDRESS(INDEX($X$2:$X$1001,MATCH(ROWS($V$2:V155),$V$2:$V$1001,0),0), INDEX($AC$1004:$AS$1004,1,MATCH(COLUMNS($AC$1006:AM1006),$AC$1006:$AS$1006,0)))),"Fix")))</f>
        <v xml:space="preserve"> </v>
      </c>
      <c r="M155" s="4" t="str">
        <f ca="1">IF(OR(INDEX($W$2:$W$1001,MATCH(ROWS($V$2:V155),$V$2:$V$1001,0),1)&gt;=100000,INDEX($AC$1005:$AS$1005,1,MATCH(COLUMNS($AC$1006:AN1006),$AC$1006:$AS$1006,0))&gt;=100000), " ",IF(INDEX($AC$2:$AS$1001,MATCH(ROWS($V$2:V155),$V$2:$V$1001,0),MATCH(COLUMNS($AC$1006:AN1006),$AC$1006:$AS$1006,0)), HYPERLINK("#",""), HYPERLINK(CONCATENATE("#metadata!", ADDRESS(INDEX($X$2:$X$1001,MATCH(ROWS($V$2:V155),$V$2:$V$1001,0),0), INDEX($AC$1004:$AS$1004,1,MATCH(COLUMNS($AC$1006:AN1006),$AC$1006:$AS$1006,0)))),"Fix")))</f>
        <v xml:space="preserve"> </v>
      </c>
      <c r="N155" s="4" t="str">
        <f ca="1">IF(OR(INDEX($W$2:$W$1001,MATCH(ROWS($V$2:V155),$V$2:$V$1001,0),1)&gt;=100000,INDEX($AC$1005:$AS$1005,1,MATCH(COLUMNS($AC$1006:AO1006),$AC$1006:$AS$1006,0))&gt;=100000), " ",IF(INDEX($AC$2:$AS$1001,MATCH(ROWS($V$2:V155),$V$2:$V$1001,0),MATCH(COLUMNS($AC$1006:AO1006),$AC$1006:$AS$1006,0)), HYPERLINK("#",""), HYPERLINK(CONCATENATE("#metadata!", ADDRESS(INDEX($X$2:$X$1001,MATCH(ROWS($V$2:V155),$V$2:$V$1001,0),0), INDEX($AC$1004:$AS$1004,1,MATCH(COLUMNS($AC$1006:AO1006),$AC$1006:$AS$1006,0)))),"Fix")))</f>
        <v xml:space="preserve"> </v>
      </c>
      <c r="O155" s="4" t="str">
        <f ca="1">IF(OR(INDEX($W$2:$W$1001,MATCH(ROWS($V$2:V155),$V$2:$V$1001,0),1)&gt;=100000,INDEX($AC$1005:$AS$1005,1,MATCH(COLUMNS($AC$1006:AP1006),$AC$1006:$AS$1006,0))&gt;=100000), " ",IF(INDEX($AC$2:$AS$1001,MATCH(ROWS($V$2:V155),$V$2:$V$1001,0),MATCH(COLUMNS($AC$1006:AP1006),$AC$1006:$AS$1006,0)), HYPERLINK("#",""), HYPERLINK(CONCATENATE("#metadata!", ADDRESS(INDEX($X$2:$X$1001,MATCH(ROWS($V$2:V155),$V$2:$V$1001,0),0), INDEX($AC$1004:$AS$1004,1,MATCH(COLUMNS($AC$1006:AP1006),$AC$1006:$AS$1006,0)))),"Fix")))</f>
        <v xml:space="preserve"> </v>
      </c>
      <c r="P155" s="4" t="str">
        <f ca="1">IF(OR(INDEX($W$2:$W$1001,MATCH(ROWS($V$2:V155),$V$2:$V$1001,0),1)&gt;=100000,INDEX($AC$1005:$AS$1005,1,MATCH(COLUMNS($AC$1006:AQ1006),$AC$1006:$AS$1006,0))&gt;=100000), " ",IF(INDEX($AC$2:$AS$1001,MATCH(ROWS($V$2:V155),$V$2:$V$1001,0),MATCH(COLUMNS($AC$1006:AQ1006),$AC$1006:$AS$1006,0)), HYPERLINK("#",""), HYPERLINK(CONCATENATE("#metadata!", ADDRESS(INDEX($X$2:$X$1001,MATCH(ROWS($V$2:V155),$V$2:$V$1001,0),0), INDEX($AC$1004:$AS$1004,1,MATCH(COLUMNS($AC$1006:AQ1006),$AC$1006:$AS$1006,0)))),"Fix")))</f>
        <v xml:space="preserve"> </v>
      </c>
      <c r="Q155" s="4" t="str">
        <f ca="1">IF(OR(INDEX($W$2:$W$1001,MATCH(ROWS($V$2:V155),$V$2:$V$1001,0),1)&gt;=100000,INDEX($AC$1005:$AS$1005,1,MATCH(COLUMNS($AC$1006:AR1006),$AC$1006:$AS$1006,0))&gt;=100000), " ",IF(INDEX($AC$2:$AS$1001,MATCH(ROWS($V$2:V155),$V$2:$V$1001,0),MATCH(COLUMNS($AC$1006:AR1006),$AC$1006:$AS$1006,0)), HYPERLINK("#",""), HYPERLINK(CONCATENATE("#metadata!", ADDRESS(INDEX($X$2:$X$1001,MATCH(ROWS($V$2:V155),$V$2:$V$1001,0),0), INDEX($AC$1004:$AS$1004,1,MATCH(COLUMNS($AC$1006:AR1006),$AC$1006:$AS$1006,0)))),"Fix")))</f>
        <v xml:space="preserve"> </v>
      </c>
      <c r="R155" s="4" t="str">
        <f ca="1">IF(OR(INDEX($W$2:$W$1001,MATCH(ROWS($V$2:V155),$V$2:$V$1001,0),1)&gt;=100000,INDEX($AC$1005:$AS$1005,1,MATCH(COLUMNS($AC$1006:AS1006),$AC$1006:$AS$1006,0))&gt;=100000), " ",IF(INDEX($AC$2:$AS$1001,MATCH(ROWS($V$2:V155),$V$2:$V$1001,0),MATCH(COLUMNS($AC$1006:AS1006),$AC$1006:$AS$1006,0)), HYPERLINK("#",""), HYPERLINK(CONCATENATE("#metadata!", ADDRESS(INDEX($X$2:$X$1001,MATCH(ROWS($V$2:V155),$V$2:$V$1001,0),0), INDEX($AC$1004:$AS$1004,1,MATCH(COLUMNS($AC$1006:AS1006),$AC$1006:$AS$1006,0)))),"Fix")))</f>
        <v xml:space="preserve"> </v>
      </c>
      <c r="V155">
        <v>154</v>
      </c>
      <c r="W155">
        <v>100155</v>
      </c>
      <c r="X155">
        <v>155</v>
      </c>
      <c r="Y155" t="b">
        <f t="shared" si="2"/>
        <v>1</v>
      </c>
      <c r="Z155" t="b">
        <f>COUNTBLANK(metadata!B155:R155)=COLUMNS(metadata!B155:R155)</f>
        <v>1</v>
      </c>
      <c r="AA155" t="str">
        <v/>
      </c>
      <c r="AC155" t="b">
        <f ca="1"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AD155" t="b">
        <f>IF(metadata!C155="",FALSE,ISNUMBER(VALUE(metadata!C155)))</f>
        <v>0</v>
      </c>
      <c r="AE155" t="b">
        <f>AND(IF(metadata!D155="",FALSE,TRUE),EXACT(metadata!D155,"years"))</f>
        <v>0</v>
      </c>
      <c r="AF155" t="b">
        <f>OR(AND(IF(metadata!E155="",FALSE,TRUE),OR(EXACT(metadata!E155,"not applicable"),EXACT(metadata!E155,"missing: not collected"),EXACT(metadata!E155,"missing: not provided"),EXACT(metadata!E155,"missing: restricted access"))),AND(IF(metadata!E155="",FALSE,ISNUMBER(VALUE(metadata!E155))),metadata!E155&gt;0))</f>
        <v>0</v>
      </c>
      <c r="AG155" t="b">
        <f>AND(IF(metadata!F155="",FALSE,TRUE),EXACT(metadata!F155,"Not applicable"))</f>
        <v>0</v>
      </c>
      <c r="AH155" t="b">
        <f>AND(IF(metadata!G155="",FALSE,TRUE),EXACT(metadata!G155,"urban biome"))</f>
        <v>0</v>
      </c>
      <c r="AI155" t="b">
        <f>AND(IF(metadata!H155="",FALSE,TRUE),EXACT(metadata!H155,"human-associated habitat"))</f>
        <v>0</v>
      </c>
      <c r="AJ155" t="b">
        <f>AND(IF(metadata!I155="",FALSE,TRUE),OR(EXACT(metadata!I155,"human-associated"),EXACT(metadata!I155,"human-skin"),EXACT(metadata!I155,"human-oral"),EXACT(metadata!I155,"human-gut"),EXACT(metadata!I155,"human-vaginal")))</f>
        <v>0</v>
      </c>
      <c r="AK155" t="b">
        <f>IF(metadata!J155="",FALSE,ISNUMBER(VALUE(metadata!J155)))</f>
        <v>0</v>
      </c>
      <c r="AL155" t="b">
        <f>AND(IF(metadata!K155="",FALSE,TRUE),EXACT(metadata!K155,"cm"))</f>
        <v>0</v>
      </c>
      <c r="AM155" t="b">
        <f>AND(IF(metadata!L155="",FALSE,TRUE),EXACT(metadata!L155,"human"))</f>
        <v>0</v>
      </c>
      <c r="AN155" t="b">
        <f>AND(IF(metadata!M155="",FALSE,TRUE),EXACT(metadata!M155,"Homo sapiens"))</f>
        <v>0</v>
      </c>
      <c r="AO155" t="b">
        <f>AND(IF(metadata!N155="",FALSE,TRUE),EXACT(metadata!N155,"9606"))</f>
        <v>0</v>
      </c>
      <c r="AP155" t="b">
        <f>IF(metadata!O155="",FALSE,TRUE)</f>
        <v>0</v>
      </c>
      <c r="AQ155" t="b">
        <f>IF(metadata!P155="",FALSE,TRUE)</f>
        <v>0</v>
      </c>
      <c r="AR155" t="b">
        <f>IF(metadata!Q155="",FALSE,ISNUMBER(VALUE(metadata!Q155)))</f>
        <v>0</v>
      </c>
      <c r="AS155" t="b">
        <f>AND(IF(metadata!R155="",FALSE,TRUE),EXACT(metadata!R155,"kg"))</f>
        <v>0</v>
      </c>
    </row>
    <row r="156" spans="1:45" x14ac:dyDescent="0.2">
      <c r="A156" s="5" t="str">
        <f ca="1">IF(B156=" "," ",HYPERLINK(CONCATENATE("#metadata!",ADDRESS(INDEX($X$2:$X$1001,MATCH(ROWS($V$2:V156),$V$2:$V$1001,0),0),1)),INDEX($AA$2:$AA$1001,MATCH(ROWS($V$2:V156),$V$2:$V$1001,0),0)))</f>
        <v xml:space="preserve"> </v>
      </c>
      <c r="B156" s="4" t="str">
        <f ca="1">IF(OR(INDEX($W$2:$W$1001,MATCH(ROWS($V$2:V156),$V$2:$V$1001,0),1)&gt;=100000,INDEX($AC$1005:$AS$1005,1,MATCH(COLUMNS($AC$1006:AC1006),$AC$1006:$AS$1006,0))&gt;=100000), " ",IF(INDEX($AC$2:$AS$1001,MATCH(ROWS($V$2:V156),$V$2:$V$1001,0),MATCH(COLUMNS($AC$1006:AC1006),$AC$1006:$AS$1006,0)), HYPERLINK("#",""), HYPERLINK(CONCATENATE("#metadata!", ADDRESS(INDEX($X$2:$X$1001,MATCH(ROWS($V$2:V156),$V$2:$V$1001,0),0), INDEX($AC$1004:$AS$1004,1,MATCH(COLUMNS($AC$1006:AC1006),$AC$1006:$AS$1006,0)))),"Fix")))</f>
        <v xml:space="preserve"> </v>
      </c>
      <c r="C156" s="4" t="str">
        <f ca="1">IF(OR(INDEX($W$2:$W$1001,MATCH(ROWS($V$2:V156),$V$2:$V$1001,0),1)&gt;=100000,INDEX($AC$1005:$AS$1005,1,MATCH(COLUMNS($AC$1006:AD1006),$AC$1006:$AS$1006,0))&gt;=100000), " ",IF(INDEX($AC$2:$AS$1001,MATCH(ROWS($V$2:V156),$V$2:$V$1001,0),MATCH(COLUMNS($AC$1006:AD1006),$AC$1006:$AS$1006,0)), HYPERLINK("#",""), HYPERLINK(CONCATENATE("#metadata!", ADDRESS(INDEX($X$2:$X$1001,MATCH(ROWS($V$2:V156),$V$2:$V$1001,0),0), INDEX($AC$1004:$AS$1004,1,MATCH(COLUMNS($AC$1006:AD1006),$AC$1006:$AS$1006,0)))),"Fix")))</f>
        <v xml:space="preserve"> </v>
      </c>
      <c r="D156" s="4" t="str">
        <f ca="1">IF(OR(INDEX($W$2:$W$1001,MATCH(ROWS($V$2:V156),$V$2:$V$1001,0),1)&gt;=100000,INDEX($AC$1005:$AS$1005,1,MATCH(COLUMNS($AC$1006:AE1006),$AC$1006:$AS$1006,0))&gt;=100000), " ",IF(INDEX($AC$2:$AS$1001,MATCH(ROWS($V$2:V156),$V$2:$V$1001,0),MATCH(COLUMNS($AC$1006:AE1006),$AC$1006:$AS$1006,0)), HYPERLINK("#",""), HYPERLINK(CONCATENATE("#metadata!", ADDRESS(INDEX($X$2:$X$1001,MATCH(ROWS($V$2:V156),$V$2:$V$1001,0),0), INDEX($AC$1004:$AS$1004,1,MATCH(COLUMNS($AC$1006:AE1006),$AC$1006:$AS$1006,0)))),"Fix")))</f>
        <v xml:space="preserve"> </v>
      </c>
      <c r="E156" s="4" t="str">
        <f ca="1">IF(OR(INDEX($W$2:$W$1001,MATCH(ROWS($V$2:V156),$V$2:$V$1001,0),1)&gt;=100000,INDEX($AC$1005:$AS$1005,1,MATCH(COLUMNS($AC$1006:AF1006),$AC$1006:$AS$1006,0))&gt;=100000), " ",IF(INDEX($AC$2:$AS$1001,MATCH(ROWS($V$2:V156),$V$2:$V$1001,0),MATCH(COLUMNS($AC$1006:AF1006),$AC$1006:$AS$1006,0)), HYPERLINK("#",""), HYPERLINK(CONCATENATE("#metadata!", ADDRESS(INDEX($X$2:$X$1001,MATCH(ROWS($V$2:V156),$V$2:$V$1001,0),0), INDEX($AC$1004:$AS$1004,1,MATCH(COLUMNS($AC$1006:AF1006),$AC$1006:$AS$1006,0)))),"Fix")))</f>
        <v xml:space="preserve"> </v>
      </c>
      <c r="F156" s="4" t="str">
        <f ca="1">IF(OR(INDEX($W$2:$W$1001,MATCH(ROWS($V$2:V156),$V$2:$V$1001,0),1)&gt;=100000,INDEX($AC$1005:$AS$1005,1,MATCH(COLUMNS($AC$1006:AG1006),$AC$1006:$AS$1006,0))&gt;=100000), " ",IF(INDEX($AC$2:$AS$1001,MATCH(ROWS($V$2:V156),$V$2:$V$1001,0),MATCH(COLUMNS($AC$1006:AG1006),$AC$1006:$AS$1006,0)), HYPERLINK("#",""), HYPERLINK(CONCATENATE("#metadata!", ADDRESS(INDEX($X$2:$X$1001,MATCH(ROWS($V$2:V156),$V$2:$V$1001,0),0), INDEX($AC$1004:$AS$1004,1,MATCH(COLUMNS($AC$1006:AG1006),$AC$1006:$AS$1006,0)))),"Fix")))</f>
        <v xml:space="preserve"> </v>
      </c>
      <c r="G156" s="4" t="str">
        <f ca="1">IF(OR(INDEX($W$2:$W$1001,MATCH(ROWS($V$2:V156),$V$2:$V$1001,0),1)&gt;=100000,INDEX($AC$1005:$AS$1005,1,MATCH(COLUMNS($AC$1006:AH1006),$AC$1006:$AS$1006,0))&gt;=100000), " ",IF(INDEX($AC$2:$AS$1001,MATCH(ROWS($V$2:V156),$V$2:$V$1001,0),MATCH(COLUMNS($AC$1006:AH1006),$AC$1006:$AS$1006,0)), HYPERLINK("#",""), HYPERLINK(CONCATENATE("#metadata!", ADDRESS(INDEX($X$2:$X$1001,MATCH(ROWS($V$2:V156),$V$2:$V$1001,0),0), INDEX($AC$1004:$AS$1004,1,MATCH(COLUMNS($AC$1006:AH1006),$AC$1006:$AS$1006,0)))),"Fix")))</f>
        <v xml:space="preserve"> </v>
      </c>
      <c r="H156" s="4" t="str">
        <f ca="1">IF(OR(INDEX($W$2:$W$1001,MATCH(ROWS($V$2:V156),$V$2:$V$1001,0),1)&gt;=100000,INDEX($AC$1005:$AS$1005,1,MATCH(COLUMNS($AC$1006:AI1006),$AC$1006:$AS$1006,0))&gt;=100000), " ",IF(INDEX($AC$2:$AS$1001,MATCH(ROWS($V$2:V156),$V$2:$V$1001,0),MATCH(COLUMNS($AC$1006:AI1006),$AC$1006:$AS$1006,0)), HYPERLINK("#",""), HYPERLINK(CONCATENATE("#metadata!", ADDRESS(INDEX($X$2:$X$1001,MATCH(ROWS($V$2:V156),$V$2:$V$1001,0),0), INDEX($AC$1004:$AS$1004,1,MATCH(COLUMNS($AC$1006:AI1006),$AC$1006:$AS$1006,0)))),"Fix")))</f>
        <v xml:space="preserve"> </v>
      </c>
      <c r="I156" s="4" t="str">
        <f ca="1">IF(OR(INDEX($W$2:$W$1001,MATCH(ROWS($V$2:V156),$V$2:$V$1001,0),1)&gt;=100000,INDEX($AC$1005:$AS$1005,1,MATCH(COLUMNS($AC$1006:AJ1006),$AC$1006:$AS$1006,0))&gt;=100000), " ",IF(INDEX($AC$2:$AS$1001,MATCH(ROWS($V$2:V156),$V$2:$V$1001,0),MATCH(COLUMNS($AC$1006:AJ1006),$AC$1006:$AS$1006,0)), HYPERLINK("#",""), HYPERLINK(CONCATENATE("#metadata!", ADDRESS(INDEX($X$2:$X$1001,MATCH(ROWS($V$2:V156),$V$2:$V$1001,0),0), INDEX($AC$1004:$AS$1004,1,MATCH(COLUMNS($AC$1006:AJ1006),$AC$1006:$AS$1006,0)))),"Fix")))</f>
        <v xml:space="preserve"> </v>
      </c>
      <c r="J156" s="4" t="str">
        <f ca="1">IF(OR(INDEX($W$2:$W$1001,MATCH(ROWS($V$2:V156),$V$2:$V$1001,0),1)&gt;=100000,INDEX($AC$1005:$AS$1005,1,MATCH(COLUMNS($AC$1006:AK1006),$AC$1006:$AS$1006,0))&gt;=100000), " ",IF(INDEX($AC$2:$AS$1001,MATCH(ROWS($V$2:V156),$V$2:$V$1001,0),MATCH(COLUMNS($AC$1006:AK1006),$AC$1006:$AS$1006,0)), HYPERLINK("#",""), HYPERLINK(CONCATENATE("#metadata!", ADDRESS(INDEX($X$2:$X$1001,MATCH(ROWS($V$2:V156),$V$2:$V$1001,0),0), INDEX($AC$1004:$AS$1004,1,MATCH(COLUMNS($AC$1006:AK1006),$AC$1006:$AS$1006,0)))),"Fix")))</f>
        <v xml:space="preserve"> </v>
      </c>
      <c r="K156" s="4" t="str">
        <f ca="1">IF(OR(INDEX($W$2:$W$1001,MATCH(ROWS($V$2:V156),$V$2:$V$1001,0),1)&gt;=100000,INDEX($AC$1005:$AS$1005,1,MATCH(COLUMNS($AC$1006:AL1006),$AC$1006:$AS$1006,0))&gt;=100000), " ",IF(INDEX($AC$2:$AS$1001,MATCH(ROWS($V$2:V156),$V$2:$V$1001,0),MATCH(COLUMNS($AC$1006:AL1006),$AC$1006:$AS$1006,0)), HYPERLINK("#",""), HYPERLINK(CONCATENATE("#metadata!", ADDRESS(INDEX($X$2:$X$1001,MATCH(ROWS($V$2:V156),$V$2:$V$1001,0),0), INDEX($AC$1004:$AS$1004,1,MATCH(COLUMNS($AC$1006:AL1006),$AC$1006:$AS$1006,0)))),"Fix")))</f>
        <v xml:space="preserve"> </v>
      </c>
      <c r="L156" s="4" t="str">
        <f ca="1">IF(OR(INDEX($W$2:$W$1001,MATCH(ROWS($V$2:V156),$V$2:$V$1001,0),1)&gt;=100000,INDEX($AC$1005:$AS$1005,1,MATCH(COLUMNS($AC$1006:AM1006),$AC$1006:$AS$1006,0))&gt;=100000), " ",IF(INDEX($AC$2:$AS$1001,MATCH(ROWS($V$2:V156),$V$2:$V$1001,0),MATCH(COLUMNS($AC$1006:AM1006),$AC$1006:$AS$1006,0)), HYPERLINK("#",""), HYPERLINK(CONCATENATE("#metadata!", ADDRESS(INDEX($X$2:$X$1001,MATCH(ROWS($V$2:V156),$V$2:$V$1001,0),0), INDEX($AC$1004:$AS$1004,1,MATCH(COLUMNS($AC$1006:AM1006),$AC$1006:$AS$1006,0)))),"Fix")))</f>
        <v xml:space="preserve"> </v>
      </c>
      <c r="M156" s="4" t="str">
        <f ca="1">IF(OR(INDEX($W$2:$W$1001,MATCH(ROWS($V$2:V156),$V$2:$V$1001,0),1)&gt;=100000,INDEX($AC$1005:$AS$1005,1,MATCH(COLUMNS($AC$1006:AN1006),$AC$1006:$AS$1006,0))&gt;=100000), " ",IF(INDEX($AC$2:$AS$1001,MATCH(ROWS($V$2:V156),$V$2:$V$1001,0),MATCH(COLUMNS($AC$1006:AN1006),$AC$1006:$AS$1006,0)), HYPERLINK("#",""), HYPERLINK(CONCATENATE("#metadata!", ADDRESS(INDEX($X$2:$X$1001,MATCH(ROWS($V$2:V156),$V$2:$V$1001,0),0), INDEX($AC$1004:$AS$1004,1,MATCH(COLUMNS($AC$1006:AN1006),$AC$1006:$AS$1006,0)))),"Fix")))</f>
        <v xml:space="preserve"> </v>
      </c>
      <c r="N156" s="4" t="str">
        <f ca="1">IF(OR(INDEX($W$2:$W$1001,MATCH(ROWS($V$2:V156),$V$2:$V$1001,0),1)&gt;=100000,INDEX($AC$1005:$AS$1005,1,MATCH(COLUMNS($AC$1006:AO1006),$AC$1006:$AS$1006,0))&gt;=100000), " ",IF(INDEX($AC$2:$AS$1001,MATCH(ROWS($V$2:V156),$V$2:$V$1001,0),MATCH(COLUMNS($AC$1006:AO1006),$AC$1006:$AS$1006,0)), HYPERLINK("#",""), HYPERLINK(CONCATENATE("#metadata!", ADDRESS(INDEX($X$2:$X$1001,MATCH(ROWS($V$2:V156),$V$2:$V$1001,0),0), INDEX($AC$1004:$AS$1004,1,MATCH(COLUMNS($AC$1006:AO1006),$AC$1006:$AS$1006,0)))),"Fix")))</f>
        <v xml:space="preserve"> </v>
      </c>
      <c r="O156" s="4" t="str">
        <f ca="1">IF(OR(INDEX($W$2:$W$1001,MATCH(ROWS($V$2:V156),$V$2:$V$1001,0),1)&gt;=100000,INDEX($AC$1005:$AS$1005,1,MATCH(COLUMNS($AC$1006:AP1006),$AC$1006:$AS$1006,0))&gt;=100000), " ",IF(INDEX($AC$2:$AS$1001,MATCH(ROWS($V$2:V156),$V$2:$V$1001,0),MATCH(COLUMNS($AC$1006:AP1006),$AC$1006:$AS$1006,0)), HYPERLINK("#",""), HYPERLINK(CONCATENATE("#metadata!", ADDRESS(INDEX($X$2:$X$1001,MATCH(ROWS($V$2:V156),$V$2:$V$1001,0),0), INDEX($AC$1004:$AS$1004,1,MATCH(COLUMNS($AC$1006:AP1006),$AC$1006:$AS$1006,0)))),"Fix")))</f>
        <v xml:space="preserve"> </v>
      </c>
      <c r="P156" s="4" t="str">
        <f ca="1">IF(OR(INDEX($W$2:$W$1001,MATCH(ROWS($V$2:V156),$V$2:$V$1001,0),1)&gt;=100000,INDEX($AC$1005:$AS$1005,1,MATCH(COLUMNS($AC$1006:AQ1006),$AC$1006:$AS$1006,0))&gt;=100000), " ",IF(INDEX($AC$2:$AS$1001,MATCH(ROWS($V$2:V156),$V$2:$V$1001,0),MATCH(COLUMNS($AC$1006:AQ1006),$AC$1006:$AS$1006,0)), HYPERLINK("#",""), HYPERLINK(CONCATENATE("#metadata!", ADDRESS(INDEX($X$2:$X$1001,MATCH(ROWS($V$2:V156),$V$2:$V$1001,0),0), INDEX($AC$1004:$AS$1004,1,MATCH(COLUMNS($AC$1006:AQ1006),$AC$1006:$AS$1006,0)))),"Fix")))</f>
        <v xml:space="preserve"> </v>
      </c>
      <c r="Q156" s="4" t="str">
        <f ca="1">IF(OR(INDEX($W$2:$W$1001,MATCH(ROWS($V$2:V156),$V$2:$V$1001,0),1)&gt;=100000,INDEX($AC$1005:$AS$1005,1,MATCH(COLUMNS($AC$1006:AR1006),$AC$1006:$AS$1006,0))&gt;=100000), " ",IF(INDEX($AC$2:$AS$1001,MATCH(ROWS($V$2:V156),$V$2:$V$1001,0),MATCH(COLUMNS($AC$1006:AR1006),$AC$1006:$AS$1006,0)), HYPERLINK("#",""), HYPERLINK(CONCATENATE("#metadata!", ADDRESS(INDEX($X$2:$X$1001,MATCH(ROWS($V$2:V156),$V$2:$V$1001,0),0), INDEX($AC$1004:$AS$1004,1,MATCH(COLUMNS($AC$1006:AR1006),$AC$1006:$AS$1006,0)))),"Fix")))</f>
        <v xml:space="preserve"> </v>
      </c>
      <c r="R156" s="4" t="str">
        <f ca="1">IF(OR(INDEX($W$2:$W$1001,MATCH(ROWS($V$2:V156),$V$2:$V$1001,0),1)&gt;=100000,INDEX($AC$1005:$AS$1005,1,MATCH(COLUMNS($AC$1006:AS1006),$AC$1006:$AS$1006,0))&gt;=100000), " ",IF(INDEX($AC$2:$AS$1001,MATCH(ROWS($V$2:V156),$V$2:$V$1001,0),MATCH(COLUMNS($AC$1006:AS1006),$AC$1006:$AS$1006,0)), HYPERLINK("#",""), HYPERLINK(CONCATENATE("#metadata!", ADDRESS(INDEX($X$2:$X$1001,MATCH(ROWS($V$2:V156),$V$2:$V$1001,0),0), INDEX($AC$1004:$AS$1004,1,MATCH(COLUMNS($AC$1006:AS1006),$AC$1006:$AS$1006,0)))),"Fix")))</f>
        <v xml:space="preserve"> </v>
      </c>
      <c r="V156">
        <v>155</v>
      </c>
      <c r="W156">
        <v>100156</v>
      </c>
      <c r="X156">
        <v>156</v>
      </c>
      <c r="Y156" t="b">
        <f t="shared" si="2"/>
        <v>1</v>
      </c>
      <c r="Z156" t="b">
        <f>COUNTBLANK(metadata!B156:R156)=COLUMNS(metadata!B156:R156)</f>
        <v>1</v>
      </c>
      <c r="AA156" t="str">
        <v/>
      </c>
      <c r="AC156" t="b">
        <f ca="1"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AD156" t="b">
        <f>IF(metadata!C156="",FALSE,ISNUMBER(VALUE(metadata!C156)))</f>
        <v>0</v>
      </c>
      <c r="AE156" t="b">
        <f>AND(IF(metadata!D156="",FALSE,TRUE),EXACT(metadata!D156,"years"))</f>
        <v>0</v>
      </c>
      <c r="AF156" t="b">
        <f>OR(AND(IF(metadata!E156="",FALSE,TRUE),OR(EXACT(metadata!E156,"not applicable"),EXACT(metadata!E156,"missing: not collected"),EXACT(metadata!E156,"missing: not provided"),EXACT(metadata!E156,"missing: restricted access"))),AND(IF(metadata!E156="",FALSE,ISNUMBER(VALUE(metadata!E156))),metadata!E156&gt;0))</f>
        <v>0</v>
      </c>
      <c r="AG156" t="b">
        <f>AND(IF(metadata!F156="",FALSE,TRUE),EXACT(metadata!F156,"Not applicable"))</f>
        <v>0</v>
      </c>
      <c r="AH156" t="b">
        <f>AND(IF(metadata!G156="",FALSE,TRUE),EXACT(metadata!G156,"urban biome"))</f>
        <v>0</v>
      </c>
      <c r="AI156" t="b">
        <f>AND(IF(metadata!H156="",FALSE,TRUE),EXACT(metadata!H156,"human-associated habitat"))</f>
        <v>0</v>
      </c>
      <c r="AJ156" t="b">
        <f>AND(IF(metadata!I156="",FALSE,TRUE),OR(EXACT(metadata!I156,"human-associated"),EXACT(metadata!I156,"human-skin"),EXACT(metadata!I156,"human-oral"),EXACT(metadata!I156,"human-gut"),EXACT(metadata!I156,"human-vaginal")))</f>
        <v>0</v>
      </c>
      <c r="AK156" t="b">
        <f>IF(metadata!J156="",FALSE,ISNUMBER(VALUE(metadata!J156)))</f>
        <v>0</v>
      </c>
      <c r="AL156" t="b">
        <f>AND(IF(metadata!K156="",FALSE,TRUE),EXACT(metadata!K156,"cm"))</f>
        <v>0</v>
      </c>
      <c r="AM156" t="b">
        <f>AND(IF(metadata!L156="",FALSE,TRUE),EXACT(metadata!L156,"human"))</f>
        <v>0</v>
      </c>
      <c r="AN156" t="b">
        <f>AND(IF(metadata!M156="",FALSE,TRUE),EXACT(metadata!M156,"Homo sapiens"))</f>
        <v>0</v>
      </c>
      <c r="AO156" t="b">
        <f>AND(IF(metadata!N156="",FALSE,TRUE),EXACT(metadata!N156,"9606"))</f>
        <v>0</v>
      </c>
      <c r="AP156" t="b">
        <f>IF(metadata!O156="",FALSE,TRUE)</f>
        <v>0</v>
      </c>
      <c r="AQ156" t="b">
        <f>IF(metadata!P156="",FALSE,TRUE)</f>
        <v>0</v>
      </c>
      <c r="AR156" t="b">
        <f>IF(metadata!Q156="",FALSE,ISNUMBER(VALUE(metadata!Q156)))</f>
        <v>0</v>
      </c>
      <c r="AS156" t="b">
        <f>AND(IF(metadata!R156="",FALSE,TRUE),EXACT(metadata!R156,"kg"))</f>
        <v>0</v>
      </c>
    </row>
    <row r="157" spans="1:45" x14ac:dyDescent="0.2">
      <c r="A157" s="5" t="str">
        <f ca="1">IF(B157=" "," ",HYPERLINK(CONCATENATE("#metadata!",ADDRESS(INDEX($X$2:$X$1001,MATCH(ROWS($V$2:V157),$V$2:$V$1001,0),0),1)),INDEX($AA$2:$AA$1001,MATCH(ROWS($V$2:V157),$V$2:$V$1001,0),0)))</f>
        <v xml:space="preserve"> </v>
      </c>
      <c r="B157" s="4" t="str">
        <f ca="1">IF(OR(INDEX($W$2:$W$1001,MATCH(ROWS($V$2:V157),$V$2:$V$1001,0),1)&gt;=100000,INDEX($AC$1005:$AS$1005,1,MATCH(COLUMNS($AC$1006:AC1006),$AC$1006:$AS$1006,0))&gt;=100000), " ",IF(INDEX($AC$2:$AS$1001,MATCH(ROWS($V$2:V157),$V$2:$V$1001,0),MATCH(COLUMNS($AC$1006:AC1006),$AC$1006:$AS$1006,0)), HYPERLINK("#",""), HYPERLINK(CONCATENATE("#metadata!", ADDRESS(INDEX($X$2:$X$1001,MATCH(ROWS($V$2:V157),$V$2:$V$1001,0),0), INDEX($AC$1004:$AS$1004,1,MATCH(COLUMNS($AC$1006:AC1006),$AC$1006:$AS$1006,0)))),"Fix")))</f>
        <v xml:space="preserve"> </v>
      </c>
      <c r="C157" s="4" t="str">
        <f ca="1">IF(OR(INDEX($W$2:$W$1001,MATCH(ROWS($V$2:V157),$V$2:$V$1001,0),1)&gt;=100000,INDEX($AC$1005:$AS$1005,1,MATCH(COLUMNS($AC$1006:AD1006),$AC$1006:$AS$1006,0))&gt;=100000), " ",IF(INDEX($AC$2:$AS$1001,MATCH(ROWS($V$2:V157),$V$2:$V$1001,0),MATCH(COLUMNS($AC$1006:AD1006),$AC$1006:$AS$1006,0)), HYPERLINK("#",""), HYPERLINK(CONCATENATE("#metadata!", ADDRESS(INDEX($X$2:$X$1001,MATCH(ROWS($V$2:V157),$V$2:$V$1001,0),0), INDEX($AC$1004:$AS$1004,1,MATCH(COLUMNS($AC$1006:AD1006),$AC$1006:$AS$1006,0)))),"Fix")))</f>
        <v xml:space="preserve"> </v>
      </c>
      <c r="D157" s="4" t="str">
        <f ca="1">IF(OR(INDEX($W$2:$W$1001,MATCH(ROWS($V$2:V157),$V$2:$V$1001,0),1)&gt;=100000,INDEX($AC$1005:$AS$1005,1,MATCH(COLUMNS($AC$1006:AE1006),$AC$1006:$AS$1006,0))&gt;=100000), " ",IF(INDEX($AC$2:$AS$1001,MATCH(ROWS($V$2:V157),$V$2:$V$1001,0),MATCH(COLUMNS($AC$1006:AE1006),$AC$1006:$AS$1006,0)), HYPERLINK("#",""), HYPERLINK(CONCATENATE("#metadata!", ADDRESS(INDEX($X$2:$X$1001,MATCH(ROWS($V$2:V157),$V$2:$V$1001,0),0), INDEX($AC$1004:$AS$1004,1,MATCH(COLUMNS($AC$1006:AE1006),$AC$1006:$AS$1006,0)))),"Fix")))</f>
        <v xml:space="preserve"> </v>
      </c>
      <c r="E157" s="4" t="str">
        <f ca="1">IF(OR(INDEX($W$2:$W$1001,MATCH(ROWS($V$2:V157),$V$2:$V$1001,0),1)&gt;=100000,INDEX($AC$1005:$AS$1005,1,MATCH(COLUMNS($AC$1006:AF1006),$AC$1006:$AS$1006,0))&gt;=100000), " ",IF(INDEX($AC$2:$AS$1001,MATCH(ROWS($V$2:V157),$V$2:$V$1001,0),MATCH(COLUMNS($AC$1006:AF1006),$AC$1006:$AS$1006,0)), HYPERLINK("#",""), HYPERLINK(CONCATENATE("#metadata!", ADDRESS(INDEX($X$2:$X$1001,MATCH(ROWS($V$2:V157),$V$2:$V$1001,0),0), INDEX($AC$1004:$AS$1004,1,MATCH(COLUMNS($AC$1006:AF1006),$AC$1006:$AS$1006,0)))),"Fix")))</f>
        <v xml:space="preserve"> </v>
      </c>
      <c r="F157" s="4" t="str">
        <f ca="1">IF(OR(INDEX($W$2:$W$1001,MATCH(ROWS($V$2:V157),$V$2:$V$1001,0),1)&gt;=100000,INDEX($AC$1005:$AS$1005,1,MATCH(COLUMNS($AC$1006:AG1006),$AC$1006:$AS$1006,0))&gt;=100000), " ",IF(INDEX($AC$2:$AS$1001,MATCH(ROWS($V$2:V157),$V$2:$V$1001,0),MATCH(COLUMNS($AC$1006:AG1006),$AC$1006:$AS$1006,0)), HYPERLINK("#",""), HYPERLINK(CONCATENATE("#metadata!", ADDRESS(INDEX($X$2:$X$1001,MATCH(ROWS($V$2:V157),$V$2:$V$1001,0),0), INDEX($AC$1004:$AS$1004,1,MATCH(COLUMNS($AC$1006:AG1006),$AC$1006:$AS$1006,0)))),"Fix")))</f>
        <v xml:space="preserve"> </v>
      </c>
      <c r="G157" s="4" t="str">
        <f ca="1">IF(OR(INDEX($W$2:$W$1001,MATCH(ROWS($V$2:V157),$V$2:$V$1001,0),1)&gt;=100000,INDEX($AC$1005:$AS$1005,1,MATCH(COLUMNS($AC$1006:AH1006),$AC$1006:$AS$1006,0))&gt;=100000), " ",IF(INDEX($AC$2:$AS$1001,MATCH(ROWS($V$2:V157),$V$2:$V$1001,0),MATCH(COLUMNS($AC$1006:AH1006),$AC$1006:$AS$1006,0)), HYPERLINK("#",""), HYPERLINK(CONCATENATE("#metadata!", ADDRESS(INDEX($X$2:$X$1001,MATCH(ROWS($V$2:V157),$V$2:$V$1001,0),0), INDEX($AC$1004:$AS$1004,1,MATCH(COLUMNS($AC$1006:AH1006),$AC$1006:$AS$1006,0)))),"Fix")))</f>
        <v xml:space="preserve"> </v>
      </c>
      <c r="H157" s="4" t="str">
        <f ca="1">IF(OR(INDEX($W$2:$W$1001,MATCH(ROWS($V$2:V157),$V$2:$V$1001,0),1)&gt;=100000,INDEX($AC$1005:$AS$1005,1,MATCH(COLUMNS($AC$1006:AI1006),$AC$1006:$AS$1006,0))&gt;=100000), " ",IF(INDEX($AC$2:$AS$1001,MATCH(ROWS($V$2:V157),$V$2:$V$1001,0),MATCH(COLUMNS($AC$1006:AI1006),$AC$1006:$AS$1006,0)), HYPERLINK("#",""), HYPERLINK(CONCATENATE("#metadata!", ADDRESS(INDEX($X$2:$X$1001,MATCH(ROWS($V$2:V157),$V$2:$V$1001,0),0), INDEX($AC$1004:$AS$1004,1,MATCH(COLUMNS($AC$1006:AI1006),$AC$1006:$AS$1006,0)))),"Fix")))</f>
        <v xml:space="preserve"> </v>
      </c>
      <c r="I157" s="4" t="str">
        <f ca="1">IF(OR(INDEX($W$2:$W$1001,MATCH(ROWS($V$2:V157),$V$2:$V$1001,0),1)&gt;=100000,INDEX($AC$1005:$AS$1005,1,MATCH(COLUMNS($AC$1006:AJ1006),$AC$1006:$AS$1006,0))&gt;=100000), " ",IF(INDEX($AC$2:$AS$1001,MATCH(ROWS($V$2:V157),$V$2:$V$1001,0),MATCH(COLUMNS($AC$1006:AJ1006),$AC$1006:$AS$1006,0)), HYPERLINK("#",""), HYPERLINK(CONCATENATE("#metadata!", ADDRESS(INDEX($X$2:$X$1001,MATCH(ROWS($V$2:V157),$V$2:$V$1001,0),0), INDEX($AC$1004:$AS$1004,1,MATCH(COLUMNS($AC$1006:AJ1006),$AC$1006:$AS$1006,0)))),"Fix")))</f>
        <v xml:space="preserve"> </v>
      </c>
      <c r="J157" s="4" t="str">
        <f ca="1">IF(OR(INDEX($W$2:$W$1001,MATCH(ROWS($V$2:V157),$V$2:$V$1001,0),1)&gt;=100000,INDEX($AC$1005:$AS$1005,1,MATCH(COLUMNS($AC$1006:AK1006),$AC$1006:$AS$1006,0))&gt;=100000), " ",IF(INDEX($AC$2:$AS$1001,MATCH(ROWS($V$2:V157),$V$2:$V$1001,0),MATCH(COLUMNS($AC$1006:AK1006),$AC$1006:$AS$1006,0)), HYPERLINK("#",""), HYPERLINK(CONCATENATE("#metadata!", ADDRESS(INDEX($X$2:$X$1001,MATCH(ROWS($V$2:V157),$V$2:$V$1001,0),0), INDEX($AC$1004:$AS$1004,1,MATCH(COLUMNS($AC$1006:AK1006),$AC$1006:$AS$1006,0)))),"Fix")))</f>
        <v xml:space="preserve"> </v>
      </c>
      <c r="K157" s="4" t="str">
        <f ca="1">IF(OR(INDEX($W$2:$W$1001,MATCH(ROWS($V$2:V157),$V$2:$V$1001,0),1)&gt;=100000,INDEX($AC$1005:$AS$1005,1,MATCH(COLUMNS($AC$1006:AL1006),$AC$1006:$AS$1006,0))&gt;=100000), " ",IF(INDEX($AC$2:$AS$1001,MATCH(ROWS($V$2:V157),$V$2:$V$1001,0),MATCH(COLUMNS($AC$1006:AL1006),$AC$1006:$AS$1006,0)), HYPERLINK("#",""), HYPERLINK(CONCATENATE("#metadata!", ADDRESS(INDEX($X$2:$X$1001,MATCH(ROWS($V$2:V157),$V$2:$V$1001,0),0), INDEX($AC$1004:$AS$1004,1,MATCH(COLUMNS($AC$1006:AL1006),$AC$1006:$AS$1006,0)))),"Fix")))</f>
        <v xml:space="preserve"> </v>
      </c>
      <c r="L157" s="4" t="str">
        <f ca="1">IF(OR(INDEX($W$2:$W$1001,MATCH(ROWS($V$2:V157),$V$2:$V$1001,0),1)&gt;=100000,INDEX($AC$1005:$AS$1005,1,MATCH(COLUMNS($AC$1006:AM1006),$AC$1006:$AS$1006,0))&gt;=100000), " ",IF(INDEX($AC$2:$AS$1001,MATCH(ROWS($V$2:V157),$V$2:$V$1001,0),MATCH(COLUMNS($AC$1006:AM1006),$AC$1006:$AS$1006,0)), HYPERLINK("#",""), HYPERLINK(CONCATENATE("#metadata!", ADDRESS(INDEX($X$2:$X$1001,MATCH(ROWS($V$2:V157),$V$2:$V$1001,0),0), INDEX($AC$1004:$AS$1004,1,MATCH(COLUMNS($AC$1006:AM1006),$AC$1006:$AS$1006,0)))),"Fix")))</f>
        <v xml:space="preserve"> </v>
      </c>
      <c r="M157" s="4" t="str">
        <f ca="1">IF(OR(INDEX($W$2:$W$1001,MATCH(ROWS($V$2:V157),$V$2:$V$1001,0),1)&gt;=100000,INDEX($AC$1005:$AS$1005,1,MATCH(COLUMNS($AC$1006:AN1006),$AC$1006:$AS$1006,0))&gt;=100000), " ",IF(INDEX($AC$2:$AS$1001,MATCH(ROWS($V$2:V157),$V$2:$V$1001,0),MATCH(COLUMNS($AC$1006:AN1006),$AC$1006:$AS$1006,0)), HYPERLINK("#",""), HYPERLINK(CONCATENATE("#metadata!", ADDRESS(INDEX($X$2:$X$1001,MATCH(ROWS($V$2:V157),$V$2:$V$1001,0),0), INDEX($AC$1004:$AS$1004,1,MATCH(COLUMNS($AC$1006:AN1006),$AC$1006:$AS$1006,0)))),"Fix")))</f>
        <v xml:space="preserve"> </v>
      </c>
      <c r="N157" s="4" t="str">
        <f ca="1">IF(OR(INDEX($W$2:$W$1001,MATCH(ROWS($V$2:V157),$V$2:$V$1001,0),1)&gt;=100000,INDEX($AC$1005:$AS$1005,1,MATCH(COLUMNS($AC$1006:AO1006),$AC$1006:$AS$1006,0))&gt;=100000), " ",IF(INDEX($AC$2:$AS$1001,MATCH(ROWS($V$2:V157),$V$2:$V$1001,0),MATCH(COLUMNS($AC$1006:AO1006),$AC$1006:$AS$1006,0)), HYPERLINK("#",""), HYPERLINK(CONCATENATE("#metadata!", ADDRESS(INDEX($X$2:$X$1001,MATCH(ROWS($V$2:V157),$V$2:$V$1001,0),0), INDEX($AC$1004:$AS$1004,1,MATCH(COLUMNS($AC$1006:AO1006),$AC$1006:$AS$1006,0)))),"Fix")))</f>
        <v xml:space="preserve"> </v>
      </c>
      <c r="O157" s="4" t="str">
        <f ca="1">IF(OR(INDEX($W$2:$W$1001,MATCH(ROWS($V$2:V157),$V$2:$V$1001,0),1)&gt;=100000,INDEX($AC$1005:$AS$1005,1,MATCH(COLUMNS($AC$1006:AP1006),$AC$1006:$AS$1006,0))&gt;=100000), " ",IF(INDEX($AC$2:$AS$1001,MATCH(ROWS($V$2:V157),$V$2:$V$1001,0),MATCH(COLUMNS($AC$1006:AP1006),$AC$1006:$AS$1006,0)), HYPERLINK("#",""), HYPERLINK(CONCATENATE("#metadata!", ADDRESS(INDEX($X$2:$X$1001,MATCH(ROWS($V$2:V157),$V$2:$V$1001,0),0), INDEX($AC$1004:$AS$1004,1,MATCH(COLUMNS($AC$1006:AP1006),$AC$1006:$AS$1006,0)))),"Fix")))</f>
        <v xml:space="preserve"> </v>
      </c>
      <c r="P157" s="4" t="str">
        <f ca="1">IF(OR(INDEX($W$2:$W$1001,MATCH(ROWS($V$2:V157),$V$2:$V$1001,0),1)&gt;=100000,INDEX($AC$1005:$AS$1005,1,MATCH(COLUMNS($AC$1006:AQ1006),$AC$1006:$AS$1006,0))&gt;=100000), " ",IF(INDEX($AC$2:$AS$1001,MATCH(ROWS($V$2:V157),$V$2:$V$1001,0),MATCH(COLUMNS($AC$1006:AQ1006),$AC$1006:$AS$1006,0)), HYPERLINK("#",""), HYPERLINK(CONCATENATE("#metadata!", ADDRESS(INDEX($X$2:$X$1001,MATCH(ROWS($V$2:V157),$V$2:$V$1001,0),0), INDEX($AC$1004:$AS$1004,1,MATCH(COLUMNS($AC$1006:AQ1006),$AC$1006:$AS$1006,0)))),"Fix")))</f>
        <v xml:space="preserve"> </v>
      </c>
      <c r="Q157" s="4" t="str">
        <f ca="1">IF(OR(INDEX($W$2:$W$1001,MATCH(ROWS($V$2:V157),$V$2:$V$1001,0),1)&gt;=100000,INDEX($AC$1005:$AS$1005,1,MATCH(COLUMNS($AC$1006:AR1006),$AC$1006:$AS$1006,0))&gt;=100000), " ",IF(INDEX($AC$2:$AS$1001,MATCH(ROWS($V$2:V157),$V$2:$V$1001,0),MATCH(COLUMNS($AC$1006:AR1006),$AC$1006:$AS$1006,0)), HYPERLINK("#",""), HYPERLINK(CONCATENATE("#metadata!", ADDRESS(INDEX($X$2:$X$1001,MATCH(ROWS($V$2:V157),$V$2:$V$1001,0),0), INDEX($AC$1004:$AS$1004,1,MATCH(COLUMNS($AC$1006:AR1006),$AC$1006:$AS$1006,0)))),"Fix")))</f>
        <v xml:space="preserve"> </v>
      </c>
      <c r="R157" s="4" t="str">
        <f ca="1">IF(OR(INDEX($W$2:$W$1001,MATCH(ROWS($V$2:V157),$V$2:$V$1001,0),1)&gt;=100000,INDEX($AC$1005:$AS$1005,1,MATCH(COLUMNS($AC$1006:AS1006),$AC$1006:$AS$1006,0))&gt;=100000), " ",IF(INDEX($AC$2:$AS$1001,MATCH(ROWS($V$2:V157),$V$2:$V$1001,0),MATCH(COLUMNS($AC$1006:AS1006),$AC$1006:$AS$1006,0)), HYPERLINK("#",""), HYPERLINK(CONCATENATE("#metadata!", ADDRESS(INDEX($X$2:$X$1001,MATCH(ROWS($V$2:V157),$V$2:$V$1001,0),0), INDEX($AC$1004:$AS$1004,1,MATCH(COLUMNS($AC$1006:AS1006),$AC$1006:$AS$1006,0)))),"Fix")))</f>
        <v xml:space="preserve"> </v>
      </c>
      <c r="V157">
        <v>156</v>
      </c>
      <c r="W157">
        <v>100157</v>
      </c>
      <c r="X157">
        <v>157</v>
      </c>
      <c r="Y157" t="b">
        <f t="shared" si="2"/>
        <v>1</v>
      </c>
      <c r="Z157" t="b">
        <f>COUNTBLANK(metadata!B157:R157)=COLUMNS(metadata!B157:R157)</f>
        <v>1</v>
      </c>
      <c r="AA157" t="str">
        <v/>
      </c>
      <c r="AC157" t="b">
        <f ca="1"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AD157" t="b">
        <f>IF(metadata!C157="",FALSE,ISNUMBER(VALUE(metadata!C157)))</f>
        <v>0</v>
      </c>
      <c r="AE157" t="b">
        <f>AND(IF(metadata!D157="",FALSE,TRUE),EXACT(metadata!D157,"years"))</f>
        <v>0</v>
      </c>
      <c r="AF157" t="b">
        <f>OR(AND(IF(metadata!E157="",FALSE,TRUE),OR(EXACT(metadata!E157,"not applicable"),EXACT(metadata!E157,"missing: not collected"),EXACT(metadata!E157,"missing: not provided"),EXACT(metadata!E157,"missing: restricted access"))),AND(IF(metadata!E157="",FALSE,ISNUMBER(VALUE(metadata!E157))),metadata!E157&gt;0))</f>
        <v>0</v>
      </c>
      <c r="AG157" t="b">
        <f>AND(IF(metadata!F157="",FALSE,TRUE),EXACT(metadata!F157,"Not applicable"))</f>
        <v>0</v>
      </c>
      <c r="AH157" t="b">
        <f>AND(IF(metadata!G157="",FALSE,TRUE),EXACT(metadata!G157,"urban biome"))</f>
        <v>0</v>
      </c>
      <c r="AI157" t="b">
        <f>AND(IF(metadata!H157="",FALSE,TRUE),EXACT(metadata!H157,"human-associated habitat"))</f>
        <v>0</v>
      </c>
      <c r="AJ157" t="b">
        <f>AND(IF(metadata!I157="",FALSE,TRUE),OR(EXACT(metadata!I157,"human-associated"),EXACT(metadata!I157,"human-skin"),EXACT(metadata!I157,"human-oral"),EXACT(metadata!I157,"human-gut"),EXACT(metadata!I157,"human-vaginal")))</f>
        <v>0</v>
      </c>
      <c r="AK157" t="b">
        <f>IF(metadata!J157="",FALSE,ISNUMBER(VALUE(metadata!J157)))</f>
        <v>0</v>
      </c>
      <c r="AL157" t="b">
        <f>AND(IF(metadata!K157="",FALSE,TRUE),EXACT(metadata!K157,"cm"))</f>
        <v>0</v>
      </c>
      <c r="AM157" t="b">
        <f>AND(IF(metadata!L157="",FALSE,TRUE),EXACT(metadata!L157,"human"))</f>
        <v>0</v>
      </c>
      <c r="AN157" t="b">
        <f>AND(IF(metadata!M157="",FALSE,TRUE),EXACT(metadata!M157,"Homo sapiens"))</f>
        <v>0</v>
      </c>
      <c r="AO157" t="b">
        <f>AND(IF(metadata!N157="",FALSE,TRUE),EXACT(metadata!N157,"9606"))</f>
        <v>0</v>
      </c>
      <c r="AP157" t="b">
        <f>IF(metadata!O157="",FALSE,TRUE)</f>
        <v>0</v>
      </c>
      <c r="AQ157" t="b">
        <f>IF(metadata!P157="",FALSE,TRUE)</f>
        <v>0</v>
      </c>
      <c r="AR157" t="b">
        <f>IF(metadata!Q157="",FALSE,ISNUMBER(VALUE(metadata!Q157)))</f>
        <v>0</v>
      </c>
      <c r="AS157" t="b">
        <f>AND(IF(metadata!R157="",FALSE,TRUE),EXACT(metadata!R157,"kg"))</f>
        <v>0</v>
      </c>
    </row>
    <row r="158" spans="1:45" x14ac:dyDescent="0.2">
      <c r="A158" s="5" t="str">
        <f ca="1">IF(B158=" "," ",HYPERLINK(CONCATENATE("#metadata!",ADDRESS(INDEX($X$2:$X$1001,MATCH(ROWS($V$2:V158),$V$2:$V$1001,0),0),1)),INDEX($AA$2:$AA$1001,MATCH(ROWS($V$2:V158),$V$2:$V$1001,0),0)))</f>
        <v xml:space="preserve"> </v>
      </c>
      <c r="B158" s="4" t="str">
        <f ca="1">IF(OR(INDEX($W$2:$W$1001,MATCH(ROWS($V$2:V158),$V$2:$V$1001,0),1)&gt;=100000,INDEX($AC$1005:$AS$1005,1,MATCH(COLUMNS($AC$1006:AC1006),$AC$1006:$AS$1006,0))&gt;=100000), " ",IF(INDEX($AC$2:$AS$1001,MATCH(ROWS($V$2:V158),$V$2:$V$1001,0),MATCH(COLUMNS($AC$1006:AC1006),$AC$1006:$AS$1006,0)), HYPERLINK("#",""), HYPERLINK(CONCATENATE("#metadata!", ADDRESS(INDEX($X$2:$X$1001,MATCH(ROWS($V$2:V158),$V$2:$V$1001,0),0), INDEX($AC$1004:$AS$1004,1,MATCH(COLUMNS($AC$1006:AC1006),$AC$1006:$AS$1006,0)))),"Fix")))</f>
        <v xml:space="preserve"> </v>
      </c>
      <c r="C158" s="4" t="str">
        <f ca="1">IF(OR(INDEX($W$2:$W$1001,MATCH(ROWS($V$2:V158),$V$2:$V$1001,0),1)&gt;=100000,INDEX($AC$1005:$AS$1005,1,MATCH(COLUMNS($AC$1006:AD1006),$AC$1006:$AS$1006,0))&gt;=100000), " ",IF(INDEX($AC$2:$AS$1001,MATCH(ROWS($V$2:V158),$V$2:$V$1001,0),MATCH(COLUMNS($AC$1006:AD1006),$AC$1006:$AS$1006,0)), HYPERLINK("#",""), HYPERLINK(CONCATENATE("#metadata!", ADDRESS(INDEX($X$2:$X$1001,MATCH(ROWS($V$2:V158),$V$2:$V$1001,0),0), INDEX($AC$1004:$AS$1004,1,MATCH(COLUMNS($AC$1006:AD1006),$AC$1006:$AS$1006,0)))),"Fix")))</f>
        <v xml:space="preserve"> </v>
      </c>
      <c r="D158" s="4" t="str">
        <f ca="1">IF(OR(INDEX($W$2:$W$1001,MATCH(ROWS($V$2:V158),$V$2:$V$1001,0),1)&gt;=100000,INDEX($AC$1005:$AS$1005,1,MATCH(COLUMNS($AC$1006:AE1006),$AC$1006:$AS$1006,0))&gt;=100000), " ",IF(INDEX($AC$2:$AS$1001,MATCH(ROWS($V$2:V158),$V$2:$V$1001,0),MATCH(COLUMNS($AC$1006:AE1006),$AC$1006:$AS$1006,0)), HYPERLINK("#",""), HYPERLINK(CONCATENATE("#metadata!", ADDRESS(INDEX($X$2:$X$1001,MATCH(ROWS($V$2:V158),$V$2:$V$1001,0),0), INDEX($AC$1004:$AS$1004,1,MATCH(COLUMNS($AC$1006:AE1006),$AC$1006:$AS$1006,0)))),"Fix")))</f>
        <v xml:space="preserve"> </v>
      </c>
      <c r="E158" s="4" t="str">
        <f ca="1">IF(OR(INDEX($W$2:$W$1001,MATCH(ROWS($V$2:V158),$V$2:$V$1001,0),1)&gt;=100000,INDEX($AC$1005:$AS$1005,1,MATCH(COLUMNS($AC$1006:AF1006),$AC$1006:$AS$1006,0))&gt;=100000), " ",IF(INDEX($AC$2:$AS$1001,MATCH(ROWS($V$2:V158),$V$2:$V$1001,0),MATCH(COLUMNS($AC$1006:AF1006),$AC$1006:$AS$1006,0)), HYPERLINK("#",""), HYPERLINK(CONCATENATE("#metadata!", ADDRESS(INDEX($X$2:$X$1001,MATCH(ROWS($V$2:V158),$V$2:$V$1001,0),0), INDEX($AC$1004:$AS$1004,1,MATCH(COLUMNS($AC$1006:AF1006),$AC$1006:$AS$1006,0)))),"Fix")))</f>
        <v xml:space="preserve"> </v>
      </c>
      <c r="F158" s="4" t="str">
        <f ca="1">IF(OR(INDEX($W$2:$W$1001,MATCH(ROWS($V$2:V158),$V$2:$V$1001,0),1)&gt;=100000,INDEX($AC$1005:$AS$1005,1,MATCH(COLUMNS($AC$1006:AG1006),$AC$1006:$AS$1006,0))&gt;=100000), " ",IF(INDEX($AC$2:$AS$1001,MATCH(ROWS($V$2:V158),$V$2:$V$1001,0),MATCH(COLUMNS($AC$1006:AG1006),$AC$1006:$AS$1006,0)), HYPERLINK("#",""), HYPERLINK(CONCATENATE("#metadata!", ADDRESS(INDEX($X$2:$X$1001,MATCH(ROWS($V$2:V158),$V$2:$V$1001,0),0), INDEX($AC$1004:$AS$1004,1,MATCH(COLUMNS($AC$1006:AG1006),$AC$1006:$AS$1006,0)))),"Fix")))</f>
        <v xml:space="preserve"> </v>
      </c>
      <c r="G158" s="4" t="str">
        <f ca="1">IF(OR(INDEX($W$2:$W$1001,MATCH(ROWS($V$2:V158),$V$2:$V$1001,0),1)&gt;=100000,INDEX($AC$1005:$AS$1005,1,MATCH(COLUMNS($AC$1006:AH1006),$AC$1006:$AS$1006,0))&gt;=100000), " ",IF(INDEX($AC$2:$AS$1001,MATCH(ROWS($V$2:V158),$V$2:$V$1001,0),MATCH(COLUMNS($AC$1006:AH1006),$AC$1006:$AS$1006,0)), HYPERLINK("#",""), HYPERLINK(CONCATENATE("#metadata!", ADDRESS(INDEX($X$2:$X$1001,MATCH(ROWS($V$2:V158),$V$2:$V$1001,0),0), INDEX($AC$1004:$AS$1004,1,MATCH(COLUMNS($AC$1006:AH1006),$AC$1006:$AS$1006,0)))),"Fix")))</f>
        <v xml:space="preserve"> </v>
      </c>
      <c r="H158" s="4" t="str">
        <f ca="1">IF(OR(INDEX($W$2:$W$1001,MATCH(ROWS($V$2:V158),$V$2:$V$1001,0),1)&gt;=100000,INDEX($AC$1005:$AS$1005,1,MATCH(COLUMNS($AC$1006:AI1006),$AC$1006:$AS$1006,0))&gt;=100000), " ",IF(INDEX($AC$2:$AS$1001,MATCH(ROWS($V$2:V158),$V$2:$V$1001,0),MATCH(COLUMNS($AC$1006:AI1006),$AC$1006:$AS$1006,0)), HYPERLINK("#",""), HYPERLINK(CONCATENATE("#metadata!", ADDRESS(INDEX($X$2:$X$1001,MATCH(ROWS($V$2:V158),$V$2:$V$1001,0),0), INDEX($AC$1004:$AS$1004,1,MATCH(COLUMNS($AC$1006:AI1006),$AC$1006:$AS$1006,0)))),"Fix")))</f>
        <v xml:space="preserve"> </v>
      </c>
      <c r="I158" s="4" t="str">
        <f ca="1">IF(OR(INDEX($W$2:$W$1001,MATCH(ROWS($V$2:V158),$V$2:$V$1001,0),1)&gt;=100000,INDEX($AC$1005:$AS$1005,1,MATCH(COLUMNS($AC$1006:AJ1006),$AC$1006:$AS$1006,0))&gt;=100000), " ",IF(INDEX($AC$2:$AS$1001,MATCH(ROWS($V$2:V158),$V$2:$V$1001,0),MATCH(COLUMNS($AC$1006:AJ1006),$AC$1006:$AS$1006,0)), HYPERLINK("#",""), HYPERLINK(CONCATENATE("#metadata!", ADDRESS(INDEX($X$2:$X$1001,MATCH(ROWS($V$2:V158),$V$2:$V$1001,0),0), INDEX($AC$1004:$AS$1004,1,MATCH(COLUMNS($AC$1006:AJ1006),$AC$1006:$AS$1006,0)))),"Fix")))</f>
        <v xml:space="preserve"> </v>
      </c>
      <c r="J158" s="4" t="str">
        <f ca="1">IF(OR(INDEX($W$2:$W$1001,MATCH(ROWS($V$2:V158),$V$2:$V$1001,0),1)&gt;=100000,INDEX($AC$1005:$AS$1005,1,MATCH(COLUMNS($AC$1006:AK1006),$AC$1006:$AS$1006,0))&gt;=100000), " ",IF(INDEX($AC$2:$AS$1001,MATCH(ROWS($V$2:V158),$V$2:$V$1001,0),MATCH(COLUMNS($AC$1006:AK1006),$AC$1006:$AS$1006,0)), HYPERLINK("#",""), HYPERLINK(CONCATENATE("#metadata!", ADDRESS(INDEX($X$2:$X$1001,MATCH(ROWS($V$2:V158),$V$2:$V$1001,0),0), INDEX($AC$1004:$AS$1004,1,MATCH(COLUMNS($AC$1006:AK1006),$AC$1006:$AS$1006,0)))),"Fix")))</f>
        <v xml:space="preserve"> </v>
      </c>
      <c r="K158" s="4" t="str">
        <f ca="1">IF(OR(INDEX($W$2:$W$1001,MATCH(ROWS($V$2:V158),$V$2:$V$1001,0),1)&gt;=100000,INDEX($AC$1005:$AS$1005,1,MATCH(COLUMNS($AC$1006:AL1006),$AC$1006:$AS$1006,0))&gt;=100000), " ",IF(INDEX($AC$2:$AS$1001,MATCH(ROWS($V$2:V158),$V$2:$V$1001,0),MATCH(COLUMNS($AC$1006:AL1006),$AC$1006:$AS$1006,0)), HYPERLINK("#",""), HYPERLINK(CONCATENATE("#metadata!", ADDRESS(INDEX($X$2:$X$1001,MATCH(ROWS($V$2:V158),$V$2:$V$1001,0),0), INDEX($AC$1004:$AS$1004,1,MATCH(COLUMNS($AC$1006:AL1006),$AC$1006:$AS$1006,0)))),"Fix")))</f>
        <v xml:space="preserve"> </v>
      </c>
      <c r="L158" s="4" t="str">
        <f ca="1">IF(OR(INDEX($W$2:$W$1001,MATCH(ROWS($V$2:V158),$V$2:$V$1001,0),1)&gt;=100000,INDEX($AC$1005:$AS$1005,1,MATCH(COLUMNS($AC$1006:AM1006),$AC$1006:$AS$1006,0))&gt;=100000), " ",IF(INDEX($AC$2:$AS$1001,MATCH(ROWS($V$2:V158),$V$2:$V$1001,0),MATCH(COLUMNS($AC$1006:AM1006),$AC$1006:$AS$1006,0)), HYPERLINK("#",""), HYPERLINK(CONCATENATE("#metadata!", ADDRESS(INDEX($X$2:$X$1001,MATCH(ROWS($V$2:V158),$V$2:$V$1001,0),0), INDEX($AC$1004:$AS$1004,1,MATCH(COLUMNS($AC$1006:AM1006),$AC$1006:$AS$1006,0)))),"Fix")))</f>
        <v xml:space="preserve"> </v>
      </c>
      <c r="M158" s="4" t="str">
        <f ca="1">IF(OR(INDEX($W$2:$W$1001,MATCH(ROWS($V$2:V158),$V$2:$V$1001,0),1)&gt;=100000,INDEX($AC$1005:$AS$1005,1,MATCH(COLUMNS($AC$1006:AN1006),$AC$1006:$AS$1006,0))&gt;=100000), " ",IF(INDEX($AC$2:$AS$1001,MATCH(ROWS($V$2:V158),$V$2:$V$1001,0),MATCH(COLUMNS($AC$1006:AN1006),$AC$1006:$AS$1006,0)), HYPERLINK("#",""), HYPERLINK(CONCATENATE("#metadata!", ADDRESS(INDEX($X$2:$X$1001,MATCH(ROWS($V$2:V158),$V$2:$V$1001,0),0), INDEX($AC$1004:$AS$1004,1,MATCH(COLUMNS($AC$1006:AN1006),$AC$1006:$AS$1006,0)))),"Fix")))</f>
        <v xml:space="preserve"> </v>
      </c>
      <c r="N158" s="4" t="str">
        <f ca="1">IF(OR(INDEX($W$2:$W$1001,MATCH(ROWS($V$2:V158),$V$2:$V$1001,0),1)&gt;=100000,INDEX($AC$1005:$AS$1005,1,MATCH(COLUMNS($AC$1006:AO1006),$AC$1006:$AS$1006,0))&gt;=100000), " ",IF(INDEX($AC$2:$AS$1001,MATCH(ROWS($V$2:V158),$V$2:$V$1001,0),MATCH(COLUMNS($AC$1006:AO1006),$AC$1006:$AS$1006,0)), HYPERLINK("#",""), HYPERLINK(CONCATENATE("#metadata!", ADDRESS(INDEX($X$2:$X$1001,MATCH(ROWS($V$2:V158),$V$2:$V$1001,0),0), INDEX($AC$1004:$AS$1004,1,MATCH(COLUMNS($AC$1006:AO1006),$AC$1006:$AS$1006,0)))),"Fix")))</f>
        <v xml:space="preserve"> </v>
      </c>
      <c r="O158" s="4" t="str">
        <f ca="1">IF(OR(INDEX($W$2:$W$1001,MATCH(ROWS($V$2:V158),$V$2:$V$1001,0),1)&gt;=100000,INDEX($AC$1005:$AS$1005,1,MATCH(COLUMNS($AC$1006:AP1006),$AC$1006:$AS$1006,0))&gt;=100000), " ",IF(INDEX($AC$2:$AS$1001,MATCH(ROWS($V$2:V158),$V$2:$V$1001,0),MATCH(COLUMNS($AC$1006:AP1006),$AC$1006:$AS$1006,0)), HYPERLINK("#",""), HYPERLINK(CONCATENATE("#metadata!", ADDRESS(INDEX($X$2:$X$1001,MATCH(ROWS($V$2:V158),$V$2:$V$1001,0),0), INDEX($AC$1004:$AS$1004,1,MATCH(COLUMNS($AC$1006:AP1006),$AC$1006:$AS$1006,0)))),"Fix")))</f>
        <v xml:space="preserve"> </v>
      </c>
      <c r="P158" s="4" t="str">
        <f ca="1">IF(OR(INDEX($W$2:$W$1001,MATCH(ROWS($V$2:V158),$V$2:$V$1001,0),1)&gt;=100000,INDEX($AC$1005:$AS$1005,1,MATCH(COLUMNS($AC$1006:AQ1006),$AC$1006:$AS$1006,0))&gt;=100000), " ",IF(INDEX($AC$2:$AS$1001,MATCH(ROWS($V$2:V158),$V$2:$V$1001,0),MATCH(COLUMNS($AC$1006:AQ1006),$AC$1006:$AS$1006,0)), HYPERLINK("#",""), HYPERLINK(CONCATENATE("#metadata!", ADDRESS(INDEX($X$2:$X$1001,MATCH(ROWS($V$2:V158),$V$2:$V$1001,0),0), INDEX($AC$1004:$AS$1004,1,MATCH(COLUMNS($AC$1006:AQ1006),$AC$1006:$AS$1006,0)))),"Fix")))</f>
        <v xml:space="preserve"> </v>
      </c>
      <c r="Q158" s="4" t="str">
        <f ca="1">IF(OR(INDEX($W$2:$W$1001,MATCH(ROWS($V$2:V158),$V$2:$V$1001,0),1)&gt;=100000,INDEX($AC$1005:$AS$1005,1,MATCH(COLUMNS($AC$1006:AR1006),$AC$1006:$AS$1006,0))&gt;=100000), " ",IF(INDEX($AC$2:$AS$1001,MATCH(ROWS($V$2:V158),$V$2:$V$1001,0),MATCH(COLUMNS($AC$1006:AR1006),$AC$1006:$AS$1006,0)), HYPERLINK("#",""), HYPERLINK(CONCATENATE("#metadata!", ADDRESS(INDEX($X$2:$X$1001,MATCH(ROWS($V$2:V158),$V$2:$V$1001,0),0), INDEX($AC$1004:$AS$1004,1,MATCH(COLUMNS($AC$1006:AR1006),$AC$1006:$AS$1006,0)))),"Fix")))</f>
        <v xml:space="preserve"> </v>
      </c>
      <c r="R158" s="4" t="str">
        <f ca="1">IF(OR(INDEX($W$2:$W$1001,MATCH(ROWS($V$2:V158),$V$2:$V$1001,0),1)&gt;=100000,INDEX($AC$1005:$AS$1005,1,MATCH(COLUMNS($AC$1006:AS1006),$AC$1006:$AS$1006,0))&gt;=100000), " ",IF(INDEX($AC$2:$AS$1001,MATCH(ROWS($V$2:V158),$V$2:$V$1001,0),MATCH(COLUMNS($AC$1006:AS1006),$AC$1006:$AS$1006,0)), HYPERLINK("#",""), HYPERLINK(CONCATENATE("#metadata!", ADDRESS(INDEX($X$2:$X$1001,MATCH(ROWS($V$2:V158),$V$2:$V$1001,0),0), INDEX($AC$1004:$AS$1004,1,MATCH(COLUMNS($AC$1006:AS1006),$AC$1006:$AS$1006,0)))),"Fix")))</f>
        <v xml:space="preserve"> </v>
      </c>
      <c r="V158">
        <v>157</v>
      </c>
      <c r="W158">
        <v>100158</v>
      </c>
      <c r="X158">
        <v>158</v>
      </c>
      <c r="Y158" t="b">
        <f t="shared" si="2"/>
        <v>1</v>
      </c>
      <c r="Z158" t="b">
        <f>COUNTBLANK(metadata!B158:R158)=COLUMNS(metadata!B158:R158)</f>
        <v>1</v>
      </c>
      <c r="AA158" t="str">
        <v/>
      </c>
      <c r="AC158" t="b">
        <f ca="1"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AD158" t="b">
        <f>IF(metadata!C158="",FALSE,ISNUMBER(VALUE(metadata!C158)))</f>
        <v>0</v>
      </c>
      <c r="AE158" t="b">
        <f>AND(IF(metadata!D158="",FALSE,TRUE),EXACT(metadata!D158,"years"))</f>
        <v>0</v>
      </c>
      <c r="AF158" t="b">
        <f>OR(AND(IF(metadata!E158="",FALSE,TRUE),OR(EXACT(metadata!E158,"not applicable"),EXACT(metadata!E158,"missing: not collected"),EXACT(metadata!E158,"missing: not provided"),EXACT(metadata!E158,"missing: restricted access"))),AND(IF(metadata!E158="",FALSE,ISNUMBER(VALUE(metadata!E158))),metadata!E158&gt;0))</f>
        <v>0</v>
      </c>
      <c r="AG158" t="b">
        <f>AND(IF(metadata!F158="",FALSE,TRUE),EXACT(metadata!F158,"Not applicable"))</f>
        <v>0</v>
      </c>
      <c r="AH158" t="b">
        <f>AND(IF(metadata!G158="",FALSE,TRUE),EXACT(metadata!G158,"urban biome"))</f>
        <v>0</v>
      </c>
      <c r="AI158" t="b">
        <f>AND(IF(metadata!H158="",FALSE,TRUE),EXACT(metadata!H158,"human-associated habitat"))</f>
        <v>0</v>
      </c>
      <c r="AJ158" t="b">
        <f>AND(IF(metadata!I158="",FALSE,TRUE),OR(EXACT(metadata!I158,"human-associated"),EXACT(metadata!I158,"human-skin"),EXACT(metadata!I158,"human-oral"),EXACT(metadata!I158,"human-gut"),EXACT(metadata!I158,"human-vaginal")))</f>
        <v>0</v>
      </c>
      <c r="AK158" t="b">
        <f>IF(metadata!J158="",FALSE,ISNUMBER(VALUE(metadata!J158)))</f>
        <v>0</v>
      </c>
      <c r="AL158" t="b">
        <f>AND(IF(metadata!K158="",FALSE,TRUE),EXACT(metadata!K158,"cm"))</f>
        <v>0</v>
      </c>
      <c r="AM158" t="b">
        <f>AND(IF(metadata!L158="",FALSE,TRUE),EXACT(metadata!L158,"human"))</f>
        <v>0</v>
      </c>
      <c r="AN158" t="b">
        <f>AND(IF(metadata!M158="",FALSE,TRUE),EXACT(metadata!M158,"Homo sapiens"))</f>
        <v>0</v>
      </c>
      <c r="AO158" t="b">
        <f>AND(IF(metadata!N158="",FALSE,TRUE),EXACT(metadata!N158,"9606"))</f>
        <v>0</v>
      </c>
      <c r="AP158" t="b">
        <f>IF(metadata!O158="",FALSE,TRUE)</f>
        <v>0</v>
      </c>
      <c r="AQ158" t="b">
        <f>IF(metadata!P158="",FALSE,TRUE)</f>
        <v>0</v>
      </c>
      <c r="AR158" t="b">
        <f>IF(metadata!Q158="",FALSE,ISNUMBER(VALUE(metadata!Q158)))</f>
        <v>0</v>
      </c>
      <c r="AS158" t="b">
        <f>AND(IF(metadata!R158="",FALSE,TRUE),EXACT(metadata!R158,"kg"))</f>
        <v>0</v>
      </c>
    </row>
    <row r="159" spans="1:45" x14ac:dyDescent="0.2">
      <c r="A159" s="5" t="str">
        <f ca="1">IF(B159=" "," ",HYPERLINK(CONCATENATE("#metadata!",ADDRESS(INDEX($X$2:$X$1001,MATCH(ROWS($V$2:V159),$V$2:$V$1001,0),0),1)),INDEX($AA$2:$AA$1001,MATCH(ROWS($V$2:V159),$V$2:$V$1001,0),0)))</f>
        <v xml:space="preserve"> </v>
      </c>
      <c r="B159" s="4" t="str">
        <f ca="1">IF(OR(INDEX($W$2:$W$1001,MATCH(ROWS($V$2:V159),$V$2:$V$1001,0),1)&gt;=100000,INDEX($AC$1005:$AS$1005,1,MATCH(COLUMNS($AC$1006:AC1006),$AC$1006:$AS$1006,0))&gt;=100000), " ",IF(INDEX($AC$2:$AS$1001,MATCH(ROWS($V$2:V159),$V$2:$V$1001,0),MATCH(COLUMNS($AC$1006:AC1006),$AC$1006:$AS$1006,0)), HYPERLINK("#",""), HYPERLINK(CONCATENATE("#metadata!", ADDRESS(INDEX($X$2:$X$1001,MATCH(ROWS($V$2:V159),$V$2:$V$1001,0),0), INDEX($AC$1004:$AS$1004,1,MATCH(COLUMNS($AC$1006:AC1006),$AC$1006:$AS$1006,0)))),"Fix")))</f>
        <v xml:space="preserve"> </v>
      </c>
      <c r="C159" s="4" t="str">
        <f ca="1">IF(OR(INDEX($W$2:$W$1001,MATCH(ROWS($V$2:V159),$V$2:$V$1001,0),1)&gt;=100000,INDEX($AC$1005:$AS$1005,1,MATCH(COLUMNS($AC$1006:AD1006),$AC$1006:$AS$1006,0))&gt;=100000), " ",IF(INDEX($AC$2:$AS$1001,MATCH(ROWS($V$2:V159),$V$2:$V$1001,0),MATCH(COLUMNS($AC$1006:AD1006),$AC$1006:$AS$1006,0)), HYPERLINK("#",""), HYPERLINK(CONCATENATE("#metadata!", ADDRESS(INDEX($X$2:$X$1001,MATCH(ROWS($V$2:V159),$V$2:$V$1001,0),0), INDEX($AC$1004:$AS$1004,1,MATCH(COLUMNS($AC$1006:AD1006),$AC$1006:$AS$1006,0)))),"Fix")))</f>
        <v xml:space="preserve"> </v>
      </c>
      <c r="D159" s="4" t="str">
        <f ca="1">IF(OR(INDEX($W$2:$W$1001,MATCH(ROWS($V$2:V159),$V$2:$V$1001,0),1)&gt;=100000,INDEX($AC$1005:$AS$1005,1,MATCH(COLUMNS($AC$1006:AE1006),$AC$1006:$AS$1006,0))&gt;=100000), " ",IF(INDEX($AC$2:$AS$1001,MATCH(ROWS($V$2:V159),$V$2:$V$1001,0),MATCH(COLUMNS($AC$1006:AE1006),$AC$1006:$AS$1006,0)), HYPERLINK("#",""), HYPERLINK(CONCATENATE("#metadata!", ADDRESS(INDEX($X$2:$X$1001,MATCH(ROWS($V$2:V159),$V$2:$V$1001,0),0), INDEX($AC$1004:$AS$1004,1,MATCH(COLUMNS($AC$1006:AE1006),$AC$1006:$AS$1006,0)))),"Fix")))</f>
        <v xml:space="preserve"> </v>
      </c>
      <c r="E159" s="4" t="str">
        <f ca="1">IF(OR(INDEX($W$2:$W$1001,MATCH(ROWS($V$2:V159),$V$2:$V$1001,0),1)&gt;=100000,INDEX($AC$1005:$AS$1005,1,MATCH(COLUMNS($AC$1006:AF1006),$AC$1006:$AS$1006,0))&gt;=100000), " ",IF(INDEX($AC$2:$AS$1001,MATCH(ROWS($V$2:V159),$V$2:$V$1001,0),MATCH(COLUMNS($AC$1006:AF1006),$AC$1006:$AS$1006,0)), HYPERLINK("#",""), HYPERLINK(CONCATENATE("#metadata!", ADDRESS(INDEX($X$2:$X$1001,MATCH(ROWS($V$2:V159),$V$2:$V$1001,0),0), INDEX($AC$1004:$AS$1004,1,MATCH(COLUMNS($AC$1006:AF1006),$AC$1006:$AS$1006,0)))),"Fix")))</f>
        <v xml:space="preserve"> </v>
      </c>
      <c r="F159" s="4" t="str">
        <f ca="1">IF(OR(INDEX($W$2:$W$1001,MATCH(ROWS($V$2:V159),$V$2:$V$1001,0),1)&gt;=100000,INDEX($AC$1005:$AS$1005,1,MATCH(COLUMNS($AC$1006:AG1006),$AC$1006:$AS$1006,0))&gt;=100000), " ",IF(INDEX($AC$2:$AS$1001,MATCH(ROWS($V$2:V159),$V$2:$V$1001,0),MATCH(COLUMNS($AC$1006:AG1006),$AC$1006:$AS$1006,0)), HYPERLINK("#",""), HYPERLINK(CONCATENATE("#metadata!", ADDRESS(INDEX($X$2:$X$1001,MATCH(ROWS($V$2:V159),$V$2:$V$1001,0),0), INDEX($AC$1004:$AS$1004,1,MATCH(COLUMNS($AC$1006:AG1006),$AC$1006:$AS$1006,0)))),"Fix")))</f>
        <v xml:space="preserve"> </v>
      </c>
      <c r="G159" s="4" t="str">
        <f ca="1">IF(OR(INDEX($W$2:$W$1001,MATCH(ROWS($V$2:V159),$V$2:$V$1001,0),1)&gt;=100000,INDEX($AC$1005:$AS$1005,1,MATCH(COLUMNS($AC$1006:AH1006),$AC$1006:$AS$1006,0))&gt;=100000), " ",IF(INDEX($AC$2:$AS$1001,MATCH(ROWS($V$2:V159),$V$2:$V$1001,0),MATCH(COLUMNS($AC$1006:AH1006),$AC$1006:$AS$1006,0)), HYPERLINK("#",""), HYPERLINK(CONCATENATE("#metadata!", ADDRESS(INDEX($X$2:$X$1001,MATCH(ROWS($V$2:V159),$V$2:$V$1001,0),0), INDEX($AC$1004:$AS$1004,1,MATCH(COLUMNS($AC$1006:AH1006),$AC$1006:$AS$1006,0)))),"Fix")))</f>
        <v xml:space="preserve"> </v>
      </c>
      <c r="H159" s="4" t="str">
        <f ca="1">IF(OR(INDEX($W$2:$W$1001,MATCH(ROWS($V$2:V159),$V$2:$V$1001,0),1)&gt;=100000,INDEX($AC$1005:$AS$1005,1,MATCH(COLUMNS($AC$1006:AI1006),$AC$1006:$AS$1006,0))&gt;=100000), " ",IF(INDEX($AC$2:$AS$1001,MATCH(ROWS($V$2:V159),$V$2:$V$1001,0),MATCH(COLUMNS($AC$1006:AI1006),$AC$1006:$AS$1006,0)), HYPERLINK("#",""), HYPERLINK(CONCATENATE("#metadata!", ADDRESS(INDEX($X$2:$X$1001,MATCH(ROWS($V$2:V159),$V$2:$V$1001,0),0), INDEX($AC$1004:$AS$1004,1,MATCH(COLUMNS($AC$1006:AI1006),$AC$1006:$AS$1006,0)))),"Fix")))</f>
        <v xml:space="preserve"> </v>
      </c>
      <c r="I159" s="4" t="str">
        <f ca="1">IF(OR(INDEX($W$2:$W$1001,MATCH(ROWS($V$2:V159),$V$2:$V$1001,0),1)&gt;=100000,INDEX($AC$1005:$AS$1005,1,MATCH(COLUMNS($AC$1006:AJ1006),$AC$1006:$AS$1006,0))&gt;=100000), " ",IF(INDEX($AC$2:$AS$1001,MATCH(ROWS($V$2:V159),$V$2:$V$1001,0),MATCH(COLUMNS($AC$1006:AJ1006),$AC$1006:$AS$1006,0)), HYPERLINK("#",""), HYPERLINK(CONCATENATE("#metadata!", ADDRESS(INDEX($X$2:$X$1001,MATCH(ROWS($V$2:V159),$V$2:$V$1001,0),0), INDEX($AC$1004:$AS$1004,1,MATCH(COLUMNS($AC$1006:AJ1006),$AC$1006:$AS$1006,0)))),"Fix")))</f>
        <v xml:space="preserve"> </v>
      </c>
      <c r="J159" s="4" t="str">
        <f ca="1">IF(OR(INDEX($W$2:$W$1001,MATCH(ROWS($V$2:V159),$V$2:$V$1001,0),1)&gt;=100000,INDEX($AC$1005:$AS$1005,1,MATCH(COLUMNS($AC$1006:AK1006),$AC$1006:$AS$1006,0))&gt;=100000), " ",IF(INDEX($AC$2:$AS$1001,MATCH(ROWS($V$2:V159),$V$2:$V$1001,0),MATCH(COLUMNS($AC$1006:AK1006),$AC$1006:$AS$1006,0)), HYPERLINK("#",""), HYPERLINK(CONCATENATE("#metadata!", ADDRESS(INDEX($X$2:$X$1001,MATCH(ROWS($V$2:V159),$V$2:$V$1001,0),0), INDEX($AC$1004:$AS$1004,1,MATCH(COLUMNS($AC$1006:AK1006),$AC$1006:$AS$1006,0)))),"Fix")))</f>
        <v xml:space="preserve"> </v>
      </c>
      <c r="K159" s="4" t="str">
        <f ca="1">IF(OR(INDEX($W$2:$W$1001,MATCH(ROWS($V$2:V159),$V$2:$V$1001,0),1)&gt;=100000,INDEX($AC$1005:$AS$1005,1,MATCH(COLUMNS($AC$1006:AL1006),$AC$1006:$AS$1006,0))&gt;=100000), " ",IF(INDEX($AC$2:$AS$1001,MATCH(ROWS($V$2:V159),$V$2:$V$1001,0),MATCH(COLUMNS($AC$1006:AL1006),$AC$1006:$AS$1006,0)), HYPERLINK("#",""), HYPERLINK(CONCATENATE("#metadata!", ADDRESS(INDEX($X$2:$X$1001,MATCH(ROWS($V$2:V159),$V$2:$V$1001,0),0), INDEX($AC$1004:$AS$1004,1,MATCH(COLUMNS($AC$1006:AL1006),$AC$1006:$AS$1006,0)))),"Fix")))</f>
        <v xml:space="preserve"> </v>
      </c>
      <c r="L159" s="4" t="str">
        <f ca="1">IF(OR(INDEX($W$2:$W$1001,MATCH(ROWS($V$2:V159),$V$2:$V$1001,0),1)&gt;=100000,INDEX($AC$1005:$AS$1005,1,MATCH(COLUMNS($AC$1006:AM1006),$AC$1006:$AS$1006,0))&gt;=100000), " ",IF(INDEX($AC$2:$AS$1001,MATCH(ROWS($V$2:V159),$V$2:$V$1001,0),MATCH(COLUMNS($AC$1006:AM1006),$AC$1006:$AS$1006,0)), HYPERLINK("#",""), HYPERLINK(CONCATENATE("#metadata!", ADDRESS(INDEX($X$2:$X$1001,MATCH(ROWS($V$2:V159),$V$2:$V$1001,0),0), INDEX($AC$1004:$AS$1004,1,MATCH(COLUMNS($AC$1006:AM1006),$AC$1006:$AS$1006,0)))),"Fix")))</f>
        <v xml:space="preserve"> </v>
      </c>
      <c r="M159" s="4" t="str">
        <f ca="1">IF(OR(INDEX($W$2:$W$1001,MATCH(ROWS($V$2:V159),$V$2:$V$1001,0),1)&gt;=100000,INDEX($AC$1005:$AS$1005,1,MATCH(COLUMNS($AC$1006:AN1006),$AC$1006:$AS$1006,0))&gt;=100000), " ",IF(INDEX($AC$2:$AS$1001,MATCH(ROWS($V$2:V159),$V$2:$V$1001,0),MATCH(COLUMNS($AC$1006:AN1006),$AC$1006:$AS$1006,0)), HYPERLINK("#",""), HYPERLINK(CONCATENATE("#metadata!", ADDRESS(INDEX($X$2:$X$1001,MATCH(ROWS($V$2:V159),$V$2:$V$1001,0),0), INDEX($AC$1004:$AS$1004,1,MATCH(COLUMNS($AC$1006:AN1006),$AC$1006:$AS$1006,0)))),"Fix")))</f>
        <v xml:space="preserve"> </v>
      </c>
      <c r="N159" s="4" t="str">
        <f ca="1">IF(OR(INDEX($W$2:$W$1001,MATCH(ROWS($V$2:V159),$V$2:$V$1001,0),1)&gt;=100000,INDEX($AC$1005:$AS$1005,1,MATCH(COLUMNS($AC$1006:AO1006),$AC$1006:$AS$1006,0))&gt;=100000), " ",IF(INDEX($AC$2:$AS$1001,MATCH(ROWS($V$2:V159),$V$2:$V$1001,0),MATCH(COLUMNS($AC$1006:AO1006),$AC$1006:$AS$1006,0)), HYPERLINK("#",""), HYPERLINK(CONCATENATE("#metadata!", ADDRESS(INDEX($X$2:$X$1001,MATCH(ROWS($V$2:V159),$V$2:$V$1001,0),0), INDEX($AC$1004:$AS$1004,1,MATCH(COLUMNS($AC$1006:AO1006),$AC$1006:$AS$1006,0)))),"Fix")))</f>
        <v xml:space="preserve"> </v>
      </c>
      <c r="O159" s="4" t="str">
        <f ca="1">IF(OR(INDEX($W$2:$W$1001,MATCH(ROWS($V$2:V159),$V$2:$V$1001,0),1)&gt;=100000,INDEX($AC$1005:$AS$1005,1,MATCH(COLUMNS($AC$1006:AP1006),$AC$1006:$AS$1006,0))&gt;=100000), " ",IF(INDEX($AC$2:$AS$1001,MATCH(ROWS($V$2:V159),$V$2:$V$1001,0),MATCH(COLUMNS($AC$1006:AP1006),$AC$1006:$AS$1006,0)), HYPERLINK("#",""), HYPERLINK(CONCATENATE("#metadata!", ADDRESS(INDEX($X$2:$X$1001,MATCH(ROWS($V$2:V159),$V$2:$V$1001,0),0), INDEX($AC$1004:$AS$1004,1,MATCH(COLUMNS($AC$1006:AP1006),$AC$1006:$AS$1006,0)))),"Fix")))</f>
        <v xml:space="preserve"> </v>
      </c>
      <c r="P159" s="4" t="str">
        <f ca="1">IF(OR(INDEX($W$2:$W$1001,MATCH(ROWS($V$2:V159),$V$2:$V$1001,0),1)&gt;=100000,INDEX($AC$1005:$AS$1005,1,MATCH(COLUMNS($AC$1006:AQ1006),$AC$1006:$AS$1006,0))&gt;=100000), " ",IF(INDEX($AC$2:$AS$1001,MATCH(ROWS($V$2:V159),$V$2:$V$1001,0),MATCH(COLUMNS($AC$1006:AQ1006),$AC$1006:$AS$1006,0)), HYPERLINK("#",""), HYPERLINK(CONCATENATE("#metadata!", ADDRESS(INDEX($X$2:$X$1001,MATCH(ROWS($V$2:V159),$V$2:$V$1001,0),0), INDEX($AC$1004:$AS$1004,1,MATCH(COLUMNS($AC$1006:AQ1006),$AC$1006:$AS$1006,0)))),"Fix")))</f>
        <v xml:space="preserve"> </v>
      </c>
      <c r="Q159" s="4" t="str">
        <f ca="1">IF(OR(INDEX($W$2:$W$1001,MATCH(ROWS($V$2:V159),$V$2:$V$1001,0),1)&gt;=100000,INDEX($AC$1005:$AS$1005,1,MATCH(COLUMNS($AC$1006:AR1006),$AC$1006:$AS$1006,0))&gt;=100000), " ",IF(INDEX($AC$2:$AS$1001,MATCH(ROWS($V$2:V159),$V$2:$V$1001,0),MATCH(COLUMNS($AC$1006:AR1006),$AC$1006:$AS$1006,0)), HYPERLINK("#",""), HYPERLINK(CONCATENATE("#metadata!", ADDRESS(INDEX($X$2:$X$1001,MATCH(ROWS($V$2:V159),$V$2:$V$1001,0),0), INDEX($AC$1004:$AS$1004,1,MATCH(COLUMNS($AC$1006:AR1006),$AC$1006:$AS$1006,0)))),"Fix")))</f>
        <v xml:space="preserve"> </v>
      </c>
      <c r="R159" s="4" t="str">
        <f ca="1">IF(OR(INDEX($W$2:$W$1001,MATCH(ROWS($V$2:V159),$V$2:$V$1001,0),1)&gt;=100000,INDEX($AC$1005:$AS$1005,1,MATCH(COLUMNS($AC$1006:AS1006),$AC$1006:$AS$1006,0))&gt;=100000), " ",IF(INDEX($AC$2:$AS$1001,MATCH(ROWS($V$2:V159),$V$2:$V$1001,0),MATCH(COLUMNS($AC$1006:AS1006),$AC$1006:$AS$1006,0)), HYPERLINK("#",""), HYPERLINK(CONCATENATE("#metadata!", ADDRESS(INDEX($X$2:$X$1001,MATCH(ROWS($V$2:V159),$V$2:$V$1001,0),0), INDEX($AC$1004:$AS$1004,1,MATCH(COLUMNS($AC$1006:AS1006),$AC$1006:$AS$1006,0)))),"Fix")))</f>
        <v xml:space="preserve"> </v>
      </c>
      <c r="V159">
        <v>158</v>
      </c>
      <c r="W159">
        <v>100159</v>
      </c>
      <c r="X159">
        <v>159</v>
      </c>
      <c r="Y159" t="b">
        <f t="shared" si="2"/>
        <v>1</v>
      </c>
      <c r="Z159" t="b">
        <f>COUNTBLANK(metadata!B159:R159)=COLUMNS(metadata!B159:R159)</f>
        <v>1</v>
      </c>
      <c r="AA159" t="str">
        <v/>
      </c>
      <c r="AC159" t="b">
        <f ca="1"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AD159" t="b">
        <f>IF(metadata!C159="",FALSE,ISNUMBER(VALUE(metadata!C159)))</f>
        <v>0</v>
      </c>
      <c r="AE159" t="b">
        <f>AND(IF(metadata!D159="",FALSE,TRUE),EXACT(metadata!D159,"years"))</f>
        <v>0</v>
      </c>
      <c r="AF159" t="b">
        <f>OR(AND(IF(metadata!E159="",FALSE,TRUE),OR(EXACT(metadata!E159,"not applicable"),EXACT(metadata!E159,"missing: not collected"),EXACT(metadata!E159,"missing: not provided"),EXACT(metadata!E159,"missing: restricted access"))),AND(IF(metadata!E159="",FALSE,ISNUMBER(VALUE(metadata!E159))),metadata!E159&gt;0))</f>
        <v>0</v>
      </c>
      <c r="AG159" t="b">
        <f>AND(IF(metadata!F159="",FALSE,TRUE),EXACT(metadata!F159,"Not applicable"))</f>
        <v>0</v>
      </c>
      <c r="AH159" t="b">
        <f>AND(IF(metadata!G159="",FALSE,TRUE),EXACT(metadata!G159,"urban biome"))</f>
        <v>0</v>
      </c>
      <c r="AI159" t="b">
        <f>AND(IF(metadata!H159="",FALSE,TRUE),EXACT(metadata!H159,"human-associated habitat"))</f>
        <v>0</v>
      </c>
      <c r="AJ159" t="b">
        <f>AND(IF(metadata!I159="",FALSE,TRUE),OR(EXACT(metadata!I159,"human-associated"),EXACT(metadata!I159,"human-skin"),EXACT(metadata!I159,"human-oral"),EXACT(metadata!I159,"human-gut"),EXACT(metadata!I159,"human-vaginal")))</f>
        <v>0</v>
      </c>
      <c r="AK159" t="b">
        <f>IF(metadata!J159="",FALSE,ISNUMBER(VALUE(metadata!J159)))</f>
        <v>0</v>
      </c>
      <c r="AL159" t="b">
        <f>AND(IF(metadata!K159="",FALSE,TRUE),EXACT(metadata!K159,"cm"))</f>
        <v>0</v>
      </c>
      <c r="AM159" t="b">
        <f>AND(IF(metadata!L159="",FALSE,TRUE),EXACT(metadata!L159,"human"))</f>
        <v>0</v>
      </c>
      <c r="AN159" t="b">
        <f>AND(IF(metadata!M159="",FALSE,TRUE),EXACT(metadata!M159,"Homo sapiens"))</f>
        <v>0</v>
      </c>
      <c r="AO159" t="b">
        <f>AND(IF(metadata!N159="",FALSE,TRUE),EXACT(metadata!N159,"9606"))</f>
        <v>0</v>
      </c>
      <c r="AP159" t="b">
        <f>IF(metadata!O159="",FALSE,TRUE)</f>
        <v>0</v>
      </c>
      <c r="AQ159" t="b">
        <f>IF(metadata!P159="",FALSE,TRUE)</f>
        <v>0</v>
      </c>
      <c r="AR159" t="b">
        <f>IF(metadata!Q159="",FALSE,ISNUMBER(VALUE(metadata!Q159)))</f>
        <v>0</v>
      </c>
      <c r="AS159" t="b">
        <f>AND(IF(metadata!R159="",FALSE,TRUE),EXACT(metadata!R159,"kg"))</f>
        <v>0</v>
      </c>
    </row>
    <row r="160" spans="1:45" x14ac:dyDescent="0.2">
      <c r="A160" s="5" t="str">
        <f ca="1">IF(B160=" "," ",HYPERLINK(CONCATENATE("#metadata!",ADDRESS(INDEX($X$2:$X$1001,MATCH(ROWS($V$2:V160),$V$2:$V$1001,0),0),1)),INDEX($AA$2:$AA$1001,MATCH(ROWS($V$2:V160),$V$2:$V$1001,0),0)))</f>
        <v xml:space="preserve"> </v>
      </c>
      <c r="B160" s="4" t="str">
        <f ca="1">IF(OR(INDEX($W$2:$W$1001,MATCH(ROWS($V$2:V160),$V$2:$V$1001,0),1)&gt;=100000,INDEX($AC$1005:$AS$1005,1,MATCH(COLUMNS($AC$1006:AC1006),$AC$1006:$AS$1006,0))&gt;=100000), " ",IF(INDEX($AC$2:$AS$1001,MATCH(ROWS($V$2:V160),$V$2:$V$1001,0),MATCH(COLUMNS($AC$1006:AC1006),$AC$1006:$AS$1006,0)), HYPERLINK("#",""), HYPERLINK(CONCATENATE("#metadata!", ADDRESS(INDEX($X$2:$X$1001,MATCH(ROWS($V$2:V160),$V$2:$V$1001,0),0), INDEX($AC$1004:$AS$1004,1,MATCH(COLUMNS($AC$1006:AC1006),$AC$1006:$AS$1006,0)))),"Fix")))</f>
        <v xml:space="preserve"> </v>
      </c>
      <c r="C160" s="4" t="str">
        <f ca="1">IF(OR(INDEX($W$2:$W$1001,MATCH(ROWS($V$2:V160),$V$2:$V$1001,0),1)&gt;=100000,INDEX($AC$1005:$AS$1005,1,MATCH(COLUMNS($AC$1006:AD1006),$AC$1006:$AS$1006,0))&gt;=100000), " ",IF(INDEX($AC$2:$AS$1001,MATCH(ROWS($V$2:V160),$V$2:$V$1001,0),MATCH(COLUMNS($AC$1006:AD1006),$AC$1006:$AS$1006,0)), HYPERLINK("#",""), HYPERLINK(CONCATENATE("#metadata!", ADDRESS(INDEX($X$2:$X$1001,MATCH(ROWS($V$2:V160),$V$2:$V$1001,0),0), INDEX($AC$1004:$AS$1004,1,MATCH(COLUMNS($AC$1006:AD1006),$AC$1006:$AS$1006,0)))),"Fix")))</f>
        <v xml:space="preserve"> </v>
      </c>
      <c r="D160" s="4" t="str">
        <f ca="1">IF(OR(INDEX($W$2:$W$1001,MATCH(ROWS($V$2:V160),$V$2:$V$1001,0),1)&gt;=100000,INDEX($AC$1005:$AS$1005,1,MATCH(COLUMNS($AC$1006:AE1006),$AC$1006:$AS$1006,0))&gt;=100000), " ",IF(INDEX($AC$2:$AS$1001,MATCH(ROWS($V$2:V160),$V$2:$V$1001,0),MATCH(COLUMNS($AC$1006:AE1006),$AC$1006:$AS$1006,0)), HYPERLINK("#",""), HYPERLINK(CONCATENATE("#metadata!", ADDRESS(INDEX($X$2:$X$1001,MATCH(ROWS($V$2:V160),$V$2:$V$1001,0),0), INDEX($AC$1004:$AS$1004,1,MATCH(COLUMNS($AC$1006:AE1006),$AC$1006:$AS$1006,0)))),"Fix")))</f>
        <v xml:space="preserve"> </v>
      </c>
      <c r="E160" s="4" t="str">
        <f ca="1">IF(OR(INDEX($W$2:$W$1001,MATCH(ROWS($V$2:V160),$V$2:$V$1001,0),1)&gt;=100000,INDEX($AC$1005:$AS$1005,1,MATCH(COLUMNS($AC$1006:AF1006),$AC$1006:$AS$1006,0))&gt;=100000), " ",IF(INDEX($AC$2:$AS$1001,MATCH(ROWS($V$2:V160),$V$2:$V$1001,0),MATCH(COLUMNS($AC$1006:AF1006),$AC$1006:$AS$1006,0)), HYPERLINK("#",""), HYPERLINK(CONCATENATE("#metadata!", ADDRESS(INDEX($X$2:$X$1001,MATCH(ROWS($V$2:V160),$V$2:$V$1001,0),0), INDEX($AC$1004:$AS$1004,1,MATCH(COLUMNS($AC$1006:AF1006),$AC$1006:$AS$1006,0)))),"Fix")))</f>
        <v xml:space="preserve"> </v>
      </c>
      <c r="F160" s="4" t="str">
        <f ca="1">IF(OR(INDEX($W$2:$W$1001,MATCH(ROWS($V$2:V160),$V$2:$V$1001,0),1)&gt;=100000,INDEX($AC$1005:$AS$1005,1,MATCH(COLUMNS($AC$1006:AG1006),$AC$1006:$AS$1006,0))&gt;=100000), " ",IF(INDEX($AC$2:$AS$1001,MATCH(ROWS($V$2:V160),$V$2:$V$1001,0),MATCH(COLUMNS($AC$1006:AG1006),$AC$1006:$AS$1006,0)), HYPERLINK("#",""), HYPERLINK(CONCATENATE("#metadata!", ADDRESS(INDEX($X$2:$X$1001,MATCH(ROWS($V$2:V160),$V$2:$V$1001,0),0), INDEX($AC$1004:$AS$1004,1,MATCH(COLUMNS($AC$1006:AG1006),$AC$1006:$AS$1006,0)))),"Fix")))</f>
        <v xml:space="preserve"> </v>
      </c>
      <c r="G160" s="4" t="str">
        <f ca="1">IF(OR(INDEX($W$2:$W$1001,MATCH(ROWS($V$2:V160),$V$2:$V$1001,0),1)&gt;=100000,INDEX($AC$1005:$AS$1005,1,MATCH(COLUMNS($AC$1006:AH1006),$AC$1006:$AS$1006,0))&gt;=100000), " ",IF(INDEX($AC$2:$AS$1001,MATCH(ROWS($V$2:V160),$V$2:$V$1001,0),MATCH(COLUMNS($AC$1006:AH1006),$AC$1006:$AS$1006,0)), HYPERLINK("#",""), HYPERLINK(CONCATENATE("#metadata!", ADDRESS(INDEX($X$2:$X$1001,MATCH(ROWS($V$2:V160),$V$2:$V$1001,0),0), INDEX($AC$1004:$AS$1004,1,MATCH(COLUMNS($AC$1006:AH1006),$AC$1006:$AS$1006,0)))),"Fix")))</f>
        <v xml:space="preserve"> </v>
      </c>
      <c r="H160" s="4" t="str">
        <f ca="1">IF(OR(INDEX($W$2:$W$1001,MATCH(ROWS($V$2:V160),$V$2:$V$1001,0),1)&gt;=100000,INDEX($AC$1005:$AS$1005,1,MATCH(COLUMNS($AC$1006:AI1006),$AC$1006:$AS$1006,0))&gt;=100000), " ",IF(INDEX($AC$2:$AS$1001,MATCH(ROWS($V$2:V160),$V$2:$V$1001,0),MATCH(COLUMNS($AC$1006:AI1006),$AC$1006:$AS$1006,0)), HYPERLINK("#",""), HYPERLINK(CONCATENATE("#metadata!", ADDRESS(INDEX($X$2:$X$1001,MATCH(ROWS($V$2:V160),$V$2:$V$1001,0),0), INDEX($AC$1004:$AS$1004,1,MATCH(COLUMNS($AC$1006:AI1006),$AC$1006:$AS$1006,0)))),"Fix")))</f>
        <v xml:space="preserve"> </v>
      </c>
      <c r="I160" s="4" t="str">
        <f ca="1">IF(OR(INDEX($W$2:$W$1001,MATCH(ROWS($V$2:V160),$V$2:$V$1001,0),1)&gt;=100000,INDEX($AC$1005:$AS$1005,1,MATCH(COLUMNS($AC$1006:AJ1006),$AC$1006:$AS$1006,0))&gt;=100000), " ",IF(INDEX($AC$2:$AS$1001,MATCH(ROWS($V$2:V160),$V$2:$V$1001,0),MATCH(COLUMNS($AC$1006:AJ1006),$AC$1006:$AS$1006,0)), HYPERLINK("#",""), HYPERLINK(CONCATENATE("#metadata!", ADDRESS(INDEX($X$2:$X$1001,MATCH(ROWS($V$2:V160),$V$2:$V$1001,0),0), INDEX($AC$1004:$AS$1004,1,MATCH(COLUMNS($AC$1006:AJ1006),$AC$1006:$AS$1006,0)))),"Fix")))</f>
        <v xml:space="preserve"> </v>
      </c>
      <c r="J160" s="4" t="str">
        <f ca="1">IF(OR(INDEX($W$2:$W$1001,MATCH(ROWS($V$2:V160),$V$2:$V$1001,0),1)&gt;=100000,INDEX($AC$1005:$AS$1005,1,MATCH(COLUMNS($AC$1006:AK1006),$AC$1006:$AS$1006,0))&gt;=100000), " ",IF(INDEX($AC$2:$AS$1001,MATCH(ROWS($V$2:V160),$V$2:$V$1001,0),MATCH(COLUMNS($AC$1006:AK1006),$AC$1006:$AS$1006,0)), HYPERLINK("#",""), HYPERLINK(CONCATENATE("#metadata!", ADDRESS(INDEX($X$2:$X$1001,MATCH(ROWS($V$2:V160),$V$2:$V$1001,0),0), INDEX($AC$1004:$AS$1004,1,MATCH(COLUMNS($AC$1006:AK1006),$AC$1006:$AS$1006,0)))),"Fix")))</f>
        <v xml:space="preserve"> </v>
      </c>
      <c r="K160" s="4" t="str">
        <f ca="1">IF(OR(INDEX($W$2:$W$1001,MATCH(ROWS($V$2:V160),$V$2:$V$1001,0),1)&gt;=100000,INDEX($AC$1005:$AS$1005,1,MATCH(COLUMNS($AC$1006:AL1006),$AC$1006:$AS$1006,0))&gt;=100000), " ",IF(INDEX($AC$2:$AS$1001,MATCH(ROWS($V$2:V160),$V$2:$V$1001,0),MATCH(COLUMNS($AC$1006:AL1006),$AC$1006:$AS$1006,0)), HYPERLINK("#",""), HYPERLINK(CONCATENATE("#metadata!", ADDRESS(INDEX($X$2:$X$1001,MATCH(ROWS($V$2:V160),$V$2:$V$1001,0),0), INDEX($AC$1004:$AS$1004,1,MATCH(COLUMNS($AC$1006:AL1006),$AC$1006:$AS$1006,0)))),"Fix")))</f>
        <v xml:space="preserve"> </v>
      </c>
      <c r="L160" s="4" t="str">
        <f ca="1">IF(OR(INDEX($W$2:$W$1001,MATCH(ROWS($V$2:V160),$V$2:$V$1001,0),1)&gt;=100000,INDEX($AC$1005:$AS$1005,1,MATCH(COLUMNS($AC$1006:AM1006),$AC$1006:$AS$1006,0))&gt;=100000), " ",IF(INDEX($AC$2:$AS$1001,MATCH(ROWS($V$2:V160),$V$2:$V$1001,0),MATCH(COLUMNS($AC$1006:AM1006),$AC$1006:$AS$1006,0)), HYPERLINK("#",""), HYPERLINK(CONCATENATE("#metadata!", ADDRESS(INDEX($X$2:$X$1001,MATCH(ROWS($V$2:V160),$V$2:$V$1001,0),0), INDEX($AC$1004:$AS$1004,1,MATCH(COLUMNS($AC$1006:AM1006),$AC$1006:$AS$1006,0)))),"Fix")))</f>
        <v xml:space="preserve"> </v>
      </c>
      <c r="M160" s="4" t="str">
        <f ca="1">IF(OR(INDEX($W$2:$W$1001,MATCH(ROWS($V$2:V160),$V$2:$V$1001,0),1)&gt;=100000,INDEX($AC$1005:$AS$1005,1,MATCH(COLUMNS($AC$1006:AN1006),$AC$1006:$AS$1006,0))&gt;=100000), " ",IF(INDEX($AC$2:$AS$1001,MATCH(ROWS($V$2:V160),$V$2:$V$1001,0),MATCH(COLUMNS($AC$1006:AN1006),$AC$1006:$AS$1006,0)), HYPERLINK("#",""), HYPERLINK(CONCATENATE("#metadata!", ADDRESS(INDEX($X$2:$X$1001,MATCH(ROWS($V$2:V160),$V$2:$V$1001,0),0), INDEX($AC$1004:$AS$1004,1,MATCH(COLUMNS($AC$1006:AN1006),$AC$1006:$AS$1006,0)))),"Fix")))</f>
        <v xml:space="preserve"> </v>
      </c>
      <c r="N160" s="4" t="str">
        <f ca="1">IF(OR(INDEX($W$2:$W$1001,MATCH(ROWS($V$2:V160),$V$2:$V$1001,0),1)&gt;=100000,INDEX($AC$1005:$AS$1005,1,MATCH(COLUMNS($AC$1006:AO1006),$AC$1006:$AS$1006,0))&gt;=100000), " ",IF(INDEX($AC$2:$AS$1001,MATCH(ROWS($V$2:V160),$V$2:$V$1001,0),MATCH(COLUMNS($AC$1006:AO1006),$AC$1006:$AS$1006,0)), HYPERLINK("#",""), HYPERLINK(CONCATENATE("#metadata!", ADDRESS(INDEX($X$2:$X$1001,MATCH(ROWS($V$2:V160),$V$2:$V$1001,0),0), INDEX($AC$1004:$AS$1004,1,MATCH(COLUMNS($AC$1006:AO1006),$AC$1006:$AS$1006,0)))),"Fix")))</f>
        <v xml:space="preserve"> </v>
      </c>
      <c r="O160" s="4" t="str">
        <f ca="1">IF(OR(INDEX($W$2:$W$1001,MATCH(ROWS($V$2:V160),$V$2:$V$1001,0),1)&gt;=100000,INDEX($AC$1005:$AS$1005,1,MATCH(COLUMNS($AC$1006:AP1006),$AC$1006:$AS$1006,0))&gt;=100000), " ",IF(INDEX($AC$2:$AS$1001,MATCH(ROWS($V$2:V160),$V$2:$V$1001,0),MATCH(COLUMNS($AC$1006:AP1006),$AC$1006:$AS$1006,0)), HYPERLINK("#",""), HYPERLINK(CONCATENATE("#metadata!", ADDRESS(INDEX($X$2:$X$1001,MATCH(ROWS($V$2:V160),$V$2:$V$1001,0),0), INDEX($AC$1004:$AS$1004,1,MATCH(COLUMNS($AC$1006:AP1006),$AC$1006:$AS$1006,0)))),"Fix")))</f>
        <v xml:space="preserve"> </v>
      </c>
      <c r="P160" s="4" t="str">
        <f ca="1">IF(OR(INDEX($W$2:$W$1001,MATCH(ROWS($V$2:V160),$V$2:$V$1001,0),1)&gt;=100000,INDEX($AC$1005:$AS$1005,1,MATCH(COLUMNS($AC$1006:AQ1006),$AC$1006:$AS$1006,0))&gt;=100000), " ",IF(INDEX($AC$2:$AS$1001,MATCH(ROWS($V$2:V160),$V$2:$V$1001,0),MATCH(COLUMNS($AC$1006:AQ1006),$AC$1006:$AS$1006,0)), HYPERLINK("#",""), HYPERLINK(CONCATENATE("#metadata!", ADDRESS(INDEX($X$2:$X$1001,MATCH(ROWS($V$2:V160),$V$2:$V$1001,0),0), INDEX($AC$1004:$AS$1004,1,MATCH(COLUMNS($AC$1006:AQ1006),$AC$1006:$AS$1006,0)))),"Fix")))</f>
        <v xml:space="preserve"> </v>
      </c>
      <c r="Q160" s="4" t="str">
        <f ca="1">IF(OR(INDEX($W$2:$W$1001,MATCH(ROWS($V$2:V160),$V$2:$V$1001,0),1)&gt;=100000,INDEX($AC$1005:$AS$1005,1,MATCH(COLUMNS($AC$1006:AR1006),$AC$1006:$AS$1006,0))&gt;=100000), " ",IF(INDEX($AC$2:$AS$1001,MATCH(ROWS($V$2:V160),$V$2:$V$1001,0),MATCH(COLUMNS($AC$1006:AR1006),$AC$1006:$AS$1006,0)), HYPERLINK("#",""), HYPERLINK(CONCATENATE("#metadata!", ADDRESS(INDEX($X$2:$X$1001,MATCH(ROWS($V$2:V160),$V$2:$V$1001,0),0), INDEX($AC$1004:$AS$1004,1,MATCH(COLUMNS($AC$1006:AR1006),$AC$1006:$AS$1006,0)))),"Fix")))</f>
        <v xml:space="preserve"> </v>
      </c>
      <c r="R160" s="4" t="str">
        <f ca="1">IF(OR(INDEX($W$2:$W$1001,MATCH(ROWS($V$2:V160),$V$2:$V$1001,0),1)&gt;=100000,INDEX($AC$1005:$AS$1005,1,MATCH(COLUMNS($AC$1006:AS1006),$AC$1006:$AS$1006,0))&gt;=100000), " ",IF(INDEX($AC$2:$AS$1001,MATCH(ROWS($V$2:V160),$V$2:$V$1001,0),MATCH(COLUMNS($AC$1006:AS1006),$AC$1006:$AS$1006,0)), HYPERLINK("#",""), HYPERLINK(CONCATENATE("#metadata!", ADDRESS(INDEX($X$2:$X$1001,MATCH(ROWS($V$2:V160),$V$2:$V$1001,0),0), INDEX($AC$1004:$AS$1004,1,MATCH(COLUMNS($AC$1006:AS1006),$AC$1006:$AS$1006,0)))),"Fix")))</f>
        <v xml:space="preserve"> </v>
      </c>
      <c r="V160">
        <v>159</v>
      </c>
      <c r="W160">
        <v>100160</v>
      </c>
      <c r="X160">
        <v>160</v>
      </c>
      <c r="Y160" t="b">
        <f t="shared" si="2"/>
        <v>1</v>
      </c>
      <c r="Z160" t="b">
        <f>COUNTBLANK(metadata!B160:R160)=COLUMNS(metadata!B160:R160)</f>
        <v>1</v>
      </c>
      <c r="AA160" t="str">
        <v/>
      </c>
      <c r="AC160" t="b">
        <f ca="1"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AD160" t="b">
        <f>IF(metadata!C160="",FALSE,ISNUMBER(VALUE(metadata!C160)))</f>
        <v>0</v>
      </c>
      <c r="AE160" t="b">
        <f>AND(IF(metadata!D160="",FALSE,TRUE),EXACT(metadata!D160,"years"))</f>
        <v>0</v>
      </c>
      <c r="AF160" t="b">
        <f>OR(AND(IF(metadata!E160="",FALSE,TRUE),OR(EXACT(metadata!E160,"not applicable"),EXACT(metadata!E160,"missing: not collected"),EXACT(metadata!E160,"missing: not provided"),EXACT(metadata!E160,"missing: restricted access"))),AND(IF(metadata!E160="",FALSE,ISNUMBER(VALUE(metadata!E160))),metadata!E160&gt;0))</f>
        <v>0</v>
      </c>
      <c r="AG160" t="b">
        <f>AND(IF(metadata!F160="",FALSE,TRUE),EXACT(metadata!F160,"Not applicable"))</f>
        <v>0</v>
      </c>
      <c r="AH160" t="b">
        <f>AND(IF(metadata!G160="",FALSE,TRUE),EXACT(metadata!G160,"urban biome"))</f>
        <v>0</v>
      </c>
      <c r="AI160" t="b">
        <f>AND(IF(metadata!H160="",FALSE,TRUE),EXACT(metadata!H160,"human-associated habitat"))</f>
        <v>0</v>
      </c>
      <c r="AJ160" t="b">
        <f>AND(IF(metadata!I160="",FALSE,TRUE),OR(EXACT(metadata!I160,"human-associated"),EXACT(metadata!I160,"human-skin"),EXACT(metadata!I160,"human-oral"),EXACT(metadata!I160,"human-gut"),EXACT(metadata!I160,"human-vaginal")))</f>
        <v>0</v>
      </c>
      <c r="AK160" t="b">
        <f>IF(metadata!J160="",FALSE,ISNUMBER(VALUE(metadata!J160)))</f>
        <v>0</v>
      </c>
      <c r="AL160" t="b">
        <f>AND(IF(metadata!K160="",FALSE,TRUE),EXACT(metadata!K160,"cm"))</f>
        <v>0</v>
      </c>
      <c r="AM160" t="b">
        <f>AND(IF(metadata!L160="",FALSE,TRUE),EXACT(metadata!L160,"human"))</f>
        <v>0</v>
      </c>
      <c r="AN160" t="b">
        <f>AND(IF(metadata!M160="",FALSE,TRUE),EXACT(metadata!M160,"Homo sapiens"))</f>
        <v>0</v>
      </c>
      <c r="AO160" t="b">
        <f>AND(IF(metadata!N160="",FALSE,TRUE),EXACT(metadata!N160,"9606"))</f>
        <v>0</v>
      </c>
      <c r="AP160" t="b">
        <f>IF(metadata!O160="",FALSE,TRUE)</f>
        <v>0</v>
      </c>
      <c r="AQ160" t="b">
        <f>IF(metadata!P160="",FALSE,TRUE)</f>
        <v>0</v>
      </c>
      <c r="AR160" t="b">
        <f>IF(metadata!Q160="",FALSE,ISNUMBER(VALUE(metadata!Q160)))</f>
        <v>0</v>
      </c>
      <c r="AS160" t="b">
        <f>AND(IF(metadata!R160="",FALSE,TRUE),EXACT(metadata!R160,"kg"))</f>
        <v>0</v>
      </c>
    </row>
    <row r="161" spans="1:45" x14ac:dyDescent="0.2">
      <c r="A161" s="5" t="str">
        <f ca="1">IF(B161=" "," ",HYPERLINK(CONCATENATE("#metadata!",ADDRESS(INDEX($X$2:$X$1001,MATCH(ROWS($V$2:V161),$V$2:$V$1001,0),0),1)),INDEX($AA$2:$AA$1001,MATCH(ROWS($V$2:V161),$V$2:$V$1001,0),0)))</f>
        <v xml:space="preserve"> </v>
      </c>
      <c r="B161" s="4" t="str">
        <f ca="1">IF(OR(INDEX($W$2:$W$1001,MATCH(ROWS($V$2:V161),$V$2:$V$1001,0),1)&gt;=100000,INDEX($AC$1005:$AS$1005,1,MATCH(COLUMNS($AC$1006:AC1006),$AC$1006:$AS$1006,0))&gt;=100000), " ",IF(INDEX($AC$2:$AS$1001,MATCH(ROWS($V$2:V161),$V$2:$V$1001,0),MATCH(COLUMNS($AC$1006:AC1006),$AC$1006:$AS$1006,0)), HYPERLINK("#",""), HYPERLINK(CONCATENATE("#metadata!", ADDRESS(INDEX($X$2:$X$1001,MATCH(ROWS($V$2:V161),$V$2:$V$1001,0),0), INDEX($AC$1004:$AS$1004,1,MATCH(COLUMNS($AC$1006:AC1006),$AC$1006:$AS$1006,0)))),"Fix")))</f>
        <v xml:space="preserve"> </v>
      </c>
      <c r="C161" s="4" t="str">
        <f ca="1">IF(OR(INDEX($W$2:$W$1001,MATCH(ROWS($V$2:V161),$V$2:$V$1001,0),1)&gt;=100000,INDEX($AC$1005:$AS$1005,1,MATCH(COLUMNS($AC$1006:AD1006),$AC$1006:$AS$1006,0))&gt;=100000), " ",IF(INDEX($AC$2:$AS$1001,MATCH(ROWS($V$2:V161),$V$2:$V$1001,0),MATCH(COLUMNS($AC$1006:AD1006),$AC$1006:$AS$1006,0)), HYPERLINK("#",""), HYPERLINK(CONCATENATE("#metadata!", ADDRESS(INDEX($X$2:$X$1001,MATCH(ROWS($V$2:V161),$V$2:$V$1001,0),0), INDEX($AC$1004:$AS$1004,1,MATCH(COLUMNS($AC$1006:AD1006),$AC$1006:$AS$1006,0)))),"Fix")))</f>
        <v xml:space="preserve"> </v>
      </c>
      <c r="D161" s="4" t="str">
        <f ca="1">IF(OR(INDEX($W$2:$W$1001,MATCH(ROWS($V$2:V161),$V$2:$V$1001,0),1)&gt;=100000,INDEX($AC$1005:$AS$1005,1,MATCH(COLUMNS($AC$1006:AE1006),$AC$1006:$AS$1006,0))&gt;=100000), " ",IF(INDEX($AC$2:$AS$1001,MATCH(ROWS($V$2:V161),$V$2:$V$1001,0),MATCH(COLUMNS($AC$1006:AE1006),$AC$1006:$AS$1006,0)), HYPERLINK("#",""), HYPERLINK(CONCATENATE("#metadata!", ADDRESS(INDEX($X$2:$X$1001,MATCH(ROWS($V$2:V161),$V$2:$V$1001,0),0), INDEX($AC$1004:$AS$1004,1,MATCH(COLUMNS($AC$1006:AE1006),$AC$1006:$AS$1006,0)))),"Fix")))</f>
        <v xml:space="preserve"> </v>
      </c>
      <c r="E161" s="4" t="str">
        <f ca="1">IF(OR(INDEX($W$2:$W$1001,MATCH(ROWS($V$2:V161),$V$2:$V$1001,0),1)&gt;=100000,INDEX($AC$1005:$AS$1005,1,MATCH(COLUMNS($AC$1006:AF1006),$AC$1006:$AS$1006,0))&gt;=100000), " ",IF(INDEX($AC$2:$AS$1001,MATCH(ROWS($V$2:V161),$V$2:$V$1001,0),MATCH(COLUMNS($AC$1006:AF1006),$AC$1006:$AS$1006,0)), HYPERLINK("#",""), HYPERLINK(CONCATENATE("#metadata!", ADDRESS(INDEX($X$2:$X$1001,MATCH(ROWS($V$2:V161),$V$2:$V$1001,0),0), INDEX($AC$1004:$AS$1004,1,MATCH(COLUMNS($AC$1006:AF1006),$AC$1006:$AS$1006,0)))),"Fix")))</f>
        <v xml:space="preserve"> </v>
      </c>
      <c r="F161" s="4" t="str">
        <f ca="1">IF(OR(INDEX($W$2:$W$1001,MATCH(ROWS($V$2:V161),$V$2:$V$1001,0),1)&gt;=100000,INDEX($AC$1005:$AS$1005,1,MATCH(COLUMNS($AC$1006:AG1006),$AC$1006:$AS$1006,0))&gt;=100000), " ",IF(INDEX($AC$2:$AS$1001,MATCH(ROWS($V$2:V161),$V$2:$V$1001,0),MATCH(COLUMNS($AC$1006:AG1006),$AC$1006:$AS$1006,0)), HYPERLINK("#",""), HYPERLINK(CONCATENATE("#metadata!", ADDRESS(INDEX($X$2:$X$1001,MATCH(ROWS($V$2:V161),$V$2:$V$1001,0),0), INDEX($AC$1004:$AS$1004,1,MATCH(COLUMNS($AC$1006:AG1006),$AC$1006:$AS$1006,0)))),"Fix")))</f>
        <v xml:space="preserve"> </v>
      </c>
      <c r="G161" s="4" t="str">
        <f ca="1">IF(OR(INDEX($W$2:$W$1001,MATCH(ROWS($V$2:V161),$V$2:$V$1001,0),1)&gt;=100000,INDEX($AC$1005:$AS$1005,1,MATCH(COLUMNS($AC$1006:AH1006),$AC$1006:$AS$1006,0))&gt;=100000), " ",IF(INDEX($AC$2:$AS$1001,MATCH(ROWS($V$2:V161),$V$2:$V$1001,0),MATCH(COLUMNS($AC$1006:AH1006),$AC$1006:$AS$1006,0)), HYPERLINK("#",""), HYPERLINK(CONCATENATE("#metadata!", ADDRESS(INDEX($X$2:$X$1001,MATCH(ROWS($V$2:V161),$V$2:$V$1001,0),0), INDEX($AC$1004:$AS$1004,1,MATCH(COLUMNS($AC$1006:AH1006),$AC$1006:$AS$1006,0)))),"Fix")))</f>
        <v xml:space="preserve"> </v>
      </c>
      <c r="H161" s="4" t="str">
        <f ca="1">IF(OR(INDEX($W$2:$W$1001,MATCH(ROWS($V$2:V161),$V$2:$V$1001,0),1)&gt;=100000,INDEX($AC$1005:$AS$1005,1,MATCH(COLUMNS($AC$1006:AI1006),$AC$1006:$AS$1006,0))&gt;=100000), " ",IF(INDEX($AC$2:$AS$1001,MATCH(ROWS($V$2:V161),$V$2:$V$1001,0),MATCH(COLUMNS($AC$1006:AI1006),$AC$1006:$AS$1006,0)), HYPERLINK("#",""), HYPERLINK(CONCATENATE("#metadata!", ADDRESS(INDEX($X$2:$X$1001,MATCH(ROWS($V$2:V161),$V$2:$V$1001,0),0), INDEX($AC$1004:$AS$1004,1,MATCH(COLUMNS($AC$1006:AI1006),$AC$1006:$AS$1006,0)))),"Fix")))</f>
        <v xml:space="preserve"> </v>
      </c>
      <c r="I161" s="4" t="str">
        <f ca="1">IF(OR(INDEX($W$2:$W$1001,MATCH(ROWS($V$2:V161),$V$2:$V$1001,0),1)&gt;=100000,INDEX($AC$1005:$AS$1005,1,MATCH(COLUMNS($AC$1006:AJ1006),$AC$1006:$AS$1006,0))&gt;=100000), " ",IF(INDEX($AC$2:$AS$1001,MATCH(ROWS($V$2:V161),$V$2:$V$1001,0),MATCH(COLUMNS($AC$1006:AJ1006),$AC$1006:$AS$1006,0)), HYPERLINK("#",""), HYPERLINK(CONCATENATE("#metadata!", ADDRESS(INDEX($X$2:$X$1001,MATCH(ROWS($V$2:V161),$V$2:$V$1001,0),0), INDEX($AC$1004:$AS$1004,1,MATCH(COLUMNS($AC$1006:AJ1006),$AC$1006:$AS$1006,0)))),"Fix")))</f>
        <v xml:space="preserve"> </v>
      </c>
      <c r="J161" s="4" t="str">
        <f ca="1">IF(OR(INDEX($W$2:$W$1001,MATCH(ROWS($V$2:V161),$V$2:$V$1001,0),1)&gt;=100000,INDEX($AC$1005:$AS$1005,1,MATCH(COLUMNS($AC$1006:AK1006),$AC$1006:$AS$1006,0))&gt;=100000), " ",IF(INDEX($AC$2:$AS$1001,MATCH(ROWS($V$2:V161),$V$2:$V$1001,0),MATCH(COLUMNS($AC$1006:AK1006),$AC$1006:$AS$1006,0)), HYPERLINK("#",""), HYPERLINK(CONCATENATE("#metadata!", ADDRESS(INDEX($X$2:$X$1001,MATCH(ROWS($V$2:V161),$V$2:$V$1001,0),0), INDEX($AC$1004:$AS$1004,1,MATCH(COLUMNS($AC$1006:AK1006),$AC$1006:$AS$1006,0)))),"Fix")))</f>
        <v xml:space="preserve"> </v>
      </c>
      <c r="K161" s="4" t="str">
        <f ca="1">IF(OR(INDEX($W$2:$W$1001,MATCH(ROWS($V$2:V161),$V$2:$V$1001,0),1)&gt;=100000,INDEX($AC$1005:$AS$1005,1,MATCH(COLUMNS($AC$1006:AL1006),$AC$1006:$AS$1006,0))&gt;=100000), " ",IF(INDEX($AC$2:$AS$1001,MATCH(ROWS($V$2:V161),$V$2:$V$1001,0),MATCH(COLUMNS($AC$1006:AL1006),$AC$1006:$AS$1006,0)), HYPERLINK("#",""), HYPERLINK(CONCATENATE("#metadata!", ADDRESS(INDEX($X$2:$X$1001,MATCH(ROWS($V$2:V161),$V$2:$V$1001,0),0), INDEX($AC$1004:$AS$1004,1,MATCH(COLUMNS($AC$1006:AL1006),$AC$1006:$AS$1006,0)))),"Fix")))</f>
        <v xml:space="preserve"> </v>
      </c>
      <c r="L161" s="4" t="str">
        <f ca="1">IF(OR(INDEX($W$2:$W$1001,MATCH(ROWS($V$2:V161),$V$2:$V$1001,0),1)&gt;=100000,INDEX($AC$1005:$AS$1005,1,MATCH(COLUMNS($AC$1006:AM1006),$AC$1006:$AS$1006,0))&gt;=100000), " ",IF(INDEX($AC$2:$AS$1001,MATCH(ROWS($V$2:V161),$V$2:$V$1001,0),MATCH(COLUMNS($AC$1006:AM1006),$AC$1006:$AS$1006,0)), HYPERLINK("#",""), HYPERLINK(CONCATENATE("#metadata!", ADDRESS(INDEX($X$2:$X$1001,MATCH(ROWS($V$2:V161),$V$2:$V$1001,0),0), INDEX($AC$1004:$AS$1004,1,MATCH(COLUMNS($AC$1006:AM1006),$AC$1006:$AS$1006,0)))),"Fix")))</f>
        <v xml:space="preserve"> </v>
      </c>
      <c r="M161" s="4" t="str">
        <f ca="1">IF(OR(INDEX($W$2:$W$1001,MATCH(ROWS($V$2:V161),$V$2:$V$1001,0),1)&gt;=100000,INDEX($AC$1005:$AS$1005,1,MATCH(COLUMNS($AC$1006:AN1006),$AC$1006:$AS$1006,0))&gt;=100000), " ",IF(INDEX($AC$2:$AS$1001,MATCH(ROWS($V$2:V161),$V$2:$V$1001,0),MATCH(COLUMNS($AC$1006:AN1006),$AC$1006:$AS$1006,0)), HYPERLINK("#",""), HYPERLINK(CONCATENATE("#metadata!", ADDRESS(INDEX($X$2:$X$1001,MATCH(ROWS($V$2:V161),$V$2:$V$1001,0),0), INDEX($AC$1004:$AS$1004,1,MATCH(COLUMNS($AC$1006:AN1006),$AC$1006:$AS$1006,0)))),"Fix")))</f>
        <v xml:space="preserve"> </v>
      </c>
      <c r="N161" s="4" t="str">
        <f ca="1">IF(OR(INDEX($W$2:$W$1001,MATCH(ROWS($V$2:V161),$V$2:$V$1001,0),1)&gt;=100000,INDEX($AC$1005:$AS$1005,1,MATCH(COLUMNS($AC$1006:AO1006),$AC$1006:$AS$1006,0))&gt;=100000), " ",IF(INDEX($AC$2:$AS$1001,MATCH(ROWS($V$2:V161),$V$2:$V$1001,0),MATCH(COLUMNS($AC$1006:AO1006),$AC$1006:$AS$1006,0)), HYPERLINK("#",""), HYPERLINK(CONCATENATE("#metadata!", ADDRESS(INDEX($X$2:$X$1001,MATCH(ROWS($V$2:V161),$V$2:$V$1001,0),0), INDEX($AC$1004:$AS$1004,1,MATCH(COLUMNS($AC$1006:AO1006),$AC$1006:$AS$1006,0)))),"Fix")))</f>
        <v xml:space="preserve"> </v>
      </c>
      <c r="O161" s="4" t="str">
        <f ca="1">IF(OR(INDEX($W$2:$W$1001,MATCH(ROWS($V$2:V161),$V$2:$V$1001,0),1)&gt;=100000,INDEX($AC$1005:$AS$1005,1,MATCH(COLUMNS($AC$1006:AP1006),$AC$1006:$AS$1006,0))&gt;=100000), " ",IF(INDEX($AC$2:$AS$1001,MATCH(ROWS($V$2:V161),$V$2:$V$1001,0),MATCH(COLUMNS($AC$1006:AP1006),$AC$1006:$AS$1006,0)), HYPERLINK("#",""), HYPERLINK(CONCATENATE("#metadata!", ADDRESS(INDEX($X$2:$X$1001,MATCH(ROWS($V$2:V161),$V$2:$V$1001,0),0), INDEX($AC$1004:$AS$1004,1,MATCH(COLUMNS($AC$1006:AP1006),$AC$1006:$AS$1006,0)))),"Fix")))</f>
        <v xml:space="preserve"> </v>
      </c>
      <c r="P161" s="4" t="str">
        <f ca="1">IF(OR(INDEX($W$2:$W$1001,MATCH(ROWS($V$2:V161),$V$2:$V$1001,0),1)&gt;=100000,INDEX($AC$1005:$AS$1005,1,MATCH(COLUMNS($AC$1006:AQ1006),$AC$1006:$AS$1006,0))&gt;=100000), " ",IF(INDEX($AC$2:$AS$1001,MATCH(ROWS($V$2:V161),$V$2:$V$1001,0),MATCH(COLUMNS($AC$1006:AQ1006),$AC$1006:$AS$1006,0)), HYPERLINK("#",""), HYPERLINK(CONCATENATE("#metadata!", ADDRESS(INDEX($X$2:$X$1001,MATCH(ROWS($V$2:V161),$V$2:$V$1001,0),0), INDEX($AC$1004:$AS$1004,1,MATCH(COLUMNS($AC$1006:AQ1006),$AC$1006:$AS$1006,0)))),"Fix")))</f>
        <v xml:space="preserve"> </v>
      </c>
      <c r="Q161" s="4" t="str">
        <f ca="1">IF(OR(INDEX($W$2:$W$1001,MATCH(ROWS($V$2:V161),$V$2:$V$1001,0),1)&gt;=100000,INDEX($AC$1005:$AS$1005,1,MATCH(COLUMNS($AC$1006:AR1006),$AC$1006:$AS$1006,0))&gt;=100000), " ",IF(INDEX($AC$2:$AS$1001,MATCH(ROWS($V$2:V161),$V$2:$V$1001,0),MATCH(COLUMNS($AC$1006:AR1006),$AC$1006:$AS$1006,0)), HYPERLINK("#",""), HYPERLINK(CONCATENATE("#metadata!", ADDRESS(INDEX($X$2:$X$1001,MATCH(ROWS($V$2:V161),$V$2:$V$1001,0),0), INDEX($AC$1004:$AS$1004,1,MATCH(COLUMNS($AC$1006:AR1006),$AC$1006:$AS$1006,0)))),"Fix")))</f>
        <v xml:space="preserve"> </v>
      </c>
      <c r="R161" s="4" t="str">
        <f ca="1">IF(OR(INDEX($W$2:$W$1001,MATCH(ROWS($V$2:V161),$V$2:$V$1001,0),1)&gt;=100000,INDEX($AC$1005:$AS$1005,1,MATCH(COLUMNS($AC$1006:AS1006),$AC$1006:$AS$1006,0))&gt;=100000), " ",IF(INDEX($AC$2:$AS$1001,MATCH(ROWS($V$2:V161),$V$2:$V$1001,0),MATCH(COLUMNS($AC$1006:AS1006),$AC$1006:$AS$1006,0)), HYPERLINK("#",""), HYPERLINK(CONCATENATE("#metadata!", ADDRESS(INDEX($X$2:$X$1001,MATCH(ROWS($V$2:V161),$V$2:$V$1001,0),0), INDEX($AC$1004:$AS$1004,1,MATCH(COLUMNS($AC$1006:AS1006),$AC$1006:$AS$1006,0)))),"Fix")))</f>
        <v xml:space="preserve"> </v>
      </c>
      <c r="V161">
        <v>160</v>
      </c>
      <c r="W161">
        <v>100161</v>
      </c>
      <c r="X161">
        <v>161</v>
      </c>
      <c r="Y161" t="b">
        <f t="shared" si="2"/>
        <v>1</v>
      </c>
      <c r="Z161" t="b">
        <f>COUNTBLANK(metadata!B161:R161)=COLUMNS(metadata!B161:R161)</f>
        <v>1</v>
      </c>
      <c r="AA161" t="str">
        <v/>
      </c>
      <c r="AC161" t="b">
        <f ca="1"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AD161" t="b">
        <f>IF(metadata!C161="",FALSE,ISNUMBER(VALUE(metadata!C161)))</f>
        <v>0</v>
      </c>
      <c r="AE161" t="b">
        <f>AND(IF(metadata!D161="",FALSE,TRUE),EXACT(metadata!D161,"years"))</f>
        <v>0</v>
      </c>
      <c r="AF161" t="b">
        <f>OR(AND(IF(metadata!E161="",FALSE,TRUE),OR(EXACT(metadata!E161,"not applicable"),EXACT(metadata!E161,"missing: not collected"),EXACT(metadata!E161,"missing: not provided"),EXACT(metadata!E161,"missing: restricted access"))),AND(IF(metadata!E161="",FALSE,ISNUMBER(VALUE(metadata!E161))),metadata!E161&gt;0))</f>
        <v>0</v>
      </c>
      <c r="AG161" t="b">
        <f>AND(IF(metadata!F161="",FALSE,TRUE),EXACT(metadata!F161,"Not applicable"))</f>
        <v>0</v>
      </c>
      <c r="AH161" t="b">
        <f>AND(IF(metadata!G161="",FALSE,TRUE),EXACT(metadata!G161,"urban biome"))</f>
        <v>0</v>
      </c>
      <c r="AI161" t="b">
        <f>AND(IF(metadata!H161="",FALSE,TRUE),EXACT(metadata!H161,"human-associated habitat"))</f>
        <v>0</v>
      </c>
      <c r="AJ161" t="b">
        <f>AND(IF(metadata!I161="",FALSE,TRUE),OR(EXACT(metadata!I161,"human-associated"),EXACT(metadata!I161,"human-skin"),EXACT(metadata!I161,"human-oral"),EXACT(metadata!I161,"human-gut"),EXACT(metadata!I161,"human-vaginal")))</f>
        <v>0</v>
      </c>
      <c r="AK161" t="b">
        <f>IF(metadata!J161="",FALSE,ISNUMBER(VALUE(metadata!J161)))</f>
        <v>0</v>
      </c>
      <c r="AL161" t="b">
        <f>AND(IF(metadata!K161="",FALSE,TRUE),EXACT(metadata!K161,"cm"))</f>
        <v>0</v>
      </c>
      <c r="AM161" t="b">
        <f>AND(IF(metadata!L161="",FALSE,TRUE),EXACT(metadata!L161,"human"))</f>
        <v>0</v>
      </c>
      <c r="AN161" t="b">
        <f>AND(IF(metadata!M161="",FALSE,TRUE),EXACT(metadata!M161,"Homo sapiens"))</f>
        <v>0</v>
      </c>
      <c r="AO161" t="b">
        <f>AND(IF(metadata!N161="",FALSE,TRUE),EXACT(metadata!N161,"9606"))</f>
        <v>0</v>
      </c>
      <c r="AP161" t="b">
        <f>IF(metadata!O161="",FALSE,TRUE)</f>
        <v>0</v>
      </c>
      <c r="AQ161" t="b">
        <f>IF(metadata!P161="",FALSE,TRUE)</f>
        <v>0</v>
      </c>
      <c r="AR161" t="b">
        <f>IF(metadata!Q161="",FALSE,ISNUMBER(VALUE(metadata!Q161)))</f>
        <v>0</v>
      </c>
      <c r="AS161" t="b">
        <f>AND(IF(metadata!R161="",FALSE,TRUE),EXACT(metadata!R161,"kg"))</f>
        <v>0</v>
      </c>
    </row>
    <row r="162" spans="1:45" x14ac:dyDescent="0.2">
      <c r="A162" s="5" t="str">
        <f ca="1">IF(B162=" "," ",HYPERLINK(CONCATENATE("#metadata!",ADDRESS(INDEX($X$2:$X$1001,MATCH(ROWS($V$2:V162),$V$2:$V$1001,0),0),1)),INDEX($AA$2:$AA$1001,MATCH(ROWS($V$2:V162),$V$2:$V$1001,0),0)))</f>
        <v xml:space="preserve"> </v>
      </c>
      <c r="B162" s="4" t="str">
        <f ca="1">IF(OR(INDEX($W$2:$W$1001,MATCH(ROWS($V$2:V162),$V$2:$V$1001,0),1)&gt;=100000,INDEX($AC$1005:$AS$1005,1,MATCH(COLUMNS($AC$1006:AC1006),$AC$1006:$AS$1006,0))&gt;=100000), " ",IF(INDEX($AC$2:$AS$1001,MATCH(ROWS($V$2:V162),$V$2:$V$1001,0),MATCH(COLUMNS($AC$1006:AC1006),$AC$1006:$AS$1006,0)), HYPERLINK("#",""), HYPERLINK(CONCATENATE("#metadata!", ADDRESS(INDEX($X$2:$X$1001,MATCH(ROWS($V$2:V162),$V$2:$V$1001,0),0), INDEX($AC$1004:$AS$1004,1,MATCH(COLUMNS($AC$1006:AC1006),$AC$1006:$AS$1006,0)))),"Fix")))</f>
        <v xml:space="preserve"> </v>
      </c>
      <c r="C162" s="4" t="str">
        <f ca="1">IF(OR(INDEX($W$2:$W$1001,MATCH(ROWS($V$2:V162),$V$2:$V$1001,0),1)&gt;=100000,INDEX($AC$1005:$AS$1005,1,MATCH(COLUMNS($AC$1006:AD1006),$AC$1006:$AS$1006,0))&gt;=100000), " ",IF(INDEX($AC$2:$AS$1001,MATCH(ROWS($V$2:V162),$V$2:$V$1001,0),MATCH(COLUMNS($AC$1006:AD1006),$AC$1006:$AS$1006,0)), HYPERLINK("#",""), HYPERLINK(CONCATENATE("#metadata!", ADDRESS(INDEX($X$2:$X$1001,MATCH(ROWS($V$2:V162),$V$2:$V$1001,0),0), INDEX($AC$1004:$AS$1004,1,MATCH(COLUMNS($AC$1006:AD1006),$AC$1006:$AS$1006,0)))),"Fix")))</f>
        <v xml:space="preserve"> </v>
      </c>
      <c r="D162" s="4" t="str">
        <f ca="1">IF(OR(INDEX($W$2:$W$1001,MATCH(ROWS($V$2:V162),$V$2:$V$1001,0),1)&gt;=100000,INDEX($AC$1005:$AS$1005,1,MATCH(COLUMNS($AC$1006:AE1006),$AC$1006:$AS$1006,0))&gt;=100000), " ",IF(INDEX($AC$2:$AS$1001,MATCH(ROWS($V$2:V162),$V$2:$V$1001,0),MATCH(COLUMNS($AC$1006:AE1006),$AC$1006:$AS$1006,0)), HYPERLINK("#",""), HYPERLINK(CONCATENATE("#metadata!", ADDRESS(INDEX($X$2:$X$1001,MATCH(ROWS($V$2:V162),$V$2:$V$1001,0),0), INDEX($AC$1004:$AS$1004,1,MATCH(COLUMNS($AC$1006:AE1006),$AC$1006:$AS$1006,0)))),"Fix")))</f>
        <v xml:space="preserve"> </v>
      </c>
      <c r="E162" s="4" t="str">
        <f ca="1">IF(OR(INDEX($W$2:$W$1001,MATCH(ROWS($V$2:V162),$V$2:$V$1001,0),1)&gt;=100000,INDEX($AC$1005:$AS$1005,1,MATCH(COLUMNS($AC$1006:AF1006),$AC$1006:$AS$1006,0))&gt;=100000), " ",IF(INDEX($AC$2:$AS$1001,MATCH(ROWS($V$2:V162),$V$2:$V$1001,0),MATCH(COLUMNS($AC$1006:AF1006),$AC$1006:$AS$1006,0)), HYPERLINK("#",""), HYPERLINK(CONCATENATE("#metadata!", ADDRESS(INDEX($X$2:$X$1001,MATCH(ROWS($V$2:V162),$V$2:$V$1001,0),0), INDEX($AC$1004:$AS$1004,1,MATCH(COLUMNS($AC$1006:AF1006),$AC$1006:$AS$1006,0)))),"Fix")))</f>
        <v xml:space="preserve"> </v>
      </c>
      <c r="F162" s="4" t="str">
        <f ca="1">IF(OR(INDEX($W$2:$W$1001,MATCH(ROWS($V$2:V162),$V$2:$V$1001,0),1)&gt;=100000,INDEX($AC$1005:$AS$1005,1,MATCH(COLUMNS($AC$1006:AG1006),$AC$1006:$AS$1006,0))&gt;=100000), " ",IF(INDEX($AC$2:$AS$1001,MATCH(ROWS($V$2:V162),$V$2:$V$1001,0),MATCH(COLUMNS($AC$1006:AG1006),$AC$1006:$AS$1006,0)), HYPERLINK("#",""), HYPERLINK(CONCATENATE("#metadata!", ADDRESS(INDEX($X$2:$X$1001,MATCH(ROWS($V$2:V162),$V$2:$V$1001,0),0), INDEX($AC$1004:$AS$1004,1,MATCH(COLUMNS($AC$1006:AG1006),$AC$1006:$AS$1006,0)))),"Fix")))</f>
        <v xml:space="preserve"> </v>
      </c>
      <c r="G162" s="4" t="str">
        <f ca="1">IF(OR(INDEX($W$2:$W$1001,MATCH(ROWS($V$2:V162),$V$2:$V$1001,0),1)&gt;=100000,INDEX($AC$1005:$AS$1005,1,MATCH(COLUMNS($AC$1006:AH1006),$AC$1006:$AS$1006,0))&gt;=100000), " ",IF(INDEX($AC$2:$AS$1001,MATCH(ROWS($V$2:V162),$V$2:$V$1001,0),MATCH(COLUMNS($AC$1006:AH1006),$AC$1006:$AS$1006,0)), HYPERLINK("#",""), HYPERLINK(CONCATENATE("#metadata!", ADDRESS(INDEX($X$2:$X$1001,MATCH(ROWS($V$2:V162),$V$2:$V$1001,0),0), INDEX($AC$1004:$AS$1004,1,MATCH(COLUMNS($AC$1006:AH1006),$AC$1006:$AS$1006,0)))),"Fix")))</f>
        <v xml:space="preserve"> </v>
      </c>
      <c r="H162" s="4" t="str">
        <f ca="1">IF(OR(INDEX($W$2:$W$1001,MATCH(ROWS($V$2:V162),$V$2:$V$1001,0),1)&gt;=100000,INDEX($AC$1005:$AS$1005,1,MATCH(COLUMNS($AC$1006:AI1006),$AC$1006:$AS$1006,0))&gt;=100000), " ",IF(INDEX($AC$2:$AS$1001,MATCH(ROWS($V$2:V162),$V$2:$V$1001,0),MATCH(COLUMNS($AC$1006:AI1006),$AC$1006:$AS$1006,0)), HYPERLINK("#",""), HYPERLINK(CONCATENATE("#metadata!", ADDRESS(INDEX($X$2:$X$1001,MATCH(ROWS($V$2:V162),$V$2:$V$1001,0),0), INDEX($AC$1004:$AS$1004,1,MATCH(COLUMNS($AC$1006:AI1006),$AC$1006:$AS$1006,0)))),"Fix")))</f>
        <v xml:space="preserve"> </v>
      </c>
      <c r="I162" s="4" t="str">
        <f ca="1">IF(OR(INDEX($W$2:$W$1001,MATCH(ROWS($V$2:V162),$V$2:$V$1001,0),1)&gt;=100000,INDEX($AC$1005:$AS$1005,1,MATCH(COLUMNS($AC$1006:AJ1006),$AC$1006:$AS$1006,0))&gt;=100000), " ",IF(INDEX($AC$2:$AS$1001,MATCH(ROWS($V$2:V162),$V$2:$V$1001,0),MATCH(COLUMNS($AC$1006:AJ1006),$AC$1006:$AS$1006,0)), HYPERLINK("#",""), HYPERLINK(CONCATENATE("#metadata!", ADDRESS(INDEX($X$2:$X$1001,MATCH(ROWS($V$2:V162),$V$2:$V$1001,0),0), INDEX($AC$1004:$AS$1004,1,MATCH(COLUMNS($AC$1006:AJ1006),$AC$1006:$AS$1006,0)))),"Fix")))</f>
        <v xml:space="preserve"> </v>
      </c>
      <c r="J162" s="4" t="str">
        <f ca="1">IF(OR(INDEX($W$2:$W$1001,MATCH(ROWS($V$2:V162),$V$2:$V$1001,0),1)&gt;=100000,INDEX($AC$1005:$AS$1005,1,MATCH(COLUMNS($AC$1006:AK1006),$AC$1006:$AS$1006,0))&gt;=100000), " ",IF(INDEX($AC$2:$AS$1001,MATCH(ROWS($V$2:V162),$V$2:$V$1001,0),MATCH(COLUMNS($AC$1006:AK1006),$AC$1006:$AS$1006,0)), HYPERLINK("#",""), HYPERLINK(CONCATENATE("#metadata!", ADDRESS(INDEX($X$2:$X$1001,MATCH(ROWS($V$2:V162),$V$2:$V$1001,0),0), INDEX($AC$1004:$AS$1004,1,MATCH(COLUMNS($AC$1006:AK1006),$AC$1006:$AS$1006,0)))),"Fix")))</f>
        <v xml:space="preserve"> </v>
      </c>
      <c r="K162" s="4" t="str">
        <f ca="1">IF(OR(INDEX($W$2:$W$1001,MATCH(ROWS($V$2:V162),$V$2:$V$1001,0),1)&gt;=100000,INDEX($AC$1005:$AS$1005,1,MATCH(COLUMNS($AC$1006:AL1006),$AC$1006:$AS$1006,0))&gt;=100000), " ",IF(INDEX($AC$2:$AS$1001,MATCH(ROWS($V$2:V162),$V$2:$V$1001,0),MATCH(COLUMNS($AC$1006:AL1006),$AC$1006:$AS$1006,0)), HYPERLINK("#",""), HYPERLINK(CONCATENATE("#metadata!", ADDRESS(INDEX($X$2:$X$1001,MATCH(ROWS($V$2:V162),$V$2:$V$1001,0),0), INDEX($AC$1004:$AS$1004,1,MATCH(COLUMNS($AC$1006:AL1006),$AC$1006:$AS$1006,0)))),"Fix")))</f>
        <v xml:space="preserve"> </v>
      </c>
      <c r="L162" s="4" t="str">
        <f ca="1">IF(OR(INDEX($W$2:$W$1001,MATCH(ROWS($V$2:V162),$V$2:$V$1001,0),1)&gt;=100000,INDEX($AC$1005:$AS$1005,1,MATCH(COLUMNS($AC$1006:AM1006),$AC$1006:$AS$1006,0))&gt;=100000), " ",IF(INDEX($AC$2:$AS$1001,MATCH(ROWS($V$2:V162),$V$2:$V$1001,0),MATCH(COLUMNS($AC$1006:AM1006),$AC$1006:$AS$1006,0)), HYPERLINK("#",""), HYPERLINK(CONCATENATE("#metadata!", ADDRESS(INDEX($X$2:$X$1001,MATCH(ROWS($V$2:V162),$V$2:$V$1001,0),0), INDEX($AC$1004:$AS$1004,1,MATCH(COLUMNS($AC$1006:AM1006),$AC$1006:$AS$1006,0)))),"Fix")))</f>
        <v xml:space="preserve"> </v>
      </c>
      <c r="M162" s="4" t="str">
        <f ca="1">IF(OR(INDEX($W$2:$W$1001,MATCH(ROWS($V$2:V162),$V$2:$V$1001,0),1)&gt;=100000,INDEX($AC$1005:$AS$1005,1,MATCH(COLUMNS($AC$1006:AN1006),$AC$1006:$AS$1006,0))&gt;=100000), " ",IF(INDEX($AC$2:$AS$1001,MATCH(ROWS($V$2:V162),$V$2:$V$1001,0),MATCH(COLUMNS($AC$1006:AN1006),$AC$1006:$AS$1006,0)), HYPERLINK("#",""), HYPERLINK(CONCATENATE("#metadata!", ADDRESS(INDEX($X$2:$X$1001,MATCH(ROWS($V$2:V162),$V$2:$V$1001,0),0), INDEX($AC$1004:$AS$1004,1,MATCH(COLUMNS($AC$1006:AN1006),$AC$1006:$AS$1006,0)))),"Fix")))</f>
        <v xml:space="preserve"> </v>
      </c>
      <c r="N162" s="4" t="str">
        <f ca="1">IF(OR(INDEX($W$2:$W$1001,MATCH(ROWS($V$2:V162),$V$2:$V$1001,0),1)&gt;=100000,INDEX($AC$1005:$AS$1005,1,MATCH(COLUMNS($AC$1006:AO1006),$AC$1006:$AS$1006,0))&gt;=100000), " ",IF(INDEX($AC$2:$AS$1001,MATCH(ROWS($V$2:V162),$V$2:$V$1001,0),MATCH(COLUMNS($AC$1006:AO1006),$AC$1006:$AS$1006,0)), HYPERLINK("#",""), HYPERLINK(CONCATENATE("#metadata!", ADDRESS(INDEX($X$2:$X$1001,MATCH(ROWS($V$2:V162),$V$2:$V$1001,0),0), INDEX($AC$1004:$AS$1004,1,MATCH(COLUMNS($AC$1006:AO1006),$AC$1006:$AS$1006,0)))),"Fix")))</f>
        <v xml:space="preserve"> </v>
      </c>
      <c r="O162" s="4" t="str">
        <f ca="1">IF(OR(INDEX($W$2:$W$1001,MATCH(ROWS($V$2:V162),$V$2:$V$1001,0),1)&gt;=100000,INDEX($AC$1005:$AS$1005,1,MATCH(COLUMNS($AC$1006:AP1006),$AC$1006:$AS$1006,0))&gt;=100000), " ",IF(INDEX($AC$2:$AS$1001,MATCH(ROWS($V$2:V162),$V$2:$V$1001,0),MATCH(COLUMNS($AC$1006:AP1006),$AC$1006:$AS$1006,0)), HYPERLINK("#",""), HYPERLINK(CONCATENATE("#metadata!", ADDRESS(INDEX($X$2:$X$1001,MATCH(ROWS($V$2:V162),$V$2:$V$1001,0),0), INDEX($AC$1004:$AS$1004,1,MATCH(COLUMNS($AC$1006:AP1006),$AC$1006:$AS$1006,0)))),"Fix")))</f>
        <v xml:space="preserve"> </v>
      </c>
      <c r="P162" s="4" t="str">
        <f ca="1">IF(OR(INDEX($W$2:$W$1001,MATCH(ROWS($V$2:V162),$V$2:$V$1001,0),1)&gt;=100000,INDEX($AC$1005:$AS$1005,1,MATCH(COLUMNS($AC$1006:AQ1006),$AC$1006:$AS$1006,0))&gt;=100000), " ",IF(INDEX($AC$2:$AS$1001,MATCH(ROWS($V$2:V162),$V$2:$V$1001,0),MATCH(COLUMNS($AC$1006:AQ1006),$AC$1006:$AS$1006,0)), HYPERLINK("#",""), HYPERLINK(CONCATENATE("#metadata!", ADDRESS(INDEX($X$2:$X$1001,MATCH(ROWS($V$2:V162),$V$2:$V$1001,0),0), INDEX($AC$1004:$AS$1004,1,MATCH(COLUMNS($AC$1006:AQ1006),$AC$1006:$AS$1006,0)))),"Fix")))</f>
        <v xml:space="preserve"> </v>
      </c>
      <c r="Q162" s="4" t="str">
        <f ca="1">IF(OR(INDEX($W$2:$W$1001,MATCH(ROWS($V$2:V162),$V$2:$V$1001,0),1)&gt;=100000,INDEX($AC$1005:$AS$1005,1,MATCH(COLUMNS($AC$1006:AR1006),$AC$1006:$AS$1006,0))&gt;=100000), " ",IF(INDEX($AC$2:$AS$1001,MATCH(ROWS($V$2:V162),$V$2:$V$1001,0),MATCH(COLUMNS($AC$1006:AR1006),$AC$1006:$AS$1006,0)), HYPERLINK("#",""), HYPERLINK(CONCATENATE("#metadata!", ADDRESS(INDEX($X$2:$X$1001,MATCH(ROWS($V$2:V162),$V$2:$V$1001,0),0), INDEX($AC$1004:$AS$1004,1,MATCH(COLUMNS($AC$1006:AR1006),$AC$1006:$AS$1006,0)))),"Fix")))</f>
        <v xml:space="preserve"> </v>
      </c>
      <c r="R162" s="4" t="str">
        <f ca="1">IF(OR(INDEX($W$2:$W$1001,MATCH(ROWS($V$2:V162),$V$2:$V$1001,0),1)&gt;=100000,INDEX($AC$1005:$AS$1005,1,MATCH(COLUMNS($AC$1006:AS1006),$AC$1006:$AS$1006,0))&gt;=100000), " ",IF(INDEX($AC$2:$AS$1001,MATCH(ROWS($V$2:V162),$V$2:$V$1001,0),MATCH(COLUMNS($AC$1006:AS1006),$AC$1006:$AS$1006,0)), HYPERLINK("#",""), HYPERLINK(CONCATENATE("#metadata!", ADDRESS(INDEX($X$2:$X$1001,MATCH(ROWS($V$2:V162),$V$2:$V$1001,0),0), INDEX($AC$1004:$AS$1004,1,MATCH(COLUMNS($AC$1006:AS1006),$AC$1006:$AS$1006,0)))),"Fix")))</f>
        <v xml:space="preserve"> </v>
      </c>
      <c r="V162">
        <v>161</v>
      </c>
      <c r="W162">
        <v>100162</v>
      </c>
      <c r="X162">
        <v>162</v>
      </c>
      <c r="Y162" t="b">
        <f t="shared" si="2"/>
        <v>1</v>
      </c>
      <c r="Z162" t="b">
        <f>COUNTBLANK(metadata!B162:R162)=COLUMNS(metadata!B162:R162)</f>
        <v>1</v>
      </c>
      <c r="AA162" t="str">
        <v/>
      </c>
      <c r="AC162" t="b">
        <f ca="1"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AD162" t="b">
        <f>IF(metadata!C162="",FALSE,ISNUMBER(VALUE(metadata!C162)))</f>
        <v>0</v>
      </c>
      <c r="AE162" t="b">
        <f>AND(IF(metadata!D162="",FALSE,TRUE),EXACT(metadata!D162,"years"))</f>
        <v>0</v>
      </c>
      <c r="AF162" t="b">
        <f>OR(AND(IF(metadata!E162="",FALSE,TRUE),OR(EXACT(metadata!E162,"not applicable"),EXACT(metadata!E162,"missing: not collected"),EXACT(metadata!E162,"missing: not provided"),EXACT(metadata!E162,"missing: restricted access"))),AND(IF(metadata!E162="",FALSE,ISNUMBER(VALUE(metadata!E162))),metadata!E162&gt;0))</f>
        <v>0</v>
      </c>
      <c r="AG162" t="b">
        <f>AND(IF(metadata!F162="",FALSE,TRUE),EXACT(metadata!F162,"Not applicable"))</f>
        <v>0</v>
      </c>
      <c r="AH162" t="b">
        <f>AND(IF(metadata!G162="",FALSE,TRUE),EXACT(metadata!G162,"urban biome"))</f>
        <v>0</v>
      </c>
      <c r="AI162" t="b">
        <f>AND(IF(metadata!H162="",FALSE,TRUE),EXACT(metadata!H162,"human-associated habitat"))</f>
        <v>0</v>
      </c>
      <c r="AJ162" t="b">
        <f>AND(IF(metadata!I162="",FALSE,TRUE),OR(EXACT(metadata!I162,"human-associated"),EXACT(metadata!I162,"human-skin"),EXACT(metadata!I162,"human-oral"),EXACT(metadata!I162,"human-gut"),EXACT(metadata!I162,"human-vaginal")))</f>
        <v>0</v>
      </c>
      <c r="AK162" t="b">
        <f>IF(metadata!J162="",FALSE,ISNUMBER(VALUE(metadata!J162)))</f>
        <v>0</v>
      </c>
      <c r="AL162" t="b">
        <f>AND(IF(metadata!K162="",FALSE,TRUE),EXACT(metadata!K162,"cm"))</f>
        <v>0</v>
      </c>
      <c r="AM162" t="b">
        <f>AND(IF(metadata!L162="",FALSE,TRUE),EXACT(metadata!L162,"human"))</f>
        <v>0</v>
      </c>
      <c r="AN162" t="b">
        <f>AND(IF(metadata!M162="",FALSE,TRUE),EXACT(metadata!M162,"Homo sapiens"))</f>
        <v>0</v>
      </c>
      <c r="AO162" t="b">
        <f>AND(IF(metadata!N162="",FALSE,TRUE),EXACT(metadata!N162,"9606"))</f>
        <v>0</v>
      </c>
      <c r="AP162" t="b">
        <f>IF(metadata!O162="",FALSE,TRUE)</f>
        <v>0</v>
      </c>
      <c r="AQ162" t="b">
        <f>IF(metadata!P162="",FALSE,TRUE)</f>
        <v>0</v>
      </c>
      <c r="AR162" t="b">
        <f>IF(metadata!Q162="",FALSE,ISNUMBER(VALUE(metadata!Q162)))</f>
        <v>0</v>
      </c>
      <c r="AS162" t="b">
        <f>AND(IF(metadata!R162="",FALSE,TRUE),EXACT(metadata!R162,"kg"))</f>
        <v>0</v>
      </c>
    </row>
    <row r="163" spans="1:45" x14ac:dyDescent="0.2">
      <c r="A163" s="5" t="str">
        <f ca="1">IF(B163=" "," ",HYPERLINK(CONCATENATE("#metadata!",ADDRESS(INDEX($X$2:$X$1001,MATCH(ROWS($V$2:V163),$V$2:$V$1001,0),0),1)),INDEX($AA$2:$AA$1001,MATCH(ROWS($V$2:V163),$V$2:$V$1001,0),0)))</f>
        <v xml:space="preserve"> </v>
      </c>
      <c r="B163" s="4" t="str">
        <f ca="1">IF(OR(INDEX($W$2:$W$1001,MATCH(ROWS($V$2:V163),$V$2:$V$1001,0),1)&gt;=100000,INDEX($AC$1005:$AS$1005,1,MATCH(COLUMNS($AC$1006:AC1006),$AC$1006:$AS$1006,0))&gt;=100000), " ",IF(INDEX($AC$2:$AS$1001,MATCH(ROWS($V$2:V163),$V$2:$V$1001,0),MATCH(COLUMNS($AC$1006:AC1006),$AC$1006:$AS$1006,0)), HYPERLINK("#",""), HYPERLINK(CONCATENATE("#metadata!", ADDRESS(INDEX($X$2:$X$1001,MATCH(ROWS($V$2:V163),$V$2:$V$1001,0),0), INDEX($AC$1004:$AS$1004,1,MATCH(COLUMNS($AC$1006:AC1006),$AC$1006:$AS$1006,0)))),"Fix")))</f>
        <v xml:space="preserve"> </v>
      </c>
      <c r="C163" s="4" t="str">
        <f ca="1">IF(OR(INDEX($W$2:$W$1001,MATCH(ROWS($V$2:V163),$V$2:$V$1001,0),1)&gt;=100000,INDEX($AC$1005:$AS$1005,1,MATCH(COLUMNS($AC$1006:AD1006),$AC$1006:$AS$1006,0))&gt;=100000), " ",IF(INDEX($AC$2:$AS$1001,MATCH(ROWS($V$2:V163),$V$2:$V$1001,0),MATCH(COLUMNS($AC$1006:AD1006),$AC$1006:$AS$1006,0)), HYPERLINK("#",""), HYPERLINK(CONCATENATE("#metadata!", ADDRESS(INDEX($X$2:$X$1001,MATCH(ROWS($V$2:V163),$V$2:$V$1001,0),0), INDEX($AC$1004:$AS$1004,1,MATCH(COLUMNS($AC$1006:AD1006),$AC$1006:$AS$1006,0)))),"Fix")))</f>
        <v xml:space="preserve"> </v>
      </c>
      <c r="D163" s="4" t="str">
        <f ca="1">IF(OR(INDEX($W$2:$W$1001,MATCH(ROWS($V$2:V163),$V$2:$V$1001,0),1)&gt;=100000,INDEX($AC$1005:$AS$1005,1,MATCH(COLUMNS($AC$1006:AE1006),$AC$1006:$AS$1006,0))&gt;=100000), " ",IF(INDEX($AC$2:$AS$1001,MATCH(ROWS($V$2:V163),$V$2:$V$1001,0),MATCH(COLUMNS($AC$1006:AE1006),$AC$1006:$AS$1006,0)), HYPERLINK("#",""), HYPERLINK(CONCATENATE("#metadata!", ADDRESS(INDEX($X$2:$X$1001,MATCH(ROWS($V$2:V163),$V$2:$V$1001,0),0), INDEX($AC$1004:$AS$1004,1,MATCH(COLUMNS($AC$1006:AE1006),$AC$1006:$AS$1006,0)))),"Fix")))</f>
        <v xml:space="preserve"> </v>
      </c>
      <c r="E163" s="4" t="str">
        <f ca="1">IF(OR(INDEX($W$2:$W$1001,MATCH(ROWS($V$2:V163),$V$2:$V$1001,0),1)&gt;=100000,INDEX($AC$1005:$AS$1005,1,MATCH(COLUMNS($AC$1006:AF1006),$AC$1006:$AS$1006,0))&gt;=100000), " ",IF(INDEX($AC$2:$AS$1001,MATCH(ROWS($V$2:V163),$V$2:$V$1001,0),MATCH(COLUMNS($AC$1006:AF1006),$AC$1006:$AS$1006,0)), HYPERLINK("#",""), HYPERLINK(CONCATENATE("#metadata!", ADDRESS(INDEX($X$2:$X$1001,MATCH(ROWS($V$2:V163),$V$2:$V$1001,0),0), INDEX($AC$1004:$AS$1004,1,MATCH(COLUMNS($AC$1006:AF1006),$AC$1006:$AS$1006,0)))),"Fix")))</f>
        <v xml:space="preserve"> </v>
      </c>
      <c r="F163" s="4" t="str">
        <f ca="1">IF(OR(INDEX($W$2:$W$1001,MATCH(ROWS($V$2:V163),$V$2:$V$1001,0),1)&gt;=100000,INDEX($AC$1005:$AS$1005,1,MATCH(COLUMNS($AC$1006:AG1006),$AC$1006:$AS$1006,0))&gt;=100000), " ",IF(INDEX($AC$2:$AS$1001,MATCH(ROWS($V$2:V163),$V$2:$V$1001,0),MATCH(COLUMNS($AC$1006:AG1006),$AC$1006:$AS$1006,0)), HYPERLINK("#",""), HYPERLINK(CONCATENATE("#metadata!", ADDRESS(INDEX($X$2:$X$1001,MATCH(ROWS($V$2:V163),$V$2:$V$1001,0),0), INDEX($AC$1004:$AS$1004,1,MATCH(COLUMNS($AC$1006:AG1006),$AC$1006:$AS$1006,0)))),"Fix")))</f>
        <v xml:space="preserve"> </v>
      </c>
      <c r="G163" s="4" t="str">
        <f ca="1">IF(OR(INDEX($W$2:$W$1001,MATCH(ROWS($V$2:V163),$V$2:$V$1001,0),1)&gt;=100000,INDEX($AC$1005:$AS$1005,1,MATCH(COLUMNS($AC$1006:AH1006),$AC$1006:$AS$1006,0))&gt;=100000), " ",IF(INDEX($AC$2:$AS$1001,MATCH(ROWS($V$2:V163),$V$2:$V$1001,0),MATCH(COLUMNS($AC$1006:AH1006),$AC$1006:$AS$1006,0)), HYPERLINK("#",""), HYPERLINK(CONCATENATE("#metadata!", ADDRESS(INDEX($X$2:$X$1001,MATCH(ROWS($V$2:V163),$V$2:$V$1001,0),0), INDEX($AC$1004:$AS$1004,1,MATCH(COLUMNS($AC$1006:AH1006),$AC$1006:$AS$1006,0)))),"Fix")))</f>
        <v xml:space="preserve"> </v>
      </c>
      <c r="H163" s="4" t="str">
        <f ca="1">IF(OR(INDEX($W$2:$W$1001,MATCH(ROWS($V$2:V163),$V$2:$V$1001,0),1)&gt;=100000,INDEX($AC$1005:$AS$1005,1,MATCH(COLUMNS($AC$1006:AI1006),$AC$1006:$AS$1006,0))&gt;=100000), " ",IF(INDEX($AC$2:$AS$1001,MATCH(ROWS($V$2:V163),$V$2:$V$1001,0),MATCH(COLUMNS($AC$1006:AI1006),$AC$1006:$AS$1006,0)), HYPERLINK("#",""), HYPERLINK(CONCATENATE("#metadata!", ADDRESS(INDEX($X$2:$X$1001,MATCH(ROWS($V$2:V163),$V$2:$V$1001,0),0), INDEX($AC$1004:$AS$1004,1,MATCH(COLUMNS($AC$1006:AI1006),$AC$1006:$AS$1006,0)))),"Fix")))</f>
        <v xml:space="preserve"> </v>
      </c>
      <c r="I163" s="4" t="str">
        <f ca="1">IF(OR(INDEX($W$2:$W$1001,MATCH(ROWS($V$2:V163),$V$2:$V$1001,0),1)&gt;=100000,INDEX($AC$1005:$AS$1005,1,MATCH(COLUMNS($AC$1006:AJ1006),$AC$1006:$AS$1006,0))&gt;=100000), " ",IF(INDEX($AC$2:$AS$1001,MATCH(ROWS($V$2:V163),$V$2:$V$1001,0),MATCH(COLUMNS($AC$1006:AJ1006),$AC$1006:$AS$1006,0)), HYPERLINK("#",""), HYPERLINK(CONCATENATE("#metadata!", ADDRESS(INDEX($X$2:$X$1001,MATCH(ROWS($V$2:V163),$V$2:$V$1001,0),0), INDEX($AC$1004:$AS$1004,1,MATCH(COLUMNS($AC$1006:AJ1006),$AC$1006:$AS$1006,0)))),"Fix")))</f>
        <v xml:space="preserve"> </v>
      </c>
      <c r="J163" s="4" t="str">
        <f ca="1">IF(OR(INDEX($W$2:$W$1001,MATCH(ROWS($V$2:V163),$V$2:$V$1001,0),1)&gt;=100000,INDEX($AC$1005:$AS$1005,1,MATCH(COLUMNS($AC$1006:AK1006),$AC$1006:$AS$1006,0))&gt;=100000), " ",IF(INDEX($AC$2:$AS$1001,MATCH(ROWS($V$2:V163),$V$2:$V$1001,0),MATCH(COLUMNS($AC$1006:AK1006),$AC$1006:$AS$1006,0)), HYPERLINK("#",""), HYPERLINK(CONCATENATE("#metadata!", ADDRESS(INDEX($X$2:$X$1001,MATCH(ROWS($V$2:V163),$V$2:$V$1001,0),0), INDEX($AC$1004:$AS$1004,1,MATCH(COLUMNS($AC$1006:AK1006),$AC$1006:$AS$1006,0)))),"Fix")))</f>
        <v xml:space="preserve"> </v>
      </c>
      <c r="K163" s="4" t="str">
        <f ca="1">IF(OR(INDEX($W$2:$W$1001,MATCH(ROWS($V$2:V163),$V$2:$V$1001,0),1)&gt;=100000,INDEX($AC$1005:$AS$1005,1,MATCH(COLUMNS($AC$1006:AL1006),$AC$1006:$AS$1006,0))&gt;=100000), " ",IF(INDEX($AC$2:$AS$1001,MATCH(ROWS($V$2:V163),$V$2:$V$1001,0),MATCH(COLUMNS($AC$1006:AL1006),$AC$1006:$AS$1006,0)), HYPERLINK("#",""), HYPERLINK(CONCATENATE("#metadata!", ADDRESS(INDEX($X$2:$X$1001,MATCH(ROWS($V$2:V163),$V$2:$V$1001,0),0), INDEX($AC$1004:$AS$1004,1,MATCH(COLUMNS($AC$1006:AL1006),$AC$1006:$AS$1006,0)))),"Fix")))</f>
        <v xml:space="preserve"> </v>
      </c>
      <c r="L163" s="4" t="str">
        <f ca="1">IF(OR(INDEX($W$2:$W$1001,MATCH(ROWS($V$2:V163),$V$2:$V$1001,0),1)&gt;=100000,INDEX($AC$1005:$AS$1005,1,MATCH(COLUMNS($AC$1006:AM1006),$AC$1006:$AS$1006,0))&gt;=100000), " ",IF(INDEX($AC$2:$AS$1001,MATCH(ROWS($V$2:V163),$V$2:$V$1001,0),MATCH(COLUMNS($AC$1006:AM1006),$AC$1006:$AS$1006,0)), HYPERLINK("#",""), HYPERLINK(CONCATENATE("#metadata!", ADDRESS(INDEX($X$2:$X$1001,MATCH(ROWS($V$2:V163),$V$2:$V$1001,0),0), INDEX($AC$1004:$AS$1004,1,MATCH(COLUMNS($AC$1006:AM1006),$AC$1006:$AS$1006,0)))),"Fix")))</f>
        <v xml:space="preserve"> </v>
      </c>
      <c r="M163" s="4" t="str">
        <f ca="1">IF(OR(INDEX($W$2:$W$1001,MATCH(ROWS($V$2:V163),$V$2:$V$1001,0),1)&gt;=100000,INDEX($AC$1005:$AS$1005,1,MATCH(COLUMNS($AC$1006:AN1006),$AC$1006:$AS$1006,0))&gt;=100000), " ",IF(INDEX($AC$2:$AS$1001,MATCH(ROWS($V$2:V163),$V$2:$V$1001,0),MATCH(COLUMNS($AC$1006:AN1006),$AC$1006:$AS$1006,0)), HYPERLINK("#",""), HYPERLINK(CONCATENATE("#metadata!", ADDRESS(INDEX($X$2:$X$1001,MATCH(ROWS($V$2:V163),$V$2:$V$1001,0),0), INDEX($AC$1004:$AS$1004,1,MATCH(COLUMNS($AC$1006:AN1006),$AC$1006:$AS$1006,0)))),"Fix")))</f>
        <v xml:space="preserve"> </v>
      </c>
      <c r="N163" s="4" t="str">
        <f ca="1">IF(OR(INDEX($W$2:$W$1001,MATCH(ROWS($V$2:V163),$V$2:$V$1001,0),1)&gt;=100000,INDEX($AC$1005:$AS$1005,1,MATCH(COLUMNS($AC$1006:AO1006),$AC$1006:$AS$1006,0))&gt;=100000), " ",IF(INDEX($AC$2:$AS$1001,MATCH(ROWS($V$2:V163),$V$2:$V$1001,0),MATCH(COLUMNS($AC$1006:AO1006),$AC$1006:$AS$1006,0)), HYPERLINK("#",""), HYPERLINK(CONCATENATE("#metadata!", ADDRESS(INDEX($X$2:$X$1001,MATCH(ROWS($V$2:V163),$V$2:$V$1001,0),0), INDEX($AC$1004:$AS$1004,1,MATCH(COLUMNS($AC$1006:AO1006),$AC$1006:$AS$1006,0)))),"Fix")))</f>
        <v xml:space="preserve"> </v>
      </c>
      <c r="O163" s="4" t="str">
        <f ca="1">IF(OR(INDEX($W$2:$W$1001,MATCH(ROWS($V$2:V163),$V$2:$V$1001,0),1)&gt;=100000,INDEX($AC$1005:$AS$1005,1,MATCH(COLUMNS($AC$1006:AP1006),$AC$1006:$AS$1006,0))&gt;=100000), " ",IF(INDEX($AC$2:$AS$1001,MATCH(ROWS($V$2:V163),$V$2:$V$1001,0),MATCH(COLUMNS($AC$1006:AP1006),$AC$1006:$AS$1006,0)), HYPERLINK("#",""), HYPERLINK(CONCATENATE("#metadata!", ADDRESS(INDEX($X$2:$X$1001,MATCH(ROWS($V$2:V163),$V$2:$V$1001,0),0), INDEX($AC$1004:$AS$1004,1,MATCH(COLUMNS($AC$1006:AP1006),$AC$1006:$AS$1006,0)))),"Fix")))</f>
        <v xml:space="preserve"> </v>
      </c>
      <c r="P163" s="4" t="str">
        <f ca="1">IF(OR(INDEX($W$2:$W$1001,MATCH(ROWS($V$2:V163),$V$2:$V$1001,0),1)&gt;=100000,INDEX($AC$1005:$AS$1005,1,MATCH(COLUMNS($AC$1006:AQ1006),$AC$1006:$AS$1006,0))&gt;=100000), " ",IF(INDEX($AC$2:$AS$1001,MATCH(ROWS($V$2:V163),$V$2:$V$1001,0),MATCH(COLUMNS($AC$1006:AQ1006),$AC$1006:$AS$1006,0)), HYPERLINK("#",""), HYPERLINK(CONCATENATE("#metadata!", ADDRESS(INDEX($X$2:$X$1001,MATCH(ROWS($V$2:V163),$V$2:$V$1001,0),0), INDEX($AC$1004:$AS$1004,1,MATCH(COLUMNS($AC$1006:AQ1006),$AC$1006:$AS$1006,0)))),"Fix")))</f>
        <v xml:space="preserve"> </v>
      </c>
      <c r="Q163" s="4" t="str">
        <f ca="1">IF(OR(INDEX($W$2:$W$1001,MATCH(ROWS($V$2:V163),$V$2:$V$1001,0),1)&gt;=100000,INDEX($AC$1005:$AS$1005,1,MATCH(COLUMNS($AC$1006:AR1006),$AC$1006:$AS$1006,0))&gt;=100000), " ",IF(INDEX($AC$2:$AS$1001,MATCH(ROWS($V$2:V163),$V$2:$V$1001,0),MATCH(COLUMNS($AC$1006:AR1006),$AC$1006:$AS$1006,0)), HYPERLINK("#",""), HYPERLINK(CONCATENATE("#metadata!", ADDRESS(INDEX($X$2:$X$1001,MATCH(ROWS($V$2:V163),$V$2:$V$1001,0),0), INDEX($AC$1004:$AS$1004,1,MATCH(COLUMNS($AC$1006:AR1006),$AC$1006:$AS$1006,0)))),"Fix")))</f>
        <v xml:space="preserve"> </v>
      </c>
      <c r="R163" s="4" t="str">
        <f ca="1">IF(OR(INDEX($W$2:$W$1001,MATCH(ROWS($V$2:V163),$V$2:$V$1001,0),1)&gt;=100000,INDEX($AC$1005:$AS$1005,1,MATCH(COLUMNS($AC$1006:AS1006),$AC$1006:$AS$1006,0))&gt;=100000), " ",IF(INDEX($AC$2:$AS$1001,MATCH(ROWS($V$2:V163),$V$2:$V$1001,0),MATCH(COLUMNS($AC$1006:AS1006),$AC$1006:$AS$1006,0)), HYPERLINK("#",""), HYPERLINK(CONCATENATE("#metadata!", ADDRESS(INDEX($X$2:$X$1001,MATCH(ROWS($V$2:V163),$V$2:$V$1001,0),0), INDEX($AC$1004:$AS$1004,1,MATCH(COLUMNS($AC$1006:AS1006),$AC$1006:$AS$1006,0)))),"Fix")))</f>
        <v xml:space="preserve"> </v>
      </c>
      <c r="V163">
        <v>162</v>
      </c>
      <c r="W163">
        <v>100163</v>
      </c>
      <c r="X163">
        <v>163</v>
      </c>
      <c r="Y163" t="b">
        <f t="shared" si="2"/>
        <v>1</v>
      </c>
      <c r="Z163" t="b">
        <f>COUNTBLANK(metadata!B163:R163)=COLUMNS(metadata!B163:R163)</f>
        <v>1</v>
      </c>
      <c r="AA163" t="str">
        <v/>
      </c>
      <c r="AC163" t="b">
        <f ca="1"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AD163" t="b">
        <f>IF(metadata!C163="",FALSE,ISNUMBER(VALUE(metadata!C163)))</f>
        <v>0</v>
      </c>
      <c r="AE163" t="b">
        <f>AND(IF(metadata!D163="",FALSE,TRUE),EXACT(metadata!D163,"years"))</f>
        <v>0</v>
      </c>
      <c r="AF163" t="b">
        <f>OR(AND(IF(metadata!E163="",FALSE,TRUE),OR(EXACT(metadata!E163,"not applicable"),EXACT(metadata!E163,"missing: not collected"),EXACT(metadata!E163,"missing: not provided"),EXACT(metadata!E163,"missing: restricted access"))),AND(IF(metadata!E163="",FALSE,ISNUMBER(VALUE(metadata!E163))),metadata!E163&gt;0))</f>
        <v>0</v>
      </c>
      <c r="AG163" t="b">
        <f>AND(IF(metadata!F163="",FALSE,TRUE),EXACT(metadata!F163,"Not applicable"))</f>
        <v>0</v>
      </c>
      <c r="AH163" t="b">
        <f>AND(IF(metadata!G163="",FALSE,TRUE),EXACT(metadata!G163,"urban biome"))</f>
        <v>0</v>
      </c>
      <c r="AI163" t="b">
        <f>AND(IF(metadata!H163="",FALSE,TRUE),EXACT(metadata!H163,"human-associated habitat"))</f>
        <v>0</v>
      </c>
      <c r="AJ163" t="b">
        <f>AND(IF(metadata!I163="",FALSE,TRUE),OR(EXACT(metadata!I163,"human-associated"),EXACT(metadata!I163,"human-skin"),EXACT(metadata!I163,"human-oral"),EXACT(metadata!I163,"human-gut"),EXACT(metadata!I163,"human-vaginal")))</f>
        <v>0</v>
      </c>
      <c r="AK163" t="b">
        <f>IF(metadata!J163="",FALSE,ISNUMBER(VALUE(metadata!J163)))</f>
        <v>0</v>
      </c>
      <c r="AL163" t="b">
        <f>AND(IF(metadata!K163="",FALSE,TRUE),EXACT(metadata!K163,"cm"))</f>
        <v>0</v>
      </c>
      <c r="AM163" t="b">
        <f>AND(IF(metadata!L163="",FALSE,TRUE),EXACT(metadata!L163,"human"))</f>
        <v>0</v>
      </c>
      <c r="AN163" t="b">
        <f>AND(IF(metadata!M163="",FALSE,TRUE),EXACT(metadata!M163,"Homo sapiens"))</f>
        <v>0</v>
      </c>
      <c r="AO163" t="b">
        <f>AND(IF(metadata!N163="",FALSE,TRUE),EXACT(metadata!N163,"9606"))</f>
        <v>0</v>
      </c>
      <c r="AP163" t="b">
        <f>IF(metadata!O163="",FALSE,TRUE)</f>
        <v>0</v>
      </c>
      <c r="AQ163" t="b">
        <f>IF(metadata!P163="",FALSE,TRUE)</f>
        <v>0</v>
      </c>
      <c r="AR163" t="b">
        <f>IF(metadata!Q163="",FALSE,ISNUMBER(VALUE(metadata!Q163)))</f>
        <v>0</v>
      </c>
      <c r="AS163" t="b">
        <f>AND(IF(metadata!R163="",FALSE,TRUE),EXACT(metadata!R163,"kg"))</f>
        <v>0</v>
      </c>
    </row>
    <row r="164" spans="1:45" x14ac:dyDescent="0.2">
      <c r="A164" s="5" t="str">
        <f ca="1">IF(B164=" "," ",HYPERLINK(CONCATENATE("#metadata!",ADDRESS(INDEX($X$2:$X$1001,MATCH(ROWS($V$2:V164),$V$2:$V$1001,0),0),1)),INDEX($AA$2:$AA$1001,MATCH(ROWS($V$2:V164),$V$2:$V$1001,0),0)))</f>
        <v xml:space="preserve"> </v>
      </c>
      <c r="B164" s="4" t="str">
        <f ca="1">IF(OR(INDEX($W$2:$W$1001,MATCH(ROWS($V$2:V164),$V$2:$V$1001,0),1)&gt;=100000,INDEX($AC$1005:$AS$1005,1,MATCH(COLUMNS($AC$1006:AC1006),$AC$1006:$AS$1006,0))&gt;=100000), " ",IF(INDEX($AC$2:$AS$1001,MATCH(ROWS($V$2:V164),$V$2:$V$1001,0),MATCH(COLUMNS($AC$1006:AC1006),$AC$1006:$AS$1006,0)), HYPERLINK("#",""), HYPERLINK(CONCATENATE("#metadata!", ADDRESS(INDEX($X$2:$X$1001,MATCH(ROWS($V$2:V164),$V$2:$V$1001,0),0), INDEX($AC$1004:$AS$1004,1,MATCH(COLUMNS($AC$1006:AC1006),$AC$1006:$AS$1006,0)))),"Fix")))</f>
        <v xml:space="preserve"> </v>
      </c>
      <c r="C164" s="4" t="str">
        <f ca="1">IF(OR(INDEX($W$2:$W$1001,MATCH(ROWS($V$2:V164),$V$2:$V$1001,0),1)&gt;=100000,INDEX($AC$1005:$AS$1005,1,MATCH(COLUMNS($AC$1006:AD1006),$AC$1006:$AS$1006,0))&gt;=100000), " ",IF(INDEX($AC$2:$AS$1001,MATCH(ROWS($V$2:V164),$V$2:$V$1001,0),MATCH(COLUMNS($AC$1006:AD1006),$AC$1006:$AS$1006,0)), HYPERLINK("#",""), HYPERLINK(CONCATENATE("#metadata!", ADDRESS(INDEX($X$2:$X$1001,MATCH(ROWS($V$2:V164),$V$2:$V$1001,0),0), INDEX($AC$1004:$AS$1004,1,MATCH(COLUMNS($AC$1006:AD1006),$AC$1006:$AS$1006,0)))),"Fix")))</f>
        <v xml:space="preserve"> </v>
      </c>
      <c r="D164" s="4" t="str">
        <f ca="1">IF(OR(INDEX($W$2:$W$1001,MATCH(ROWS($V$2:V164),$V$2:$V$1001,0),1)&gt;=100000,INDEX($AC$1005:$AS$1005,1,MATCH(COLUMNS($AC$1006:AE1006),$AC$1006:$AS$1006,0))&gt;=100000), " ",IF(INDEX($AC$2:$AS$1001,MATCH(ROWS($V$2:V164),$V$2:$V$1001,0),MATCH(COLUMNS($AC$1006:AE1006),$AC$1006:$AS$1006,0)), HYPERLINK("#",""), HYPERLINK(CONCATENATE("#metadata!", ADDRESS(INDEX($X$2:$X$1001,MATCH(ROWS($V$2:V164),$V$2:$V$1001,0),0), INDEX($AC$1004:$AS$1004,1,MATCH(COLUMNS($AC$1006:AE1006),$AC$1006:$AS$1006,0)))),"Fix")))</f>
        <v xml:space="preserve"> </v>
      </c>
      <c r="E164" s="4" t="str">
        <f ca="1">IF(OR(INDEX($W$2:$W$1001,MATCH(ROWS($V$2:V164),$V$2:$V$1001,0),1)&gt;=100000,INDEX($AC$1005:$AS$1005,1,MATCH(COLUMNS($AC$1006:AF1006),$AC$1006:$AS$1006,0))&gt;=100000), " ",IF(INDEX($AC$2:$AS$1001,MATCH(ROWS($V$2:V164),$V$2:$V$1001,0),MATCH(COLUMNS($AC$1006:AF1006),$AC$1006:$AS$1006,0)), HYPERLINK("#",""), HYPERLINK(CONCATENATE("#metadata!", ADDRESS(INDEX($X$2:$X$1001,MATCH(ROWS($V$2:V164),$V$2:$V$1001,0),0), INDEX($AC$1004:$AS$1004,1,MATCH(COLUMNS($AC$1006:AF1006),$AC$1006:$AS$1006,0)))),"Fix")))</f>
        <v xml:space="preserve"> </v>
      </c>
      <c r="F164" s="4" t="str">
        <f ca="1">IF(OR(INDEX($W$2:$W$1001,MATCH(ROWS($V$2:V164),$V$2:$V$1001,0),1)&gt;=100000,INDEX($AC$1005:$AS$1005,1,MATCH(COLUMNS($AC$1006:AG1006),$AC$1006:$AS$1006,0))&gt;=100000), " ",IF(INDEX($AC$2:$AS$1001,MATCH(ROWS($V$2:V164),$V$2:$V$1001,0),MATCH(COLUMNS($AC$1006:AG1006),$AC$1006:$AS$1006,0)), HYPERLINK("#",""), HYPERLINK(CONCATENATE("#metadata!", ADDRESS(INDEX($X$2:$X$1001,MATCH(ROWS($V$2:V164),$V$2:$V$1001,0),0), INDEX($AC$1004:$AS$1004,1,MATCH(COLUMNS($AC$1006:AG1006),$AC$1006:$AS$1006,0)))),"Fix")))</f>
        <v xml:space="preserve"> </v>
      </c>
      <c r="G164" s="4" t="str">
        <f ca="1">IF(OR(INDEX($W$2:$W$1001,MATCH(ROWS($V$2:V164),$V$2:$V$1001,0),1)&gt;=100000,INDEX($AC$1005:$AS$1005,1,MATCH(COLUMNS($AC$1006:AH1006),$AC$1006:$AS$1006,0))&gt;=100000), " ",IF(INDEX($AC$2:$AS$1001,MATCH(ROWS($V$2:V164),$V$2:$V$1001,0),MATCH(COLUMNS($AC$1006:AH1006),$AC$1006:$AS$1006,0)), HYPERLINK("#",""), HYPERLINK(CONCATENATE("#metadata!", ADDRESS(INDEX($X$2:$X$1001,MATCH(ROWS($V$2:V164),$V$2:$V$1001,0),0), INDEX($AC$1004:$AS$1004,1,MATCH(COLUMNS($AC$1006:AH1006),$AC$1006:$AS$1006,0)))),"Fix")))</f>
        <v xml:space="preserve"> </v>
      </c>
      <c r="H164" s="4" t="str">
        <f ca="1">IF(OR(INDEX($W$2:$W$1001,MATCH(ROWS($V$2:V164),$V$2:$V$1001,0),1)&gt;=100000,INDEX($AC$1005:$AS$1005,1,MATCH(COLUMNS($AC$1006:AI1006),$AC$1006:$AS$1006,0))&gt;=100000), " ",IF(INDEX($AC$2:$AS$1001,MATCH(ROWS($V$2:V164),$V$2:$V$1001,0),MATCH(COLUMNS($AC$1006:AI1006),$AC$1006:$AS$1006,0)), HYPERLINK("#",""), HYPERLINK(CONCATENATE("#metadata!", ADDRESS(INDEX($X$2:$X$1001,MATCH(ROWS($V$2:V164),$V$2:$V$1001,0),0), INDEX($AC$1004:$AS$1004,1,MATCH(COLUMNS($AC$1006:AI1006),$AC$1006:$AS$1006,0)))),"Fix")))</f>
        <v xml:space="preserve"> </v>
      </c>
      <c r="I164" s="4" t="str">
        <f ca="1">IF(OR(INDEX($W$2:$W$1001,MATCH(ROWS($V$2:V164),$V$2:$V$1001,0),1)&gt;=100000,INDEX($AC$1005:$AS$1005,1,MATCH(COLUMNS($AC$1006:AJ1006),$AC$1006:$AS$1006,0))&gt;=100000), " ",IF(INDEX($AC$2:$AS$1001,MATCH(ROWS($V$2:V164),$V$2:$V$1001,0),MATCH(COLUMNS($AC$1006:AJ1006),$AC$1006:$AS$1006,0)), HYPERLINK("#",""), HYPERLINK(CONCATENATE("#metadata!", ADDRESS(INDEX($X$2:$X$1001,MATCH(ROWS($V$2:V164),$V$2:$V$1001,0),0), INDEX($AC$1004:$AS$1004,1,MATCH(COLUMNS($AC$1006:AJ1006),$AC$1006:$AS$1006,0)))),"Fix")))</f>
        <v xml:space="preserve"> </v>
      </c>
      <c r="J164" s="4" t="str">
        <f ca="1">IF(OR(INDEX($W$2:$W$1001,MATCH(ROWS($V$2:V164),$V$2:$V$1001,0),1)&gt;=100000,INDEX($AC$1005:$AS$1005,1,MATCH(COLUMNS($AC$1006:AK1006),$AC$1006:$AS$1006,0))&gt;=100000), " ",IF(INDEX($AC$2:$AS$1001,MATCH(ROWS($V$2:V164),$V$2:$V$1001,0),MATCH(COLUMNS($AC$1006:AK1006),$AC$1006:$AS$1006,0)), HYPERLINK("#",""), HYPERLINK(CONCATENATE("#metadata!", ADDRESS(INDEX($X$2:$X$1001,MATCH(ROWS($V$2:V164),$V$2:$V$1001,0),0), INDEX($AC$1004:$AS$1004,1,MATCH(COLUMNS($AC$1006:AK1006),$AC$1006:$AS$1006,0)))),"Fix")))</f>
        <v xml:space="preserve"> </v>
      </c>
      <c r="K164" s="4" t="str">
        <f ca="1">IF(OR(INDEX($W$2:$W$1001,MATCH(ROWS($V$2:V164),$V$2:$V$1001,0),1)&gt;=100000,INDEX($AC$1005:$AS$1005,1,MATCH(COLUMNS($AC$1006:AL1006),$AC$1006:$AS$1006,0))&gt;=100000), " ",IF(INDEX($AC$2:$AS$1001,MATCH(ROWS($V$2:V164),$V$2:$V$1001,0),MATCH(COLUMNS($AC$1006:AL1006),$AC$1006:$AS$1006,0)), HYPERLINK("#",""), HYPERLINK(CONCATENATE("#metadata!", ADDRESS(INDEX($X$2:$X$1001,MATCH(ROWS($V$2:V164),$V$2:$V$1001,0),0), INDEX($AC$1004:$AS$1004,1,MATCH(COLUMNS($AC$1006:AL1006),$AC$1006:$AS$1006,0)))),"Fix")))</f>
        <v xml:space="preserve"> </v>
      </c>
      <c r="L164" s="4" t="str">
        <f ca="1">IF(OR(INDEX($W$2:$W$1001,MATCH(ROWS($V$2:V164),$V$2:$V$1001,0),1)&gt;=100000,INDEX($AC$1005:$AS$1005,1,MATCH(COLUMNS($AC$1006:AM1006),$AC$1006:$AS$1006,0))&gt;=100000), " ",IF(INDEX($AC$2:$AS$1001,MATCH(ROWS($V$2:V164),$V$2:$V$1001,0),MATCH(COLUMNS($AC$1006:AM1006),$AC$1006:$AS$1006,0)), HYPERLINK("#",""), HYPERLINK(CONCATENATE("#metadata!", ADDRESS(INDEX($X$2:$X$1001,MATCH(ROWS($V$2:V164),$V$2:$V$1001,0),0), INDEX($AC$1004:$AS$1004,1,MATCH(COLUMNS($AC$1006:AM1006),$AC$1006:$AS$1006,0)))),"Fix")))</f>
        <v xml:space="preserve"> </v>
      </c>
      <c r="M164" s="4" t="str">
        <f ca="1">IF(OR(INDEX($W$2:$W$1001,MATCH(ROWS($V$2:V164),$V$2:$V$1001,0),1)&gt;=100000,INDEX($AC$1005:$AS$1005,1,MATCH(COLUMNS($AC$1006:AN1006),$AC$1006:$AS$1006,0))&gt;=100000), " ",IF(INDEX($AC$2:$AS$1001,MATCH(ROWS($V$2:V164),$V$2:$V$1001,0),MATCH(COLUMNS($AC$1006:AN1006),$AC$1006:$AS$1006,0)), HYPERLINK("#",""), HYPERLINK(CONCATENATE("#metadata!", ADDRESS(INDEX($X$2:$X$1001,MATCH(ROWS($V$2:V164),$V$2:$V$1001,0),0), INDEX($AC$1004:$AS$1004,1,MATCH(COLUMNS($AC$1006:AN1006),$AC$1006:$AS$1006,0)))),"Fix")))</f>
        <v xml:space="preserve"> </v>
      </c>
      <c r="N164" s="4" t="str">
        <f ca="1">IF(OR(INDEX($W$2:$W$1001,MATCH(ROWS($V$2:V164),$V$2:$V$1001,0),1)&gt;=100000,INDEX($AC$1005:$AS$1005,1,MATCH(COLUMNS($AC$1006:AO1006),$AC$1006:$AS$1006,0))&gt;=100000), " ",IF(INDEX($AC$2:$AS$1001,MATCH(ROWS($V$2:V164),$V$2:$V$1001,0),MATCH(COLUMNS($AC$1006:AO1006),$AC$1006:$AS$1006,0)), HYPERLINK("#",""), HYPERLINK(CONCATENATE("#metadata!", ADDRESS(INDEX($X$2:$X$1001,MATCH(ROWS($V$2:V164),$V$2:$V$1001,0),0), INDEX($AC$1004:$AS$1004,1,MATCH(COLUMNS($AC$1006:AO1006),$AC$1006:$AS$1006,0)))),"Fix")))</f>
        <v xml:space="preserve"> </v>
      </c>
      <c r="O164" s="4" t="str">
        <f ca="1">IF(OR(INDEX($W$2:$W$1001,MATCH(ROWS($V$2:V164),$V$2:$V$1001,0),1)&gt;=100000,INDEX($AC$1005:$AS$1005,1,MATCH(COLUMNS($AC$1006:AP1006),$AC$1006:$AS$1006,0))&gt;=100000), " ",IF(INDEX($AC$2:$AS$1001,MATCH(ROWS($V$2:V164),$V$2:$V$1001,0),MATCH(COLUMNS($AC$1006:AP1006),$AC$1006:$AS$1006,0)), HYPERLINK("#",""), HYPERLINK(CONCATENATE("#metadata!", ADDRESS(INDEX($X$2:$X$1001,MATCH(ROWS($V$2:V164),$V$2:$V$1001,0),0), INDEX($AC$1004:$AS$1004,1,MATCH(COLUMNS($AC$1006:AP1006),$AC$1006:$AS$1006,0)))),"Fix")))</f>
        <v xml:space="preserve"> </v>
      </c>
      <c r="P164" s="4" t="str">
        <f ca="1">IF(OR(INDEX($W$2:$W$1001,MATCH(ROWS($V$2:V164),$V$2:$V$1001,0),1)&gt;=100000,INDEX($AC$1005:$AS$1005,1,MATCH(COLUMNS($AC$1006:AQ1006),$AC$1006:$AS$1006,0))&gt;=100000), " ",IF(INDEX($AC$2:$AS$1001,MATCH(ROWS($V$2:V164),$V$2:$V$1001,0),MATCH(COLUMNS($AC$1006:AQ1006),$AC$1006:$AS$1006,0)), HYPERLINK("#",""), HYPERLINK(CONCATENATE("#metadata!", ADDRESS(INDEX($X$2:$X$1001,MATCH(ROWS($V$2:V164),$V$2:$V$1001,0),0), INDEX($AC$1004:$AS$1004,1,MATCH(COLUMNS($AC$1006:AQ1006),$AC$1006:$AS$1006,0)))),"Fix")))</f>
        <v xml:space="preserve"> </v>
      </c>
      <c r="Q164" s="4" t="str">
        <f ca="1">IF(OR(INDEX($W$2:$W$1001,MATCH(ROWS($V$2:V164),$V$2:$V$1001,0),1)&gt;=100000,INDEX($AC$1005:$AS$1005,1,MATCH(COLUMNS($AC$1006:AR1006),$AC$1006:$AS$1006,0))&gt;=100000), " ",IF(INDEX($AC$2:$AS$1001,MATCH(ROWS($V$2:V164),$V$2:$V$1001,0),MATCH(COLUMNS($AC$1006:AR1006),$AC$1006:$AS$1006,0)), HYPERLINK("#",""), HYPERLINK(CONCATENATE("#metadata!", ADDRESS(INDEX($X$2:$X$1001,MATCH(ROWS($V$2:V164),$V$2:$V$1001,0),0), INDEX($AC$1004:$AS$1004,1,MATCH(COLUMNS($AC$1006:AR1006),$AC$1006:$AS$1006,0)))),"Fix")))</f>
        <v xml:space="preserve"> </v>
      </c>
      <c r="R164" s="4" t="str">
        <f ca="1">IF(OR(INDEX($W$2:$W$1001,MATCH(ROWS($V$2:V164),$V$2:$V$1001,0),1)&gt;=100000,INDEX($AC$1005:$AS$1005,1,MATCH(COLUMNS($AC$1006:AS1006),$AC$1006:$AS$1006,0))&gt;=100000), " ",IF(INDEX($AC$2:$AS$1001,MATCH(ROWS($V$2:V164),$V$2:$V$1001,0),MATCH(COLUMNS($AC$1006:AS1006),$AC$1006:$AS$1006,0)), HYPERLINK("#",""), HYPERLINK(CONCATENATE("#metadata!", ADDRESS(INDEX($X$2:$X$1001,MATCH(ROWS($V$2:V164),$V$2:$V$1001,0),0), INDEX($AC$1004:$AS$1004,1,MATCH(COLUMNS($AC$1006:AS1006),$AC$1006:$AS$1006,0)))),"Fix")))</f>
        <v xml:space="preserve"> </v>
      </c>
      <c r="V164">
        <v>163</v>
      </c>
      <c r="W164">
        <v>100164</v>
      </c>
      <c r="X164">
        <v>164</v>
      </c>
      <c r="Y164" t="b">
        <f t="shared" si="2"/>
        <v>1</v>
      </c>
      <c r="Z164" t="b">
        <f>COUNTBLANK(metadata!B164:R164)=COLUMNS(metadata!B164:R164)</f>
        <v>1</v>
      </c>
      <c r="AA164" t="str">
        <v/>
      </c>
      <c r="AC164" t="b">
        <f ca="1"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AD164" t="b">
        <f>IF(metadata!C164="",FALSE,ISNUMBER(VALUE(metadata!C164)))</f>
        <v>0</v>
      </c>
      <c r="AE164" t="b">
        <f>AND(IF(metadata!D164="",FALSE,TRUE),EXACT(metadata!D164,"years"))</f>
        <v>0</v>
      </c>
      <c r="AF164" t="b">
        <f>OR(AND(IF(metadata!E164="",FALSE,TRUE),OR(EXACT(metadata!E164,"not applicable"),EXACT(metadata!E164,"missing: not collected"),EXACT(metadata!E164,"missing: not provided"),EXACT(metadata!E164,"missing: restricted access"))),AND(IF(metadata!E164="",FALSE,ISNUMBER(VALUE(metadata!E164))),metadata!E164&gt;0))</f>
        <v>0</v>
      </c>
      <c r="AG164" t="b">
        <f>AND(IF(metadata!F164="",FALSE,TRUE),EXACT(metadata!F164,"Not applicable"))</f>
        <v>0</v>
      </c>
      <c r="AH164" t="b">
        <f>AND(IF(metadata!G164="",FALSE,TRUE),EXACT(metadata!G164,"urban biome"))</f>
        <v>0</v>
      </c>
      <c r="AI164" t="b">
        <f>AND(IF(metadata!H164="",FALSE,TRUE),EXACT(metadata!H164,"human-associated habitat"))</f>
        <v>0</v>
      </c>
      <c r="AJ164" t="b">
        <f>AND(IF(metadata!I164="",FALSE,TRUE),OR(EXACT(metadata!I164,"human-associated"),EXACT(metadata!I164,"human-skin"),EXACT(metadata!I164,"human-oral"),EXACT(metadata!I164,"human-gut"),EXACT(metadata!I164,"human-vaginal")))</f>
        <v>0</v>
      </c>
      <c r="AK164" t="b">
        <f>IF(metadata!J164="",FALSE,ISNUMBER(VALUE(metadata!J164)))</f>
        <v>0</v>
      </c>
      <c r="AL164" t="b">
        <f>AND(IF(metadata!K164="",FALSE,TRUE),EXACT(metadata!K164,"cm"))</f>
        <v>0</v>
      </c>
      <c r="AM164" t="b">
        <f>AND(IF(metadata!L164="",FALSE,TRUE),EXACT(metadata!L164,"human"))</f>
        <v>0</v>
      </c>
      <c r="AN164" t="b">
        <f>AND(IF(metadata!M164="",FALSE,TRUE),EXACT(metadata!M164,"Homo sapiens"))</f>
        <v>0</v>
      </c>
      <c r="AO164" t="b">
        <f>AND(IF(metadata!N164="",FALSE,TRUE),EXACT(metadata!N164,"9606"))</f>
        <v>0</v>
      </c>
      <c r="AP164" t="b">
        <f>IF(metadata!O164="",FALSE,TRUE)</f>
        <v>0</v>
      </c>
      <c r="AQ164" t="b">
        <f>IF(metadata!P164="",FALSE,TRUE)</f>
        <v>0</v>
      </c>
      <c r="AR164" t="b">
        <f>IF(metadata!Q164="",FALSE,ISNUMBER(VALUE(metadata!Q164)))</f>
        <v>0</v>
      </c>
      <c r="AS164" t="b">
        <f>AND(IF(metadata!R164="",FALSE,TRUE),EXACT(metadata!R164,"kg"))</f>
        <v>0</v>
      </c>
    </row>
    <row r="165" spans="1:45" x14ac:dyDescent="0.2">
      <c r="A165" s="5" t="str">
        <f ca="1">IF(B165=" "," ",HYPERLINK(CONCATENATE("#metadata!",ADDRESS(INDEX($X$2:$X$1001,MATCH(ROWS($V$2:V165),$V$2:$V$1001,0),0),1)),INDEX($AA$2:$AA$1001,MATCH(ROWS($V$2:V165),$V$2:$V$1001,0),0)))</f>
        <v xml:space="preserve"> </v>
      </c>
      <c r="B165" s="4" t="str">
        <f ca="1">IF(OR(INDEX($W$2:$W$1001,MATCH(ROWS($V$2:V165),$V$2:$V$1001,0),1)&gt;=100000,INDEX($AC$1005:$AS$1005,1,MATCH(COLUMNS($AC$1006:AC1006),$AC$1006:$AS$1006,0))&gt;=100000), " ",IF(INDEX($AC$2:$AS$1001,MATCH(ROWS($V$2:V165),$V$2:$V$1001,0),MATCH(COLUMNS($AC$1006:AC1006),$AC$1006:$AS$1006,0)), HYPERLINK("#",""), HYPERLINK(CONCATENATE("#metadata!", ADDRESS(INDEX($X$2:$X$1001,MATCH(ROWS($V$2:V165),$V$2:$V$1001,0),0), INDEX($AC$1004:$AS$1004,1,MATCH(COLUMNS($AC$1006:AC1006),$AC$1006:$AS$1006,0)))),"Fix")))</f>
        <v xml:space="preserve"> </v>
      </c>
      <c r="C165" s="4" t="str">
        <f ca="1">IF(OR(INDEX($W$2:$W$1001,MATCH(ROWS($V$2:V165),$V$2:$V$1001,0),1)&gt;=100000,INDEX($AC$1005:$AS$1005,1,MATCH(COLUMNS($AC$1006:AD1006),$AC$1006:$AS$1006,0))&gt;=100000), " ",IF(INDEX($AC$2:$AS$1001,MATCH(ROWS($V$2:V165),$V$2:$V$1001,0),MATCH(COLUMNS($AC$1006:AD1006),$AC$1006:$AS$1006,0)), HYPERLINK("#",""), HYPERLINK(CONCATENATE("#metadata!", ADDRESS(INDEX($X$2:$X$1001,MATCH(ROWS($V$2:V165),$V$2:$V$1001,0),0), INDEX($AC$1004:$AS$1004,1,MATCH(COLUMNS($AC$1006:AD1006),$AC$1006:$AS$1006,0)))),"Fix")))</f>
        <v xml:space="preserve"> </v>
      </c>
      <c r="D165" s="4" t="str">
        <f ca="1">IF(OR(INDEX($W$2:$W$1001,MATCH(ROWS($V$2:V165),$V$2:$V$1001,0),1)&gt;=100000,INDEX($AC$1005:$AS$1005,1,MATCH(COLUMNS($AC$1006:AE1006),$AC$1006:$AS$1006,0))&gt;=100000), " ",IF(INDEX($AC$2:$AS$1001,MATCH(ROWS($V$2:V165),$V$2:$V$1001,0),MATCH(COLUMNS($AC$1006:AE1006),$AC$1006:$AS$1006,0)), HYPERLINK("#",""), HYPERLINK(CONCATENATE("#metadata!", ADDRESS(INDEX($X$2:$X$1001,MATCH(ROWS($V$2:V165),$V$2:$V$1001,0),0), INDEX($AC$1004:$AS$1004,1,MATCH(COLUMNS($AC$1006:AE1006),$AC$1006:$AS$1006,0)))),"Fix")))</f>
        <v xml:space="preserve"> </v>
      </c>
      <c r="E165" s="4" t="str">
        <f ca="1">IF(OR(INDEX($W$2:$W$1001,MATCH(ROWS($V$2:V165),$V$2:$V$1001,0),1)&gt;=100000,INDEX($AC$1005:$AS$1005,1,MATCH(COLUMNS($AC$1006:AF1006),$AC$1006:$AS$1006,0))&gt;=100000), " ",IF(INDEX($AC$2:$AS$1001,MATCH(ROWS($V$2:V165),$V$2:$V$1001,0),MATCH(COLUMNS($AC$1006:AF1006),$AC$1006:$AS$1006,0)), HYPERLINK("#",""), HYPERLINK(CONCATENATE("#metadata!", ADDRESS(INDEX($X$2:$X$1001,MATCH(ROWS($V$2:V165),$V$2:$V$1001,0),0), INDEX($AC$1004:$AS$1004,1,MATCH(COLUMNS($AC$1006:AF1006),$AC$1006:$AS$1006,0)))),"Fix")))</f>
        <v xml:space="preserve"> </v>
      </c>
      <c r="F165" s="4" t="str">
        <f ca="1">IF(OR(INDEX($W$2:$W$1001,MATCH(ROWS($V$2:V165),$V$2:$V$1001,0),1)&gt;=100000,INDEX($AC$1005:$AS$1005,1,MATCH(COLUMNS($AC$1006:AG1006),$AC$1006:$AS$1006,0))&gt;=100000), " ",IF(INDEX($AC$2:$AS$1001,MATCH(ROWS($V$2:V165),$V$2:$V$1001,0),MATCH(COLUMNS($AC$1006:AG1006),$AC$1006:$AS$1006,0)), HYPERLINK("#",""), HYPERLINK(CONCATENATE("#metadata!", ADDRESS(INDEX($X$2:$X$1001,MATCH(ROWS($V$2:V165),$V$2:$V$1001,0),0), INDEX($AC$1004:$AS$1004,1,MATCH(COLUMNS($AC$1006:AG1006),$AC$1006:$AS$1006,0)))),"Fix")))</f>
        <v xml:space="preserve"> </v>
      </c>
      <c r="G165" s="4" t="str">
        <f ca="1">IF(OR(INDEX($W$2:$W$1001,MATCH(ROWS($V$2:V165),$V$2:$V$1001,0),1)&gt;=100000,INDEX($AC$1005:$AS$1005,1,MATCH(COLUMNS($AC$1006:AH1006),$AC$1006:$AS$1006,0))&gt;=100000), " ",IF(INDEX($AC$2:$AS$1001,MATCH(ROWS($V$2:V165),$V$2:$V$1001,0),MATCH(COLUMNS($AC$1006:AH1006),$AC$1006:$AS$1006,0)), HYPERLINK("#",""), HYPERLINK(CONCATENATE("#metadata!", ADDRESS(INDEX($X$2:$X$1001,MATCH(ROWS($V$2:V165),$V$2:$V$1001,0),0), INDEX($AC$1004:$AS$1004,1,MATCH(COLUMNS($AC$1006:AH1006),$AC$1006:$AS$1006,0)))),"Fix")))</f>
        <v xml:space="preserve"> </v>
      </c>
      <c r="H165" s="4" t="str">
        <f ca="1">IF(OR(INDEX($W$2:$W$1001,MATCH(ROWS($V$2:V165),$V$2:$V$1001,0),1)&gt;=100000,INDEX($AC$1005:$AS$1005,1,MATCH(COLUMNS($AC$1006:AI1006),$AC$1006:$AS$1006,0))&gt;=100000), " ",IF(INDEX($AC$2:$AS$1001,MATCH(ROWS($V$2:V165),$V$2:$V$1001,0),MATCH(COLUMNS($AC$1006:AI1006),$AC$1006:$AS$1006,0)), HYPERLINK("#",""), HYPERLINK(CONCATENATE("#metadata!", ADDRESS(INDEX($X$2:$X$1001,MATCH(ROWS($V$2:V165),$V$2:$V$1001,0),0), INDEX($AC$1004:$AS$1004,1,MATCH(COLUMNS($AC$1006:AI1006),$AC$1006:$AS$1006,0)))),"Fix")))</f>
        <v xml:space="preserve"> </v>
      </c>
      <c r="I165" s="4" t="str">
        <f ca="1">IF(OR(INDEX($W$2:$W$1001,MATCH(ROWS($V$2:V165),$V$2:$V$1001,0),1)&gt;=100000,INDEX($AC$1005:$AS$1005,1,MATCH(COLUMNS($AC$1006:AJ1006),$AC$1006:$AS$1006,0))&gt;=100000), " ",IF(INDEX($AC$2:$AS$1001,MATCH(ROWS($V$2:V165),$V$2:$V$1001,0),MATCH(COLUMNS($AC$1006:AJ1006),$AC$1006:$AS$1006,0)), HYPERLINK("#",""), HYPERLINK(CONCATENATE("#metadata!", ADDRESS(INDEX($X$2:$X$1001,MATCH(ROWS($V$2:V165),$V$2:$V$1001,0),0), INDEX($AC$1004:$AS$1004,1,MATCH(COLUMNS($AC$1006:AJ1006),$AC$1006:$AS$1006,0)))),"Fix")))</f>
        <v xml:space="preserve"> </v>
      </c>
      <c r="J165" s="4" t="str">
        <f ca="1">IF(OR(INDEX($W$2:$W$1001,MATCH(ROWS($V$2:V165),$V$2:$V$1001,0),1)&gt;=100000,INDEX($AC$1005:$AS$1005,1,MATCH(COLUMNS($AC$1006:AK1006),$AC$1006:$AS$1006,0))&gt;=100000), " ",IF(INDEX($AC$2:$AS$1001,MATCH(ROWS($V$2:V165),$V$2:$V$1001,0),MATCH(COLUMNS($AC$1006:AK1006),$AC$1006:$AS$1006,0)), HYPERLINK("#",""), HYPERLINK(CONCATENATE("#metadata!", ADDRESS(INDEX($X$2:$X$1001,MATCH(ROWS($V$2:V165),$V$2:$V$1001,0),0), INDEX($AC$1004:$AS$1004,1,MATCH(COLUMNS($AC$1006:AK1006),$AC$1006:$AS$1006,0)))),"Fix")))</f>
        <v xml:space="preserve"> </v>
      </c>
      <c r="K165" s="4" t="str">
        <f ca="1">IF(OR(INDEX($W$2:$W$1001,MATCH(ROWS($V$2:V165),$V$2:$V$1001,0),1)&gt;=100000,INDEX($AC$1005:$AS$1005,1,MATCH(COLUMNS($AC$1006:AL1006),$AC$1006:$AS$1006,0))&gt;=100000), " ",IF(INDEX($AC$2:$AS$1001,MATCH(ROWS($V$2:V165),$V$2:$V$1001,0),MATCH(COLUMNS($AC$1006:AL1006),$AC$1006:$AS$1006,0)), HYPERLINK("#",""), HYPERLINK(CONCATENATE("#metadata!", ADDRESS(INDEX($X$2:$X$1001,MATCH(ROWS($V$2:V165),$V$2:$V$1001,0),0), INDEX($AC$1004:$AS$1004,1,MATCH(COLUMNS($AC$1006:AL1006),$AC$1006:$AS$1006,0)))),"Fix")))</f>
        <v xml:space="preserve"> </v>
      </c>
      <c r="L165" s="4" t="str">
        <f ca="1">IF(OR(INDEX($W$2:$W$1001,MATCH(ROWS($V$2:V165),$V$2:$V$1001,0),1)&gt;=100000,INDEX($AC$1005:$AS$1005,1,MATCH(COLUMNS($AC$1006:AM1006),$AC$1006:$AS$1006,0))&gt;=100000), " ",IF(INDEX($AC$2:$AS$1001,MATCH(ROWS($V$2:V165),$V$2:$V$1001,0),MATCH(COLUMNS($AC$1006:AM1006),$AC$1006:$AS$1006,0)), HYPERLINK("#",""), HYPERLINK(CONCATENATE("#metadata!", ADDRESS(INDEX($X$2:$X$1001,MATCH(ROWS($V$2:V165),$V$2:$V$1001,0),0), INDEX($AC$1004:$AS$1004,1,MATCH(COLUMNS($AC$1006:AM1006),$AC$1006:$AS$1006,0)))),"Fix")))</f>
        <v xml:space="preserve"> </v>
      </c>
      <c r="M165" s="4" t="str">
        <f ca="1">IF(OR(INDEX($W$2:$W$1001,MATCH(ROWS($V$2:V165),$V$2:$V$1001,0),1)&gt;=100000,INDEX($AC$1005:$AS$1005,1,MATCH(COLUMNS($AC$1006:AN1006),$AC$1006:$AS$1006,0))&gt;=100000), " ",IF(INDEX($AC$2:$AS$1001,MATCH(ROWS($V$2:V165),$V$2:$V$1001,0),MATCH(COLUMNS($AC$1006:AN1006),$AC$1006:$AS$1006,0)), HYPERLINK("#",""), HYPERLINK(CONCATENATE("#metadata!", ADDRESS(INDEX($X$2:$X$1001,MATCH(ROWS($V$2:V165),$V$2:$V$1001,0),0), INDEX($AC$1004:$AS$1004,1,MATCH(COLUMNS($AC$1006:AN1006),$AC$1006:$AS$1006,0)))),"Fix")))</f>
        <v xml:space="preserve"> </v>
      </c>
      <c r="N165" s="4" t="str">
        <f ca="1">IF(OR(INDEX($W$2:$W$1001,MATCH(ROWS($V$2:V165),$V$2:$V$1001,0),1)&gt;=100000,INDEX($AC$1005:$AS$1005,1,MATCH(COLUMNS($AC$1006:AO1006),$AC$1006:$AS$1006,0))&gt;=100000), " ",IF(INDEX($AC$2:$AS$1001,MATCH(ROWS($V$2:V165),$V$2:$V$1001,0),MATCH(COLUMNS($AC$1006:AO1006),$AC$1006:$AS$1006,0)), HYPERLINK("#",""), HYPERLINK(CONCATENATE("#metadata!", ADDRESS(INDEX($X$2:$X$1001,MATCH(ROWS($V$2:V165),$V$2:$V$1001,0),0), INDEX($AC$1004:$AS$1004,1,MATCH(COLUMNS($AC$1006:AO1006),$AC$1006:$AS$1006,0)))),"Fix")))</f>
        <v xml:space="preserve"> </v>
      </c>
      <c r="O165" s="4" t="str">
        <f ca="1">IF(OR(INDEX($W$2:$W$1001,MATCH(ROWS($V$2:V165),$V$2:$V$1001,0),1)&gt;=100000,INDEX($AC$1005:$AS$1005,1,MATCH(COLUMNS($AC$1006:AP1006),$AC$1006:$AS$1006,0))&gt;=100000), " ",IF(INDEX($AC$2:$AS$1001,MATCH(ROWS($V$2:V165),$V$2:$V$1001,0),MATCH(COLUMNS($AC$1006:AP1006),$AC$1006:$AS$1006,0)), HYPERLINK("#",""), HYPERLINK(CONCATENATE("#metadata!", ADDRESS(INDEX($X$2:$X$1001,MATCH(ROWS($V$2:V165),$V$2:$V$1001,0),0), INDEX($AC$1004:$AS$1004,1,MATCH(COLUMNS($AC$1006:AP1006),$AC$1006:$AS$1006,0)))),"Fix")))</f>
        <v xml:space="preserve"> </v>
      </c>
      <c r="P165" s="4" t="str">
        <f ca="1">IF(OR(INDEX($W$2:$W$1001,MATCH(ROWS($V$2:V165),$V$2:$V$1001,0),1)&gt;=100000,INDEX($AC$1005:$AS$1005,1,MATCH(COLUMNS($AC$1006:AQ1006),$AC$1006:$AS$1006,0))&gt;=100000), " ",IF(INDEX($AC$2:$AS$1001,MATCH(ROWS($V$2:V165),$V$2:$V$1001,0),MATCH(COLUMNS($AC$1006:AQ1006),$AC$1006:$AS$1006,0)), HYPERLINK("#",""), HYPERLINK(CONCATENATE("#metadata!", ADDRESS(INDEX($X$2:$X$1001,MATCH(ROWS($V$2:V165),$V$2:$V$1001,0),0), INDEX($AC$1004:$AS$1004,1,MATCH(COLUMNS($AC$1006:AQ1006),$AC$1006:$AS$1006,0)))),"Fix")))</f>
        <v xml:space="preserve"> </v>
      </c>
      <c r="Q165" s="4" t="str">
        <f ca="1">IF(OR(INDEX($W$2:$W$1001,MATCH(ROWS($V$2:V165),$V$2:$V$1001,0),1)&gt;=100000,INDEX($AC$1005:$AS$1005,1,MATCH(COLUMNS($AC$1006:AR1006),$AC$1006:$AS$1006,0))&gt;=100000), " ",IF(INDEX($AC$2:$AS$1001,MATCH(ROWS($V$2:V165),$V$2:$V$1001,0),MATCH(COLUMNS($AC$1006:AR1006),$AC$1006:$AS$1006,0)), HYPERLINK("#",""), HYPERLINK(CONCATENATE("#metadata!", ADDRESS(INDEX($X$2:$X$1001,MATCH(ROWS($V$2:V165),$V$2:$V$1001,0),0), INDEX($AC$1004:$AS$1004,1,MATCH(COLUMNS($AC$1006:AR1006),$AC$1006:$AS$1006,0)))),"Fix")))</f>
        <v xml:space="preserve"> </v>
      </c>
      <c r="R165" s="4" t="str">
        <f ca="1">IF(OR(INDEX($W$2:$W$1001,MATCH(ROWS($V$2:V165),$V$2:$V$1001,0),1)&gt;=100000,INDEX($AC$1005:$AS$1005,1,MATCH(COLUMNS($AC$1006:AS1006),$AC$1006:$AS$1006,0))&gt;=100000), " ",IF(INDEX($AC$2:$AS$1001,MATCH(ROWS($V$2:V165),$V$2:$V$1001,0),MATCH(COLUMNS($AC$1006:AS1006),$AC$1006:$AS$1006,0)), HYPERLINK("#",""), HYPERLINK(CONCATENATE("#metadata!", ADDRESS(INDEX($X$2:$X$1001,MATCH(ROWS($V$2:V165),$V$2:$V$1001,0),0), INDEX($AC$1004:$AS$1004,1,MATCH(COLUMNS($AC$1006:AS1006),$AC$1006:$AS$1006,0)))),"Fix")))</f>
        <v xml:space="preserve"> </v>
      </c>
      <c r="V165">
        <v>164</v>
      </c>
      <c r="W165">
        <v>100165</v>
      </c>
      <c r="X165">
        <v>165</v>
      </c>
      <c r="Y165" t="b">
        <f t="shared" si="2"/>
        <v>1</v>
      </c>
      <c r="Z165" t="b">
        <f>COUNTBLANK(metadata!B165:R165)=COLUMNS(metadata!B165:R165)</f>
        <v>1</v>
      </c>
      <c r="AA165" t="str">
        <v/>
      </c>
      <c r="AC165" t="b">
        <f ca="1"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AD165" t="b">
        <f>IF(metadata!C165="",FALSE,ISNUMBER(VALUE(metadata!C165)))</f>
        <v>0</v>
      </c>
      <c r="AE165" t="b">
        <f>AND(IF(metadata!D165="",FALSE,TRUE),EXACT(metadata!D165,"years"))</f>
        <v>0</v>
      </c>
      <c r="AF165" t="b">
        <f>OR(AND(IF(metadata!E165="",FALSE,TRUE),OR(EXACT(metadata!E165,"not applicable"),EXACT(metadata!E165,"missing: not collected"),EXACT(metadata!E165,"missing: not provided"),EXACT(metadata!E165,"missing: restricted access"))),AND(IF(metadata!E165="",FALSE,ISNUMBER(VALUE(metadata!E165))),metadata!E165&gt;0))</f>
        <v>0</v>
      </c>
      <c r="AG165" t="b">
        <f>AND(IF(metadata!F165="",FALSE,TRUE),EXACT(metadata!F165,"Not applicable"))</f>
        <v>0</v>
      </c>
      <c r="AH165" t="b">
        <f>AND(IF(metadata!G165="",FALSE,TRUE),EXACT(metadata!G165,"urban biome"))</f>
        <v>0</v>
      </c>
      <c r="AI165" t="b">
        <f>AND(IF(metadata!H165="",FALSE,TRUE),EXACT(metadata!H165,"human-associated habitat"))</f>
        <v>0</v>
      </c>
      <c r="AJ165" t="b">
        <f>AND(IF(metadata!I165="",FALSE,TRUE),OR(EXACT(metadata!I165,"human-associated"),EXACT(metadata!I165,"human-skin"),EXACT(metadata!I165,"human-oral"),EXACT(metadata!I165,"human-gut"),EXACT(metadata!I165,"human-vaginal")))</f>
        <v>0</v>
      </c>
      <c r="AK165" t="b">
        <f>IF(metadata!J165="",FALSE,ISNUMBER(VALUE(metadata!J165)))</f>
        <v>0</v>
      </c>
      <c r="AL165" t="b">
        <f>AND(IF(metadata!K165="",FALSE,TRUE),EXACT(metadata!K165,"cm"))</f>
        <v>0</v>
      </c>
      <c r="AM165" t="b">
        <f>AND(IF(metadata!L165="",FALSE,TRUE),EXACT(metadata!L165,"human"))</f>
        <v>0</v>
      </c>
      <c r="AN165" t="b">
        <f>AND(IF(metadata!M165="",FALSE,TRUE),EXACT(metadata!M165,"Homo sapiens"))</f>
        <v>0</v>
      </c>
      <c r="AO165" t="b">
        <f>AND(IF(metadata!N165="",FALSE,TRUE),EXACT(metadata!N165,"9606"))</f>
        <v>0</v>
      </c>
      <c r="AP165" t="b">
        <f>IF(metadata!O165="",FALSE,TRUE)</f>
        <v>0</v>
      </c>
      <c r="AQ165" t="b">
        <f>IF(metadata!P165="",FALSE,TRUE)</f>
        <v>0</v>
      </c>
      <c r="AR165" t="b">
        <f>IF(metadata!Q165="",FALSE,ISNUMBER(VALUE(metadata!Q165)))</f>
        <v>0</v>
      </c>
      <c r="AS165" t="b">
        <f>AND(IF(metadata!R165="",FALSE,TRUE),EXACT(metadata!R165,"kg"))</f>
        <v>0</v>
      </c>
    </row>
    <row r="166" spans="1:45" x14ac:dyDescent="0.2">
      <c r="A166" s="5" t="str">
        <f ca="1">IF(B166=" "," ",HYPERLINK(CONCATENATE("#metadata!",ADDRESS(INDEX($X$2:$X$1001,MATCH(ROWS($V$2:V166),$V$2:$V$1001,0),0),1)),INDEX($AA$2:$AA$1001,MATCH(ROWS($V$2:V166),$V$2:$V$1001,0),0)))</f>
        <v xml:space="preserve"> </v>
      </c>
      <c r="B166" s="4" t="str">
        <f ca="1">IF(OR(INDEX($W$2:$W$1001,MATCH(ROWS($V$2:V166),$V$2:$V$1001,0),1)&gt;=100000,INDEX($AC$1005:$AS$1005,1,MATCH(COLUMNS($AC$1006:AC1006),$AC$1006:$AS$1006,0))&gt;=100000), " ",IF(INDEX($AC$2:$AS$1001,MATCH(ROWS($V$2:V166),$V$2:$V$1001,0),MATCH(COLUMNS($AC$1006:AC1006),$AC$1006:$AS$1006,0)), HYPERLINK("#",""), HYPERLINK(CONCATENATE("#metadata!", ADDRESS(INDEX($X$2:$X$1001,MATCH(ROWS($V$2:V166),$V$2:$V$1001,0),0), INDEX($AC$1004:$AS$1004,1,MATCH(COLUMNS($AC$1006:AC1006),$AC$1006:$AS$1006,0)))),"Fix")))</f>
        <v xml:space="preserve"> </v>
      </c>
      <c r="C166" s="4" t="str">
        <f ca="1">IF(OR(INDEX($W$2:$W$1001,MATCH(ROWS($V$2:V166),$V$2:$V$1001,0),1)&gt;=100000,INDEX($AC$1005:$AS$1005,1,MATCH(COLUMNS($AC$1006:AD1006),$AC$1006:$AS$1006,0))&gt;=100000), " ",IF(INDEX($AC$2:$AS$1001,MATCH(ROWS($V$2:V166),$V$2:$V$1001,0),MATCH(COLUMNS($AC$1006:AD1006),$AC$1006:$AS$1006,0)), HYPERLINK("#",""), HYPERLINK(CONCATENATE("#metadata!", ADDRESS(INDEX($X$2:$X$1001,MATCH(ROWS($V$2:V166),$V$2:$V$1001,0),0), INDEX($AC$1004:$AS$1004,1,MATCH(COLUMNS($AC$1006:AD1006),$AC$1006:$AS$1006,0)))),"Fix")))</f>
        <v xml:space="preserve"> </v>
      </c>
      <c r="D166" s="4" t="str">
        <f ca="1">IF(OR(INDEX($W$2:$W$1001,MATCH(ROWS($V$2:V166),$V$2:$V$1001,0),1)&gt;=100000,INDEX($AC$1005:$AS$1005,1,MATCH(COLUMNS($AC$1006:AE1006),$AC$1006:$AS$1006,0))&gt;=100000), " ",IF(INDEX($AC$2:$AS$1001,MATCH(ROWS($V$2:V166),$V$2:$V$1001,0),MATCH(COLUMNS($AC$1006:AE1006),$AC$1006:$AS$1006,0)), HYPERLINK("#",""), HYPERLINK(CONCATENATE("#metadata!", ADDRESS(INDEX($X$2:$X$1001,MATCH(ROWS($V$2:V166),$V$2:$V$1001,0),0), INDEX($AC$1004:$AS$1004,1,MATCH(COLUMNS($AC$1006:AE1006),$AC$1006:$AS$1006,0)))),"Fix")))</f>
        <v xml:space="preserve"> </v>
      </c>
      <c r="E166" s="4" t="str">
        <f ca="1">IF(OR(INDEX($W$2:$W$1001,MATCH(ROWS($V$2:V166),$V$2:$V$1001,0),1)&gt;=100000,INDEX($AC$1005:$AS$1005,1,MATCH(COLUMNS($AC$1006:AF1006),$AC$1006:$AS$1006,0))&gt;=100000), " ",IF(INDEX($AC$2:$AS$1001,MATCH(ROWS($V$2:V166),$V$2:$V$1001,0),MATCH(COLUMNS($AC$1006:AF1006),$AC$1006:$AS$1006,0)), HYPERLINK("#",""), HYPERLINK(CONCATENATE("#metadata!", ADDRESS(INDEX($X$2:$X$1001,MATCH(ROWS($V$2:V166),$V$2:$V$1001,0),0), INDEX($AC$1004:$AS$1004,1,MATCH(COLUMNS($AC$1006:AF1006),$AC$1006:$AS$1006,0)))),"Fix")))</f>
        <v xml:space="preserve"> </v>
      </c>
      <c r="F166" s="4" t="str">
        <f ca="1">IF(OR(INDEX($W$2:$W$1001,MATCH(ROWS($V$2:V166),$V$2:$V$1001,0),1)&gt;=100000,INDEX($AC$1005:$AS$1005,1,MATCH(COLUMNS($AC$1006:AG1006),$AC$1006:$AS$1006,0))&gt;=100000), " ",IF(INDEX($AC$2:$AS$1001,MATCH(ROWS($V$2:V166),$V$2:$V$1001,0),MATCH(COLUMNS($AC$1006:AG1006),$AC$1006:$AS$1006,0)), HYPERLINK("#",""), HYPERLINK(CONCATENATE("#metadata!", ADDRESS(INDEX($X$2:$X$1001,MATCH(ROWS($V$2:V166),$V$2:$V$1001,0),0), INDEX($AC$1004:$AS$1004,1,MATCH(COLUMNS($AC$1006:AG1006),$AC$1006:$AS$1006,0)))),"Fix")))</f>
        <v xml:space="preserve"> </v>
      </c>
      <c r="G166" s="4" t="str">
        <f ca="1">IF(OR(INDEX($W$2:$W$1001,MATCH(ROWS($V$2:V166),$V$2:$V$1001,0),1)&gt;=100000,INDEX($AC$1005:$AS$1005,1,MATCH(COLUMNS($AC$1006:AH1006),$AC$1006:$AS$1006,0))&gt;=100000), " ",IF(INDEX($AC$2:$AS$1001,MATCH(ROWS($V$2:V166),$V$2:$V$1001,0),MATCH(COLUMNS($AC$1006:AH1006),$AC$1006:$AS$1006,0)), HYPERLINK("#",""), HYPERLINK(CONCATENATE("#metadata!", ADDRESS(INDEX($X$2:$X$1001,MATCH(ROWS($V$2:V166),$V$2:$V$1001,0),0), INDEX($AC$1004:$AS$1004,1,MATCH(COLUMNS($AC$1006:AH1006),$AC$1006:$AS$1006,0)))),"Fix")))</f>
        <v xml:space="preserve"> </v>
      </c>
      <c r="H166" s="4" t="str">
        <f ca="1">IF(OR(INDEX($W$2:$W$1001,MATCH(ROWS($V$2:V166),$V$2:$V$1001,0),1)&gt;=100000,INDEX($AC$1005:$AS$1005,1,MATCH(COLUMNS($AC$1006:AI1006),$AC$1006:$AS$1006,0))&gt;=100000), " ",IF(INDEX($AC$2:$AS$1001,MATCH(ROWS($V$2:V166),$V$2:$V$1001,0),MATCH(COLUMNS($AC$1006:AI1006),$AC$1006:$AS$1006,0)), HYPERLINK("#",""), HYPERLINK(CONCATENATE("#metadata!", ADDRESS(INDEX($X$2:$X$1001,MATCH(ROWS($V$2:V166),$V$2:$V$1001,0),0), INDEX($AC$1004:$AS$1004,1,MATCH(COLUMNS($AC$1006:AI1006),$AC$1006:$AS$1006,0)))),"Fix")))</f>
        <v xml:space="preserve"> </v>
      </c>
      <c r="I166" s="4" t="str">
        <f ca="1">IF(OR(INDEX($W$2:$W$1001,MATCH(ROWS($V$2:V166),$V$2:$V$1001,0),1)&gt;=100000,INDEX($AC$1005:$AS$1005,1,MATCH(COLUMNS($AC$1006:AJ1006),$AC$1006:$AS$1006,0))&gt;=100000), " ",IF(INDEX($AC$2:$AS$1001,MATCH(ROWS($V$2:V166),$V$2:$V$1001,0),MATCH(COLUMNS($AC$1006:AJ1006),$AC$1006:$AS$1006,0)), HYPERLINK("#",""), HYPERLINK(CONCATENATE("#metadata!", ADDRESS(INDEX($X$2:$X$1001,MATCH(ROWS($V$2:V166),$V$2:$V$1001,0),0), INDEX($AC$1004:$AS$1004,1,MATCH(COLUMNS($AC$1006:AJ1006),$AC$1006:$AS$1006,0)))),"Fix")))</f>
        <v xml:space="preserve"> </v>
      </c>
      <c r="J166" s="4" t="str">
        <f ca="1">IF(OR(INDEX($W$2:$W$1001,MATCH(ROWS($V$2:V166),$V$2:$V$1001,0),1)&gt;=100000,INDEX($AC$1005:$AS$1005,1,MATCH(COLUMNS($AC$1006:AK1006),$AC$1006:$AS$1006,0))&gt;=100000), " ",IF(INDEX($AC$2:$AS$1001,MATCH(ROWS($V$2:V166),$V$2:$V$1001,0),MATCH(COLUMNS($AC$1006:AK1006),$AC$1006:$AS$1006,0)), HYPERLINK("#",""), HYPERLINK(CONCATENATE("#metadata!", ADDRESS(INDEX($X$2:$X$1001,MATCH(ROWS($V$2:V166),$V$2:$V$1001,0),0), INDEX($AC$1004:$AS$1004,1,MATCH(COLUMNS($AC$1006:AK1006),$AC$1006:$AS$1006,0)))),"Fix")))</f>
        <v xml:space="preserve"> </v>
      </c>
      <c r="K166" s="4" t="str">
        <f ca="1">IF(OR(INDEX($W$2:$W$1001,MATCH(ROWS($V$2:V166),$V$2:$V$1001,0),1)&gt;=100000,INDEX($AC$1005:$AS$1005,1,MATCH(COLUMNS($AC$1006:AL1006),$AC$1006:$AS$1006,0))&gt;=100000), " ",IF(INDEX($AC$2:$AS$1001,MATCH(ROWS($V$2:V166),$V$2:$V$1001,0),MATCH(COLUMNS($AC$1006:AL1006),$AC$1006:$AS$1006,0)), HYPERLINK("#",""), HYPERLINK(CONCATENATE("#metadata!", ADDRESS(INDEX($X$2:$X$1001,MATCH(ROWS($V$2:V166),$V$2:$V$1001,0),0), INDEX($AC$1004:$AS$1004,1,MATCH(COLUMNS($AC$1006:AL1006),$AC$1006:$AS$1006,0)))),"Fix")))</f>
        <v xml:space="preserve"> </v>
      </c>
      <c r="L166" s="4" t="str">
        <f ca="1">IF(OR(INDEX($W$2:$W$1001,MATCH(ROWS($V$2:V166),$V$2:$V$1001,0),1)&gt;=100000,INDEX($AC$1005:$AS$1005,1,MATCH(COLUMNS($AC$1006:AM1006),$AC$1006:$AS$1006,0))&gt;=100000), " ",IF(INDEX($AC$2:$AS$1001,MATCH(ROWS($V$2:V166),$V$2:$V$1001,0),MATCH(COLUMNS($AC$1006:AM1006),$AC$1006:$AS$1006,0)), HYPERLINK("#",""), HYPERLINK(CONCATENATE("#metadata!", ADDRESS(INDEX($X$2:$X$1001,MATCH(ROWS($V$2:V166),$V$2:$V$1001,0),0), INDEX($AC$1004:$AS$1004,1,MATCH(COLUMNS($AC$1006:AM1006),$AC$1006:$AS$1006,0)))),"Fix")))</f>
        <v xml:space="preserve"> </v>
      </c>
      <c r="M166" s="4" t="str">
        <f ca="1">IF(OR(INDEX($W$2:$W$1001,MATCH(ROWS($V$2:V166),$V$2:$V$1001,0),1)&gt;=100000,INDEX($AC$1005:$AS$1005,1,MATCH(COLUMNS($AC$1006:AN1006),$AC$1006:$AS$1006,0))&gt;=100000), " ",IF(INDEX($AC$2:$AS$1001,MATCH(ROWS($V$2:V166),$V$2:$V$1001,0),MATCH(COLUMNS($AC$1006:AN1006),$AC$1006:$AS$1006,0)), HYPERLINK("#",""), HYPERLINK(CONCATENATE("#metadata!", ADDRESS(INDEX($X$2:$X$1001,MATCH(ROWS($V$2:V166),$V$2:$V$1001,0),0), INDEX($AC$1004:$AS$1004,1,MATCH(COLUMNS($AC$1006:AN1006),$AC$1006:$AS$1006,0)))),"Fix")))</f>
        <v xml:space="preserve"> </v>
      </c>
      <c r="N166" s="4" t="str">
        <f ca="1">IF(OR(INDEX($W$2:$W$1001,MATCH(ROWS($V$2:V166),$V$2:$V$1001,0),1)&gt;=100000,INDEX($AC$1005:$AS$1005,1,MATCH(COLUMNS($AC$1006:AO1006),$AC$1006:$AS$1006,0))&gt;=100000), " ",IF(INDEX($AC$2:$AS$1001,MATCH(ROWS($V$2:V166),$V$2:$V$1001,0),MATCH(COLUMNS($AC$1006:AO1006),$AC$1006:$AS$1006,0)), HYPERLINK("#",""), HYPERLINK(CONCATENATE("#metadata!", ADDRESS(INDEX($X$2:$X$1001,MATCH(ROWS($V$2:V166),$V$2:$V$1001,0),0), INDEX($AC$1004:$AS$1004,1,MATCH(COLUMNS($AC$1006:AO1006),$AC$1006:$AS$1006,0)))),"Fix")))</f>
        <v xml:space="preserve"> </v>
      </c>
      <c r="O166" s="4" t="str">
        <f ca="1">IF(OR(INDEX($W$2:$W$1001,MATCH(ROWS($V$2:V166),$V$2:$V$1001,0),1)&gt;=100000,INDEX($AC$1005:$AS$1005,1,MATCH(COLUMNS($AC$1006:AP1006),$AC$1006:$AS$1006,0))&gt;=100000), " ",IF(INDEX($AC$2:$AS$1001,MATCH(ROWS($V$2:V166),$V$2:$V$1001,0),MATCH(COLUMNS($AC$1006:AP1006),$AC$1006:$AS$1006,0)), HYPERLINK("#",""), HYPERLINK(CONCATENATE("#metadata!", ADDRESS(INDEX($X$2:$X$1001,MATCH(ROWS($V$2:V166),$V$2:$V$1001,0),0), INDEX($AC$1004:$AS$1004,1,MATCH(COLUMNS($AC$1006:AP1006),$AC$1006:$AS$1006,0)))),"Fix")))</f>
        <v xml:space="preserve"> </v>
      </c>
      <c r="P166" s="4" t="str">
        <f ca="1">IF(OR(INDEX($W$2:$W$1001,MATCH(ROWS($V$2:V166),$V$2:$V$1001,0),1)&gt;=100000,INDEX($AC$1005:$AS$1005,1,MATCH(COLUMNS($AC$1006:AQ1006),$AC$1006:$AS$1006,0))&gt;=100000), " ",IF(INDEX($AC$2:$AS$1001,MATCH(ROWS($V$2:V166),$V$2:$V$1001,0),MATCH(COLUMNS($AC$1006:AQ1006),$AC$1006:$AS$1006,0)), HYPERLINK("#",""), HYPERLINK(CONCATENATE("#metadata!", ADDRESS(INDEX($X$2:$X$1001,MATCH(ROWS($V$2:V166),$V$2:$V$1001,0),0), INDEX($AC$1004:$AS$1004,1,MATCH(COLUMNS($AC$1006:AQ1006),$AC$1006:$AS$1006,0)))),"Fix")))</f>
        <v xml:space="preserve"> </v>
      </c>
      <c r="Q166" s="4" t="str">
        <f ca="1">IF(OR(INDEX($W$2:$W$1001,MATCH(ROWS($V$2:V166),$V$2:$V$1001,0),1)&gt;=100000,INDEX($AC$1005:$AS$1005,1,MATCH(COLUMNS($AC$1006:AR1006),$AC$1006:$AS$1006,0))&gt;=100000), " ",IF(INDEX($AC$2:$AS$1001,MATCH(ROWS($V$2:V166),$V$2:$V$1001,0),MATCH(COLUMNS($AC$1006:AR1006),$AC$1006:$AS$1006,0)), HYPERLINK("#",""), HYPERLINK(CONCATENATE("#metadata!", ADDRESS(INDEX($X$2:$X$1001,MATCH(ROWS($V$2:V166),$V$2:$V$1001,0),0), INDEX($AC$1004:$AS$1004,1,MATCH(COLUMNS($AC$1006:AR1006),$AC$1006:$AS$1006,0)))),"Fix")))</f>
        <v xml:space="preserve"> </v>
      </c>
      <c r="R166" s="4" t="str">
        <f ca="1">IF(OR(INDEX($W$2:$W$1001,MATCH(ROWS($V$2:V166),$V$2:$V$1001,0),1)&gt;=100000,INDEX($AC$1005:$AS$1005,1,MATCH(COLUMNS($AC$1006:AS1006),$AC$1006:$AS$1006,0))&gt;=100000), " ",IF(INDEX($AC$2:$AS$1001,MATCH(ROWS($V$2:V166),$V$2:$V$1001,0),MATCH(COLUMNS($AC$1006:AS1006),$AC$1006:$AS$1006,0)), HYPERLINK("#",""), HYPERLINK(CONCATENATE("#metadata!", ADDRESS(INDEX($X$2:$X$1001,MATCH(ROWS($V$2:V166),$V$2:$V$1001,0),0), INDEX($AC$1004:$AS$1004,1,MATCH(COLUMNS($AC$1006:AS1006),$AC$1006:$AS$1006,0)))),"Fix")))</f>
        <v xml:space="preserve"> </v>
      </c>
      <c r="V166">
        <v>165</v>
      </c>
      <c r="W166">
        <v>100166</v>
      </c>
      <c r="X166">
        <v>166</v>
      </c>
      <c r="Y166" t="b">
        <f t="shared" si="2"/>
        <v>1</v>
      </c>
      <c r="Z166" t="b">
        <f>COUNTBLANK(metadata!B166:R166)=COLUMNS(metadata!B166:R166)</f>
        <v>1</v>
      </c>
      <c r="AA166" t="str">
        <v/>
      </c>
      <c r="AC166" t="b">
        <f ca="1"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AD166" t="b">
        <f>IF(metadata!C166="",FALSE,ISNUMBER(VALUE(metadata!C166)))</f>
        <v>0</v>
      </c>
      <c r="AE166" t="b">
        <f>AND(IF(metadata!D166="",FALSE,TRUE),EXACT(metadata!D166,"years"))</f>
        <v>0</v>
      </c>
      <c r="AF166" t="b">
        <f>OR(AND(IF(metadata!E166="",FALSE,TRUE),OR(EXACT(metadata!E166,"not applicable"),EXACT(metadata!E166,"missing: not collected"),EXACT(metadata!E166,"missing: not provided"),EXACT(metadata!E166,"missing: restricted access"))),AND(IF(metadata!E166="",FALSE,ISNUMBER(VALUE(metadata!E166))),metadata!E166&gt;0))</f>
        <v>0</v>
      </c>
      <c r="AG166" t="b">
        <f>AND(IF(metadata!F166="",FALSE,TRUE),EXACT(metadata!F166,"Not applicable"))</f>
        <v>0</v>
      </c>
      <c r="AH166" t="b">
        <f>AND(IF(metadata!G166="",FALSE,TRUE),EXACT(metadata!G166,"urban biome"))</f>
        <v>0</v>
      </c>
      <c r="AI166" t="b">
        <f>AND(IF(metadata!H166="",FALSE,TRUE),EXACT(metadata!H166,"human-associated habitat"))</f>
        <v>0</v>
      </c>
      <c r="AJ166" t="b">
        <f>AND(IF(metadata!I166="",FALSE,TRUE),OR(EXACT(metadata!I166,"human-associated"),EXACT(metadata!I166,"human-skin"),EXACT(metadata!I166,"human-oral"),EXACT(metadata!I166,"human-gut"),EXACT(metadata!I166,"human-vaginal")))</f>
        <v>0</v>
      </c>
      <c r="AK166" t="b">
        <f>IF(metadata!J166="",FALSE,ISNUMBER(VALUE(metadata!J166)))</f>
        <v>0</v>
      </c>
      <c r="AL166" t="b">
        <f>AND(IF(metadata!K166="",FALSE,TRUE),EXACT(metadata!K166,"cm"))</f>
        <v>0</v>
      </c>
      <c r="AM166" t="b">
        <f>AND(IF(metadata!L166="",FALSE,TRUE),EXACT(metadata!L166,"human"))</f>
        <v>0</v>
      </c>
      <c r="AN166" t="b">
        <f>AND(IF(metadata!M166="",FALSE,TRUE),EXACT(metadata!M166,"Homo sapiens"))</f>
        <v>0</v>
      </c>
      <c r="AO166" t="b">
        <f>AND(IF(metadata!N166="",FALSE,TRUE),EXACT(metadata!N166,"9606"))</f>
        <v>0</v>
      </c>
      <c r="AP166" t="b">
        <f>IF(metadata!O166="",FALSE,TRUE)</f>
        <v>0</v>
      </c>
      <c r="AQ166" t="b">
        <f>IF(metadata!P166="",FALSE,TRUE)</f>
        <v>0</v>
      </c>
      <c r="AR166" t="b">
        <f>IF(metadata!Q166="",FALSE,ISNUMBER(VALUE(metadata!Q166)))</f>
        <v>0</v>
      </c>
      <c r="AS166" t="b">
        <f>AND(IF(metadata!R166="",FALSE,TRUE),EXACT(metadata!R166,"kg"))</f>
        <v>0</v>
      </c>
    </row>
    <row r="167" spans="1:45" x14ac:dyDescent="0.2">
      <c r="A167" s="5" t="str">
        <f ca="1">IF(B167=" "," ",HYPERLINK(CONCATENATE("#metadata!",ADDRESS(INDEX($X$2:$X$1001,MATCH(ROWS($V$2:V167),$V$2:$V$1001,0),0),1)),INDEX($AA$2:$AA$1001,MATCH(ROWS($V$2:V167),$V$2:$V$1001,0),0)))</f>
        <v xml:space="preserve"> </v>
      </c>
      <c r="B167" s="4" t="str">
        <f ca="1">IF(OR(INDEX($W$2:$W$1001,MATCH(ROWS($V$2:V167),$V$2:$V$1001,0),1)&gt;=100000,INDEX($AC$1005:$AS$1005,1,MATCH(COLUMNS($AC$1006:AC1006),$AC$1006:$AS$1006,0))&gt;=100000), " ",IF(INDEX($AC$2:$AS$1001,MATCH(ROWS($V$2:V167),$V$2:$V$1001,0),MATCH(COLUMNS($AC$1006:AC1006),$AC$1006:$AS$1006,0)), HYPERLINK("#",""), HYPERLINK(CONCATENATE("#metadata!", ADDRESS(INDEX($X$2:$X$1001,MATCH(ROWS($V$2:V167),$V$2:$V$1001,0),0), INDEX($AC$1004:$AS$1004,1,MATCH(COLUMNS($AC$1006:AC1006),$AC$1006:$AS$1006,0)))),"Fix")))</f>
        <v xml:space="preserve"> </v>
      </c>
      <c r="C167" s="4" t="str">
        <f ca="1">IF(OR(INDEX($W$2:$W$1001,MATCH(ROWS($V$2:V167),$V$2:$V$1001,0),1)&gt;=100000,INDEX($AC$1005:$AS$1005,1,MATCH(COLUMNS($AC$1006:AD1006),$AC$1006:$AS$1006,0))&gt;=100000), " ",IF(INDEX($AC$2:$AS$1001,MATCH(ROWS($V$2:V167),$V$2:$V$1001,0),MATCH(COLUMNS($AC$1006:AD1006),$AC$1006:$AS$1006,0)), HYPERLINK("#",""), HYPERLINK(CONCATENATE("#metadata!", ADDRESS(INDEX($X$2:$X$1001,MATCH(ROWS($V$2:V167),$V$2:$V$1001,0),0), INDEX($AC$1004:$AS$1004,1,MATCH(COLUMNS($AC$1006:AD1006),$AC$1006:$AS$1006,0)))),"Fix")))</f>
        <v xml:space="preserve"> </v>
      </c>
      <c r="D167" s="4" t="str">
        <f ca="1">IF(OR(INDEX($W$2:$W$1001,MATCH(ROWS($V$2:V167),$V$2:$V$1001,0),1)&gt;=100000,INDEX($AC$1005:$AS$1005,1,MATCH(COLUMNS($AC$1006:AE1006),$AC$1006:$AS$1006,0))&gt;=100000), " ",IF(INDEX($AC$2:$AS$1001,MATCH(ROWS($V$2:V167),$V$2:$V$1001,0),MATCH(COLUMNS($AC$1006:AE1006),$AC$1006:$AS$1006,0)), HYPERLINK("#",""), HYPERLINK(CONCATENATE("#metadata!", ADDRESS(INDEX($X$2:$X$1001,MATCH(ROWS($V$2:V167),$V$2:$V$1001,0),0), INDEX($AC$1004:$AS$1004,1,MATCH(COLUMNS($AC$1006:AE1006),$AC$1006:$AS$1006,0)))),"Fix")))</f>
        <v xml:space="preserve"> </v>
      </c>
      <c r="E167" s="4" t="str">
        <f ca="1">IF(OR(INDEX($W$2:$W$1001,MATCH(ROWS($V$2:V167),$V$2:$V$1001,0),1)&gt;=100000,INDEX($AC$1005:$AS$1005,1,MATCH(COLUMNS($AC$1006:AF1006),$AC$1006:$AS$1006,0))&gt;=100000), " ",IF(INDEX($AC$2:$AS$1001,MATCH(ROWS($V$2:V167),$V$2:$V$1001,0),MATCH(COLUMNS($AC$1006:AF1006),$AC$1006:$AS$1006,0)), HYPERLINK("#",""), HYPERLINK(CONCATENATE("#metadata!", ADDRESS(INDEX($X$2:$X$1001,MATCH(ROWS($V$2:V167),$V$2:$V$1001,0),0), INDEX($AC$1004:$AS$1004,1,MATCH(COLUMNS($AC$1006:AF1006),$AC$1006:$AS$1006,0)))),"Fix")))</f>
        <v xml:space="preserve"> </v>
      </c>
      <c r="F167" s="4" t="str">
        <f ca="1">IF(OR(INDEX($W$2:$W$1001,MATCH(ROWS($V$2:V167),$V$2:$V$1001,0),1)&gt;=100000,INDEX($AC$1005:$AS$1005,1,MATCH(COLUMNS($AC$1006:AG1006),$AC$1006:$AS$1006,0))&gt;=100000), " ",IF(INDEX($AC$2:$AS$1001,MATCH(ROWS($V$2:V167),$V$2:$V$1001,0),MATCH(COLUMNS($AC$1006:AG1006),$AC$1006:$AS$1006,0)), HYPERLINK("#",""), HYPERLINK(CONCATENATE("#metadata!", ADDRESS(INDEX($X$2:$X$1001,MATCH(ROWS($V$2:V167),$V$2:$V$1001,0),0), INDEX($AC$1004:$AS$1004,1,MATCH(COLUMNS($AC$1006:AG1006),$AC$1006:$AS$1006,0)))),"Fix")))</f>
        <v xml:space="preserve"> </v>
      </c>
      <c r="G167" s="4" t="str">
        <f ca="1">IF(OR(INDEX($W$2:$W$1001,MATCH(ROWS($V$2:V167),$V$2:$V$1001,0),1)&gt;=100000,INDEX($AC$1005:$AS$1005,1,MATCH(COLUMNS($AC$1006:AH1006),$AC$1006:$AS$1006,0))&gt;=100000), " ",IF(INDEX($AC$2:$AS$1001,MATCH(ROWS($V$2:V167),$V$2:$V$1001,0),MATCH(COLUMNS($AC$1006:AH1006),$AC$1006:$AS$1006,0)), HYPERLINK("#",""), HYPERLINK(CONCATENATE("#metadata!", ADDRESS(INDEX($X$2:$X$1001,MATCH(ROWS($V$2:V167),$V$2:$V$1001,0),0), INDEX($AC$1004:$AS$1004,1,MATCH(COLUMNS($AC$1006:AH1006),$AC$1006:$AS$1006,0)))),"Fix")))</f>
        <v xml:space="preserve"> </v>
      </c>
      <c r="H167" s="4" t="str">
        <f ca="1">IF(OR(INDEX($W$2:$W$1001,MATCH(ROWS($V$2:V167),$V$2:$V$1001,0),1)&gt;=100000,INDEX($AC$1005:$AS$1005,1,MATCH(COLUMNS($AC$1006:AI1006),$AC$1006:$AS$1006,0))&gt;=100000), " ",IF(INDEX($AC$2:$AS$1001,MATCH(ROWS($V$2:V167),$V$2:$V$1001,0),MATCH(COLUMNS($AC$1006:AI1006),$AC$1006:$AS$1006,0)), HYPERLINK("#",""), HYPERLINK(CONCATENATE("#metadata!", ADDRESS(INDEX($X$2:$X$1001,MATCH(ROWS($V$2:V167),$V$2:$V$1001,0),0), INDEX($AC$1004:$AS$1004,1,MATCH(COLUMNS($AC$1006:AI1006),$AC$1006:$AS$1006,0)))),"Fix")))</f>
        <v xml:space="preserve"> </v>
      </c>
      <c r="I167" s="4" t="str">
        <f ca="1">IF(OR(INDEX($W$2:$W$1001,MATCH(ROWS($V$2:V167),$V$2:$V$1001,0),1)&gt;=100000,INDEX($AC$1005:$AS$1005,1,MATCH(COLUMNS($AC$1006:AJ1006),$AC$1006:$AS$1006,0))&gt;=100000), " ",IF(INDEX($AC$2:$AS$1001,MATCH(ROWS($V$2:V167),$V$2:$V$1001,0),MATCH(COLUMNS($AC$1006:AJ1006),$AC$1006:$AS$1006,0)), HYPERLINK("#",""), HYPERLINK(CONCATENATE("#metadata!", ADDRESS(INDEX($X$2:$X$1001,MATCH(ROWS($V$2:V167),$V$2:$V$1001,0),0), INDEX($AC$1004:$AS$1004,1,MATCH(COLUMNS($AC$1006:AJ1006),$AC$1006:$AS$1006,0)))),"Fix")))</f>
        <v xml:space="preserve"> </v>
      </c>
      <c r="J167" s="4" t="str">
        <f ca="1">IF(OR(INDEX($W$2:$W$1001,MATCH(ROWS($V$2:V167),$V$2:$V$1001,0),1)&gt;=100000,INDEX($AC$1005:$AS$1005,1,MATCH(COLUMNS($AC$1006:AK1006),$AC$1006:$AS$1006,0))&gt;=100000), " ",IF(INDEX($AC$2:$AS$1001,MATCH(ROWS($V$2:V167),$V$2:$V$1001,0),MATCH(COLUMNS($AC$1006:AK1006),$AC$1006:$AS$1006,0)), HYPERLINK("#",""), HYPERLINK(CONCATENATE("#metadata!", ADDRESS(INDEX($X$2:$X$1001,MATCH(ROWS($V$2:V167),$V$2:$V$1001,0),0), INDEX($AC$1004:$AS$1004,1,MATCH(COLUMNS($AC$1006:AK1006),$AC$1006:$AS$1006,0)))),"Fix")))</f>
        <v xml:space="preserve"> </v>
      </c>
      <c r="K167" s="4" t="str">
        <f ca="1">IF(OR(INDEX($W$2:$W$1001,MATCH(ROWS($V$2:V167),$V$2:$V$1001,0),1)&gt;=100000,INDEX($AC$1005:$AS$1005,1,MATCH(COLUMNS($AC$1006:AL1006),$AC$1006:$AS$1006,0))&gt;=100000), " ",IF(INDEX($AC$2:$AS$1001,MATCH(ROWS($V$2:V167),$V$2:$V$1001,0),MATCH(COLUMNS($AC$1006:AL1006),$AC$1006:$AS$1006,0)), HYPERLINK("#",""), HYPERLINK(CONCATENATE("#metadata!", ADDRESS(INDEX($X$2:$X$1001,MATCH(ROWS($V$2:V167),$V$2:$V$1001,0),0), INDEX($AC$1004:$AS$1004,1,MATCH(COLUMNS($AC$1006:AL1006),$AC$1006:$AS$1006,0)))),"Fix")))</f>
        <v xml:space="preserve"> </v>
      </c>
      <c r="L167" s="4" t="str">
        <f ca="1">IF(OR(INDEX($W$2:$W$1001,MATCH(ROWS($V$2:V167),$V$2:$V$1001,0),1)&gt;=100000,INDEX($AC$1005:$AS$1005,1,MATCH(COLUMNS($AC$1006:AM1006),$AC$1006:$AS$1006,0))&gt;=100000), " ",IF(INDEX($AC$2:$AS$1001,MATCH(ROWS($V$2:V167),$V$2:$V$1001,0),MATCH(COLUMNS($AC$1006:AM1006),$AC$1006:$AS$1006,0)), HYPERLINK("#",""), HYPERLINK(CONCATENATE("#metadata!", ADDRESS(INDEX($X$2:$X$1001,MATCH(ROWS($V$2:V167),$V$2:$V$1001,0),0), INDEX($AC$1004:$AS$1004,1,MATCH(COLUMNS($AC$1006:AM1006),$AC$1006:$AS$1006,0)))),"Fix")))</f>
        <v xml:space="preserve"> </v>
      </c>
      <c r="M167" s="4" t="str">
        <f ca="1">IF(OR(INDEX($W$2:$W$1001,MATCH(ROWS($V$2:V167),$V$2:$V$1001,0),1)&gt;=100000,INDEX($AC$1005:$AS$1005,1,MATCH(COLUMNS($AC$1006:AN1006),$AC$1006:$AS$1006,0))&gt;=100000), " ",IF(INDEX($AC$2:$AS$1001,MATCH(ROWS($V$2:V167),$V$2:$V$1001,0),MATCH(COLUMNS($AC$1006:AN1006),$AC$1006:$AS$1006,0)), HYPERLINK("#",""), HYPERLINK(CONCATENATE("#metadata!", ADDRESS(INDEX($X$2:$X$1001,MATCH(ROWS($V$2:V167),$V$2:$V$1001,0),0), INDEX($AC$1004:$AS$1004,1,MATCH(COLUMNS($AC$1006:AN1006),$AC$1006:$AS$1006,0)))),"Fix")))</f>
        <v xml:space="preserve"> </v>
      </c>
      <c r="N167" s="4" t="str">
        <f ca="1">IF(OR(INDEX($W$2:$W$1001,MATCH(ROWS($V$2:V167),$V$2:$V$1001,0),1)&gt;=100000,INDEX($AC$1005:$AS$1005,1,MATCH(COLUMNS($AC$1006:AO1006),$AC$1006:$AS$1006,0))&gt;=100000), " ",IF(INDEX($AC$2:$AS$1001,MATCH(ROWS($V$2:V167),$V$2:$V$1001,0),MATCH(COLUMNS($AC$1006:AO1006),$AC$1006:$AS$1006,0)), HYPERLINK("#",""), HYPERLINK(CONCATENATE("#metadata!", ADDRESS(INDEX($X$2:$X$1001,MATCH(ROWS($V$2:V167),$V$2:$V$1001,0),0), INDEX($AC$1004:$AS$1004,1,MATCH(COLUMNS($AC$1006:AO1006),$AC$1006:$AS$1006,0)))),"Fix")))</f>
        <v xml:space="preserve"> </v>
      </c>
      <c r="O167" s="4" t="str">
        <f ca="1">IF(OR(INDEX($W$2:$W$1001,MATCH(ROWS($V$2:V167),$V$2:$V$1001,0),1)&gt;=100000,INDEX($AC$1005:$AS$1005,1,MATCH(COLUMNS($AC$1006:AP1006),$AC$1006:$AS$1006,0))&gt;=100000), " ",IF(INDEX($AC$2:$AS$1001,MATCH(ROWS($V$2:V167),$V$2:$V$1001,0),MATCH(COLUMNS($AC$1006:AP1006),$AC$1006:$AS$1006,0)), HYPERLINK("#",""), HYPERLINK(CONCATENATE("#metadata!", ADDRESS(INDEX($X$2:$X$1001,MATCH(ROWS($V$2:V167),$V$2:$V$1001,0),0), INDEX($AC$1004:$AS$1004,1,MATCH(COLUMNS($AC$1006:AP1006),$AC$1006:$AS$1006,0)))),"Fix")))</f>
        <v xml:space="preserve"> </v>
      </c>
      <c r="P167" s="4" t="str">
        <f ca="1">IF(OR(INDEX($W$2:$W$1001,MATCH(ROWS($V$2:V167),$V$2:$V$1001,0),1)&gt;=100000,INDEX($AC$1005:$AS$1005,1,MATCH(COLUMNS($AC$1006:AQ1006),$AC$1006:$AS$1006,0))&gt;=100000), " ",IF(INDEX($AC$2:$AS$1001,MATCH(ROWS($V$2:V167),$V$2:$V$1001,0),MATCH(COLUMNS($AC$1006:AQ1006),$AC$1006:$AS$1006,0)), HYPERLINK("#",""), HYPERLINK(CONCATENATE("#metadata!", ADDRESS(INDEX($X$2:$X$1001,MATCH(ROWS($V$2:V167),$V$2:$V$1001,0),0), INDEX($AC$1004:$AS$1004,1,MATCH(COLUMNS($AC$1006:AQ1006),$AC$1006:$AS$1006,0)))),"Fix")))</f>
        <v xml:space="preserve"> </v>
      </c>
      <c r="Q167" s="4" t="str">
        <f ca="1">IF(OR(INDEX($W$2:$W$1001,MATCH(ROWS($V$2:V167),$V$2:$V$1001,0),1)&gt;=100000,INDEX($AC$1005:$AS$1005,1,MATCH(COLUMNS($AC$1006:AR1006),$AC$1006:$AS$1006,0))&gt;=100000), " ",IF(INDEX($AC$2:$AS$1001,MATCH(ROWS($V$2:V167),$V$2:$V$1001,0),MATCH(COLUMNS($AC$1006:AR1006),$AC$1006:$AS$1006,0)), HYPERLINK("#",""), HYPERLINK(CONCATENATE("#metadata!", ADDRESS(INDEX($X$2:$X$1001,MATCH(ROWS($V$2:V167),$V$2:$V$1001,0),0), INDEX($AC$1004:$AS$1004,1,MATCH(COLUMNS($AC$1006:AR1006),$AC$1006:$AS$1006,0)))),"Fix")))</f>
        <v xml:space="preserve"> </v>
      </c>
      <c r="R167" s="4" t="str">
        <f ca="1">IF(OR(INDEX($W$2:$W$1001,MATCH(ROWS($V$2:V167),$V$2:$V$1001,0),1)&gt;=100000,INDEX($AC$1005:$AS$1005,1,MATCH(COLUMNS($AC$1006:AS1006),$AC$1006:$AS$1006,0))&gt;=100000), " ",IF(INDEX($AC$2:$AS$1001,MATCH(ROWS($V$2:V167),$V$2:$V$1001,0),MATCH(COLUMNS($AC$1006:AS1006),$AC$1006:$AS$1006,0)), HYPERLINK("#",""), HYPERLINK(CONCATENATE("#metadata!", ADDRESS(INDEX($X$2:$X$1001,MATCH(ROWS($V$2:V167),$V$2:$V$1001,0),0), INDEX($AC$1004:$AS$1004,1,MATCH(COLUMNS($AC$1006:AS1006),$AC$1006:$AS$1006,0)))),"Fix")))</f>
        <v xml:space="preserve"> </v>
      </c>
      <c r="V167">
        <v>166</v>
      </c>
      <c r="W167">
        <v>100167</v>
      </c>
      <c r="X167">
        <v>167</v>
      </c>
      <c r="Y167" t="b">
        <f t="shared" si="2"/>
        <v>1</v>
      </c>
      <c r="Z167" t="b">
        <f>COUNTBLANK(metadata!B167:R167)=COLUMNS(metadata!B167:R167)</f>
        <v>1</v>
      </c>
      <c r="AA167" t="str">
        <v/>
      </c>
      <c r="AC167" t="b">
        <f ca="1"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AD167" t="b">
        <f>IF(metadata!C167="",FALSE,ISNUMBER(VALUE(metadata!C167)))</f>
        <v>0</v>
      </c>
      <c r="AE167" t="b">
        <f>AND(IF(metadata!D167="",FALSE,TRUE),EXACT(metadata!D167,"years"))</f>
        <v>0</v>
      </c>
      <c r="AF167" t="b">
        <f>OR(AND(IF(metadata!E167="",FALSE,TRUE),OR(EXACT(metadata!E167,"not applicable"),EXACT(metadata!E167,"missing: not collected"),EXACT(metadata!E167,"missing: not provided"),EXACT(metadata!E167,"missing: restricted access"))),AND(IF(metadata!E167="",FALSE,ISNUMBER(VALUE(metadata!E167))),metadata!E167&gt;0))</f>
        <v>0</v>
      </c>
      <c r="AG167" t="b">
        <f>AND(IF(metadata!F167="",FALSE,TRUE),EXACT(metadata!F167,"Not applicable"))</f>
        <v>0</v>
      </c>
      <c r="AH167" t="b">
        <f>AND(IF(metadata!G167="",FALSE,TRUE),EXACT(metadata!G167,"urban biome"))</f>
        <v>0</v>
      </c>
      <c r="AI167" t="b">
        <f>AND(IF(metadata!H167="",FALSE,TRUE),EXACT(metadata!H167,"human-associated habitat"))</f>
        <v>0</v>
      </c>
      <c r="AJ167" t="b">
        <f>AND(IF(metadata!I167="",FALSE,TRUE),OR(EXACT(metadata!I167,"human-associated"),EXACT(metadata!I167,"human-skin"),EXACT(metadata!I167,"human-oral"),EXACT(metadata!I167,"human-gut"),EXACT(metadata!I167,"human-vaginal")))</f>
        <v>0</v>
      </c>
      <c r="AK167" t="b">
        <f>IF(metadata!J167="",FALSE,ISNUMBER(VALUE(metadata!J167)))</f>
        <v>0</v>
      </c>
      <c r="AL167" t="b">
        <f>AND(IF(metadata!K167="",FALSE,TRUE),EXACT(metadata!K167,"cm"))</f>
        <v>0</v>
      </c>
      <c r="AM167" t="b">
        <f>AND(IF(metadata!L167="",FALSE,TRUE),EXACT(metadata!L167,"human"))</f>
        <v>0</v>
      </c>
      <c r="AN167" t="b">
        <f>AND(IF(metadata!M167="",FALSE,TRUE),EXACT(metadata!M167,"Homo sapiens"))</f>
        <v>0</v>
      </c>
      <c r="AO167" t="b">
        <f>AND(IF(metadata!N167="",FALSE,TRUE),EXACT(metadata!N167,"9606"))</f>
        <v>0</v>
      </c>
      <c r="AP167" t="b">
        <f>IF(metadata!O167="",FALSE,TRUE)</f>
        <v>0</v>
      </c>
      <c r="AQ167" t="b">
        <f>IF(metadata!P167="",FALSE,TRUE)</f>
        <v>0</v>
      </c>
      <c r="AR167" t="b">
        <f>IF(metadata!Q167="",FALSE,ISNUMBER(VALUE(metadata!Q167)))</f>
        <v>0</v>
      </c>
      <c r="AS167" t="b">
        <f>AND(IF(metadata!R167="",FALSE,TRUE),EXACT(metadata!R167,"kg"))</f>
        <v>0</v>
      </c>
    </row>
    <row r="168" spans="1:45" x14ac:dyDescent="0.2">
      <c r="A168" s="5" t="str">
        <f ca="1">IF(B168=" "," ",HYPERLINK(CONCATENATE("#metadata!",ADDRESS(INDEX($X$2:$X$1001,MATCH(ROWS($V$2:V168),$V$2:$V$1001,0),0),1)),INDEX($AA$2:$AA$1001,MATCH(ROWS($V$2:V168),$V$2:$V$1001,0),0)))</f>
        <v xml:space="preserve"> </v>
      </c>
      <c r="B168" s="4" t="str">
        <f ca="1">IF(OR(INDEX($W$2:$W$1001,MATCH(ROWS($V$2:V168),$V$2:$V$1001,0),1)&gt;=100000,INDEX($AC$1005:$AS$1005,1,MATCH(COLUMNS($AC$1006:AC1006),$AC$1006:$AS$1006,0))&gt;=100000), " ",IF(INDEX($AC$2:$AS$1001,MATCH(ROWS($V$2:V168),$V$2:$V$1001,0),MATCH(COLUMNS($AC$1006:AC1006),$AC$1006:$AS$1006,0)), HYPERLINK("#",""), HYPERLINK(CONCATENATE("#metadata!", ADDRESS(INDEX($X$2:$X$1001,MATCH(ROWS($V$2:V168),$V$2:$V$1001,0),0), INDEX($AC$1004:$AS$1004,1,MATCH(COLUMNS($AC$1006:AC1006),$AC$1006:$AS$1006,0)))),"Fix")))</f>
        <v xml:space="preserve"> </v>
      </c>
      <c r="C168" s="4" t="str">
        <f ca="1">IF(OR(INDEX($W$2:$W$1001,MATCH(ROWS($V$2:V168),$V$2:$V$1001,0),1)&gt;=100000,INDEX($AC$1005:$AS$1005,1,MATCH(COLUMNS($AC$1006:AD1006),$AC$1006:$AS$1006,0))&gt;=100000), " ",IF(INDEX($AC$2:$AS$1001,MATCH(ROWS($V$2:V168),$V$2:$V$1001,0),MATCH(COLUMNS($AC$1006:AD1006),$AC$1006:$AS$1006,0)), HYPERLINK("#",""), HYPERLINK(CONCATENATE("#metadata!", ADDRESS(INDEX($X$2:$X$1001,MATCH(ROWS($V$2:V168),$V$2:$V$1001,0),0), INDEX($AC$1004:$AS$1004,1,MATCH(COLUMNS($AC$1006:AD1006),$AC$1006:$AS$1006,0)))),"Fix")))</f>
        <v xml:space="preserve"> </v>
      </c>
      <c r="D168" s="4" t="str">
        <f ca="1">IF(OR(INDEX($W$2:$W$1001,MATCH(ROWS($V$2:V168),$V$2:$V$1001,0),1)&gt;=100000,INDEX($AC$1005:$AS$1005,1,MATCH(COLUMNS($AC$1006:AE1006),$AC$1006:$AS$1006,0))&gt;=100000), " ",IF(INDEX($AC$2:$AS$1001,MATCH(ROWS($V$2:V168),$V$2:$V$1001,0),MATCH(COLUMNS($AC$1006:AE1006),$AC$1006:$AS$1006,0)), HYPERLINK("#",""), HYPERLINK(CONCATENATE("#metadata!", ADDRESS(INDEX($X$2:$X$1001,MATCH(ROWS($V$2:V168),$V$2:$V$1001,0),0), INDEX($AC$1004:$AS$1004,1,MATCH(COLUMNS($AC$1006:AE1006),$AC$1006:$AS$1006,0)))),"Fix")))</f>
        <v xml:space="preserve"> </v>
      </c>
      <c r="E168" s="4" t="str">
        <f ca="1">IF(OR(INDEX($W$2:$W$1001,MATCH(ROWS($V$2:V168),$V$2:$V$1001,0),1)&gt;=100000,INDEX($AC$1005:$AS$1005,1,MATCH(COLUMNS($AC$1006:AF1006),$AC$1006:$AS$1006,0))&gt;=100000), " ",IF(INDEX($AC$2:$AS$1001,MATCH(ROWS($V$2:V168),$V$2:$V$1001,0),MATCH(COLUMNS($AC$1006:AF1006),$AC$1006:$AS$1006,0)), HYPERLINK("#",""), HYPERLINK(CONCATENATE("#metadata!", ADDRESS(INDEX($X$2:$X$1001,MATCH(ROWS($V$2:V168),$V$2:$V$1001,0),0), INDEX($AC$1004:$AS$1004,1,MATCH(COLUMNS($AC$1006:AF1006),$AC$1006:$AS$1006,0)))),"Fix")))</f>
        <v xml:space="preserve"> </v>
      </c>
      <c r="F168" s="4" t="str">
        <f ca="1">IF(OR(INDEX($W$2:$W$1001,MATCH(ROWS($V$2:V168),$V$2:$V$1001,0),1)&gt;=100000,INDEX($AC$1005:$AS$1005,1,MATCH(COLUMNS($AC$1006:AG1006),$AC$1006:$AS$1006,0))&gt;=100000), " ",IF(INDEX($AC$2:$AS$1001,MATCH(ROWS($V$2:V168),$V$2:$V$1001,0),MATCH(COLUMNS($AC$1006:AG1006),$AC$1006:$AS$1006,0)), HYPERLINK("#",""), HYPERLINK(CONCATENATE("#metadata!", ADDRESS(INDEX($X$2:$X$1001,MATCH(ROWS($V$2:V168),$V$2:$V$1001,0),0), INDEX($AC$1004:$AS$1004,1,MATCH(COLUMNS($AC$1006:AG1006),$AC$1006:$AS$1006,0)))),"Fix")))</f>
        <v xml:space="preserve"> </v>
      </c>
      <c r="G168" s="4" t="str">
        <f ca="1">IF(OR(INDEX($W$2:$W$1001,MATCH(ROWS($V$2:V168),$V$2:$V$1001,0),1)&gt;=100000,INDEX($AC$1005:$AS$1005,1,MATCH(COLUMNS($AC$1006:AH1006),$AC$1006:$AS$1006,0))&gt;=100000), " ",IF(INDEX($AC$2:$AS$1001,MATCH(ROWS($V$2:V168),$V$2:$V$1001,0),MATCH(COLUMNS($AC$1006:AH1006),$AC$1006:$AS$1006,0)), HYPERLINK("#",""), HYPERLINK(CONCATENATE("#metadata!", ADDRESS(INDEX($X$2:$X$1001,MATCH(ROWS($V$2:V168),$V$2:$V$1001,0),0), INDEX($AC$1004:$AS$1004,1,MATCH(COLUMNS($AC$1006:AH1006),$AC$1006:$AS$1006,0)))),"Fix")))</f>
        <v xml:space="preserve"> </v>
      </c>
      <c r="H168" s="4" t="str">
        <f ca="1">IF(OR(INDEX($W$2:$W$1001,MATCH(ROWS($V$2:V168),$V$2:$V$1001,0),1)&gt;=100000,INDEX($AC$1005:$AS$1005,1,MATCH(COLUMNS($AC$1006:AI1006),$AC$1006:$AS$1006,0))&gt;=100000), " ",IF(INDEX($AC$2:$AS$1001,MATCH(ROWS($V$2:V168),$V$2:$V$1001,0),MATCH(COLUMNS($AC$1006:AI1006),$AC$1006:$AS$1006,0)), HYPERLINK("#",""), HYPERLINK(CONCATENATE("#metadata!", ADDRESS(INDEX($X$2:$X$1001,MATCH(ROWS($V$2:V168),$V$2:$V$1001,0),0), INDEX($AC$1004:$AS$1004,1,MATCH(COLUMNS($AC$1006:AI1006),$AC$1006:$AS$1006,0)))),"Fix")))</f>
        <v xml:space="preserve"> </v>
      </c>
      <c r="I168" s="4" t="str">
        <f ca="1">IF(OR(INDEX($W$2:$W$1001,MATCH(ROWS($V$2:V168),$V$2:$V$1001,0),1)&gt;=100000,INDEX($AC$1005:$AS$1005,1,MATCH(COLUMNS($AC$1006:AJ1006),$AC$1006:$AS$1006,0))&gt;=100000), " ",IF(INDEX($AC$2:$AS$1001,MATCH(ROWS($V$2:V168),$V$2:$V$1001,0),MATCH(COLUMNS($AC$1006:AJ1006),$AC$1006:$AS$1006,0)), HYPERLINK("#",""), HYPERLINK(CONCATENATE("#metadata!", ADDRESS(INDEX($X$2:$X$1001,MATCH(ROWS($V$2:V168),$V$2:$V$1001,0),0), INDEX($AC$1004:$AS$1004,1,MATCH(COLUMNS($AC$1006:AJ1006),$AC$1006:$AS$1006,0)))),"Fix")))</f>
        <v xml:space="preserve"> </v>
      </c>
      <c r="J168" s="4" t="str">
        <f ca="1">IF(OR(INDEX($W$2:$W$1001,MATCH(ROWS($V$2:V168),$V$2:$V$1001,0),1)&gt;=100000,INDEX($AC$1005:$AS$1005,1,MATCH(COLUMNS($AC$1006:AK1006),$AC$1006:$AS$1006,0))&gt;=100000), " ",IF(INDEX($AC$2:$AS$1001,MATCH(ROWS($V$2:V168),$V$2:$V$1001,0),MATCH(COLUMNS($AC$1006:AK1006),$AC$1006:$AS$1006,0)), HYPERLINK("#",""), HYPERLINK(CONCATENATE("#metadata!", ADDRESS(INDEX($X$2:$X$1001,MATCH(ROWS($V$2:V168),$V$2:$V$1001,0),0), INDEX($AC$1004:$AS$1004,1,MATCH(COLUMNS($AC$1006:AK1006),$AC$1006:$AS$1006,0)))),"Fix")))</f>
        <v xml:space="preserve"> </v>
      </c>
      <c r="K168" s="4" t="str">
        <f ca="1">IF(OR(INDEX($W$2:$W$1001,MATCH(ROWS($V$2:V168),$V$2:$V$1001,0),1)&gt;=100000,INDEX($AC$1005:$AS$1005,1,MATCH(COLUMNS($AC$1006:AL1006),$AC$1006:$AS$1006,0))&gt;=100000), " ",IF(INDEX($AC$2:$AS$1001,MATCH(ROWS($V$2:V168),$V$2:$V$1001,0),MATCH(COLUMNS($AC$1006:AL1006),$AC$1006:$AS$1006,0)), HYPERLINK("#",""), HYPERLINK(CONCATENATE("#metadata!", ADDRESS(INDEX($X$2:$X$1001,MATCH(ROWS($V$2:V168),$V$2:$V$1001,0),0), INDEX($AC$1004:$AS$1004,1,MATCH(COLUMNS($AC$1006:AL1006),$AC$1006:$AS$1006,0)))),"Fix")))</f>
        <v xml:space="preserve"> </v>
      </c>
      <c r="L168" s="4" t="str">
        <f ca="1">IF(OR(INDEX($W$2:$W$1001,MATCH(ROWS($V$2:V168),$V$2:$V$1001,0),1)&gt;=100000,INDEX($AC$1005:$AS$1005,1,MATCH(COLUMNS($AC$1006:AM1006),$AC$1006:$AS$1006,0))&gt;=100000), " ",IF(INDEX($AC$2:$AS$1001,MATCH(ROWS($V$2:V168),$V$2:$V$1001,0),MATCH(COLUMNS($AC$1006:AM1006),$AC$1006:$AS$1006,0)), HYPERLINK("#",""), HYPERLINK(CONCATENATE("#metadata!", ADDRESS(INDEX($X$2:$X$1001,MATCH(ROWS($V$2:V168),$V$2:$V$1001,0),0), INDEX($AC$1004:$AS$1004,1,MATCH(COLUMNS($AC$1006:AM1006),$AC$1006:$AS$1006,0)))),"Fix")))</f>
        <v xml:space="preserve"> </v>
      </c>
      <c r="M168" s="4" t="str">
        <f ca="1">IF(OR(INDEX($W$2:$W$1001,MATCH(ROWS($V$2:V168),$V$2:$V$1001,0),1)&gt;=100000,INDEX($AC$1005:$AS$1005,1,MATCH(COLUMNS($AC$1006:AN1006),$AC$1006:$AS$1006,0))&gt;=100000), " ",IF(INDEX($AC$2:$AS$1001,MATCH(ROWS($V$2:V168),$V$2:$V$1001,0),MATCH(COLUMNS($AC$1006:AN1006),$AC$1006:$AS$1006,0)), HYPERLINK("#",""), HYPERLINK(CONCATENATE("#metadata!", ADDRESS(INDEX($X$2:$X$1001,MATCH(ROWS($V$2:V168),$V$2:$V$1001,0),0), INDEX($AC$1004:$AS$1004,1,MATCH(COLUMNS($AC$1006:AN1006),$AC$1006:$AS$1006,0)))),"Fix")))</f>
        <v xml:space="preserve"> </v>
      </c>
      <c r="N168" s="4" t="str">
        <f ca="1">IF(OR(INDEX($W$2:$W$1001,MATCH(ROWS($V$2:V168),$V$2:$V$1001,0),1)&gt;=100000,INDEX($AC$1005:$AS$1005,1,MATCH(COLUMNS($AC$1006:AO1006),$AC$1006:$AS$1006,0))&gt;=100000), " ",IF(INDEX($AC$2:$AS$1001,MATCH(ROWS($V$2:V168),$V$2:$V$1001,0),MATCH(COLUMNS($AC$1006:AO1006),$AC$1006:$AS$1006,0)), HYPERLINK("#",""), HYPERLINK(CONCATENATE("#metadata!", ADDRESS(INDEX($X$2:$X$1001,MATCH(ROWS($V$2:V168),$V$2:$V$1001,0),0), INDEX($AC$1004:$AS$1004,1,MATCH(COLUMNS($AC$1006:AO1006),$AC$1006:$AS$1006,0)))),"Fix")))</f>
        <v xml:space="preserve"> </v>
      </c>
      <c r="O168" s="4" t="str">
        <f ca="1">IF(OR(INDEX($W$2:$W$1001,MATCH(ROWS($V$2:V168),$V$2:$V$1001,0),1)&gt;=100000,INDEX($AC$1005:$AS$1005,1,MATCH(COLUMNS($AC$1006:AP1006),$AC$1006:$AS$1006,0))&gt;=100000), " ",IF(INDEX($AC$2:$AS$1001,MATCH(ROWS($V$2:V168),$V$2:$V$1001,0),MATCH(COLUMNS($AC$1006:AP1006),$AC$1006:$AS$1006,0)), HYPERLINK("#",""), HYPERLINK(CONCATENATE("#metadata!", ADDRESS(INDEX($X$2:$X$1001,MATCH(ROWS($V$2:V168),$V$2:$V$1001,0),0), INDEX($AC$1004:$AS$1004,1,MATCH(COLUMNS($AC$1006:AP1006),$AC$1006:$AS$1006,0)))),"Fix")))</f>
        <v xml:space="preserve"> </v>
      </c>
      <c r="P168" s="4" t="str">
        <f ca="1">IF(OR(INDEX($W$2:$W$1001,MATCH(ROWS($V$2:V168),$V$2:$V$1001,0),1)&gt;=100000,INDEX($AC$1005:$AS$1005,1,MATCH(COLUMNS($AC$1006:AQ1006),$AC$1006:$AS$1006,0))&gt;=100000), " ",IF(INDEX($AC$2:$AS$1001,MATCH(ROWS($V$2:V168),$V$2:$V$1001,0),MATCH(COLUMNS($AC$1006:AQ1006),$AC$1006:$AS$1006,0)), HYPERLINK("#",""), HYPERLINK(CONCATENATE("#metadata!", ADDRESS(INDEX($X$2:$X$1001,MATCH(ROWS($V$2:V168),$V$2:$V$1001,0),0), INDEX($AC$1004:$AS$1004,1,MATCH(COLUMNS($AC$1006:AQ1006),$AC$1006:$AS$1006,0)))),"Fix")))</f>
        <v xml:space="preserve"> </v>
      </c>
      <c r="Q168" s="4" t="str">
        <f ca="1">IF(OR(INDEX($W$2:$W$1001,MATCH(ROWS($V$2:V168),$V$2:$V$1001,0),1)&gt;=100000,INDEX($AC$1005:$AS$1005,1,MATCH(COLUMNS($AC$1006:AR1006),$AC$1006:$AS$1006,0))&gt;=100000), " ",IF(INDEX($AC$2:$AS$1001,MATCH(ROWS($V$2:V168),$V$2:$V$1001,0),MATCH(COLUMNS($AC$1006:AR1006),$AC$1006:$AS$1006,0)), HYPERLINK("#",""), HYPERLINK(CONCATENATE("#metadata!", ADDRESS(INDEX($X$2:$X$1001,MATCH(ROWS($V$2:V168),$V$2:$V$1001,0),0), INDEX($AC$1004:$AS$1004,1,MATCH(COLUMNS($AC$1006:AR1006),$AC$1006:$AS$1006,0)))),"Fix")))</f>
        <v xml:space="preserve"> </v>
      </c>
      <c r="R168" s="4" t="str">
        <f ca="1">IF(OR(INDEX($W$2:$W$1001,MATCH(ROWS($V$2:V168),$V$2:$V$1001,0),1)&gt;=100000,INDEX($AC$1005:$AS$1005,1,MATCH(COLUMNS($AC$1006:AS1006),$AC$1006:$AS$1006,0))&gt;=100000), " ",IF(INDEX($AC$2:$AS$1001,MATCH(ROWS($V$2:V168),$V$2:$V$1001,0),MATCH(COLUMNS($AC$1006:AS1006),$AC$1006:$AS$1006,0)), HYPERLINK("#",""), HYPERLINK(CONCATENATE("#metadata!", ADDRESS(INDEX($X$2:$X$1001,MATCH(ROWS($V$2:V168),$V$2:$V$1001,0),0), INDEX($AC$1004:$AS$1004,1,MATCH(COLUMNS($AC$1006:AS1006),$AC$1006:$AS$1006,0)))),"Fix")))</f>
        <v xml:space="preserve"> </v>
      </c>
      <c r="V168">
        <v>167</v>
      </c>
      <c r="W168">
        <v>100168</v>
      </c>
      <c r="X168">
        <v>168</v>
      </c>
      <c r="Y168" t="b">
        <f t="shared" si="2"/>
        <v>1</v>
      </c>
      <c r="Z168" t="b">
        <f>COUNTBLANK(metadata!B168:R168)=COLUMNS(metadata!B168:R168)</f>
        <v>1</v>
      </c>
      <c r="AA168" t="str">
        <v/>
      </c>
      <c r="AC168" t="b">
        <f ca="1"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AD168" t="b">
        <f>IF(metadata!C168="",FALSE,ISNUMBER(VALUE(metadata!C168)))</f>
        <v>0</v>
      </c>
      <c r="AE168" t="b">
        <f>AND(IF(metadata!D168="",FALSE,TRUE),EXACT(metadata!D168,"years"))</f>
        <v>0</v>
      </c>
      <c r="AF168" t="b">
        <f>OR(AND(IF(metadata!E168="",FALSE,TRUE),OR(EXACT(metadata!E168,"not applicable"),EXACT(metadata!E168,"missing: not collected"),EXACT(metadata!E168,"missing: not provided"),EXACT(metadata!E168,"missing: restricted access"))),AND(IF(metadata!E168="",FALSE,ISNUMBER(VALUE(metadata!E168))),metadata!E168&gt;0))</f>
        <v>0</v>
      </c>
      <c r="AG168" t="b">
        <f>AND(IF(metadata!F168="",FALSE,TRUE),EXACT(metadata!F168,"Not applicable"))</f>
        <v>0</v>
      </c>
      <c r="AH168" t="b">
        <f>AND(IF(metadata!G168="",FALSE,TRUE),EXACT(metadata!G168,"urban biome"))</f>
        <v>0</v>
      </c>
      <c r="AI168" t="b">
        <f>AND(IF(metadata!H168="",FALSE,TRUE),EXACT(metadata!H168,"human-associated habitat"))</f>
        <v>0</v>
      </c>
      <c r="AJ168" t="b">
        <f>AND(IF(metadata!I168="",FALSE,TRUE),OR(EXACT(metadata!I168,"human-associated"),EXACT(metadata!I168,"human-skin"),EXACT(metadata!I168,"human-oral"),EXACT(metadata!I168,"human-gut"),EXACT(metadata!I168,"human-vaginal")))</f>
        <v>0</v>
      </c>
      <c r="AK168" t="b">
        <f>IF(metadata!J168="",FALSE,ISNUMBER(VALUE(metadata!J168)))</f>
        <v>0</v>
      </c>
      <c r="AL168" t="b">
        <f>AND(IF(metadata!K168="",FALSE,TRUE),EXACT(metadata!K168,"cm"))</f>
        <v>0</v>
      </c>
      <c r="AM168" t="b">
        <f>AND(IF(metadata!L168="",FALSE,TRUE),EXACT(metadata!L168,"human"))</f>
        <v>0</v>
      </c>
      <c r="AN168" t="b">
        <f>AND(IF(metadata!M168="",FALSE,TRUE),EXACT(metadata!M168,"Homo sapiens"))</f>
        <v>0</v>
      </c>
      <c r="AO168" t="b">
        <f>AND(IF(metadata!N168="",FALSE,TRUE),EXACT(metadata!N168,"9606"))</f>
        <v>0</v>
      </c>
      <c r="AP168" t="b">
        <f>IF(metadata!O168="",FALSE,TRUE)</f>
        <v>0</v>
      </c>
      <c r="AQ168" t="b">
        <f>IF(metadata!P168="",FALSE,TRUE)</f>
        <v>0</v>
      </c>
      <c r="AR168" t="b">
        <f>IF(metadata!Q168="",FALSE,ISNUMBER(VALUE(metadata!Q168)))</f>
        <v>0</v>
      </c>
      <c r="AS168" t="b">
        <f>AND(IF(metadata!R168="",FALSE,TRUE),EXACT(metadata!R168,"kg"))</f>
        <v>0</v>
      </c>
    </row>
    <row r="169" spans="1:45" x14ac:dyDescent="0.2">
      <c r="A169" s="5" t="str">
        <f ca="1">IF(B169=" "," ",HYPERLINK(CONCATENATE("#metadata!",ADDRESS(INDEX($X$2:$X$1001,MATCH(ROWS($V$2:V169),$V$2:$V$1001,0),0),1)),INDEX($AA$2:$AA$1001,MATCH(ROWS($V$2:V169),$V$2:$V$1001,0),0)))</f>
        <v xml:space="preserve"> </v>
      </c>
      <c r="B169" s="4" t="str">
        <f ca="1">IF(OR(INDEX($W$2:$W$1001,MATCH(ROWS($V$2:V169),$V$2:$V$1001,0),1)&gt;=100000,INDEX($AC$1005:$AS$1005,1,MATCH(COLUMNS($AC$1006:AC1006),$AC$1006:$AS$1006,0))&gt;=100000), " ",IF(INDEX($AC$2:$AS$1001,MATCH(ROWS($V$2:V169),$V$2:$V$1001,0),MATCH(COLUMNS($AC$1006:AC1006),$AC$1006:$AS$1006,0)), HYPERLINK("#",""), HYPERLINK(CONCATENATE("#metadata!", ADDRESS(INDEX($X$2:$X$1001,MATCH(ROWS($V$2:V169),$V$2:$V$1001,0),0), INDEX($AC$1004:$AS$1004,1,MATCH(COLUMNS($AC$1006:AC1006),$AC$1006:$AS$1006,0)))),"Fix")))</f>
        <v xml:space="preserve"> </v>
      </c>
      <c r="C169" s="4" t="str">
        <f ca="1">IF(OR(INDEX($W$2:$W$1001,MATCH(ROWS($V$2:V169),$V$2:$V$1001,0),1)&gt;=100000,INDEX($AC$1005:$AS$1005,1,MATCH(COLUMNS($AC$1006:AD1006),$AC$1006:$AS$1006,0))&gt;=100000), " ",IF(INDEX($AC$2:$AS$1001,MATCH(ROWS($V$2:V169),$V$2:$V$1001,0),MATCH(COLUMNS($AC$1006:AD1006),$AC$1006:$AS$1006,0)), HYPERLINK("#",""), HYPERLINK(CONCATENATE("#metadata!", ADDRESS(INDEX($X$2:$X$1001,MATCH(ROWS($V$2:V169),$V$2:$V$1001,0),0), INDEX($AC$1004:$AS$1004,1,MATCH(COLUMNS($AC$1006:AD1006),$AC$1006:$AS$1006,0)))),"Fix")))</f>
        <v xml:space="preserve"> </v>
      </c>
      <c r="D169" s="4" t="str">
        <f ca="1">IF(OR(INDEX($W$2:$W$1001,MATCH(ROWS($V$2:V169),$V$2:$V$1001,0),1)&gt;=100000,INDEX($AC$1005:$AS$1005,1,MATCH(COLUMNS($AC$1006:AE1006),$AC$1006:$AS$1006,0))&gt;=100000), " ",IF(INDEX($AC$2:$AS$1001,MATCH(ROWS($V$2:V169),$V$2:$V$1001,0),MATCH(COLUMNS($AC$1006:AE1006),$AC$1006:$AS$1006,0)), HYPERLINK("#",""), HYPERLINK(CONCATENATE("#metadata!", ADDRESS(INDEX($X$2:$X$1001,MATCH(ROWS($V$2:V169),$V$2:$V$1001,0),0), INDEX($AC$1004:$AS$1004,1,MATCH(COLUMNS($AC$1006:AE1006),$AC$1006:$AS$1006,0)))),"Fix")))</f>
        <v xml:space="preserve"> </v>
      </c>
      <c r="E169" s="4" t="str">
        <f ca="1">IF(OR(INDEX($W$2:$W$1001,MATCH(ROWS($V$2:V169),$V$2:$V$1001,0),1)&gt;=100000,INDEX($AC$1005:$AS$1005,1,MATCH(COLUMNS($AC$1006:AF1006),$AC$1006:$AS$1006,0))&gt;=100000), " ",IF(INDEX($AC$2:$AS$1001,MATCH(ROWS($V$2:V169),$V$2:$V$1001,0),MATCH(COLUMNS($AC$1006:AF1006),$AC$1006:$AS$1006,0)), HYPERLINK("#",""), HYPERLINK(CONCATENATE("#metadata!", ADDRESS(INDEX($X$2:$X$1001,MATCH(ROWS($V$2:V169),$V$2:$V$1001,0),0), INDEX($AC$1004:$AS$1004,1,MATCH(COLUMNS($AC$1006:AF1006),$AC$1006:$AS$1006,0)))),"Fix")))</f>
        <v xml:space="preserve"> </v>
      </c>
      <c r="F169" s="4" t="str">
        <f ca="1">IF(OR(INDEX($W$2:$W$1001,MATCH(ROWS($V$2:V169),$V$2:$V$1001,0),1)&gt;=100000,INDEX($AC$1005:$AS$1005,1,MATCH(COLUMNS($AC$1006:AG1006),$AC$1006:$AS$1006,0))&gt;=100000), " ",IF(INDEX($AC$2:$AS$1001,MATCH(ROWS($V$2:V169),$V$2:$V$1001,0),MATCH(COLUMNS($AC$1006:AG1006),$AC$1006:$AS$1006,0)), HYPERLINK("#",""), HYPERLINK(CONCATENATE("#metadata!", ADDRESS(INDEX($X$2:$X$1001,MATCH(ROWS($V$2:V169),$V$2:$V$1001,0),0), INDEX($AC$1004:$AS$1004,1,MATCH(COLUMNS($AC$1006:AG1006),$AC$1006:$AS$1006,0)))),"Fix")))</f>
        <v xml:space="preserve"> </v>
      </c>
      <c r="G169" s="4" t="str">
        <f ca="1">IF(OR(INDEX($W$2:$W$1001,MATCH(ROWS($V$2:V169),$V$2:$V$1001,0),1)&gt;=100000,INDEX($AC$1005:$AS$1005,1,MATCH(COLUMNS($AC$1006:AH1006),$AC$1006:$AS$1006,0))&gt;=100000), " ",IF(INDEX($AC$2:$AS$1001,MATCH(ROWS($V$2:V169),$V$2:$V$1001,0),MATCH(COLUMNS($AC$1006:AH1006),$AC$1006:$AS$1006,0)), HYPERLINK("#",""), HYPERLINK(CONCATENATE("#metadata!", ADDRESS(INDEX($X$2:$X$1001,MATCH(ROWS($V$2:V169),$V$2:$V$1001,0),0), INDEX($AC$1004:$AS$1004,1,MATCH(COLUMNS($AC$1006:AH1006),$AC$1006:$AS$1006,0)))),"Fix")))</f>
        <v xml:space="preserve"> </v>
      </c>
      <c r="H169" s="4" t="str">
        <f ca="1">IF(OR(INDEX($W$2:$W$1001,MATCH(ROWS($V$2:V169),$V$2:$V$1001,0),1)&gt;=100000,INDEX($AC$1005:$AS$1005,1,MATCH(COLUMNS($AC$1006:AI1006),$AC$1006:$AS$1006,0))&gt;=100000), " ",IF(INDEX($AC$2:$AS$1001,MATCH(ROWS($V$2:V169),$V$2:$V$1001,0),MATCH(COLUMNS($AC$1006:AI1006),$AC$1006:$AS$1006,0)), HYPERLINK("#",""), HYPERLINK(CONCATENATE("#metadata!", ADDRESS(INDEX($X$2:$X$1001,MATCH(ROWS($V$2:V169),$V$2:$V$1001,0),0), INDEX($AC$1004:$AS$1004,1,MATCH(COLUMNS($AC$1006:AI1006),$AC$1006:$AS$1006,0)))),"Fix")))</f>
        <v xml:space="preserve"> </v>
      </c>
      <c r="I169" s="4" t="str">
        <f ca="1">IF(OR(INDEX($W$2:$W$1001,MATCH(ROWS($V$2:V169),$V$2:$V$1001,0),1)&gt;=100000,INDEX($AC$1005:$AS$1005,1,MATCH(COLUMNS($AC$1006:AJ1006),$AC$1006:$AS$1006,0))&gt;=100000), " ",IF(INDEX($AC$2:$AS$1001,MATCH(ROWS($V$2:V169),$V$2:$V$1001,0),MATCH(COLUMNS($AC$1006:AJ1006),$AC$1006:$AS$1006,0)), HYPERLINK("#",""), HYPERLINK(CONCATENATE("#metadata!", ADDRESS(INDEX($X$2:$X$1001,MATCH(ROWS($V$2:V169),$V$2:$V$1001,0),0), INDEX($AC$1004:$AS$1004,1,MATCH(COLUMNS($AC$1006:AJ1006),$AC$1006:$AS$1006,0)))),"Fix")))</f>
        <v xml:space="preserve"> </v>
      </c>
      <c r="J169" s="4" t="str">
        <f ca="1">IF(OR(INDEX($W$2:$W$1001,MATCH(ROWS($V$2:V169),$V$2:$V$1001,0),1)&gt;=100000,INDEX($AC$1005:$AS$1005,1,MATCH(COLUMNS($AC$1006:AK1006),$AC$1006:$AS$1006,0))&gt;=100000), " ",IF(INDEX($AC$2:$AS$1001,MATCH(ROWS($V$2:V169),$V$2:$V$1001,0),MATCH(COLUMNS($AC$1006:AK1006),$AC$1006:$AS$1006,0)), HYPERLINK("#",""), HYPERLINK(CONCATENATE("#metadata!", ADDRESS(INDEX($X$2:$X$1001,MATCH(ROWS($V$2:V169),$V$2:$V$1001,0),0), INDEX($AC$1004:$AS$1004,1,MATCH(COLUMNS($AC$1006:AK1006),$AC$1006:$AS$1006,0)))),"Fix")))</f>
        <v xml:space="preserve"> </v>
      </c>
      <c r="K169" s="4" t="str">
        <f ca="1">IF(OR(INDEX($W$2:$W$1001,MATCH(ROWS($V$2:V169),$V$2:$V$1001,0),1)&gt;=100000,INDEX($AC$1005:$AS$1005,1,MATCH(COLUMNS($AC$1006:AL1006),$AC$1006:$AS$1006,0))&gt;=100000), " ",IF(INDEX($AC$2:$AS$1001,MATCH(ROWS($V$2:V169),$V$2:$V$1001,0),MATCH(COLUMNS($AC$1006:AL1006),$AC$1006:$AS$1006,0)), HYPERLINK("#",""), HYPERLINK(CONCATENATE("#metadata!", ADDRESS(INDEX($X$2:$X$1001,MATCH(ROWS($V$2:V169),$V$2:$V$1001,0),0), INDEX($AC$1004:$AS$1004,1,MATCH(COLUMNS($AC$1006:AL1006),$AC$1006:$AS$1006,0)))),"Fix")))</f>
        <v xml:space="preserve"> </v>
      </c>
      <c r="L169" s="4" t="str">
        <f ca="1">IF(OR(INDEX($W$2:$W$1001,MATCH(ROWS($V$2:V169),$V$2:$V$1001,0),1)&gt;=100000,INDEX($AC$1005:$AS$1005,1,MATCH(COLUMNS($AC$1006:AM1006),$AC$1006:$AS$1006,0))&gt;=100000), " ",IF(INDEX($AC$2:$AS$1001,MATCH(ROWS($V$2:V169),$V$2:$V$1001,0),MATCH(COLUMNS($AC$1006:AM1006),$AC$1006:$AS$1006,0)), HYPERLINK("#",""), HYPERLINK(CONCATENATE("#metadata!", ADDRESS(INDEX($X$2:$X$1001,MATCH(ROWS($V$2:V169),$V$2:$V$1001,0),0), INDEX($AC$1004:$AS$1004,1,MATCH(COLUMNS($AC$1006:AM1006),$AC$1006:$AS$1006,0)))),"Fix")))</f>
        <v xml:space="preserve"> </v>
      </c>
      <c r="M169" s="4" t="str">
        <f ca="1">IF(OR(INDEX($W$2:$W$1001,MATCH(ROWS($V$2:V169),$V$2:$V$1001,0),1)&gt;=100000,INDEX($AC$1005:$AS$1005,1,MATCH(COLUMNS($AC$1006:AN1006),$AC$1006:$AS$1006,0))&gt;=100000), " ",IF(INDEX($AC$2:$AS$1001,MATCH(ROWS($V$2:V169),$V$2:$V$1001,0),MATCH(COLUMNS($AC$1006:AN1006),$AC$1006:$AS$1006,0)), HYPERLINK("#",""), HYPERLINK(CONCATENATE("#metadata!", ADDRESS(INDEX($X$2:$X$1001,MATCH(ROWS($V$2:V169),$V$2:$V$1001,0),0), INDEX($AC$1004:$AS$1004,1,MATCH(COLUMNS($AC$1006:AN1006),$AC$1006:$AS$1006,0)))),"Fix")))</f>
        <v xml:space="preserve"> </v>
      </c>
      <c r="N169" s="4" t="str">
        <f ca="1">IF(OR(INDEX($W$2:$W$1001,MATCH(ROWS($V$2:V169),$V$2:$V$1001,0),1)&gt;=100000,INDEX($AC$1005:$AS$1005,1,MATCH(COLUMNS($AC$1006:AO1006),$AC$1006:$AS$1006,0))&gt;=100000), " ",IF(INDEX($AC$2:$AS$1001,MATCH(ROWS($V$2:V169),$V$2:$V$1001,0),MATCH(COLUMNS($AC$1006:AO1006),$AC$1006:$AS$1006,0)), HYPERLINK("#",""), HYPERLINK(CONCATENATE("#metadata!", ADDRESS(INDEX($X$2:$X$1001,MATCH(ROWS($V$2:V169),$V$2:$V$1001,0),0), INDEX($AC$1004:$AS$1004,1,MATCH(COLUMNS($AC$1006:AO1006),$AC$1006:$AS$1006,0)))),"Fix")))</f>
        <v xml:space="preserve"> </v>
      </c>
      <c r="O169" s="4" t="str">
        <f ca="1">IF(OR(INDEX($W$2:$W$1001,MATCH(ROWS($V$2:V169),$V$2:$V$1001,0),1)&gt;=100000,INDEX($AC$1005:$AS$1005,1,MATCH(COLUMNS($AC$1006:AP1006),$AC$1006:$AS$1006,0))&gt;=100000), " ",IF(INDEX($AC$2:$AS$1001,MATCH(ROWS($V$2:V169),$V$2:$V$1001,0),MATCH(COLUMNS($AC$1006:AP1006),$AC$1006:$AS$1006,0)), HYPERLINK("#",""), HYPERLINK(CONCATENATE("#metadata!", ADDRESS(INDEX($X$2:$X$1001,MATCH(ROWS($V$2:V169),$V$2:$V$1001,0),0), INDEX($AC$1004:$AS$1004,1,MATCH(COLUMNS($AC$1006:AP1006),$AC$1006:$AS$1006,0)))),"Fix")))</f>
        <v xml:space="preserve"> </v>
      </c>
      <c r="P169" s="4" t="str">
        <f ca="1">IF(OR(INDEX($W$2:$W$1001,MATCH(ROWS($V$2:V169),$V$2:$V$1001,0),1)&gt;=100000,INDEX($AC$1005:$AS$1005,1,MATCH(COLUMNS($AC$1006:AQ1006),$AC$1006:$AS$1006,0))&gt;=100000), " ",IF(INDEX($AC$2:$AS$1001,MATCH(ROWS($V$2:V169),$V$2:$V$1001,0),MATCH(COLUMNS($AC$1006:AQ1006),$AC$1006:$AS$1006,0)), HYPERLINK("#",""), HYPERLINK(CONCATENATE("#metadata!", ADDRESS(INDEX($X$2:$X$1001,MATCH(ROWS($V$2:V169),$V$2:$V$1001,0),0), INDEX($AC$1004:$AS$1004,1,MATCH(COLUMNS($AC$1006:AQ1006),$AC$1006:$AS$1006,0)))),"Fix")))</f>
        <v xml:space="preserve"> </v>
      </c>
      <c r="Q169" s="4" t="str">
        <f ca="1">IF(OR(INDEX($W$2:$W$1001,MATCH(ROWS($V$2:V169),$V$2:$V$1001,0),1)&gt;=100000,INDEX($AC$1005:$AS$1005,1,MATCH(COLUMNS($AC$1006:AR1006),$AC$1006:$AS$1006,0))&gt;=100000), " ",IF(INDEX($AC$2:$AS$1001,MATCH(ROWS($V$2:V169),$V$2:$V$1001,0),MATCH(COLUMNS($AC$1006:AR1006),$AC$1006:$AS$1006,0)), HYPERLINK("#",""), HYPERLINK(CONCATENATE("#metadata!", ADDRESS(INDEX($X$2:$X$1001,MATCH(ROWS($V$2:V169),$V$2:$V$1001,0),0), INDEX($AC$1004:$AS$1004,1,MATCH(COLUMNS($AC$1006:AR1006),$AC$1006:$AS$1006,0)))),"Fix")))</f>
        <v xml:space="preserve"> </v>
      </c>
      <c r="R169" s="4" t="str">
        <f ca="1">IF(OR(INDEX($W$2:$W$1001,MATCH(ROWS($V$2:V169),$V$2:$V$1001,0),1)&gt;=100000,INDEX($AC$1005:$AS$1005,1,MATCH(COLUMNS($AC$1006:AS1006),$AC$1006:$AS$1006,0))&gt;=100000), " ",IF(INDEX($AC$2:$AS$1001,MATCH(ROWS($V$2:V169),$V$2:$V$1001,0),MATCH(COLUMNS($AC$1006:AS1006),$AC$1006:$AS$1006,0)), HYPERLINK("#",""), HYPERLINK(CONCATENATE("#metadata!", ADDRESS(INDEX($X$2:$X$1001,MATCH(ROWS($V$2:V169),$V$2:$V$1001,0),0), INDEX($AC$1004:$AS$1004,1,MATCH(COLUMNS($AC$1006:AS1006),$AC$1006:$AS$1006,0)))),"Fix")))</f>
        <v xml:space="preserve"> </v>
      </c>
      <c r="V169">
        <v>168</v>
      </c>
      <c r="W169">
        <v>100169</v>
      </c>
      <c r="X169">
        <v>169</v>
      </c>
      <c r="Y169" t="b">
        <f t="shared" si="2"/>
        <v>1</v>
      </c>
      <c r="Z169" t="b">
        <f>COUNTBLANK(metadata!B169:R169)=COLUMNS(metadata!B169:R169)</f>
        <v>1</v>
      </c>
      <c r="AA169" t="str">
        <v/>
      </c>
      <c r="AC169" t="b">
        <f ca="1"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AD169" t="b">
        <f>IF(metadata!C169="",FALSE,ISNUMBER(VALUE(metadata!C169)))</f>
        <v>0</v>
      </c>
      <c r="AE169" t="b">
        <f>AND(IF(metadata!D169="",FALSE,TRUE),EXACT(metadata!D169,"years"))</f>
        <v>0</v>
      </c>
      <c r="AF169" t="b">
        <f>OR(AND(IF(metadata!E169="",FALSE,TRUE),OR(EXACT(metadata!E169,"not applicable"),EXACT(metadata!E169,"missing: not collected"),EXACT(metadata!E169,"missing: not provided"),EXACT(metadata!E169,"missing: restricted access"))),AND(IF(metadata!E169="",FALSE,ISNUMBER(VALUE(metadata!E169))),metadata!E169&gt;0))</f>
        <v>0</v>
      </c>
      <c r="AG169" t="b">
        <f>AND(IF(metadata!F169="",FALSE,TRUE),EXACT(metadata!F169,"Not applicable"))</f>
        <v>0</v>
      </c>
      <c r="AH169" t="b">
        <f>AND(IF(metadata!G169="",FALSE,TRUE),EXACT(metadata!G169,"urban biome"))</f>
        <v>0</v>
      </c>
      <c r="AI169" t="b">
        <f>AND(IF(metadata!H169="",FALSE,TRUE),EXACT(metadata!H169,"human-associated habitat"))</f>
        <v>0</v>
      </c>
      <c r="AJ169" t="b">
        <f>AND(IF(metadata!I169="",FALSE,TRUE),OR(EXACT(metadata!I169,"human-associated"),EXACT(metadata!I169,"human-skin"),EXACT(metadata!I169,"human-oral"),EXACT(metadata!I169,"human-gut"),EXACT(metadata!I169,"human-vaginal")))</f>
        <v>0</v>
      </c>
      <c r="AK169" t="b">
        <f>IF(metadata!J169="",FALSE,ISNUMBER(VALUE(metadata!J169)))</f>
        <v>0</v>
      </c>
      <c r="AL169" t="b">
        <f>AND(IF(metadata!K169="",FALSE,TRUE),EXACT(metadata!K169,"cm"))</f>
        <v>0</v>
      </c>
      <c r="AM169" t="b">
        <f>AND(IF(metadata!L169="",FALSE,TRUE),EXACT(metadata!L169,"human"))</f>
        <v>0</v>
      </c>
      <c r="AN169" t="b">
        <f>AND(IF(metadata!M169="",FALSE,TRUE),EXACT(metadata!M169,"Homo sapiens"))</f>
        <v>0</v>
      </c>
      <c r="AO169" t="b">
        <f>AND(IF(metadata!N169="",FALSE,TRUE),EXACT(metadata!N169,"9606"))</f>
        <v>0</v>
      </c>
      <c r="AP169" t="b">
        <f>IF(metadata!O169="",FALSE,TRUE)</f>
        <v>0</v>
      </c>
      <c r="AQ169" t="b">
        <f>IF(metadata!P169="",FALSE,TRUE)</f>
        <v>0</v>
      </c>
      <c r="AR169" t="b">
        <f>IF(metadata!Q169="",FALSE,ISNUMBER(VALUE(metadata!Q169)))</f>
        <v>0</v>
      </c>
      <c r="AS169" t="b">
        <f>AND(IF(metadata!R169="",FALSE,TRUE),EXACT(metadata!R169,"kg"))</f>
        <v>0</v>
      </c>
    </row>
    <row r="170" spans="1:45" x14ac:dyDescent="0.2">
      <c r="A170" s="5" t="str">
        <f ca="1">IF(B170=" "," ",HYPERLINK(CONCATENATE("#metadata!",ADDRESS(INDEX($X$2:$X$1001,MATCH(ROWS($V$2:V170),$V$2:$V$1001,0),0),1)),INDEX($AA$2:$AA$1001,MATCH(ROWS($V$2:V170),$V$2:$V$1001,0),0)))</f>
        <v xml:space="preserve"> </v>
      </c>
      <c r="B170" s="4" t="str">
        <f ca="1">IF(OR(INDEX($W$2:$W$1001,MATCH(ROWS($V$2:V170),$V$2:$V$1001,0),1)&gt;=100000,INDEX($AC$1005:$AS$1005,1,MATCH(COLUMNS($AC$1006:AC1006),$AC$1006:$AS$1006,0))&gt;=100000), " ",IF(INDEX($AC$2:$AS$1001,MATCH(ROWS($V$2:V170),$V$2:$V$1001,0),MATCH(COLUMNS($AC$1006:AC1006),$AC$1006:$AS$1006,0)), HYPERLINK("#",""), HYPERLINK(CONCATENATE("#metadata!", ADDRESS(INDEX($X$2:$X$1001,MATCH(ROWS($V$2:V170),$V$2:$V$1001,0),0), INDEX($AC$1004:$AS$1004,1,MATCH(COLUMNS($AC$1006:AC1006),$AC$1006:$AS$1006,0)))),"Fix")))</f>
        <v xml:space="preserve"> </v>
      </c>
      <c r="C170" s="4" t="str">
        <f ca="1">IF(OR(INDEX($W$2:$W$1001,MATCH(ROWS($V$2:V170),$V$2:$V$1001,0),1)&gt;=100000,INDEX($AC$1005:$AS$1005,1,MATCH(COLUMNS($AC$1006:AD1006),$AC$1006:$AS$1006,0))&gt;=100000), " ",IF(INDEX($AC$2:$AS$1001,MATCH(ROWS($V$2:V170),$V$2:$V$1001,0),MATCH(COLUMNS($AC$1006:AD1006),$AC$1006:$AS$1006,0)), HYPERLINK("#",""), HYPERLINK(CONCATENATE("#metadata!", ADDRESS(INDEX($X$2:$X$1001,MATCH(ROWS($V$2:V170),$V$2:$V$1001,0),0), INDEX($AC$1004:$AS$1004,1,MATCH(COLUMNS($AC$1006:AD1006),$AC$1006:$AS$1006,0)))),"Fix")))</f>
        <v xml:space="preserve"> </v>
      </c>
      <c r="D170" s="4" t="str">
        <f ca="1">IF(OR(INDEX($W$2:$W$1001,MATCH(ROWS($V$2:V170),$V$2:$V$1001,0),1)&gt;=100000,INDEX($AC$1005:$AS$1005,1,MATCH(COLUMNS($AC$1006:AE1006),$AC$1006:$AS$1006,0))&gt;=100000), " ",IF(INDEX($AC$2:$AS$1001,MATCH(ROWS($V$2:V170),$V$2:$V$1001,0),MATCH(COLUMNS($AC$1006:AE1006),$AC$1006:$AS$1006,0)), HYPERLINK("#",""), HYPERLINK(CONCATENATE("#metadata!", ADDRESS(INDEX($X$2:$X$1001,MATCH(ROWS($V$2:V170),$V$2:$V$1001,0),0), INDEX($AC$1004:$AS$1004,1,MATCH(COLUMNS($AC$1006:AE1006),$AC$1006:$AS$1006,0)))),"Fix")))</f>
        <v xml:space="preserve"> </v>
      </c>
      <c r="E170" s="4" t="str">
        <f ca="1">IF(OR(INDEX($W$2:$W$1001,MATCH(ROWS($V$2:V170),$V$2:$V$1001,0),1)&gt;=100000,INDEX($AC$1005:$AS$1005,1,MATCH(COLUMNS($AC$1006:AF1006),$AC$1006:$AS$1006,0))&gt;=100000), " ",IF(INDEX($AC$2:$AS$1001,MATCH(ROWS($V$2:V170),$V$2:$V$1001,0),MATCH(COLUMNS($AC$1006:AF1006),$AC$1006:$AS$1006,0)), HYPERLINK("#",""), HYPERLINK(CONCATENATE("#metadata!", ADDRESS(INDEX($X$2:$X$1001,MATCH(ROWS($V$2:V170),$V$2:$V$1001,0),0), INDEX($AC$1004:$AS$1004,1,MATCH(COLUMNS($AC$1006:AF1006),$AC$1006:$AS$1006,0)))),"Fix")))</f>
        <v xml:space="preserve"> </v>
      </c>
      <c r="F170" s="4" t="str">
        <f ca="1">IF(OR(INDEX($W$2:$W$1001,MATCH(ROWS($V$2:V170),$V$2:$V$1001,0),1)&gt;=100000,INDEX($AC$1005:$AS$1005,1,MATCH(COLUMNS($AC$1006:AG1006),$AC$1006:$AS$1006,0))&gt;=100000), " ",IF(INDEX($AC$2:$AS$1001,MATCH(ROWS($V$2:V170),$V$2:$V$1001,0),MATCH(COLUMNS($AC$1006:AG1006),$AC$1006:$AS$1006,0)), HYPERLINK("#",""), HYPERLINK(CONCATENATE("#metadata!", ADDRESS(INDEX($X$2:$X$1001,MATCH(ROWS($V$2:V170),$V$2:$V$1001,0),0), INDEX($AC$1004:$AS$1004,1,MATCH(COLUMNS($AC$1006:AG1006),$AC$1006:$AS$1006,0)))),"Fix")))</f>
        <v xml:space="preserve"> </v>
      </c>
      <c r="G170" s="4" t="str">
        <f ca="1">IF(OR(INDEX($W$2:$W$1001,MATCH(ROWS($V$2:V170),$V$2:$V$1001,0),1)&gt;=100000,INDEX($AC$1005:$AS$1005,1,MATCH(COLUMNS($AC$1006:AH1006),$AC$1006:$AS$1006,0))&gt;=100000), " ",IF(INDEX($AC$2:$AS$1001,MATCH(ROWS($V$2:V170),$V$2:$V$1001,0),MATCH(COLUMNS($AC$1006:AH1006),$AC$1006:$AS$1006,0)), HYPERLINK("#",""), HYPERLINK(CONCATENATE("#metadata!", ADDRESS(INDEX($X$2:$X$1001,MATCH(ROWS($V$2:V170),$V$2:$V$1001,0),0), INDEX($AC$1004:$AS$1004,1,MATCH(COLUMNS($AC$1006:AH1006),$AC$1006:$AS$1006,0)))),"Fix")))</f>
        <v xml:space="preserve"> </v>
      </c>
      <c r="H170" s="4" t="str">
        <f ca="1">IF(OR(INDEX($W$2:$W$1001,MATCH(ROWS($V$2:V170),$V$2:$V$1001,0),1)&gt;=100000,INDEX($AC$1005:$AS$1005,1,MATCH(COLUMNS($AC$1006:AI1006),$AC$1006:$AS$1006,0))&gt;=100000), " ",IF(INDEX($AC$2:$AS$1001,MATCH(ROWS($V$2:V170),$V$2:$V$1001,0),MATCH(COLUMNS($AC$1006:AI1006),$AC$1006:$AS$1006,0)), HYPERLINK("#",""), HYPERLINK(CONCATENATE("#metadata!", ADDRESS(INDEX($X$2:$X$1001,MATCH(ROWS($V$2:V170),$V$2:$V$1001,0),0), INDEX($AC$1004:$AS$1004,1,MATCH(COLUMNS($AC$1006:AI1006),$AC$1006:$AS$1006,0)))),"Fix")))</f>
        <v xml:space="preserve"> </v>
      </c>
      <c r="I170" s="4" t="str">
        <f ca="1">IF(OR(INDEX($W$2:$W$1001,MATCH(ROWS($V$2:V170),$V$2:$V$1001,0),1)&gt;=100000,INDEX($AC$1005:$AS$1005,1,MATCH(COLUMNS($AC$1006:AJ1006),$AC$1006:$AS$1006,0))&gt;=100000), " ",IF(INDEX($AC$2:$AS$1001,MATCH(ROWS($V$2:V170),$V$2:$V$1001,0),MATCH(COLUMNS($AC$1006:AJ1006),$AC$1006:$AS$1006,0)), HYPERLINK("#",""), HYPERLINK(CONCATENATE("#metadata!", ADDRESS(INDEX($X$2:$X$1001,MATCH(ROWS($V$2:V170),$V$2:$V$1001,0),0), INDEX($AC$1004:$AS$1004,1,MATCH(COLUMNS($AC$1006:AJ1006),$AC$1006:$AS$1006,0)))),"Fix")))</f>
        <v xml:space="preserve"> </v>
      </c>
      <c r="J170" s="4" t="str">
        <f ca="1">IF(OR(INDEX($W$2:$W$1001,MATCH(ROWS($V$2:V170),$V$2:$V$1001,0),1)&gt;=100000,INDEX($AC$1005:$AS$1005,1,MATCH(COLUMNS($AC$1006:AK1006),$AC$1006:$AS$1006,0))&gt;=100000), " ",IF(INDEX($AC$2:$AS$1001,MATCH(ROWS($V$2:V170),$V$2:$V$1001,0),MATCH(COLUMNS($AC$1006:AK1006),$AC$1006:$AS$1006,0)), HYPERLINK("#",""), HYPERLINK(CONCATENATE("#metadata!", ADDRESS(INDEX($X$2:$X$1001,MATCH(ROWS($V$2:V170),$V$2:$V$1001,0),0), INDEX($AC$1004:$AS$1004,1,MATCH(COLUMNS($AC$1006:AK1006),$AC$1006:$AS$1006,0)))),"Fix")))</f>
        <v xml:space="preserve"> </v>
      </c>
      <c r="K170" s="4" t="str">
        <f ca="1">IF(OR(INDEX($W$2:$W$1001,MATCH(ROWS($V$2:V170),$V$2:$V$1001,0),1)&gt;=100000,INDEX($AC$1005:$AS$1005,1,MATCH(COLUMNS($AC$1006:AL1006),$AC$1006:$AS$1006,0))&gt;=100000), " ",IF(INDEX($AC$2:$AS$1001,MATCH(ROWS($V$2:V170),$V$2:$V$1001,0),MATCH(COLUMNS($AC$1006:AL1006),$AC$1006:$AS$1006,0)), HYPERLINK("#",""), HYPERLINK(CONCATENATE("#metadata!", ADDRESS(INDEX($X$2:$X$1001,MATCH(ROWS($V$2:V170),$V$2:$V$1001,0),0), INDEX($AC$1004:$AS$1004,1,MATCH(COLUMNS($AC$1006:AL1006),$AC$1006:$AS$1006,0)))),"Fix")))</f>
        <v xml:space="preserve"> </v>
      </c>
      <c r="L170" s="4" t="str">
        <f ca="1">IF(OR(INDEX($W$2:$W$1001,MATCH(ROWS($V$2:V170),$V$2:$V$1001,0),1)&gt;=100000,INDEX($AC$1005:$AS$1005,1,MATCH(COLUMNS($AC$1006:AM1006),$AC$1006:$AS$1006,0))&gt;=100000), " ",IF(INDEX($AC$2:$AS$1001,MATCH(ROWS($V$2:V170),$V$2:$V$1001,0),MATCH(COLUMNS($AC$1006:AM1006),$AC$1006:$AS$1006,0)), HYPERLINK("#",""), HYPERLINK(CONCATENATE("#metadata!", ADDRESS(INDEX($X$2:$X$1001,MATCH(ROWS($V$2:V170),$V$2:$V$1001,0),0), INDEX($AC$1004:$AS$1004,1,MATCH(COLUMNS($AC$1006:AM1006),$AC$1006:$AS$1006,0)))),"Fix")))</f>
        <v xml:space="preserve"> </v>
      </c>
      <c r="M170" s="4" t="str">
        <f ca="1">IF(OR(INDEX($W$2:$W$1001,MATCH(ROWS($V$2:V170),$V$2:$V$1001,0),1)&gt;=100000,INDEX($AC$1005:$AS$1005,1,MATCH(COLUMNS($AC$1006:AN1006),$AC$1006:$AS$1006,0))&gt;=100000), " ",IF(INDEX($AC$2:$AS$1001,MATCH(ROWS($V$2:V170),$V$2:$V$1001,0),MATCH(COLUMNS($AC$1006:AN1006),$AC$1006:$AS$1006,0)), HYPERLINK("#",""), HYPERLINK(CONCATENATE("#metadata!", ADDRESS(INDEX($X$2:$X$1001,MATCH(ROWS($V$2:V170),$V$2:$V$1001,0),0), INDEX($AC$1004:$AS$1004,1,MATCH(COLUMNS($AC$1006:AN1006),$AC$1006:$AS$1006,0)))),"Fix")))</f>
        <v xml:space="preserve"> </v>
      </c>
      <c r="N170" s="4" t="str">
        <f ca="1">IF(OR(INDEX($W$2:$W$1001,MATCH(ROWS($V$2:V170),$V$2:$V$1001,0),1)&gt;=100000,INDEX($AC$1005:$AS$1005,1,MATCH(COLUMNS($AC$1006:AO1006),$AC$1006:$AS$1006,0))&gt;=100000), " ",IF(INDEX($AC$2:$AS$1001,MATCH(ROWS($V$2:V170),$V$2:$V$1001,0),MATCH(COLUMNS($AC$1006:AO1006),$AC$1006:$AS$1006,0)), HYPERLINK("#",""), HYPERLINK(CONCATENATE("#metadata!", ADDRESS(INDEX($X$2:$X$1001,MATCH(ROWS($V$2:V170),$V$2:$V$1001,0),0), INDEX($AC$1004:$AS$1004,1,MATCH(COLUMNS($AC$1006:AO1006),$AC$1006:$AS$1006,0)))),"Fix")))</f>
        <v xml:space="preserve"> </v>
      </c>
      <c r="O170" s="4" t="str">
        <f ca="1">IF(OR(INDEX($W$2:$W$1001,MATCH(ROWS($V$2:V170),$V$2:$V$1001,0),1)&gt;=100000,INDEX($AC$1005:$AS$1005,1,MATCH(COLUMNS($AC$1006:AP1006),$AC$1006:$AS$1006,0))&gt;=100000), " ",IF(INDEX($AC$2:$AS$1001,MATCH(ROWS($V$2:V170),$V$2:$V$1001,0),MATCH(COLUMNS($AC$1006:AP1006),$AC$1006:$AS$1006,0)), HYPERLINK("#",""), HYPERLINK(CONCATENATE("#metadata!", ADDRESS(INDEX($X$2:$X$1001,MATCH(ROWS($V$2:V170),$V$2:$V$1001,0),0), INDEX($AC$1004:$AS$1004,1,MATCH(COLUMNS($AC$1006:AP1006),$AC$1006:$AS$1006,0)))),"Fix")))</f>
        <v xml:space="preserve"> </v>
      </c>
      <c r="P170" s="4" t="str">
        <f ca="1">IF(OR(INDEX($W$2:$W$1001,MATCH(ROWS($V$2:V170),$V$2:$V$1001,0),1)&gt;=100000,INDEX($AC$1005:$AS$1005,1,MATCH(COLUMNS($AC$1006:AQ1006),$AC$1006:$AS$1006,0))&gt;=100000), " ",IF(INDEX($AC$2:$AS$1001,MATCH(ROWS($V$2:V170),$V$2:$V$1001,0),MATCH(COLUMNS($AC$1006:AQ1006),$AC$1006:$AS$1006,0)), HYPERLINK("#",""), HYPERLINK(CONCATENATE("#metadata!", ADDRESS(INDEX($X$2:$X$1001,MATCH(ROWS($V$2:V170),$V$2:$V$1001,0),0), INDEX($AC$1004:$AS$1004,1,MATCH(COLUMNS($AC$1006:AQ1006),$AC$1006:$AS$1006,0)))),"Fix")))</f>
        <v xml:space="preserve"> </v>
      </c>
      <c r="Q170" s="4" t="str">
        <f ca="1">IF(OR(INDEX($W$2:$W$1001,MATCH(ROWS($V$2:V170),$V$2:$V$1001,0),1)&gt;=100000,INDEX($AC$1005:$AS$1005,1,MATCH(COLUMNS($AC$1006:AR1006),$AC$1006:$AS$1006,0))&gt;=100000), " ",IF(INDEX($AC$2:$AS$1001,MATCH(ROWS($V$2:V170),$V$2:$V$1001,0),MATCH(COLUMNS($AC$1006:AR1006),$AC$1006:$AS$1006,0)), HYPERLINK("#",""), HYPERLINK(CONCATENATE("#metadata!", ADDRESS(INDEX($X$2:$X$1001,MATCH(ROWS($V$2:V170),$V$2:$V$1001,0),0), INDEX($AC$1004:$AS$1004,1,MATCH(COLUMNS($AC$1006:AR1006),$AC$1006:$AS$1006,0)))),"Fix")))</f>
        <v xml:space="preserve"> </v>
      </c>
      <c r="R170" s="4" t="str">
        <f ca="1">IF(OR(INDEX($W$2:$W$1001,MATCH(ROWS($V$2:V170),$V$2:$V$1001,0),1)&gt;=100000,INDEX($AC$1005:$AS$1005,1,MATCH(COLUMNS($AC$1006:AS1006),$AC$1006:$AS$1006,0))&gt;=100000), " ",IF(INDEX($AC$2:$AS$1001,MATCH(ROWS($V$2:V170),$V$2:$V$1001,0),MATCH(COLUMNS($AC$1006:AS1006),$AC$1006:$AS$1006,0)), HYPERLINK("#",""), HYPERLINK(CONCATENATE("#metadata!", ADDRESS(INDEX($X$2:$X$1001,MATCH(ROWS($V$2:V170),$V$2:$V$1001,0),0), INDEX($AC$1004:$AS$1004,1,MATCH(COLUMNS($AC$1006:AS1006),$AC$1006:$AS$1006,0)))),"Fix")))</f>
        <v xml:space="preserve"> </v>
      </c>
      <c r="V170">
        <v>169</v>
      </c>
      <c r="W170">
        <v>100170</v>
      </c>
      <c r="X170">
        <v>170</v>
      </c>
      <c r="Y170" t="b">
        <f t="shared" si="2"/>
        <v>1</v>
      </c>
      <c r="Z170" t="b">
        <f>COUNTBLANK(metadata!B170:R170)=COLUMNS(metadata!B170:R170)</f>
        <v>1</v>
      </c>
      <c r="AA170" t="str">
        <v/>
      </c>
      <c r="AC170" t="b">
        <f ca="1"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AD170" t="b">
        <f>IF(metadata!C170="",FALSE,ISNUMBER(VALUE(metadata!C170)))</f>
        <v>0</v>
      </c>
      <c r="AE170" t="b">
        <f>AND(IF(metadata!D170="",FALSE,TRUE),EXACT(metadata!D170,"years"))</f>
        <v>0</v>
      </c>
      <c r="AF170" t="b">
        <f>OR(AND(IF(metadata!E170="",FALSE,TRUE),OR(EXACT(metadata!E170,"not applicable"),EXACT(metadata!E170,"missing: not collected"),EXACT(metadata!E170,"missing: not provided"),EXACT(metadata!E170,"missing: restricted access"))),AND(IF(metadata!E170="",FALSE,ISNUMBER(VALUE(metadata!E170))),metadata!E170&gt;0))</f>
        <v>0</v>
      </c>
      <c r="AG170" t="b">
        <f>AND(IF(metadata!F170="",FALSE,TRUE),EXACT(metadata!F170,"Not applicable"))</f>
        <v>0</v>
      </c>
      <c r="AH170" t="b">
        <f>AND(IF(metadata!G170="",FALSE,TRUE),EXACT(metadata!G170,"urban biome"))</f>
        <v>0</v>
      </c>
      <c r="AI170" t="b">
        <f>AND(IF(metadata!H170="",FALSE,TRUE),EXACT(metadata!H170,"human-associated habitat"))</f>
        <v>0</v>
      </c>
      <c r="AJ170" t="b">
        <f>AND(IF(metadata!I170="",FALSE,TRUE),OR(EXACT(metadata!I170,"human-associated"),EXACT(metadata!I170,"human-skin"),EXACT(metadata!I170,"human-oral"),EXACT(metadata!I170,"human-gut"),EXACT(metadata!I170,"human-vaginal")))</f>
        <v>0</v>
      </c>
      <c r="AK170" t="b">
        <f>IF(metadata!J170="",FALSE,ISNUMBER(VALUE(metadata!J170)))</f>
        <v>0</v>
      </c>
      <c r="AL170" t="b">
        <f>AND(IF(metadata!K170="",FALSE,TRUE),EXACT(metadata!K170,"cm"))</f>
        <v>0</v>
      </c>
      <c r="AM170" t="b">
        <f>AND(IF(metadata!L170="",FALSE,TRUE),EXACT(metadata!L170,"human"))</f>
        <v>0</v>
      </c>
      <c r="AN170" t="b">
        <f>AND(IF(metadata!M170="",FALSE,TRUE),EXACT(metadata!M170,"Homo sapiens"))</f>
        <v>0</v>
      </c>
      <c r="AO170" t="b">
        <f>AND(IF(metadata!N170="",FALSE,TRUE),EXACT(metadata!N170,"9606"))</f>
        <v>0</v>
      </c>
      <c r="AP170" t="b">
        <f>IF(metadata!O170="",FALSE,TRUE)</f>
        <v>0</v>
      </c>
      <c r="AQ170" t="b">
        <f>IF(metadata!P170="",FALSE,TRUE)</f>
        <v>0</v>
      </c>
      <c r="AR170" t="b">
        <f>IF(metadata!Q170="",FALSE,ISNUMBER(VALUE(metadata!Q170)))</f>
        <v>0</v>
      </c>
      <c r="AS170" t="b">
        <f>AND(IF(metadata!R170="",FALSE,TRUE),EXACT(metadata!R170,"kg"))</f>
        <v>0</v>
      </c>
    </row>
    <row r="171" spans="1:45" x14ac:dyDescent="0.2">
      <c r="A171" s="5" t="str">
        <f ca="1">IF(B171=" "," ",HYPERLINK(CONCATENATE("#metadata!",ADDRESS(INDEX($X$2:$X$1001,MATCH(ROWS($V$2:V171),$V$2:$V$1001,0),0),1)),INDEX($AA$2:$AA$1001,MATCH(ROWS($V$2:V171),$V$2:$V$1001,0),0)))</f>
        <v xml:space="preserve"> </v>
      </c>
      <c r="B171" s="4" t="str">
        <f ca="1">IF(OR(INDEX($W$2:$W$1001,MATCH(ROWS($V$2:V171),$V$2:$V$1001,0),1)&gt;=100000,INDEX($AC$1005:$AS$1005,1,MATCH(COLUMNS($AC$1006:AC1006),$AC$1006:$AS$1006,0))&gt;=100000), " ",IF(INDEX($AC$2:$AS$1001,MATCH(ROWS($V$2:V171),$V$2:$V$1001,0),MATCH(COLUMNS($AC$1006:AC1006),$AC$1006:$AS$1006,0)), HYPERLINK("#",""), HYPERLINK(CONCATENATE("#metadata!", ADDRESS(INDEX($X$2:$X$1001,MATCH(ROWS($V$2:V171),$V$2:$V$1001,0),0), INDEX($AC$1004:$AS$1004,1,MATCH(COLUMNS($AC$1006:AC1006),$AC$1006:$AS$1006,0)))),"Fix")))</f>
        <v xml:space="preserve"> </v>
      </c>
      <c r="C171" s="4" t="str">
        <f ca="1">IF(OR(INDEX($W$2:$W$1001,MATCH(ROWS($V$2:V171),$V$2:$V$1001,0),1)&gt;=100000,INDEX($AC$1005:$AS$1005,1,MATCH(COLUMNS($AC$1006:AD1006),$AC$1006:$AS$1006,0))&gt;=100000), " ",IF(INDEX($AC$2:$AS$1001,MATCH(ROWS($V$2:V171),$V$2:$V$1001,0),MATCH(COLUMNS($AC$1006:AD1006),$AC$1006:$AS$1006,0)), HYPERLINK("#",""), HYPERLINK(CONCATENATE("#metadata!", ADDRESS(INDEX($X$2:$X$1001,MATCH(ROWS($V$2:V171),$V$2:$V$1001,0),0), INDEX($AC$1004:$AS$1004,1,MATCH(COLUMNS($AC$1006:AD1006),$AC$1006:$AS$1006,0)))),"Fix")))</f>
        <v xml:space="preserve"> </v>
      </c>
      <c r="D171" s="4" t="str">
        <f ca="1">IF(OR(INDEX($W$2:$W$1001,MATCH(ROWS($V$2:V171),$V$2:$V$1001,0),1)&gt;=100000,INDEX($AC$1005:$AS$1005,1,MATCH(COLUMNS($AC$1006:AE1006),$AC$1006:$AS$1006,0))&gt;=100000), " ",IF(INDEX($AC$2:$AS$1001,MATCH(ROWS($V$2:V171),$V$2:$V$1001,0),MATCH(COLUMNS($AC$1006:AE1006),$AC$1006:$AS$1006,0)), HYPERLINK("#",""), HYPERLINK(CONCATENATE("#metadata!", ADDRESS(INDEX($X$2:$X$1001,MATCH(ROWS($V$2:V171),$V$2:$V$1001,0),0), INDEX($AC$1004:$AS$1004,1,MATCH(COLUMNS($AC$1006:AE1006),$AC$1006:$AS$1006,0)))),"Fix")))</f>
        <v xml:space="preserve"> </v>
      </c>
      <c r="E171" s="4" t="str">
        <f ca="1">IF(OR(INDEX($W$2:$W$1001,MATCH(ROWS($V$2:V171),$V$2:$V$1001,0),1)&gt;=100000,INDEX($AC$1005:$AS$1005,1,MATCH(COLUMNS($AC$1006:AF1006),$AC$1006:$AS$1006,0))&gt;=100000), " ",IF(INDEX($AC$2:$AS$1001,MATCH(ROWS($V$2:V171),$V$2:$V$1001,0),MATCH(COLUMNS($AC$1006:AF1006),$AC$1006:$AS$1006,0)), HYPERLINK("#",""), HYPERLINK(CONCATENATE("#metadata!", ADDRESS(INDEX($X$2:$X$1001,MATCH(ROWS($V$2:V171),$V$2:$V$1001,0),0), INDEX($AC$1004:$AS$1004,1,MATCH(COLUMNS($AC$1006:AF1006),$AC$1006:$AS$1006,0)))),"Fix")))</f>
        <v xml:space="preserve"> </v>
      </c>
      <c r="F171" s="4" t="str">
        <f ca="1">IF(OR(INDEX($W$2:$W$1001,MATCH(ROWS($V$2:V171),$V$2:$V$1001,0),1)&gt;=100000,INDEX($AC$1005:$AS$1005,1,MATCH(COLUMNS($AC$1006:AG1006),$AC$1006:$AS$1006,0))&gt;=100000), " ",IF(INDEX($AC$2:$AS$1001,MATCH(ROWS($V$2:V171),$V$2:$V$1001,0),MATCH(COLUMNS($AC$1006:AG1006),$AC$1006:$AS$1006,0)), HYPERLINK("#",""), HYPERLINK(CONCATENATE("#metadata!", ADDRESS(INDEX($X$2:$X$1001,MATCH(ROWS($V$2:V171),$V$2:$V$1001,0),0), INDEX($AC$1004:$AS$1004,1,MATCH(COLUMNS($AC$1006:AG1006),$AC$1006:$AS$1006,0)))),"Fix")))</f>
        <v xml:space="preserve"> </v>
      </c>
      <c r="G171" s="4" t="str">
        <f ca="1">IF(OR(INDEX($W$2:$W$1001,MATCH(ROWS($V$2:V171),$V$2:$V$1001,0),1)&gt;=100000,INDEX($AC$1005:$AS$1005,1,MATCH(COLUMNS($AC$1006:AH1006),$AC$1006:$AS$1006,0))&gt;=100000), " ",IF(INDEX($AC$2:$AS$1001,MATCH(ROWS($V$2:V171),$V$2:$V$1001,0),MATCH(COLUMNS($AC$1006:AH1006),$AC$1006:$AS$1006,0)), HYPERLINK("#",""), HYPERLINK(CONCATENATE("#metadata!", ADDRESS(INDEX($X$2:$X$1001,MATCH(ROWS($V$2:V171),$V$2:$V$1001,0),0), INDEX($AC$1004:$AS$1004,1,MATCH(COLUMNS($AC$1006:AH1006),$AC$1006:$AS$1006,0)))),"Fix")))</f>
        <v xml:space="preserve"> </v>
      </c>
      <c r="H171" s="4" t="str">
        <f ca="1">IF(OR(INDEX($W$2:$W$1001,MATCH(ROWS($V$2:V171),$V$2:$V$1001,0),1)&gt;=100000,INDEX($AC$1005:$AS$1005,1,MATCH(COLUMNS($AC$1006:AI1006),$AC$1006:$AS$1006,0))&gt;=100000), " ",IF(INDEX($AC$2:$AS$1001,MATCH(ROWS($V$2:V171),$V$2:$V$1001,0),MATCH(COLUMNS($AC$1006:AI1006),$AC$1006:$AS$1006,0)), HYPERLINK("#",""), HYPERLINK(CONCATENATE("#metadata!", ADDRESS(INDEX($X$2:$X$1001,MATCH(ROWS($V$2:V171),$V$2:$V$1001,0),0), INDEX($AC$1004:$AS$1004,1,MATCH(COLUMNS($AC$1006:AI1006),$AC$1006:$AS$1006,0)))),"Fix")))</f>
        <v xml:space="preserve"> </v>
      </c>
      <c r="I171" s="4" t="str">
        <f ca="1">IF(OR(INDEX($W$2:$W$1001,MATCH(ROWS($V$2:V171),$V$2:$V$1001,0),1)&gt;=100000,INDEX($AC$1005:$AS$1005,1,MATCH(COLUMNS($AC$1006:AJ1006),$AC$1006:$AS$1006,0))&gt;=100000), " ",IF(INDEX($AC$2:$AS$1001,MATCH(ROWS($V$2:V171),$V$2:$V$1001,0),MATCH(COLUMNS($AC$1006:AJ1006),$AC$1006:$AS$1006,0)), HYPERLINK("#",""), HYPERLINK(CONCATENATE("#metadata!", ADDRESS(INDEX($X$2:$X$1001,MATCH(ROWS($V$2:V171),$V$2:$V$1001,0),0), INDEX($AC$1004:$AS$1004,1,MATCH(COLUMNS($AC$1006:AJ1006),$AC$1006:$AS$1006,0)))),"Fix")))</f>
        <v xml:space="preserve"> </v>
      </c>
      <c r="J171" s="4" t="str">
        <f ca="1">IF(OR(INDEX($W$2:$W$1001,MATCH(ROWS($V$2:V171),$V$2:$V$1001,0),1)&gt;=100000,INDEX($AC$1005:$AS$1005,1,MATCH(COLUMNS($AC$1006:AK1006),$AC$1006:$AS$1006,0))&gt;=100000), " ",IF(INDEX($AC$2:$AS$1001,MATCH(ROWS($V$2:V171),$V$2:$V$1001,0),MATCH(COLUMNS($AC$1006:AK1006),$AC$1006:$AS$1006,0)), HYPERLINK("#",""), HYPERLINK(CONCATENATE("#metadata!", ADDRESS(INDEX($X$2:$X$1001,MATCH(ROWS($V$2:V171),$V$2:$V$1001,0),0), INDEX($AC$1004:$AS$1004,1,MATCH(COLUMNS($AC$1006:AK1006),$AC$1006:$AS$1006,0)))),"Fix")))</f>
        <v xml:space="preserve"> </v>
      </c>
      <c r="K171" s="4" t="str">
        <f ca="1">IF(OR(INDEX($W$2:$W$1001,MATCH(ROWS($V$2:V171),$V$2:$V$1001,0),1)&gt;=100000,INDEX($AC$1005:$AS$1005,1,MATCH(COLUMNS($AC$1006:AL1006),$AC$1006:$AS$1006,0))&gt;=100000), " ",IF(INDEX($AC$2:$AS$1001,MATCH(ROWS($V$2:V171),$V$2:$V$1001,0),MATCH(COLUMNS($AC$1006:AL1006),$AC$1006:$AS$1006,0)), HYPERLINK("#",""), HYPERLINK(CONCATENATE("#metadata!", ADDRESS(INDEX($X$2:$X$1001,MATCH(ROWS($V$2:V171),$V$2:$V$1001,0),0), INDEX($AC$1004:$AS$1004,1,MATCH(COLUMNS($AC$1006:AL1006),$AC$1006:$AS$1006,0)))),"Fix")))</f>
        <v xml:space="preserve"> </v>
      </c>
      <c r="L171" s="4" t="str">
        <f ca="1">IF(OR(INDEX($W$2:$W$1001,MATCH(ROWS($V$2:V171),$V$2:$V$1001,0),1)&gt;=100000,INDEX($AC$1005:$AS$1005,1,MATCH(COLUMNS($AC$1006:AM1006),$AC$1006:$AS$1006,0))&gt;=100000), " ",IF(INDEX($AC$2:$AS$1001,MATCH(ROWS($V$2:V171),$V$2:$V$1001,0),MATCH(COLUMNS($AC$1006:AM1006),$AC$1006:$AS$1006,0)), HYPERLINK("#",""), HYPERLINK(CONCATENATE("#metadata!", ADDRESS(INDEX($X$2:$X$1001,MATCH(ROWS($V$2:V171),$V$2:$V$1001,0),0), INDEX($AC$1004:$AS$1004,1,MATCH(COLUMNS($AC$1006:AM1006),$AC$1006:$AS$1006,0)))),"Fix")))</f>
        <v xml:space="preserve"> </v>
      </c>
      <c r="M171" s="4" t="str">
        <f ca="1">IF(OR(INDEX($W$2:$W$1001,MATCH(ROWS($V$2:V171),$V$2:$V$1001,0),1)&gt;=100000,INDEX($AC$1005:$AS$1005,1,MATCH(COLUMNS($AC$1006:AN1006),$AC$1006:$AS$1006,0))&gt;=100000), " ",IF(INDEX($AC$2:$AS$1001,MATCH(ROWS($V$2:V171),$V$2:$V$1001,0),MATCH(COLUMNS($AC$1006:AN1006),$AC$1006:$AS$1006,0)), HYPERLINK("#",""), HYPERLINK(CONCATENATE("#metadata!", ADDRESS(INDEX($X$2:$X$1001,MATCH(ROWS($V$2:V171),$V$2:$V$1001,0),0), INDEX($AC$1004:$AS$1004,1,MATCH(COLUMNS($AC$1006:AN1006),$AC$1006:$AS$1006,0)))),"Fix")))</f>
        <v xml:space="preserve"> </v>
      </c>
      <c r="N171" s="4" t="str">
        <f ca="1">IF(OR(INDEX($W$2:$W$1001,MATCH(ROWS($V$2:V171),$V$2:$V$1001,0),1)&gt;=100000,INDEX($AC$1005:$AS$1005,1,MATCH(COLUMNS($AC$1006:AO1006),$AC$1006:$AS$1006,0))&gt;=100000), " ",IF(INDEX($AC$2:$AS$1001,MATCH(ROWS($V$2:V171),$V$2:$V$1001,0),MATCH(COLUMNS($AC$1006:AO1006),$AC$1006:$AS$1006,0)), HYPERLINK("#",""), HYPERLINK(CONCATENATE("#metadata!", ADDRESS(INDEX($X$2:$X$1001,MATCH(ROWS($V$2:V171),$V$2:$V$1001,0),0), INDEX($AC$1004:$AS$1004,1,MATCH(COLUMNS($AC$1006:AO1006),$AC$1006:$AS$1006,0)))),"Fix")))</f>
        <v xml:space="preserve"> </v>
      </c>
      <c r="O171" s="4" t="str">
        <f ca="1">IF(OR(INDEX($W$2:$W$1001,MATCH(ROWS($V$2:V171),$V$2:$V$1001,0),1)&gt;=100000,INDEX($AC$1005:$AS$1005,1,MATCH(COLUMNS($AC$1006:AP1006),$AC$1006:$AS$1006,0))&gt;=100000), " ",IF(INDEX($AC$2:$AS$1001,MATCH(ROWS($V$2:V171),$V$2:$V$1001,0),MATCH(COLUMNS($AC$1006:AP1006),$AC$1006:$AS$1006,0)), HYPERLINK("#",""), HYPERLINK(CONCATENATE("#metadata!", ADDRESS(INDEX($X$2:$X$1001,MATCH(ROWS($V$2:V171),$V$2:$V$1001,0),0), INDEX($AC$1004:$AS$1004,1,MATCH(COLUMNS($AC$1006:AP1006),$AC$1006:$AS$1006,0)))),"Fix")))</f>
        <v xml:space="preserve"> </v>
      </c>
      <c r="P171" s="4" t="str">
        <f ca="1">IF(OR(INDEX($W$2:$W$1001,MATCH(ROWS($V$2:V171),$V$2:$V$1001,0),1)&gt;=100000,INDEX($AC$1005:$AS$1005,1,MATCH(COLUMNS($AC$1006:AQ1006),$AC$1006:$AS$1006,0))&gt;=100000), " ",IF(INDEX($AC$2:$AS$1001,MATCH(ROWS($V$2:V171),$V$2:$V$1001,0),MATCH(COLUMNS($AC$1006:AQ1006),$AC$1006:$AS$1006,0)), HYPERLINK("#",""), HYPERLINK(CONCATENATE("#metadata!", ADDRESS(INDEX($X$2:$X$1001,MATCH(ROWS($V$2:V171),$V$2:$V$1001,0),0), INDEX($AC$1004:$AS$1004,1,MATCH(COLUMNS($AC$1006:AQ1006),$AC$1006:$AS$1006,0)))),"Fix")))</f>
        <v xml:space="preserve"> </v>
      </c>
      <c r="Q171" s="4" t="str">
        <f ca="1">IF(OR(INDEX($W$2:$W$1001,MATCH(ROWS($V$2:V171),$V$2:$V$1001,0),1)&gt;=100000,INDEX($AC$1005:$AS$1005,1,MATCH(COLUMNS($AC$1006:AR1006),$AC$1006:$AS$1006,0))&gt;=100000), " ",IF(INDEX($AC$2:$AS$1001,MATCH(ROWS($V$2:V171),$V$2:$V$1001,0),MATCH(COLUMNS($AC$1006:AR1006),$AC$1006:$AS$1006,0)), HYPERLINK("#",""), HYPERLINK(CONCATENATE("#metadata!", ADDRESS(INDEX($X$2:$X$1001,MATCH(ROWS($V$2:V171),$V$2:$V$1001,0),0), INDEX($AC$1004:$AS$1004,1,MATCH(COLUMNS($AC$1006:AR1006),$AC$1006:$AS$1006,0)))),"Fix")))</f>
        <v xml:space="preserve"> </v>
      </c>
      <c r="R171" s="4" t="str">
        <f ca="1">IF(OR(INDEX($W$2:$W$1001,MATCH(ROWS($V$2:V171),$V$2:$V$1001,0),1)&gt;=100000,INDEX($AC$1005:$AS$1005,1,MATCH(COLUMNS($AC$1006:AS1006),$AC$1006:$AS$1006,0))&gt;=100000), " ",IF(INDEX($AC$2:$AS$1001,MATCH(ROWS($V$2:V171),$V$2:$V$1001,0),MATCH(COLUMNS($AC$1006:AS1006),$AC$1006:$AS$1006,0)), HYPERLINK("#",""), HYPERLINK(CONCATENATE("#metadata!", ADDRESS(INDEX($X$2:$X$1001,MATCH(ROWS($V$2:V171),$V$2:$V$1001,0),0), INDEX($AC$1004:$AS$1004,1,MATCH(COLUMNS($AC$1006:AS1006),$AC$1006:$AS$1006,0)))),"Fix")))</f>
        <v xml:space="preserve"> </v>
      </c>
      <c r="V171">
        <v>170</v>
      </c>
      <c r="W171">
        <v>100171</v>
      </c>
      <c r="X171">
        <v>171</v>
      </c>
      <c r="Y171" t="b">
        <f t="shared" si="2"/>
        <v>1</v>
      </c>
      <c r="Z171" t="b">
        <f>COUNTBLANK(metadata!B171:R171)=COLUMNS(metadata!B171:R171)</f>
        <v>1</v>
      </c>
      <c r="AA171" t="str">
        <v/>
      </c>
      <c r="AC171" t="b">
        <f ca="1"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AD171" t="b">
        <f>IF(metadata!C171="",FALSE,ISNUMBER(VALUE(metadata!C171)))</f>
        <v>0</v>
      </c>
      <c r="AE171" t="b">
        <f>AND(IF(metadata!D171="",FALSE,TRUE),EXACT(metadata!D171,"years"))</f>
        <v>0</v>
      </c>
      <c r="AF171" t="b">
        <f>OR(AND(IF(metadata!E171="",FALSE,TRUE),OR(EXACT(metadata!E171,"not applicable"),EXACT(metadata!E171,"missing: not collected"),EXACT(metadata!E171,"missing: not provided"),EXACT(metadata!E171,"missing: restricted access"))),AND(IF(metadata!E171="",FALSE,ISNUMBER(VALUE(metadata!E171))),metadata!E171&gt;0))</f>
        <v>0</v>
      </c>
      <c r="AG171" t="b">
        <f>AND(IF(metadata!F171="",FALSE,TRUE),EXACT(metadata!F171,"Not applicable"))</f>
        <v>0</v>
      </c>
      <c r="AH171" t="b">
        <f>AND(IF(metadata!G171="",FALSE,TRUE),EXACT(metadata!G171,"urban biome"))</f>
        <v>0</v>
      </c>
      <c r="AI171" t="b">
        <f>AND(IF(metadata!H171="",FALSE,TRUE),EXACT(metadata!H171,"human-associated habitat"))</f>
        <v>0</v>
      </c>
      <c r="AJ171" t="b">
        <f>AND(IF(metadata!I171="",FALSE,TRUE),OR(EXACT(metadata!I171,"human-associated"),EXACT(metadata!I171,"human-skin"),EXACT(metadata!I171,"human-oral"),EXACT(metadata!I171,"human-gut"),EXACT(metadata!I171,"human-vaginal")))</f>
        <v>0</v>
      </c>
      <c r="AK171" t="b">
        <f>IF(metadata!J171="",FALSE,ISNUMBER(VALUE(metadata!J171)))</f>
        <v>0</v>
      </c>
      <c r="AL171" t="b">
        <f>AND(IF(metadata!K171="",FALSE,TRUE),EXACT(metadata!K171,"cm"))</f>
        <v>0</v>
      </c>
      <c r="AM171" t="b">
        <f>AND(IF(metadata!L171="",FALSE,TRUE),EXACT(metadata!L171,"human"))</f>
        <v>0</v>
      </c>
      <c r="AN171" t="b">
        <f>AND(IF(metadata!M171="",FALSE,TRUE),EXACT(metadata!M171,"Homo sapiens"))</f>
        <v>0</v>
      </c>
      <c r="AO171" t="b">
        <f>AND(IF(metadata!N171="",FALSE,TRUE),EXACT(metadata!N171,"9606"))</f>
        <v>0</v>
      </c>
      <c r="AP171" t="b">
        <f>IF(metadata!O171="",FALSE,TRUE)</f>
        <v>0</v>
      </c>
      <c r="AQ171" t="b">
        <f>IF(metadata!P171="",FALSE,TRUE)</f>
        <v>0</v>
      </c>
      <c r="AR171" t="b">
        <f>IF(metadata!Q171="",FALSE,ISNUMBER(VALUE(metadata!Q171)))</f>
        <v>0</v>
      </c>
      <c r="AS171" t="b">
        <f>AND(IF(metadata!R171="",FALSE,TRUE),EXACT(metadata!R171,"kg"))</f>
        <v>0</v>
      </c>
    </row>
    <row r="172" spans="1:45" x14ac:dyDescent="0.2">
      <c r="A172" s="5" t="str">
        <f ca="1">IF(B172=" "," ",HYPERLINK(CONCATENATE("#metadata!",ADDRESS(INDEX($X$2:$X$1001,MATCH(ROWS($V$2:V172),$V$2:$V$1001,0),0),1)),INDEX($AA$2:$AA$1001,MATCH(ROWS($V$2:V172),$V$2:$V$1001,0),0)))</f>
        <v xml:space="preserve"> </v>
      </c>
      <c r="B172" s="4" t="str">
        <f ca="1">IF(OR(INDEX($W$2:$W$1001,MATCH(ROWS($V$2:V172),$V$2:$V$1001,0),1)&gt;=100000,INDEX($AC$1005:$AS$1005,1,MATCH(COLUMNS($AC$1006:AC1006),$AC$1006:$AS$1006,0))&gt;=100000), " ",IF(INDEX($AC$2:$AS$1001,MATCH(ROWS($V$2:V172),$V$2:$V$1001,0),MATCH(COLUMNS($AC$1006:AC1006),$AC$1006:$AS$1006,0)), HYPERLINK("#",""), HYPERLINK(CONCATENATE("#metadata!", ADDRESS(INDEX($X$2:$X$1001,MATCH(ROWS($V$2:V172),$V$2:$V$1001,0),0), INDEX($AC$1004:$AS$1004,1,MATCH(COLUMNS($AC$1006:AC1006),$AC$1006:$AS$1006,0)))),"Fix")))</f>
        <v xml:space="preserve"> </v>
      </c>
      <c r="C172" s="4" t="str">
        <f ca="1">IF(OR(INDEX($W$2:$W$1001,MATCH(ROWS($V$2:V172),$V$2:$V$1001,0),1)&gt;=100000,INDEX($AC$1005:$AS$1005,1,MATCH(COLUMNS($AC$1006:AD1006),$AC$1006:$AS$1006,0))&gt;=100000), " ",IF(INDEX($AC$2:$AS$1001,MATCH(ROWS($V$2:V172),$V$2:$V$1001,0),MATCH(COLUMNS($AC$1006:AD1006),$AC$1006:$AS$1006,0)), HYPERLINK("#",""), HYPERLINK(CONCATENATE("#metadata!", ADDRESS(INDEX($X$2:$X$1001,MATCH(ROWS($V$2:V172),$V$2:$V$1001,0),0), INDEX($AC$1004:$AS$1004,1,MATCH(COLUMNS($AC$1006:AD1006),$AC$1006:$AS$1006,0)))),"Fix")))</f>
        <v xml:space="preserve"> </v>
      </c>
      <c r="D172" s="4" t="str">
        <f ca="1">IF(OR(INDEX($W$2:$W$1001,MATCH(ROWS($V$2:V172),$V$2:$V$1001,0),1)&gt;=100000,INDEX($AC$1005:$AS$1005,1,MATCH(COLUMNS($AC$1006:AE1006),$AC$1006:$AS$1006,0))&gt;=100000), " ",IF(INDEX($AC$2:$AS$1001,MATCH(ROWS($V$2:V172),$V$2:$V$1001,0),MATCH(COLUMNS($AC$1006:AE1006),$AC$1006:$AS$1006,0)), HYPERLINK("#",""), HYPERLINK(CONCATENATE("#metadata!", ADDRESS(INDEX($X$2:$X$1001,MATCH(ROWS($V$2:V172),$V$2:$V$1001,0),0), INDEX($AC$1004:$AS$1004,1,MATCH(COLUMNS($AC$1006:AE1006),$AC$1006:$AS$1006,0)))),"Fix")))</f>
        <v xml:space="preserve"> </v>
      </c>
      <c r="E172" s="4" t="str">
        <f ca="1">IF(OR(INDEX($W$2:$W$1001,MATCH(ROWS($V$2:V172),$V$2:$V$1001,0),1)&gt;=100000,INDEX($AC$1005:$AS$1005,1,MATCH(COLUMNS($AC$1006:AF1006),$AC$1006:$AS$1006,0))&gt;=100000), " ",IF(INDEX($AC$2:$AS$1001,MATCH(ROWS($V$2:V172),$V$2:$V$1001,0),MATCH(COLUMNS($AC$1006:AF1006),$AC$1006:$AS$1006,0)), HYPERLINK("#",""), HYPERLINK(CONCATENATE("#metadata!", ADDRESS(INDEX($X$2:$X$1001,MATCH(ROWS($V$2:V172),$V$2:$V$1001,0),0), INDEX($AC$1004:$AS$1004,1,MATCH(COLUMNS($AC$1006:AF1006),$AC$1006:$AS$1006,0)))),"Fix")))</f>
        <v xml:space="preserve"> </v>
      </c>
      <c r="F172" s="4" t="str">
        <f ca="1">IF(OR(INDEX($W$2:$W$1001,MATCH(ROWS($V$2:V172),$V$2:$V$1001,0),1)&gt;=100000,INDEX($AC$1005:$AS$1005,1,MATCH(COLUMNS($AC$1006:AG1006),$AC$1006:$AS$1006,0))&gt;=100000), " ",IF(INDEX($AC$2:$AS$1001,MATCH(ROWS($V$2:V172),$V$2:$V$1001,0),MATCH(COLUMNS($AC$1006:AG1006),$AC$1006:$AS$1006,0)), HYPERLINK("#",""), HYPERLINK(CONCATENATE("#metadata!", ADDRESS(INDEX($X$2:$X$1001,MATCH(ROWS($V$2:V172),$V$2:$V$1001,0),0), INDEX($AC$1004:$AS$1004,1,MATCH(COLUMNS($AC$1006:AG1006),$AC$1006:$AS$1006,0)))),"Fix")))</f>
        <v xml:space="preserve"> </v>
      </c>
      <c r="G172" s="4" t="str">
        <f ca="1">IF(OR(INDEX($W$2:$W$1001,MATCH(ROWS($V$2:V172),$V$2:$V$1001,0),1)&gt;=100000,INDEX($AC$1005:$AS$1005,1,MATCH(COLUMNS($AC$1006:AH1006),$AC$1006:$AS$1006,0))&gt;=100000), " ",IF(INDEX($AC$2:$AS$1001,MATCH(ROWS($V$2:V172),$V$2:$V$1001,0),MATCH(COLUMNS($AC$1006:AH1006),$AC$1006:$AS$1006,0)), HYPERLINK("#",""), HYPERLINK(CONCATENATE("#metadata!", ADDRESS(INDEX($X$2:$X$1001,MATCH(ROWS($V$2:V172),$V$2:$V$1001,0),0), INDEX($AC$1004:$AS$1004,1,MATCH(COLUMNS($AC$1006:AH1006),$AC$1006:$AS$1006,0)))),"Fix")))</f>
        <v xml:space="preserve"> </v>
      </c>
      <c r="H172" s="4" t="str">
        <f ca="1">IF(OR(INDEX($W$2:$W$1001,MATCH(ROWS($V$2:V172),$V$2:$V$1001,0),1)&gt;=100000,INDEX($AC$1005:$AS$1005,1,MATCH(COLUMNS($AC$1006:AI1006),$AC$1006:$AS$1006,0))&gt;=100000), " ",IF(INDEX($AC$2:$AS$1001,MATCH(ROWS($V$2:V172),$V$2:$V$1001,0),MATCH(COLUMNS($AC$1006:AI1006),$AC$1006:$AS$1006,0)), HYPERLINK("#",""), HYPERLINK(CONCATENATE("#metadata!", ADDRESS(INDEX($X$2:$X$1001,MATCH(ROWS($V$2:V172),$V$2:$V$1001,0),0), INDEX($AC$1004:$AS$1004,1,MATCH(COLUMNS($AC$1006:AI1006),$AC$1006:$AS$1006,0)))),"Fix")))</f>
        <v xml:space="preserve"> </v>
      </c>
      <c r="I172" s="4" t="str">
        <f ca="1">IF(OR(INDEX($W$2:$W$1001,MATCH(ROWS($V$2:V172),$V$2:$V$1001,0),1)&gt;=100000,INDEX($AC$1005:$AS$1005,1,MATCH(COLUMNS($AC$1006:AJ1006),$AC$1006:$AS$1006,0))&gt;=100000), " ",IF(INDEX($AC$2:$AS$1001,MATCH(ROWS($V$2:V172),$V$2:$V$1001,0),MATCH(COLUMNS($AC$1006:AJ1006),$AC$1006:$AS$1006,0)), HYPERLINK("#",""), HYPERLINK(CONCATENATE("#metadata!", ADDRESS(INDEX($X$2:$X$1001,MATCH(ROWS($V$2:V172),$V$2:$V$1001,0),0), INDEX($AC$1004:$AS$1004,1,MATCH(COLUMNS($AC$1006:AJ1006),$AC$1006:$AS$1006,0)))),"Fix")))</f>
        <v xml:space="preserve"> </v>
      </c>
      <c r="J172" s="4" t="str">
        <f ca="1">IF(OR(INDEX($W$2:$W$1001,MATCH(ROWS($V$2:V172),$V$2:$V$1001,0),1)&gt;=100000,INDEX($AC$1005:$AS$1005,1,MATCH(COLUMNS($AC$1006:AK1006),$AC$1006:$AS$1006,0))&gt;=100000), " ",IF(INDEX($AC$2:$AS$1001,MATCH(ROWS($V$2:V172),$V$2:$V$1001,0),MATCH(COLUMNS($AC$1006:AK1006),$AC$1006:$AS$1006,0)), HYPERLINK("#",""), HYPERLINK(CONCATENATE("#metadata!", ADDRESS(INDEX($X$2:$X$1001,MATCH(ROWS($V$2:V172),$V$2:$V$1001,0),0), INDEX($AC$1004:$AS$1004,1,MATCH(COLUMNS($AC$1006:AK1006),$AC$1006:$AS$1006,0)))),"Fix")))</f>
        <v xml:space="preserve"> </v>
      </c>
      <c r="K172" s="4" t="str">
        <f ca="1">IF(OR(INDEX($W$2:$W$1001,MATCH(ROWS($V$2:V172),$V$2:$V$1001,0),1)&gt;=100000,INDEX($AC$1005:$AS$1005,1,MATCH(COLUMNS($AC$1006:AL1006),$AC$1006:$AS$1006,0))&gt;=100000), " ",IF(INDEX($AC$2:$AS$1001,MATCH(ROWS($V$2:V172),$V$2:$V$1001,0),MATCH(COLUMNS($AC$1006:AL1006),$AC$1006:$AS$1006,0)), HYPERLINK("#",""), HYPERLINK(CONCATENATE("#metadata!", ADDRESS(INDEX($X$2:$X$1001,MATCH(ROWS($V$2:V172),$V$2:$V$1001,0),0), INDEX($AC$1004:$AS$1004,1,MATCH(COLUMNS($AC$1006:AL1006),$AC$1006:$AS$1006,0)))),"Fix")))</f>
        <v xml:space="preserve"> </v>
      </c>
      <c r="L172" s="4" t="str">
        <f ca="1">IF(OR(INDEX($W$2:$W$1001,MATCH(ROWS($V$2:V172),$V$2:$V$1001,0),1)&gt;=100000,INDEX($AC$1005:$AS$1005,1,MATCH(COLUMNS($AC$1006:AM1006),$AC$1006:$AS$1006,0))&gt;=100000), " ",IF(INDEX($AC$2:$AS$1001,MATCH(ROWS($V$2:V172),$V$2:$V$1001,0),MATCH(COLUMNS($AC$1006:AM1006),$AC$1006:$AS$1006,0)), HYPERLINK("#",""), HYPERLINK(CONCATENATE("#metadata!", ADDRESS(INDEX($X$2:$X$1001,MATCH(ROWS($V$2:V172),$V$2:$V$1001,0),0), INDEX($AC$1004:$AS$1004,1,MATCH(COLUMNS($AC$1006:AM1006),$AC$1006:$AS$1006,0)))),"Fix")))</f>
        <v xml:space="preserve"> </v>
      </c>
      <c r="M172" s="4" t="str">
        <f ca="1">IF(OR(INDEX($W$2:$W$1001,MATCH(ROWS($V$2:V172),$V$2:$V$1001,0),1)&gt;=100000,INDEX($AC$1005:$AS$1005,1,MATCH(COLUMNS($AC$1006:AN1006),$AC$1006:$AS$1006,0))&gt;=100000), " ",IF(INDEX($AC$2:$AS$1001,MATCH(ROWS($V$2:V172),$V$2:$V$1001,0),MATCH(COLUMNS($AC$1006:AN1006),$AC$1006:$AS$1006,0)), HYPERLINK("#",""), HYPERLINK(CONCATENATE("#metadata!", ADDRESS(INDEX($X$2:$X$1001,MATCH(ROWS($V$2:V172),$V$2:$V$1001,0),0), INDEX($AC$1004:$AS$1004,1,MATCH(COLUMNS($AC$1006:AN1006),$AC$1006:$AS$1006,0)))),"Fix")))</f>
        <v xml:space="preserve"> </v>
      </c>
      <c r="N172" s="4" t="str">
        <f ca="1">IF(OR(INDEX($W$2:$W$1001,MATCH(ROWS($V$2:V172),$V$2:$V$1001,0),1)&gt;=100000,INDEX($AC$1005:$AS$1005,1,MATCH(COLUMNS($AC$1006:AO1006),$AC$1006:$AS$1006,0))&gt;=100000), " ",IF(INDEX($AC$2:$AS$1001,MATCH(ROWS($V$2:V172),$V$2:$V$1001,0),MATCH(COLUMNS($AC$1006:AO1006),$AC$1006:$AS$1006,0)), HYPERLINK("#",""), HYPERLINK(CONCATENATE("#metadata!", ADDRESS(INDEX($X$2:$X$1001,MATCH(ROWS($V$2:V172),$V$2:$V$1001,0),0), INDEX($AC$1004:$AS$1004,1,MATCH(COLUMNS($AC$1006:AO1006),$AC$1006:$AS$1006,0)))),"Fix")))</f>
        <v xml:space="preserve"> </v>
      </c>
      <c r="O172" s="4" t="str">
        <f ca="1">IF(OR(INDEX($W$2:$W$1001,MATCH(ROWS($V$2:V172),$V$2:$V$1001,0),1)&gt;=100000,INDEX($AC$1005:$AS$1005,1,MATCH(COLUMNS($AC$1006:AP1006),$AC$1006:$AS$1006,0))&gt;=100000), " ",IF(INDEX($AC$2:$AS$1001,MATCH(ROWS($V$2:V172),$V$2:$V$1001,0),MATCH(COLUMNS($AC$1006:AP1006),$AC$1006:$AS$1006,0)), HYPERLINK("#",""), HYPERLINK(CONCATENATE("#metadata!", ADDRESS(INDEX($X$2:$X$1001,MATCH(ROWS($V$2:V172),$V$2:$V$1001,0),0), INDEX($AC$1004:$AS$1004,1,MATCH(COLUMNS($AC$1006:AP1006),$AC$1006:$AS$1006,0)))),"Fix")))</f>
        <v xml:space="preserve"> </v>
      </c>
      <c r="P172" s="4" t="str">
        <f ca="1">IF(OR(INDEX($W$2:$W$1001,MATCH(ROWS($V$2:V172),$V$2:$V$1001,0),1)&gt;=100000,INDEX($AC$1005:$AS$1005,1,MATCH(COLUMNS($AC$1006:AQ1006),$AC$1006:$AS$1006,0))&gt;=100000), " ",IF(INDEX($AC$2:$AS$1001,MATCH(ROWS($V$2:V172),$V$2:$V$1001,0),MATCH(COLUMNS($AC$1006:AQ1006),$AC$1006:$AS$1006,0)), HYPERLINK("#",""), HYPERLINK(CONCATENATE("#metadata!", ADDRESS(INDEX($X$2:$X$1001,MATCH(ROWS($V$2:V172),$V$2:$V$1001,0),0), INDEX($AC$1004:$AS$1004,1,MATCH(COLUMNS($AC$1006:AQ1006),$AC$1006:$AS$1006,0)))),"Fix")))</f>
        <v xml:space="preserve"> </v>
      </c>
      <c r="Q172" s="4" t="str">
        <f ca="1">IF(OR(INDEX($W$2:$W$1001,MATCH(ROWS($V$2:V172),$V$2:$V$1001,0),1)&gt;=100000,INDEX($AC$1005:$AS$1005,1,MATCH(COLUMNS($AC$1006:AR1006),$AC$1006:$AS$1006,0))&gt;=100000), " ",IF(INDEX($AC$2:$AS$1001,MATCH(ROWS($V$2:V172),$V$2:$V$1001,0),MATCH(COLUMNS($AC$1006:AR1006),$AC$1006:$AS$1006,0)), HYPERLINK("#",""), HYPERLINK(CONCATENATE("#metadata!", ADDRESS(INDEX($X$2:$X$1001,MATCH(ROWS($V$2:V172),$V$2:$V$1001,0),0), INDEX($AC$1004:$AS$1004,1,MATCH(COLUMNS($AC$1006:AR1006),$AC$1006:$AS$1006,0)))),"Fix")))</f>
        <v xml:space="preserve"> </v>
      </c>
      <c r="R172" s="4" t="str">
        <f ca="1">IF(OR(INDEX($W$2:$W$1001,MATCH(ROWS($V$2:V172),$V$2:$V$1001,0),1)&gt;=100000,INDEX($AC$1005:$AS$1005,1,MATCH(COLUMNS($AC$1006:AS1006),$AC$1006:$AS$1006,0))&gt;=100000), " ",IF(INDEX($AC$2:$AS$1001,MATCH(ROWS($V$2:V172),$V$2:$V$1001,0),MATCH(COLUMNS($AC$1006:AS1006),$AC$1006:$AS$1006,0)), HYPERLINK("#",""), HYPERLINK(CONCATENATE("#metadata!", ADDRESS(INDEX($X$2:$X$1001,MATCH(ROWS($V$2:V172),$V$2:$V$1001,0),0), INDEX($AC$1004:$AS$1004,1,MATCH(COLUMNS($AC$1006:AS1006),$AC$1006:$AS$1006,0)))),"Fix")))</f>
        <v xml:space="preserve"> </v>
      </c>
      <c r="V172">
        <v>171</v>
      </c>
      <c r="W172">
        <v>100172</v>
      </c>
      <c r="X172">
        <v>172</v>
      </c>
      <c r="Y172" t="b">
        <f t="shared" si="2"/>
        <v>1</v>
      </c>
      <c r="Z172" t="b">
        <f>COUNTBLANK(metadata!B172:R172)=COLUMNS(metadata!B172:R172)</f>
        <v>1</v>
      </c>
      <c r="AA172" t="str">
        <v/>
      </c>
      <c r="AC172" t="b">
        <f ca="1"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AD172" t="b">
        <f>IF(metadata!C172="",FALSE,ISNUMBER(VALUE(metadata!C172)))</f>
        <v>0</v>
      </c>
      <c r="AE172" t="b">
        <f>AND(IF(metadata!D172="",FALSE,TRUE),EXACT(metadata!D172,"years"))</f>
        <v>0</v>
      </c>
      <c r="AF172" t="b">
        <f>OR(AND(IF(metadata!E172="",FALSE,TRUE),OR(EXACT(metadata!E172,"not applicable"),EXACT(metadata!E172,"missing: not collected"),EXACT(metadata!E172,"missing: not provided"),EXACT(metadata!E172,"missing: restricted access"))),AND(IF(metadata!E172="",FALSE,ISNUMBER(VALUE(metadata!E172))),metadata!E172&gt;0))</f>
        <v>0</v>
      </c>
      <c r="AG172" t="b">
        <f>AND(IF(metadata!F172="",FALSE,TRUE),EXACT(metadata!F172,"Not applicable"))</f>
        <v>0</v>
      </c>
      <c r="AH172" t="b">
        <f>AND(IF(metadata!G172="",FALSE,TRUE),EXACT(metadata!G172,"urban biome"))</f>
        <v>0</v>
      </c>
      <c r="AI172" t="b">
        <f>AND(IF(metadata!H172="",FALSE,TRUE),EXACT(metadata!H172,"human-associated habitat"))</f>
        <v>0</v>
      </c>
      <c r="AJ172" t="b">
        <f>AND(IF(metadata!I172="",FALSE,TRUE),OR(EXACT(metadata!I172,"human-associated"),EXACT(metadata!I172,"human-skin"),EXACT(metadata!I172,"human-oral"),EXACT(metadata!I172,"human-gut"),EXACT(metadata!I172,"human-vaginal")))</f>
        <v>0</v>
      </c>
      <c r="AK172" t="b">
        <f>IF(metadata!J172="",FALSE,ISNUMBER(VALUE(metadata!J172)))</f>
        <v>0</v>
      </c>
      <c r="AL172" t="b">
        <f>AND(IF(metadata!K172="",FALSE,TRUE),EXACT(metadata!K172,"cm"))</f>
        <v>0</v>
      </c>
      <c r="AM172" t="b">
        <f>AND(IF(metadata!L172="",FALSE,TRUE),EXACT(metadata!L172,"human"))</f>
        <v>0</v>
      </c>
      <c r="AN172" t="b">
        <f>AND(IF(metadata!M172="",FALSE,TRUE),EXACT(metadata!M172,"Homo sapiens"))</f>
        <v>0</v>
      </c>
      <c r="AO172" t="b">
        <f>AND(IF(metadata!N172="",FALSE,TRUE),EXACT(metadata!N172,"9606"))</f>
        <v>0</v>
      </c>
      <c r="AP172" t="b">
        <f>IF(metadata!O172="",FALSE,TRUE)</f>
        <v>0</v>
      </c>
      <c r="AQ172" t="b">
        <f>IF(metadata!P172="",FALSE,TRUE)</f>
        <v>0</v>
      </c>
      <c r="AR172" t="b">
        <f>IF(metadata!Q172="",FALSE,ISNUMBER(VALUE(metadata!Q172)))</f>
        <v>0</v>
      </c>
      <c r="AS172" t="b">
        <f>AND(IF(metadata!R172="",FALSE,TRUE),EXACT(metadata!R172,"kg"))</f>
        <v>0</v>
      </c>
    </row>
    <row r="173" spans="1:45" x14ac:dyDescent="0.2">
      <c r="A173" s="5" t="str">
        <f ca="1">IF(B173=" "," ",HYPERLINK(CONCATENATE("#metadata!",ADDRESS(INDEX($X$2:$X$1001,MATCH(ROWS($V$2:V173),$V$2:$V$1001,0),0),1)),INDEX($AA$2:$AA$1001,MATCH(ROWS($V$2:V173),$V$2:$V$1001,0),0)))</f>
        <v xml:space="preserve"> </v>
      </c>
      <c r="B173" s="4" t="str">
        <f ca="1">IF(OR(INDEX($W$2:$W$1001,MATCH(ROWS($V$2:V173),$V$2:$V$1001,0),1)&gt;=100000,INDEX($AC$1005:$AS$1005,1,MATCH(COLUMNS($AC$1006:AC1006),$AC$1006:$AS$1006,0))&gt;=100000), " ",IF(INDEX($AC$2:$AS$1001,MATCH(ROWS($V$2:V173),$V$2:$V$1001,0),MATCH(COLUMNS($AC$1006:AC1006),$AC$1006:$AS$1006,0)), HYPERLINK("#",""), HYPERLINK(CONCATENATE("#metadata!", ADDRESS(INDEX($X$2:$X$1001,MATCH(ROWS($V$2:V173),$V$2:$V$1001,0),0), INDEX($AC$1004:$AS$1004,1,MATCH(COLUMNS($AC$1006:AC1006),$AC$1006:$AS$1006,0)))),"Fix")))</f>
        <v xml:space="preserve"> </v>
      </c>
      <c r="C173" s="4" t="str">
        <f ca="1">IF(OR(INDEX($W$2:$W$1001,MATCH(ROWS($V$2:V173),$V$2:$V$1001,0),1)&gt;=100000,INDEX($AC$1005:$AS$1005,1,MATCH(COLUMNS($AC$1006:AD1006),$AC$1006:$AS$1006,0))&gt;=100000), " ",IF(INDEX($AC$2:$AS$1001,MATCH(ROWS($V$2:V173),$V$2:$V$1001,0),MATCH(COLUMNS($AC$1006:AD1006),$AC$1006:$AS$1006,0)), HYPERLINK("#",""), HYPERLINK(CONCATENATE("#metadata!", ADDRESS(INDEX($X$2:$X$1001,MATCH(ROWS($V$2:V173),$V$2:$V$1001,0),0), INDEX($AC$1004:$AS$1004,1,MATCH(COLUMNS($AC$1006:AD1006),$AC$1006:$AS$1006,0)))),"Fix")))</f>
        <v xml:space="preserve"> </v>
      </c>
      <c r="D173" s="4" t="str">
        <f ca="1">IF(OR(INDEX($W$2:$W$1001,MATCH(ROWS($V$2:V173),$V$2:$V$1001,0),1)&gt;=100000,INDEX($AC$1005:$AS$1005,1,MATCH(COLUMNS($AC$1006:AE1006),$AC$1006:$AS$1006,0))&gt;=100000), " ",IF(INDEX($AC$2:$AS$1001,MATCH(ROWS($V$2:V173),$V$2:$V$1001,0),MATCH(COLUMNS($AC$1006:AE1006),$AC$1006:$AS$1006,0)), HYPERLINK("#",""), HYPERLINK(CONCATENATE("#metadata!", ADDRESS(INDEX($X$2:$X$1001,MATCH(ROWS($V$2:V173),$V$2:$V$1001,0),0), INDEX($AC$1004:$AS$1004,1,MATCH(COLUMNS($AC$1006:AE1006),$AC$1006:$AS$1006,0)))),"Fix")))</f>
        <v xml:space="preserve"> </v>
      </c>
      <c r="E173" s="4" t="str">
        <f ca="1">IF(OR(INDEX($W$2:$W$1001,MATCH(ROWS($V$2:V173),$V$2:$V$1001,0),1)&gt;=100000,INDEX($AC$1005:$AS$1005,1,MATCH(COLUMNS($AC$1006:AF1006),$AC$1006:$AS$1006,0))&gt;=100000), " ",IF(INDEX($AC$2:$AS$1001,MATCH(ROWS($V$2:V173),$V$2:$V$1001,0),MATCH(COLUMNS($AC$1006:AF1006),$AC$1006:$AS$1006,0)), HYPERLINK("#",""), HYPERLINK(CONCATENATE("#metadata!", ADDRESS(INDEX($X$2:$X$1001,MATCH(ROWS($V$2:V173),$V$2:$V$1001,0),0), INDEX($AC$1004:$AS$1004,1,MATCH(COLUMNS($AC$1006:AF1006),$AC$1006:$AS$1006,0)))),"Fix")))</f>
        <v xml:space="preserve"> </v>
      </c>
      <c r="F173" s="4" t="str">
        <f ca="1">IF(OR(INDEX($W$2:$W$1001,MATCH(ROWS($V$2:V173),$V$2:$V$1001,0),1)&gt;=100000,INDEX($AC$1005:$AS$1005,1,MATCH(COLUMNS($AC$1006:AG1006),$AC$1006:$AS$1006,0))&gt;=100000), " ",IF(INDEX($AC$2:$AS$1001,MATCH(ROWS($V$2:V173),$V$2:$V$1001,0),MATCH(COLUMNS($AC$1006:AG1006),$AC$1006:$AS$1006,0)), HYPERLINK("#",""), HYPERLINK(CONCATENATE("#metadata!", ADDRESS(INDEX($X$2:$X$1001,MATCH(ROWS($V$2:V173),$V$2:$V$1001,0),0), INDEX($AC$1004:$AS$1004,1,MATCH(COLUMNS($AC$1006:AG1006),$AC$1006:$AS$1006,0)))),"Fix")))</f>
        <v xml:space="preserve"> </v>
      </c>
      <c r="G173" s="4" t="str">
        <f ca="1">IF(OR(INDEX($W$2:$W$1001,MATCH(ROWS($V$2:V173),$V$2:$V$1001,0),1)&gt;=100000,INDEX($AC$1005:$AS$1005,1,MATCH(COLUMNS($AC$1006:AH1006),$AC$1006:$AS$1006,0))&gt;=100000), " ",IF(INDEX($AC$2:$AS$1001,MATCH(ROWS($V$2:V173),$V$2:$V$1001,0),MATCH(COLUMNS($AC$1006:AH1006),$AC$1006:$AS$1006,0)), HYPERLINK("#",""), HYPERLINK(CONCATENATE("#metadata!", ADDRESS(INDEX($X$2:$X$1001,MATCH(ROWS($V$2:V173),$V$2:$V$1001,0),0), INDEX($AC$1004:$AS$1004,1,MATCH(COLUMNS($AC$1006:AH1006),$AC$1006:$AS$1006,0)))),"Fix")))</f>
        <v xml:space="preserve"> </v>
      </c>
      <c r="H173" s="4" t="str">
        <f ca="1">IF(OR(INDEX($W$2:$W$1001,MATCH(ROWS($V$2:V173),$V$2:$V$1001,0),1)&gt;=100000,INDEX($AC$1005:$AS$1005,1,MATCH(COLUMNS($AC$1006:AI1006),$AC$1006:$AS$1006,0))&gt;=100000), " ",IF(INDEX($AC$2:$AS$1001,MATCH(ROWS($V$2:V173),$V$2:$V$1001,0),MATCH(COLUMNS($AC$1006:AI1006),$AC$1006:$AS$1006,0)), HYPERLINK("#",""), HYPERLINK(CONCATENATE("#metadata!", ADDRESS(INDEX($X$2:$X$1001,MATCH(ROWS($V$2:V173),$V$2:$V$1001,0),0), INDEX($AC$1004:$AS$1004,1,MATCH(COLUMNS($AC$1006:AI1006),$AC$1006:$AS$1006,0)))),"Fix")))</f>
        <v xml:space="preserve"> </v>
      </c>
      <c r="I173" s="4" t="str">
        <f ca="1">IF(OR(INDEX($W$2:$W$1001,MATCH(ROWS($V$2:V173),$V$2:$V$1001,0),1)&gt;=100000,INDEX($AC$1005:$AS$1005,1,MATCH(COLUMNS($AC$1006:AJ1006),$AC$1006:$AS$1006,0))&gt;=100000), " ",IF(INDEX($AC$2:$AS$1001,MATCH(ROWS($V$2:V173),$V$2:$V$1001,0),MATCH(COLUMNS($AC$1006:AJ1006),$AC$1006:$AS$1006,0)), HYPERLINK("#",""), HYPERLINK(CONCATENATE("#metadata!", ADDRESS(INDEX($X$2:$X$1001,MATCH(ROWS($V$2:V173),$V$2:$V$1001,0),0), INDEX($AC$1004:$AS$1004,1,MATCH(COLUMNS($AC$1006:AJ1006),$AC$1006:$AS$1006,0)))),"Fix")))</f>
        <v xml:space="preserve"> </v>
      </c>
      <c r="J173" s="4" t="str">
        <f ca="1">IF(OR(INDEX($W$2:$W$1001,MATCH(ROWS($V$2:V173),$V$2:$V$1001,0),1)&gt;=100000,INDEX($AC$1005:$AS$1005,1,MATCH(COLUMNS($AC$1006:AK1006),$AC$1006:$AS$1006,0))&gt;=100000), " ",IF(INDEX($AC$2:$AS$1001,MATCH(ROWS($V$2:V173),$V$2:$V$1001,0),MATCH(COLUMNS($AC$1006:AK1006),$AC$1006:$AS$1006,0)), HYPERLINK("#",""), HYPERLINK(CONCATENATE("#metadata!", ADDRESS(INDEX($X$2:$X$1001,MATCH(ROWS($V$2:V173),$V$2:$V$1001,0),0), INDEX($AC$1004:$AS$1004,1,MATCH(COLUMNS($AC$1006:AK1006),$AC$1006:$AS$1006,0)))),"Fix")))</f>
        <v xml:space="preserve"> </v>
      </c>
      <c r="K173" s="4" t="str">
        <f ca="1">IF(OR(INDEX($W$2:$W$1001,MATCH(ROWS($V$2:V173),$V$2:$V$1001,0),1)&gt;=100000,INDEX($AC$1005:$AS$1005,1,MATCH(COLUMNS($AC$1006:AL1006),$AC$1006:$AS$1006,0))&gt;=100000), " ",IF(INDEX($AC$2:$AS$1001,MATCH(ROWS($V$2:V173),$V$2:$V$1001,0),MATCH(COLUMNS($AC$1006:AL1006),$AC$1006:$AS$1006,0)), HYPERLINK("#",""), HYPERLINK(CONCATENATE("#metadata!", ADDRESS(INDEX($X$2:$X$1001,MATCH(ROWS($V$2:V173),$V$2:$V$1001,0),0), INDEX($AC$1004:$AS$1004,1,MATCH(COLUMNS($AC$1006:AL1006),$AC$1006:$AS$1006,0)))),"Fix")))</f>
        <v xml:space="preserve"> </v>
      </c>
      <c r="L173" s="4" t="str">
        <f ca="1">IF(OR(INDEX($W$2:$W$1001,MATCH(ROWS($V$2:V173),$V$2:$V$1001,0),1)&gt;=100000,INDEX($AC$1005:$AS$1005,1,MATCH(COLUMNS($AC$1006:AM1006),$AC$1006:$AS$1006,0))&gt;=100000), " ",IF(INDEX($AC$2:$AS$1001,MATCH(ROWS($V$2:V173),$V$2:$V$1001,0),MATCH(COLUMNS($AC$1006:AM1006),$AC$1006:$AS$1006,0)), HYPERLINK("#",""), HYPERLINK(CONCATENATE("#metadata!", ADDRESS(INDEX($X$2:$X$1001,MATCH(ROWS($V$2:V173),$V$2:$V$1001,0),0), INDEX($AC$1004:$AS$1004,1,MATCH(COLUMNS($AC$1006:AM1006),$AC$1006:$AS$1006,0)))),"Fix")))</f>
        <v xml:space="preserve"> </v>
      </c>
      <c r="M173" s="4" t="str">
        <f ca="1">IF(OR(INDEX($W$2:$W$1001,MATCH(ROWS($V$2:V173),$V$2:$V$1001,0),1)&gt;=100000,INDEX($AC$1005:$AS$1005,1,MATCH(COLUMNS($AC$1006:AN1006),$AC$1006:$AS$1006,0))&gt;=100000), " ",IF(INDEX($AC$2:$AS$1001,MATCH(ROWS($V$2:V173),$V$2:$V$1001,0),MATCH(COLUMNS($AC$1006:AN1006),$AC$1006:$AS$1006,0)), HYPERLINK("#",""), HYPERLINK(CONCATENATE("#metadata!", ADDRESS(INDEX($X$2:$X$1001,MATCH(ROWS($V$2:V173),$V$2:$V$1001,0),0), INDEX($AC$1004:$AS$1004,1,MATCH(COLUMNS($AC$1006:AN1006),$AC$1006:$AS$1006,0)))),"Fix")))</f>
        <v xml:space="preserve"> </v>
      </c>
      <c r="N173" s="4" t="str">
        <f ca="1">IF(OR(INDEX($W$2:$W$1001,MATCH(ROWS($V$2:V173),$V$2:$V$1001,0),1)&gt;=100000,INDEX($AC$1005:$AS$1005,1,MATCH(COLUMNS($AC$1006:AO1006),$AC$1006:$AS$1006,0))&gt;=100000), " ",IF(INDEX($AC$2:$AS$1001,MATCH(ROWS($V$2:V173),$V$2:$V$1001,0),MATCH(COLUMNS($AC$1006:AO1006),$AC$1006:$AS$1006,0)), HYPERLINK("#",""), HYPERLINK(CONCATENATE("#metadata!", ADDRESS(INDEX($X$2:$X$1001,MATCH(ROWS($V$2:V173),$V$2:$V$1001,0),0), INDEX($AC$1004:$AS$1004,1,MATCH(COLUMNS($AC$1006:AO1006),$AC$1006:$AS$1006,0)))),"Fix")))</f>
        <v xml:space="preserve"> </v>
      </c>
      <c r="O173" s="4" t="str">
        <f ca="1">IF(OR(INDEX($W$2:$W$1001,MATCH(ROWS($V$2:V173),$V$2:$V$1001,0),1)&gt;=100000,INDEX($AC$1005:$AS$1005,1,MATCH(COLUMNS($AC$1006:AP1006),$AC$1006:$AS$1006,0))&gt;=100000), " ",IF(INDEX($AC$2:$AS$1001,MATCH(ROWS($V$2:V173),$V$2:$V$1001,0),MATCH(COLUMNS($AC$1006:AP1006),$AC$1006:$AS$1006,0)), HYPERLINK("#",""), HYPERLINK(CONCATENATE("#metadata!", ADDRESS(INDEX($X$2:$X$1001,MATCH(ROWS($V$2:V173),$V$2:$V$1001,0),0), INDEX($AC$1004:$AS$1004,1,MATCH(COLUMNS($AC$1006:AP1006),$AC$1006:$AS$1006,0)))),"Fix")))</f>
        <v xml:space="preserve"> </v>
      </c>
      <c r="P173" s="4" t="str">
        <f ca="1">IF(OR(INDEX($W$2:$W$1001,MATCH(ROWS($V$2:V173),$V$2:$V$1001,0),1)&gt;=100000,INDEX($AC$1005:$AS$1005,1,MATCH(COLUMNS($AC$1006:AQ1006),$AC$1006:$AS$1006,0))&gt;=100000), " ",IF(INDEX($AC$2:$AS$1001,MATCH(ROWS($V$2:V173),$V$2:$V$1001,0),MATCH(COLUMNS($AC$1006:AQ1006),$AC$1006:$AS$1006,0)), HYPERLINK("#",""), HYPERLINK(CONCATENATE("#metadata!", ADDRESS(INDEX($X$2:$X$1001,MATCH(ROWS($V$2:V173),$V$2:$V$1001,0),0), INDEX($AC$1004:$AS$1004,1,MATCH(COLUMNS($AC$1006:AQ1006),$AC$1006:$AS$1006,0)))),"Fix")))</f>
        <v xml:space="preserve"> </v>
      </c>
      <c r="Q173" s="4" t="str">
        <f ca="1">IF(OR(INDEX($W$2:$W$1001,MATCH(ROWS($V$2:V173),$V$2:$V$1001,0),1)&gt;=100000,INDEX($AC$1005:$AS$1005,1,MATCH(COLUMNS($AC$1006:AR1006),$AC$1006:$AS$1006,0))&gt;=100000), " ",IF(INDEX($AC$2:$AS$1001,MATCH(ROWS($V$2:V173),$V$2:$V$1001,0),MATCH(COLUMNS($AC$1006:AR1006),$AC$1006:$AS$1006,0)), HYPERLINK("#",""), HYPERLINK(CONCATENATE("#metadata!", ADDRESS(INDEX($X$2:$X$1001,MATCH(ROWS($V$2:V173),$V$2:$V$1001,0),0), INDEX($AC$1004:$AS$1004,1,MATCH(COLUMNS($AC$1006:AR1006),$AC$1006:$AS$1006,0)))),"Fix")))</f>
        <v xml:space="preserve"> </v>
      </c>
      <c r="R173" s="4" t="str">
        <f ca="1">IF(OR(INDEX($W$2:$W$1001,MATCH(ROWS($V$2:V173),$V$2:$V$1001,0),1)&gt;=100000,INDEX($AC$1005:$AS$1005,1,MATCH(COLUMNS($AC$1006:AS1006),$AC$1006:$AS$1006,0))&gt;=100000), " ",IF(INDEX($AC$2:$AS$1001,MATCH(ROWS($V$2:V173),$V$2:$V$1001,0),MATCH(COLUMNS($AC$1006:AS1006),$AC$1006:$AS$1006,0)), HYPERLINK("#",""), HYPERLINK(CONCATENATE("#metadata!", ADDRESS(INDEX($X$2:$X$1001,MATCH(ROWS($V$2:V173),$V$2:$V$1001,0),0), INDEX($AC$1004:$AS$1004,1,MATCH(COLUMNS($AC$1006:AS1006),$AC$1006:$AS$1006,0)))),"Fix")))</f>
        <v xml:space="preserve"> </v>
      </c>
      <c r="V173">
        <v>172</v>
      </c>
      <c r="W173">
        <v>100173</v>
      </c>
      <c r="X173">
        <v>173</v>
      </c>
      <c r="Y173" t="b">
        <f t="shared" si="2"/>
        <v>1</v>
      </c>
      <c r="Z173" t="b">
        <f>COUNTBLANK(metadata!B173:R173)=COLUMNS(metadata!B173:R173)</f>
        <v>1</v>
      </c>
      <c r="AA173" t="str">
        <v/>
      </c>
      <c r="AC173" t="b">
        <f ca="1"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AD173" t="b">
        <f>IF(metadata!C173="",FALSE,ISNUMBER(VALUE(metadata!C173)))</f>
        <v>0</v>
      </c>
      <c r="AE173" t="b">
        <f>AND(IF(metadata!D173="",FALSE,TRUE),EXACT(metadata!D173,"years"))</f>
        <v>0</v>
      </c>
      <c r="AF173" t="b">
        <f>OR(AND(IF(metadata!E173="",FALSE,TRUE),OR(EXACT(metadata!E173,"not applicable"),EXACT(metadata!E173,"missing: not collected"),EXACT(metadata!E173,"missing: not provided"),EXACT(metadata!E173,"missing: restricted access"))),AND(IF(metadata!E173="",FALSE,ISNUMBER(VALUE(metadata!E173))),metadata!E173&gt;0))</f>
        <v>0</v>
      </c>
      <c r="AG173" t="b">
        <f>AND(IF(metadata!F173="",FALSE,TRUE),EXACT(metadata!F173,"Not applicable"))</f>
        <v>0</v>
      </c>
      <c r="AH173" t="b">
        <f>AND(IF(metadata!G173="",FALSE,TRUE),EXACT(metadata!G173,"urban biome"))</f>
        <v>0</v>
      </c>
      <c r="AI173" t="b">
        <f>AND(IF(metadata!H173="",FALSE,TRUE),EXACT(metadata!H173,"human-associated habitat"))</f>
        <v>0</v>
      </c>
      <c r="AJ173" t="b">
        <f>AND(IF(metadata!I173="",FALSE,TRUE),OR(EXACT(metadata!I173,"human-associated"),EXACT(metadata!I173,"human-skin"),EXACT(metadata!I173,"human-oral"),EXACT(metadata!I173,"human-gut"),EXACT(metadata!I173,"human-vaginal")))</f>
        <v>0</v>
      </c>
      <c r="AK173" t="b">
        <f>IF(metadata!J173="",FALSE,ISNUMBER(VALUE(metadata!J173)))</f>
        <v>0</v>
      </c>
      <c r="AL173" t="b">
        <f>AND(IF(metadata!K173="",FALSE,TRUE),EXACT(metadata!K173,"cm"))</f>
        <v>0</v>
      </c>
      <c r="AM173" t="b">
        <f>AND(IF(metadata!L173="",FALSE,TRUE),EXACT(metadata!L173,"human"))</f>
        <v>0</v>
      </c>
      <c r="AN173" t="b">
        <f>AND(IF(metadata!M173="",FALSE,TRUE),EXACT(metadata!M173,"Homo sapiens"))</f>
        <v>0</v>
      </c>
      <c r="AO173" t="b">
        <f>AND(IF(metadata!N173="",FALSE,TRUE),EXACT(metadata!N173,"9606"))</f>
        <v>0</v>
      </c>
      <c r="AP173" t="b">
        <f>IF(metadata!O173="",FALSE,TRUE)</f>
        <v>0</v>
      </c>
      <c r="AQ173" t="b">
        <f>IF(metadata!P173="",FALSE,TRUE)</f>
        <v>0</v>
      </c>
      <c r="AR173" t="b">
        <f>IF(metadata!Q173="",FALSE,ISNUMBER(VALUE(metadata!Q173)))</f>
        <v>0</v>
      </c>
      <c r="AS173" t="b">
        <f>AND(IF(metadata!R173="",FALSE,TRUE),EXACT(metadata!R173,"kg"))</f>
        <v>0</v>
      </c>
    </row>
    <row r="174" spans="1:45" x14ac:dyDescent="0.2">
      <c r="A174" s="5" t="str">
        <f ca="1">IF(B174=" "," ",HYPERLINK(CONCATENATE("#metadata!",ADDRESS(INDEX($X$2:$X$1001,MATCH(ROWS($V$2:V174),$V$2:$V$1001,0),0),1)),INDEX($AA$2:$AA$1001,MATCH(ROWS($V$2:V174),$V$2:$V$1001,0),0)))</f>
        <v xml:space="preserve"> </v>
      </c>
      <c r="B174" s="4" t="str">
        <f ca="1">IF(OR(INDEX($W$2:$W$1001,MATCH(ROWS($V$2:V174),$V$2:$V$1001,0),1)&gt;=100000,INDEX($AC$1005:$AS$1005,1,MATCH(COLUMNS($AC$1006:AC1006),$AC$1006:$AS$1006,0))&gt;=100000), " ",IF(INDEX($AC$2:$AS$1001,MATCH(ROWS($V$2:V174),$V$2:$V$1001,0),MATCH(COLUMNS($AC$1006:AC1006),$AC$1006:$AS$1006,0)), HYPERLINK("#",""), HYPERLINK(CONCATENATE("#metadata!", ADDRESS(INDEX($X$2:$X$1001,MATCH(ROWS($V$2:V174),$V$2:$V$1001,0),0), INDEX($AC$1004:$AS$1004,1,MATCH(COLUMNS($AC$1006:AC1006),$AC$1006:$AS$1006,0)))),"Fix")))</f>
        <v xml:space="preserve"> </v>
      </c>
      <c r="C174" s="4" t="str">
        <f ca="1">IF(OR(INDEX($W$2:$W$1001,MATCH(ROWS($V$2:V174),$V$2:$V$1001,0),1)&gt;=100000,INDEX($AC$1005:$AS$1005,1,MATCH(COLUMNS($AC$1006:AD1006),$AC$1006:$AS$1006,0))&gt;=100000), " ",IF(INDEX($AC$2:$AS$1001,MATCH(ROWS($V$2:V174),$V$2:$V$1001,0),MATCH(COLUMNS($AC$1006:AD1006),$AC$1006:$AS$1006,0)), HYPERLINK("#",""), HYPERLINK(CONCATENATE("#metadata!", ADDRESS(INDEX($X$2:$X$1001,MATCH(ROWS($V$2:V174),$V$2:$V$1001,0),0), INDEX($AC$1004:$AS$1004,1,MATCH(COLUMNS($AC$1006:AD1006),$AC$1006:$AS$1006,0)))),"Fix")))</f>
        <v xml:space="preserve"> </v>
      </c>
      <c r="D174" s="4" t="str">
        <f ca="1">IF(OR(INDEX($W$2:$W$1001,MATCH(ROWS($V$2:V174),$V$2:$V$1001,0),1)&gt;=100000,INDEX($AC$1005:$AS$1005,1,MATCH(COLUMNS($AC$1006:AE1006),$AC$1006:$AS$1006,0))&gt;=100000), " ",IF(INDEX($AC$2:$AS$1001,MATCH(ROWS($V$2:V174),$V$2:$V$1001,0),MATCH(COLUMNS($AC$1006:AE1006),$AC$1006:$AS$1006,0)), HYPERLINK("#",""), HYPERLINK(CONCATENATE("#metadata!", ADDRESS(INDEX($X$2:$X$1001,MATCH(ROWS($V$2:V174),$V$2:$V$1001,0),0), INDEX($AC$1004:$AS$1004,1,MATCH(COLUMNS($AC$1006:AE1006),$AC$1006:$AS$1006,0)))),"Fix")))</f>
        <v xml:space="preserve"> </v>
      </c>
      <c r="E174" s="4" t="str">
        <f ca="1">IF(OR(INDEX($W$2:$W$1001,MATCH(ROWS($V$2:V174),$V$2:$V$1001,0),1)&gt;=100000,INDEX($AC$1005:$AS$1005,1,MATCH(COLUMNS($AC$1006:AF1006),$AC$1006:$AS$1006,0))&gt;=100000), " ",IF(INDEX($AC$2:$AS$1001,MATCH(ROWS($V$2:V174),$V$2:$V$1001,0),MATCH(COLUMNS($AC$1006:AF1006),$AC$1006:$AS$1006,0)), HYPERLINK("#",""), HYPERLINK(CONCATENATE("#metadata!", ADDRESS(INDEX($X$2:$X$1001,MATCH(ROWS($V$2:V174),$V$2:$V$1001,0),0), INDEX($AC$1004:$AS$1004,1,MATCH(COLUMNS($AC$1006:AF1006),$AC$1006:$AS$1006,0)))),"Fix")))</f>
        <v xml:space="preserve"> </v>
      </c>
      <c r="F174" s="4" t="str">
        <f ca="1">IF(OR(INDEX($W$2:$W$1001,MATCH(ROWS($V$2:V174),$V$2:$V$1001,0),1)&gt;=100000,INDEX($AC$1005:$AS$1005,1,MATCH(COLUMNS($AC$1006:AG1006),$AC$1006:$AS$1006,0))&gt;=100000), " ",IF(INDEX($AC$2:$AS$1001,MATCH(ROWS($V$2:V174),$V$2:$V$1001,0),MATCH(COLUMNS($AC$1006:AG1006),$AC$1006:$AS$1006,0)), HYPERLINK("#",""), HYPERLINK(CONCATENATE("#metadata!", ADDRESS(INDEX($X$2:$X$1001,MATCH(ROWS($V$2:V174),$V$2:$V$1001,0),0), INDEX($AC$1004:$AS$1004,1,MATCH(COLUMNS($AC$1006:AG1006),$AC$1006:$AS$1006,0)))),"Fix")))</f>
        <v xml:space="preserve"> </v>
      </c>
      <c r="G174" s="4" t="str">
        <f ca="1">IF(OR(INDEX($W$2:$W$1001,MATCH(ROWS($V$2:V174),$V$2:$V$1001,0),1)&gt;=100000,INDEX($AC$1005:$AS$1005,1,MATCH(COLUMNS($AC$1006:AH1006),$AC$1006:$AS$1006,0))&gt;=100000), " ",IF(INDEX($AC$2:$AS$1001,MATCH(ROWS($V$2:V174),$V$2:$V$1001,0),MATCH(COLUMNS($AC$1006:AH1006),$AC$1006:$AS$1006,0)), HYPERLINK("#",""), HYPERLINK(CONCATENATE("#metadata!", ADDRESS(INDEX($X$2:$X$1001,MATCH(ROWS($V$2:V174),$V$2:$V$1001,0),0), INDEX($AC$1004:$AS$1004,1,MATCH(COLUMNS($AC$1006:AH1006),$AC$1006:$AS$1006,0)))),"Fix")))</f>
        <v xml:space="preserve"> </v>
      </c>
      <c r="H174" s="4" t="str">
        <f ca="1">IF(OR(INDEX($W$2:$W$1001,MATCH(ROWS($V$2:V174),$V$2:$V$1001,0),1)&gt;=100000,INDEX($AC$1005:$AS$1005,1,MATCH(COLUMNS($AC$1006:AI1006),$AC$1006:$AS$1006,0))&gt;=100000), " ",IF(INDEX($AC$2:$AS$1001,MATCH(ROWS($V$2:V174),$V$2:$V$1001,0),MATCH(COLUMNS($AC$1006:AI1006),$AC$1006:$AS$1006,0)), HYPERLINK("#",""), HYPERLINK(CONCATENATE("#metadata!", ADDRESS(INDEX($X$2:$X$1001,MATCH(ROWS($V$2:V174),$V$2:$V$1001,0),0), INDEX($AC$1004:$AS$1004,1,MATCH(COLUMNS($AC$1006:AI1006),$AC$1006:$AS$1006,0)))),"Fix")))</f>
        <v xml:space="preserve"> </v>
      </c>
      <c r="I174" s="4" t="str">
        <f ca="1">IF(OR(INDEX($W$2:$W$1001,MATCH(ROWS($V$2:V174),$V$2:$V$1001,0),1)&gt;=100000,INDEX($AC$1005:$AS$1005,1,MATCH(COLUMNS($AC$1006:AJ1006),$AC$1006:$AS$1006,0))&gt;=100000), " ",IF(INDEX($AC$2:$AS$1001,MATCH(ROWS($V$2:V174),$V$2:$V$1001,0),MATCH(COLUMNS($AC$1006:AJ1006),$AC$1006:$AS$1006,0)), HYPERLINK("#",""), HYPERLINK(CONCATENATE("#metadata!", ADDRESS(INDEX($X$2:$X$1001,MATCH(ROWS($V$2:V174),$V$2:$V$1001,0),0), INDEX($AC$1004:$AS$1004,1,MATCH(COLUMNS($AC$1006:AJ1006),$AC$1006:$AS$1006,0)))),"Fix")))</f>
        <v xml:space="preserve"> </v>
      </c>
      <c r="J174" s="4" t="str">
        <f ca="1">IF(OR(INDEX($W$2:$W$1001,MATCH(ROWS($V$2:V174),$V$2:$V$1001,0),1)&gt;=100000,INDEX($AC$1005:$AS$1005,1,MATCH(COLUMNS($AC$1006:AK1006),$AC$1006:$AS$1006,0))&gt;=100000), " ",IF(INDEX($AC$2:$AS$1001,MATCH(ROWS($V$2:V174),$V$2:$V$1001,0),MATCH(COLUMNS($AC$1006:AK1006),$AC$1006:$AS$1006,0)), HYPERLINK("#",""), HYPERLINK(CONCATENATE("#metadata!", ADDRESS(INDEX($X$2:$X$1001,MATCH(ROWS($V$2:V174),$V$2:$V$1001,0),0), INDEX($AC$1004:$AS$1004,1,MATCH(COLUMNS($AC$1006:AK1006),$AC$1006:$AS$1006,0)))),"Fix")))</f>
        <v xml:space="preserve"> </v>
      </c>
      <c r="K174" s="4" t="str">
        <f ca="1">IF(OR(INDEX($W$2:$W$1001,MATCH(ROWS($V$2:V174),$V$2:$V$1001,0),1)&gt;=100000,INDEX($AC$1005:$AS$1005,1,MATCH(COLUMNS($AC$1006:AL1006),$AC$1006:$AS$1006,0))&gt;=100000), " ",IF(INDEX($AC$2:$AS$1001,MATCH(ROWS($V$2:V174),$V$2:$V$1001,0),MATCH(COLUMNS($AC$1006:AL1006),$AC$1006:$AS$1006,0)), HYPERLINK("#",""), HYPERLINK(CONCATENATE("#metadata!", ADDRESS(INDEX($X$2:$X$1001,MATCH(ROWS($V$2:V174),$V$2:$V$1001,0),0), INDEX($AC$1004:$AS$1004,1,MATCH(COLUMNS($AC$1006:AL1006),$AC$1006:$AS$1006,0)))),"Fix")))</f>
        <v xml:space="preserve"> </v>
      </c>
      <c r="L174" s="4" t="str">
        <f ca="1">IF(OR(INDEX($W$2:$W$1001,MATCH(ROWS($V$2:V174),$V$2:$V$1001,0),1)&gt;=100000,INDEX($AC$1005:$AS$1005,1,MATCH(COLUMNS($AC$1006:AM1006),$AC$1006:$AS$1006,0))&gt;=100000), " ",IF(INDEX($AC$2:$AS$1001,MATCH(ROWS($V$2:V174),$V$2:$V$1001,0),MATCH(COLUMNS($AC$1006:AM1006),$AC$1006:$AS$1006,0)), HYPERLINK("#",""), HYPERLINK(CONCATENATE("#metadata!", ADDRESS(INDEX($X$2:$X$1001,MATCH(ROWS($V$2:V174),$V$2:$V$1001,0),0), INDEX($AC$1004:$AS$1004,1,MATCH(COLUMNS($AC$1006:AM1006),$AC$1006:$AS$1006,0)))),"Fix")))</f>
        <v xml:space="preserve"> </v>
      </c>
      <c r="M174" s="4" t="str">
        <f ca="1">IF(OR(INDEX($W$2:$W$1001,MATCH(ROWS($V$2:V174),$V$2:$V$1001,0),1)&gt;=100000,INDEX($AC$1005:$AS$1005,1,MATCH(COLUMNS($AC$1006:AN1006),$AC$1006:$AS$1006,0))&gt;=100000), " ",IF(INDEX($AC$2:$AS$1001,MATCH(ROWS($V$2:V174),$V$2:$V$1001,0),MATCH(COLUMNS($AC$1006:AN1006),$AC$1006:$AS$1006,0)), HYPERLINK("#",""), HYPERLINK(CONCATENATE("#metadata!", ADDRESS(INDEX($X$2:$X$1001,MATCH(ROWS($V$2:V174),$V$2:$V$1001,0),0), INDEX($AC$1004:$AS$1004,1,MATCH(COLUMNS($AC$1006:AN1006),$AC$1006:$AS$1006,0)))),"Fix")))</f>
        <v xml:space="preserve"> </v>
      </c>
      <c r="N174" s="4" t="str">
        <f ca="1">IF(OR(INDEX($W$2:$W$1001,MATCH(ROWS($V$2:V174),$V$2:$V$1001,0),1)&gt;=100000,INDEX($AC$1005:$AS$1005,1,MATCH(COLUMNS($AC$1006:AO1006),$AC$1006:$AS$1006,0))&gt;=100000), " ",IF(INDEX($AC$2:$AS$1001,MATCH(ROWS($V$2:V174),$V$2:$V$1001,0),MATCH(COLUMNS($AC$1006:AO1006),$AC$1006:$AS$1006,0)), HYPERLINK("#",""), HYPERLINK(CONCATENATE("#metadata!", ADDRESS(INDEX($X$2:$X$1001,MATCH(ROWS($V$2:V174),$V$2:$V$1001,0),0), INDEX($AC$1004:$AS$1004,1,MATCH(COLUMNS($AC$1006:AO1006),$AC$1006:$AS$1006,0)))),"Fix")))</f>
        <v xml:space="preserve"> </v>
      </c>
      <c r="O174" s="4" t="str">
        <f ca="1">IF(OR(INDEX($W$2:$W$1001,MATCH(ROWS($V$2:V174),$V$2:$V$1001,0),1)&gt;=100000,INDEX($AC$1005:$AS$1005,1,MATCH(COLUMNS($AC$1006:AP1006),$AC$1006:$AS$1006,0))&gt;=100000), " ",IF(INDEX($AC$2:$AS$1001,MATCH(ROWS($V$2:V174),$V$2:$V$1001,0),MATCH(COLUMNS($AC$1006:AP1006),$AC$1006:$AS$1006,0)), HYPERLINK("#",""), HYPERLINK(CONCATENATE("#metadata!", ADDRESS(INDEX($X$2:$X$1001,MATCH(ROWS($V$2:V174),$V$2:$V$1001,0),0), INDEX($AC$1004:$AS$1004,1,MATCH(COLUMNS($AC$1006:AP1006),$AC$1006:$AS$1006,0)))),"Fix")))</f>
        <v xml:space="preserve"> </v>
      </c>
      <c r="P174" s="4" t="str">
        <f ca="1">IF(OR(INDEX($W$2:$W$1001,MATCH(ROWS($V$2:V174),$V$2:$V$1001,0),1)&gt;=100000,INDEX($AC$1005:$AS$1005,1,MATCH(COLUMNS($AC$1006:AQ1006),$AC$1006:$AS$1006,0))&gt;=100000), " ",IF(INDEX($AC$2:$AS$1001,MATCH(ROWS($V$2:V174),$V$2:$V$1001,0),MATCH(COLUMNS($AC$1006:AQ1006),$AC$1006:$AS$1006,0)), HYPERLINK("#",""), HYPERLINK(CONCATENATE("#metadata!", ADDRESS(INDEX($X$2:$X$1001,MATCH(ROWS($V$2:V174),$V$2:$V$1001,0),0), INDEX($AC$1004:$AS$1004,1,MATCH(COLUMNS($AC$1006:AQ1006),$AC$1006:$AS$1006,0)))),"Fix")))</f>
        <v xml:space="preserve"> </v>
      </c>
      <c r="Q174" s="4" t="str">
        <f ca="1">IF(OR(INDEX($W$2:$W$1001,MATCH(ROWS($V$2:V174),$V$2:$V$1001,0),1)&gt;=100000,INDEX($AC$1005:$AS$1005,1,MATCH(COLUMNS($AC$1006:AR1006),$AC$1006:$AS$1006,0))&gt;=100000), " ",IF(INDEX($AC$2:$AS$1001,MATCH(ROWS($V$2:V174),$V$2:$V$1001,0),MATCH(COLUMNS($AC$1006:AR1006),$AC$1006:$AS$1006,0)), HYPERLINK("#",""), HYPERLINK(CONCATENATE("#metadata!", ADDRESS(INDEX($X$2:$X$1001,MATCH(ROWS($V$2:V174),$V$2:$V$1001,0),0), INDEX($AC$1004:$AS$1004,1,MATCH(COLUMNS($AC$1006:AR1006),$AC$1006:$AS$1006,0)))),"Fix")))</f>
        <v xml:space="preserve"> </v>
      </c>
      <c r="R174" s="4" t="str">
        <f ca="1">IF(OR(INDEX($W$2:$W$1001,MATCH(ROWS($V$2:V174),$V$2:$V$1001,0),1)&gt;=100000,INDEX($AC$1005:$AS$1005,1,MATCH(COLUMNS($AC$1006:AS1006),$AC$1006:$AS$1006,0))&gt;=100000), " ",IF(INDEX($AC$2:$AS$1001,MATCH(ROWS($V$2:V174),$V$2:$V$1001,0),MATCH(COLUMNS($AC$1006:AS1006),$AC$1006:$AS$1006,0)), HYPERLINK("#",""), HYPERLINK(CONCATENATE("#metadata!", ADDRESS(INDEX($X$2:$X$1001,MATCH(ROWS($V$2:V174),$V$2:$V$1001,0),0), INDEX($AC$1004:$AS$1004,1,MATCH(COLUMNS($AC$1006:AS1006),$AC$1006:$AS$1006,0)))),"Fix")))</f>
        <v xml:space="preserve"> </v>
      </c>
      <c r="V174">
        <v>173</v>
      </c>
      <c r="W174">
        <v>100174</v>
      </c>
      <c r="X174">
        <v>174</v>
      </c>
      <c r="Y174" t="b">
        <f t="shared" si="2"/>
        <v>1</v>
      </c>
      <c r="Z174" t="b">
        <f>COUNTBLANK(metadata!B174:R174)=COLUMNS(metadata!B174:R174)</f>
        <v>1</v>
      </c>
      <c r="AA174" t="str">
        <v/>
      </c>
      <c r="AC174" t="b">
        <f ca="1"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AD174" t="b">
        <f>IF(metadata!C174="",FALSE,ISNUMBER(VALUE(metadata!C174)))</f>
        <v>0</v>
      </c>
      <c r="AE174" t="b">
        <f>AND(IF(metadata!D174="",FALSE,TRUE),EXACT(metadata!D174,"years"))</f>
        <v>0</v>
      </c>
      <c r="AF174" t="b">
        <f>OR(AND(IF(metadata!E174="",FALSE,TRUE),OR(EXACT(metadata!E174,"not applicable"),EXACT(metadata!E174,"missing: not collected"),EXACT(metadata!E174,"missing: not provided"),EXACT(metadata!E174,"missing: restricted access"))),AND(IF(metadata!E174="",FALSE,ISNUMBER(VALUE(metadata!E174))),metadata!E174&gt;0))</f>
        <v>0</v>
      </c>
      <c r="AG174" t="b">
        <f>AND(IF(metadata!F174="",FALSE,TRUE),EXACT(metadata!F174,"Not applicable"))</f>
        <v>0</v>
      </c>
      <c r="AH174" t="b">
        <f>AND(IF(metadata!G174="",FALSE,TRUE),EXACT(metadata!G174,"urban biome"))</f>
        <v>0</v>
      </c>
      <c r="AI174" t="b">
        <f>AND(IF(metadata!H174="",FALSE,TRUE),EXACT(metadata!H174,"human-associated habitat"))</f>
        <v>0</v>
      </c>
      <c r="AJ174" t="b">
        <f>AND(IF(metadata!I174="",FALSE,TRUE),OR(EXACT(metadata!I174,"human-associated"),EXACT(metadata!I174,"human-skin"),EXACT(metadata!I174,"human-oral"),EXACT(metadata!I174,"human-gut"),EXACT(metadata!I174,"human-vaginal")))</f>
        <v>0</v>
      </c>
      <c r="AK174" t="b">
        <f>IF(metadata!J174="",FALSE,ISNUMBER(VALUE(metadata!J174)))</f>
        <v>0</v>
      </c>
      <c r="AL174" t="b">
        <f>AND(IF(metadata!K174="",FALSE,TRUE),EXACT(metadata!K174,"cm"))</f>
        <v>0</v>
      </c>
      <c r="AM174" t="b">
        <f>AND(IF(metadata!L174="",FALSE,TRUE),EXACT(metadata!L174,"human"))</f>
        <v>0</v>
      </c>
      <c r="AN174" t="b">
        <f>AND(IF(metadata!M174="",FALSE,TRUE),EXACT(metadata!M174,"Homo sapiens"))</f>
        <v>0</v>
      </c>
      <c r="AO174" t="b">
        <f>AND(IF(metadata!N174="",FALSE,TRUE),EXACT(metadata!N174,"9606"))</f>
        <v>0</v>
      </c>
      <c r="AP174" t="b">
        <f>IF(metadata!O174="",FALSE,TRUE)</f>
        <v>0</v>
      </c>
      <c r="AQ174" t="b">
        <f>IF(metadata!P174="",FALSE,TRUE)</f>
        <v>0</v>
      </c>
      <c r="AR174" t="b">
        <f>IF(metadata!Q174="",FALSE,ISNUMBER(VALUE(metadata!Q174)))</f>
        <v>0</v>
      </c>
      <c r="AS174" t="b">
        <f>AND(IF(metadata!R174="",FALSE,TRUE),EXACT(metadata!R174,"kg"))</f>
        <v>0</v>
      </c>
    </row>
    <row r="175" spans="1:45" x14ac:dyDescent="0.2">
      <c r="A175" s="5" t="str">
        <f ca="1">IF(B175=" "," ",HYPERLINK(CONCATENATE("#metadata!",ADDRESS(INDEX($X$2:$X$1001,MATCH(ROWS($V$2:V175),$V$2:$V$1001,0),0),1)),INDEX($AA$2:$AA$1001,MATCH(ROWS($V$2:V175),$V$2:$V$1001,0),0)))</f>
        <v xml:space="preserve"> </v>
      </c>
      <c r="B175" s="4" t="str">
        <f ca="1">IF(OR(INDEX($W$2:$W$1001,MATCH(ROWS($V$2:V175),$V$2:$V$1001,0),1)&gt;=100000,INDEX($AC$1005:$AS$1005,1,MATCH(COLUMNS($AC$1006:AC1006),$AC$1006:$AS$1006,0))&gt;=100000), " ",IF(INDEX($AC$2:$AS$1001,MATCH(ROWS($V$2:V175),$V$2:$V$1001,0),MATCH(COLUMNS($AC$1006:AC1006),$AC$1006:$AS$1006,0)), HYPERLINK("#",""), HYPERLINK(CONCATENATE("#metadata!", ADDRESS(INDEX($X$2:$X$1001,MATCH(ROWS($V$2:V175),$V$2:$V$1001,0),0), INDEX($AC$1004:$AS$1004,1,MATCH(COLUMNS($AC$1006:AC1006),$AC$1006:$AS$1006,0)))),"Fix")))</f>
        <v xml:space="preserve"> </v>
      </c>
      <c r="C175" s="4" t="str">
        <f ca="1">IF(OR(INDEX($W$2:$W$1001,MATCH(ROWS($V$2:V175),$V$2:$V$1001,0),1)&gt;=100000,INDEX($AC$1005:$AS$1005,1,MATCH(COLUMNS($AC$1006:AD1006),$AC$1006:$AS$1006,0))&gt;=100000), " ",IF(INDEX($AC$2:$AS$1001,MATCH(ROWS($V$2:V175),$V$2:$V$1001,0),MATCH(COLUMNS($AC$1006:AD1006),$AC$1006:$AS$1006,0)), HYPERLINK("#",""), HYPERLINK(CONCATENATE("#metadata!", ADDRESS(INDEX($X$2:$X$1001,MATCH(ROWS($V$2:V175),$V$2:$V$1001,0),0), INDEX($AC$1004:$AS$1004,1,MATCH(COLUMNS($AC$1006:AD1006),$AC$1006:$AS$1006,0)))),"Fix")))</f>
        <v xml:space="preserve"> </v>
      </c>
      <c r="D175" s="4" t="str">
        <f ca="1">IF(OR(INDEX($W$2:$W$1001,MATCH(ROWS($V$2:V175),$V$2:$V$1001,0),1)&gt;=100000,INDEX($AC$1005:$AS$1005,1,MATCH(COLUMNS($AC$1006:AE1006),$AC$1006:$AS$1006,0))&gt;=100000), " ",IF(INDEX($AC$2:$AS$1001,MATCH(ROWS($V$2:V175),$V$2:$V$1001,0),MATCH(COLUMNS($AC$1006:AE1006),$AC$1006:$AS$1006,0)), HYPERLINK("#",""), HYPERLINK(CONCATENATE("#metadata!", ADDRESS(INDEX($X$2:$X$1001,MATCH(ROWS($V$2:V175),$V$2:$V$1001,0),0), INDEX($AC$1004:$AS$1004,1,MATCH(COLUMNS($AC$1006:AE1006),$AC$1006:$AS$1006,0)))),"Fix")))</f>
        <v xml:space="preserve"> </v>
      </c>
      <c r="E175" s="4" t="str">
        <f ca="1">IF(OR(INDEX($W$2:$W$1001,MATCH(ROWS($V$2:V175),$V$2:$V$1001,0),1)&gt;=100000,INDEX($AC$1005:$AS$1005,1,MATCH(COLUMNS($AC$1006:AF1006),$AC$1006:$AS$1006,0))&gt;=100000), " ",IF(INDEX($AC$2:$AS$1001,MATCH(ROWS($V$2:V175),$V$2:$V$1001,0),MATCH(COLUMNS($AC$1006:AF1006),$AC$1006:$AS$1006,0)), HYPERLINK("#",""), HYPERLINK(CONCATENATE("#metadata!", ADDRESS(INDEX($X$2:$X$1001,MATCH(ROWS($V$2:V175),$V$2:$V$1001,0),0), INDEX($AC$1004:$AS$1004,1,MATCH(COLUMNS($AC$1006:AF1006),$AC$1006:$AS$1006,0)))),"Fix")))</f>
        <v xml:space="preserve"> </v>
      </c>
      <c r="F175" s="4" t="str">
        <f ca="1">IF(OR(INDEX($W$2:$W$1001,MATCH(ROWS($V$2:V175),$V$2:$V$1001,0),1)&gt;=100000,INDEX($AC$1005:$AS$1005,1,MATCH(COLUMNS($AC$1006:AG1006),$AC$1006:$AS$1006,0))&gt;=100000), " ",IF(INDEX($AC$2:$AS$1001,MATCH(ROWS($V$2:V175),$V$2:$V$1001,0),MATCH(COLUMNS($AC$1006:AG1006),$AC$1006:$AS$1006,0)), HYPERLINK("#",""), HYPERLINK(CONCATENATE("#metadata!", ADDRESS(INDEX($X$2:$X$1001,MATCH(ROWS($V$2:V175),$V$2:$V$1001,0),0), INDEX($AC$1004:$AS$1004,1,MATCH(COLUMNS($AC$1006:AG1006),$AC$1006:$AS$1006,0)))),"Fix")))</f>
        <v xml:space="preserve"> </v>
      </c>
      <c r="G175" s="4" t="str">
        <f ca="1">IF(OR(INDEX($W$2:$W$1001,MATCH(ROWS($V$2:V175),$V$2:$V$1001,0),1)&gt;=100000,INDEX($AC$1005:$AS$1005,1,MATCH(COLUMNS($AC$1006:AH1006),$AC$1006:$AS$1006,0))&gt;=100000), " ",IF(INDEX($AC$2:$AS$1001,MATCH(ROWS($V$2:V175),$V$2:$V$1001,0),MATCH(COLUMNS($AC$1006:AH1006),$AC$1006:$AS$1006,0)), HYPERLINK("#",""), HYPERLINK(CONCATENATE("#metadata!", ADDRESS(INDEX($X$2:$X$1001,MATCH(ROWS($V$2:V175),$V$2:$V$1001,0),0), INDEX($AC$1004:$AS$1004,1,MATCH(COLUMNS($AC$1006:AH1006),$AC$1006:$AS$1006,0)))),"Fix")))</f>
        <v xml:space="preserve"> </v>
      </c>
      <c r="H175" s="4" t="str">
        <f ca="1">IF(OR(INDEX($W$2:$W$1001,MATCH(ROWS($V$2:V175),$V$2:$V$1001,0),1)&gt;=100000,INDEX($AC$1005:$AS$1005,1,MATCH(COLUMNS($AC$1006:AI1006),$AC$1006:$AS$1006,0))&gt;=100000), " ",IF(INDEX($AC$2:$AS$1001,MATCH(ROWS($V$2:V175),$V$2:$V$1001,0),MATCH(COLUMNS($AC$1006:AI1006),$AC$1006:$AS$1006,0)), HYPERLINK("#",""), HYPERLINK(CONCATENATE("#metadata!", ADDRESS(INDEX($X$2:$X$1001,MATCH(ROWS($V$2:V175),$V$2:$V$1001,0),0), INDEX($AC$1004:$AS$1004,1,MATCH(COLUMNS($AC$1006:AI1006),$AC$1006:$AS$1006,0)))),"Fix")))</f>
        <v xml:space="preserve"> </v>
      </c>
      <c r="I175" s="4" t="str">
        <f ca="1">IF(OR(INDEX($W$2:$W$1001,MATCH(ROWS($V$2:V175),$V$2:$V$1001,0),1)&gt;=100000,INDEX($AC$1005:$AS$1005,1,MATCH(COLUMNS($AC$1006:AJ1006),$AC$1006:$AS$1006,0))&gt;=100000), " ",IF(INDEX($AC$2:$AS$1001,MATCH(ROWS($V$2:V175),$V$2:$V$1001,0),MATCH(COLUMNS($AC$1006:AJ1006),$AC$1006:$AS$1006,0)), HYPERLINK("#",""), HYPERLINK(CONCATENATE("#metadata!", ADDRESS(INDEX($X$2:$X$1001,MATCH(ROWS($V$2:V175),$V$2:$V$1001,0),0), INDEX($AC$1004:$AS$1004,1,MATCH(COLUMNS($AC$1006:AJ1006),$AC$1006:$AS$1006,0)))),"Fix")))</f>
        <v xml:space="preserve"> </v>
      </c>
      <c r="J175" s="4" t="str">
        <f ca="1">IF(OR(INDEX($W$2:$W$1001,MATCH(ROWS($V$2:V175),$V$2:$V$1001,0),1)&gt;=100000,INDEX($AC$1005:$AS$1005,1,MATCH(COLUMNS($AC$1006:AK1006),$AC$1006:$AS$1006,0))&gt;=100000), " ",IF(INDEX($AC$2:$AS$1001,MATCH(ROWS($V$2:V175),$V$2:$V$1001,0),MATCH(COLUMNS($AC$1006:AK1006),$AC$1006:$AS$1006,0)), HYPERLINK("#",""), HYPERLINK(CONCATENATE("#metadata!", ADDRESS(INDEX($X$2:$X$1001,MATCH(ROWS($V$2:V175),$V$2:$V$1001,0),0), INDEX($AC$1004:$AS$1004,1,MATCH(COLUMNS($AC$1006:AK1006),$AC$1006:$AS$1006,0)))),"Fix")))</f>
        <v xml:space="preserve"> </v>
      </c>
      <c r="K175" s="4" t="str">
        <f ca="1">IF(OR(INDEX($W$2:$W$1001,MATCH(ROWS($V$2:V175),$V$2:$V$1001,0),1)&gt;=100000,INDEX($AC$1005:$AS$1005,1,MATCH(COLUMNS($AC$1006:AL1006),$AC$1006:$AS$1006,0))&gt;=100000), " ",IF(INDEX($AC$2:$AS$1001,MATCH(ROWS($V$2:V175),$V$2:$V$1001,0),MATCH(COLUMNS($AC$1006:AL1006),$AC$1006:$AS$1006,0)), HYPERLINK("#",""), HYPERLINK(CONCATENATE("#metadata!", ADDRESS(INDEX($X$2:$X$1001,MATCH(ROWS($V$2:V175),$V$2:$V$1001,0),0), INDEX($AC$1004:$AS$1004,1,MATCH(COLUMNS($AC$1006:AL1006),$AC$1006:$AS$1006,0)))),"Fix")))</f>
        <v xml:space="preserve"> </v>
      </c>
      <c r="L175" s="4" t="str">
        <f ca="1">IF(OR(INDEX($W$2:$W$1001,MATCH(ROWS($V$2:V175),$V$2:$V$1001,0),1)&gt;=100000,INDEX($AC$1005:$AS$1005,1,MATCH(COLUMNS($AC$1006:AM1006),$AC$1006:$AS$1006,0))&gt;=100000), " ",IF(INDEX($AC$2:$AS$1001,MATCH(ROWS($V$2:V175),$V$2:$V$1001,0),MATCH(COLUMNS($AC$1006:AM1006),$AC$1006:$AS$1006,0)), HYPERLINK("#",""), HYPERLINK(CONCATENATE("#metadata!", ADDRESS(INDEX($X$2:$X$1001,MATCH(ROWS($V$2:V175),$V$2:$V$1001,0),0), INDEX($AC$1004:$AS$1004,1,MATCH(COLUMNS($AC$1006:AM1006),$AC$1006:$AS$1006,0)))),"Fix")))</f>
        <v xml:space="preserve"> </v>
      </c>
      <c r="M175" s="4" t="str">
        <f ca="1">IF(OR(INDEX($W$2:$W$1001,MATCH(ROWS($V$2:V175),$V$2:$V$1001,0),1)&gt;=100000,INDEX($AC$1005:$AS$1005,1,MATCH(COLUMNS($AC$1006:AN1006),$AC$1006:$AS$1006,0))&gt;=100000), " ",IF(INDEX($AC$2:$AS$1001,MATCH(ROWS($V$2:V175),$V$2:$V$1001,0),MATCH(COLUMNS($AC$1006:AN1006),$AC$1006:$AS$1006,0)), HYPERLINK("#",""), HYPERLINK(CONCATENATE("#metadata!", ADDRESS(INDEX($X$2:$X$1001,MATCH(ROWS($V$2:V175),$V$2:$V$1001,0),0), INDEX($AC$1004:$AS$1004,1,MATCH(COLUMNS($AC$1006:AN1006),$AC$1006:$AS$1006,0)))),"Fix")))</f>
        <v xml:space="preserve"> </v>
      </c>
      <c r="N175" s="4" t="str">
        <f ca="1">IF(OR(INDEX($W$2:$W$1001,MATCH(ROWS($V$2:V175),$V$2:$V$1001,0),1)&gt;=100000,INDEX($AC$1005:$AS$1005,1,MATCH(COLUMNS($AC$1006:AO1006),$AC$1006:$AS$1006,0))&gt;=100000), " ",IF(INDEX($AC$2:$AS$1001,MATCH(ROWS($V$2:V175),$V$2:$V$1001,0),MATCH(COLUMNS($AC$1006:AO1006),$AC$1006:$AS$1006,0)), HYPERLINK("#",""), HYPERLINK(CONCATENATE("#metadata!", ADDRESS(INDEX($X$2:$X$1001,MATCH(ROWS($V$2:V175),$V$2:$V$1001,0),0), INDEX($AC$1004:$AS$1004,1,MATCH(COLUMNS($AC$1006:AO1006),$AC$1006:$AS$1006,0)))),"Fix")))</f>
        <v xml:space="preserve"> </v>
      </c>
      <c r="O175" s="4" t="str">
        <f ca="1">IF(OR(INDEX($W$2:$W$1001,MATCH(ROWS($V$2:V175),$V$2:$V$1001,0),1)&gt;=100000,INDEX($AC$1005:$AS$1005,1,MATCH(COLUMNS($AC$1006:AP1006),$AC$1006:$AS$1006,0))&gt;=100000), " ",IF(INDEX($AC$2:$AS$1001,MATCH(ROWS($V$2:V175),$V$2:$V$1001,0),MATCH(COLUMNS($AC$1006:AP1006),$AC$1006:$AS$1006,0)), HYPERLINK("#",""), HYPERLINK(CONCATENATE("#metadata!", ADDRESS(INDEX($X$2:$X$1001,MATCH(ROWS($V$2:V175),$V$2:$V$1001,0),0), INDEX($AC$1004:$AS$1004,1,MATCH(COLUMNS($AC$1006:AP1006),$AC$1006:$AS$1006,0)))),"Fix")))</f>
        <v xml:space="preserve"> </v>
      </c>
      <c r="P175" s="4" t="str">
        <f ca="1">IF(OR(INDEX($W$2:$W$1001,MATCH(ROWS($V$2:V175),$V$2:$V$1001,0),1)&gt;=100000,INDEX($AC$1005:$AS$1005,1,MATCH(COLUMNS($AC$1006:AQ1006),$AC$1006:$AS$1006,0))&gt;=100000), " ",IF(INDEX($AC$2:$AS$1001,MATCH(ROWS($V$2:V175),$V$2:$V$1001,0),MATCH(COLUMNS($AC$1006:AQ1006),$AC$1006:$AS$1006,0)), HYPERLINK("#",""), HYPERLINK(CONCATENATE("#metadata!", ADDRESS(INDEX($X$2:$X$1001,MATCH(ROWS($V$2:V175),$V$2:$V$1001,0),0), INDEX($AC$1004:$AS$1004,1,MATCH(COLUMNS($AC$1006:AQ1006),$AC$1006:$AS$1006,0)))),"Fix")))</f>
        <v xml:space="preserve"> </v>
      </c>
      <c r="Q175" s="4" t="str">
        <f ca="1">IF(OR(INDEX($W$2:$W$1001,MATCH(ROWS($V$2:V175),$V$2:$V$1001,0),1)&gt;=100000,INDEX($AC$1005:$AS$1005,1,MATCH(COLUMNS($AC$1006:AR1006),$AC$1006:$AS$1006,0))&gt;=100000), " ",IF(INDEX($AC$2:$AS$1001,MATCH(ROWS($V$2:V175),$V$2:$V$1001,0),MATCH(COLUMNS($AC$1006:AR1006),$AC$1006:$AS$1006,0)), HYPERLINK("#",""), HYPERLINK(CONCATENATE("#metadata!", ADDRESS(INDEX($X$2:$X$1001,MATCH(ROWS($V$2:V175),$V$2:$V$1001,0),0), INDEX($AC$1004:$AS$1004,1,MATCH(COLUMNS($AC$1006:AR1006),$AC$1006:$AS$1006,0)))),"Fix")))</f>
        <v xml:space="preserve"> </v>
      </c>
      <c r="R175" s="4" t="str">
        <f ca="1">IF(OR(INDEX($W$2:$W$1001,MATCH(ROWS($V$2:V175),$V$2:$V$1001,0),1)&gt;=100000,INDEX($AC$1005:$AS$1005,1,MATCH(COLUMNS($AC$1006:AS1006),$AC$1006:$AS$1006,0))&gt;=100000), " ",IF(INDEX($AC$2:$AS$1001,MATCH(ROWS($V$2:V175),$V$2:$V$1001,0),MATCH(COLUMNS($AC$1006:AS1006),$AC$1006:$AS$1006,0)), HYPERLINK("#",""), HYPERLINK(CONCATENATE("#metadata!", ADDRESS(INDEX($X$2:$X$1001,MATCH(ROWS($V$2:V175),$V$2:$V$1001,0),0), INDEX($AC$1004:$AS$1004,1,MATCH(COLUMNS($AC$1006:AS1006),$AC$1006:$AS$1006,0)))),"Fix")))</f>
        <v xml:space="preserve"> </v>
      </c>
      <c r="V175">
        <v>174</v>
      </c>
      <c r="W175">
        <v>100175</v>
      </c>
      <c r="X175">
        <v>175</v>
      </c>
      <c r="Y175" t="b">
        <f t="shared" si="2"/>
        <v>1</v>
      </c>
      <c r="Z175" t="b">
        <f>COUNTBLANK(metadata!B175:R175)=COLUMNS(metadata!B175:R175)</f>
        <v>1</v>
      </c>
      <c r="AA175" t="str">
        <v/>
      </c>
      <c r="AC175" t="b">
        <f ca="1"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AD175" t="b">
        <f>IF(metadata!C175="",FALSE,ISNUMBER(VALUE(metadata!C175)))</f>
        <v>0</v>
      </c>
      <c r="AE175" t="b">
        <f>AND(IF(metadata!D175="",FALSE,TRUE),EXACT(metadata!D175,"years"))</f>
        <v>0</v>
      </c>
      <c r="AF175" t="b">
        <f>OR(AND(IF(metadata!E175="",FALSE,TRUE),OR(EXACT(metadata!E175,"not applicable"),EXACT(metadata!E175,"missing: not collected"),EXACT(metadata!E175,"missing: not provided"),EXACT(metadata!E175,"missing: restricted access"))),AND(IF(metadata!E175="",FALSE,ISNUMBER(VALUE(metadata!E175))),metadata!E175&gt;0))</f>
        <v>0</v>
      </c>
      <c r="AG175" t="b">
        <f>AND(IF(metadata!F175="",FALSE,TRUE),EXACT(metadata!F175,"Not applicable"))</f>
        <v>0</v>
      </c>
      <c r="AH175" t="b">
        <f>AND(IF(metadata!G175="",FALSE,TRUE),EXACT(metadata!G175,"urban biome"))</f>
        <v>0</v>
      </c>
      <c r="AI175" t="b">
        <f>AND(IF(metadata!H175="",FALSE,TRUE),EXACT(metadata!H175,"human-associated habitat"))</f>
        <v>0</v>
      </c>
      <c r="AJ175" t="b">
        <f>AND(IF(metadata!I175="",FALSE,TRUE),OR(EXACT(metadata!I175,"human-associated"),EXACT(metadata!I175,"human-skin"),EXACT(metadata!I175,"human-oral"),EXACT(metadata!I175,"human-gut"),EXACT(metadata!I175,"human-vaginal")))</f>
        <v>0</v>
      </c>
      <c r="AK175" t="b">
        <f>IF(metadata!J175="",FALSE,ISNUMBER(VALUE(metadata!J175)))</f>
        <v>0</v>
      </c>
      <c r="AL175" t="b">
        <f>AND(IF(metadata!K175="",FALSE,TRUE),EXACT(metadata!K175,"cm"))</f>
        <v>0</v>
      </c>
      <c r="AM175" t="b">
        <f>AND(IF(metadata!L175="",FALSE,TRUE),EXACT(metadata!L175,"human"))</f>
        <v>0</v>
      </c>
      <c r="AN175" t="b">
        <f>AND(IF(metadata!M175="",FALSE,TRUE),EXACT(metadata!M175,"Homo sapiens"))</f>
        <v>0</v>
      </c>
      <c r="AO175" t="b">
        <f>AND(IF(metadata!N175="",FALSE,TRUE),EXACT(metadata!N175,"9606"))</f>
        <v>0</v>
      </c>
      <c r="AP175" t="b">
        <f>IF(metadata!O175="",FALSE,TRUE)</f>
        <v>0</v>
      </c>
      <c r="AQ175" t="b">
        <f>IF(metadata!P175="",FALSE,TRUE)</f>
        <v>0</v>
      </c>
      <c r="AR175" t="b">
        <f>IF(metadata!Q175="",FALSE,ISNUMBER(VALUE(metadata!Q175)))</f>
        <v>0</v>
      </c>
      <c r="AS175" t="b">
        <f>AND(IF(metadata!R175="",FALSE,TRUE),EXACT(metadata!R175,"kg"))</f>
        <v>0</v>
      </c>
    </row>
    <row r="176" spans="1:45" x14ac:dyDescent="0.2">
      <c r="A176" s="5" t="str">
        <f ca="1">IF(B176=" "," ",HYPERLINK(CONCATENATE("#metadata!",ADDRESS(INDEX($X$2:$X$1001,MATCH(ROWS($V$2:V176),$V$2:$V$1001,0),0),1)),INDEX($AA$2:$AA$1001,MATCH(ROWS($V$2:V176),$V$2:$V$1001,0),0)))</f>
        <v xml:space="preserve"> </v>
      </c>
      <c r="B176" s="4" t="str">
        <f ca="1">IF(OR(INDEX($W$2:$W$1001,MATCH(ROWS($V$2:V176),$V$2:$V$1001,0),1)&gt;=100000,INDEX($AC$1005:$AS$1005,1,MATCH(COLUMNS($AC$1006:AC1006),$AC$1006:$AS$1006,0))&gt;=100000), " ",IF(INDEX($AC$2:$AS$1001,MATCH(ROWS($V$2:V176),$V$2:$V$1001,0),MATCH(COLUMNS($AC$1006:AC1006),$AC$1006:$AS$1006,0)), HYPERLINK("#",""), HYPERLINK(CONCATENATE("#metadata!", ADDRESS(INDEX($X$2:$X$1001,MATCH(ROWS($V$2:V176),$V$2:$V$1001,0),0), INDEX($AC$1004:$AS$1004,1,MATCH(COLUMNS($AC$1006:AC1006),$AC$1006:$AS$1006,0)))),"Fix")))</f>
        <v xml:space="preserve"> </v>
      </c>
      <c r="C176" s="4" t="str">
        <f ca="1">IF(OR(INDEX($W$2:$W$1001,MATCH(ROWS($V$2:V176),$V$2:$V$1001,0),1)&gt;=100000,INDEX($AC$1005:$AS$1005,1,MATCH(COLUMNS($AC$1006:AD1006),$AC$1006:$AS$1006,0))&gt;=100000), " ",IF(INDEX($AC$2:$AS$1001,MATCH(ROWS($V$2:V176),$V$2:$V$1001,0),MATCH(COLUMNS($AC$1006:AD1006),$AC$1006:$AS$1006,0)), HYPERLINK("#",""), HYPERLINK(CONCATENATE("#metadata!", ADDRESS(INDEX($X$2:$X$1001,MATCH(ROWS($V$2:V176),$V$2:$V$1001,0),0), INDEX($AC$1004:$AS$1004,1,MATCH(COLUMNS($AC$1006:AD1006),$AC$1006:$AS$1006,0)))),"Fix")))</f>
        <v xml:space="preserve"> </v>
      </c>
      <c r="D176" s="4" t="str">
        <f ca="1">IF(OR(INDEX($W$2:$W$1001,MATCH(ROWS($V$2:V176),$V$2:$V$1001,0),1)&gt;=100000,INDEX($AC$1005:$AS$1005,1,MATCH(COLUMNS($AC$1006:AE1006),$AC$1006:$AS$1006,0))&gt;=100000), " ",IF(INDEX($AC$2:$AS$1001,MATCH(ROWS($V$2:V176),$V$2:$V$1001,0),MATCH(COLUMNS($AC$1006:AE1006),$AC$1006:$AS$1006,0)), HYPERLINK("#",""), HYPERLINK(CONCATENATE("#metadata!", ADDRESS(INDEX($X$2:$X$1001,MATCH(ROWS($V$2:V176),$V$2:$V$1001,0),0), INDEX($AC$1004:$AS$1004,1,MATCH(COLUMNS($AC$1006:AE1006),$AC$1006:$AS$1006,0)))),"Fix")))</f>
        <v xml:space="preserve"> </v>
      </c>
      <c r="E176" s="4" t="str">
        <f ca="1">IF(OR(INDEX($W$2:$W$1001,MATCH(ROWS($V$2:V176),$V$2:$V$1001,0),1)&gt;=100000,INDEX($AC$1005:$AS$1005,1,MATCH(COLUMNS($AC$1006:AF1006),$AC$1006:$AS$1006,0))&gt;=100000), " ",IF(INDEX($AC$2:$AS$1001,MATCH(ROWS($V$2:V176),$V$2:$V$1001,0),MATCH(COLUMNS($AC$1006:AF1006),$AC$1006:$AS$1006,0)), HYPERLINK("#",""), HYPERLINK(CONCATENATE("#metadata!", ADDRESS(INDEX($X$2:$X$1001,MATCH(ROWS($V$2:V176),$V$2:$V$1001,0),0), INDEX($AC$1004:$AS$1004,1,MATCH(COLUMNS($AC$1006:AF1006),$AC$1006:$AS$1006,0)))),"Fix")))</f>
        <v xml:space="preserve"> </v>
      </c>
      <c r="F176" s="4" t="str">
        <f ca="1">IF(OR(INDEX($W$2:$W$1001,MATCH(ROWS($V$2:V176),$V$2:$V$1001,0),1)&gt;=100000,INDEX($AC$1005:$AS$1005,1,MATCH(COLUMNS($AC$1006:AG1006),$AC$1006:$AS$1006,0))&gt;=100000), " ",IF(INDEX($AC$2:$AS$1001,MATCH(ROWS($V$2:V176),$V$2:$V$1001,0),MATCH(COLUMNS($AC$1006:AG1006),$AC$1006:$AS$1006,0)), HYPERLINK("#",""), HYPERLINK(CONCATENATE("#metadata!", ADDRESS(INDEX($X$2:$X$1001,MATCH(ROWS($V$2:V176),$V$2:$V$1001,0),0), INDEX($AC$1004:$AS$1004,1,MATCH(COLUMNS($AC$1006:AG1006),$AC$1006:$AS$1006,0)))),"Fix")))</f>
        <v xml:space="preserve"> </v>
      </c>
      <c r="G176" s="4" t="str">
        <f ca="1">IF(OR(INDEX($W$2:$W$1001,MATCH(ROWS($V$2:V176),$V$2:$V$1001,0),1)&gt;=100000,INDEX($AC$1005:$AS$1005,1,MATCH(COLUMNS($AC$1006:AH1006),$AC$1006:$AS$1006,0))&gt;=100000), " ",IF(INDEX($AC$2:$AS$1001,MATCH(ROWS($V$2:V176),$V$2:$V$1001,0),MATCH(COLUMNS($AC$1006:AH1006),$AC$1006:$AS$1006,0)), HYPERLINK("#",""), HYPERLINK(CONCATENATE("#metadata!", ADDRESS(INDEX($X$2:$X$1001,MATCH(ROWS($V$2:V176),$V$2:$V$1001,0),0), INDEX($AC$1004:$AS$1004,1,MATCH(COLUMNS($AC$1006:AH1006),$AC$1006:$AS$1006,0)))),"Fix")))</f>
        <v xml:space="preserve"> </v>
      </c>
      <c r="H176" s="4" t="str">
        <f ca="1">IF(OR(INDEX($W$2:$W$1001,MATCH(ROWS($V$2:V176),$V$2:$V$1001,0),1)&gt;=100000,INDEX($AC$1005:$AS$1005,1,MATCH(COLUMNS($AC$1006:AI1006),$AC$1006:$AS$1006,0))&gt;=100000), " ",IF(INDEX($AC$2:$AS$1001,MATCH(ROWS($V$2:V176),$V$2:$V$1001,0),MATCH(COLUMNS($AC$1006:AI1006),$AC$1006:$AS$1006,0)), HYPERLINK("#",""), HYPERLINK(CONCATENATE("#metadata!", ADDRESS(INDEX($X$2:$X$1001,MATCH(ROWS($V$2:V176),$V$2:$V$1001,0),0), INDEX($AC$1004:$AS$1004,1,MATCH(COLUMNS($AC$1006:AI1006),$AC$1006:$AS$1006,0)))),"Fix")))</f>
        <v xml:space="preserve"> </v>
      </c>
      <c r="I176" s="4" t="str">
        <f ca="1">IF(OR(INDEX($W$2:$W$1001,MATCH(ROWS($V$2:V176),$V$2:$V$1001,0),1)&gt;=100000,INDEX($AC$1005:$AS$1005,1,MATCH(COLUMNS($AC$1006:AJ1006),$AC$1006:$AS$1006,0))&gt;=100000), " ",IF(INDEX($AC$2:$AS$1001,MATCH(ROWS($V$2:V176),$V$2:$V$1001,0),MATCH(COLUMNS($AC$1006:AJ1006),$AC$1006:$AS$1006,0)), HYPERLINK("#",""), HYPERLINK(CONCATENATE("#metadata!", ADDRESS(INDEX($X$2:$X$1001,MATCH(ROWS($V$2:V176),$V$2:$V$1001,0),0), INDEX($AC$1004:$AS$1004,1,MATCH(COLUMNS($AC$1006:AJ1006),$AC$1006:$AS$1006,0)))),"Fix")))</f>
        <v xml:space="preserve"> </v>
      </c>
      <c r="J176" s="4" t="str">
        <f ca="1">IF(OR(INDEX($W$2:$W$1001,MATCH(ROWS($V$2:V176),$V$2:$V$1001,0),1)&gt;=100000,INDEX($AC$1005:$AS$1005,1,MATCH(COLUMNS($AC$1006:AK1006),$AC$1006:$AS$1006,0))&gt;=100000), " ",IF(INDEX($AC$2:$AS$1001,MATCH(ROWS($V$2:V176),$V$2:$V$1001,0),MATCH(COLUMNS($AC$1006:AK1006),$AC$1006:$AS$1006,0)), HYPERLINK("#",""), HYPERLINK(CONCATENATE("#metadata!", ADDRESS(INDEX($X$2:$X$1001,MATCH(ROWS($V$2:V176),$V$2:$V$1001,0),0), INDEX($AC$1004:$AS$1004,1,MATCH(COLUMNS($AC$1006:AK1006),$AC$1006:$AS$1006,0)))),"Fix")))</f>
        <v xml:space="preserve"> </v>
      </c>
      <c r="K176" s="4" t="str">
        <f ca="1">IF(OR(INDEX($W$2:$W$1001,MATCH(ROWS($V$2:V176),$V$2:$V$1001,0),1)&gt;=100000,INDEX($AC$1005:$AS$1005,1,MATCH(COLUMNS($AC$1006:AL1006),$AC$1006:$AS$1006,0))&gt;=100000), " ",IF(INDEX($AC$2:$AS$1001,MATCH(ROWS($V$2:V176),$V$2:$V$1001,0),MATCH(COLUMNS($AC$1006:AL1006),$AC$1006:$AS$1006,0)), HYPERLINK("#",""), HYPERLINK(CONCATENATE("#metadata!", ADDRESS(INDEX($X$2:$X$1001,MATCH(ROWS($V$2:V176),$V$2:$V$1001,0),0), INDEX($AC$1004:$AS$1004,1,MATCH(COLUMNS($AC$1006:AL1006),$AC$1006:$AS$1006,0)))),"Fix")))</f>
        <v xml:space="preserve"> </v>
      </c>
      <c r="L176" s="4" t="str">
        <f ca="1">IF(OR(INDEX($W$2:$W$1001,MATCH(ROWS($V$2:V176),$V$2:$V$1001,0),1)&gt;=100000,INDEX($AC$1005:$AS$1005,1,MATCH(COLUMNS($AC$1006:AM1006),$AC$1006:$AS$1006,0))&gt;=100000), " ",IF(INDEX($AC$2:$AS$1001,MATCH(ROWS($V$2:V176),$V$2:$V$1001,0),MATCH(COLUMNS($AC$1006:AM1006),$AC$1006:$AS$1006,0)), HYPERLINK("#",""), HYPERLINK(CONCATENATE("#metadata!", ADDRESS(INDEX($X$2:$X$1001,MATCH(ROWS($V$2:V176),$V$2:$V$1001,0),0), INDEX($AC$1004:$AS$1004,1,MATCH(COLUMNS($AC$1006:AM1006),$AC$1006:$AS$1006,0)))),"Fix")))</f>
        <v xml:space="preserve"> </v>
      </c>
      <c r="M176" s="4" t="str">
        <f ca="1">IF(OR(INDEX($W$2:$W$1001,MATCH(ROWS($V$2:V176),$V$2:$V$1001,0),1)&gt;=100000,INDEX($AC$1005:$AS$1005,1,MATCH(COLUMNS($AC$1006:AN1006),$AC$1006:$AS$1006,0))&gt;=100000), " ",IF(INDEX($AC$2:$AS$1001,MATCH(ROWS($V$2:V176),$V$2:$V$1001,0),MATCH(COLUMNS($AC$1006:AN1006),$AC$1006:$AS$1006,0)), HYPERLINK("#",""), HYPERLINK(CONCATENATE("#metadata!", ADDRESS(INDEX($X$2:$X$1001,MATCH(ROWS($V$2:V176),$V$2:$V$1001,0),0), INDEX($AC$1004:$AS$1004,1,MATCH(COLUMNS($AC$1006:AN1006),$AC$1006:$AS$1006,0)))),"Fix")))</f>
        <v xml:space="preserve"> </v>
      </c>
      <c r="N176" s="4" t="str">
        <f ca="1">IF(OR(INDEX($W$2:$W$1001,MATCH(ROWS($V$2:V176),$V$2:$V$1001,0),1)&gt;=100000,INDEX($AC$1005:$AS$1005,1,MATCH(COLUMNS($AC$1006:AO1006),$AC$1006:$AS$1006,0))&gt;=100000), " ",IF(INDEX($AC$2:$AS$1001,MATCH(ROWS($V$2:V176),$V$2:$V$1001,0),MATCH(COLUMNS($AC$1006:AO1006),$AC$1006:$AS$1006,0)), HYPERLINK("#",""), HYPERLINK(CONCATENATE("#metadata!", ADDRESS(INDEX($X$2:$X$1001,MATCH(ROWS($V$2:V176),$V$2:$V$1001,0),0), INDEX($AC$1004:$AS$1004,1,MATCH(COLUMNS($AC$1006:AO1006),$AC$1006:$AS$1006,0)))),"Fix")))</f>
        <v xml:space="preserve"> </v>
      </c>
      <c r="O176" s="4" t="str">
        <f ca="1">IF(OR(INDEX($W$2:$W$1001,MATCH(ROWS($V$2:V176),$V$2:$V$1001,0),1)&gt;=100000,INDEX($AC$1005:$AS$1005,1,MATCH(COLUMNS($AC$1006:AP1006),$AC$1006:$AS$1006,0))&gt;=100000), " ",IF(INDEX($AC$2:$AS$1001,MATCH(ROWS($V$2:V176),$V$2:$V$1001,0),MATCH(COLUMNS($AC$1006:AP1006),$AC$1006:$AS$1006,0)), HYPERLINK("#",""), HYPERLINK(CONCATENATE("#metadata!", ADDRESS(INDEX($X$2:$X$1001,MATCH(ROWS($V$2:V176),$V$2:$V$1001,0),0), INDEX($AC$1004:$AS$1004,1,MATCH(COLUMNS($AC$1006:AP1006),$AC$1006:$AS$1006,0)))),"Fix")))</f>
        <v xml:space="preserve"> </v>
      </c>
      <c r="P176" s="4" t="str">
        <f ca="1">IF(OR(INDEX($W$2:$W$1001,MATCH(ROWS($V$2:V176),$V$2:$V$1001,0),1)&gt;=100000,INDEX($AC$1005:$AS$1005,1,MATCH(COLUMNS($AC$1006:AQ1006),$AC$1006:$AS$1006,0))&gt;=100000), " ",IF(INDEX($AC$2:$AS$1001,MATCH(ROWS($V$2:V176),$V$2:$V$1001,0),MATCH(COLUMNS($AC$1006:AQ1006),$AC$1006:$AS$1006,0)), HYPERLINK("#",""), HYPERLINK(CONCATENATE("#metadata!", ADDRESS(INDEX($X$2:$X$1001,MATCH(ROWS($V$2:V176),$V$2:$V$1001,0),0), INDEX($AC$1004:$AS$1004,1,MATCH(COLUMNS($AC$1006:AQ1006),$AC$1006:$AS$1006,0)))),"Fix")))</f>
        <v xml:space="preserve"> </v>
      </c>
      <c r="Q176" s="4" t="str">
        <f ca="1">IF(OR(INDEX($W$2:$W$1001,MATCH(ROWS($V$2:V176),$V$2:$V$1001,0),1)&gt;=100000,INDEX($AC$1005:$AS$1005,1,MATCH(COLUMNS($AC$1006:AR1006),$AC$1006:$AS$1006,0))&gt;=100000), " ",IF(INDEX($AC$2:$AS$1001,MATCH(ROWS($V$2:V176),$V$2:$V$1001,0),MATCH(COLUMNS($AC$1006:AR1006),$AC$1006:$AS$1006,0)), HYPERLINK("#",""), HYPERLINK(CONCATENATE("#metadata!", ADDRESS(INDEX($X$2:$X$1001,MATCH(ROWS($V$2:V176),$V$2:$V$1001,0),0), INDEX($AC$1004:$AS$1004,1,MATCH(COLUMNS($AC$1006:AR1006),$AC$1006:$AS$1006,0)))),"Fix")))</f>
        <v xml:space="preserve"> </v>
      </c>
      <c r="R176" s="4" t="str">
        <f ca="1">IF(OR(INDEX($W$2:$W$1001,MATCH(ROWS($V$2:V176),$V$2:$V$1001,0),1)&gt;=100000,INDEX($AC$1005:$AS$1005,1,MATCH(COLUMNS($AC$1006:AS1006),$AC$1006:$AS$1006,0))&gt;=100000), " ",IF(INDEX($AC$2:$AS$1001,MATCH(ROWS($V$2:V176),$V$2:$V$1001,0),MATCH(COLUMNS($AC$1006:AS1006),$AC$1006:$AS$1006,0)), HYPERLINK("#",""), HYPERLINK(CONCATENATE("#metadata!", ADDRESS(INDEX($X$2:$X$1001,MATCH(ROWS($V$2:V176),$V$2:$V$1001,0),0), INDEX($AC$1004:$AS$1004,1,MATCH(COLUMNS($AC$1006:AS1006),$AC$1006:$AS$1006,0)))),"Fix")))</f>
        <v xml:space="preserve"> </v>
      </c>
      <c r="V176">
        <v>175</v>
      </c>
      <c r="W176">
        <v>100176</v>
      </c>
      <c r="X176">
        <v>176</v>
      </c>
      <c r="Y176" t="b">
        <f t="shared" si="2"/>
        <v>1</v>
      </c>
      <c r="Z176" t="b">
        <f>COUNTBLANK(metadata!B176:R176)=COLUMNS(metadata!B176:R176)</f>
        <v>1</v>
      </c>
      <c r="AA176" t="str">
        <v/>
      </c>
      <c r="AC176" t="b">
        <f ca="1"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AD176" t="b">
        <f>IF(metadata!C176="",FALSE,ISNUMBER(VALUE(metadata!C176)))</f>
        <v>0</v>
      </c>
      <c r="AE176" t="b">
        <f>AND(IF(metadata!D176="",FALSE,TRUE),EXACT(metadata!D176,"years"))</f>
        <v>0</v>
      </c>
      <c r="AF176" t="b">
        <f>OR(AND(IF(metadata!E176="",FALSE,TRUE),OR(EXACT(metadata!E176,"not applicable"),EXACT(metadata!E176,"missing: not collected"),EXACT(metadata!E176,"missing: not provided"),EXACT(metadata!E176,"missing: restricted access"))),AND(IF(metadata!E176="",FALSE,ISNUMBER(VALUE(metadata!E176))),metadata!E176&gt;0))</f>
        <v>0</v>
      </c>
      <c r="AG176" t="b">
        <f>AND(IF(metadata!F176="",FALSE,TRUE),EXACT(metadata!F176,"Not applicable"))</f>
        <v>0</v>
      </c>
      <c r="AH176" t="b">
        <f>AND(IF(metadata!G176="",FALSE,TRUE),EXACT(metadata!G176,"urban biome"))</f>
        <v>0</v>
      </c>
      <c r="AI176" t="b">
        <f>AND(IF(metadata!H176="",FALSE,TRUE),EXACT(metadata!H176,"human-associated habitat"))</f>
        <v>0</v>
      </c>
      <c r="AJ176" t="b">
        <f>AND(IF(metadata!I176="",FALSE,TRUE),OR(EXACT(metadata!I176,"human-associated"),EXACT(metadata!I176,"human-skin"),EXACT(metadata!I176,"human-oral"),EXACT(metadata!I176,"human-gut"),EXACT(metadata!I176,"human-vaginal")))</f>
        <v>0</v>
      </c>
      <c r="AK176" t="b">
        <f>IF(metadata!J176="",FALSE,ISNUMBER(VALUE(metadata!J176)))</f>
        <v>0</v>
      </c>
      <c r="AL176" t="b">
        <f>AND(IF(metadata!K176="",FALSE,TRUE),EXACT(metadata!K176,"cm"))</f>
        <v>0</v>
      </c>
      <c r="AM176" t="b">
        <f>AND(IF(metadata!L176="",FALSE,TRUE),EXACT(metadata!L176,"human"))</f>
        <v>0</v>
      </c>
      <c r="AN176" t="b">
        <f>AND(IF(metadata!M176="",FALSE,TRUE),EXACT(metadata!M176,"Homo sapiens"))</f>
        <v>0</v>
      </c>
      <c r="AO176" t="b">
        <f>AND(IF(metadata!N176="",FALSE,TRUE),EXACT(metadata!N176,"9606"))</f>
        <v>0</v>
      </c>
      <c r="AP176" t="b">
        <f>IF(metadata!O176="",FALSE,TRUE)</f>
        <v>0</v>
      </c>
      <c r="AQ176" t="b">
        <f>IF(metadata!P176="",FALSE,TRUE)</f>
        <v>0</v>
      </c>
      <c r="AR176" t="b">
        <f>IF(metadata!Q176="",FALSE,ISNUMBER(VALUE(metadata!Q176)))</f>
        <v>0</v>
      </c>
      <c r="AS176" t="b">
        <f>AND(IF(metadata!R176="",FALSE,TRUE),EXACT(metadata!R176,"kg"))</f>
        <v>0</v>
      </c>
    </row>
    <row r="177" spans="1:45" x14ac:dyDescent="0.2">
      <c r="A177" s="5" t="str">
        <f ca="1">IF(B177=" "," ",HYPERLINK(CONCATENATE("#metadata!",ADDRESS(INDEX($X$2:$X$1001,MATCH(ROWS($V$2:V177),$V$2:$V$1001,0),0),1)),INDEX($AA$2:$AA$1001,MATCH(ROWS($V$2:V177),$V$2:$V$1001,0),0)))</f>
        <v xml:space="preserve"> </v>
      </c>
      <c r="B177" s="4" t="str">
        <f ca="1">IF(OR(INDEX($W$2:$W$1001,MATCH(ROWS($V$2:V177),$V$2:$V$1001,0),1)&gt;=100000,INDEX($AC$1005:$AS$1005,1,MATCH(COLUMNS($AC$1006:AC1006),$AC$1006:$AS$1006,0))&gt;=100000), " ",IF(INDEX($AC$2:$AS$1001,MATCH(ROWS($V$2:V177),$V$2:$V$1001,0),MATCH(COLUMNS($AC$1006:AC1006),$AC$1006:$AS$1006,0)), HYPERLINK("#",""), HYPERLINK(CONCATENATE("#metadata!", ADDRESS(INDEX($X$2:$X$1001,MATCH(ROWS($V$2:V177),$V$2:$V$1001,0),0), INDEX($AC$1004:$AS$1004,1,MATCH(COLUMNS($AC$1006:AC1006),$AC$1006:$AS$1006,0)))),"Fix")))</f>
        <v xml:space="preserve"> </v>
      </c>
      <c r="C177" s="4" t="str">
        <f ca="1">IF(OR(INDEX($W$2:$W$1001,MATCH(ROWS($V$2:V177),$V$2:$V$1001,0),1)&gt;=100000,INDEX($AC$1005:$AS$1005,1,MATCH(COLUMNS($AC$1006:AD1006),$AC$1006:$AS$1006,0))&gt;=100000), " ",IF(INDEX($AC$2:$AS$1001,MATCH(ROWS($V$2:V177),$V$2:$V$1001,0),MATCH(COLUMNS($AC$1006:AD1006),$AC$1006:$AS$1006,0)), HYPERLINK("#",""), HYPERLINK(CONCATENATE("#metadata!", ADDRESS(INDEX($X$2:$X$1001,MATCH(ROWS($V$2:V177),$V$2:$V$1001,0),0), INDEX($AC$1004:$AS$1004,1,MATCH(COLUMNS($AC$1006:AD1006),$AC$1006:$AS$1006,0)))),"Fix")))</f>
        <v xml:space="preserve"> </v>
      </c>
      <c r="D177" s="4" t="str">
        <f ca="1">IF(OR(INDEX($W$2:$W$1001,MATCH(ROWS($V$2:V177),$V$2:$V$1001,0),1)&gt;=100000,INDEX($AC$1005:$AS$1005,1,MATCH(COLUMNS($AC$1006:AE1006),$AC$1006:$AS$1006,0))&gt;=100000), " ",IF(INDEX($AC$2:$AS$1001,MATCH(ROWS($V$2:V177),$V$2:$V$1001,0),MATCH(COLUMNS($AC$1006:AE1006),$AC$1006:$AS$1006,0)), HYPERLINK("#",""), HYPERLINK(CONCATENATE("#metadata!", ADDRESS(INDEX($X$2:$X$1001,MATCH(ROWS($V$2:V177),$V$2:$V$1001,0),0), INDEX($AC$1004:$AS$1004,1,MATCH(COLUMNS($AC$1006:AE1006),$AC$1006:$AS$1006,0)))),"Fix")))</f>
        <v xml:space="preserve"> </v>
      </c>
      <c r="E177" s="4" t="str">
        <f ca="1">IF(OR(INDEX($W$2:$W$1001,MATCH(ROWS($V$2:V177),$V$2:$V$1001,0),1)&gt;=100000,INDEX($AC$1005:$AS$1005,1,MATCH(COLUMNS($AC$1006:AF1006),$AC$1006:$AS$1006,0))&gt;=100000), " ",IF(INDEX($AC$2:$AS$1001,MATCH(ROWS($V$2:V177),$V$2:$V$1001,0),MATCH(COLUMNS($AC$1006:AF1006),$AC$1006:$AS$1006,0)), HYPERLINK("#",""), HYPERLINK(CONCATENATE("#metadata!", ADDRESS(INDEX($X$2:$X$1001,MATCH(ROWS($V$2:V177),$V$2:$V$1001,0),0), INDEX($AC$1004:$AS$1004,1,MATCH(COLUMNS($AC$1006:AF1006),$AC$1006:$AS$1006,0)))),"Fix")))</f>
        <v xml:space="preserve"> </v>
      </c>
      <c r="F177" s="4" t="str">
        <f ca="1">IF(OR(INDEX($W$2:$W$1001,MATCH(ROWS($V$2:V177),$V$2:$V$1001,0),1)&gt;=100000,INDEX($AC$1005:$AS$1005,1,MATCH(COLUMNS($AC$1006:AG1006),$AC$1006:$AS$1006,0))&gt;=100000), " ",IF(INDEX($AC$2:$AS$1001,MATCH(ROWS($V$2:V177),$V$2:$V$1001,0),MATCH(COLUMNS($AC$1006:AG1006),$AC$1006:$AS$1006,0)), HYPERLINK("#",""), HYPERLINK(CONCATENATE("#metadata!", ADDRESS(INDEX($X$2:$X$1001,MATCH(ROWS($V$2:V177),$V$2:$V$1001,0),0), INDEX($AC$1004:$AS$1004,1,MATCH(COLUMNS($AC$1006:AG1006),$AC$1006:$AS$1006,0)))),"Fix")))</f>
        <v xml:space="preserve"> </v>
      </c>
      <c r="G177" s="4" t="str">
        <f ca="1">IF(OR(INDEX($W$2:$W$1001,MATCH(ROWS($V$2:V177),$V$2:$V$1001,0),1)&gt;=100000,INDEX($AC$1005:$AS$1005,1,MATCH(COLUMNS($AC$1006:AH1006),$AC$1006:$AS$1006,0))&gt;=100000), " ",IF(INDEX($AC$2:$AS$1001,MATCH(ROWS($V$2:V177),$V$2:$V$1001,0),MATCH(COLUMNS($AC$1006:AH1006),$AC$1006:$AS$1006,0)), HYPERLINK("#",""), HYPERLINK(CONCATENATE("#metadata!", ADDRESS(INDEX($X$2:$X$1001,MATCH(ROWS($V$2:V177),$V$2:$V$1001,0),0), INDEX($AC$1004:$AS$1004,1,MATCH(COLUMNS($AC$1006:AH1006),$AC$1006:$AS$1006,0)))),"Fix")))</f>
        <v xml:space="preserve"> </v>
      </c>
      <c r="H177" s="4" t="str">
        <f ca="1">IF(OR(INDEX($W$2:$W$1001,MATCH(ROWS($V$2:V177),$V$2:$V$1001,0),1)&gt;=100000,INDEX($AC$1005:$AS$1005,1,MATCH(COLUMNS($AC$1006:AI1006),$AC$1006:$AS$1006,0))&gt;=100000), " ",IF(INDEX($AC$2:$AS$1001,MATCH(ROWS($V$2:V177),$V$2:$V$1001,0),MATCH(COLUMNS($AC$1006:AI1006),$AC$1006:$AS$1006,0)), HYPERLINK("#",""), HYPERLINK(CONCATENATE("#metadata!", ADDRESS(INDEX($X$2:$X$1001,MATCH(ROWS($V$2:V177),$V$2:$V$1001,0),0), INDEX($AC$1004:$AS$1004,1,MATCH(COLUMNS($AC$1006:AI1006),$AC$1006:$AS$1006,0)))),"Fix")))</f>
        <v xml:space="preserve"> </v>
      </c>
      <c r="I177" s="4" t="str">
        <f ca="1">IF(OR(INDEX($W$2:$W$1001,MATCH(ROWS($V$2:V177),$V$2:$V$1001,0),1)&gt;=100000,INDEX($AC$1005:$AS$1005,1,MATCH(COLUMNS($AC$1006:AJ1006),$AC$1006:$AS$1006,0))&gt;=100000), " ",IF(INDEX($AC$2:$AS$1001,MATCH(ROWS($V$2:V177),$V$2:$V$1001,0),MATCH(COLUMNS($AC$1006:AJ1006),$AC$1006:$AS$1006,0)), HYPERLINK("#",""), HYPERLINK(CONCATENATE("#metadata!", ADDRESS(INDEX($X$2:$X$1001,MATCH(ROWS($V$2:V177),$V$2:$V$1001,0),0), INDEX($AC$1004:$AS$1004,1,MATCH(COLUMNS($AC$1006:AJ1006),$AC$1006:$AS$1006,0)))),"Fix")))</f>
        <v xml:space="preserve"> </v>
      </c>
      <c r="J177" s="4" t="str">
        <f ca="1">IF(OR(INDEX($W$2:$W$1001,MATCH(ROWS($V$2:V177),$V$2:$V$1001,0),1)&gt;=100000,INDEX($AC$1005:$AS$1005,1,MATCH(COLUMNS($AC$1006:AK1006),$AC$1006:$AS$1006,0))&gt;=100000), " ",IF(INDEX($AC$2:$AS$1001,MATCH(ROWS($V$2:V177),$V$2:$V$1001,0),MATCH(COLUMNS($AC$1006:AK1006),$AC$1006:$AS$1006,0)), HYPERLINK("#",""), HYPERLINK(CONCATENATE("#metadata!", ADDRESS(INDEX($X$2:$X$1001,MATCH(ROWS($V$2:V177),$V$2:$V$1001,0),0), INDEX($AC$1004:$AS$1004,1,MATCH(COLUMNS($AC$1006:AK1006),$AC$1006:$AS$1006,0)))),"Fix")))</f>
        <v xml:space="preserve"> </v>
      </c>
      <c r="K177" s="4" t="str">
        <f ca="1">IF(OR(INDEX($W$2:$W$1001,MATCH(ROWS($V$2:V177),$V$2:$V$1001,0),1)&gt;=100000,INDEX($AC$1005:$AS$1005,1,MATCH(COLUMNS($AC$1006:AL1006),$AC$1006:$AS$1006,0))&gt;=100000), " ",IF(INDEX($AC$2:$AS$1001,MATCH(ROWS($V$2:V177),$V$2:$V$1001,0),MATCH(COLUMNS($AC$1006:AL1006),$AC$1006:$AS$1006,0)), HYPERLINK("#",""), HYPERLINK(CONCATENATE("#metadata!", ADDRESS(INDEX($X$2:$X$1001,MATCH(ROWS($V$2:V177),$V$2:$V$1001,0),0), INDEX($AC$1004:$AS$1004,1,MATCH(COLUMNS($AC$1006:AL1006),$AC$1006:$AS$1006,0)))),"Fix")))</f>
        <v xml:space="preserve"> </v>
      </c>
      <c r="L177" s="4" t="str">
        <f ca="1">IF(OR(INDEX($W$2:$W$1001,MATCH(ROWS($V$2:V177),$V$2:$V$1001,0),1)&gt;=100000,INDEX($AC$1005:$AS$1005,1,MATCH(COLUMNS($AC$1006:AM1006),$AC$1006:$AS$1006,0))&gt;=100000), " ",IF(INDEX($AC$2:$AS$1001,MATCH(ROWS($V$2:V177),$V$2:$V$1001,0),MATCH(COLUMNS($AC$1006:AM1006),$AC$1006:$AS$1006,0)), HYPERLINK("#",""), HYPERLINK(CONCATENATE("#metadata!", ADDRESS(INDEX($X$2:$X$1001,MATCH(ROWS($V$2:V177),$V$2:$V$1001,0),0), INDEX($AC$1004:$AS$1004,1,MATCH(COLUMNS($AC$1006:AM1006),$AC$1006:$AS$1006,0)))),"Fix")))</f>
        <v xml:space="preserve"> </v>
      </c>
      <c r="M177" s="4" t="str">
        <f ca="1">IF(OR(INDEX($W$2:$W$1001,MATCH(ROWS($V$2:V177),$V$2:$V$1001,0),1)&gt;=100000,INDEX($AC$1005:$AS$1005,1,MATCH(COLUMNS($AC$1006:AN1006),$AC$1006:$AS$1006,0))&gt;=100000), " ",IF(INDEX($AC$2:$AS$1001,MATCH(ROWS($V$2:V177),$V$2:$V$1001,0),MATCH(COLUMNS($AC$1006:AN1006),$AC$1006:$AS$1006,0)), HYPERLINK("#",""), HYPERLINK(CONCATENATE("#metadata!", ADDRESS(INDEX($X$2:$X$1001,MATCH(ROWS($V$2:V177),$V$2:$V$1001,0),0), INDEX($AC$1004:$AS$1004,1,MATCH(COLUMNS($AC$1006:AN1006),$AC$1006:$AS$1006,0)))),"Fix")))</f>
        <v xml:space="preserve"> </v>
      </c>
      <c r="N177" s="4" t="str">
        <f ca="1">IF(OR(INDEX($W$2:$W$1001,MATCH(ROWS($V$2:V177),$V$2:$V$1001,0),1)&gt;=100000,INDEX($AC$1005:$AS$1005,1,MATCH(COLUMNS($AC$1006:AO1006),$AC$1006:$AS$1006,0))&gt;=100000), " ",IF(INDEX($AC$2:$AS$1001,MATCH(ROWS($V$2:V177),$V$2:$V$1001,0),MATCH(COLUMNS($AC$1006:AO1006),$AC$1006:$AS$1006,0)), HYPERLINK("#",""), HYPERLINK(CONCATENATE("#metadata!", ADDRESS(INDEX($X$2:$X$1001,MATCH(ROWS($V$2:V177),$V$2:$V$1001,0),0), INDEX($AC$1004:$AS$1004,1,MATCH(COLUMNS($AC$1006:AO1006),$AC$1006:$AS$1006,0)))),"Fix")))</f>
        <v xml:space="preserve"> </v>
      </c>
      <c r="O177" s="4" t="str">
        <f ca="1">IF(OR(INDEX($W$2:$W$1001,MATCH(ROWS($V$2:V177),$V$2:$V$1001,0),1)&gt;=100000,INDEX($AC$1005:$AS$1005,1,MATCH(COLUMNS($AC$1006:AP1006),$AC$1006:$AS$1006,0))&gt;=100000), " ",IF(INDEX($AC$2:$AS$1001,MATCH(ROWS($V$2:V177),$V$2:$V$1001,0),MATCH(COLUMNS($AC$1006:AP1006),$AC$1006:$AS$1006,0)), HYPERLINK("#",""), HYPERLINK(CONCATENATE("#metadata!", ADDRESS(INDEX($X$2:$X$1001,MATCH(ROWS($V$2:V177),$V$2:$V$1001,0),0), INDEX($AC$1004:$AS$1004,1,MATCH(COLUMNS($AC$1006:AP1006),$AC$1006:$AS$1006,0)))),"Fix")))</f>
        <v xml:space="preserve"> </v>
      </c>
      <c r="P177" s="4" t="str">
        <f ca="1">IF(OR(INDEX($W$2:$W$1001,MATCH(ROWS($V$2:V177),$V$2:$V$1001,0),1)&gt;=100000,INDEX($AC$1005:$AS$1005,1,MATCH(COLUMNS($AC$1006:AQ1006),$AC$1006:$AS$1006,0))&gt;=100000), " ",IF(INDEX($AC$2:$AS$1001,MATCH(ROWS($V$2:V177),$V$2:$V$1001,0),MATCH(COLUMNS($AC$1006:AQ1006),$AC$1006:$AS$1006,0)), HYPERLINK("#",""), HYPERLINK(CONCATENATE("#metadata!", ADDRESS(INDEX($X$2:$X$1001,MATCH(ROWS($V$2:V177),$V$2:$V$1001,0),0), INDEX($AC$1004:$AS$1004,1,MATCH(COLUMNS($AC$1006:AQ1006),$AC$1006:$AS$1006,0)))),"Fix")))</f>
        <v xml:space="preserve"> </v>
      </c>
      <c r="Q177" s="4" t="str">
        <f ca="1">IF(OR(INDEX($W$2:$W$1001,MATCH(ROWS($V$2:V177),$V$2:$V$1001,0),1)&gt;=100000,INDEX($AC$1005:$AS$1005,1,MATCH(COLUMNS($AC$1006:AR1006),$AC$1006:$AS$1006,0))&gt;=100000), " ",IF(INDEX($AC$2:$AS$1001,MATCH(ROWS($V$2:V177),$V$2:$V$1001,0),MATCH(COLUMNS($AC$1006:AR1006),$AC$1006:$AS$1006,0)), HYPERLINK("#",""), HYPERLINK(CONCATENATE("#metadata!", ADDRESS(INDEX($X$2:$X$1001,MATCH(ROWS($V$2:V177),$V$2:$V$1001,0),0), INDEX($AC$1004:$AS$1004,1,MATCH(COLUMNS($AC$1006:AR1006),$AC$1006:$AS$1006,0)))),"Fix")))</f>
        <v xml:space="preserve"> </v>
      </c>
      <c r="R177" s="4" t="str">
        <f ca="1">IF(OR(INDEX($W$2:$W$1001,MATCH(ROWS($V$2:V177),$V$2:$V$1001,0),1)&gt;=100000,INDEX($AC$1005:$AS$1005,1,MATCH(COLUMNS($AC$1006:AS1006),$AC$1006:$AS$1006,0))&gt;=100000), " ",IF(INDEX($AC$2:$AS$1001,MATCH(ROWS($V$2:V177),$V$2:$V$1001,0),MATCH(COLUMNS($AC$1006:AS1006),$AC$1006:$AS$1006,0)), HYPERLINK("#",""), HYPERLINK(CONCATENATE("#metadata!", ADDRESS(INDEX($X$2:$X$1001,MATCH(ROWS($V$2:V177),$V$2:$V$1001,0),0), INDEX($AC$1004:$AS$1004,1,MATCH(COLUMNS($AC$1006:AS1006),$AC$1006:$AS$1006,0)))),"Fix")))</f>
        <v xml:space="preserve"> </v>
      </c>
      <c r="V177">
        <v>176</v>
      </c>
      <c r="W177">
        <v>100177</v>
      </c>
      <c r="X177">
        <v>177</v>
      </c>
      <c r="Y177" t="b">
        <f t="shared" si="2"/>
        <v>1</v>
      </c>
      <c r="Z177" t="b">
        <f>COUNTBLANK(metadata!B177:R177)=COLUMNS(metadata!B177:R177)</f>
        <v>1</v>
      </c>
      <c r="AA177" t="str">
        <v/>
      </c>
      <c r="AC177" t="b">
        <f ca="1"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AD177" t="b">
        <f>IF(metadata!C177="",FALSE,ISNUMBER(VALUE(metadata!C177)))</f>
        <v>0</v>
      </c>
      <c r="AE177" t="b">
        <f>AND(IF(metadata!D177="",FALSE,TRUE),EXACT(metadata!D177,"years"))</f>
        <v>0</v>
      </c>
      <c r="AF177" t="b">
        <f>OR(AND(IF(metadata!E177="",FALSE,TRUE),OR(EXACT(metadata!E177,"not applicable"),EXACT(metadata!E177,"missing: not collected"),EXACT(metadata!E177,"missing: not provided"),EXACT(metadata!E177,"missing: restricted access"))),AND(IF(metadata!E177="",FALSE,ISNUMBER(VALUE(metadata!E177))),metadata!E177&gt;0))</f>
        <v>0</v>
      </c>
      <c r="AG177" t="b">
        <f>AND(IF(metadata!F177="",FALSE,TRUE),EXACT(metadata!F177,"Not applicable"))</f>
        <v>0</v>
      </c>
      <c r="AH177" t="b">
        <f>AND(IF(metadata!G177="",FALSE,TRUE),EXACT(metadata!G177,"urban biome"))</f>
        <v>0</v>
      </c>
      <c r="AI177" t="b">
        <f>AND(IF(metadata!H177="",FALSE,TRUE),EXACT(metadata!H177,"human-associated habitat"))</f>
        <v>0</v>
      </c>
      <c r="AJ177" t="b">
        <f>AND(IF(metadata!I177="",FALSE,TRUE),OR(EXACT(metadata!I177,"human-associated"),EXACT(metadata!I177,"human-skin"),EXACT(metadata!I177,"human-oral"),EXACT(metadata!I177,"human-gut"),EXACT(metadata!I177,"human-vaginal")))</f>
        <v>0</v>
      </c>
      <c r="AK177" t="b">
        <f>IF(metadata!J177="",FALSE,ISNUMBER(VALUE(metadata!J177)))</f>
        <v>0</v>
      </c>
      <c r="AL177" t="b">
        <f>AND(IF(metadata!K177="",FALSE,TRUE),EXACT(metadata!K177,"cm"))</f>
        <v>0</v>
      </c>
      <c r="AM177" t="b">
        <f>AND(IF(metadata!L177="",FALSE,TRUE),EXACT(metadata!L177,"human"))</f>
        <v>0</v>
      </c>
      <c r="AN177" t="b">
        <f>AND(IF(metadata!M177="",FALSE,TRUE),EXACT(metadata!M177,"Homo sapiens"))</f>
        <v>0</v>
      </c>
      <c r="AO177" t="b">
        <f>AND(IF(metadata!N177="",FALSE,TRUE),EXACT(metadata!N177,"9606"))</f>
        <v>0</v>
      </c>
      <c r="AP177" t="b">
        <f>IF(metadata!O177="",FALSE,TRUE)</f>
        <v>0</v>
      </c>
      <c r="AQ177" t="b">
        <f>IF(metadata!P177="",FALSE,TRUE)</f>
        <v>0</v>
      </c>
      <c r="AR177" t="b">
        <f>IF(metadata!Q177="",FALSE,ISNUMBER(VALUE(metadata!Q177)))</f>
        <v>0</v>
      </c>
      <c r="AS177" t="b">
        <f>AND(IF(metadata!R177="",FALSE,TRUE),EXACT(metadata!R177,"kg"))</f>
        <v>0</v>
      </c>
    </row>
    <row r="178" spans="1:45" x14ac:dyDescent="0.2">
      <c r="A178" s="5" t="str">
        <f ca="1">IF(B178=" "," ",HYPERLINK(CONCATENATE("#metadata!",ADDRESS(INDEX($X$2:$X$1001,MATCH(ROWS($V$2:V178),$V$2:$V$1001,0),0),1)),INDEX($AA$2:$AA$1001,MATCH(ROWS($V$2:V178),$V$2:$V$1001,0),0)))</f>
        <v xml:space="preserve"> </v>
      </c>
      <c r="B178" s="4" t="str">
        <f ca="1">IF(OR(INDEX($W$2:$W$1001,MATCH(ROWS($V$2:V178),$V$2:$V$1001,0),1)&gt;=100000,INDEX($AC$1005:$AS$1005,1,MATCH(COLUMNS($AC$1006:AC1006),$AC$1006:$AS$1006,0))&gt;=100000), " ",IF(INDEX($AC$2:$AS$1001,MATCH(ROWS($V$2:V178),$V$2:$V$1001,0),MATCH(COLUMNS($AC$1006:AC1006),$AC$1006:$AS$1006,0)), HYPERLINK("#",""), HYPERLINK(CONCATENATE("#metadata!", ADDRESS(INDEX($X$2:$X$1001,MATCH(ROWS($V$2:V178),$V$2:$V$1001,0),0), INDEX($AC$1004:$AS$1004,1,MATCH(COLUMNS($AC$1006:AC1006),$AC$1006:$AS$1006,0)))),"Fix")))</f>
        <v xml:space="preserve"> </v>
      </c>
      <c r="C178" s="4" t="str">
        <f ca="1">IF(OR(INDEX($W$2:$W$1001,MATCH(ROWS($V$2:V178),$V$2:$V$1001,0),1)&gt;=100000,INDEX($AC$1005:$AS$1005,1,MATCH(COLUMNS($AC$1006:AD1006),$AC$1006:$AS$1006,0))&gt;=100000), " ",IF(INDEX($AC$2:$AS$1001,MATCH(ROWS($V$2:V178),$V$2:$V$1001,0),MATCH(COLUMNS($AC$1006:AD1006),$AC$1006:$AS$1006,0)), HYPERLINK("#",""), HYPERLINK(CONCATENATE("#metadata!", ADDRESS(INDEX($X$2:$X$1001,MATCH(ROWS($V$2:V178),$V$2:$V$1001,0),0), INDEX($AC$1004:$AS$1004,1,MATCH(COLUMNS($AC$1006:AD1006),$AC$1006:$AS$1006,0)))),"Fix")))</f>
        <v xml:space="preserve"> </v>
      </c>
      <c r="D178" s="4" t="str">
        <f ca="1">IF(OR(INDEX($W$2:$W$1001,MATCH(ROWS($V$2:V178),$V$2:$V$1001,0),1)&gt;=100000,INDEX($AC$1005:$AS$1005,1,MATCH(COLUMNS($AC$1006:AE1006),$AC$1006:$AS$1006,0))&gt;=100000), " ",IF(INDEX($AC$2:$AS$1001,MATCH(ROWS($V$2:V178),$V$2:$V$1001,0),MATCH(COLUMNS($AC$1006:AE1006),$AC$1006:$AS$1006,0)), HYPERLINK("#",""), HYPERLINK(CONCATENATE("#metadata!", ADDRESS(INDEX($X$2:$X$1001,MATCH(ROWS($V$2:V178),$V$2:$V$1001,0),0), INDEX($AC$1004:$AS$1004,1,MATCH(COLUMNS($AC$1006:AE1006),$AC$1006:$AS$1006,0)))),"Fix")))</f>
        <v xml:space="preserve"> </v>
      </c>
      <c r="E178" s="4" t="str">
        <f ca="1">IF(OR(INDEX($W$2:$W$1001,MATCH(ROWS($V$2:V178),$V$2:$V$1001,0),1)&gt;=100000,INDEX($AC$1005:$AS$1005,1,MATCH(COLUMNS($AC$1006:AF1006),$AC$1006:$AS$1006,0))&gt;=100000), " ",IF(INDEX($AC$2:$AS$1001,MATCH(ROWS($V$2:V178),$V$2:$V$1001,0),MATCH(COLUMNS($AC$1006:AF1006),$AC$1006:$AS$1006,0)), HYPERLINK("#",""), HYPERLINK(CONCATENATE("#metadata!", ADDRESS(INDEX($X$2:$X$1001,MATCH(ROWS($V$2:V178),$V$2:$V$1001,0),0), INDEX($AC$1004:$AS$1004,1,MATCH(COLUMNS($AC$1006:AF1006),$AC$1006:$AS$1006,0)))),"Fix")))</f>
        <v xml:space="preserve"> </v>
      </c>
      <c r="F178" s="4" t="str">
        <f ca="1">IF(OR(INDEX($W$2:$W$1001,MATCH(ROWS($V$2:V178),$V$2:$V$1001,0),1)&gt;=100000,INDEX($AC$1005:$AS$1005,1,MATCH(COLUMNS($AC$1006:AG1006),$AC$1006:$AS$1006,0))&gt;=100000), " ",IF(INDEX($AC$2:$AS$1001,MATCH(ROWS($V$2:V178),$V$2:$V$1001,0),MATCH(COLUMNS($AC$1006:AG1006),$AC$1006:$AS$1006,0)), HYPERLINK("#",""), HYPERLINK(CONCATENATE("#metadata!", ADDRESS(INDEX($X$2:$X$1001,MATCH(ROWS($V$2:V178),$V$2:$V$1001,0),0), INDEX($AC$1004:$AS$1004,1,MATCH(COLUMNS($AC$1006:AG1006),$AC$1006:$AS$1006,0)))),"Fix")))</f>
        <v xml:space="preserve"> </v>
      </c>
      <c r="G178" s="4" t="str">
        <f ca="1">IF(OR(INDEX($W$2:$W$1001,MATCH(ROWS($V$2:V178),$V$2:$V$1001,0),1)&gt;=100000,INDEX($AC$1005:$AS$1005,1,MATCH(COLUMNS($AC$1006:AH1006),$AC$1006:$AS$1006,0))&gt;=100000), " ",IF(INDEX($AC$2:$AS$1001,MATCH(ROWS($V$2:V178),$V$2:$V$1001,0),MATCH(COLUMNS($AC$1006:AH1006),$AC$1006:$AS$1006,0)), HYPERLINK("#",""), HYPERLINK(CONCATENATE("#metadata!", ADDRESS(INDEX($X$2:$X$1001,MATCH(ROWS($V$2:V178),$V$2:$V$1001,0),0), INDEX($AC$1004:$AS$1004,1,MATCH(COLUMNS($AC$1006:AH1006),$AC$1006:$AS$1006,0)))),"Fix")))</f>
        <v xml:space="preserve"> </v>
      </c>
      <c r="H178" s="4" t="str">
        <f ca="1">IF(OR(INDEX($W$2:$W$1001,MATCH(ROWS($V$2:V178),$V$2:$V$1001,0),1)&gt;=100000,INDEX($AC$1005:$AS$1005,1,MATCH(COLUMNS($AC$1006:AI1006),$AC$1006:$AS$1006,0))&gt;=100000), " ",IF(INDEX($AC$2:$AS$1001,MATCH(ROWS($V$2:V178),$V$2:$V$1001,0),MATCH(COLUMNS($AC$1006:AI1006),$AC$1006:$AS$1006,0)), HYPERLINK("#",""), HYPERLINK(CONCATENATE("#metadata!", ADDRESS(INDEX($X$2:$X$1001,MATCH(ROWS($V$2:V178),$V$2:$V$1001,0),0), INDEX($AC$1004:$AS$1004,1,MATCH(COLUMNS($AC$1006:AI1006),$AC$1006:$AS$1006,0)))),"Fix")))</f>
        <v xml:space="preserve"> </v>
      </c>
      <c r="I178" s="4" t="str">
        <f ca="1">IF(OR(INDEX($W$2:$W$1001,MATCH(ROWS($V$2:V178),$V$2:$V$1001,0),1)&gt;=100000,INDEX($AC$1005:$AS$1005,1,MATCH(COLUMNS($AC$1006:AJ1006),$AC$1006:$AS$1006,0))&gt;=100000), " ",IF(INDEX($AC$2:$AS$1001,MATCH(ROWS($V$2:V178),$V$2:$V$1001,0),MATCH(COLUMNS($AC$1006:AJ1006),$AC$1006:$AS$1006,0)), HYPERLINK("#",""), HYPERLINK(CONCATENATE("#metadata!", ADDRESS(INDEX($X$2:$X$1001,MATCH(ROWS($V$2:V178),$V$2:$V$1001,0),0), INDEX($AC$1004:$AS$1004,1,MATCH(COLUMNS($AC$1006:AJ1006),$AC$1006:$AS$1006,0)))),"Fix")))</f>
        <v xml:space="preserve"> </v>
      </c>
      <c r="J178" s="4" t="str">
        <f ca="1">IF(OR(INDEX($W$2:$W$1001,MATCH(ROWS($V$2:V178),$V$2:$V$1001,0),1)&gt;=100000,INDEX($AC$1005:$AS$1005,1,MATCH(COLUMNS($AC$1006:AK1006),$AC$1006:$AS$1006,0))&gt;=100000), " ",IF(INDEX($AC$2:$AS$1001,MATCH(ROWS($V$2:V178),$V$2:$V$1001,0),MATCH(COLUMNS($AC$1006:AK1006),$AC$1006:$AS$1006,0)), HYPERLINK("#",""), HYPERLINK(CONCATENATE("#metadata!", ADDRESS(INDEX($X$2:$X$1001,MATCH(ROWS($V$2:V178),$V$2:$V$1001,0),0), INDEX($AC$1004:$AS$1004,1,MATCH(COLUMNS($AC$1006:AK1006),$AC$1006:$AS$1006,0)))),"Fix")))</f>
        <v xml:space="preserve"> </v>
      </c>
      <c r="K178" s="4" t="str">
        <f ca="1">IF(OR(INDEX($W$2:$W$1001,MATCH(ROWS($V$2:V178),$V$2:$V$1001,0),1)&gt;=100000,INDEX($AC$1005:$AS$1005,1,MATCH(COLUMNS($AC$1006:AL1006),$AC$1006:$AS$1006,0))&gt;=100000), " ",IF(INDEX($AC$2:$AS$1001,MATCH(ROWS($V$2:V178),$V$2:$V$1001,0),MATCH(COLUMNS($AC$1006:AL1006),$AC$1006:$AS$1006,0)), HYPERLINK("#",""), HYPERLINK(CONCATENATE("#metadata!", ADDRESS(INDEX($X$2:$X$1001,MATCH(ROWS($V$2:V178),$V$2:$V$1001,0),0), INDEX($AC$1004:$AS$1004,1,MATCH(COLUMNS($AC$1006:AL1006),$AC$1006:$AS$1006,0)))),"Fix")))</f>
        <v xml:space="preserve"> </v>
      </c>
      <c r="L178" s="4" t="str">
        <f ca="1">IF(OR(INDEX($W$2:$W$1001,MATCH(ROWS($V$2:V178),$V$2:$V$1001,0),1)&gt;=100000,INDEX($AC$1005:$AS$1005,1,MATCH(COLUMNS($AC$1006:AM1006),$AC$1006:$AS$1006,0))&gt;=100000), " ",IF(INDEX($AC$2:$AS$1001,MATCH(ROWS($V$2:V178),$V$2:$V$1001,0),MATCH(COLUMNS($AC$1006:AM1006),$AC$1006:$AS$1006,0)), HYPERLINK("#",""), HYPERLINK(CONCATENATE("#metadata!", ADDRESS(INDEX($X$2:$X$1001,MATCH(ROWS($V$2:V178),$V$2:$V$1001,0),0), INDEX($AC$1004:$AS$1004,1,MATCH(COLUMNS($AC$1006:AM1006),$AC$1006:$AS$1006,0)))),"Fix")))</f>
        <v xml:space="preserve"> </v>
      </c>
      <c r="M178" s="4" t="str">
        <f ca="1">IF(OR(INDEX($W$2:$W$1001,MATCH(ROWS($V$2:V178),$V$2:$V$1001,0),1)&gt;=100000,INDEX($AC$1005:$AS$1005,1,MATCH(COLUMNS($AC$1006:AN1006),$AC$1006:$AS$1006,0))&gt;=100000), " ",IF(INDEX($AC$2:$AS$1001,MATCH(ROWS($V$2:V178),$V$2:$V$1001,0),MATCH(COLUMNS($AC$1006:AN1006),$AC$1006:$AS$1006,0)), HYPERLINK("#",""), HYPERLINK(CONCATENATE("#metadata!", ADDRESS(INDEX($X$2:$X$1001,MATCH(ROWS($V$2:V178),$V$2:$V$1001,0),0), INDEX($AC$1004:$AS$1004,1,MATCH(COLUMNS($AC$1006:AN1006),$AC$1006:$AS$1006,0)))),"Fix")))</f>
        <v xml:space="preserve"> </v>
      </c>
      <c r="N178" s="4" t="str">
        <f ca="1">IF(OR(INDEX($W$2:$W$1001,MATCH(ROWS($V$2:V178),$V$2:$V$1001,0),1)&gt;=100000,INDEX($AC$1005:$AS$1005,1,MATCH(COLUMNS($AC$1006:AO1006),$AC$1006:$AS$1006,0))&gt;=100000), " ",IF(INDEX($AC$2:$AS$1001,MATCH(ROWS($V$2:V178),$V$2:$V$1001,0),MATCH(COLUMNS($AC$1006:AO1006),$AC$1006:$AS$1006,0)), HYPERLINK("#",""), HYPERLINK(CONCATENATE("#metadata!", ADDRESS(INDEX($X$2:$X$1001,MATCH(ROWS($V$2:V178),$V$2:$V$1001,0),0), INDEX($AC$1004:$AS$1004,1,MATCH(COLUMNS($AC$1006:AO1006),$AC$1006:$AS$1006,0)))),"Fix")))</f>
        <v xml:space="preserve"> </v>
      </c>
      <c r="O178" s="4" t="str">
        <f ca="1">IF(OR(INDEX($W$2:$W$1001,MATCH(ROWS($V$2:V178),$V$2:$V$1001,0),1)&gt;=100000,INDEX($AC$1005:$AS$1005,1,MATCH(COLUMNS($AC$1006:AP1006),$AC$1006:$AS$1006,0))&gt;=100000), " ",IF(INDEX($AC$2:$AS$1001,MATCH(ROWS($V$2:V178),$V$2:$V$1001,0),MATCH(COLUMNS($AC$1006:AP1006),$AC$1006:$AS$1006,0)), HYPERLINK("#",""), HYPERLINK(CONCATENATE("#metadata!", ADDRESS(INDEX($X$2:$X$1001,MATCH(ROWS($V$2:V178),$V$2:$V$1001,0),0), INDEX($AC$1004:$AS$1004,1,MATCH(COLUMNS($AC$1006:AP1006),$AC$1006:$AS$1006,0)))),"Fix")))</f>
        <v xml:space="preserve"> </v>
      </c>
      <c r="P178" s="4" t="str">
        <f ca="1">IF(OR(INDEX($W$2:$W$1001,MATCH(ROWS($V$2:V178),$V$2:$V$1001,0),1)&gt;=100000,INDEX($AC$1005:$AS$1005,1,MATCH(COLUMNS($AC$1006:AQ1006),$AC$1006:$AS$1006,0))&gt;=100000), " ",IF(INDEX($AC$2:$AS$1001,MATCH(ROWS($V$2:V178),$V$2:$V$1001,0),MATCH(COLUMNS($AC$1006:AQ1006),$AC$1006:$AS$1006,0)), HYPERLINK("#",""), HYPERLINK(CONCATENATE("#metadata!", ADDRESS(INDEX($X$2:$X$1001,MATCH(ROWS($V$2:V178),$V$2:$V$1001,0),0), INDEX($AC$1004:$AS$1004,1,MATCH(COLUMNS($AC$1006:AQ1006),$AC$1006:$AS$1006,0)))),"Fix")))</f>
        <v xml:space="preserve"> </v>
      </c>
      <c r="Q178" s="4" t="str">
        <f ca="1">IF(OR(INDEX($W$2:$W$1001,MATCH(ROWS($V$2:V178),$V$2:$V$1001,0),1)&gt;=100000,INDEX($AC$1005:$AS$1005,1,MATCH(COLUMNS($AC$1006:AR1006),$AC$1006:$AS$1006,0))&gt;=100000), " ",IF(INDEX($AC$2:$AS$1001,MATCH(ROWS($V$2:V178),$V$2:$V$1001,0),MATCH(COLUMNS($AC$1006:AR1006),$AC$1006:$AS$1006,0)), HYPERLINK("#",""), HYPERLINK(CONCATENATE("#metadata!", ADDRESS(INDEX($X$2:$X$1001,MATCH(ROWS($V$2:V178),$V$2:$V$1001,0),0), INDEX($AC$1004:$AS$1004,1,MATCH(COLUMNS($AC$1006:AR1006),$AC$1006:$AS$1006,0)))),"Fix")))</f>
        <v xml:space="preserve"> </v>
      </c>
      <c r="R178" s="4" t="str">
        <f ca="1">IF(OR(INDEX($W$2:$W$1001,MATCH(ROWS($V$2:V178),$V$2:$V$1001,0),1)&gt;=100000,INDEX($AC$1005:$AS$1005,1,MATCH(COLUMNS($AC$1006:AS1006),$AC$1006:$AS$1006,0))&gt;=100000), " ",IF(INDEX($AC$2:$AS$1001,MATCH(ROWS($V$2:V178),$V$2:$V$1001,0),MATCH(COLUMNS($AC$1006:AS1006),$AC$1006:$AS$1006,0)), HYPERLINK("#",""), HYPERLINK(CONCATENATE("#metadata!", ADDRESS(INDEX($X$2:$X$1001,MATCH(ROWS($V$2:V178),$V$2:$V$1001,0),0), INDEX($AC$1004:$AS$1004,1,MATCH(COLUMNS($AC$1006:AS1006),$AC$1006:$AS$1006,0)))),"Fix")))</f>
        <v xml:space="preserve"> </v>
      </c>
      <c r="V178">
        <v>177</v>
      </c>
      <c r="W178">
        <v>100178</v>
      </c>
      <c r="X178">
        <v>178</v>
      </c>
      <c r="Y178" t="b">
        <f t="shared" si="2"/>
        <v>1</v>
      </c>
      <c r="Z178" t="b">
        <f>COUNTBLANK(metadata!B178:R178)=COLUMNS(metadata!B178:R178)</f>
        <v>1</v>
      </c>
      <c r="AA178" t="str">
        <v/>
      </c>
      <c r="AC178" t="b">
        <f ca="1"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AD178" t="b">
        <f>IF(metadata!C178="",FALSE,ISNUMBER(VALUE(metadata!C178)))</f>
        <v>0</v>
      </c>
      <c r="AE178" t="b">
        <f>AND(IF(metadata!D178="",FALSE,TRUE),EXACT(metadata!D178,"years"))</f>
        <v>0</v>
      </c>
      <c r="AF178" t="b">
        <f>OR(AND(IF(metadata!E178="",FALSE,TRUE),OR(EXACT(metadata!E178,"not applicable"),EXACT(metadata!E178,"missing: not collected"),EXACT(metadata!E178,"missing: not provided"),EXACT(metadata!E178,"missing: restricted access"))),AND(IF(metadata!E178="",FALSE,ISNUMBER(VALUE(metadata!E178))),metadata!E178&gt;0))</f>
        <v>0</v>
      </c>
      <c r="AG178" t="b">
        <f>AND(IF(metadata!F178="",FALSE,TRUE),EXACT(metadata!F178,"Not applicable"))</f>
        <v>0</v>
      </c>
      <c r="AH178" t="b">
        <f>AND(IF(metadata!G178="",FALSE,TRUE),EXACT(metadata!G178,"urban biome"))</f>
        <v>0</v>
      </c>
      <c r="AI178" t="b">
        <f>AND(IF(metadata!H178="",FALSE,TRUE),EXACT(metadata!H178,"human-associated habitat"))</f>
        <v>0</v>
      </c>
      <c r="AJ178" t="b">
        <f>AND(IF(metadata!I178="",FALSE,TRUE),OR(EXACT(metadata!I178,"human-associated"),EXACT(metadata!I178,"human-skin"),EXACT(metadata!I178,"human-oral"),EXACT(metadata!I178,"human-gut"),EXACT(metadata!I178,"human-vaginal")))</f>
        <v>0</v>
      </c>
      <c r="AK178" t="b">
        <f>IF(metadata!J178="",FALSE,ISNUMBER(VALUE(metadata!J178)))</f>
        <v>0</v>
      </c>
      <c r="AL178" t="b">
        <f>AND(IF(metadata!K178="",FALSE,TRUE),EXACT(metadata!K178,"cm"))</f>
        <v>0</v>
      </c>
      <c r="AM178" t="b">
        <f>AND(IF(metadata!L178="",FALSE,TRUE),EXACT(metadata!L178,"human"))</f>
        <v>0</v>
      </c>
      <c r="AN178" t="b">
        <f>AND(IF(metadata!M178="",FALSE,TRUE),EXACT(metadata!M178,"Homo sapiens"))</f>
        <v>0</v>
      </c>
      <c r="AO178" t="b">
        <f>AND(IF(metadata!N178="",FALSE,TRUE),EXACT(metadata!N178,"9606"))</f>
        <v>0</v>
      </c>
      <c r="AP178" t="b">
        <f>IF(metadata!O178="",FALSE,TRUE)</f>
        <v>0</v>
      </c>
      <c r="AQ178" t="b">
        <f>IF(metadata!P178="",FALSE,TRUE)</f>
        <v>0</v>
      </c>
      <c r="AR178" t="b">
        <f>IF(metadata!Q178="",FALSE,ISNUMBER(VALUE(metadata!Q178)))</f>
        <v>0</v>
      </c>
      <c r="AS178" t="b">
        <f>AND(IF(metadata!R178="",FALSE,TRUE),EXACT(metadata!R178,"kg"))</f>
        <v>0</v>
      </c>
    </row>
    <row r="179" spans="1:45" x14ac:dyDescent="0.2">
      <c r="A179" s="5" t="str">
        <f ca="1">IF(B179=" "," ",HYPERLINK(CONCATENATE("#metadata!",ADDRESS(INDEX($X$2:$X$1001,MATCH(ROWS($V$2:V179),$V$2:$V$1001,0),0),1)),INDEX($AA$2:$AA$1001,MATCH(ROWS($V$2:V179),$V$2:$V$1001,0),0)))</f>
        <v xml:space="preserve"> </v>
      </c>
      <c r="B179" s="4" t="str">
        <f ca="1">IF(OR(INDEX($W$2:$W$1001,MATCH(ROWS($V$2:V179),$V$2:$V$1001,0),1)&gt;=100000,INDEX($AC$1005:$AS$1005,1,MATCH(COLUMNS($AC$1006:AC1006),$AC$1006:$AS$1006,0))&gt;=100000), " ",IF(INDEX($AC$2:$AS$1001,MATCH(ROWS($V$2:V179),$V$2:$V$1001,0),MATCH(COLUMNS($AC$1006:AC1006),$AC$1006:$AS$1006,0)), HYPERLINK("#",""), HYPERLINK(CONCATENATE("#metadata!", ADDRESS(INDEX($X$2:$X$1001,MATCH(ROWS($V$2:V179),$V$2:$V$1001,0),0), INDEX($AC$1004:$AS$1004,1,MATCH(COLUMNS($AC$1006:AC1006),$AC$1006:$AS$1006,0)))),"Fix")))</f>
        <v xml:space="preserve"> </v>
      </c>
      <c r="C179" s="4" t="str">
        <f ca="1">IF(OR(INDEX($W$2:$W$1001,MATCH(ROWS($V$2:V179),$V$2:$V$1001,0),1)&gt;=100000,INDEX($AC$1005:$AS$1005,1,MATCH(COLUMNS($AC$1006:AD1006),$AC$1006:$AS$1006,0))&gt;=100000), " ",IF(INDEX($AC$2:$AS$1001,MATCH(ROWS($V$2:V179),$V$2:$V$1001,0),MATCH(COLUMNS($AC$1006:AD1006),$AC$1006:$AS$1006,0)), HYPERLINK("#",""), HYPERLINK(CONCATENATE("#metadata!", ADDRESS(INDEX($X$2:$X$1001,MATCH(ROWS($V$2:V179),$V$2:$V$1001,0),0), INDEX($AC$1004:$AS$1004,1,MATCH(COLUMNS($AC$1006:AD1006),$AC$1006:$AS$1006,0)))),"Fix")))</f>
        <v xml:space="preserve"> </v>
      </c>
      <c r="D179" s="4" t="str">
        <f ca="1">IF(OR(INDEX($W$2:$W$1001,MATCH(ROWS($V$2:V179),$V$2:$V$1001,0),1)&gt;=100000,INDEX($AC$1005:$AS$1005,1,MATCH(COLUMNS($AC$1006:AE1006),$AC$1006:$AS$1006,0))&gt;=100000), " ",IF(INDEX($AC$2:$AS$1001,MATCH(ROWS($V$2:V179),$V$2:$V$1001,0),MATCH(COLUMNS($AC$1006:AE1006),$AC$1006:$AS$1006,0)), HYPERLINK("#",""), HYPERLINK(CONCATENATE("#metadata!", ADDRESS(INDEX($X$2:$X$1001,MATCH(ROWS($V$2:V179),$V$2:$V$1001,0),0), INDEX($AC$1004:$AS$1004,1,MATCH(COLUMNS($AC$1006:AE1006),$AC$1006:$AS$1006,0)))),"Fix")))</f>
        <v xml:space="preserve"> </v>
      </c>
      <c r="E179" s="4" t="str">
        <f ca="1">IF(OR(INDEX($W$2:$W$1001,MATCH(ROWS($V$2:V179),$V$2:$V$1001,0),1)&gt;=100000,INDEX($AC$1005:$AS$1005,1,MATCH(COLUMNS($AC$1006:AF1006),$AC$1006:$AS$1006,0))&gt;=100000), " ",IF(INDEX($AC$2:$AS$1001,MATCH(ROWS($V$2:V179),$V$2:$V$1001,0),MATCH(COLUMNS($AC$1006:AF1006),$AC$1006:$AS$1006,0)), HYPERLINK("#",""), HYPERLINK(CONCATENATE("#metadata!", ADDRESS(INDEX($X$2:$X$1001,MATCH(ROWS($V$2:V179),$V$2:$V$1001,0),0), INDEX($AC$1004:$AS$1004,1,MATCH(COLUMNS($AC$1006:AF1006),$AC$1006:$AS$1006,0)))),"Fix")))</f>
        <v xml:space="preserve"> </v>
      </c>
      <c r="F179" s="4" t="str">
        <f ca="1">IF(OR(INDEX($W$2:$W$1001,MATCH(ROWS($V$2:V179),$V$2:$V$1001,0),1)&gt;=100000,INDEX($AC$1005:$AS$1005,1,MATCH(COLUMNS($AC$1006:AG1006),$AC$1006:$AS$1006,0))&gt;=100000), " ",IF(INDEX($AC$2:$AS$1001,MATCH(ROWS($V$2:V179),$V$2:$V$1001,0),MATCH(COLUMNS($AC$1006:AG1006),$AC$1006:$AS$1006,0)), HYPERLINK("#",""), HYPERLINK(CONCATENATE("#metadata!", ADDRESS(INDEX($X$2:$X$1001,MATCH(ROWS($V$2:V179),$V$2:$V$1001,0),0), INDEX($AC$1004:$AS$1004,1,MATCH(COLUMNS($AC$1006:AG1006),$AC$1006:$AS$1006,0)))),"Fix")))</f>
        <v xml:space="preserve"> </v>
      </c>
      <c r="G179" s="4" t="str">
        <f ca="1">IF(OR(INDEX($W$2:$W$1001,MATCH(ROWS($V$2:V179),$V$2:$V$1001,0),1)&gt;=100000,INDEX($AC$1005:$AS$1005,1,MATCH(COLUMNS($AC$1006:AH1006),$AC$1006:$AS$1006,0))&gt;=100000), " ",IF(INDEX($AC$2:$AS$1001,MATCH(ROWS($V$2:V179),$V$2:$V$1001,0),MATCH(COLUMNS($AC$1006:AH1006),$AC$1006:$AS$1006,0)), HYPERLINK("#",""), HYPERLINK(CONCATENATE("#metadata!", ADDRESS(INDEX($X$2:$X$1001,MATCH(ROWS($V$2:V179),$V$2:$V$1001,0),0), INDEX($AC$1004:$AS$1004,1,MATCH(COLUMNS($AC$1006:AH1006),$AC$1006:$AS$1006,0)))),"Fix")))</f>
        <v xml:space="preserve"> </v>
      </c>
      <c r="H179" s="4" t="str">
        <f ca="1">IF(OR(INDEX($W$2:$W$1001,MATCH(ROWS($V$2:V179),$V$2:$V$1001,0),1)&gt;=100000,INDEX($AC$1005:$AS$1005,1,MATCH(COLUMNS($AC$1006:AI1006),$AC$1006:$AS$1006,0))&gt;=100000), " ",IF(INDEX($AC$2:$AS$1001,MATCH(ROWS($V$2:V179),$V$2:$V$1001,0),MATCH(COLUMNS($AC$1006:AI1006),$AC$1006:$AS$1006,0)), HYPERLINK("#",""), HYPERLINK(CONCATENATE("#metadata!", ADDRESS(INDEX($X$2:$X$1001,MATCH(ROWS($V$2:V179),$V$2:$V$1001,0),0), INDEX($AC$1004:$AS$1004,1,MATCH(COLUMNS($AC$1006:AI1006),$AC$1006:$AS$1006,0)))),"Fix")))</f>
        <v xml:space="preserve"> </v>
      </c>
      <c r="I179" s="4" t="str">
        <f ca="1">IF(OR(INDEX($W$2:$W$1001,MATCH(ROWS($V$2:V179),$V$2:$V$1001,0),1)&gt;=100000,INDEX($AC$1005:$AS$1005,1,MATCH(COLUMNS($AC$1006:AJ1006),$AC$1006:$AS$1006,0))&gt;=100000), " ",IF(INDEX($AC$2:$AS$1001,MATCH(ROWS($V$2:V179),$V$2:$V$1001,0),MATCH(COLUMNS($AC$1006:AJ1006),$AC$1006:$AS$1006,0)), HYPERLINK("#",""), HYPERLINK(CONCATENATE("#metadata!", ADDRESS(INDEX($X$2:$X$1001,MATCH(ROWS($V$2:V179),$V$2:$V$1001,0),0), INDEX($AC$1004:$AS$1004,1,MATCH(COLUMNS($AC$1006:AJ1006),$AC$1006:$AS$1006,0)))),"Fix")))</f>
        <v xml:space="preserve"> </v>
      </c>
      <c r="J179" s="4" t="str">
        <f ca="1">IF(OR(INDEX($W$2:$W$1001,MATCH(ROWS($V$2:V179),$V$2:$V$1001,0),1)&gt;=100000,INDEX($AC$1005:$AS$1005,1,MATCH(COLUMNS($AC$1006:AK1006),$AC$1006:$AS$1006,0))&gt;=100000), " ",IF(INDEX($AC$2:$AS$1001,MATCH(ROWS($V$2:V179),$V$2:$V$1001,0),MATCH(COLUMNS($AC$1006:AK1006),$AC$1006:$AS$1006,0)), HYPERLINK("#",""), HYPERLINK(CONCATENATE("#metadata!", ADDRESS(INDEX($X$2:$X$1001,MATCH(ROWS($V$2:V179),$V$2:$V$1001,0),0), INDEX($AC$1004:$AS$1004,1,MATCH(COLUMNS($AC$1006:AK1006),$AC$1006:$AS$1006,0)))),"Fix")))</f>
        <v xml:space="preserve"> </v>
      </c>
      <c r="K179" s="4" t="str">
        <f ca="1">IF(OR(INDEX($W$2:$W$1001,MATCH(ROWS($V$2:V179),$V$2:$V$1001,0),1)&gt;=100000,INDEX($AC$1005:$AS$1005,1,MATCH(COLUMNS($AC$1006:AL1006),$AC$1006:$AS$1006,0))&gt;=100000), " ",IF(INDEX($AC$2:$AS$1001,MATCH(ROWS($V$2:V179),$V$2:$V$1001,0),MATCH(COLUMNS($AC$1006:AL1006),$AC$1006:$AS$1006,0)), HYPERLINK("#",""), HYPERLINK(CONCATENATE("#metadata!", ADDRESS(INDEX($X$2:$X$1001,MATCH(ROWS($V$2:V179),$V$2:$V$1001,0),0), INDEX($AC$1004:$AS$1004,1,MATCH(COLUMNS($AC$1006:AL1006),$AC$1006:$AS$1006,0)))),"Fix")))</f>
        <v xml:space="preserve"> </v>
      </c>
      <c r="L179" s="4" t="str">
        <f ca="1">IF(OR(INDEX($W$2:$W$1001,MATCH(ROWS($V$2:V179),$V$2:$V$1001,0),1)&gt;=100000,INDEX($AC$1005:$AS$1005,1,MATCH(COLUMNS($AC$1006:AM1006),$AC$1006:$AS$1006,0))&gt;=100000), " ",IF(INDEX($AC$2:$AS$1001,MATCH(ROWS($V$2:V179),$V$2:$V$1001,0),MATCH(COLUMNS($AC$1006:AM1006),$AC$1006:$AS$1006,0)), HYPERLINK("#",""), HYPERLINK(CONCATENATE("#metadata!", ADDRESS(INDEX($X$2:$X$1001,MATCH(ROWS($V$2:V179),$V$2:$V$1001,0),0), INDEX($AC$1004:$AS$1004,1,MATCH(COLUMNS($AC$1006:AM1006),$AC$1006:$AS$1006,0)))),"Fix")))</f>
        <v xml:space="preserve"> </v>
      </c>
      <c r="M179" s="4" t="str">
        <f ca="1">IF(OR(INDEX($W$2:$W$1001,MATCH(ROWS($V$2:V179),$V$2:$V$1001,0),1)&gt;=100000,INDEX($AC$1005:$AS$1005,1,MATCH(COLUMNS($AC$1006:AN1006),$AC$1006:$AS$1006,0))&gt;=100000), " ",IF(INDEX($AC$2:$AS$1001,MATCH(ROWS($V$2:V179),$V$2:$V$1001,0),MATCH(COLUMNS($AC$1006:AN1006),$AC$1006:$AS$1006,0)), HYPERLINK("#",""), HYPERLINK(CONCATENATE("#metadata!", ADDRESS(INDEX($X$2:$X$1001,MATCH(ROWS($V$2:V179),$V$2:$V$1001,0),0), INDEX($AC$1004:$AS$1004,1,MATCH(COLUMNS($AC$1006:AN1006),$AC$1006:$AS$1006,0)))),"Fix")))</f>
        <v xml:space="preserve"> </v>
      </c>
      <c r="N179" s="4" t="str">
        <f ca="1">IF(OR(INDEX($W$2:$W$1001,MATCH(ROWS($V$2:V179),$V$2:$V$1001,0),1)&gt;=100000,INDEX($AC$1005:$AS$1005,1,MATCH(COLUMNS($AC$1006:AO1006),$AC$1006:$AS$1006,0))&gt;=100000), " ",IF(INDEX($AC$2:$AS$1001,MATCH(ROWS($V$2:V179),$V$2:$V$1001,0),MATCH(COLUMNS($AC$1006:AO1006),$AC$1006:$AS$1006,0)), HYPERLINK("#",""), HYPERLINK(CONCATENATE("#metadata!", ADDRESS(INDEX($X$2:$X$1001,MATCH(ROWS($V$2:V179),$V$2:$V$1001,0),0), INDEX($AC$1004:$AS$1004,1,MATCH(COLUMNS($AC$1006:AO1006),$AC$1006:$AS$1006,0)))),"Fix")))</f>
        <v xml:space="preserve"> </v>
      </c>
      <c r="O179" s="4" t="str">
        <f ca="1">IF(OR(INDEX($W$2:$W$1001,MATCH(ROWS($V$2:V179),$V$2:$V$1001,0),1)&gt;=100000,INDEX($AC$1005:$AS$1005,1,MATCH(COLUMNS($AC$1006:AP1006),$AC$1006:$AS$1006,0))&gt;=100000), " ",IF(INDEX($AC$2:$AS$1001,MATCH(ROWS($V$2:V179),$V$2:$V$1001,0),MATCH(COLUMNS($AC$1006:AP1006),$AC$1006:$AS$1006,0)), HYPERLINK("#",""), HYPERLINK(CONCATENATE("#metadata!", ADDRESS(INDEX($X$2:$X$1001,MATCH(ROWS($V$2:V179),$V$2:$V$1001,0),0), INDEX($AC$1004:$AS$1004,1,MATCH(COLUMNS($AC$1006:AP1006),$AC$1006:$AS$1006,0)))),"Fix")))</f>
        <v xml:space="preserve"> </v>
      </c>
      <c r="P179" s="4" t="str">
        <f ca="1">IF(OR(INDEX($W$2:$W$1001,MATCH(ROWS($V$2:V179),$V$2:$V$1001,0),1)&gt;=100000,INDEX($AC$1005:$AS$1005,1,MATCH(COLUMNS($AC$1006:AQ1006),$AC$1006:$AS$1006,0))&gt;=100000), " ",IF(INDEX($AC$2:$AS$1001,MATCH(ROWS($V$2:V179),$V$2:$V$1001,0),MATCH(COLUMNS($AC$1006:AQ1006),$AC$1006:$AS$1006,0)), HYPERLINK("#",""), HYPERLINK(CONCATENATE("#metadata!", ADDRESS(INDEX($X$2:$X$1001,MATCH(ROWS($V$2:V179),$V$2:$V$1001,0),0), INDEX($AC$1004:$AS$1004,1,MATCH(COLUMNS($AC$1006:AQ1006),$AC$1006:$AS$1006,0)))),"Fix")))</f>
        <v xml:space="preserve"> </v>
      </c>
      <c r="Q179" s="4" t="str">
        <f ca="1">IF(OR(INDEX($W$2:$W$1001,MATCH(ROWS($V$2:V179),$V$2:$V$1001,0),1)&gt;=100000,INDEX($AC$1005:$AS$1005,1,MATCH(COLUMNS($AC$1006:AR1006),$AC$1006:$AS$1006,0))&gt;=100000), " ",IF(INDEX($AC$2:$AS$1001,MATCH(ROWS($V$2:V179),$V$2:$V$1001,0),MATCH(COLUMNS($AC$1006:AR1006),$AC$1006:$AS$1006,0)), HYPERLINK("#",""), HYPERLINK(CONCATENATE("#metadata!", ADDRESS(INDEX($X$2:$X$1001,MATCH(ROWS($V$2:V179),$V$2:$V$1001,0),0), INDEX($AC$1004:$AS$1004,1,MATCH(COLUMNS($AC$1006:AR1006),$AC$1006:$AS$1006,0)))),"Fix")))</f>
        <v xml:space="preserve"> </v>
      </c>
      <c r="R179" s="4" t="str">
        <f ca="1">IF(OR(INDEX($W$2:$W$1001,MATCH(ROWS($V$2:V179),$V$2:$V$1001,0),1)&gt;=100000,INDEX($AC$1005:$AS$1005,1,MATCH(COLUMNS($AC$1006:AS1006),$AC$1006:$AS$1006,0))&gt;=100000), " ",IF(INDEX($AC$2:$AS$1001,MATCH(ROWS($V$2:V179),$V$2:$V$1001,0),MATCH(COLUMNS($AC$1006:AS1006),$AC$1006:$AS$1006,0)), HYPERLINK("#",""), HYPERLINK(CONCATENATE("#metadata!", ADDRESS(INDEX($X$2:$X$1001,MATCH(ROWS($V$2:V179),$V$2:$V$1001,0),0), INDEX($AC$1004:$AS$1004,1,MATCH(COLUMNS($AC$1006:AS1006),$AC$1006:$AS$1006,0)))),"Fix")))</f>
        <v xml:space="preserve"> </v>
      </c>
      <c r="V179">
        <v>178</v>
      </c>
      <c r="W179">
        <v>100179</v>
      </c>
      <c r="X179">
        <v>179</v>
      </c>
      <c r="Y179" t="b">
        <f t="shared" si="2"/>
        <v>1</v>
      </c>
      <c r="Z179" t="b">
        <f>COUNTBLANK(metadata!B179:R179)=COLUMNS(metadata!B179:R179)</f>
        <v>1</v>
      </c>
      <c r="AA179" t="str">
        <v/>
      </c>
      <c r="AC179" t="b">
        <f ca="1"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AD179" t="b">
        <f>IF(metadata!C179="",FALSE,ISNUMBER(VALUE(metadata!C179)))</f>
        <v>0</v>
      </c>
      <c r="AE179" t="b">
        <f>AND(IF(metadata!D179="",FALSE,TRUE),EXACT(metadata!D179,"years"))</f>
        <v>0</v>
      </c>
      <c r="AF179" t="b">
        <f>OR(AND(IF(metadata!E179="",FALSE,TRUE),OR(EXACT(metadata!E179,"not applicable"),EXACT(metadata!E179,"missing: not collected"),EXACT(metadata!E179,"missing: not provided"),EXACT(metadata!E179,"missing: restricted access"))),AND(IF(metadata!E179="",FALSE,ISNUMBER(VALUE(metadata!E179))),metadata!E179&gt;0))</f>
        <v>0</v>
      </c>
      <c r="AG179" t="b">
        <f>AND(IF(metadata!F179="",FALSE,TRUE),EXACT(metadata!F179,"Not applicable"))</f>
        <v>0</v>
      </c>
      <c r="AH179" t="b">
        <f>AND(IF(metadata!G179="",FALSE,TRUE),EXACT(metadata!G179,"urban biome"))</f>
        <v>0</v>
      </c>
      <c r="AI179" t="b">
        <f>AND(IF(metadata!H179="",FALSE,TRUE),EXACT(metadata!H179,"human-associated habitat"))</f>
        <v>0</v>
      </c>
      <c r="AJ179" t="b">
        <f>AND(IF(metadata!I179="",FALSE,TRUE),OR(EXACT(metadata!I179,"human-associated"),EXACT(metadata!I179,"human-skin"),EXACT(metadata!I179,"human-oral"),EXACT(metadata!I179,"human-gut"),EXACT(metadata!I179,"human-vaginal")))</f>
        <v>0</v>
      </c>
      <c r="AK179" t="b">
        <f>IF(metadata!J179="",FALSE,ISNUMBER(VALUE(metadata!J179)))</f>
        <v>0</v>
      </c>
      <c r="AL179" t="b">
        <f>AND(IF(metadata!K179="",FALSE,TRUE),EXACT(metadata!K179,"cm"))</f>
        <v>0</v>
      </c>
      <c r="AM179" t="b">
        <f>AND(IF(metadata!L179="",FALSE,TRUE),EXACT(metadata!L179,"human"))</f>
        <v>0</v>
      </c>
      <c r="AN179" t="b">
        <f>AND(IF(metadata!M179="",FALSE,TRUE),EXACT(metadata!M179,"Homo sapiens"))</f>
        <v>0</v>
      </c>
      <c r="AO179" t="b">
        <f>AND(IF(metadata!N179="",FALSE,TRUE),EXACT(metadata!N179,"9606"))</f>
        <v>0</v>
      </c>
      <c r="AP179" t="b">
        <f>IF(metadata!O179="",FALSE,TRUE)</f>
        <v>0</v>
      </c>
      <c r="AQ179" t="b">
        <f>IF(metadata!P179="",FALSE,TRUE)</f>
        <v>0</v>
      </c>
      <c r="AR179" t="b">
        <f>IF(metadata!Q179="",FALSE,ISNUMBER(VALUE(metadata!Q179)))</f>
        <v>0</v>
      </c>
      <c r="AS179" t="b">
        <f>AND(IF(metadata!R179="",FALSE,TRUE),EXACT(metadata!R179,"kg"))</f>
        <v>0</v>
      </c>
    </row>
    <row r="180" spans="1:45" x14ac:dyDescent="0.2">
      <c r="A180" s="5" t="str">
        <f ca="1">IF(B180=" "," ",HYPERLINK(CONCATENATE("#metadata!",ADDRESS(INDEX($X$2:$X$1001,MATCH(ROWS($V$2:V180),$V$2:$V$1001,0),0),1)),INDEX($AA$2:$AA$1001,MATCH(ROWS($V$2:V180),$V$2:$V$1001,0),0)))</f>
        <v xml:space="preserve"> </v>
      </c>
      <c r="B180" s="4" t="str">
        <f ca="1">IF(OR(INDEX($W$2:$W$1001,MATCH(ROWS($V$2:V180),$V$2:$V$1001,0),1)&gt;=100000,INDEX($AC$1005:$AS$1005,1,MATCH(COLUMNS($AC$1006:AC1006),$AC$1006:$AS$1006,0))&gt;=100000), " ",IF(INDEX($AC$2:$AS$1001,MATCH(ROWS($V$2:V180),$V$2:$V$1001,0),MATCH(COLUMNS($AC$1006:AC1006),$AC$1006:$AS$1006,0)), HYPERLINK("#",""), HYPERLINK(CONCATENATE("#metadata!", ADDRESS(INDEX($X$2:$X$1001,MATCH(ROWS($V$2:V180),$V$2:$V$1001,0),0), INDEX($AC$1004:$AS$1004,1,MATCH(COLUMNS($AC$1006:AC1006),$AC$1006:$AS$1006,0)))),"Fix")))</f>
        <v xml:space="preserve"> </v>
      </c>
      <c r="C180" s="4" t="str">
        <f ca="1">IF(OR(INDEX($W$2:$W$1001,MATCH(ROWS($V$2:V180),$V$2:$V$1001,0),1)&gt;=100000,INDEX($AC$1005:$AS$1005,1,MATCH(COLUMNS($AC$1006:AD1006),$AC$1006:$AS$1006,0))&gt;=100000), " ",IF(INDEX($AC$2:$AS$1001,MATCH(ROWS($V$2:V180),$V$2:$V$1001,0),MATCH(COLUMNS($AC$1006:AD1006),$AC$1006:$AS$1006,0)), HYPERLINK("#",""), HYPERLINK(CONCATENATE("#metadata!", ADDRESS(INDEX($X$2:$X$1001,MATCH(ROWS($V$2:V180),$V$2:$V$1001,0),0), INDEX($AC$1004:$AS$1004,1,MATCH(COLUMNS($AC$1006:AD1006),$AC$1006:$AS$1006,0)))),"Fix")))</f>
        <v xml:space="preserve"> </v>
      </c>
      <c r="D180" s="4" t="str">
        <f ca="1">IF(OR(INDEX($W$2:$W$1001,MATCH(ROWS($V$2:V180),$V$2:$V$1001,0),1)&gt;=100000,INDEX($AC$1005:$AS$1005,1,MATCH(COLUMNS($AC$1006:AE1006),$AC$1006:$AS$1006,0))&gt;=100000), " ",IF(INDEX($AC$2:$AS$1001,MATCH(ROWS($V$2:V180),$V$2:$V$1001,0),MATCH(COLUMNS($AC$1006:AE1006),$AC$1006:$AS$1006,0)), HYPERLINK("#",""), HYPERLINK(CONCATENATE("#metadata!", ADDRESS(INDEX($X$2:$X$1001,MATCH(ROWS($V$2:V180),$V$2:$V$1001,0),0), INDEX($AC$1004:$AS$1004,1,MATCH(COLUMNS($AC$1006:AE1006),$AC$1006:$AS$1006,0)))),"Fix")))</f>
        <v xml:space="preserve"> </v>
      </c>
      <c r="E180" s="4" t="str">
        <f ca="1">IF(OR(INDEX($W$2:$W$1001,MATCH(ROWS($V$2:V180),$V$2:$V$1001,0),1)&gt;=100000,INDEX($AC$1005:$AS$1005,1,MATCH(COLUMNS($AC$1006:AF1006),$AC$1006:$AS$1006,0))&gt;=100000), " ",IF(INDEX($AC$2:$AS$1001,MATCH(ROWS($V$2:V180),$V$2:$V$1001,0),MATCH(COLUMNS($AC$1006:AF1006),$AC$1006:$AS$1006,0)), HYPERLINK("#",""), HYPERLINK(CONCATENATE("#metadata!", ADDRESS(INDEX($X$2:$X$1001,MATCH(ROWS($V$2:V180),$V$2:$V$1001,0),0), INDEX($AC$1004:$AS$1004,1,MATCH(COLUMNS($AC$1006:AF1006),$AC$1006:$AS$1006,0)))),"Fix")))</f>
        <v xml:space="preserve"> </v>
      </c>
      <c r="F180" s="4" t="str">
        <f ca="1">IF(OR(INDEX($W$2:$W$1001,MATCH(ROWS($V$2:V180),$V$2:$V$1001,0),1)&gt;=100000,INDEX($AC$1005:$AS$1005,1,MATCH(COLUMNS($AC$1006:AG1006),$AC$1006:$AS$1006,0))&gt;=100000), " ",IF(INDEX($AC$2:$AS$1001,MATCH(ROWS($V$2:V180),$V$2:$V$1001,0),MATCH(COLUMNS($AC$1006:AG1006),$AC$1006:$AS$1006,0)), HYPERLINK("#",""), HYPERLINK(CONCATENATE("#metadata!", ADDRESS(INDEX($X$2:$X$1001,MATCH(ROWS($V$2:V180),$V$2:$V$1001,0),0), INDEX($AC$1004:$AS$1004,1,MATCH(COLUMNS($AC$1006:AG1006),$AC$1006:$AS$1006,0)))),"Fix")))</f>
        <v xml:space="preserve"> </v>
      </c>
      <c r="G180" s="4" t="str">
        <f ca="1">IF(OR(INDEX($W$2:$W$1001,MATCH(ROWS($V$2:V180),$V$2:$V$1001,0),1)&gt;=100000,INDEX($AC$1005:$AS$1005,1,MATCH(COLUMNS($AC$1006:AH1006),$AC$1006:$AS$1006,0))&gt;=100000), " ",IF(INDEX($AC$2:$AS$1001,MATCH(ROWS($V$2:V180),$V$2:$V$1001,0),MATCH(COLUMNS($AC$1006:AH1006),$AC$1006:$AS$1006,0)), HYPERLINK("#",""), HYPERLINK(CONCATENATE("#metadata!", ADDRESS(INDEX($X$2:$X$1001,MATCH(ROWS($V$2:V180),$V$2:$V$1001,0),0), INDEX($AC$1004:$AS$1004,1,MATCH(COLUMNS($AC$1006:AH1006),$AC$1006:$AS$1006,0)))),"Fix")))</f>
        <v xml:space="preserve"> </v>
      </c>
      <c r="H180" s="4" t="str">
        <f ca="1">IF(OR(INDEX($W$2:$W$1001,MATCH(ROWS($V$2:V180),$V$2:$V$1001,0),1)&gt;=100000,INDEX($AC$1005:$AS$1005,1,MATCH(COLUMNS($AC$1006:AI1006),$AC$1006:$AS$1006,0))&gt;=100000), " ",IF(INDEX($AC$2:$AS$1001,MATCH(ROWS($V$2:V180),$V$2:$V$1001,0),MATCH(COLUMNS($AC$1006:AI1006),$AC$1006:$AS$1006,0)), HYPERLINK("#",""), HYPERLINK(CONCATENATE("#metadata!", ADDRESS(INDEX($X$2:$X$1001,MATCH(ROWS($V$2:V180),$V$2:$V$1001,0),0), INDEX($AC$1004:$AS$1004,1,MATCH(COLUMNS($AC$1006:AI1006),$AC$1006:$AS$1006,0)))),"Fix")))</f>
        <v xml:space="preserve"> </v>
      </c>
      <c r="I180" s="4" t="str">
        <f ca="1">IF(OR(INDEX($W$2:$W$1001,MATCH(ROWS($V$2:V180),$V$2:$V$1001,0),1)&gt;=100000,INDEX($AC$1005:$AS$1005,1,MATCH(COLUMNS($AC$1006:AJ1006),$AC$1006:$AS$1006,0))&gt;=100000), " ",IF(INDEX($AC$2:$AS$1001,MATCH(ROWS($V$2:V180),$V$2:$V$1001,0),MATCH(COLUMNS($AC$1006:AJ1006),$AC$1006:$AS$1006,0)), HYPERLINK("#",""), HYPERLINK(CONCATENATE("#metadata!", ADDRESS(INDEX($X$2:$X$1001,MATCH(ROWS($V$2:V180),$V$2:$V$1001,0),0), INDEX($AC$1004:$AS$1004,1,MATCH(COLUMNS($AC$1006:AJ1006),$AC$1006:$AS$1006,0)))),"Fix")))</f>
        <v xml:space="preserve"> </v>
      </c>
      <c r="J180" s="4" t="str">
        <f ca="1">IF(OR(INDEX($W$2:$W$1001,MATCH(ROWS($V$2:V180),$V$2:$V$1001,0),1)&gt;=100000,INDEX($AC$1005:$AS$1005,1,MATCH(COLUMNS($AC$1006:AK1006),$AC$1006:$AS$1006,0))&gt;=100000), " ",IF(INDEX($AC$2:$AS$1001,MATCH(ROWS($V$2:V180),$V$2:$V$1001,0),MATCH(COLUMNS($AC$1006:AK1006),$AC$1006:$AS$1006,0)), HYPERLINK("#",""), HYPERLINK(CONCATENATE("#metadata!", ADDRESS(INDEX($X$2:$X$1001,MATCH(ROWS($V$2:V180),$V$2:$V$1001,0),0), INDEX($AC$1004:$AS$1004,1,MATCH(COLUMNS($AC$1006:AK1006),$AC$1006:$AS$1006,0)))),"Fix")))</f>
        <v xml:space="preserve"> </v>
      </c>
      <c r="K180" s="4" t="str">
        <f ca="1">IF(OR(INDEX($W$2:$W$1001,MATCH(ROWS($V$2:V180),$V$2:$V$1001,0),1)&gt;=100000,INDEX($AC$1005:$AS$1005,1,MATCH(COLUMNS($AC$1006:AL1006),$AC$1006:$AS$1006,0))&gt;=100000), " ",IF(INDEX($AC$2:$AS$1001,MATCH(ROWS($V$2:V180),$V$2:$V$1001,0),MATCH(COLUMNS($AC$1006:AL1006),$AC$1006:$AS$1006,0)), HYPERLINK("#",""), HYPERLINK(CONCATENATE("#metadata!", ADDRESS(INDEX($X$2:$X$1001,MATCH(ROWS($V$2:V180),$V$2:$V$1001,0),0), INDEX($AC$1004:$AS$1004,1,MATCH(COLUMNS($AC$1006:AL1006),$AC$1006:$AS$1006,0)))),"Fix")))</f>
        <v xml:space="preserve"> </v>
      </c>
      <c r="L180" s="4" t="str">
        <f ca="1">IF(OR(INDEX($W$2:$W$1001,MATCH(ROWS($V$2:V180),$V$2:$V$1001,0),1)&gt;=100000,INDEX($AC$1005:$AS$1005,1,MATCH(COLUMNS($AC$1006:AM1006),$AC$1006:$AS$1006,0))&gt;=100000), " ",IF(INDEX($AC$2:$AS$1001,MATCH(ROWS($V$2:V180),$V$2:$V$1001,0),MATCH(COLUMNS($AC$1006:AM1006),$AC$1006:$AS$1006,0)), HYPERLINK("#",""), HYPERLINK(CONCATENATE("#metadata!", ADDRESS(INDEX($X$2:$X$1001,MATCH(ROWS($V$2:V180),$V$2:$V$1001,0),0), INDEX($AC$1004:$AS$1004,1,MATCH(COLUMNS($AC$1006:AM1006),$AC$1006:$AS$1006,0)))),"Fix")))</f>
        <v xml:space="preserve"> </v>
      </c>
      <c r="M180" s="4" t="str">
        <f ca="1">IF(OR(INDEX($W$2:$W$1001,MATCH(ROWS($V$2:V180),$V$2:$V$1001,0),1)&gt;=100000,INDEX($AC$1005:$AS$1005,1,MATCH(COLUMNS($AC$1006:AN1006),$AC$1006:$AS$1006,0))&gt;=100000), " ",IF(INDEX($AC$2:$AS$1001,MATCH(ROWS($V$2:V180),$V$2:$V$1001,0),MATCH(COLUMNS($AC$1006:AN1006),$AC$1006:$AS$1006,0)), HYPERLINK("#",""), HYPERLINK(CONCATENATE("#metadata!", ADDRESS(INDEX($X$2:$X$1001,MATCH(ROWS($V$2:V180),$V$2:$V$1001,0),0), INDEX($AC$1004:$AS$1004,1,MATCH(COLUMNS($AC$1006:AN1006),$AC$1006:$AS$1006,0)))),"Fix")))</f>
        <v xml:space="preserve"> </v>
      </c>
      <c r="N180" s="4" t="str">
        <f ca="1">IF(OR(INDEX($W$2:$W$1001,MATCH(ROWS($V$2:V180),$V$2:$V$1001,0),1)&gt;=100000,INDEX($AC$1005:$AS$1005,1,MATCH(COLUMNS($AC$1006:AO1006),$AC$1006:$AS$1006,0))&gt;=100000), " ",IF(INDEX($AC$2:$AS$1001,MATCH(ROWS($V$2:V180),$V$2:$V$1001,0),MATCH(COLUMNS($AC$1006:AO1006),$AC$1006:$AS$1006,0)), HYPERLINK("#",""), HYPERLINK(CONCATENATE("#metadata!", ADDRESS(INDEX($X$2:$X$1001,MATCH(ROWS($V$2:V180),$V$2:$V$1001,0),0), INDEX($AC$1004:$AS$1004,1,MATCH(COLUMNS($AC$1006:AO1006),$AC$1006:$AS$1006,0)))),"Fix")))</f>
        <v xml:space="preserve"> </v>
      </c>
      <c r="O180" s="4" t="str">
        <f ca="1">IF(OR(INDEX($W$2:$W$1001,MATCH(ROWS($V$2:V180),$V$2:$V$1001,0),1)&gt;=100000,INDEX($AC$1005:$AS$1005,1,MATCH(COLUMNS($AC$1006:AP1006),$AC$1006:$AS$1006,0))&gt;=100000), " ",IF(INDEX($AC$2:$AS$1001,MATCH(ROWS($V$2:V180),$V$2:$V$1001,0),MATCH(COLUMNS($AC$1006:AP1006),$AC$1006:$AS$1006,0)), HYPERLINK("#",""), HYPERLINK(CONCATENATE("#metadata!", ADDRESS(INDEX($X$2:$X$1001,MATCH(ROWS($V$2:V180),$V$2:$V$1001,0),0), INDEX($AC$1004:$AS$1004,1,MATCH(COLUMNS($AC$1006:AP1006),$AC$1006:$AS$1006,0)))),"Fix")))</f>
        <v xml:space="preserve"> </v>
      </c>
      <c r="P180" s="4" t="str">
        <f ca="1">IF(OR(INDEX($W$2:$W$1001,MATCH(ROWS($V$2:V180),$V$2:$V$1001,0),1)&gt;=100000,INDEX($AC$1005:$AS$1005,1,MATCH(COLUMNS($AC$1006:AQ1006),$AC$1006:$AS$1006,0))&gt;=100000), " ",IF(INDEX($AC$2:$AS$1001,MATCH(ROWS($V$2:V180),$V$2:$V$1001,0),MATCH(COLUMNS($AC$1006:AQ1006),$AC$1006:$AS$1006,0)), HYPERLINK("#",""), HYPERLINK(CONCATENATE("#metadata!", ADDRESS(INDEX($X$2:$X$1001,MATCH(ROWS($V$2:V180),$V$2:$V$1001,0),0), INDEX($AC$1004:$AS$1004,1,MATCH(COLUMNS($AC$1006:AQ1006),$AC$1006:$AS$1006,0)))),"Fix")))</f>
        <v xml:space="preserve"> </v>
      </c>
      <c r="Q180" s="4" t="str">
        <f ca="1">IF(OR(INDEX($W$2:$W$1001,MATCH(ROWS($V$2:V180),$V$2:$V$1001,0),1)&gt;=100000,INDEX($AC$1005:$AS$1005,1,MATCH(COLUMNS($AC$1006:AR1006),$AC$1006:$AS$1006,0))&gt;=100000), " ",IF(INDEX($AC$2:$AS$1001,MATCH(ROWS($V$2:V180),$V$2:$V$1001,0),MATCH(COLUMNS($AC$1006:AR1006),$AC$1006:$AS$1006,0)), HYPERLINK("#",""), HYPERLINK(CONCATENATE("#metadata!", ADDRESS(INDEX($X$2:$X$1001,MATCH(ROWS($V$2:V180),$V$2:$V$1001,0),0), INDEX($AC$1004:$AS$1004,1,MATCH(COLUMNS($AC$1006:AR1006),$AC$1006:$AS$1006,0)))),"Fix")))</f>
        <v xml:space="preserve"> </v>
      </c>
      <c r="R180" s="4" t="str">
        <f ca="1">IF(OR(INDEX($W$2:$W$1001,MATCH(ROWS($V$2:V180),$V$2:$V$1001,0),1)&gt;=100000,INDEX($AC$1005:$AS$1005,1,MATCH(COLUMNS($AC$1006:AS1006),$AC$1006:$AS$1006,0))&gt;=100000), " ",IF(INDEX($AC$2:$AS$1001,MATCH(ROWS($V$2:V180),$V$2:$V$1001,0),MATCH(COLUMNS($AC$1006:AS1006),$AC$1006:$AS$1006,0)), HYPERLINK("#",""), HYPERLINK(CONCATENATE("#metadata!", ADDRESS(INDEX($X$2:$X$1001,MATCH(ROWS($V$2:V180),$V$2:$V$1001,0),0), INDEX($AC$1004:$AS$1004,1,MATCH(COLUMNS($AC$1006:AS1006),$AC$1006:$AS$1006,0)))),"Fix")))</f>
        <v xml:space="preserve"> </v>
      </c>
      <c r="V180">
        <v>179</v>
      </c>
      <c r="W180">
        <v>100180</v>
      </c>
      <c r="X180">
        <v>180</v>
      </c>
      <c r="Y180" t="b">
        <f t="shared" si="2"/>
        <v>1</v>
      </c>
      <c r="Z180" t="b">
        <f>COUNTBLANK(metadata!B180:R180)=COLUMNS(metadata!B180:R180)</f>
        <v>1</v>
      </c>
      <c r="AA180" t="str">
        <v/>
      </c>
      <c r="AC180" t="b">
        <f ca="1"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AD180" t="b">
        <f>IF(metadata!C180="",FALSE,ISNUMBER(VALUE(metadata!C180)))</f>
        <v>0</v>
      </c>
      <c r="AE180" t="b">
        <f>AND(IF(metadata!D180="",FALSE,TRUE),EXACT(metadata!D180,"years"))</f>
        <v>0</v>
      </c>
      <c r="AF180" t="b">
        <f>OR(AND(IF(metadata!E180="",FALSE,TRUE),OR(EXACT(metadata!E180,"not applicable"),EXACT(metadata!E180,"missing: not collected"),EXACT(metadata!E180,"missing: not provided"),EXACT(metadata!E180,"missing: restricted access"))),AND(IF(metadata!E180="",FALSE,ISNUMBER(VALUE(metadata!E180))),metadata!E180&gt;0))</f>
        <v>0</v>
      </c>
      <c r="AG180" t="b">
        <f>AND(IF(metadata!F180="",FALSE,TRUE),EXACT(metadata!F180,"Not applicable"))</f>
        <v>0</v>
      </c>
      <c r="AH180" t="b">
        <f>AND(IF(metadata!G180="",FALSE,TRUE),EXACT(metadata!G180,"urban biome"))</f>
        <v>0</v>
      </c>
      <c r="AI180" t="b">
        <f>AND(IF(metadata!H180="",FALSE,TRUE),EXACT(metadata!H180,"human-associated habitat"))</f>
        <v>0</v>
      </c>
      <c r="AJ180" t="b">
        <f>AND(IF(metadata!I180="",FALSE,TRUE),OR(EXACT(metadata!I180,"human-associated"),EXACT(metadata!I180,"human-skin"),EXACT(metadata!I180,"human-oral"),EXACT(metadata!I180,"human-gut"),EXACT(metadata!I180,"human-vaginal")))</f>
        <v>0</v>
      </c>
      <c r="AK180" t="b">
        <f>IF(metadata!J180="",FALSE,ISNUMBER(VALUE(metadata!J180)))</f>
        <v>0</v>
      </c>
      <c r="AL180" t="b">
        <f>AND(IF(metadata!K180="",FALSE,TRUE),EXACT(metadata!K180,"cm"))</f>
        <v>0</v>
      </c>
      <c r="AM180" t="b">
        <f>AND(IF(metadata!L180="",FALSE,TRUE),EXACT(metadata!L180,"human"))</f>
        <v>0</v>
      </c>
      <c r="AN180" t="b">
        <f>AND(IF(metadata!M180="",FALSE,TRUE),EXACT(metadata!M180,"Homo sapiens"))</f>
        <v>0</v>
      </c>
      <c r="AO180" t="b">
        <f>AND(IF(metadata!N180="",FALSE,TRUE),EXACT(metadata!N180,"9606"))</f>
        <v>0</v>
      </c>
      <c r="AP180" t="b">
        <f>IF(metadata!O180="",FALSE,TRUE)</f>
        <v>0</v>
      </c>
      <c r="AQ180" t="b">
        <f>IF(metadata!P180="",FALSE,TRUE)</f>
        <v>0</v>
      </c>
      <c r="AR180" t="b">
        <f>IF(metadata!Q180="",FALSE,ISNUMBER(VALUE(metadata!Q180)))</f>
        <v>0</v>
      </c>
      <c r="AS180" t="b">
        <f>AND(IF(metadata!R180="",FALSE,TRUE),EXACT(metadata!R180,"kg"))</f>
        <v>0</v>
      </c>
    </row>
    <row r="181" spans="1:45" x14ac:dyDescent="0.2">
      <c r="A181" s="5" t="str">
        <f ca="1">IF(B181=" "," ",HYPERLINK(CONCATENATE("#metadata!",ADDRESS(INDEX($X$2:$X$1001,MATCH(ROWS($V$2:V181),$V$2:$V$1001,0),0),1)),INDEX($AA$2:$AA$1001,MATCH(ROWS($V$2:V181),$V$2:$V$1001,0),0)))</f>
        <v xml:space="preserve"> </v>
      </c>
      <c r="B181" s="4" t="str">
        <f ca="1">IF(OR(INDEX($W$2:$W$1001,MATCH(ROWS($V$2:V181),$V$2:$V$1001,0),1)&gt;=100000,INDEX($AC$1005:$AS$1005,1,MATCH(COLUMNS($AC$1006:AC1006),$AC$1006:$AS$1006,0))&gt;=100000), " ",IF(INDEX($AC$2:$AS$1001,MATCH(ROWS($V$2:V181),$V$2:$V$1001,0),MATCH(COLUMNS($AC$1006:AC1006),$AC$1006:$AS$1006,0)), HYPERLINK("#",""), HYPERLINK(CONCATENATE("#metadata!", ADDRESS(INDEX($X$2:$X$1001,MATCH(ROWS($V$2:V181),$V$2:$V$1001,0),0), INDEX($AC$1004:$AS$1004,1,MATCH(COLUMNS($AC$1006:AC1006),$AC$1006:$AS$1006,0)))),"Fix")))</f>
        <v xml:space="preserve"> </v>
      </c>
      <c r="C181" s="4" t="str">
        <f ca="1">IF(OR(INDEX($W$2:$W$1001,MATCH(ROWS($V$2:V181),$V$2:$V$1001,0),1)&gt;=100000,INDEX($AC$1005:$AS$1005,1,MATCH(COLUMNS($AC$1006:AD1006),$AC$1006:$AS$1006,0))&gt;=100000), " ",IF(INDEX($AC$2:$AS$1001,MATCH(ROWS($V$2:V181),$V$2:$V$1001,0),MATCH(COLUMNS($AC$1006:AD1006),$AC$1006:$AS$1006,0)), HYPERLINK("#",""), HYPERLINK(CONCATENATE("#metadata!", ADDRESS(INDEX($X$2:$X$1001,MATCH(ROWS($V$2:V181),$V$2:$V$1001,0),0), INDEX($AC$1004:$AS$1004,1,MATCH(COLUMNS($AC$1006:AD1006),$AC$1006:$AS$1006,0)))),"Fix")))</f>
        <v xml:space="preserve"> </v>
      </c>
      <c r="D181" s="4" t="str">
        <f ca="1">IF(OR(INDEX($W$2:$W$1001,MATCH(ROWS($V$2:V181),$V$2:$V$1001,0),1)&gt;=100000,INDEX($AC$1005:$AS$1005,1,MATCH(COLUMNS($AC$1006:AE1006),$AC$1006:$AS$1006,0))&gt;=100000), " ",IF(INDEX($AC$2:$AS$1001,MATCH(ROWS($V$2:V181),$V$2:$V$1001,0),MATCH(COLUMNS($AC$1006:AE1006),$AC$1006:$AS$1006,0)), HYPERLINK("#",""), HYPERLINK(CONCATENATE("#metadata!", ADDRESS(INDEX($X$2:$X$1001,MATCH(ROWS($V$2:V181),$V$2:$V$1001,0),0), INDEX($AC$1004:$AS$1004,1,MATCH(COLUMNS($AC$1006:AE1006),$AC$1006:$AS$1006,0)))),"Fix")))</f>
        <v xml:space="preserve"> </v>
      </c>
      <c r="E181" s="4" t="str">
        <f ca="1">IF(OR(INDEX($W$2:$W$1001,MATCH(ROWS($V$2:V181),$V$2:$V$1001,0),1)&gt;=100000,INDEX($AC$1005:$AS$1005,1,MATCH(COLUMNS($AC$1006:AF1006),$AC$1006:$AS$1006,0))&gt;=100000), " ",IF(INDEX($AC$2:$AS$1001,MATCH(ROWS($V$2:V181),$V$2:$V$1001,0),MATCH(COLUMNS($AC$1006:AF1006),$AC$1006:$AS$1006,0)), HYPERLINK("#",""), HYPERLINK(CONCATENATE("#metadata!", ADDRESS(INDEX($X$2:$X$1001,MATCH(ROWS($V$2:V181),$V$2:$V$1001,0),0), INDEX($AC$1004:$AS$1004,1,MATCH(COLUMNS($AC$1006:AF1006),$AC$1006:$AS$1006,0)))),"Fix")))</f>
        <v xml:space="preserve"> </v>
      </c>
      <c r="F181" s="4" t="str">
        <f ca="1">IF(OR(INDEX($W$2:$W$1001,MATCH(ROWS($V$2:V181),$V$2:$V$1001,0),1)&gt;=100000,INDEX($AC$1005:$AS$1005,1,MATCH(COLUMNS($AC$1006:AG1006),$AC$1006:$AS$1006,0))&gt;=100000), " ",IF(INDEX($AC$2:$AS$1001,MATCH(ROWS($V$2:V181),$V$2:$V$1001,0),MATCH(COLUMNS($AC$1006:AG1006),$AC$1006:$AS$1006,0)), HYPERLINK("#",""), HYPERLINK(CONCATENATE("#metadata!", ADDRESS(INDEX($X$2:$X$1001,MATCH(ROWS($V$2:V181),$V$2:$V$1001,0),0), INDEX($AC$1004:$AS$1004,1,MATCH(COLUMNS($AC$1006:AG1006),$AC$1006:$AS$1006,0)))),"Fix")))</f>
        <v xml:space="preserve"> </v>
      </c>
      <c r="G181" s="4" t="str">
        <f ca="1">IF(OR(INDEX($W$2:$W$1001,MATCH(ROWS($V$2:V181),$V$2:$V$1001,0),1)&gt;=100000,INDEX($AC$1005:$AS$1005,1,MATCH(COLUMNS($AC$1006:AH1006),$AC$1006:$AS$1006,0))&gt;=100000), " ",IF(INDEX($AC$2:$AS$1001,MATCH(ROWS($V$2:V181),$V$2:$V$1001,0),MATCH(COLUMNS($AC$1006:AH1006),$AC$1006:$AS$1006,0)), HYPERLINK("#",""), HYPERLINK(CONCATENATE("#metadata!", ADDRESS(INDEX($X$2:$X$1001,MATCH(ROWS($V$2:V181),$V$2:$V$1001,0),0), INDEX($AC$1004:$AS$1004,1,MATCH(COLUMNS($AC$1006:AH1006),$AC$1006:$AS$1006,0)))),"Fix")))</f>
        <v xml:space="preserve"> </v>
      </c>
      <c r="H181" s="4" t="str">
        <f ca="1">IF(OR(INDEX($W$2:$W$1001,MATCH(ROWS($V$2:V181),$V$2:$V$1001,0),1)&gt;=100000,INDEX($AC$1005:$AS$1005,1,MATCH(COLUMNS($AC$1006:AI1006),$AC$1006:$AS$1006,0))&gt;=100000), " ",IF(INDEX($AC$2:$AS$1001,MATCH(ROWS($V$2:V181),$V$2:$V$1001,0),MATCH(COLUMNS($AC$1006:AI1006),$AC$1006:$AS$1006,0)), HYPERLINK("#",""), HYPERLINK(CONCATENATE("#metadata!", ADDRESS(INDEX($X$2:$X$1001,MATCH(ROWS($V$2:V181),$V$2:$V$1001,0),0), INDEX($AC$1004:$AS$1004,1,MATCH(COLUMNS($AC$1006:AI1006),$AC$1006:$AS$1006,0)))),"Fix")))</f>
        <v xml:space="preserve"> </v>
      </c>
      <c r="I181" s="4" t="str">
        <f ca="1">IF(OR(INDEX($W$2:$W$1001,MATCH(ROWS($V$2:V181),$V$2:$V$1001,0),1)&gt;=100000,INDEX($AC$1005:$AS$1005,1,MATCH(COLUMNS($AC$1006:AJ1006),$AC$1006:$AS$1006,0))&gt;=100000), " ",IF(INDEX($AC$2:$AS$1001,MATCH(ROWS($V$2:V181),$V$2:$V$1001,0),MATCH(COLUMNS($AC$1006:AJ1006),$AC$1006:$AS$1006,0)), HYPERLINK("#",""), HYPERLINK(CONCATENATE("#metadata!", ADDRESS(INDEX($X$2:$X$1001,MATCH(ROWS($V$2:V181),$V$2:$V$1001,0),0), INDEX($AC$1004:$AS$1004,1,MATCH(COLUMNS($AC$1006:AJ1006),$AC$1006:$AS$1006,0)))),"Fix")))</f>
        <v xml:space="preserve"> </v>
      </c>
      <c r="J181" s="4" t="str">
        <f ca="1">IF(OR(INDEX($W$2:$W$1001,MATCH(ROWS($V$2:V181),$V$2:$V$1001,0),1)&gt;=100000,INDEX($AC$1005:$AS$1005,1,MATCH(COLUMNS($AC$1006:AK1006),$AC$1006:$AS$1006,0))&gt;=100000), " ",IF(INDEX($AC$2:$AS$1001,MATCH(ROWS($V$2:V181),$V$2:$V$1001,0),MATCH(COLUMNS($AC$1006:AK1006),$AC$1006:$AS$1006,0)), HYPERLINK("#",""), HYPERLINK(CONCATENATE("#metadata!", ADDRESS(INDEX($X$2:$X$1001,MATCH(ROWS($V$2:V181),$V$2:$V$1001,0),0), INDEX($AC$1004:$AS$1004,1,MATCH(COLUMNS($AC$1006:AK1006),$AC$1006:$AS$1006,0)))),"Fix")))</f>
        <v xml:space="preserve"> </v>
      </c>
      <c r="K181" s="4" t="str">
        <f ca="1">IF(OR(INDEX($W$2:$W$1001,MATCH(ROWS($V$2:V181),$V$2:$V$1001,0),1)&gt;=100000,INDEX($AC$1005:$AS$1005,1,MATCH(COLUMNS($AC$1006:AL1006),$AC$1006:$AS$1006,0))&gt;=100000), " ",IF(INDEX($AC$2:$AS$1001,MATCH(ROWS($V$2:V181),$V$2:$V$1001,0),MATCH(COLUMNS($AC$1006:AL1006),$AC$1006:$AS$1006,0)), HYPERLINK("#",""), HYPERLINK(CONCATENATE("#metadata!", ADDRESS(INDEX($X$2:$X$1001,MATCH(ROWS($V$2:V181),$V$2:$V$1001,0),0), INDEX($AC$1004:$AS$1004,1,MATCH(COLUMNS($AC$1006:AL1006),$AC$1006:$AS$1006,0)))),"Fix")))</f>
        <v xml:space="preserve"> </v>
      </c>
      <c r="L181" s="4" t="str">
        <f ca="1">IF(OR(INDEX($W$2:$W$1001,MATCH(ROWS($V$2:V181),$V$2:$V$1001,0),1)&gt;=100000,INDEX($AC$1005:$AS$1005,1,MATCH(COLUMNS($AC$1006:AM1006),$AC$1006:$AS$1006,0))&gt;=100000), " ",IF(INDEX($AC$2:$AS$1001,MATCH(ROWS($V$2:V181),$V$2:$V$1001,0),MATCH(COLUMNS($AC$1006:AM1006),$AC$1006:$AS$1006,0)), HYPERLINK("#",""), HYPERLINK(CONCATENATE("#metadata!", ADDRESS(INDEX($X$2:$X$1001,MATCH(ROWS($V$2:V181),$V$2:$V$1001,0),0), INDEX($AC$1004:$AS$1004,1,MATCH(COLUMNS($AC$1006:AM1006),$AC$1006:$AS$1006,0)))),"Fix")))</f>
        <v xml:space="preserve"> </v>
      </c>
      <c r="M181" s="4" t="str">
        <f ca="1">IF(OR(INDEX($W$2:$W$1001,MATCH(ROWS($V$2:V181),$V$2:$V$1001,0),1)&gt;=100000,INDEX($AC$1005:$AS$1005,1,MATCH(COLUMNS($AC$1006:AN1006),$AC$1006:$AS$1006,0))&gt;=100000), " ",IF(INDEX($AC$2:$AS$1001,MATCH(ROWS($V$2:V181),$V$2:$V$1001,0),MATCH(COLUMNS($AC$1006:AN1006),$AC$1006:$AS$1006,0)), HYPERLINK("#",""), HYPERLINK(CONCATENATE("#metadata!", ADDRESS(INDEX($X$2:$X$1001,MATCH(ROWS($V$2:V181),$V$2:$V$1001,0),0), INDEX($AC$1004:$AS$1004,1,MATCH(COLUMNS($AC$1006:AN1006),$AC$1006:$AS$1006,0)))),"Fix")))</f>
        <v xml:space="preserve"> </v>
      </c>
      <c r="N181" s="4" t="str">
        <f ca="1">IF(OR(INDEX($W$2:$W$1001,MATCH(ROWS($V$2:V181),$V$2:$V$1001,0),1)&gt;=100000,INDEX($AC$1005:$AS$1005,1,MATCH(COLUMNS($AC$1006:AO1006),$AC$1006:$AS$1006,0))&gt;=100000), " ",IF(INDEX($AC$2:$AS$1001,MATCH(ROWS($V$2:V181),$V$2:$V$1001,0),MATCH(COLUMNS($AC$1006:AO1006),$AC$1006:$AS$1006,0)), HYPERLINK("#",""), HYPERLINK(CONCATENATE("#metadata!", ADDRESS(INDEX($X$2:$X$1001,MATCH(ROWS($V$2:V181),$V$2:$V$1001,0),0), INDEX($AC$1004:$AS$1004,1,MATCH(COLUMNS($AC$1006:AO1006),$AC$1006:$AS$1006,0)))),"Fix")))</f>
        <v xml:space="preserve"> </v>
      </c>
      <c r="O181" s="4" t="str">
        <f ca="1">IF(OR(INDEX($W$2:$W$1001,MATCH(ROWS($V$2:V181),$V$2:$V$1001,0),1)&gt;=100000,INDEX($AC$1005:$AS$1005,1,MATCH(COLUMNS($AC$1006:AP1006),$AC$1006:$AS$1006,0))&gt;=100000), " ",IF(INDEX($AC$2:$AS$1001,MATCH(ROWS($V$2:V181),$V$2:$V$1001,0),MATCH(COLUMNS($AC$1006:AP1006),$AC$1006:$AS$1006,0)), HYPERLINK("#",""), HYPERLINK(CONCATENATE("#metadata!", ADDRESS(INDEX($X$2:$X$1001,MATCH(ROWS($V$2:V181),$V$2:$V$1001,0),0), INDEX($AC$1004:$AS$1004,1,MATCH(COLUMNS($AC$1006:AP1006),$AC$1006:$AS$1006,0)))),"Fix")))</f>
        <v xml:space="preserve"> </v>
      </c>
      <c r="P181" s="4" t="str">
        <f ca="1">IF(OR(INDEX($W$2:$W$1001,MATCH(ROWS($V$2:V181),$V$2:$V$1001,0),1)&gt;=100000,INDEX($AC$1005:$AS$1005,1,MATCH(COLUMNS($AC$1006:AQ1006),$AC$1006:$AS$1006,0))&gt;=100000), " ",IF(INDEX($AC$2:$AS$1001,MATCH(ROWS($V$2:V181),$V$2:$V$1001,0),MATCH(COLUMNS($AC$1006:AQ1006),$AC$1006:$AS$1006,0)), HYPERLINK("#",""), HYPERLINK(CONCATENATE("#metadata!", ADDRESS(INDEX($X$2:$X$1001,MATCH(ROWS($V$2:V181),$V$2:$V$1001,0),0), INDEX($AC$1004:$AS$1004,1,MATCH(COLUMNS($AC$1006:AQ1006),$AC$1006:$AS$1006,0)))),"Fix")))</f>
        <v xml:space="preserve"> </v>
      </c>
      <c r="Q181" s="4" t="str">
        <f ca="1">IF(OR(INDEX($W$2:$W$1001,MATCH(ROWS($V$2:V181),$V$2:$V$1001,0),1)&gt;=100000,INDEX($AC$1005:$AS$1005,1,MATCH(COLUMNS($AC$1006:AR1006),$AC$1006:$AS$1006,0))&gt;=100000), " ",IF(INDEX($AC$2:$AS$1001,MATCH(ROWS($V$2:V181),$V$2:$V$1001,0),MATCH(COLUMNS($AC$1006:AR1006),$AC$1006:$AS$1006,0)), HYPERLINK("#",""), HYPERLINK(CONCATENATE("#metadata!", ADDRESS(INDEX($X$2:$X$1001,MATCH(ROWS($V$2:V181),$V$2:$V$1001,0),0), INDEX($AC$1004:$AS$1004,1,MATCH(COLUMNS($AC$1006:AR1006),$AC$1006:$AS$1006,0)))),"Fix")))</f>
        <v xml:space="preserve"> </v>
      </c>
      <c r="R181" s="4" t="str">
        <f ca="1">IF(OR(INDEX($W$2:$W$1001,MATCH(ROWS($V$2:V181),$V$2:$V$1001,0),1)&gt;=100000,INDEX($AC$1005:$AS$1005,1,MATCH(COLUMNS($AC$1006:AS1006),$AC$1006:$AS$1006,0))&gt;=100000), " ",IF(INDEX($AC$2:$AS$1001,MATCH(ROWS($V$2:V181),$V$2:$V$1001,0),MATCH(COLUMNS($AC$1006:AS1006),$AC$1006:$AS$1006,0)), HYPERLINK("#",""), HYPERLINK(CONCATENATE("#metadata!", ADDRESS(INDEX($X$2:$X$1001,MATCH(ROWS($V$2:V181),$V$2:$V$1001,0),0), INDEX($AC$1004:$AS$1004,1,MATCH(COLUMNS($AC$1006:AS1006),$AC$1006:$AS$1006,0)))),"Fix")))</f>
        <v xml:space="preserve"> </v>
      </c>
      <c r="V181">
        <v>180</v>
      </c>
      <c r="W181">
        <v>100181</v>
      </c>
      <c r="X181">
        <v>181</v>
      </c>
      <c r="Y181" t="b">
        <f t="shared" si="2"/>
        <v>1</v>
      </c>
      <c r="Z181" t="b">
        <f>COUNTBLANK(metadata!B181:R181)=COLUMNS(metadata!B181:R181)</f>
        <v>1</v>
      </c>
      <c r="AA181" t="str">
        <v/>
      </c>
      <c r="AC181" t="b">
        <f ca="1"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AD181" t="b">
        <f>IF(metadata!C181="",FALSE,ISNUMBER(VALUE(metadata!C181)))</f>
        <v>0</v>
      </c>
      <c r="AE181" t="b">
        <f>AND(IF(metadata!D181="",FALSE,TRUE),EXACT(metadata!D181,"years"))</f>
        <v>0</v>
      </c>
      <c r="AF181" t="b">
        <f>OR(AND(IF(metadata!E181="",FALSE,TRUE),OR(EXACT(metadata!E181,"not applicable"),EXACT(metadata!E181,"missing: not collected"),EXACT(metadata!E181,"missing: not provided"),EXACT(metadata!E181,"missing: restricted access"))),AND(IF(metadata!E181="",FALSE,ISNUMBER(VALUE(metadata!E181))),metadata!E181&gt;0))</f>
        <v>0</v>
      </c>
      <c r="AG181" t="b">
        <f>AND(IF(metadata!F181="",FALSE,TRUE),EXACT(metadata!F181,"Not applicable"))</f>
        <v>0</v>
      </c>
      <c r="AH181" t="b">
        <f>AND(IF(metadata!G181="",FALSE,TRUE),EXACT(metadata!G181,"urban biome"))</f>
        <v>0</v>
      </c>
      <c r="AI181" t="b">
        <f>AND(IF(metadata!H181="",FALSE,TRUE),EXACT(metadata!H181,"human-associated habitat"))</f>
        <v>0</v>
      </c>
      <c r="AJ181" t="b">
        <f>AND(IF(metadata!I181="",FALSE,TRUE),OR(EXACT(metadata!I181,"human-associated"),EXACT(metadata!I181,"human-skin"),EXACT(metadata!I181,"human-oral"),EXACT(metadata!I181,"human-gut"),EXACT(metadata!I181,"human-vaginal")))</f>
        <v>0</v>
      </c>
      <c r="AK181" t="b">
        <f>IF(metadata!J181="",FALSE,ISNUMBER(VALUE(metadata!J181)))</f>
        <v>0</v>
      </c>
      <c r="AL181" t="b">
        <f>AND(IF(metadata!K181="",FALSE,TRUE),EXACT(metadata!K181,"cm"))</f>
        <v>0</v>
      </c>
      <c r="AM181" t="b">
        <f>AND(IF(metadata!L181="",FALSE,TRUE),EXACT(metadata!L181,"human"))</f>
        <v>0</v>
      </c>
      <c r="AN181" t="b">
        <f>AND(IF(metadata!M181="",FALSE,TRUE),EXACT(metadata!M181,"Homo sapiens"))</f>
        <v>0</v>
      </c>
      <c r="AO181" t="b">
        <f>AND(IF(metadata!N181="",FALSE,TRUE),EXACT(metadata!N181,"9606"))</f>
        <v>0</v>
      </c>
      <c r="AP181" t="b">
        <f>IF(metadata!O181="",FALSE,TRUE)</f>
        <v>0</v>
      </c>
      <c r="AQ181" t="b">
        <f>IF(metadata!P181="",FALSE,TRUE)</f>
        <v>0</v>
      </c>
      <c r="AR181" t="b">
        <f>IF(metadata!Q181="",FALSE,ISNUMBER(VALUE(metadata!Q181)))</f>
        <v>0</v>
      </c>
      <c r="AS181" t="b">
        <f>AND(IF(metadata!R181="",FALSE,TRUE),EXACT(metadata!R181,"kg"))</f>
        <v>0</v>
      </c>
    </row>
    <row r="182" spans="1:45" x14ac:dyDescent="0.2">
      <c r="A182" s="5" t="str">
        <f ca="1">IF(B182=" "," ",HYPERLINK(CONCATENATE("#metadata!",ADDRESS(INDEX($X$2:$X$1001,MATCH(ROWS($V$2:V182),$V$2:$V$1001,0),0),1)),INDEX($AA$2:$AA$1001,MATCH(ROWS($V$2:V182),$V$2:$V$1001,0),0)))</f>
        <v xml:space="preserve"> </v>
      </c>
      <c r="B182" s="4" t="str">
        <f ca="1">IF(OR(INDEX($W$2:$W$1001,MATCH(ROWS($V$2:V182),$V$2:$V$1001,0),1)&gt;=100000,INDEX($AC$1005:$AS$1005,1,MATCH(COLUMNS($AC$1006:AC1006),$AC$1006:$AS$1006,0))&gt;=100000), " ",IF(INDEX($AC$2:$AS$1001,MATCH(ROWS($V$2:V182),$V$2:$V$1001,0),MATCH(COLUMNS($AC$1006:AC1006),$AC$1006:$AS$1006,0)), HYPERLINK("#",""), HYPERLINK(CONCATENATE("#metadata!", ADDRESS(INDEX($X$2:$X$1001,MATCH(ROWS($V$2:V182),$V$2:$V$1001,0),0), INDEX($AC$1004:$AS$1004,1,MATCH(COLUMNS($AC$1006:AC1006),$AC$1006:$AS$1006,0)))),"Fix")))</f>
        <v xml:space="preserve"> </v>
      </c>
      <c r="C182" s="4" t="str">
        <f ca="1">IF(OR(INDEX($W$2:$W$1001,MATCH(ROWS($V$2:V182),$V$2:$V$1001,0),1)&gt;=100000,INDEX($AC$1005:$AS$1005,1,MATCH(COLUMNS($AC$1006:AD1006),$AC$1006:$AS$1006,0))&gt;=100000), " ",IF(INDEX($AC$2:$AS$1001,MATCH(ROWS($V$2:V182),$V$2:$V$1001,0),MATCH(COLUMNS($AC$1006:AD1006),$AC$1006:$AS$1006,0)), HYPERLINK("#",""), HYPERLINK(CONCATENATE("#metadata!", ADDRESS(INDEX($X$2:$X$1001,MATCH(ROWS($V$2:V182),$V$2:$V$1001,0),0), INDEX($AC$1004:$AS$1004,1,MATCH(COLUMNS($AC$1006:AD1006),$AC$1006:$AS$1006,0)))),"Fix")))</f>
        <v xml:space="preserve"> </v>
      </c>
      <c r="D182" s="4" t="str">
        <f ca="1">IF(OR(INDEX($W$2:$W$1001,MATCH(ROWS($V$2:V182),$V$2:$V$1001,0),1)&gt;=100000,INDEX($AC$1005:$AS$1005,1,MATCH(COLUMNS($AC$1006:AE1006),$AC$1006:$AS$1006,0))&gt;=100000), " ",IF(INDEX($AC$2:$AS$1001,MATCH(ROWS($V$2:V182),$V$2:$V$1001,0),MATCH(COLUMNS($AC$1006:AE1006),$AC$1006:$AS$1006,0)), HYPERLINK("#",""), HYPERLINK(CONCATENATE("#metadata!", ADDRESS(INDEX($X$2:$X$1001,MATCH(ROWS($V$2:V182),$V$2:$V$1001,0),0), INDEX($AC$1004:$AS$1004,1,MATCH(COLUMNS($AC$1006:AE1006),$AC$1006:$AS$1006,0)))),"Fix")))</f>
        <v xml:space="preserve"> </v>
      </c>
      <c r="E182" s="4" t="str">
        <f ca="1">IF(OR(INDEX($W$2:$W$1001,MATCH(ROWS($V$2:V182),$V$2:$V$1001,0),1)&gt;=100000,INDEX($AC$1005:$AS$1005,1,MATCH(COLUMNS($AC$1006:AF1006),$AC$1006:$AS$1006,0))&gt;=100000), " ",IF(INDEX($AC$2:$AS$1001,MATCH(ROWS($V$2:V182),$V$2:$V$1001,0),MATCH(COLUMNS($AC$1006:AF1006),$AC$1006:$AS$1006,0)), HYPERLINK("#",""), HYPERLINK(CONCATENATE("#metadata!", ADDRESS(INDEX($X$2:$X$1001,MATCH(ROWS($V$2:V182),$V$2:$V$1001,0),0), INDEX($AC$1004:$AS$1004,1,MATCH(COLUMNS($AC$1006:AF1006),$AC$1006:$AS$1006,0)))),"Fix")))</f>
        <v xml:space="preserve"> </v>
      </c>
      <c r="F182" s="4" t="str">
        <f ca="1">IF(OR(INDEX($W$2:$W$1001,MATCH(ROWS($V$2:V182),$V$2:$V$1001,0),1)&gt;=100000,INDEX($AC$1005:$AS$1005,1,MATCH(COLUMNS($AC$1006:AG1006),$AC$1006:$AS$1006,0))&gt;=100000), " ",IF(INDEX($AC$2:$AS$1001,MATCH(ROWS($V$2:V182),$V$2:$V$1001,0),MATCH(COLUMNS($AC$1006:AG1006),$AC$1006:$AS$1006,0)), HYPERLINK("#",""), HYPERLINK(CONCATENATE("#metadata!", ADDRESS(INDEX($X$2:$X$1001,MATCH(ROWS($V$2:V182),$V$2:$V$1001,0),0), INDEX($AC$1004:$AS$1004,1,MATCH(COLUMNS($AC$1006:AG1006),$AC$1006:$AS$1006,0)))),"Fix")))</f>
        <v xml:space="preserve"> </v>
      </c>
      <c r="G182" s="4" t="str">
        <f ca="1">IF(OR(INDEX($W$2:$W$1001,MATCH(ROWS($V$2:V182),$V$2:$V$1001,0),1)&gt;=100000,INDEX($AC$1005:$AS$1005,1,MATCH(COLUMNS($AC$1006:AH1006),$AC$1006:$AS$1006,0))&gt;=100000), " ",IF(INDEX($AC$2:$AS$1001,MATCH(ROWS($V$2:V182),$V$2:$V$1001,0),MATCH(COLUMNS($AC$1006:AH1006),$AC$1006:$AS$1006,0)), HYPERLINK("#",""), HYPERLINK(CONCATENATE("#metadata!", ADDRESS(INDEX($X$2:$X$1001,MATCH(ROWS($V$2:V182),$V$2:$V$1001,0),0), INDEX($AC$1004:$AS$1004,1,MATCH(COLUMNS($AC$1006:AH1006),$AC$1006:$AS$1006,0)))),"Fix")))</f>
        <v xml:space="preserve"> </v>
      </c>
      <c r="H182" s="4" t="str">
        <f ca="1">IF(OR(INDEX($W$2:$W$1001,MATCH(ROWS($V$2:V182),$V$2:$V$1001,0),1)&gt;=100000,INDEX($AC$1005:$AS$1005,1,MATCH(COLUMNS($AC$1006:AI1006),$AC$1006:$AS$1006,0))&gt;=100000), " ",IF(INDEX($AC$2:$AS$1001,MATCH(ROWS($V$2:V182),$V$2:$V$1001,0),MATCH(COLUMNS($AC$1006:AI1006),$AC$1006:$AS$1006,0)), HYPERLINK("#",""), HYPERLINK(CONCATENATE("#metadata!", ADDRESS(INDEX($X$2:$X$1001,MATCH(ROWS($V$2:V182),$V$2:$V$1001,0),0), INDEX($AC$1004:$AS$1004,1,MATCH(COLUMNS($AC$1006:AI1006),$AC$1006:$AS$1006,0)))),"Fix")))</f>
        <v xml:space="preserve"> </v>
      </c>
      <c r="I182" s="4" t="str">
        <f ca="1">IF(OR(INDEX($W$2:$W$1001,MATCH(ROWS($V$2:V182),$V$2:$V$1001,0),1)&gt;=100000,INDEX($AC$1005:$AS$1005,1,MATCH(COLUMNS($AC$1006:AJ1006),$AC$1006:$AS$1006,0))&gt;=100000), " ",IF(INDEX($AC$2:$AS$1001,MATCH(ROWS($V$2:V182),$V$2:$V$1001,0),MATCH(COLUMNS($AC$1006:AJ1006),$AC$1006:$AS$1006,0)), HYPERLINK("#",""), HYPERLINK(CONCATENATE("#metadata!", ADDRESS(INDEX($X$2:$X$1001,MATCH(ROWS($V$2:V182),$V$2:$V$1001,0),0), INDEX($AC$1004:$AS$1004,1,MATCH(COLUMNS($AC$1006:AJ1006),$AC$1006:$AS$1006,0)))),"Fix")))</f>
        <v xml:space="preserve"> </v>
      </c>
      <c r="J182" s="4" t="str">
        <f ca="1">IF(OR(INDEX($W$2:$W$1001,MATCH(ROWS($V$2:V182),$V$2:$V$1001,0),1)&gt;=100000,INDEX($AC$1005:$AS$1005,1,MATCH(COLUMNS($AC$1006:AK1006),$AC$1006:$AS$1006,0))&gt;=100000), " ",IF(INDEX($AC$2:$AS$1001,MATCH(ROWS($V$2:V182),$V$2:$V$1001,0),MATCH(COLUMNS($AC$1006:AK1006),$AC$1006:$AS$1006,0)), HYPERLINK("#",""), HYPERLINK(CONCATENATE("#metadata!", ADDRESS(INDEX($X$2:$X$1001,MATCH(ROWS($V$2:V182),$V$2:$V$1001,0),0), INDEX($AC$1004:$AS$1004,1,MATCH(COLUMNS($AC$1006:AK1006),$AC$1006:$AS$1006,0)))),"Fix")))</f>
        <v xml:space="preserve"> </v>
      </c>
      <c r="K182" s="4" t="str">
        <f ca="1">IF(OR(INDEX($W$2:$W$1001,MATCH(ROWS($V$2:V182),$V$2:$V$1001,0),1)&gt;=100000,INDEX($AC$1005:$AS$1005,1,MATCH(COLUMNS($AC$1006:AL1006),$AC$1006:$AS$1006,0))&gt;=100000), " ",IF(INDEX($AC$2:$AS$1001,MATCH(ROWS($V$2:V182),$V$2:$V$1001,0),MATCH(COLUMNS($AC$1006:AL1006),$AC$1006:$AS$1006,0)), HYPERLINK("#",""), HYPERLINK(CONCATENATE("#metadata!", ADDRESS(INDEX($X$2:$X$1001,MATCH(ROWS($V$2:V182),$V$2:$V$1001,0),0), INDEX($AC$1004:$AS$1004,1,MATCH(COLUMNS($AC$1006:AL1006),$AC$1006:$AS$1006,0)))),"Fix")))</f>
        <v xml:space="preserve"> </v>
      </c>
      <c r="L182" s="4" t="str">
        <f ca="1">IF(OR(INDEX($W$2:$W$1001,MATCH(ROWS($V$2:V182),$V$2:$V$1001,0),1)&gt;=100000,INDEX($AC$1005:$AS$1005,1,MATCH(COLUMNS($AC$1006:AM1006),$AC$1006:$AS$1006,0))&gt;=100000), " ",IF(INDEX($AC$2:$AS$1001,MATCH(ROWS($V$2:V182),$V$2:$V$1001,0),MATCH(COLUMNS($AC$1006:AM1006),$AC$1006:$AS$1006,0)), HYPERLINK("#",""), HYPERLINK(CONCATENATE("#metadata!", ADDRESS(INDEX($X$2:$X$1001,MATCH(ROWS($V$2:V182),$V$2:$V$1001,0),0), INDEX($AC$1004:$AS$1004,1,MATCH(COLUMNS($AC$1006:AM1006),$AC$1006:$AS$1006,0)))),"Fix")))</f>
        <v xml:space="preserve"> </v>
      </c>
      <c r="M182" s="4" t="str">
        <f ca="1">IF(OR(INDEX($W$2:$W$1001,MATCH(ROWS($V$2:V182),$V$2:$V$1001,0),1)&gt;=100000,INDEX($AC$1005:$AS$1005,1,MATCH(COLUMNS($AC$1006:AN1006),$AC$1006:$AS$1006,0))&gt;=100000), " ",IF(INDEX($AC$2:$AS$1001,MATCH(ROWS($V$2:V182),$V$2:$V$1001,0),MATCH(COLUMNS($AC$1006:AN1006),$AC$1006:$AS$1006,0)), HYPERLINK("#",""), HYPERLINK(CONCATENATE("#metadata!", ADDRESS(INDEX($X$2:$X$1001,MATCH(ROWS($V$2:V182),$V$2:$V$1001,0),0), INDEX($AC$1004:$AS$1004,1,MATCH(COLUMNS($AC$1006:AN1006),$AC$1006:$AS$1006,0)))),"Fix")))</f>
        <v xml:space="preserve"> </v>
      </c>
      <c r="N182" s="4" t="str">
        <f ca="1">IF(OR(INDEX($W$2:$W$1001,MATCH(ROWS($V$2:V182),$V$2:$V$1001,0),1)&gt;=100000,INDEX($AC$1005:$AS$1005,1,MATCH(COLUMNS($AC$1006:AO1006),$AC$1006:$AS$1006,0))&gt;=100000), " ",IF(INDEX($AC$2:$AS$1001,MATCH(ROWS($V$2:V182),$V$2:$V$1001,0),MATCH(COLUMNS($AC$1006:AO1006),$AC$1006:$AS$1006,0)), HYPERLINK("#",""), HYPERLINK(CONCATENATE("#metadata!", ADDRESS(INDEX($X$2:$X$1001,MATCH(ROWS($V$2:V182),$V$2:$V$1001,0),0), INDEX($AC$1004:$AS$1004,1,MATCH(COLUMNS($AC$1006:AO1006),$AC$1006:$AS$1006,0)))),"Fix")))</f>
        <v xml:space="preserve"> </v>
      </c>
      <c r="O182" s="4" t="str">
        <f ca="1">IF(OR(INDEX($W$2:$W$1001,MATCH(ROWS($V$2:V182),$V$2:$V$1001,0),1)&gt;=100000,INDEX($AC$1005:$AS$1005,1,MATCH(COLUMNS($AC$1006:AP1006),$AC$1006:$AS$1006,0))&gt;=100000), " ",IF(INDEX($AC$2:$AS$1001,MATCH(ROWS($V$2:V182),$V$2:$V$1001,0),MATCH(COLUMNS($AC$1006:AP1006),$AC$1006:$AS$1006,0)), HYPERLINK("#",""), HYPERLINK(CONCATENATE("#metadata!", ADDRESS(INDEX($X$2:$X$1001,MATCH(ROWS($V$2:V182),$V$2:$V$1001,0),0), INDEX($AC$1004:$AS$1004,1,MATCH(COLUMNS($AC$1006:AP1006),$AC$1006:$AS$1006,0)))),"Fix")))</f>
        <v xml:space="preserve"> </v>
      </c>
      <c r="P182" s="4" t="str">
        <f ca="1">IF(OR(INDEX($W$2:$W$1001,MATCH(ROWS($V$2:V182),$V$2:$V$1001,0),1)&gt;=100000,INDEX($AC$1005:$AS$1005,1,MATCH(COLUMNS($AC$1006:AQ1006),$AC$1006:$AS$1006,0))&gt;=100000), " ",IF(INDEX($AC$2:$AS$1001,MATCH(ROWS($V$2:V182),$V$2:$V$1001,0),MATCH(COLUMNS($AC$1006:AQ1006),$AC$1006:$AS$1006,0)), HYPERLINK("#",""), HYPERLINK(CONCATENATE("#metadata!", ADDRESS(INDEX($X$2:$X$1001,MATCH(ROWS($V$2:V182),$V$2:$V$1001,0),0), INDEX($AC$1004:$AS$1004,1,MATCH(COLUMNS($AC$1006:AQ1006),$AC$1006:$AS$1006,0)))),"Fix")))</f>
        <v xml:space="preserve"> </v>
      </c>
      <c r="Q182" s="4" t="str">
        <f ca="1">IF(OR(INDEX($W$2:$W$1001,MATCH(ROWS($V$2:V182),$V$2:$V$1001,0),1)&gt;=100000,INDEX($AC$1005:$AS$1005,1,MATCH(COLUMNS($AC$1006:AR1006),$AC$1006:$AS$1006,0))&gt;=100000), " ",IF(INDEX($AC$2:$AS$1001,MATCH(ROWS($V$2:V182),$V$2:$V$1001,0),MATCH(COLUMNS($AC$1006:AR1006),$AC$1006:$AS$1006,0)), HYPERLINK("#",""), HYPERLINK(CONCATENATE("#metadata!", ADDRESS(INDEX($X$2:$X$1001,MATCH(ROWS($V$2:V182),$V$2:$V$1001,0),0), INDEX($AC$1004:$AS$1004,1,MATCH(COLUMNS($AC$1006:AR1006),$AC$1006:$AS$1006,0)))),"Fix")))</f>
        <v xml:space="preserve"> </v>
      </c>
      <c r="R182" s="4" t="str">
        <f ca="1">IF(OR(INDEX($W$2:$W$1001,MATCH(ROWS($V$2:V182),$V$2:$V$1001,0),1)&gt;=100000,INDEX($AC$1005:$AS$1005,1,MATCH(COLUMNS($AC$1006:AS1006),$AC$1006:$AS$1006,0))&gt;=100000), " ",IF(INDEX($AC$2:$AS$1001,MATCH(ROWS($V$2:V182),$V$2:$V$1001,0),MATCH(COLUMNS($AC$1006:AS1006),$AC$1006:$AS$1006,0)), HYPERLINK("#",""), HYPERLINK(CONCATENATE("#metadata!", ADDRESS(INDEX($X$2:$X$1001,MATCH(ROWS($V$2:V182),$V$2:$V$1001,0),0), INDEX($AC$1004:$AS$1004,1,MATCH(COLUMNS($AC$1006:AS1006),$AC$1006:$AS$1006,0)))),"Fix")))</f>
        <v xml:space="preserve"> </v>
      </c>
      <c r="V182">
        <v>181</v>
      </c>
      <c r="W182">
        <v>100182</v>
      </c>
      <c r="X182">
        <v>182</v>
      </c>
      <c r="Y182" t="b">
        <f t="shared" si="2"/>
        <v>1</v>
      </c>
      <c r="Z182" t="b">
        <f>COUNTBLANK(metadata!B182:R182)=COLUMNS(metadata!B182:R182)</f>
        <v>1</v>
      </c>
      <c r="AA182" t="str">
        <v/>
      </c>
      <c r="AC182" t="b">
        <f ca="1"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AD182" t="b">
        <f>IF(metadata!C182="",FALSE,ISNUMBER(VALUE(metadata!C182)))</f>
        <v>0</v>
      </c>
      <c r="AE182" t="b">
        <f>AND(IF(metadata!D182="",FALSE,TRUE),EXACT(metadata!D182,"years"))</f>
        <v>0</v>
      </c>
      <c r="AF182" t="b">
        <f>OR(AND(IF(metadata!E182="",FALSE,TRUE),OR(EXACT(metadata!E182,"not applicable"),EXACT(metadata!E182,"missing: not collected"),EXACT(metadata!E182,"missing: not provided"),EXACT(metadata!E182,"missing: restricted access"))),AND(IF(metadata!E182="",FALSE,ISNUMBER(VALUE(metadata!E182))),metadata!E182&gt;0))</f>
        <v>0</v>
      </c>
      <c r="AG182" t="b">
        <f>AND(IF(metadata!F182="",FALSE,TRUE),EXACT(metadata!F182,"Not applicable"))</f>
        <v>0</v>
      </c>
      <c r="AH182" t="b">
        <f>AND(IF(metadata!G182="",FALSE,TRUE),EXACT(metadata!G182,"urban biome"))</f>
        <v>0</v>
      </c>
      <c r="AI182" t="b">
        <f>AND(IF(metadata!H182="",FALSE,TRUE),EXACT(metadata!H182,"human-associated habitat"))</f>
        <v>0</v>
      </c>
      <c r="AJ182" t="b">
        <f>AND(IF(metadata!I182="",FALSE,TRUE),OR(EXACT(metadata!I182,"human-associated"),EXACT(metadata!I182,"human-skin"),EXACT(metadata!I182,"human-oral"),EXACT(metadata!I182,"human-gut"),EXACT(metadata!I182,"human-vaginal")))</f>
        <v>0</v>
      </c>
      <c r="AK182" t="b">
        <f>IF(metadata!J182="",FALSE,ISNUMBER(VALUE(metadata!J182)))</f>
        <v>0</v>
      </c>
      <c r="AL182" t="b">
        <f>AND(IF(metadata!K182="",FALSE,TRUE),EXACT(metadata!K182,"cm"))</f>
        <v>0</v>
      </c>
      <c r="AM182" t="b">
        <f>AND(IF(metadata!L182="",FALSE,TRUE),EXACT(metadata!L182,"human"))</f>
        <v>0</v>
      </c>
      <c r="AN182" t="b">
        <f>AND(IF(metadata!M182="",FALSE,TRUE),EXACT(metadata!M182,"Homo sapiens"))</f>
        <v>0</v>
      </c>
      <c r="AO182" t="b">
        <f>AND(IF(metadata!N182="",FALSE,TRUE),EXACT(metadata!N182,"9606"))</f>
        <v>0</v>
      </c>
      <c r="AP182" t="b">
        <f>IF(metadata!O182="",FALSE,TRUE)</f>
        <v>0</v>
      </c>
      <c r="AQ182" t="b">
        <f>IF(metadata!P182="",FALSE,TRUE)</f>
        <v>0</v>
      </c>
      <c r="AR182" t="b">
        <f>IF(metadata!Q182="",FALSE,ISNUMBER(VALUE(metadata!Q182)))</f>
        <v>0</v>
      </c>
      <c r="AS182" t="b">
        <f>AND(IF(metadata!R182="",FALSE,TRUE),EXACT(metadata!R182,"kg"))</f>
        <v>0</v>
      </c>
    </row>
    <row r="183" spans="1:45" x14ac:dyDescent="0.2">
      <c r="A183" s="5" t="str">
        <f ca="1">IF(B183=" "," ",HYPERLINK(CONCATENATE("#metadata!",ADDRESS(INDEX($X$2:$X$1001,MATCH(ROWS($V$2:V183),$V$2:$V$1001,0),0),1)),INDEX($AA$2:$AA$1001,MATCH(ROWS($V$2:V183),$V$2:$V$1001,0),0)))</f>
        <v xml:space="preserve"> </v>
      </c>
      <c r="B183" s="4" t="str">
        <f ca="1">IF(OR(INDEX($W$2:$W$1001,MATCH(ROWS($V$2:V183),$V$2:$V$1001,0),1)&gt;=100000,INDEX($AC$1005:$AS$1005,1,MATCH(COLUMNS($AC$1006:AC1006),$AC$1006:$AS$1006,0))&gt;=100000), " ",IF(INDEX($AC$2:$AS$1001,MATCH(ROWS($V$2:V183),$V$2:$V$1001,0),MATCH(COLUMNS($AC$1006:AC1006),$AC$1006:$AS$1006,0)), HYPERLINK("#",""), HYPERLINK(CONCATENATE("#metadata!", ADDRESS(INDEX($X$2:$X$1001,MATCH(ROWS($V$2:V183),$V$2:$V$1001,0),0), INDEX($AC$1004:$AS$1004,1,MATCH(COLUMNS($AC$1006:AC1006),$AC$1006:$AS$1006,0)))),"Fix")))</f>
        <v xml:space="preserve"> </v>
      </c>
      <c r="C183" s="4" t="str">
        <f ca="1">IF(OR(INDEX($W$2:$W$1001,MATCH(ROWS($V$2:V183),$V$2:$V$1001,0),1)&gt;=100000,INDEX($AC$1005:$AS$1005,1,MATCH(COLUMNS($AC$1006:AD1006),$AC$1006:$AS$1006,0))&gt;=100000), " ",IF(INDEX($AC$2:$AS$1001,MATCH(ROWS($V$2:V183),$V$2:$V$1001,0),MATCH(COLUMNS($AC$1006:AD1006),$AC$1006:$AS$1006,0)), HYPERLINK("#",""), HYPERLINK(CONCATENATE("#metadata!", ADDRESS(INDEX($X$2:$X$1001,MATCH(ROWS($V$2:V183),$V$2:$V$1001,0),0), INDEX($AC$1004:$AS$1004,1,MATCH(COLUMNS($AC$1006:AD1006),$AC$1006:$AS$1006,0)))),"Fix")))</f>
        <v xml:space="preserve"> </v>
      </c>
      <c r="D183" s="4" t="str">
        <f ca="1">IF(OR(INDEX($W$2:$W$1001,MATCH(ROWS($V$2:V183),$V$2:$V$1001,0),1)&gt;=100000,INDEX($AC$1005:$AS$1005,1,MATCH(COLUMNS($AC$1006:AE1006),$AC$1006:$AS$1006,0))&gt;=100000), " ",IF(INDEX($AC$2:$AS$1001,MATCH(ROWS($V$2:V183),$V$2:$V$1001,0),MATCH(COLUMNS($AC$1006:AE1006),$AC$1006:$AS$1006,0)), HYPERLINK("#",""), HYPERLINK(CONCATENATE("#metadata!", ADDRESS(INDEX($X$2:$X$1001,MATCH(ROWS($V$2:V183),$V$2:$V$1001,0),0), INDEX($AC$1004:$AS$1004,1,MATCH(COLUMNS($AC$1006:AE1006),$AC$1006:$AS$1006,0)))),"Fix")))</f>
        <v xml:space="preserve"> </v>
      </c>
      <c r="E183" s="4" t="str">
        <f ca="1">IF(OR(INDEX($W$2:$W$1001,MATCH(ROWS($V$2:V183),$V$2:$V$1001,0),1)&gt;=100000,INDEX($AC$1005:$AS$1005,1,MATCH(COLUMNS($AC$1006:AF1006),$AC$1006:$AS$1006,0))&gt;=100000), " ",IF(INDEX($AC$2:$AS$1001,MATCH(ROWS($V$2:V183),$V$2:$V$1001,0),MATCH(COLUMNS($AC$1006:AF1006),$AC$1006:$AS$1006,0)), HYPERLINK("#",""), HYPERLINK(CONCATENATE("#metadata!", ADDRESS(INDEX($X$2:$X$1001,MATCH(ROWS($V$2:V183),$V$2:$V$1001,0),0), INDEX($AC$1004:$AS$1004,1,MATCH(COLUMNS($AC$1006:AF1006),$AC$1006:$AS$1006,0)))),"Fix")))</f>
        <v xml:space="preserve"> </v>
      </c>
      <c r="F183" s="4" t="str">
        <f ca="1">IF(OR(INDEX($W$2:$W$1001,MATCH(ROWS($V$2:V183),$V$2:$V$1001,0),1)&gt;=100000,INDEX($AC$1005:$AS$1005,1,MATCH(COLUMNS($AC$1006:AG1006),$AC$1006:$AS$1006,0))&gt;=100000), " ",IF(INDEX($AC$2:$AS$1001,MATCH(ROWS($V$2:V183),$V$2:$V$1001,0),MATCH(COLUMNS($AC$1006:AG1006),$AC$1006:$AS$1006,0)), HYPERLINK("#",""), HYPERLINK(CONCATENATE("#metadata!", ADDRESS(INDEX($X$2:$X$1001,MATCH(ROWS($V$2:V183),$V$2:$V$1001,0),0), INDEX($AC$1004:$AS$1004,1,MATCH(COLUMNS($AC$1006:AG1006),$AC$1006:$AS$1006,0)))),"Fix")))</f>
        <v xml:space="preserve"> </v>
      </c>
      <c r="G183" s="4" t="str">
        <f ca="1">IF(OR(INDEX($W$2:$W$1001,MATCH(ROWS($V$2:V183),$V$2:$V$1001,0),1)&gt;=100000,INDEX($AC$1005:$AS$1005,1,MATCH(COLUMNS($AC$1006:AH1006),$AC$1006:$AS$1006,0))&gt;=100000), " ",IF(INDEX($AC$2:$AS$1001,MATCH(ROWS($V$2:V183),$V$2:$V$1001,0),MATCH(COLUMNS($AC$1006:AH1006),$AC$1006:$AS$1006,0)), HYPERLINK("#",""), HYPERLINK(CONCATENATE("#metadata!", ADDRESS(INDEX($X$2:$X$1001,MATCH(ROWS($V$2:V183),$V$2:$V$1001,0),0), INDEX($AC$1004:$AS$1004,1,MATCH(COLUMNS($AC$1006:AH1006),$AC$1006:$AS$1006,0)))),"Fix")))</f>
        <v xml:space="preserve"> </v>
      </c>
      <c r="H183" s="4" t="str">
        <f ca="1">IF(OR(INDEX($W$2:$W$1001,MATCH(ROWS($V$2:V183),$V$2:$V$1001,0),1)&gt;=100000,INDEX($AC$1005:$AS$1005,1,MATCH(COLUMNS($AC$1006:AI1006),$AC$1006:$AS$1006,0))&gt;=100000), " ",IF(INDEX($AC$2:$AS$1001,MATCH(ROWS($V$2:V183),$V$2:$V$1001,0),MATCH(COLUMNS($AC$1006:AI1006),$AC$1006:$AS$1006,0)), HYPERLINK("#",""), HYPERLINK(CONCATENATE("#metadata!", ADDRESS(INDEX($X$2:$X$1001,MATCH(ROWS($V$2:V183),$V$2:$V$1001,0),0), INDEX($AC$1004:$AS$1004,1,MATCH(COLUMNS($AC$1006:AI1006),$AC$1006:$AS$1006,0)))),"Fix")))</f>
        <v xml:space="preserve"> </v>
      </c>
      <c r="I183" s="4" t="str">
        <f ca="1">IF(OR(INDEX($W$2:$W$1001,MATCH(ROWS($V$2:V183),$V$2:$V$1001,0),1)&gt;=100000,INDEX($AC$1005:$AS$1005,1,MATCH(COLUMNS($AC$1006:AJ1006),$AC$1006:$AS$1006,0))&gt;=100000), " ",IF(INDEX($AC$2:$AS$1001,MATCH(ROWS($V$2:V183),$V$2:$V$1001,0),MATCH(COLUMNS($AC$1006:AJ1006),$AC$1006:$AS$1006,0)), HYPERLINK("#",""), HYPERLINK(CONCATENATE("#metadata!", ADDRESS(INDEX($X$2:$X$1001,MATCH(ROWS($V$2:V183),$V$2:$V$1001,0),0), INDEX($AC$1004:$AS$1004,1,MATCH(COLUMNS($AC$1006:AJ1006),$AC$1006:$AS$1006,0)))),"Fix")))</f>
        <v xml:space="preserve"> </v>
      </c>
      <c r="J183" s="4" t="str">
        <f ca="1">IF(OR(INDEX($W$2:$W$1001,MATCH(ROWS($V$2:V183),$V$2:$V$1001,0),1)&gt;=100000,INDEX($AC$1005:$AS$1005,1,MATCH(COLUMNS($AC$1006:AK1006),$AC$1006:$AS$1006,0))&gt;=100000), " ",IF(INDEX($AC$2:$AS$1001,MATCH(ROWS($V$2:V183),$V$2:$V$1001,0),MATCH(COLUMNS($AC$1006:AK1006),$AC$1006:$AS$1006,0)), HYPERLINK("#",""), HYPERLINK(CONCATENATE("#metadata!", ADDRESS(INDEX($X$2:$X$1001,MATCH(ROWS($V$2:V183),$V$2:$V$1001,0),0), INDEX($AC$1004:$AS$1004,1,MATCH(COLUMNS($AC$1006:AK1006),$AC$1006:$AS$1006,0)))),"Fix")))</f>
        <v xml:space="preserve"> </v>
      </c>
      <c r="K183" s="4" t="str">
        <f ca="1">IF(OR(INDEX($W$2:$W$1001,MATCH(ROWS($V$2:V183),$V$2:$V$1001,0),1)&gt;=100000,INDEX($AC$1005:$AS$1005,1,MATCH(COLUMNS($AC$1006:AL1006),$AC$1006:$AS$1006,0))&gt;=100000), " ",IF(INDEX($AC$2:$AS$1001,MATCH(ROWS($V$2:V183),$V$2:$V$1001,0),MATCH(COLUMNS($AC$1006:AL1006),$AC$1006:$AS$1006,0)), HYPERLINK("#",""), HYPERLINK(CONCATENATE("#metadata!", ADDRESS(INDEX($X$2:$X$1001,MATCH(ROWS($V$2:V183),$V$2:$V$1001,0),0), INDEX($AC$1004:$AS$1004,1,MATCH(COLUMNS($AC$1006:AL1006),$AC$1006:$AS$1006,0)))),"Fix")))</f>
        <v xml:space="preserve"> </v>
      </c>
      <c r="L183" s="4" t="str">
        <f ca="1">IF(OR(INDEX($W$2:$W$1001,MATCH(ROWS($V$2:V183),$V$2:$V$1001,0),1)&gt;=100000,INDEX($AC$1005:$AS$1005,1,MATCH(COLUMNS($AC$1006:AM1006),$AC$1006:$AS$1006,0))&gt;=100000), " ",IF(INDEX($AC$2:$AS$1001,MATCH(ROWS($V$2:V183),$V$2:$V$1001,0),MATCH(COLUMNS($AC$1006:AM1006),$AC$1006:$AS$1006,0)), HYPERLINK("#",""), HYPERLINK(CONCATENATE("#metadata!", ADDRESS(INDEX($X$2:$X$1001,MATCH(ROWS($V$2:V183),$V$2:$V$1001,0),0), INDEX($AC$1004:$AS$1004,1,MATCH(COLUMNS($AC$1006:AM1006),$AC$1006:$AS$1006,0)))),"Fix")))</f>
        <v xml:space="preserve"> </v>
      </c>
      <c r="M183" s="4" t="str">
        <f ca="1">IF(OR(INDEX($W$2:$W$1001,MATCH(ROWS($V$2:V183),$V$2:$V$1001,0),1)&gt;=100000,INDEX($AC$1005:$AS$1005,1,MATCH(COLUMNS($AC$1006:AN1006),$AC$1006:$AS$1006,0))&gt;=100000), " ",IF(INDEX($AC$2:$AS$1001,MATCH(ROWS($V$2:V183),$V$2:$V$1001,0),MATCH(COLUMNS($AC$1006:AN1006),$AC$1006:$AS$1006,0)), HYPERLINK("#",""), HYPERLINK(CONCATENATE("#metadata!", ADDRESS(INDEX($X$2:$X$1001,MATCH(ROWS($V$2:V183),$V$2:$V$1001,0),0), INDEX($AC$1004:$AS$1004,1,MATCH(COLUMNS($AC$1006:AN1006),$AC$1006:$AS$1006,0)))),"Fix")))</f>
        <v xml:space="preserve"> </v>
      </c>
      <c r="N183" s="4" t="str">
        <f ca="1">IF(OR(INDEX($W$2:$W$1001,MATCH(ROWS($V$2:V183),$V$2:$V$1001,0),1)&gt;=100000,INDEX($AC$1005:$AS$1005,1,MATCH(COLUMNS($AC$1006:AO1006),$AC$1006:$AS$1006,0))&gt;=100000), " ",IF(INDEX($AC$2:$AS$1001,MATCH(ROWS($V$2:V183),$V$2:$V$1001,0),MATCH(COLUMNS($AC$1006:AO1006),$AC$1006:$AS$1006,0)), HYPERLINK("#",""), HYPERLINK(CONCATENATE("#metadata!", ADDRESS(INDEX($X$2:$X$1001,MATCH(ROWS($V$2:V183),$V$2:$V$1001,0),0), INDEX($AC$1004:$AS$1004,1,MATCH(COLUMNS($AC$1006:AO1006),$AC$1006:$AS$1006,0)))),"Fix")))</f>
        <v xml:space="preserve"> </v>
      </c>
      <c r="O183" s="4" t="str">
        <f ca="1">IF(OR(INDEX($W$2:$W$1001,MATCH(ROWS($V$2:V183),$V$2:$V$1001,0),1)&gt;=100000,INDEX($AC$1005:$AS$1005,1,MATCH(COLUMNS($AC$1006:AP1006),$AC$1006:$AS$1006,0))&gt;=100000), " ",IF(INDEX($AC$2:$AS$1001,MATCH(ROWS($V$2:V183),$V$2:$V$1001,0),MATCH(COLUMNS($AC$1006:AP1006),$AC$1006:$AS$1006,0)), HYPERLINK("#",""), HYPERLINK(CONCATENATE("#metadata!", ADDRESS(INDEX($X$2:$X$1001,MATCH(ROWS($V$2:V183),$V$2:$V$1001,0),0), INDEX($AC$1004:$AS$1004,1,MATCH(COLUMNS($AC$1006:AP1006),$AC$1006:$AS$1006,0)))),"Fix")))</f>
        <v xml:space="preserve"> </v>
      </c>
      <c r="P183" s="4" t="str">
        <f ca="1">IF(OR(INDEX($W$2:$W$1001,MATCH(ROWS($V$2:V183),$V$2:$V$1001,0),1)&gt;=100000,INDEX($AC$1005:$AS$1005,1,MATCH(COLUMNS($AC$1006:AQ1006),$AC$1006:$AS$1006,0))&gt;=100000), " ",IF(INDEX($AC$2:$AS$1001,MATCH(ROWS($V$2:V183),$V$2:$V$1001,0),MATCH(COLUMNS($AC$1006:AQ1006),$AC$1006:$AS$1006,0)), HYPERLINK("#",""), HYPERLINK(CONCATENATE("#metadata!", ADDRESS(INDEX($X$2:$X$1001,MATCH(ROWS($V$2:V183),$V$2:$V$1001,0),0), INDEX($AC$1004:$AS$1004,1,MATCH(COLUMNS($AC$1006:AQ1006),$AC$1006:$AS$1006,0)))),"Fix")))</f>
        <v xml:space="preserve"> </v>
      </c>
      <c r="Q183" s="4" t="str">
        <f ca="1">IF(OR(INDEX($W$2:$W$1001,MATCH(ROWS($V$2:V183),$V$2:$V$1001,0),1)&gt;=100000,INDEX($AC$1005:$AS$1005,1,MATCH(COLUMNS($AC$1006:AR1006),$AC$1006:$AS$1006,0))&gt;=100000), " ",IF(INDEX($AC$2:$AS$1001,MATCH(ROWS($V$2:V183),$V$2:$V$1001,0),MATCH(COLUMNS($AC$1006:AR1006),$AC$1006:$AS$1006,0)), HYPERLINK("#",""), HYPERLINK(CONCATENATE("#metadata!", ADDRESS(INDEX($X$2:$X$1001,MATCH(ROWS($V$2:V183),$V$2:$V$1001,0),0), INDEX($AC$1004:$AS$1004,1,MATCH(COLUMNS($AC$1006:AR1006),$AC$1006:$AS$1006,0)))),"Fix")))</f>
        <v xml:space="preserve"> </v>
      </c>
      <c r="R183" s="4" t="str">
        <f ca="1">IF(OR(INDEX($W$2:$W$1001,MATCH(ROWS($V$2:V183),$V$2:$V$1001,0),1)&gt;=100000,INDEX($AC$1005:$AS$1005,1,MATCH(COLUMNS($AC$1006:AS1006),$AC$1006:$AS$1006,0))&gt;=100000), " ",IF(INDEX($AC$2:$AS$1001,MATCH(ROWS($V$2:V183),$V$2:$V$1001,0),MATCH(COLUMNS($AC$1006:AS1006),$AC$1006:$AS$1006,0)), HYPERLINK("#",""), HYPERLINK(CONCATENATE("#metadata!", ADDRESS(INDEX($X$2:$X$1001,MATCH(ROWS($V$2:V183),$V$2:$V$1001,0),0), INDEX($AC$1004:$AS$1004,1,MATCH(COLUMNS($AC$1006:AS1006),$AC$1006:$AS$1006,0)))),"Fix")))</f>
        <v xml:space="preserve"> </v>
      </c>
      <c r="V183">
        <v>182</v>
      </c>
      <c r="W183">
        <v>100183</v>
      </c>
      <c r="X183">
        <v>183</v>
      </c>
      <c r="Y183" t="b">
        <f t="shared" si="2"/>
        <v>1</v>
      </c>
      <c r="Z183" t="b">
        <f>COUNTBLANK(metadata!B183:R183)=COLUMNS(metadata!B183:R183)</f>
        <v>1</v>
      </c>
      <c r="AA183" t="str">
        <v/>
      </c>
      <c r="AC183" t="b">
        <f ca="1"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AD183" t="b">
        <f>IF(metadata!C183="",FALSE,ISNUMBER(VALUE(metadata!C183)))</f>
        <v>0</v>
      </c>
      <c r="AE183" t="b">
        <f>AND(IF(metadata!D183="",FALSE,TRUE),EXACT(metadata!D183,"years"))</f>
        <v>0</v>
      </c>
      <c r="AF183" t="b">
        <f>OR(AND(IF(metadata!E183="",FALSE,TRUE),OR(EXACT(metadata!E183,"not applicable"),EXACT(metadata!E183,"missing: not collected"),EXACT(metadata!E183,"missing: not provided"),EXACT(metadata!E183,"missing: restricted access"))),AND(IF(metadata!E183="",FALSE,ISNUMBER(VALUE(metadata!E183))),metadata!E183&gt;0))</f>
        <v>0</v>
      </c>
      <c r="AG183" t="b">
        <f>AND(IF(metadata!F183="",FALSE,TRUE),EXACT(metadata!F183,"Not applicable"))</f>
        <v>0</v>
      </c>
      <c r="AH183" t="b">
        <f>AND(IF(metadata!G183="",FALSE,TRUE),EXACT(metadata!G183,"urban biome"))</f>
        <v>0</v>
      </c>
      <c r="AI183" t="b">
        <f>AND(IF(metadata!H183="",FALSE,TRUE),EXACT(metadata!H183,"human-associated habitat"))</f>
        <v>0</v>
      </c>
      <c r="AJ183" t="b">
        <f>AND(IF(metadata!I183="",FALSE,TRUE),OR(EXACT(metadata!I183,"human-associated"),EXACT(metadata!I183,"human-skin"),EXACT(metadata!I183,"human-oral"),EXACT(metadata!I183,"human-gut"),EXACT(metadata!I183,"human-vaginal")))</f>
        <v>0</v>
      </c>
      <c r="AK183" t="b">
        <f>IF(metadata!J183="",FALSE,ISNUMBER(VALUE(metadata!J183)))</f>
        <v>0</v>
      </c>
      <c r="AL183" t="b">
        <f>AND(IF(metadata!K183="",FALSE,TRUE),EXACT(metadata!K183,"cm"))</f>
        <v>0</v>
      </c>
      <c r="AM183" t="b">
        <f>AND(IF(metadata!L183="",FALSE,TRUE),EXACT(metadata!L183,"human"))</f>
        <v>0</v>
      </c>
      <c r="AN183" t="b">
        <f>AND(IF(metadata!M183="",FALSE,TRUE),EXACT(metadata!M183,"Homo sapiens"))</f>
        <v>0</v>
      </c>
      <c r="AO183" t="b">
        <f>AND(IF(metadata!N183="",FALSE,TRUE),EXACT(metadata!N183,"9606"))</f>
        <v>0</v>
      </c>
      <c r="AP183" t="b">
        <f>IF(metadata!O183="",FALSE,TRUE)</f>
        <v>0</v>
      </c>
      <c r="AQ183" t="b">
        <f>IF(metadata!P183="",FALSE,TRUE)</f>
        <v>0</v>
      </c>
      <c r="AR183" t="b">
        <f>IF(metadata!Q183="",FALSE,ISNUMBER(VALUE(metadata!Q183)))</f>
        <v>0</v>
      </c>
      <c r="AS183" t="b">
        <f>AND(IF(metadata!R183="",FALSE,TRUE),EXACT(metadata!R183,"kg"))</f>
        <v>0</v>
      </c>
    </row>
    <row r="184" spans="1:45" x14ac:dyDescent="0.2">
      <c r="A184" s="5" t="str">
        <f ca="1">IF(B184=" "," ",HYPERLINK(CONCATENATE("#metadata!",ADDRESS(INDEX($X$2:$X$1001,MATCH(ROWS($V$2:V184),$V$2:$V$1001,0),0),1)),INDEX($AA$2:$AA$1001,MATCH(ROWS($V$2:V184),$V$2:$V$1001,0),0)))</f>
        <v xml:space="preserve"> </v>
      </c>
      <c r="B184" s="4" t="str">
        <f ca="1">IF(OR(INDEX($W$2:$W$1001,MATCH(ROWS($V$2:V184),$V$2:$V$1001,0),1)&gt;=100000,INDEX($AC$1005:$AS$1005,1,MATCH(COLUMNS($AC$1006:AC1006),$AC$1006:$AS$1006,0))&gt;=100000), " ",IF(INDEX($AC$2:$AS$1001,MATCH(ROWS($V$2:V184),$V$2:$V$1001,0),MATCH(COLUMNS($AC$1006:AC1006),$AC$1006:$AS$1006,0)), HYPERLINK("#",""), HYPERLINK(CONCATENATE("#metadata!", ADDRESS(INDEX($X$2:$X$1001,MATCH(ROWS($V$2:V184),$V$2:$V$1001,0),0), INDEX($AC$1004:$AS$1004,1,MATCH(COLUMNS($AC$1006:AC1006),$AC$1006:$AS$1006,0)))),"Fix")))</f>
        <v xml:space="preserve"> </v>
      </c>
      <c r="C184" s="4" t="str">
        <f ca="1">IF(OR(INDEX($W$2:$W$1001,MATCH(ROWS($V$2:V184),$V$2:$V$1001,0),1)&gt;=100000,INDEX($AC$1005:$AS$1005,1,MATCH(COLUMNS($AC$1006:AD1006),$AC$1006:$AS$1006,0))&gt;=100000), " ",IF(INDEX($AC$2:$AS$1001,MATCH(ROWS($V$2:V184),$V$2:$V$1001,0),MATCH(COLUMNS($AC$1006:AD1006),$AC$1006:$AS$1006,0)), HYPERLINK("#",""), HYPERLINK(CONCATENATE("#metadata!", ADDRESS(INDEX($X$2:$X$1001,MATCH(ROWS($V$2:V184),$V$2:$V$1001,0),0), INDEX($AC$1004:$AS$1004,1,MATCH(COLUMNS($AC$1006:AD1006),$AC$1006:$AS$1006,0)))),"Fix")))</f>
        <v xml:space="preserve"> </v>
      </c>
      <c r="D184" s="4" t="str">
        <f ca="1">IF(OR(INDEX($W$2:$W$1001,MATCH(ROWS($V$2:V184),$V$2:$V$1001,0),1)&gt;=100000,INDEX($AC$1005:$AS$1005,1,MATCH(COLUMNS($AC$1006:AE1006),$AC$1006:$AS$1006,0))&gt;=100000), " ",IF(INDEX($AC$2:$AS$1001,MATCH(ROWS($V$2:V184),$V$2:$V$1001,0),MATCH(COLUMNS($AC$1006:AE1006),$AC$1006:$AS$1006,0)), HYPERLINK("#",""), HYPERLINK(CONCATENATE("#metadata!", ADDRESS(INDEX($X$2:$X$1001,MATCH(ROWS($V$2:V184),$V$2:$V$1001,0),0), INDEX($AC$1004:$AS$1004,1,MATCH(COLUMNS($AC$1006:AE1006),$AC$1006:$AS$1006,0)))),"Fix")))</f>
        <v xml:space="preserve"> </v>
      </c>
      <c r="E184" s="4" t="str">
        <f ca="1">IF(OR(INDEX($W$2:$W$1001,MATCH(ROWS($V$2:V184),$V$2:$V$1001,0),1)&gt;=100000,INDEX($AC$1005:$AS$1005,1,MATCH(COLUMNS($AC$1006:AF1006),$AC$1006:$AS$1006,0))&gt;=100000), " ",IF(INDEX($AC$2:$AS$1001,MATCH(ROWS($V$2:V184),$V$2:$V$1001,0),MATCH(COLUMNS($AC$1006:AF1006),$AC$1006:$AS$1006,0)), HYPERLINK("#",""), HYPERLINK(CONCATENATE("#metadata!", ADDRESS(INDEX($X$2:$X$1001,MATCH(ROWS($V$2:V184),$V$2:$V$1001,0),0), INDEX($AC$1004:$AS$1004,1,MATCH(COLUMNS($AC$1006:AF1006),$AC$1006:$AS$1006,0)))),"Fix")))</f>
        <v xml:space="preserve"> </v>
      </c>
      <c r="F184" s="4" t="str">
        <f ca="1">IF(OR(INDEX($W$2:$W$1001,MATCH(ROWS($V$2:V184),$V$2:$V$1001,0),1)&gt;=100000,INDEX($AC$1005:$AS$1005,1,MATCH(COLUMNS($AC$1006:AG1006),$AC$1006:$AS$1006,0))&gt;=100000), " ",IF(INDEX($AC$2:$AS$1001,MATCH(ROWS($V$2:V184),$V$2:$V$1001,0),MATCH(COLUMNS($AC$1006:AG1006),$AC$1006:$AS$1006,0)), HYPERLINK("#",""), HYPERLINK(CONCATENATE("#metadata!", ADDRESS(INDEX($X$2:$X$1001,MATCH(ROWS($V$2:V184),$V$2:$V$1001,0),0), INDEX($AC$1004:$AS$1004,1,MATCH(COLUMNS($AC$1006:AG1006),$AC$1006:$AS$1006,0)))),"Fix")))</f>
        <v xml:space="preserve"> </v>
      </c>
      <c r="G184" s="4" t="str">
        <f ca="1">IF(OR(INDEX($W$2:$W$1001,MATCH(ROWS($V$2:V184),$V$2:$V$1001,0),1)&gt;=100000,INDEX($AC$1005:$AS$1005,1,MATCH(COLUMNS($AC$1006:AH1006),$AC$1006:$AS$1006,0))&gt;=100000), " ",IF(INDEX($AC$2:$AS$1001,MATCH(ROWS($V$2:V184),$V$2:$V$1001,0),MATCH(COLUMNS($AC$1006:AH1006),$AC$1006:$AS$1006,0)), HYPERLINK("#",""), HYPERLINK(CONCATENATE("#metadata!", ADDRESS(INDEX($X$2:$X$1001,MATCH(ROWS($V$2:V184),$V$2:$V$1001,0),0), INDEX($AC$1004:$AS$1004,1,MATCH(COLUMNS($AC$1006:AH1006),$AC$1006:$AS$1006,0)))),"Fix")))</f>
        <v xml:space="preserve"> </v>
      </c>
      <c r="H184" s="4" t="str">
        <f ca="1">IF(OR(INDEX($W$2:$W$1001,MATCH(ROWS($V$2:V184),$V$2:$V$1001,0),1)&gt;=100000,INDEX($AC$1005:$AS$1005,1,MATCH(COLUMNS($AC$1006:AI1006),$AC$1006:$AS$1006,0))&gt;=100000), " ",IF(INDEX($AC$2:$AS$1001,MATCH(ROWS($V$2:V184),$V$2:$V$1001,0),MATCH(COLUMNS($AC$1006:AI1006),$AC$1006:$AS$1006,0)), HYPERLINK("#",""), HYPERLINK(CONCATENATE("#metadata!", ADDRESS(INDEX($X$2:$X$1001,MATCH(ROWS($V$2:V184),$V$2:$V$1001,0),0), INDEX($AC$1004:$AS$1004,1,MATCH(COLUMNS($AC$1006:AI1006),$AC$1006:$AS$1006,0)))),"Fix")))</f>
        <v xml:space="preserve"> </v>
      </c>
      <c r="I184" s="4" t="str">
        <f ca="1">IF(OR(INDEX($W$2:$W$1001,MATCH(ROWS($V$2:V184),$V$2:$V$1001,0),1)&gt;=100000,INDEX($AC$1005:$AS$1005,1,MATCH(COLUMNS($AC$1006:AJ1006),$AC$1006:$AS$1006,0))&gt;=100000), " ",IF(INDEX($AC$2:$AS$1001,MATCH(ROWS($V$2:V184),$V$2:$V$1001,0),MATCH(COLUMNS($AC$1006:AJ1006),$AC$1006:$AS$1006,0)), HYPERLINK("#",""), HYPERLINK(CONCATENATE("#metadata!", ADDRESS(INDEX($X$2:$X$1001,MATCH(ROWS($V$2:V184),$V$2:$V$1001,0),0), INDEX($AC$1004:$AS$1004,1,MATCH(COLUMNS($AC$1006:AJ1006),$AC$1006:$AS$1006,0)))),"Fix")))</f>
        <v xml:space="preserve"> </v>
      </c>
      <c r="J184" s="4" t="str">
        <f ca="1">IF(OR(INDEX($W$2:$W$1001,MATCH(ROWS($V$2:V184),$V$2:$V$1001,0),1)&gt;=100000,INDEX($AC$1005:$AS$1005,1,MATCH(COLUMNS($AC$1006:AK1006),$AC$1006:$AS$1006,0))&gt;=100000), " ",IF(INDEX($AC$2:$AS$1001,MATCH(ROWS($V$2:V184),$V$2:$V$1001,0),MATCH(COLUMNS($AC$1006:AK1006),$AC$1006:$AS$1006,0)), HYPERLINK("#",""), HYPERLINK(CONCATENATE("#metadata!", ADDRESS(INDEX($X$2:$X$1001,MATCH(ROWS($V$2:V184),$V$2:$V$1001,0),0), INDEX($AC$1004:$AS$1004,1,MATCH(COLUMNS($AC$1006:AK1006),$AC$1006:$AS$1006,0)))),"Fix")))</f>
        <v xml:space="preserve"> </v>
      </c>
      <c r="K184" s="4" t="str">
        <f ca="1">IF(OR(INDEX($W$2:$W$1001,MATCH(ROWS($V$2:V184),$V$2:$V$1001,0),1)&gt;=100000,INDEX($AC$1005:$AS$1005,1,MATCH(COLUMNS($AC$1006:AL1006),$AC$1006:$AS$1006,0))&gt;=100000), " ",IF(INDEX($AC$2:$AS$1001,MATCH(ROWS($V$2:V184),$V$2:$V$1001,0),MATCH(COLUMNS($AC$1006:AL1006),$AC$1006:$AS$1006,0)), HYPERLINK("#",""), HYPERLINK(CONCATENATE("#metadata!", ADDRESS(INDEX($X$2:$X$1001,MATCH(ROWS($V$2:V184),$V$2:$V$1001,0),0), INDEX($AC$1004:$AS$1004,1,MATCH(COLUMNS($AC$1006:AL1006),$AC$1006:$AS$1006,0)))),"Fix")))</f>
        <v xml:space="preserve"> </v>
      </c>
      <c r="L184" s="4" t="str">
        <f ca="1">IF(OR(INDEX($W$2:$W$1001,MATCH(ROWS($V$2:V184),$V$2:$V$1001,0),1)&gt;=100000,INDEX($AC$1005:$AS$1005,1,MATCH(COLUMNS($AC$1006:AM1006),$AC$1006:$AS$1006,0))&gt;=100000), " ",IF(INDEX($AC$2:$AS$1001,MATCH(ROWS($V$2:V184),$V$2:$V$1001,0),MATCH(COLUMNS($AC$1006:AM1006),$AC$1006:$AS$1006,0)), HYPERLINK("#",""), HYPERLINK(CONCATENATE("#metadata!", ADDRESS(INDEX($X$2:$X$1001,MATCH(ROWS($V$2:V184),$V$2:$V$1001,0),0), INDEX($AC$1004:$AS$1004,1,MATCH(COLUMNS($AC$1006:AM1006),$AC$1006:$AS$1006,0)))),"Fix")))</f>
        <v xml:space="preserve"> </v>
      </c>
      <c r="M184" s="4" t="str">
        <f ca="1">IF(OR(INDEX($W$2:$W$1001,MATCH(ROWS($V$2:V184),$V$2:$V$1001,0),1)&gt;=100000,INDEX($AC$1005:$AS$1005,1,MATCH(COLUMNS($AC$1006:AN1006),$AC$1006:$AS$1006,0))&gt;=100000), " ",IF(INDEX($AC$2:$AS$1001,MATCH(ROWS($V$2:V184),$V$2:$V$1001,0),MATCH(COLUMNS($AC$1006:AN1006),$AC$1006:$AS$1006,0)), HYPERLINK("#",""), HYPERLINK(CONCATENATE("#metadata!", ADDRESS(INDEX($X$2:$X$1001,MATCH(ROWS($V$2:V184),$V$2:$V$1001,0),0), INDEX($AC$1004:$AS$1004,1,MATCH(COLUMNS($AC$1006:AN1006),$AC$1006:$AS$1006,0)))),"Fix")))</f>
        <v xml:space="preserve"> </v>
      </c>
      <c r="N184" s="4" t="str">
        <f ca="1">IF(OR(INDEX($W$2:$W$1001,MATCH(ROWS($V$2:V184),$V$2:$V$1001,0),1)&gt;=100000,INDEX($AC$1005:$AS$1005,1,MATCH(COLUMNS($AC$1006:AO1006),$AC$1006:$AS$1006,0))&gt;=100000), " ",IF(INDEX($AC$2:$AS$1001,MATCH(ROWS($V$2:V184),$V$2:$V$1001,0),MATCH(COLUMNS($AC$1006:AO1006),$AC$1006:$AS$1006,0)), HYPERLINK("#",""), HYPERLINK(CONCATENATE("#metadata!", ADDRESS(INDEX($X$2:$X$1001,MATCH(ROWS($V$2:V184),$V$2:$V$1001,0),0), INDEX($AC$1004:$AS$1004,1,MATCH(COLUMNS($AC$1006:AO1006),$AC$1006:$AS$1006,0)))),"Fix")))</f>
        <v xml:space="preserve"> </v>
      </c>
      <c r="O184" s="4" t="str">
        <f ca="1">IF(OR(INDEX($W$2:$W$1001,MATCH(ROWS($V$2:V184),$V$2:$V$1001,0),1)&gt;=100000,INDEX($AC$1005:$AS$1005,1,MATCH(COLUMNS($AC$1006:AP1006),$AC$1006:$AS$1006,0))&gt;=100000), " ",IF(INDEX($AC$2:$AS$1001,MATCH(ROWS($V$2:V184),$V$2:$V$1001,0),MATCH(COLUMNS($AC$1006:AP1006),$AC$1006:$AS$1006,0)), HYPERLINK("#",""), HYPERLINK(CONCATENATE("#metadata!", ADDRESS(INDEX($X$2:$X$1001,MATCH(ROWS($V$2:V184),$V$2:$V$1001,0),0), INDEX($AC$1004:$AS$1004,1,MATCH(COLUMNS($AC$1006:AP1006),$AC$1006:$AS$1006,0)))),"Fix")))</f>
        <v xml:space="preserve"> </v>
      </c>
      <c r="P184" s="4" t="str">
        <f ca="1">IF(OR(INDEX($W$2:$W$1001,MATCH(ROWS($V$2:V184),$V$2:$V$1001,0),1)&gt;=100000,INDEX($AC$1005:$AS$1005,1,MATCH(COLUMNS($AC$1006:AQ1006),$AC$1006:$AS$1006,0))&gt;=100000), " ",IF(INDEX($AC$2:$AS$1001,MATCH(ROWS($V$2:V184),$V$2:$V$1001,0),MATCH(COLUMNS($AC$1006:AQ1006),$AC$1006:$AS$1006,0)), HYPERLINK("#",""), HYPERLINK(CONCATENATE("#metadata!", ADDRESS(INDEX($X$2:$X$1001,MATCH(ROWS($V$2:V184),$V$2:$V$1001,0),0), INDEX($AC$1004:$AS$1004,1,MATCH(COLUMNS($AC$1006:AQ1006),$AC$1006:$AS$1006,0)))),"Fix")))</f>
        <v xml:space="preserve"> </v>
      </c>
      <c r="Q184" s="4" t="str">
        <f ca="1">IF(OR(INDEX($W$2:$W$1001,MATCH(ROWS($V$2:V184),$V$2:$V$1001,0),1)&gt;=100000,INDEX($AC$1005:$AS$1005,1,MATCH(COLUMNS($AC$1006:AR1006),$AC$1006:$AS$1006,0))&gt;=100000), " ",IF(INDEX($AC$2:$AS$1001,MATCH(ROWS($V$2:V184),$V$2:$V$1001,0),MATCH(COLUMNS($AC$1006:AR1006),$AC$1006:$AS$1006,0)), HYPERLINK("#",""), HYPERLINK(CONCATENATE("#metadata!", ADDRESS(INDEX($X$2:$X$1001,MATCH(ROWS($V$2:V184),$V$2:$V$1001,0),0), INDEX($AC$1004:$AS$1004,1,MATCH(COLUMNS($AC$1006:AR1006),$AC$1006:$AS$1006,0)))),"Fix")))</f>
        <v xml:space="preserve"> </v>
      </c>
      <c r="R184" s="4" t="str">
        <f ca="1">IF(OR(INDEX($W$2:$W$1001,MATCH(ROWS($V$2:V184),$V$2:$V$1001,0),1)&gt;=100000,INDEX($AC$1005:$AS$1005,1,MATCH(COLUMNS($AC$1006:AS1006),$AC$1006:$AS$1006,0))&gt;=100000), " ",IF(INDEX($AC$2:$AS$1001,MATCH(ROWS($V$2:V184),$V$2:$V$1001,0),MATCH(COLUMNS($AC$1006:AS1006),$AC$1006:$AS$1006,0)), HYPERLINK("#",""), HYPERLINK(CONCATENATE("#metadata!", ADDRESS(INDEX($X$2:$X$1001,MATCH(ROWS($V$2:V184),$V$2:$V$1001,0),0), INDEX($AC$1004:$AS$1004,1,MATCH(COLUMNS($AC$1006:AS1006),$AC$1006:$AS$1006,0)))),"Fix")))</f>
        <v xml:space="preserve"> </v>
      </c>
      <c r="V184">
        <v>183</v>
      </c>
      <c r="W184">
        <v>100184</v>
      </c>
      <c r="X184">
        <v>184</v>
      </c>
      <c r="Y184" t="b">
        <f t="shared" si="2"/>
        <v>1</v>
      </c>
      <c r="Z184" t="b">
        <f>COUNTBLANK(metadata!B184:R184)=COLUMNS(metadata!B184:R184)</f>
        <v>1</v>
      </c>
      <c r="AA184" t="str">
        <v/>
      </c>
      <c r="AC184" t="b">
        <f ca="1"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AD184" t="b">
        <f>IF(metadata!C184="",FALSE,ISNUMBER(VALUE(metadata!C184)))</f>
        <v>0</v>
      </c>
      <c r="AE184" t="b">
        <f>AND(IF(metadata!D184="",FALSE,TRUE),EXACT(metadata!D184,"years"))</f>
        <v>0</v>
      </c>
      <c r="AF184" t="b">
        <f>OR(AND(IF(metadata!E184="",FALSE,TRUE),OR(EXACT(metadata!E184,"not applicable"),EXACT(metadata!E184,"missing: not collected"),EXACT(metadata!E184,"missing: not provided"),EXACT(metadata!E184,"missing: restricted access"))),AND(IF(metadata!E184="",FALSE,ISNUMBER(VALUE(metadata!E184))),metadata!E184&gt;0))</f>
        <v>0</v>
      </c>
      <c r="AG184" t="b">
        <f>AND(IF(metadata!F184="",FALSE,TRUE),EXACT(metadata!F184,"Not applicable"))</f>
        <v>0</v>
      </c>
      <c r="AH184" t="b">
        <f>AND(IF(metadata!G184="",FALSE,TRUE),EXACT(metadata!G184,"urban biome"))</f>
        <v>0</v>
      </c>
      <c r="AI184" t="b">
        <f>AND(IF(metadata!H184="",FALSE,TRUE),EXACT(metadata!H184,"human-associated habitat"))</f>
        <v>0</v>
      </c>
      <c r="AJ184" t="b">
        <f>AND(IF(metadata!I184="",FALSE,TRUE),OR(EXACT(metadata!I184,"human-associated"),EXACT(metadata!I184,"human-skin"),EXACT(metadata!I184,"human-oral"),EXACT(metadata!I184,"human-gut"),EXACT(metadata!I184,"human-vaginal")))</f>
        <v>0</v>
      </c>
      <c r="AK184" t="b">
        <f>IF(metadata!J184="",FALSE,ISNUMBER(VALUE(metadata!J184)))</f>
        <v>0</v>
      </c>
      <c r="AL184" t="b">
        <f>AND(IF(metadata!K184="",FALSE,TRUE),EXACT(metadata!K184,"cm"))</f>
        <v>0</v>
      </c>
      <c r="AM184" t="b">
        <f>AND(IF(metadata!L184="",FALSE,TRUE),EXACT(metadata!L184,"human"))</f>
        <v>0</v>
      </c>
      <c r="AN184" t="b">
        <f>AND(IF(metadata!M184="",FALSE,TRUE),EXACT(metadata!M184,"Homo sapiens"))</f>
        <v>0</v>
      </c>
      <c r="AO184" t="b">
        <f>AND(IF(metadata!N184="",FALSE,TRUE),EXACT(metadata!N184,"9606"))</f>
        <v>0</v>
      </c>
      <c r="AP184" t="b">
        <f>IF(metadata!O184="",FALSE,TRUE)</f>
        <v>0</v>
      </c>
      <c r="AQ184" t="b">
        <f>IF(metadata!P184="",FALSE,TRUE)</f>
        <v>0</v>
      </c>
      <c r="AR184" t="b">
        <f>IF(metadata!Q184="",FALSE,ISNUMBER(VALUE(metadata!Q184)))</f>
        <v>0</v>
      </c>
      <c r="AS184" t="b">
        <f>AND(IF(metadata!R184="",FALSE,TRUE),EXACT(metadata!R184,"kg"))</f>
        <v>0</v>
      </c>
    </row>
    <row r="185" spans="1:45" x14ac:dyDescent="0.2">
      <c r="A185" s="5" t="str">
        <f ca="1">IF(B185=" "," ",HYPERLINK(CONCATENATE("#metadata!",ADDRESS(INDEX($X$2:$X$1001,MATCH(ROWS($V$2:V185),$V$2:$V$1001,0),0),1)),INDEX($AA$2:$AA$1001,MATCH(ROWS($V$2:V185),$V$2:$V$1001,0),0)))</f>
        <v xml:space="preserve"> </v>
      </c>
      <c r="B185" s="4" t="str">
        <f ca="1">IF(OR(INDEX($W$2:$W$1001,MATCH(ROWS($V$2:V185),$V$2:$V$1001,0),1)&gt;=100000,INDEX($AC$1005:$AS$1005,1,MATCH(COLUMNS($AC$1006:AC1006),$AC$1006:$AS$1006,0))&gt;=100000), " ",IF(INDEX($AC$2:$AS$1001,MATCH(ROWS($V$2:V185),$V$2:$V$1001,0),MATCH(COLUMNS($AC$1006:AC1006),$AC$1006:$AS$1006,0)), HYPERLINK("#",""), HYPERLINK(CONCATENATE("#metadata!", ADDRESS(INDEX($X$2:$X$1001,MATCH(ROWS($V$2:V185),$V$2:$V$1001,0),0), INDEX($AC$1004:$AS$1004,1,MATCH(COLUMNS($AC$1006:AC1006),$AC$1006:$AS$1006,0)))),"Fix")))</f>
        <v xml:space="preserve"> </v>
      </c>
      <c r="C185" s="4" t="str">
        <f ca="1">IF(OR(INDEX($W$2:$W$1001,MATCH(ROWS($V$2:V185),$V$2:$V$1001,0),1)&gt;=100000,INDEX($AC$1005:$AS$1005,1,MATCH(COLUMNS($AC$1006:AD1006),$AC$1006:$AS$1006,0))&gt;=100000), " ",IF(INDEX($AC$2:$AS$1001,MATCH(ROWS($V$2:V185),$V$2:$V$1001,0),MATCH(COLUMNS($AC$1006:AD1006),$AC$1006:$AS$1006,0)), HYPERLINK("#",""), HYPERLINK(CONCATENATE("#metadata!", ADDRESS(INDEX($X$2:$X$1001,MATCH(ROWS($V$2:V185),$V$2:$V$1001,0),0), INDEX($AC$1004:$AS$1004,1,MATCH(COLUMNS($AC$1006:AD1006),$AC$1006:$AS$1006,0)))),"Fix")))</f>
        <v xml:space="preserve"> </v>
      </c>
      <c r="D185" s="4" t="str">
        <f ca="1">IF(OR(INDEX($W$2:$W$1001,MATCH(ROWS($V$2:V185),$V$2:$V$1001,0),1)&gt;=100000,INDEX($AC$1005:$AS$1005,1,MATCH(COLUMNS($AC$1006:AE1006),$AC$1006:$AS$1006,0))&gt;=100000), " ",IF(INDEX($AC$2:$AS$1001,MATCH(ROWS($V$2:V185),$V$2:$V$1001,0),MATCH(COLUMNS($AC$1006:AE1006),$AC$1006:$AS$1006,0)), HYPERLINK("#",""), HYPERLINK(CONCATENATE("#metadata!", ADDRESS(INDEX($X$2:$X$1001,MATCH(ROWS($V$2:V185),$V$2:$V$1001,0),0), INDEX($AC$1004:$AS$1004,1,MATCH(COLUMNS($AC$1006:AE1006),$AC$1006:$AS$1006,0)))),"Fix")))</f>
        <v xml:space="preserve"> </v>
      </c>
      <c r="E185" s="4" t="str">
        <f ca="1">IF(OR(INDEX($W$2:$W$1001,MATCH(ROWS($V$2:V185),$V$2:$V$1001,0),1)&gt;=100000,INDEX($AC$1005:$AS$1005,1,MATCH(COLUMNS($AC$1006:AF1006),$AC$1006:$AS$1006,0))&gt;=100000), " ",IF(INDEX($AC$2:$AS$1001,MATCH(ROWS($V$2:V185),$V$2:$V$1001,0),MATCH(COLUMNS($AC$1006:AF1006),$AC$1006:$AS$1006,0)), HYPERLINK("#",""), HYPERLINK(CONCATENATE("#metadata!", ADDRESS(INDEX($X$2:$X$1001,MATCH(ROWS($V$2:V185),$V$2:$V$1001,0),0), INDEX($AC$1004:$AS$1004,1,MATCH(COLUMNS($AC$1006:AF1006),$AC$1006:$AS$1006,0)))),"Fix")))</f>
        <v xml:space="preserve"> </v>
      </c>
      <c r="F185" s="4" t="str">
        <f ca="1">IF(OR(INDEX($W$2:$W$1001,MATCH(ROWS($V$2:V185),$V$2:$V$1001,0),1)&gt;=100000,INDEX($AC$1005:$AS$1005,1,MATCH(COLUMNS($AC$1006:AG1006),$AC$1006:$AS$1006,0))&gt;=100000), " ",IF(INDEX($AC$2:$AS$1001,MATCH(ROWS($V$2:V185),$V$2:$V$1001,0),MATCH(COLUMNS($AC$1006:AG1006),$AC$1006:$AS$1006,0)), HYPERLINK("#",""), HYPERLINK(CONCATENATE("#metadata!", ADDRESS(INDEX($X$2:$X$1001,MATCH(ROWS($V$2:V185),$V$2:$V$1001,0),0), INDEX($AC$1004:$AS$1004,1,MATCH(COLUMNS($AC$1006:AG1006),$AC$1006:$AS$1006,0)))),"Fix")))</f>
        <v xml:space="preserve"> </v>
      </c>
      <c r="G185" s="4" t="str">
        <f ca="1">IF(OR(INDEX($W$2:$W$1001,MATCH(ROWS($V$2:V185),$V$2:$V$1001,0),1)&gt;=100000,INDEX($AC$1005:$AS$1005,1,MATCH(COLUMNS($AC$1006:AH1006),$AC$1006:$AS$1006,0))&gt;=100000), " ",IF(INDEX($AC$2:$AS$1001,MATCH(ROWS($V$2:V185),$V$2:$V$1001,0),MATCH(COLUMNS($AC$1006:AH1006),$AC$1006:$AS$1006,0)), HYPERLINK("#",""), HYPERLINK(CONCATENATE("#metadata!", ADDRESS(INDEX($X$2:$X$1001,MATCH(ROWS($V$2:V185),$V$2:$V$1001,0),0), INDEX($AC$1004:$AS$1004,1,MATCH(COLUMNS($AC$1006:AH1006),$AC$1006:$AS$1006,0)))),"Fix")))</f>
        <v xml:space="preserve"> </v>
      </c>
      <c r="H185" s="4" t="str">
        <f ca="1">IF(OR(INDEX($W$2:$W$1001,MATCH(ROWS($V$2:V185),$V$2:$V$1001,0),1)&gt;=100000,INDEX($AC$1005:$AS$1005,1,MATCH(COLUMNS($AC$1006:AI1006),$AC$1006:$AS$1006,0))&gt;=100000), " ",IF(INDEX($AC$2:$AS$1001,MATCH(ROWS($V$2:V185),$V$2:$V$1001,0),MATCH(COLUMNS($AC$1006:AI1006),$AC$1006:$AS$1006,0)), HYPERLINK("#",""), HYPERLINK(CONCATENATE("#metadata!", ADDRESS(INDEX($X$2:$X$1001,MATCH(ROWS($V$2:V185),$V$2:$V$1001,0),0), INDEX($AC$1004:$AS$1004,1,MATCH(COLUMNS($AC$1006:AI1006),$AC$1006:$AS$1006,0)))),"Fix")))</f>
        <v xml:space="preserve"> </v>
      </c>
      <c r="I185" s="4" t="str">
        <f ca="1">IF(OR(INDEX($W$2:$W$1001,MATCH(ROWS($V$2:V185),$V$2:$V$1001,0),1)&gt;=100000,INDEX($AC$1005:$AS$1005,1,MATCH(COLUMNS($AC$1006:AJ1006),$AC$1006:$AS$1006,0))&gt;=100000), " ",IF(INDEX($AC$2:$AS$1001,MATCH(ROWS($V$2:V185),$V$2:$V$1001,0),MATCH(COLUMNS($AC$1006:AJ1006),$AC$1006:$AS$1006,0)), HYPERLINK("#",""), HYPERLINK(CONCATENATE("#metadata!", ADDRESS(INDEX($X$2:$X$1001,MATCH(ROWS($V$2:V185),$V$2:$V$1001,0),0), INDEX($AC$1004:$AS$1004,1,MATCH(COLUMNS($AC$1006:AJ1006),$AC$1006:$AS$1006,0)))),"Fix")))</f>
        <v xml:space="preserve"> </v>
      </c>
      <c r="J185" s="4" t="str">
        <f ca="1">IF(OR(INDEX($W$2:$W$1001,MATCH(ROWS($V$2:V185),$V$2:$V$1001,0),1)&gt;=100000,INDEX($AC$1005:$AS$1005,1,MATCH(COLUMNS($AC$1006:AK1006),$AC$1006:$AS$1006,0))&gt;=100000), " ",IF(INDEX($AC$2:$AS$1001,MATCH(ROWS($V$2:V185),$V$2:$V$1001,0),MATCH(COLUMNS($AC$1006:AK1006),$AC$1006:$AS$1006,0)), HYPERLINK("#",""), HYPERLINK(CONCATENATE("#metadata!", ADDRESS(INDEX($X$2:$X$1001,MATCH(ROWS($V$2:V185),$V$2:$V$1001,0),0), INDEX($AC$1004:$AS$1004,1,MATCH(COLUMNS($AC$1006:AK1006),$AC$1006:$AS$1006,0)))),"Fix")))</f>
        <v xml:space="preserve"> </v>
      </c>
      <c r="K185" s="4" t="str">
        <f ca="1">IF(OR(INDEX($W$2:$W$1001,MATCH(ROWS($V$2:V185),$V$2:$V$1001,0),1)&gt;=100000,INDEX($AC$1005:$AS$1005,1,MATCH(COLUMNS($AC$1006:AL1006),$AC$1006:$AS$1006,0))&gt;=100000), " ",IF(INDEX($AC$2:$AS$1001,MATCH(ROWS($V$2:V185),$V$2:$V$1001,0),MATCH(COLUMNS($AC$1006:AL1006),$AC$1006:$AS$1006,0)), HYPERLINK("#",""), HYPERLINK(CONCATENATE("#metadata!", ADDRESS(INDEX($X$2:$X$1001,MATCH(ROWS($V$2:V185),$V$2:$V$1001,0),0), INDEX($AC$1004:$AS$1004,1,MATCH(COLUMNS($AC$1006:AL1006),$AC$1006:$AS$1006,0)))),"Fix")))</f>
        <v xml:space="preserve"> </v>
      </c>
      <c r="L185" s="4" t="str">
        <f ca="1">IF(OR(INDEX($W$2:$W$1001,MATCH(ROWS($V$2:V185),$V$2:$V$1001,0),1)&gt;=100000,INDEX($AC$1005:$AS$1005,1,MATCH(COLUMNS($AC$1006:AM1006),$AC$1006:$AS$1006,0))&gt;=100000), " ",IF(INDEX($AC$2:$AS$1001,MATCH(ROWS($V$2:V185),$V$2:$V$1001,0),MATCH(COLUMNS($AC$1006:AM1006),$AC$1006:$AS$1006,0)), HYPERLINK("#",""), HYPERLINK(CONCATENATE("#metadata!", ADDRESS(INDEX($X$2:$X$1001,MATCH(ROWS($V$2:V185),$V$2:$V$1001,0),0), INDEX($AC$1004:$AS$1004,1,MATCH(COLUMNS($AC$1006:AM1006),$AC$1006:$AS$1006,0)))),"Fix")))</f>
        <v xml:space="preserve"> </v>
      </c>
      <c r="M185" s="4" t="str">
        <f ca="1">IF(OR(INDEX($W$2:$W$1001,MATCH(ROWS($V$2:V185),$V$2:$V$1001,0),1)&gt;=100000,INDEX($AC$1005:$AS$1005,1,MATCH(COLUMNS($AC$1006:AN1006),$AC$1006:$AS$1006,0))&gt;=100000), " ",IF(INDEX($AC$2:$AS$1001,MATCH(ROWS($V$2:V185),$V$2:$V$1001,0),MATCH(COLUMNS($AC$1006:AN1006),$AC$1006:$AS$1006,0)), HYPERLINK("#",""), HYPERLINK(CONCATENATE("#metadata!", ADDRESS(INDEX($X$2:$X$1001,MATCH(ROWS($V$2:V185),$V$2:$V$1001,0),0), INDEX($AC$1004:$AS$1004,1,MATCH(COLUMNS($AC$1006:AN1006),$AC$1006:$AS$1006,0)))),"Fix")))</f>
        <v xml:space="preserve"> </v>
      </c>
      <c r="N185" s="4" t="str">
        <f ca="1">IF(OR(INDEX($W$2:$W$1001,MATCH(ROWS($V$2:V185),$V$2:$V$1001,0),1)&gt;=100000,INDEX($AC$1005:$AS$1005,1,MATCH(COLUMNS($AC$1006:AO1006),$AC$1006:$AS$1006,0))&gt;=100000), " ",IF(INDEX($AC$2:$AS$1001,MATCH(ROWS($V$2:V185),$V$2:$V$1001,0),MATCH(COLUMNS($AC$1006:AO1006),$AC$1006:$AS$1006,0)), HYPERLINK("#",""), HYPERLINK(CONCATENATE("#metadata!", ADDRESS(INDEX($X$2:$X$1001,MATCH(ROWS($V$2:V185),$V$2:$V$1001,0),0), INDEX($AC$1004:$AS$1004,1,MATCH(COLUMNS($AC$1006:AO1006),$AC$1006:$AS$1006,0)))),"Fix")))</f>
        <v xml:space="preserve"> </v>
      </c>
      <c r="O185" s="4" t="str">
        <f ca="1">IF(OR(INDEX($W$2:$W$1001,MATCH(ROWS($V$2:V185),$V$2:$V$1001,0),1)&gt;=100000,INDEX($AC$1005:$AS$1005,1,MATCH(COLUMNS($AC$1006:AP1006),$AC$1006:$AS$1006,0))&gt;=100000), " ",IF(INDEX($AC$2:$AS$1001,MATCH(ROWS($V$2:V185),$V$2:$V$1001,0),MATCH(COLUMNS($AC$1006:AP1006),$AC$1006:$AS$1006,0)), HYPERLINK("#",""), HYPERLINK(CONCATENATE("#metadata!", ADDRESS(INDEX($X$2:$X$1001,MATCH(ROWS($V$2:V185),$V$2:$V$1001,0),0), INDEX($AC$1004:$AS$1004,1,MATCH(COLUMNS($AC$1006:AP1006),$AC$1006:$AS$1006,0)))),"Fix")))</f>
        <v xml:space="preserve"> </v>
      </c>
      <c r="P185" s="4" t="str">
        <f ca="1">IF(OR(INDEX($W$2:$W$1001,MATCH(ROWS($V$2:V185),$V$2:$V$1001,0),1)&gt;=100000,INDEX($AC$1005:$AS$1005,1,MATCH(COLUMNS($AC$1006:AQ1006),$AC$1006:$AS$1006,0))&gt;=100000), " ",IF(INDEX($AC$2:$AS$1001,MATCH(ROWS($V$2:V185),$V$2:$V$1001,0),MATCH(COLUMNS($AC$1006:AQ1006),$AC$1006:$AS$1006,0)), HYPERLINK("#",""), HYPERLINK(CONCATENATE("#metadata!", ADDRESS(INDEX($X$2:$X$1001,MATCH(ROWS($V$2:V185),$V$2:$V$1001,0),0), INDEX($AC$1004:$AS$1004,1,MATCH(COLUMNS($AC$1006:AQ1006),$AC$1006:$AS$1006,0)))),"Fix")))</f>
        <v xml:space="preserve"> </v>
      </c>
      <c r="Q185" s="4" t="str">
        <f ca="1">IF(OR(INDEX($W$2:$W$1001,MATCH(ROWS($V$2:V185),$V$2:$V$1001,0),1)&gt;=100000,INDEX($AC$1005:$AS$1005,1,MATCH(COLUMNS($AC$1006:AR1006),$AC$1006:$AS$1006,0))&gt;=100000), " ",IF(INDEX($AC$2:$AS$1001,MATCH(ROWS($V$2:V185),$V$2:$V$1001,0),MATCH(COLUMNS($AC$1006:AR1006),$AC$1006:$AS$1006,0)), HYPERLINK("#",""), HYPERLINK(CONCATENATE("#metadata!", ADDRESS(INDEX($X$2:$X$1001,MATCH(ROWS($V$2:V185),$V$2:$V$1001,0),0), INDEX($AC$1004:$AS$1004,1,MATCH(COLUMNS($AC$1006:AR1006),$AC$1006:$AS$1006,0)))),"Fix")))</f>
        <v xml:space="preserve"> </v>
      </c>
      <c r="R185" s="4" t="str">
        <f ca="1">IF(OR(INDEX($W$2:$W$1001,MATCH(ROWS($V$2:V185),$V$2:$V$1001,0),1)&gt;=100000,INDEX($AC$1005:$AS$1005,1,MATCH(COLUMNS($AC$1006:AS1006),$AC$1006:$AS$1006,0))&gt;=100000), " ",IF(INDEX($AC$2:$AS$1001,MATCH(ROWS($V$2:V185),$V$2:$V$1001,0),MATCH(COLUMNS($AC$1006:AS1006),$AC$1006:$AS$1006,0)), HYPERLINK("#",""), HYPERLINK(CONCATENATE("#metadata!", ADDRESS(INDEX($X$2:$X$1001,MATCH(ROWS($V$2:V185),$V$2:$V$1001,0),0), INDEX($AC$1004:$AS$1004,1,MATCH(COLUMNS($AC$1006:AS1006),$AC$1006:$AS$1006,0)))),"Fix")))</f>
        <v xml:space="preserve"> </v>
      </c>
      <c r="V185">
        <v>184</v>
      </c>
      <c r="W185">
        <v>100185</v>
      </c>
      <c r="X185">
        <v>185</v>
      </c>
      <c r="Y185" t="b">
        <f t="shared" si="2"/>
        <v>1</v>
      </c>
      <c r="Z185" t="b">
        <f>COUNTBLANK(metadata!B185:R185)=COLUMNS(metadata!B185:R185)</f>
        <v>1</v>
      </c>
      <c r="AA185" t="str">
        <v/>
      </c>
      <c r="AC185" t="b">
        <f ca="1"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AD185" t="b">
        <f>IF(metadata!C185="",FALSE,ISNUMBER(VALUE(metadata!C185)))</f>
        <v>0</v>
      </c>
      <c r="AE185" t="b">
        <f>AND(IF(metadata!D185="",FALSE,TRUE),EXACT(metadata!D185,"years"))</f>
        <v>0</v>
      </c>
      <c r="AF185" t="b">
        <f>OR(AND(IF(metadata!E185="",FALSE,TRUE),OR(EXACT(metadata!E185,"not applicable"),EXACT(metadata!E185,"missing: not collected"),EXACT(metadata!E185,"missing: not provided"),EXACT(metadata!E185,"missing: restricted access"))),AND(IF(metadata!E185="",FALSE,ISNUMBER(VALUE(metadata!E185))),metadata!E185&gt;0))</f>
        <v>0</v>
      </c>
      <c r="AG185" t="b">
        <f>AND(IF(metadata!F185="",FALSE,TRUE),EXACT(metadata!F185,"Not applicable"))</f>
        <v>0</v>
      </c>
      <c r="AH185" t="b">
        <f>AND(IF(metadata!G185="",FALSE,TRUE),EXACT(metadata!G185,"urban biome"))</f>
        <v>0</v>
      </c>
      <c r="AI185" t="b">
        <f>AND(IF(metadata!H185="",FALSE,TRUE),EXACT(metadata!H185,"human-associated habitat"))</f>
        <v>0</v>
      </c>
      <c r="AJ185" t="b">
        <f>AND(IF(metadata!I185="",FALSE,TRUE),OR(EXACT(metadata!I185,"human-associated"),EXACT(metadata!I185,"human-skin"),EXACT(metadata!I185,"human-oral"),EXACT(metadata!I185,"human-gut"),EXACT(metadata!I185,"human-vaginal")))</f>
        <v>0</v>
      </c>
      <c r="AK185" t="b">
        <f>IF(metadata!J185="",FALSE,ISNUMBER(VALUE(metadata!J185)))</f>
        <v>0</v>
      </c>
      <c r="AL185" t="b">
        <f>AND(IF(metadata!K185="",FALSE,TRUE),EXACT(metadata!K185,"cm"))</f>
        <v>0</v>
      </c>
      <c r="AM185" t="b">
        <f>AND(IF(metadata!L185="",FALSE,TRUE),EXACT(metadata!L185,"human"))</f>
        <v>0</v>
      </c>
      <c r="AN185" t="b">
        <f>AND(IF(metadata!M185="",FALSE,TRUE),EXACT(metadata!M185,"Homo sapiens"))</f>
        <v>0</v>
      </c>
      <c r="AO185" t="b">
        <f>AND(IF(metadata!N185="",FALSE,TRUE),EXACT(metadata!N185,"9606"))</f>
        <v>0</v>
      </c>
      <c r="AP185" t="b">
        <f>IF(metadata!O185="",FALSE,TRUE)</f>
        <v>0</v>
      </c>
      <c r="AQ185" t="b">
        <f>IF(metadata!P185="",FALSE,TRUE)</f>
        <v>0</v>
      </c>
      <c r="AR185" t="b">
        <f>IF(metadata!Q185="",FALSE,ISNUMBER(VALUE(metadata!Q185)))</f>
        <v>0</v>
      </c>
      <c r="AS185" t="b">
        <f>AND(IF(metadata!R185="",FALSE,TRUE),EXACT(metadata!R185,"kg"))</f>
        <v>0</v>
      </c>
    </row>
    <row r="186" spans="1:45" x14ac:dyDescent="0.2">
      <c r="A186" s="5" t="str">
        <f ca="1">IF(B186=" "," ",HYPERLINK(CONCATENATE("#metadata!",ADDRESS(INDEX($X$2:$X$1001,MATCH(ROWS($V$2:V186),$V$2:$V$1001,0),0),1)),INDEX($AA$2:$AA$1001,MATCH(ROWS($V$2:V186),$V$2:$V$1001,0),0)))</f>
        <v xml:space="preserve"> </v>
      </c>
      <c r="B186" s="4" t="str">
        <f ca="1">IF(OR(INDEX($W$2:$W$1001,MATCH(ROWS($V$2:V186),$V$2:$V$1001,0),1)&gt;=100000,INDEX($AC$1005:$AS$1005,1,MATCH(COLUMNS($AC$1006:AC1006),$AC$1006:$AS$1006,0))&gt;=100000), " ",IF(INDEX($AC$2:$AS$1001,MATCH(ROWS($V$2:V186),$V$2:$V$1001,0),MATCH(COLUMNS($AC$1006:AC1006),$AC$1006:$AS$1006,0)), HYPERLINK("#",""), HYPERLINK(CONCATENATE("#metadata!", ADDRESS(INDEX($X$2:$X$1001,MATCH(ROWS($V$2:V186),$V$2:$V$1001,0),0), INDEX($AC$1004:$AS$1004,1,MATCH(COLUMNS($AC$1006:AC1006),$AC$1006:$AS$1006,0)))),"Fix")))</f>
        <v xml:space="preserve"> </v>
      </c>
      <c r="C186" s="4" t="str">
        <f ca="1">IF(OR(INDEX($W$2:$W$1001,MATCH(ROWS($V$2:V186),$V$2:$V$1001,0),1)&gt;=100000,INDEX($AC$1005:$AS$1005,1,MATCH(COLUMNS($AC$1006:AD1006),$AC$1006:$AS$1006,0))&gt;=100000), " ",IF(INDEX($AC$2:$AS$1001,MATCH(ROWS($V$2:V186),$V$2:$V$1001,0),MATCH(COLUMNS($AC$1006:AD1006),$AC$1006:$AS$1006,0)), HYPERLINK("#",""), HYPERLINK(CONCATENATE("#metadata!", ADDRESS(INDEX($X$2:$X$1001,MATCH(ROWS($V$2:V186),$V$2:$V$1001,0),0), INDEX($AC$1004:$AS$1004,1,MATCH(COLUMNS($AC$1006:AD1006),$AC$1006:$AS$1006,0)))),"Fix")))</f>
        <v xml:space="preserve"> </v>
      </c>
      <c r="D186" s="4" t="str">
        <f ca="1">IF(OR(INDEX($W$2:$W$1001,MATCH(ROWS($V$2:V186),$V$2:$V$1001,0),1)&gt;=100000,INDEX($AC$1005:$AS$1005,1,MATCH(COLUMNS($AC$1006:AE1006),$AC$1006:$AS$1006,0))&gt;=100000), " ",IF(INDEX($AC$2:$AS$1001,MATCH(ROWS($V$2:V186),$V$2:$V$1001,0),MATCH(COLUMNS($AC$1006:AE1006),$AC$1006:$AS$1006,0)), HYPERLINK("#",""), HYPERLINK(CONCATENATE("#metadata!", ADDRESS(INDEX($X$2:$X$1001,MATCH(ROWS($V$2:V186),$V$2:$V$1001,0),0), INDEX($AC$1004:$AS$1004,1,MATCH(COLUMNS($AC$1006:AE1006),$AC$1006:$AS$1006,0)))),"Fix")))</f>
        <v xml:space="preserve"> </v>
      </c>
      <c r="E186" s="4" t="str">
        <f ca="1">IF(OR(INDEX($W$2:$W$1001,MATCH(ROWS($V$2:V186),$V$2:$V$1001,0),1)&gt;=100000,INDEX($AC$1005:$AS$1005,1,MATCH(COLUMNS($AC$1006:AF1006),$AC$1006:$AS$1006,0))&gt;=100000), " ",IF(INDEX($AC$2:$AS$1001,MATCH(ROWS($V$2:V186),$V$2:$V$1001,0),MATCH(COLUMNS($AC$1006:AF1006),$AC$1006:$AS$1006,0)), HYPERLINK("#",""), HYPERLINK(CONCATENATE("#metadata!", ADDRESS(INDEX($X$2:$X$1001,MATCH(ROWS($V$2:V186),$V$2:$V$1001,0),0), INDEX($AC$1004:$AS$1004,1,MATCH(COLUMNS($AC$1006:AF1006),$AC$1006:$AS$1006,0)))),"Fix")))</f>
        <v xml:space="preserve"> </v>
      </c>
      <c r="F186" s="4" t="str">
        <f ca="1">IF(OR(INDEX($W$2:$W$1001,MATCH(ROWS($V$2:V186),$V$2:$V$1001,0),1)&gt;=100000,INDEX($AC$1005:$AS$1005,1,MATCH(COLUMNS($AC$1006:AG1006),$AC$1006:$AS$1006,0))&gt;=100000), " ",IF(INDEX($AC$2:$AS$1001,MATCH(ROWS($V$2:V186),$V$2:$V$1001,0),MATCH(COLUMNS($AC$1006:AG1006),$AC$1006:$AS$1006,0)), HYPERLINK("#",""), HYPERLINK(CONCATENATE("#metadata!", ADDRESS(INDEX($X$2:$X$1001,MATCH(ROWS($V$2:V186),$V$2:$V$1001,0),0), INDEX($AC$1004:$AS$1004,1,MATCH(COLUMNS($AC$1006:AG1006),$AC$1006:$AS$1006,0)))),"Fix")))</f>
        <v xml:space="preserve"> </v>
      </c>
      <c r="G186" s="4" t="str">
        <f ca="1">IF(OR(INDEX($W$2:$W$1001,MATCH(ROWS($V$2:V186),$V$2:$V$1001,0),1)&gt;=100000,INDEX($AC$1005:$AS$1005,1,MATCH(COLUMNS($AC$1006:AH1006),$AC$1006:$AS$1006,0))&gt;=100000), " ",IF(INDEX($AC$2:$AS$1001,MATCH(ROWS($V$2:V186),$V$2:$V$1001,0),MATCH(COLUMNS($AC$1006:AH1006),$AC$1006:$AS$1006,0)), HYPERLINK("#",""), HYPERLINK(CONCATENATE("#metadata!", ADDRESS(INDEX($X$2:$X$1001,MATCH(ROWS($V$2:V186),$V$2:$V$1001,0),0), INDEX($AC$1004:$AS$1004,1,MATCH(COLUMNS($AC$1006:AH1006),$AC$1006:$AS$1006,0)))),"Fix")))</f>
        <v xml:space="preserve"> </v>
      </c>
      <c r="H186" s="4" t="str">
        <f ca="1">IF(OR(INDEX($W$2:$W$1001,MATCH(ROWS($V$2:V186),$V$2:$V$1001,0),1)&gt;=100000,INDEX($AC$1005:$AS$1005,1,MATCH(COLUMNS($AC$1006:AI1006),$AC$1006:$AS$1006,0))&gt;=100000), " ",IF(INDEX($AC$2:$AS$1001,MATCH(ROWS($V$2:V186),$V$2:$V$1001,0),MATCH(COLUMNS($AC$1006:AI1006),$AC$1006:$AS$1006,0)), HYPERLINK("#",""), HYPERLINK(CONCATENATE("#metadata!", ADDRESS(INDEX($X$2:$X$1001,MATCH(ROWS($V$2:V186),$V$2:$V$1001,0),0), INDEX($AC$1004:$AS$1004,1,MATCH(COLUMNS($AC$1006:AI1006),$AC$1006:$AS$1006,0)))),"Fix")))</f>
        <v xml:space="preserve"> </v>
      </c>
      <c r="I186" s="4" t="str">
        <f ca="1">IF(OR(INDEX($W$2:$W$1001,MATCH(ROWS($V$2:V186),$V$2:$V$1001,0),1)&gt;=100000,INDEX($AC$1005:$AS$1005,1,MATCH(COLUMNS($AC$1006:AJ1006),$AC$1006:$AS$1006,0))&gt;=100000), " ",IF(INDEX($AC$2:$AS$1001,MATCH(ROWS($V$2:V186),$V$2:$V$1001,0),MATCH(COLUMNS($AC$1006:AJ1006),$AC$1006:$AS$1006,0)), HYPERLINK("#",""), HYPERLINK(CONCATENATE("#metadata!", ADDRESS(INDEX($X$2:$X$1001,MATCH(ROWS($V$2:V186),$V$2:$V$1001,0),0), INDEX($AC$1004:$AS$1004,1,MATCH(COLUMNS($AC$1006:AJ1006),$AC$1006:$AS$1006,0)))),"Fix")))</f>
        <v xml:space="preserve"> </v>
      </c>
      <c r="J186" s="4" t="str">
        <f ca="1">IF(OR(INDEX($W$2:$W$1001,MATCH(ROWS($V$2:V186),$V$2:$V$1001,0),1)&gt;=100000,INDEX($AC$1005:$AS$1005,1,MATCH(COLUMNS($AC$1006:AK1006),$AC$1006:$AS$1006,0))&gt;=100000), " ",IF(INDEX($AC$2:$AS$1001,MATCH(ROWS($V$2:V186),$V$2:$V$1001,0),MATCH(COLUMNS($AC$1006:AK1006),$AC$1006:$AS$1006,0)), HYPERLINK("#",""), HYPERLINK(CONCATENATE("#metadata!", ADDRESS(INDEX($X$2:$X$1001,MATCH(ROWS($V$2:V186),$V$2:$V$1001,0),0), INDEX($AC$1004:$AS$1004,1,MATCH(COLUMNS($AC$1006:AK1006),$AC$1006:$AS$1006,0)))),"Fix")))</f>
        <v xml:space="preserve"> </v>
      </c>
      <c r="K186" s="4" t="str">
        <f ca="1">IF(OR(INDEX($W$2:$W$1001,MATCH(ROWS($V$2:V186),$V$2:$V$1001,0),1)&gt;=100000,INDEX($AC$1005:$AS$1005,1,MATCH(COLUMNS($AC$1006:AL1006),$AC$1006:$AS$1006,0))&gt;=100000), " ",IF(INDEX($AC$2:$AS$1001,MATCH(ROWS($V$2:V186),$V$2:$V$1001,0),MATCH(COLUMNS($AC$1006:AL1006),$AC$1006:$AS$1006,0)), HYPERLINK("#",""), HYPERLINK(CONCATENATE("#metadata!", ADDRESS(INDEX($X$2:$X$1001,MATCH(ROWS($V$2:V186),$V$2:$V$1001,0),0), INDEX($AC$1004:$AS$1004,1,MATCH(COLUMNS($AC$1006:AL1006),$AC$1006:$AS$1006,0)))),"Fix")))</f>
        <v xml:space="preserve"> </v>
      </c>
      <c r="L186" s="4" t="str">
        <f ca="1">IF(OR(INDEX($W$2:$W$1001,MATCH(ROWS($V$2:V186),$V$2:$V$1001,0),1)&gt;=100000,INDEX($AC$1005:$AS$1005,1,MATCH(COLUMNS($AC$1006:AM1006),$AC$1006:$AS$1006,0))&gt;=100000), " ",IF(INDEX($AC$2:$AS$1001,MATCH(ROWS($V$2:V186),$V$2:$V$1001,0),MATCH(COLUMNS($AC$1006:AM1006),$AC$1006:$AS$1006,0)), HYPERLINK("#",""), HYPERLINK(CONCATENATE("#metadata!", ADDRESS(INDEX($X$2:$X$1001,MATCH(ROWS($V$2:V186),$V$2:$V$1001,0),0), INDEX($AC$1004:$AS$1004,1,MATCH(COLUMNS($AC$1006:AM1006),$AC$1006:$AS$1006,0)))),"Fix")))</f>
        <v xml:space="preserve"> </v>
      </c>
      <c r="M186" s="4" t="str">
        <f ca="1">IF(OR(INDEX($W$2:$W$1001,MATCH(ROWS($V$2:V186),$V$2:$V$1001,0),1)&gt;=100000,INDEX($AC$1005:$AS$1005,1,MATCH(COLUMNS($AC$1006:AN1006),$AC$1006:$AS$1006,0))&gt;=100000), " ",IF(INDEX($AC$2:$AS$1001,MATCH(ROWS($V$2:V186),$V$2:$V$1001,0),MATCH(COLUMNS($AC$1006:AN1006),$AC$1006:$AS$1006,0)), HYPERLINK("#",""), HYPERLINK(CONCATENATE("#metadata!", ADDRESS(INDEX($X$2:$X$1001,MATCH(ROWS($V$2:V186),$V$2:$V$1001,0),0), INDEX($AC$1004:$AS$1004,1,MATCH(COLUMNS($AC$1006:AN1006),$AC$1006:$AS$1006,0)))),"Fix")))</f>
        <v xml:space="preserve"> </v>
      </c>
      <c r="N186" s="4" t="str">
        <f ca="1">IF(OR(INDEX($W$2:$W$1001,MATCH(ROWS($V$2:V186),$V$2:$V$1001,0),1)&gt;=100000,INDEX($AC$1005:$AS$1005,1,MATCH(COLUMNS($AC$1006:AO1006),$AC$1006:$AS$1006,0))&gt;=100000), " ",IF(INDEX($AC$2:$AS$1001,MATCH(ROWS($V$2:V186),$V$2:$V$1001,0),MATCH(COLUMNS($AC$1006:AO1006),$AC$1006:$AS$1006,0)), HYPERLINK("#",""), HYPERLINK(CONCATENATE("#metadata!", ADDRESS(INDEX($X$2:$X$1001,MATCH(ROWS($V$2:V186),$V$2:$V$1001,0),0), INDEX($AC$1004:$AS$1004,1,MATCH(COLUMNS($AC$1006:AO1006),$AC$1006:$AS$1006,0)))),"Fix")))</f>
        <v xml:space="preserve"> </v>
      </c>
      <c r="O186" s="4" t="str">
        <f ca="1">IF(OR(INDEX($W$2:$W$1001,MATCH(ROWS($V$2:V186),$V$2:$V$1001,0),1)&gt;=100000,INDEX($AC$1005:$AS$1005,1,MATCH(COLUMNS($AC$1006:AP1006),$AC$1006:$AS$1006,0))&gt;=100000), " ",IF(INDEX($AC$2:$AS$1001,MATCH(ROWS($V$2:V186),$V$2:$V$1001,0),MATCH(COLUMNS($AC$1006:AP1006),$AC$1006:$AS$1006,0)), HYPERLINK("#",""), HYPERLINK(CONCATENATE("#metadata!", ADDRESS(INDEX($X$2:$X$1001,MATCH(ROWS($V$2:V186),$V$2:$V$1001,0),0), INDEX($AC$1004:$AS$1004,1,MATCH(COLUMNS($AC$1006:AP1006),$AC$1006:$AS$1006,0)))),"Fix")))</f>
        <v xml:space="preserve"> </v>
      </c>
      <c r="P186" s="4" t="str">
        <f ca="1">IF(OR(INDEX($W$2:$W$1001,MATCH(ROWS($V$2:V186),$V$2:$V$1001,0),1)&gt;=100000,INDEX($AC$1005:$AS$1005,1,MATCH(COLUMNS($AC$1006:AQ1006),$AC$1006:$AS$1006,0))&gt;=100000), " ",IF(INDEX($AC$2:$AS$1001,MATCH(ROWS($V$2:V186),$V$2:$V$1001,0),MATCH(COLUMNS($AC$1006:AQ1006),$AC$1006:$AS$1006,0)), HYPERLINK("#",""), HYPERLINK(CONCATENATE("#metadata!", ADDRESS(INDEX($X$2:$X$1001,MATCH(ROWS($V$2:V186),$V$2:$V$1001,0),0), INDEX($AC$1004:$AS$1004,1,MATCH(COLUMNS($AC$1006:AQ1006),$AC$1006:$AS$1006,0)))),"Fix")))</f>
        <v xml:space="preserve"> </v>
      </c>
      <c r="Q186" s="4" t="str">
        <f ca="1">IF(OR(INDEX($W$2:$W$1001,MATCH(ROWS($V$2:V186),$V$2:$V$1001,0),1)&gt;=100000,INDEX($AC$1005:$AS$1005,1,MATCH(COLUMNS($AC$1006:AR1006),$AC$1006:$AS$1006,0))&gt;=100000), " ",IF(INDEX($AC$2:$AS$1001,MATCH(ROWS($V$2:V186),$V$2:$V$1001,0),MATCH(COLUMNS($AC$1006:AR1006),$AC$1006:$AS$1006,0)), HYPERLINK("#",""), HYPERLINK(CONCATENATE("#metadata!", ADDRESS(INDEX($X$2:$X$1001,MATCH(ROWS($V$2:V186),$V$2:$V$1001,0),0), INDEX($AC$1004:$AS$1004,1,MATCH(COLUMNS($AC$1006:AR1006),$AC$1006:$AS$1006,0)))),"Fix")))</f>
        <v xml:space="preserve"> </v>
      </c>
      <c r="R186" s="4" t="str">
        <f ca="1">IF(OR(INDEX($W$2:$W$1001,MATCH(ROWS($V$2:V186),$V$2:$V$1001,0),1)&gt;=100000,INDEX($AC$1005:$AS$1005,1,MATCH(COLUMNS($AC$1006:AS1006),$AC$1006:$AS$1006,0))&gt;=100000), " ",IF(INDEX($AC$2:$AS$1001,MATCH(ROWS($V$2:V186),$V$2:$V$1001,0),MATCH(COLUMNS($AC$1006:AS1006),$AC$1006:$AS$1006,0)), HYPERLINK("#",""), HYPERLINK(CONCATENATE("#metadata!", ADDRESS(INDEX($X$2:$X$1001,MATCH(ROWS($V$2:V186),$V$2:$V$1001,0),0), INDEX($AC$1004:$AS$1004,1,MATCH(COLUMNS($AC$1006:AS1006),$AC$1006:$AS$1006,0)))),"Fix")))</f>
        <v xml:space="preserve"> </v>
      </c>
      <c r="V186">
        <v>185</v>
      </c>
      <c r="W186">
        <v>100186</v>
      </c>
      <c r="X186">
        <v>186</v>
      </c>
      <c r="Y186" t="b">
        <f t="shared" si="2"/>
        <v>1</v>
      </c>
      <c r="Z186" t="b">
        <f>COUNTBLANK(metadata!B186:R186)=COLUMNS(metadata!B186:R186)</f>
        <v>1</v>
      </c>
      <c r="AA186" t="str">
        <v/>
      </c>
      <c r="AC186" t="b">
        <f ca="1"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AD186" t="b">
        <f>IF(metadata!C186="",FALSE,ISNUMBER(VALUE(metadata!C186)))</f>
        <v>0</v>
      </c>
      <c r="AE186" t="b">
        <f>AND(IF(metadata!D186="",FALSE,TRUE),EXACT(metadata!D186,"years"))</f>
        <v>0</v>
      </c>
      <c r="AF186" t="b">
        <f>OR(AND(IF(metadata!E186="",FALSE,TRUE),OR(EXACT(metadata!E186,"not applicable"),EXACT(metadata!E186,"missing: not collected"),EXACT(metadata!E186,"missing: not provided"),EXACT(metadata!E186,"missing: restricted access"))),AND(IF(metadata!E186="",FALSE,ISNUMBER(VALUE(metadata!E186))),metadata!E186&gt;0))</f>
        <v>0</v>
      </c>
      <c r="AG186" t="b">
        <f>AND(IF(metadata!F186="",FALSE,TRUE),EXACT(metadata!F186,"Not applicable"))</f>
        <v>0</v>
      </c>
      <c r="AH186" t="b">
        <f>AND(IF(metadata!G186="",FALSE,TRUE),EXACT(metadata!G186,"urban biome"))</f>
        <v>0</v>
      </c>
      <c r="AI186" t="b">
        <f>AND(IF(metadata!H186="",FALSE,TRUE),EXACT(metadata!H186,"human-associated habitat"))</f>
        <v>0</v>
      </c>
      <c r="AJ186" t="b">
        <f>AND(IF(metadata!I186="",FALSE,TRUE),OR(EXACT(metadata!I186,"human-associated"),EXACT(metadata!I186,"human-skin"),EXACT(metadata!I186,"human-oral"),EXACT(metadata!I186,"human-gut"),EXACT(metadata!I186,"human-vaginal")))</f>
        <v>0</v>
      </c>
      <c r="AK186" t="b">
        <f>IF(metadata!J186="",FALSE,ISNUMBER(VALUE(metadata!J186)))</f>
        <v>0</v>
      </c>
      <c r="AL186" t="b">
        <f>AND(IF(metadata!K186="",FALSE,TRUE),EXACT(metadata!K186,"cm"))</f>
        <v>0</v>
      </c>
      <c r="AM186" t="b">
        <f>AND(IF(metadata!L186="",FALSE,TRUE),EXACT(metadata!L186,"human"))</f>
        <v>0</v>
      </c>
      <c r="AN186" t="b">
        <f>AND(IF(metadata!M186="",FALSE,TRUE),EXACT(metadata!M186,"Homo sapiens"))</f>
        <v>0</v>
      </c>
      <c r="AO186" t="b">
        <f>AND(IF(metadata!N186="",FALSE,TRUE),EXACT(metadata!N186,"9606"))</f>
        <v>0</v>
      </c>
      <c r="AP186" t="b">
        <f>IF(metadata!O186="",FALSE,TRUE)</f>
        <v>0</v>
      </c>
      <c r="AQ186" t="b">
        <f>IF(metadata!P186="",FALSE,TRUE)</f>
        <v>0</v>
      </c>
      <c r="AR186" t="b">
        <f>IF(metadata!Q186="",FALSE,ISNUMBER(VALUE(metadata!Q186)))</f>
        <v>0</v>
      </c>
      <c r="AS186" t="b">
        <f>AND(IF(metadata!R186="",FALSE,TRUE),EXACT(metadata!R186,"kg"))</f>
        <v>0</v>
      </c>
    </row>
    <row r="187" spans="1:45" x14ac:dyDescent="0.2">
      <c r="A187" s="5" t="str">
        <f ca="1">IF(B187=" "," ",HYPERLINK(CONCATENATE("#metadata!",ADDRESS(INDEX($X$2:$X$1001,MATCH(ROWS($V$2:V187),$V$2:$V$1001,0),0),1)),INDEX($AA$2:$AA$1001,MATCH(ROWS($V$2:V187),$V$2:$V$1001,0),0)))</f>
        <v xml:space="preserve"> </v>
      </c>
      <c r="B187" s="4" t="str">
        <f ca="1">IF(OR(INDEX($W$2:$W$1001,MATCH(ROWS($V$2:V187),$V$2:$V$1001,0),1)&gt;=100000,INDEX($AC$1005:$AS$1005,1,MATCH(COLUMNS($AC$1006:AC1006),$AC$1006:$AS$1006,0))&gt;=100000), " ",IF(INDEX($AC$2:$AS$1001,MATCH(ROWS($V$2:V187),$V$2:$V$1001,0),MATCH(COLUMNS($AC$1006:AC1006),$AC$1006:$AS$1006,0)), HYPERLINK("#",""), HYPERLINK(CONCATENATE("#metadata!", ADDRESS(INDEX($X$2:$X$1001,MATCH(ROWS($V$2:V187),$V$2:$V$1001,0),0), INDEX($AC$1004:$AS$1004,1,MATCH(COLUMNS($AC$1006:AC1006),$AC$1006:$AS$1006,0)))),"Fix")))</f>
        <v xml:space="preserve"> </v>
      </c>
      <c r="C187" s="4" t="str">
        <f ca="1">IF(OR(INDEX($W$2:$W$1001,MATCH(ROWS($V$2:V187),$V$2:$V$1001,0),1)&gt;=100000,INDEX($AC$1005:$AS$1005,1,MATCH(COLUMNS($AC$1006:AD1006),$AC$1006:$AS$1006,0))&gt;=100000), " ",IF(INDEX($AC$2:$AS$1001,MATCH(ROWS($V$2:V187),$V$2:$V$1001,0),MATCH(COLUMNS($AC$1006:AD1006),$AC$1006:$AS$1006,0)), HYPERLINK("#",""), HYPERLINK(CONCATENATE("#metadata!", ADDRESS(INDEX($X$2:$X$1001,MATCH(ROWS($V$2:V187),$V$2:$V$1001,0),0), INDEX($AC$1004:$AS$1004,1,MATCH(COLUMNS($AC$1006:AD1006),$AC$1006:$AS$1006,0)))),"Fix")))</f>
        <v xml:space="preserve"> </v>
      </c>
      <c r="D187" s="4" t="str">
        <f ca="1">IF(OR(INDEX($W$2:$W$1001,MATCH(ROWS($V$2:V187),$V$2:$V$1001,0),1)&gt;=100000,INDEX($AC$1005:$AS$1005,1,MATCH(COLUMNS($AC$1006:AE1006),$AC$1006:$AS$1006,0))&gt;=100000), " ",IF(INDEX($AC$2:$AS$1001,MATCH(ROWS($V$2:V187),$V$2:$V$1001,0),MATCH(COLUMNS($AC$1006:AE1006),$AC$1006:$AS$1006,0)), HYPERLINK("#",""), HYPERLINK(CONCATENATE("#metadata!", ADDRESS(INDEX($X$2:$X$1001,MATCH(ROWS($V$2:V187),$V$2:$V$1001,0),0), INDEX($AC$1004:$AS$1004,1,MATCH(COLUMNS($AC$1006:AE1006),$AC$1006:$AS$1006,0)))),"Fix")))</f>
        <v xml:space="preserve"> </v>
      </c>
      <c r="E187" s="4" t="str">
        <f ca="1">IF(OR(INDEX($W$2:$W$1001,MATCH(ROWS($V$2:V187),$V$2:$V$1001,0),1)&gt;=100000,INDEX($AC$1005:$AS$1005,1,MATCH(COLUMNS($AC$1006:AF1006),$AC$1006:$AS$1006,0))&gt;=100000), " ",IF(INDEX($AC$2:$AS$1001,MATCH(ROWS($V$2:V187),$V$2:$V$1001,0),MATCH(COLUMNS($AC$1006:AF1006),$AC$1006:$AS$1006,0)), HYPERLINK("#",""), HYPERLINK(CONCATENATE("#metadata!", ADDRESS(INDEX($X$2:$X$1001,MATCH(ROWS($V$2:V187),$V$2:$V$1001,0),0), INDEX($AC$1004:$AS$1004,1,MATCH(COLUMNS($AC$1006:AF1006),$AC$1006:$AS$1006,0)))),"Fix")))</f>
        <v xml:space="preserve"> </v>
      </c>
      <c r="F187" s="4" t="str">
        <f ca="1">IF(OR(INDEX($W$2:$W$1001,MATCH(ROWS($V$2:V187),$V$2:$V$1001,0),1)&gt;=100000,INDEX($AC$1005:$AS$1005,1,MATCH(COLUMNS($AC$1006:AG1006),$AC$1006:$AS$1006,0))&gt;=100000), " ",IF(INDEX($AC$2:$AS$1001,MATCH(ROWS($V$2:V187),$V$2:$V$1001,0),MATCH(COLUMNS($AC$1006:AG1006),$AC$1006:$AS$1006,0)), HYPERLINK("#",""), HYPERLINK(CONCATENATE("#metadata!", ADDRESS(INDEX($X$2:$X$1001,MATCH(ROWS($V$2:V187),$V$2:$V$1001,0),0), INDEX($AC$1004:$AS$1004,1,MATCH(COLUMNS($AC$1006:AG1006),$AC$1006:$AS$1006,0)))),"Fix")))</f>
        <v xml:space="preserve"> </v>
      </c>
      <c r="G187" s="4" t="str">
        <f ca="1">IF(OR(INDEX($W$2:$W$1001,MATCH(ROWS($V$2:V187),$V$2:$V$1001,0),1)&gt;=100000,INDEX($AC$1005:$AS$1005,1,MATCH(COLUMNS($AC$1006:AH1006),$AC$1006:$AS$1006,0))&gt;=100000), " ",IF(INDEX($AC$2:$AS$1001,MATCH(ROWS($V$2:V187),$V$2:$V$1001,0),MATCH(COLUMNS($AC$1006:AH1006),$AC$1006:$AS$1006,0)), HYPERLINK("#",""), HYPERLINK(CONCATENATE("#metadata!", ADDRESS(INDEX($X$2:$X$1001,MATCH(ROWS($V$2:V187),$V$2:$V$1001,0),0), INDEX($AC$1004:$AS$1004,1,MATCH(COLUMNS($AC$1006:AH1006),$AC$1006:$AS$1006,0)))),"Fix")))</f>
        <v xml:space="preserve"> </v>
      </c>
      <c r="H187" s="4" t="str">
        <f ca="1">IF(OR(INDEX($W$2:$W$1001,MATCH(ROWS($V$2:V187),$V$2:$V$1001,0),1)&gt;=100000,INDEX($AC$1005:$AS$1005,1,MATCH(COLUMNS($AC$1006:AI1006),$AC$1006:$AS$1006,0))&gt;=100000), " ",IF(INDEX($AC$2:$AS$1001,MATCH(ROWS($V$2:V187),$V$2:$V$1001,0),MATCH(COLUMNS($AC$1006:AI1006),$AC$1006:$AS$1006,0)), HYPERLINK("#",""), HYPERLINK(CONCATENATE("#metadata!", ADDRESS(INDEX($X$2:$X$1001,MATCH(ROWS($V$2:V187),$V$2:$V$1001,0),0), INDEX($AC$1004:$AS$1004,1,MATCH(COLUMNS($AC$1006:AI1006),$AC$1006:$AS$1006,0)))),"Fix")))</f>
        <v xml:space="preserve"> </v>
      </c>
      <c r="I187" s="4" t="str">
        <f ca="1">IF(OR(INDEX($W$2:$W$1001,MATCH(ROWS($V$2:V187),$V$2:$V$1001,0),1)&gt;=100000,INDEX($AC$1005:$AS$1005,1,MATCH(COLUMNS($AC$1006:AJ1006),$AC$1006:$AS$1006,0))&gt;=100000), " ",IF(INDEX($AC$2:$AS$1001,MATCH(ROWS($V$2:V187),$V$2:$V$1001,0),MATCH(COLUMNS($AC$1006:AJ1006),$AC$1006:$AS$1006,0)), HYPERLINK("#",""), HYPERLINK(CONCATENATE("#metadata!", ADDRESS(INDEX($X$2:$X$1001,MATCH(ROWS($V$2:V187),$V$2:$V$1001,0),0), INDEX($AC$1004:$AS$1004,1,MATCH(COLUMNS($AC$1006:AJ1006),$AC$1006:$AS$1006,0)))),"Fix")))</f>
        <v xml:space="preserve"> </v>
      </c>
      <c r="J187" s="4" t="str">
        <f ca="1">IF(OR(INDEX($W$2:$W$1001,MATCH(ROWS($V$2:V187),$V$2:$V$1001,0),1)&gt;=100000,INDEX($AC$1005:$AS$1005,1,MATCH(COLUMNS($AC$1006:AK1006),$AC$1006:$AS$1006,0))&gt;=100000), " ",IF(INDEX($AC$2:$AS$1001,MATCH(ROWS($V$2:V187),$V$2:$V$1001,0),MATCH(COLUMNS($AC$1006:AK1006),$AC$1006:$AS$1006,0)), HYPERLINK("#",""), HYPERLINK(CONCATENATE("#metadata!", ADDRESS(INDEX($X$2:$X$1001,MATCH(ROWS($V$2:V187),$V$2:$V$1001,0),0), INDEX($AC$1004:$AS$1004,1,MATCH(COLUMNS($AC$1006:AK1006),$AC$1006:$AS$1006,0)))),"Fix")))</f>
        <v xml:space="preserve"> </v>
      </c>
      <c r="K187" s="4" t="str">
        <f ca="1">IF(OR(INDEX($W$2:$W$1001,MATCH(ROWS($V$2:V187),$V$2:$V$1001,0),1)&gt;=100000,INDEX($AC$1005:$AS$1005,1,MATCH(COLUMNS($AC$1006:AL1006),$AC$1006:$AS$1006,0))&gt;=100000), " ",IF(INDEX($AC$2:$AS$1001,MATCH(ROWS($V$2:V187),$V$2:$V$1001,0),MATCH(COLUMNS($AC$1006:AL1006),$AC$1006:$AS$1006,0)), HYPERLINK("#",""), HYPERLINK(CONCATENATE("#metadata!", ADDRESS(INDEX($X$2:$X$1001,MATCH(ROWS($V$2:V187),$V$2:$V$1001,0),0), INDEX($AC$1004:$AS$1004,1,MATCH(COLUMNS($AC$1006:AL1006),$AC$1006:$AS$1006,0)))),"Fix")))</f>
        <v xml:space="preserve"> </v>
      </c>
      <c r="L187" s="4" t="str">
        <f ca="1">IF(OR(INDEX($W$2:$W$1001,MATCH(ROWS($V$2:V187),$V$2:$V$1001,0),1)&gt;=100000,INDEX($AC$1005:$AS$1005,1,MATCH(COLUMNS($AC$1006:AM1006),$AC$1006:$AS$1006,0))&gt;=100000), " ",IF(INDEX($AC$2:$AS$1001,MATCH(ROWS($V$2:V187),$V$2:$V$1001,0),MATCH(COLUMNS($AC$1006:AM1006),$AC$1006:$AS$1006,0)), HYPERLINK("#",""), HYPERLINK(CONCATENATE("#metadata!", ADDRESS(INDEX($X$2:$X$1001,MATCH(ROWS($V$2:V187),$V$2:$V$1001,0),0), INDEX($AC$1004:$AS$1004,1,MATCH(COLUMNS($AC$1006:AM1006),$AC$1006:$AS$1006,0)))),"Fix")))</f>
        <v xml:space="preserve"> </v>
      </c>
      <c r="M187" s="4" t="str">
        <f ca="1">IF(OR(INDEX($W$2:$W$1001,MATCH(ROWS($V$2:V187),$V$2:$V$1001,0),1)&gt;=100000,INDEX($AC$1005:$AS$1005,1,MATCH(COLUMNS($AC$1006:AN1006),$AC$1006:$AS$1006,0))&gt;=100000), " ",IF(INDEX($AC$2:$AS$1001,MATCH(ROWS($V$2:V187),$V$2:$V$1001,0),MATCH(COLUMNS($AC$1006:AN1006),$AC$1006:$AS$1006,0)), HYPERLINK("#",""), HYPERLINK(CONCATENATE("#metadata!", ADDRESS(INDEX($X$2:$X$1001,MATCH(ROWS($V$2:V187),$V$2:$V$1001,0),0), INDEX($AC$1004:$AS$1004,1,MATCH(COLUMNS($AC$1006:AN1006),$AC$1006:$AS$1006,0)))),"Fix")))</f>
        <v xml:space="preserve"> </v>
      </c>
      <c r="N187" s="4" t="str">
        <f ca="1">IF(OR(INDEX($W$2:$W$1001,MATCH(ROWS($V$2:V187),$V$2:$V$1001,0),1)&gt;=100000,INDEX($AC$1005:$AS$1005,1,MATCH(COLUMNS($AC$1006:AO1006),$AC$1006:$AS$1006,0))&gt;=100000), " ",IF(INDEX($AC$2:$AS$1001,MATCH(ROWS($V$2:V187),$V$2:$V$1001,0),MATCH(COLUMNS($AC$1006:AO1006),$AC$1006:$AS$1006,0)), HYPERLINK("#",""), HYPERLINK(CONCATENATE("#metadata!", ADDRESS(INDEX($X$2:$X$1001,MATCH(ROWS($V$2:V187),$V$2:$V$1001,0),0), INDEX($AC$1004:$AS$1004,1,MATCH(COLUMNS($AC$1006:AO1006),$AC$1006:$AS$1006,0)))),"Fix")))</f>
        <v xml:space="preserve"> </v>
      </c>
      <c r="O187" s="4" t="str">
        <f ca="1">IF(OR(INDEX($W$2:$W$1001,MATCH(ROWS($V$2:V187),$V$2:$V$1001,0),1)&gt;=100000,INDEX($AC$1005:$AS$1005,1,MATCH(COLUMNS($AC$1006:AP1006),$AC$1006:$AS$1006,0))&gt;=100000), " ",IF(INDEX($AC$2:$AS$1001,MATCH(ROWS($V$2:V187),$V$2:$V$1001,0),MATCH(COLUMNS($AC$1006:AP1006),$AC$1006:$AS$1006,0)), HYPERLINK("#",""), HYPERLINK(CONCATENATE("#metadata!", ADDRESS(INDEX($X$2:$X$1001,MATCH(ROWS($V$2:V187),$V$2:$V$1001,0),0), INDEX($AC$1004:$AS$1004,1,MATCH(COLUMNS($AC$1006:AP1006),$AC$1006:$AS$1006,0)))),"Fix")))</f>
        <v xml:space="preserve"> </v>
      </c>
      <c r="P187" s="4" t="str">
        <f ca="1">IF(OR(INDEX($W$2:$W$1001,MATCH(ROWS($V$2:V187),$V$2:$V$1001,0),1)&gt;=100000,INDEX($AC$1005:$AS$1005,1,MATCH(COLUMNS($AC$1006:AQ1006),$AC$1006:$AS$1006,0))&gt;=100000), " ",IF(INDEX($AC$2:$AS$1001,MATCH(ROWS($V$2:V187),$V$2:$V$1001,0),MATCH(COLUMNS($AC$1006:AQ1006),$AC$1006:$AS$1006,0)), HYPERLINK("#",""), HYPERLINK(CONCATENATE("#metadata!", ADDRESS(INDEX($X$2:$X$1001,MATCH(ROWS($V$2:V187),$V$2:$V$1001,0),0), INDEX($AC$1004:$AS$1004,1,MATCH(COLUMNS($AC$1006:AQ1006),$AC$1006:$AS$1006,0)))),"Fix")))</f>
        <v xml:space="preserve"> </v>
      </c>
      <c r="Q187" s="4" t="str">
        <f ca="1">IF(OR(INDEX($W$2:$W$1001,MATCH(ROWS($V$2:V187),$V$2:$V$1001,0),1)&gt;=100000,INDEX($AC$1005:$AS$1005,1,MATCH(COLUMNS($AC$1006:AR1006),$AC$1006:$AS$1006,0))&gt;=100000), " ",IF(INDEX($AC$2:$AS$1001,MATCH(ROWS($V$2:V187),$V$2:$V$1001,0),MATCH(COLUMNS($AC$1006:AR1006),$AC$1006:$AS$1006,0)), HYPERLINK("#",""), HYPERLINK(CONCATENATE("#metadata!", ADDRESS(INDEX($X$2:$X$1001,MATCH(ROWS($V$2:V187),$V$2:$V$1001,0),0), INDEX($AC$1004:$AS$1004,1,MATCH(COLUMNS($AC$1006:AR1006),$AC$1006:$AS$1006,0)))),"Fix")))</f>
        <v xml:space="preserve"> </v>
      </c>
      <c r="R187" s="4" t="str">
        <f ca="1">IF(OR(INDEX($W$2:$W$1001,MATCH(ROWS($V$2:V187),$V$2:$V$1001,0),1)&gt;=100000,INDEX($AC$1005:$AS$1005,1,MATCH(COLUMNS($AC$1006:AS1006),$AC$1006:$AS$1006,0))&gt;=100000), " ",IF(INDEX($AC$2:$AS$1001,MATCH(ROWS($V$2:V187),$V$2:$V$1001,0),MATCH(COLUMNS($AC$1006:AS1006),$AC$1006:$AS$1006,0)), HYPERLINK("#",""), HYPERLINK(CONCATENATE("#metadata!", ADDRESS(INDEX($X$2:$X$1001,MATCH(ROWS($V$2:V187),$V$2:$V$1001,0),0), INDEX($AC$1004:$AS$1004,1,MATCH(COLUMNS($AC$1006:AS1006),$AC$1006:$AS$1006,0)))),"Fix")))</f>
        <v xml:space="preserve"> </v>
      </c>
      <c r="V187">
        <v>186</v>
      </c>
      <c r="W187">
        <v>100187</v>
      </c>
      <c r="X187">
        <v>187</v>
      </c>
      <c r="Y187" t="b">
        <f t="shared" si="2"/>
        <v>1</v>
      </c>
      <c r="Z187" t="b">
        <f>COUNTBLANK(metadata!B187:R187)=COLUMNS(metadata!B187:R187)</f>
        <v>1</v>
      </c>
      <c r="AA187" t="str">
        <v/>
      </c>
      <c r="AC187" t="b">
        <f ca="1"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AD187" t="b">
        <f>IF(metadata!C187="",FALSE,ISNUMBER(VALUE(metadata!C187)))</f>
        <v>0</v>
      </c>
      <c r="AE187" t="b">
        <f>AND(IF(metadata!D187="",FALSE,TRUE),EXACT(metadata!D187,"years"))</f>
        <v>0</v>
      </c>
      <c r="AF187" t="b">
        <f>OR(AND(IF(metadata!E187="",FALSE,TRUE),OR(EXACT(metadata!E187,"not applicable"),EXACT(metadata!E187,"missing: not collected"),EXACT(metadata!E187,"missing: not provided"),EXACT(metadata!E187,"missing: restricted access"))),AND(IF(metadata!E187="",FALSE,ISNUMBER(VALUE(metadata!E187))),metadata!E187&gt;0))</f>
        <v>0</v>
      </c>
      <c r="AG187" t="b">
        <f>AND(IF(metadata!F187="",FALSE,TRUE),EXACT(metadata!F187,"Not applicable"))</f>
        <v>0</v>
      </c>
      <c r="AH187" t="b">
        <f>AND(IF(metadata!G187="",FALSE,TRUE),EXACT(metadata!G187,"urban biome"))</f>
        <v>0</v>
      </c>
      <c r="AI187" t="b">
        <f>AND(IF(metadata!H187="",FALSE,TRUE),EXACT(metadata!H187,"human-associated habitat"))</f>
        <v>0</v>
      </c>
      <c r="AJ187" t="b">
        <f>AND(IF(metadata!I187="",FALSE,TRUE),OR(EXACT(metadata!I187,"human-associated"),EXACT(metadata!I187,"human-skin"),EXACT(metadata!I187,"human-oral"),EXACT(metadata!I187,"human-gut"),EXACT(metadata!I187,"human-vaginal")))</f>
        <v>0</v>
      </c>
      <c r="AK187" t="b">
        <f>IF(metadata!J187="",FALSE,ISNUMBER(VALUE(metadata!J187)))</f>
        <v>0</v>
      </c>
      <c r="AL187" t="b">
        <f>AND(IF(metadata!K187="",FALSE,TRUE),EXACT(metadata!K187,"cm"))</f>
        <v>0</v>
      </c>
      <c r="AM187" t="b">
        <f>AND(IF(metadata!L187="",FALSE,TRUE),EXACT(metadata!L187,"human"))</f>
        <v>0</v>
      </c>
      <c r="AN187" t="b">
        <f>AND(IF(metadata!M187="",FALSE,TRUE),EXACT(metadata!M187,"Homo sapiens"))</f>
        <v>0</v>
      </c>
      <c r="AO187" t="b">
        <f>AND(IF(metadata!N187="",FALSE,TRUE),EXACT(metadata!N187,"9606"))</f>
        <v>0</v>
      </c>
      <c r="AP187" t="b">
        <f>IF(metadata!O187="",FALSE,TRUE)</f>
        <v>0</v>
      </c>
      <c r="AQ187" t="b">
        <f>IF(metadata!P187="",FALSE,TRUE)</f>
        <v>0</v>
      </c>
      <c r="AR187" t="b">
        <f>IF(metadata!Q187="",FALSE,ISNUMBER(VALUE(metadata!Q187)))</f>
        <v>0</v>
      </c>
      <c r="AS187" t="b">
        <f>AND(IF(metadata!R187="",FALSE,TRUE),EXACT(metadata!R187,"kg"))</f>
        <v>0</v>
      </c>
    </row>
    <row r="188" spans="1:45" x14ac:dyDescent="0.2">
      <c r="A188" s="5" t="str">
        <f ca="1">IF(B188=" "," ",HYPERLINK(CONCATENATE("#metadata!",ADDRESS(INDEX($X$2:$X$1001,MATCH(ROWS($V$2:V188),$V$2:$V$1001,0),0),1)),INDEX($AA$2:$AA$1001,MATCH(ROWS($V$2:V188),$V$2:$V$1001,0),0)))</f>
        <v xml:space="preserve"> </v>
      </c>
      <c r="B188" s="4" t="str">
        <f ca="1">IF(OR(INDEX($W$2:$W$1001,MATCH(ROWS($V$2:V188),$V$2:$V$1001,0),1)&gt;=100000,INDEX($AC$1005:$AS$1005,1,MATCH(COLUMNS($AC$1006:AC1006),$AC$1006:$AS$1006,0))&gt;=100000), " ",IF(INDEX($AC$2:$AS$1001,MATCH(ROWS($V$2:V188),$V$2:$V$1001,0),MATCH(COLUMNS($AC$1006:AC1006),$AC$1006:$AS$1006,0)), HYPERLINK("#",""), HYPERLINK(CONCATENATE("#metadata!", ADDRESS(INDEX($X$2:$X$1001,MATCH(ROWS($V$2:V188),$V$2:$V$1001,0),0), INDEX($AC$1004:$AS$1004,1,MATCH(COLUMNS($AC$1006:AC1006),$AC$1006:$AS$1006,0)))),"Fix")))</f>
        <v xml:space="preserve"> </v>
      </c>
      <c r="C188" s="4" t="str">
        <f ca="1">IF(OR(INDEX($W$2:$W$1001,MATCH(ROWS($V$2:V188),$V$2:$V$1001,0),1)&gt;=100000,INDEX($AC$1005:$AS$1005,1,MATCH(COLUMNS($AC$1006:AD1006),$AC$1006:$AS$1006,0))&gt;=100000), " ",IF(INDEX($AC$2:$AS$1001,MATCH(ROWS($V$2:V188),$V$2:$V$1001,0),MATCH(COLUMNS($AC$1006:AD1006),$AC$1006:$AS$1006,0)), HYPERLINK("#",""), HYPERLINK(CONCATENATE("#metadata!", ADDRESS(INDEX($X$2:$X$1001,MATCH(ROWS($V$2:V188),$V$2:$V$1001,0),0), INDEX($AC$1004:$AS$1004,1,MATCH(COLUMNS($AC$1006:AD1006),$AC$1006:$AS$1006,0)))),"Fix")))</f>
        <v xml:space="preserve"> </v>
      </c>
      <c r="D188" s="4" t="str">
        <f ca="1">IF(OR(INDEX($W$2:$W$1001,MATCH(ROWS($V$2:V188),$V$2:$V$1001,0),1)&gt;=100000,INDEX($AC$1005:$AS$1005,1,MATCH(COLUMNS($AC$1006:AE1006),$AC$1006:$AS$1006,0))&gt;=100000), " ",IF(INDEX($AC$2:$AS$1001,MATCH(ROWS($V$2:V188),$V$2:$V$1001,0),MATCH(COLUMNS($AC$1006:AE1006),$AC$1006:$AS$1006,0)), HYPERLINK("#",""), HYPERLINK(CONCATENATE("#metadata!", ADDRESS(INDEX($X$2:$X$1001,MATCH(ROWS($V$2:V188),$V$2:$V$1001,0),0), INDEX($AC$1004:$AS$1004,1,MATCH(COLUMNS($AC$1006:AE1006),$AC$1006:$AS$1006,0)))),"Fix")))</f>
        <v xml:space="preserve"> </v>
      </c>
      <c r="E188" s="4" t="str">
        <f ca="1">IF(OR(INDEX($W$2:$W$1001,MATCH(ROWS($V$2:V188),$V$2:$V$1001,0),1)&gt;=100000,INDEX($AC$1005:$AS$1005,1,MATCH(COLUMNS($AC$1006:AF1006),$AC$1006:$AS$1006,0))&gt;=100000), " ",IF(INDEX($AC$2:$AS$1001,MATCH(ROWS($V$2:V188),$V$2:$V$1001,0),MATCH(COLUMNS($AC$1006:AF1006),$AC$1006:$AS$1006,0)), HYPERLINK("#",""), HYPERLINK(CONCATENATE("#metadata!", ADDRESS(INDEX($X$2:$X$1001,MATCH(ROWS($V$2:V188),$V$2:$V$1001,0),0), INDEX($AC$1004:$AS$1004,1,MATCH(COLUMNS($AC$1006:AF1006),$AC$1006:$AS$1006,0)))),"Fix")))</f>
        <v xml:space="preserve"> </v>
      </c>
      <c r="F188" s="4" t="str">
        <f ca="1">IF(OR(INDEX($W$2:$W$1001,MATCH(ROWS($V$2:V188),$V$2:$V$1001,0),1)&gt;=100000,INDEX($AC$1005:$AS$1005,1,MATCH(COLUMNS($AC$1006:AG1006),$AC$1006:$AS$1006,0))&gt;=100000), " ",IF(INDEX($AC$2:$AS$1001,MATCH(ROWS($V$2:V188),$V$2:$V$1001,0),MATCH(COLUMNS($AC$1006:AG1006),$AC$1006:$AS$1006,0)), HYPERLINK("#",""), HYPERLINK(CONCATENATE("#metadata!", ADDRESS(INDEX($X$2:$X$1001,MATCH(ROWS($V$2:V188),$V$2:$V$1001,0),0), INDEX($AC$1004:$AS$1004,1,MATCH(COLUMNS($AC$1006:AG1006),$AC$1006:$AS$1006,0)))),"Fix")))</f>
        <v xml:space="preserve"> </v>
      </c>
      <c r="G188" s="4" t="str">
        <f ca="1">IF(OR(INDEX($W$2:$W$1001,MATCH(ROWS($V$2:V188),$V$2:$V$1001,0),1)&gt;=100000,INDEX($AC$1005:$AS$1005,1,MATCH(COLUMNS($AC$1006:AH1006),$AC$1006:$AS$1006,0))&gt;=100000), " ",IF(INDEX($AC$2:$AS$1001,MATCH(ROWS($V$2:V188),$V$2:$V$1001,0),MATCH(COLUMNS($AC$1006:AH1006),$AC$1006:$AS$1006,0)), HYPERLINK("#",""), HYPERLINK(CONCATENATE("#metadata!", ADDRESS(INDEX($X$2:$X$1001,MATCH(ROWS($V$2:V188),$V$2:$V$1001,0),0), INDEX($AC$1004:$AS$1004,1,MATCH(COLUMNS($AC$1006:AH1006),$AC$1006:$AS$1006,0)))),"Fix")))</f>
        <v xml:space="preserve"> </v>
      </c>
      <c r="H188" s="4" t="str">
        <f ca="1">IF(OR(INDEX($W$2:$W$1001,MATCH(ROWS($V$2:V188),$V$2:$V$1001,0),1)&gt;=100000,INDEX($AC$1005:$AS$1005,1,MATCH(COLUMNS($AC$1006:AI1006),$AC$1006:$AS$1006,0))&gt;=100000), " ",IF(INDEX($AC$2:$AS$1001,MATCH(ROWS($V$2:V188),$V$2:$V$1001,0),MATCH(COLUMNS($AC$1006:AI1006),$AC$1006:$AS$1006,0)), HYPERLINK("#",""), HYPERLINK(CONCATENATE("#metadata!", ADDRESS(INDEX($X$2:$X$1001,MATCH(ROWS($V$2:V188),$V$2:$V$1001,0),0), INDEX($AC$1004:$AS$1004,1,MATCH(COLUMNS($AC$1006:AI1006),$AC$1006:$AS$1006,0)))),"Fix")))</f>
        <v xml:space="preserve"> </v>
      </c>
      <c r="I188" s="4" t="str">
        <f ca="1">IF(OR(INDEX($W$2:$W$1001,MATCH(ROWS($V$2:V188),$V$2:$V$1001,0),1)&gt;=100000,INDEX($AC$1005:$AS$1005,1,MATCH(COLUMNS($AC$1006:AJ1006),$AC$1006:$AS$1006,0))&gt;=100000), " ",IF(INDEX($AC$2:$AS$1001,MATCH(ROWS($V$2:V188),$V$2:$V$1001,0),MATCH(COLUMNS($AC$1006:AJ1006),$AC$1006:$AS$1006,0)), HYPERLINK("#",""), HYPERLINK(CONCATENATE("#metadata!", ADDRESS(INDEX($X$2:$X$1001,MATCH(ROWS($V$2:V188),$V$2:$V$1001,0),0), INDEX($AC$1004:$AS$1004,1,MATCH(COLUMNS($AC$1006:AJ1006),$AC$1006:$AS$1006,0)))),"Fix")))</f>
        <v xml:space="preserve"> </v>
      </c>
      <c r="J188" s="4" t="str">
        <f ca="1">IF(OR(INDEX($W$2:$W$1001,MATCH(ROWS($V$2:V188),$V$2:$V$1001,0),1)&gt;=100000,INDEX($AC$1005:$AS$1005,1,MATCH(COLUMNS($AC$1006:AK1006),$AC$1006:$AS$1006,0))&gt;=100000), " ",IF(INDEX($AC$2:$AS$1001,MATCH(ROWS($V$2:V188),$V$2:$V$1001,0),MATCH(COLUMNS($AC$1006:AK1006),$AC$1006:$AS$1006,0)), HYPERLINK("#",""), HYPERLINK(CONCATENATE("#metadata!", ADDRESS(INDEX($X$2:$X$1001,MATCH(ROWS($V$2:V188),$V$2:$V$1001,0),0), INDEX($AC$1004:$AS$1004,1,MATCH(COLUMNS($AC$1006:AK1006),$AC$1006:$AS$1006,0)))),"Fix")))</f>
        <v xml:space="preserve"> </v>
      </c>
      <c r="K188" s="4" t="str">
        <f ca="1">IF(OR(INDEX($W$2:$W$1001,MATCH(ROWS($V$2:V188),$V$2:$V$1001,0),1)&gt;=100000,INDEX($AC$1005:$AS$1005,1,MATCH(COLUMNS($AC$1006:AL1006),$AC$1006:$AS$1006,0))&gt;=100000), " ",IF(INDEX($AC$2:$AS$1001,MATCH(ROWS($V$2:V188),$V$2:$V$1001,0),MATCH(COLUMNS($AC$1006:AL1006),$AC$1006:$AS$1006,0)), HYPERLINK("#",""), HYPERLINK(CONCATENATE("#metadata!", ADDRESS(INDEX($X$2:$X$1001,MATCH(ROWS($V$2:V188),$V$2:$V$1001,0),0), INDEX($AC$1004:$AS$1004,1,MATCH(COLUMNS($AC$1006:AL1006),$AC$1006:$AS$1006,0)))),"Fix")))</f>
        <v xml:space="preserve"> </v>
      </c>
      <c r="L188" s="4" t="str">
        <f ca="1">IF(OR(INDEX($W$2:$W$1001,MATCH(ROWS($V$2:V188),$V$2:$V$1001,0),1)&gt;=100000,INDEX($AC$1005:$AS$1005,1,MATCH(COLUMNS($AC$1006:AM1006),$AC$1006:$AS$1006,0))&gt;=100000), " ",IF(INDEX($AC$2:$AS$1001,MATCH(ROWS($V$2:V188),$V$2:$V$1001,0),MATCH(COLUMNS($AC$1006:AM1006),$AC$1006:$AS$1006,0)), HYPERLINK("#",""), HYPERLINK(CONCATENATE("#metadata!", ADDRESS(INDEX($X$2:$X$1001,MATCH(ROWS($V$2:V188),$V$2:$V$1001,0),0), INDEX($AC$1004:$AS$1004,1,MATCH(COLUMNS($AC$1006:AM1006),$AC$1006:$AS$1006,0)))),"Fix")))</f>
        <v xml:space="preserve"> </v>
      </c>
      <c r="M188" s="4" t="str">
        <f ca="1">IF(OR(INDEX($W$2:$W$1001,MATCH(ROWS($V$2:V188),$V$2:$V$1001,0),1)&gt;=100000,INDEX($AC$1005:$AS$1005,1,MATCH(COLUMNS($AC$1006:AN1006),$AC$1006:$AS$1006,0))&gt;=100000), " ",IF(INDEX($AC$2:$AS$1001,MATCH(ROWS($V$2:V188),$V$2:$V$1001,0),MATCH(COLUMNS($AC$1006:AN1006),$AC$1006:$AS$1006,0)), HYPERLINK("#",""), HYPERLINK(CONCATENATE("#metadata!", ADDRESS(INDEX($X$2:$X$1001,MATCH(ROWS($V$2:V188),$V$2:$V$1001,0),0), INDEX($AC$1004:$AS$1004,1,MATCH(COLUMNS($AC$1006:AN1006),$AC$1006:$AS$1006,0)))),"Fix")))</f>
        <v xml:space="preserve"> </v>
      </c>
      <c r="N188" s="4" t="str">
        <f ca="1">IF(OR(INDEX($W$2:$W$1001,MATCH(ROWS($V$2:V188),$V$2:$V$1001,0),1)&gt;=100000,INDEX($AC$1005:$AS$1005,1,MATCH(COLUMNS($AC$1006:AO1006),$AC$1006:$AS$1006,0))&gt;=100000), " ",IF(INDEX($AC$2:$AS$1001,MATCH(ROWS($V$2:V188),$V$2:$V$1001,0),MATCH(COLUMNS($AC$1006:AO1006),$AC$1006:$AS$1006,0)), HYPERLINK("#",""), HYPERLINK(CONCATENATE("#metadata!", ADDRESS(INDEX($X$2:$X$1001,MATCH(ROWS($V$2:V188),$V$2:$V$1001,0),0), INDEX($AC$1004:$AS$1004,1,MATCH(COLUMNS($AC$1006:AO1006),$AC$1006:$AS$1006,0)))),"Fix")))</f>
        <v xml:space="preserve"> </v>
      </c>
      <c r="O188" s="4" t="str">
        <f ca="1">IF(OR(INDEX($W$2:$W$1001,MATCH(ROWS($V$2:V188),$V$2:$V$1001,0),1)&gt;=100000,INDEX($AC$1005:$AS$1005,1,MATCH(COLUMNS($AC$1006:AP1006),$AC$1006:$AS$1006,0))&gt;=100000), " ",IF(INDEX($AC$2:$AS$1001,MATCH(ROWS($V$2:V188),$V$2:$V$1001,0),MATCH(COLUMNS($AC$1006:AP1006),$AC$1006:$AS$1006,0)), HYPERLINK("#",""), HYPERLINK(CONCATENATE("#metadata!", ADDRESS(INDEX($X$2:$X$1001,MATCH(ROWS($V$2:V188),$V$2:$V$1001,0),0), INDEX($AC$1004:$AS$1004,1,MATCH(COLUMNS($AC$1006:AP1006),$AC$1006:$AS$1006,0)))),"Fix")))</f>
        <v xml:space="preserve"> </v>
      </c>
      <c r="P188" s="4" t="str">
        <f ca="1">IF(OR(INDEX($W$2:$W$1001,MATCH(ROWS($V$2:V188),$V$2:$V$1001,0),1)&gt;=100000,INDEX($AC$1005:$AS$1005,1,MATCH(COLUMNS($AC$1006:AQ1006),$AC$1006:$AS$1006,0))&gt;=100000), " ",IF(INDEX($AC$2:$AS$1001,MATCH(ROWS($V$2:V188),$V$2:$V$1001,0),MATCH(COLUMNS($AC$1006:AQ1006),$AC$1006:$AS$1006,0)), HYPERLINK("#",""), HYPERLINK(CONCATENATE("#metadata!", ADDRESS(INDEX($X$2:$X$1001,MATCH(ROWS($V$2:V188),$V$2:$V$1001,0),0), INDEX($AC$1004:$AS$1004,1,MATCH(COLUMNS($AC$1006:AQ1006),$AC$1006:$AS$1006,0)))),"Fix")))</f>
        <v xml:space="preserve"> </v>
      </c>
      <c r="Q188" s="4" t="str">
        <f ca="1">IF(OR(INDEX($W$2:$W$1001,MATCH(ROWS($V$2:V188),$V$2:$V$1001,0),1)&gt;=100000,INDEX($AC$1005:$AS$1005,1,MATCH(COLUMNS($AC$1006:AR1006),$AC$1006:$AS$1006,0))&gt;=100000), " ",IF(INDEX($AC$2:$AS$1001,MATCH(ROWS($V$2:V188),$V$2:$V$1001,0),MATCH(COLUMNS($AC$1006:AR1006),$AC$1006:$AS$1006,0)), HYPERLINK("#",""), HYPERLINK(CONCATENATE("#metadata!", ADDRESS(INDEX($X$2:$X$1001,MATCH(ROWS($V$2:V188),$V$2:$V$1001,0),0), INDEX($AC$1004:$AS$1004,1,MATCH(COLUMNS($AC$1006:AR1006),$AC$1006:$AS$1006,0)))),"Fix")))</f>
        <v xml:space="preserve"> </v>
      </c>
      <c r="R188" s="4" t="str">
        <f ca="1">IF(OR(INDEX($W$2:$W$1001,MATCH(ROWS($V$2:V188),$V$2:$V$1001,0),1)&gt;=100000,INDEX($AC$1005:$AS$1005,1,MATCH(COLUMNS($AC$1006:AS1006),$AC$1006:$AS$1006,0))&gt;=100000), " ",IF(INDEX($AC$2:$AS$1001,MATCH(ROWS($V$2:V188),$V$2:$V$1001,0),MATCH(COLUMNS($AC$1006:AS1006),$AC$1006:$AS$1006,0)), HYPERLINK("#",""), HYPERLINK(CONCATENATE("#metadata!", ADDRESS(INDEX($X$2:$X$1001,MATCH(ROWS($V$2:V188),$V$2:$V$1001,0),0), INDEX($AC$1004:$AS$1004,1,MATCH(COLUMNS($AC$1006:AS1006),$AC$1006:$AS$1006,0)))),"Fix")))</f>
        <v xml:space="preserve"> </v>
      </c>
      <c r="V188">
        <v>187</v>
      </c>
      <c r="W188">
        <v>100188</v>
      </c>
      <c r="X188">
        <v>188</v>
      </c>
      <c r="Y188" t="b">
        <f t="shared" si="2"/>
        <v>1</v>
      </c>
      <c r="Z188" t="b">
        <f>COUNTBLANK(metadata!B188:R188)=COLUMNS(metadata!B188:R188)</f>
        <v>1</v>
      </c>
      <c r="AA188" t="str">
        <v/>
      </c>
      <c r="AC188" t="b">
        <f ca="1"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AD188" t="b">
        <f>IF(metadata!C188="",FALSE,ISNUMBER(VALUE(metadata!C188)))</f>
        <v>0</v>
      </c>
      <c r="AE188" t="b">
        <f>AND(IF(metadata!D188="",FALSE,TRUE),EXACT(metadata!D188,"years"))</f>
        <v>0</v>
      </c>
      <c r="AF188" t="b">
        <f>OR(AND(IF(metadata!E188="",FALSE,TRUE),OR(EXACT(metadata!E188,"not applicable"),EXACT(metadata!E188,"missing: not collected"),EXACT(metadata!E188,"missing: not provided"),EXACT(metadata!E188,"missing: restricted access"))),AND(IF(metadata!E188="",FALSE,ISNUMBER(VALUE(metadata!E188))),metadata!E188&gt;0))</f>
        <v>0</v>
      </c>
      <c r="AG188" t="b">
        <f>AND(IF(metadata!F188="",FALSE,TRUE),EXACT(metadata!F188,"Not applicable"))</f>
        <v>0</v>
      </c>
      <c r="AH188" t="b">
        <f>AND(IF(metadata!G188="",FALSE,TRUE),EXACT(metadata!G188,"urban biome"))</f>
        <v>0</v>
      </c>
      <c r="AI188" t="b">
        <f>AND(IF(metadata!H188="",FALSE,TRUE),EXACT(metadata!H188,"human-associated habitat"))</f>
        <v>0</v>
      </c>
      <c r="AJ188" t="b">
        <f>AND(IF(metadata!I188="",FALSE,TRUE),OR(EXACT(metadata!I188,"human-associated"),EXACT(metadata!I188,"human-skin"),EXACT(metadata!I188,"human-oral"),EXACT(metadata!I188,"human-gut"),EXACT(metadata!I188,"human-vaginal")))</f>
        <v>0</v>
      </c>
      <c r="AK188" t="b">
        <f>IF(metadata!J188="",FALSE,ISNUMBER(VALUE(metadata!J188)))</f>
        <v>0</v>
      </c>
      <c r="AL188" t="b">
        <f>AND(IF(metadata!K188="",FALSE,TRUE),EXACT(metadata!K188,"cm"))</f>
        <v>0</v>
      </c>
      <c r="AM188" t="b">
        <f>AND(IF(metadata!L188="",FALSE,TRUE),EXACT(metadata!L188,"human"))</f>
        <v>0</v>
      </c>
      <c r="AN188" t="b">
        <f>AND(IF(metadata!M188="",FALSE,TRUE),EXACT(metadata!M188,"Homo sapiens"))</f>
        <v>0</v>
      </c>
      <c r="AO188" t="b">
        <f>AND(IF(metadata!N188="",FALSE,TRUE),EXACT(metadata!N188,"9606"))</f>
        <v>0</v>
      </c>
      <c r="AP188" t="b">
        <f>IF(metadata!O188="",FALSE,TRUE)</f>
        <v>0</v>
      </c>
      <c r="AQ188" t="b">
        <f>IF(metadata!P188="",FALSE,TRUE)</f>
        <v>0</v>
      </c>
      <c r="AR188" t="b">
        <f>IF(metadata!Q188="",FALSE,ISNUMBER(VALUE(metadata!Q188)))</f>
        <v>0</v>
      </c>
      <c r="AS188" t="b">
        <f>AND(IF(metadata!R188="",FALSE,TRUE),EXACT(metadata!R188,"kg"))</f>
        <v>0</v>
      </c>
    </row>
    <row r="189" spans="1:45" x14ac:dyDescent="0.2">
      <c r="A189" s="5" t="str">
        <f ca="1">IF(B189=" "," ",HYPERLINK(CONCATENATE("#metadata!",ADDRESS(INDEX($X$2:$X$1001,MATCH(ROWS($V$2:V189),$V$2:$V$1001,0),0),1)),INDEX($AA$2:$AA$1001,MATCH(ROWS($V$2:V189),$V$2:$V$1001,0),0)))</f>
        <v xml:space="preserve"> </v>
      </c>
      <c r="B189" s="4" t="str">
        <f ca="1">IF(OR(INDEX($W$2:$W$1001,MATCH(ROWS($V$2:V189),$V$2:$V$1001,0),1)&gt;=100000,INDEX($AC$1005:$AS$1005,1,MATCH(COLUMNS($AC$1006:AC1006),$AC$1006:$AS$1006,0))&gt;=100000), " ",IF(INDEX($AC$2:$AS$1001,MATCH(ROWS($V$2:V189),$V$2:$V$1001,0),MATCH(COLUMNS($AC$1006:AC1006),$AC$1006:$AS$1006,0)), HYPERLINK("#",""), HYPERLINK(CONCATENATE("#metadata!", ADDRESS(INDEX($X$2:$X$1001,MATCH(ROWS($V$2:V189),$V$2:$V$1001,0),0), INDEX($AC$1004:$AS$1004,1,MATCH(COLUMNS($AC$1006:AC1006),$AC$1006:$AS$1006,0)))),"Fix")))</f>
        <v xml:space="preserve"> </v>
      </c>
      <c r="C189" s="4" t="str">
        <f ca="1">IF(OR(INDEX($W$2:$W$1001,MATCH(ROWS($V$2:V189),$V$2:$V$1001,0),1)&gt;=100000,INDEX($AC$1005:$AS$1005,1,MATCH(COLUMNS($AC$1006:AD1006),$AC$1006:$AS$1006,0))&gt;=100000), " ",IF(INDEX($AC$2:$AS$1001,MATCH(ROWS($V$2:V189),$V$2:$V$1001,0),MATCH(COLUMNS($AC$1006:AD1006),$AC$1006:$AS$1006,0)), HYPERLINK("#",""), HYPERLINK(CONCATENATE("#metadata!", ADDRESS(INDEX($X$2:$X$1001,MATCH(ROWS($V$2:V189),$V$2:$V$1001,0),0), INDEX($AC$1004:$AS$1004,1,MATCH(COLUMNS($AC$1006:AD1006),$AC$1006:$AS$1006,0)))),"Fix")))</f>
        <v xml:space="preserve"> </v>
      </c>
      <c r="D189" s="4" t="str">
        <f ca="1">IF(OR(INDEX($W$2:$W$1001,MATCH(ROWS($V$2:V189),$V$2:$V$1001,0),1)&gt;=100000,INDEX($AC$1005:$AS$1005,1,MATCH(COLUMNS($AC$1006:AE1006),$AC$1006:$AS$1006,0))&gt;=100000), " ",IF(INDEX($AC$2:$AS$1001,MATCH(ROWS($V$2:V189),$V$2:$V$1001,0),MATCH(COLUMNS($AC$1006:AE1006),$AC$1006:$AS$1006,0)), HYPERLINK("#",""), HYPERLINK(CONCATENATE("#metadata!", ADDRESS(INDEX($X$2:$X$1001,MATCH(ROWS($V$2:V189),$V$2:$V$1001,0),0), INDEX($AC$1004:$AS$1004,1,MATCH(COLUMNS($AC$1006:AE1006),$AC$1006:$AS$1006,0)))),"Fix")))</f>
        <v xml:space="preserve"> </v>
      </c>
      <c r="E189" s="4" t="str">
        <f ca="1">IF(OR(INDEX($W$2:$W$1001,MATCH(ROWS($V$2:V189),$V$2:$V$1001,0),1)&gt;=100000,INDEX($AC$1005:$AS$1005,1,MATCH(COLUMNS($AC$1006:AF1006),$AC$1006:$AS$1006,0))&gt;=100000), " ",IF(INDEX($AC$2:$AS$1001,MATCH(ROWS($V$2:V189),$V$2:$V$1001,0),MATCH(COLUMNS($AC$1006:AF1006),$AC$1006:$AS$1006,0)), HYPERLINK("#",""), HYPERLINK(CONCATENATE("#metadata!", ADDRESS(INDEX($X$2:$X$1001,MATCH(ROWS($V$2:V189),$V$2:$V$1001,0),0), INDEX($AC$1004:$AS$1004,1,MATCH(COLUMNS($AC$1006:AF1006),$AC$1006:$AS$1006,0)))),"Fix")))</f>
        <v xml:space="preserve"> </v>
      </c>
      <c r="F189" s="4" t="str">
        <f ca="1">IF(OR(INDEX($W$2:$W$1001,MATCH(ROWS($V$2:V189),$V$2:$V$1001,0),1)&gt;=100000,INDEX($AC$1005:$AS$1005,1,MATCH(COLUMNS($AC$1006:AG1006),$AC$1006:$AS$1006,0))&gt;=100000), " ",IF(INDEX($AC$2:$AS$1001,MATCH(ROWS($V$2:V189),$V$2:$V$1001,0),MATCH(COLUMNS($AC$1006:AG1006),$AC$1006:$AS$1006,0)), HYPERLINK("#",""), HYPERLINK(CONCATENATE("#metadata!", ADDRESS(INDEX($X$2:$X$1001,MATCH(ROWS($V$2:V189),$V$2:$V$1001,0),0), INDEX($AC$1004:$AS$1004,1,MATCH(COLUMNS($AC$1006:AG1006),$AC$1006:$AS$1006,0)))),"Fix")))</f>
        <v xml:space="preserve"> </v>
      </c>
      <c r="G189" s="4" t="str">
        <f ca="1">IF(OR(INDEX($W$2:$W$1001,MATCH(ROWS($V$2:V189),$V$2:$V$1001,0),1)&gt;=100000,INDEX($AC$1005:$AS$1005,1,MATCH(COLUMNS($AC$1006:AH1006),$AC$1006:$AS$1006,0))&gt;=100000), " ",IF(INDEX($AC$2:$AS$1001,MATCH(ROWS($V$2:V189),$V$2:$V$1001,0),MATCH(COLUMNS($AC$1006:AH1006),$AC$1006:$AS$1006,0)), HYPERLINK("#",""), HYPERLINK(CONCATENATE("#metadata!", ADDRESS(INDEX($X$2:$X$1001,MATCH(ROWS($V$2:V189),$V$2:$V$1001,0),0), INDEX($AC$1004:$AS$1004,1,MATCH(COLUMNS($AC$1006:AH1006),$AC$1006:$AS$1006,0)))),"Fix")))</f>
        <v xml:space="preserve"> </v>
      </c>
      <c r="H189" s="4" t="str">
        <f ca="1">IF(OR(INDEX($W$2:$W$1001,MATCH(ROWS($V$2:V189),$V$2:$V$1001,0),1)&gt;=100000,INDEX($AC$1005:$AS$1005,1,MATCH(COLUMNS($AC$1006:AI1006),$AC$1006:$AS$1006,0))&gt;=100000), " ",IF(INDEX($AC$2:$AS$1001,MATCH(ROWS($V$2:V189),$V$2:$V$1001,0),MATCH(COLUMNS($AC$1006:AI1006),$AC$1006:$AS$1006,0)), HYPERLINK("#",""), HYPERLINK(CONCATENATE("#metadata!", ADDRESS(INDEX($X$2:$X$1001,MATCH(ROWS($V$2:V189),$V$2:$V$1001,0),0), INDEX($AC$1004:$AS$1004,1,MATCH(COLUMNS($AC$1006:AI1006),$AC$1006:$AS$1006,0)))),"Fix")))</f>
        <v xml:space="preserve"> </v>
      </c>
      <c r="I189" s="4" t="str">
        <f ca="1">IF(OR(INDEX($W$2:$W$1001,MATCH(ROWS($V$2:V189),$V$2:$V$1001,0),1)&gt;=100000,INDEX($AC$1005:$AS$1005,1,MATCH(COLUMNS($AC$1006:AJ1006),$AC$1006:$AS$1006,0))&gt;=100000), " ",IF(INDEX($AC$2:$AS$1001,MATCH(ROWS($V$2:V189),$V$2:$V$1001,0),MATCH(COLUMNS($AC$1006:AJ1006),$AC$1006:$AS$1006,0)), HYPERLINK("#",""), HYPERLINK(CONCATENATE("#metadata!", ADDRESS(INDEX($X$2:$X$1001,MATCH(ROWS($V$2:V189),$V$2:$V$1001,0),0), INDEX($AC$1004:$AS$1004,1,MATCH(COLUMNS($AC$1006:AJ1006),$AC$1006:$AS$1006,0)))),"Fix")))</f>
        <v xml:space="preserve"> </v>
      </c>
      <c r="J189" s="4" t="str">
        <f ca="1">IF(OR(INDEX($W$2:$W$1001,MATCH(ROWS($V$2:V189),$V$2:$V$1001,0),1)&gt;=100000,INDEX($AC$1005:$AS$1005,1,MATCH(COLUMNS($AC$1006:AK1006),$AC$1006:$AS$1006,0))&gt;=100000), " ",IF(INDEX($AC$2:$AS$1001,MATCH(ROWS($V$2:V189),$V$2:$V$1001,0),MATCH(COLUMNS($AC$1006:AK1006),$AC$1006:$AS$1006,0)), HYPERLINK("#",""), HYPERLINK(CONCATENATE("#metadata!", ADDRESS(INDEX($X$2:$X$1001,MATCH(ROWS($V$2:V189),$V$2:$V$1001,0),0), INDEX($AC$1004:$AS$1004,1,MATCH(COLUMNS($AC$1006:AK1006),$AC$1006:$AS$1006,0)))),"Fix")))</f>
        <v xml:space="preserve"> </v>
      </c>
      <c r="K189" s="4" t="str">
        <f ca="1">IF(OR(INDEX($W$2:$W$1001,MATCH(ROWS($V$2:V189),$V$2:$V$1001,0),1)&gt;=100000,INDEX($AC$1005:$AS$1005,1,MATCH(COLUMNS($AC$1006:AL1006),$AC$1006:$AS$1006,0))&gt;=100000), " ",IF(INDEX($AC$2:$AS$1001,MATCH(ROWS($V$2:V189),$V$2:$V$1001,0),MATCH(COLUMNS($AC$1006:AL1006),$AC$1006:$AS$1006,0)), HYPERLINK("#",""), HYPERLINK(CONCATENATE("#metadata!", ADDRESS(INDEX($X$2:$X$1001,MATCH(ROWS($V$2:V189),$V$2:$V$1001,0),0), INDEX($AC$1004:$AS$1004,1,MATCH(COLUMNS($AC$1006:AL1006),$AC$1006:$AS$1006,0)))),"Fix")))</f>
        <v xml:space="preserve"> </v>
      </c>
      <c r="L189" s="4" t="str">
        <f ca="1">IF(OR(INDEX($W$2:$W$1001,MATCH(ROWS($V$2:V189),$V$2:$V$1001,0),1)&gt;=100000,INDEX($AC$1005:$AS$1005,1,MATCH(COLUMNS($AC$1006:AM1006),$AC$1006:$AS$1006,0))&gt;=100000), " ",IF(INDEX($AC$2:$AS$1001,MATCH(ROWS($V$2:V189),$V$2:$V$1001,0),MATCH(COLUMNS($AC$1006:AM1006),$AC$1006:$AS$1006,0)), HYPERLINK("#",""), HYPERLINK(CONCATENATE("#metadata!", ADDRESS(INDEX($X$2:$X$1001,MATCH(ROWS($V$2:V189),$V$2:$V$1001,0),0), INDEX($AC$1004:$AS$1004,1,MATCH(COLUMNS($AC$1006:AM1006),$AC$1006:$AS$1006,0)))),"Fix")))</f>
        <v xml:space="preserve"> </v>
      </c>
      <c r="M189" s="4" t="str">
        <f ca="1">IF(OR(INDEX($W$2:$W$1001,MATCH(ROWS($V$2:V189),$V$2:$V$1001,0),1)&gt;=100000,INDEX($AC$1005:$AS$1005,1,MATCH(COLUMNS($AC$1006:AN1006),$AC$1006:$AS$1006,0))&gt;=100000), " ",IF(INDEX($AC$2:$AS$1001,MATCH(ROWS($V$2:V189),$V$2:$V$1001,0),MATCH(COLUMNS($AC$1006:AN1006),$AC$1006:$AS$1006,0)), HYPERLINK("#",""), HYPERLINK(CONCATENATE("#metadata!", ADDRESS(INDEX($X$2:$X$1001,MATCH(ROWS($V$2:V189),$V$2:$V$1001,0),0), INDEX($AC$1004:$AS$1004,1,MATCH(COLUMNS($AC$1006:AN1006),$AC$1006:$AS$1006,0)))),"Fix")))</f>
        <v xml:space="preserve"> </v>
      </c>
      <c r="N189" s="4" t="str">
        <f ca="1">IF(OR(INDEX($W$2:$W$1001,MATCH(ROWS($V$2:V189),$V$2:$V$1001,0),1)&gt;=100000,INDEX($AC$1005:$AS$1005,1,MATCH(COLUMNS($AC$1006:AO1006),$AC$1006:$AS$1006,0))&gt;=100000), " ",IF(INDEX($AC$2:$AS$1001,MATCH(ROWS($V$2:V189),$V$2:$V$1001,0),MATCH(COLUMNS($AC$1006:AO1006),$AC$1006:$AS$1006,0)), HYPERLINK("#",""), HYPERLINK(CONCATENATE("#metadata!", ADDRESS(INDEX($X$2:$X$1001,MATCH(ROWS($V$2:V189),$V$2:$V$1001,0),0), INDEX($AC$1004:$AS$1004,1,MATCH(COLUMNS($AC$1006:AO1006),$AC$1006:$AS$1006,0)))),"Fix")))</f>
        <v xml:space="preserve"> </v>
      </c>
      <c r="O189" s="4" t="str">
        <f ca="1">IF(OR(INDEX($W$2:$W$1001,MATCH(ROWS($V$2:V189),$V$2:$V$1001,0),1)&gt;=100000,INDEX($AC$1005:$AS$1005,1,MATCH(COLUMNS($AC$1006:AP1006),$AC$1006:$AS$1006,0))&gt;=100000), " ",IF(INDEX($AC$2:$AS$1001,MATCH(ROWS($V$2:V189),$V$2:$V$1001,0),MATCH(COLUMNS($AC$1006:AP1006),$AC$1006:$AS$1006,0)), HYPERLINK("#",""), HYPERLINK(CONCATENATE("#metadata!", ADDRESS(INDEX($X$2:$X$1001,MATCH(ROWS($V$2:V189),$V$2:$V$1001,0),0), INDEX($AC$1004:$AS$1004,1,MATCH(COLUMNS($AC$1006:AP1006),$AC$1006:$AS$1006,0)))),"Fix")))</f>
        <v xml:space="preserve"> </v>
      </c>
      <c r="P189" s="4" t="str">
        <f ca="1">IF(OR(INDEX($W$2:$W$1001,MATCH(ROWS($V$2:V189),$V$2:$V$1001,0),1)&gt;=100000,INDEX($AC$1005:$AS$1005,1,MATCH(COLUMNS($AC$1006:AQ1006),$AC$1006:$AS$1006,0))&gt;=100000), " ",IF(INDEX($AC$2:$AS$1001,MATCH(ROWS($V$2:V189),$V$2:$V$1001,0),MATCH(COLUMNS($AC$1006:AQ1006),$AC$1006:$AS$1006,0)), HYPERLINK("#",""), HYPERLINK(CONCATENATE("#metadata!", ADDRESS(INDEX($X$2:$X$1001,MATCH(ROWS($V$2:V189),$V$2:$V$1001,0),0), INDEX($AC$1004:$AS$1004,1,MATCH(COLUMNS($AC$1006:AQ1006),$AC$1006:$AS$1006,0)))),"Fix")))</f>
        <v xml:space="preserve"> </v>
      </c>
      <c r="Q189" s="4" t="str">
        <f ca="1">IF(OR(INDEX($W$2:$W$1001,MATCH(ROWS($V$2:V189),$V$2:$V$1001,0),1)&gt;=100000,INDEX($AC$1005:$AS$1005,1,MATCH(COLUMNS($AC$1006:AR1006),$AC$1006:$AS$1006,0))&gt;=100000), " ",IF(INDEX($AC$2:$AS$1001,MATCH(ROWS($V$2:V189),$V$2:$V$1001,0),MATCH(COLUMNS($AC$1006:AR1006),$AC$1006:$AS$1006,0)), HYPERLINK("#",""), HYPERLINK(CONCATENATE("#metadata!", ADDRESS(INDEX($X$2:$X$1001,MATCH(ROWS($V$2:V189),$V$2:$V$1001,0),0), INDEX($AC$1004:$AS$1004,1,MATCH(COLUMNS($AC$1006:AR1006),$AC$1006:$AS$1006,0)))),"Fix")))</f>
        <v xml:space="preserve"> </v>
      </c>
      <c r="R189" s="4" t="str">
        <f ca="1">IF(OR(INDEX($W$2:$W$1001,MATCH(ROWS($V$2:V189),$V$2:$V$1001,0),1)&gt;=100000,INDEX($AC$1005:$AS$1005,1,MATCH(COLUMNS($AC$1006:AS1006),$AC$1006:$AS$1006,0))&gt;=100000), " ",IF(INDEX($AC$2:$AS$1001,MATCH(ROWS($V$2:V189),$V$2:$V$1001,0),MATCH(COLUMNS($AC$1006:AS1006),$AC$1006:$AS$1006,0)), HYPERLINK("#",""), HYPERLINK(CONCATENATE("#metadata!", ADDRESS(INDEX($X$2:$X$1001,MATCH(ROWS($V$2:V189),$V$2:$V$1001,0),0), INDEX($AC$1004:$AS$1004,1,MATCH(COLUMNS($AC$1006:AS1006),$AC$1006:$AS$1006,0)))),"Fix")))</f>
        <v xml:space="preserve"> </v>
      </c>
      <c r="V189">
        <v>188</v>
      </c>
      <c r="W189">
        <v>100189</v>
      </c>
      <c r="X189">
        <v>189</v>
      </c>
      <c r="Y189" t="b">
        <f t="shared" si="2"/>
        <v>1</v>
      </c>
      <c r="Z189" t="b">
        <f>COUNTBLANK(metadata!B189:R189)=COLUMNS(metadata!B189:R189)</f>
        <v>1</v>
      </c>
      <c r="AA189" t="str">
        <v/>
      </c>
      <c r="AC189" t="b">
        <f ca="1"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AD189" t="b">
        <f>IF(metadata!C189="",FALSE,ISNUMBER(VALUE(metadata!C189)))</f>
        <v>0</v>
      </c>
      <c r="AE189" t="b">
        <f>AND(IF(metadata!D189="",FALSE,TRUE),EXACT(metadata!D189,"years"))</f>
        <v>0</v>
      </c>
      <c r="AF189" t="b">
        <f>OR(AND(IF(metadata!E189="",FALSE,TRUE),OR(EXACT(metadata!E189,"not applicable"),EXACT(metadata!E189,"missing: not collected"),EXACT(metadata!E189,"missing: not provided"),EXACT(metadata!E189,"missing: restricted access"))),AND(IF(metadata!E189="",FALSE,ISNUMBER(VALUE(metadata!E189))),metadata!E189&gt;0))</f>
        <v>0</v>
      </c>
      <c r="AG189" t="b">
        <f>AND(IF(metadata!F189="",FALSE,TRUE),EXACT(metadata!F189,"Not applicable"))</f>
        <v>0</v>
      </c>
      <c r="AH189" t="b">
        <f>AND(IF(metadata!G189="",FALSE,TRUE),EXACT(metadata!G189,"urban biome"))</f>
        <v>0</v>
      </c>
      <c r="AI189" t="b">
        <f>AND(IF(metadata!H189="",FALSE,TRUE),EXACT(metadata!H189,"human-associated habitat"))</f>
        <v>0</v>
      </c>
      <c r="AJ189" t="b">
        <f>AND(IF(metadata!I189="",FALSE,TRUE),OR(EXACT(metadata!I189,"human-associated"),EXACT(metadata!I189,"human-skin"),EXACT(metadata!I189,"human-oral"),EXACT(metadata!I189,"human-gut"),EXACT(metadata!I189,"human-vaginal")))</f>
        <v>0</v>
      </c>
      <c r="AK189" t="b">
        <f>IF(metadata!J189="",FALSE,ISNUMBER(VALUE(metadata!J189)))</f>
        <v>0</v>
      </c>
      <c r="AL189" t="b">
        <f>AND(IF(metadata!K189="",FALSE,TRUE),EXACT(metadata!K189,"cm"))</f>
        <v>0</v>
      </c>
      <c r="AM189" t="b">
        <f>AND(IF(metadata!L189="",FALSE,TRUE),EXACT(metadata!L189,"human"))</f>
        <v>0</v>
      </c>
      <c r="AN189" t="b">
        <f>AND(IF(metadata!M189="",FALSE,TRUE),EXACT(metadata!M189,"Homo sapiens"))</f>
        <v>0</v>
      </c>
      <c r="AO189" t="b">
        <f>AND(IF(metadata!N189="",FALSE,TRUE),EXACT(metadata!N189,"9606"))</f>
        <v>0</v>
      </c>
      <c r="AP189" t="b">
        <f>IF(metadata!O189="",FALSE,TRUE)</f>
        <v>0</v>
      </c>
      <c r="AQ189" t="b">
        <f>IF(metadata!P189="",FALSE,TRUE)</f>
        <v>0</v>
      </c>
      <c r="AR189" t="b">
        <f>IF(metadata!Q189="",FALSE,ISNUMBER(VALUE(metadata!Q189)))</f>
        <v>0</v>
      </c>
      <c r="AS189" t="b">
        <f>AND(IF(metadata!R189="",FALSE,TRUE),EXACT(metadata!R189,"kg"))</f>
        <v>0</v>
      </c>
    </row>
    <row r="190" spans="1:45" x14ac:dyDescent="0.2">
      <c r="A190" s="5" t="str">
        <f ca="1">IF(B190=" "," ",HYPERLINK(CONCATENATE("#metadata!",ADDRESS(INDEX($X$2:$X$1001,MATCH(ROWS($V$2:V190),$V$2:$V$1001,0),0),1)),INDEX($AA$2:$AA$1001,MATCH(ROWS($V$2:V190),$V$2:$V$1001,0),0)))</f>
        <v xml:space="preserve"> </v>
      </c>
      <c r="B190" s="4" t="str">
        <f ca="1">IF(OR(INDEX($W$2:$W$1001,MATCH(ROWS($V$2:V190),$V$2:$V$1001,0),1)&gt;=100000,INDEX($AC$1005:$AS$1005,1,MATCH(COLUMNS($AC$1006:AC1006),$AC$1006:$AS$1006,0))&gt;=100000), " ",IF(INDEX($AC$2:$AS$1001,MATCH(ROWS($V$2:V190),$V$2:$V$1001,0),MATCH(COLUMNS($AC$1006:AC1006),$AC$1006:$AS$1006,0)), HYPERLINK("#",""), HYPERLINK(CONCATENATE("#metadata!", ADDRESS(INDEX($X$2:$X$1001,MATCH(ROWS($V$2:V190),$V$2:$V$1001,0),0), INDEX($AC$1004:$AS$1004,1,MATCH(COLUMNS($AC$1006:AC1006),$AC$1006:$AS$1006,0)))),"Fix")))</f>
        <v xml:space="preserve"> </v>
      </c>
      <c r="C190" s="4" t="str">
        <f ca="1">IF(OR(INDEX($W$2:$W$1001,MATCH(ROWS($V$2:V190),$V$2:$V$1001,0),1)&gt;=100000,INDEX($AC$1005:$AS$1005,1,MATCH(COLUMNS($AC$1006:AD1006),$AC$1006:$AS$1006,0))&gt;=100000), " ",IF(INDEX($AC$2:$AS$1001,MATCH(ROWS($V$2:V190),$V$2:$V$1001,0),MATCH(COLUMNS($AC$1006:AD1006),$AC$1006:$AS$1006,0)), HYPERLINK("#",""), HYPERLINK(CONCATENATE("#metadata!", ADDRESS(INDEX($X$2:$X$1001,MATCH(ROWS($V$2:V190),$V$2:$V$1001,0),0), INDEX($AC$1004:$AS$1004,1,MATCH(COLUMNS($AC$1006:AD1006),$AC$1006:$AS$1006,0)))),"Fix")))</f>
        <v xml:space="preserve"> </v>
      </c>
      <c r="D190" s="4" t="str">
        <f ca="1">IF(OR(INDEX($W$2:$W$1001,MATCH(ROWS($V$2:V190),$V$2:$V$1001,0),1)&gt;=100000,INDEX($AC$1005:$AS$1005,1,MATCH(COLUMNS($AC$1006:AE1006),$AC$1006:$AS$1006,0))&gt;=100000), " ",IF(INDEX($AC$2:$AS$1001,MATCH(ROWS($V$2:V190),$V$2:$V$1001,0),MATCH(COLUMNS($AC$1006:AE1006),$AC$1006:$AS$1006,0)), HYPERLINK("#",""), HYPERLINK(CONCATENATE("#metadata!", ADDRESS(INDEX($X$2:$X$1001,MATCH(ROWS($V$2:V190),$V$2:$V$1001,0),0), INDEX($AC$1004:$AS$1004,1,MATCH(COLUMNS($AC$1006:AE1006),$AC$1006:$AS$1006,0)))),"Fix")))</f>
        <v xml:space="preserve"> </v>
      </c>
      <c r="E190" s="4" t="str">
        <f ca="1">IF(OR(INDEX($W$2:$W$1001,MATCH(ROWS($V$2:V190),$V$2:$V$1001,0),1)&gt;=100000,INDEX($AC$1005:$AS$1005,1,MATCH(COLUMNS($AC$1006:AF1006),$AC$1006:$AS$1006,0))&gt;=100000), " ",IF(INDEX($AC$2:$AS$1001,MATCH(ROWS($V$2:V190),$V$2:$V$1001,0),MATCH(COLUMNS($AC$1006:AF1006),$AC$1006:$AS$1006,0)), HYPERLINK("#",""), HYPERLINK(CONCATENATE("#metadata!", ADDRESS(INDEX($X$2:$X$1001,MATCH(ROWS($V$2:V190),$V$2:$V$1001,0),0), INDEX($AC$1004:$AS$1004,1,MATCH(COLUMNS($AC$1006:AF1006),$AC$1006:$AS$1006,0)))),"Fix")))</f>
        <v xml:space="preserve"> </v>
      </c>
      <c r="F190" s="4" t="str">
        <f ca="1">IF(OR(INDEX($W$2:$W$1001,MATCH(ROWS($V$2:V190),$V$2:$V$1001,0),1)&gt;=100000,INDEX($AC$1005:$AS$1005,1,MATCH(COLUMNS($AC$1006:AG1006),$AC$1006:$AS$1006,0))&gt;=100000), " ",IF(INDEX($AC$2:$AS$1001,MATCH(ROWS($V$2:V190),$V$2:$V$1001,0),MATCH(COLUMNS($AC$1006:AG1006),$AC$1006:$AS$1006,0)), HYPERLINK("#",""), HYPERLINK(CONCATENATE("#metadata!", ADDRESS(INDEX($X$2:$X$1001,MATCH(ROWS($V$2:V190),$V$2:$V$1001,0),0), INDEX($AC$1004:$AS$1004,1,MATCH(COLUMNS($AC$1006:AG1006),$AC$1006:$AS$1006,0)))),"Fix")))</f>
        <v xml:space="preserve"> </v>
      </c>
      <c r="G190" s="4" t="str">
        <f ca="1">IF(OR(INDEX($W$2:$W$1001,MATCH(ROWS($V$2:V190),$V$2:$V$1001,0),1)&gt;=100000,INDEX($AC$1005:$AS$1005,1,MATCH(COLUMNS($AC$1006:AH1006),$AC$1006:$AS$1006,0))&gt;=100000), " ",IF(INDEX($AC$2:$AS$1001,MATCH(ROWS($V$2:V190),$V$2:$V$1001,0),MATCH(COLUMNS($AC$1006:AH1006),$AC$1006:$AS$1006,0)), HYPERLINK("#",""), HYPERLINK(CONCATENATE("#metadata!", ADDRESS(INDEX($X$2:$X$1001,MATCH(ROWS($V$2:V190),$V$2:$V$1001,0),0), INDEX($AC$1004:$AS$1004,1,MATCH(COLUMNS($AC$1006:AH1006),$AC$1006:$AS$1006,0)))),"Fix")))</f>
        <v xml:space="preserve"> </v>
      </c>
      <c r="H190" s="4" t="str">
        <f ca="1">IF(OR(INDEX($W$2:$W$1001,MATCH(ROWS($V$2:V190),$V$2:$V$1001,0),1)&gt;=100000,INDEX($AC$1005:$AS$1005,1,MATCH(COLUMNS($AC$1006:AI1006),$AC$1006:$AS$1006,0))&gt;=100000), " ",IF(INDEX($AC$2:$AS$1001,MATCH(ROWS($V$2:V190),$V$2:$V$1001,0),MATCH(COLUMNS($AC$1006:AI1006),$AC$1006:$AS$1006,0)), HYPERLINK("#",""), HYPERLINK(CONCATENATE("#metadata!", ADDRESS(INDEX($X$2:$X$1001,MATCH(ROWS($V$2:V190),$V$2:$V$1001,0),0), INDEX($AC$1004:$AS$1004,1,MATCH(COLUMNS($AC$1006:AI1006),$AC$1006:$AS$1006,0)))),"Fix")))</f>
        <v xml:space="preserve"> </v>
      </c>
      <c r="I190" s="4" t="str">
        <f ca="1">IF(OR(INDEX($W$2:$W$1001,MATCH(ROWS($V$2:V190),$V$2:$V$1001,0),1)&gt;=100000,INDEX($AC$1005:$AS$1005,1,MATCH(COLUMNS($AC$1006:AJ1006),$AC$1006:$AS$1006,0))&gt;=100000), " ",IF(INDEX($AC$2:$AS$1001,MATCH(ROWS($V$2:V190),$V$2:$V$1001,0),MATCH(COLUMNS($AC$1006:AJ1006),$AC$1006:$AS$1006,0)), HYPERLINK("#",""), HYPERLINK(CONCATENATE("#metadata!", ADDRESS(INDEX($X$2:$X$1001,MATCH(ROWS($V$2:V190),$V$2:$V$1001,0),0), INDEX($AC$1004:$AS$1004,1,MATCH(COLUMNS($AC$1006:AJ1006),$AC$1006:$AS$1006,0)))),"Fix")))</f>
        <v xml:space="preserve"> </v>
      </c>
      <c r="J190" s="4" t="str">
        <f ca="1">IF(OR(INDEX($W$2:$W$1001,MATCH(ROWS($V$2:V190),$V$2:$V$1001,0),1)&gt;=100000,INDEX($AC$1005:$AS$1005,1,MATCH(COLUMNS($AC$1006:AK1006),$AC$1006:$AS$1006,0))&gt;=100000), " ",IF(INDEX($AC$2:$AS$1001,MATCH(ROWS($V$2:V190),$V$2:$V$1001,0),MATCH(COLUMNS($AC$1006:AK1006),$AC$1006:$AS$1006,0)), HYPERLINK("#",""), HYPERLINK(CONCATENATE("#metadata!", ADDRESS(INDEX($X$2:$X$1001,MATCH(ROWS($V$2:V190),$V$2:$V$1001,0),0), INDEX($AC$1004:$AS$1004,1,MATCH(COLUMNS($AC$1006:AK1006),$AC$1006:$AS$1006,0)))),"Fix")))</f>
        <v xml:space="preserve"> </v>
      </c>
      <c r="K190" s="4" t="str">
        <f ca="1">IF(OR(INDEX($W$2:$W$1001,MATCH(ROWS($V$2:V190),$V$2:$V$1001,0),1)&gt;=100000,INDEX($AC$1005:$AS$1005,1,MATCH(COLUMNS($AC$1006:AL1006),$AC$1006:$AS$1006,0))&gt;=100000), " ",IF(INDEX($AC$2:$AS$1001,MATCH(ROWS($V$2:V190),$V$2:$V$1001,0),MATCH(COLUMNS($AC$1006:AL1006),$AC$1006:$AS$1006,0)), HYPERLINK("#",""), HYPERLINK(CONCATENATE("#metadata!", ADDRESS(INDEX($X$2:$X$1001,MATCH(ROWS($V$2:V190),$V$2:$V$1001,0),0), INDEX($AC$1004:$AS$1004,1,MATCH(COLUMNS($AC$1006:AL1006),$AC$1006:$AS$1006,0)))),"Fix")))</f>
        <v xml:space="preserve"> </v>
      </c>
      <c r="L190" s="4" t="str">
        <f ca="1">IF(OR(INDEX($W$2:$W$1001,MATCH(ROWS($V$2:V190),$V$2:$V$1001,0),1)&gt;=100000,INDEX($AC$1005:$AS$1005,1,MATCH(COLUMNS($AC$1006:AM1006),$AC$1006:$AS$1006,0))&gt;=100000), " ",IF(INDEX($AC$2:$AS$1001,MATCH(ROWS($V$2:V190),$V$2:$V$1001,0),MATCH(COLUMNS($AC$1006:AM1006),$AC$1006:$AS$1006,0)), HYPERLINK("#",""), HYPERLINK(CONCATENATE("#metadata!", ADDRESS(INDEX($X$2:$X$1001,MATCH(ROWS($V$2:V190),$V$2:$V$1001,0),0), INDEX($AC$1004:$AS$1004,1,MATCH(COLUMNS($AC$1006:AM1006),$AC$1006:$AS$1006,0)))),"Fix")))</f>
        <v xml:space="preserve"> </v>
      </c>
      <c r="M190" s="4" t="str">
        <f ca="1">IF(OR(INDEX($W$2:$W$1001,MATCH(ROWS($V$2:V190),$V$2:$V$1001,0),1)&gt;=100000,INDEX($AC$1005:$AS$1005,1,MATCH(COLUMNS($AC$1006:AN1006),$AC$1006:$AS$1006,0))&gt;=100000), " ",IF(INDEX($AC$2:$AS$1001,MATCH(ROWS($V$2:V190),$V$2:$V$1001,0),MATCH(COLUMNS($AC$1006:AN1006),$AC$1006:$AS$1006,0)), HYPERLINK("#",""), HYPERLINK(CONCATENATE("#metadata!", ADDRESS(INDEX($X$2:$X$1001,MATCH(ROWS($V$2:V190),$V$2:$V$1001,0),0), INDEX($AC$1004:$AS$1004,1,MATCH(COLUMNS($AC$1006:AN1006),$AC$1006:$AS$1006,0)))),"Fix")))</f>
        <v xml:space="preserve"> </v>
      </c>
      <c r="N190" s="4" t="str">
        <f ca="1">IF(OR(INDEX($W$2:$W$1001,MATCH(ROWS($V$2:V190),$V$2:$V$1001,0),1)&gt;=100000,INDEX($AC$1005:$AS$1005,1,MATCH(COLUMNS($AC$1006:AO1006),$AC$1006:$AS$1006,0))&gt;=100000), " ",IF(INDEX($AC$2:$AS$1001,MATCH(ROWS($V$2:V190),$V$2:$V$1001,0),MATCH(COLUMNS($AC$1006:AO1006),$AC$1006:$AS$1006,0)), HYPERLINK("#",""), HYPERLINK(CONCATENATE("#metadata!", ADDRESS(INDEX($X$2:$X$1001,MATCH(ROWS($V$2:V190),$V$2:$V$1001,0),0), INDEX($AC$1004:$AS$1004,1,MATCH(COLUMNS($AC$1006:AO1006),$AC$1006:$AS$1006,0)))),"Fix")))</f>
        <v xml:space="preserve"> </v>
      </c>
      <c r="O190" s="4" t="str">
        <f ca="1">IF(OR(INDEX($W$2:$W$1001,MATCH(ROWS($V$2:V190),$V$2:$V$1001,0),1)&gt;=100000,INDEX($AC$1005:$AS$1005,1,MATCH(COLUMNS($AC$1006:AP1006),$AC$1006:$AS$1006,0))&gt;=100000), " ",IF(INDEX($AC$2:$AS$1001,MATCH(ROWS($V$2:V190),$V$2:$V$1001,0),MATCH(COLUMNS($AC$1006:AP1006),$AC$1006:$AS$1006,0)), HYPERLINK("#",""), HYPERLINK(CONCATENATE("#metadata!", ADDRESS(INDEX($X$2:$X$1001,MATCH(ROWS($V$2:V190),$V$2:$V$1001,0),0), INDEX($AC$1004:$AS$1004,1,MATCH(COLUMNS($AC$1006:AP1006),$AC$1006:$AS$1006,0)))),"Fix")))</f>
        <v xml:space="preserve"> </v>
      </c>
      <c r="P190" s="4" t="str">
        <f ca="1">IF(OR(INDEX($W$2:$W$1001,MATCH(ROWS($V$2:V190),$V$2:$V$1001,0),1)&gt;=100000,INDEX($AC$1005:$AS$1005,1,MATCH(COLUMNS($AC$1006:AQ1006),$AC$1006:$AS$1006,0))&gt;=100000), " ",IF(INDEX($AC$2:$AS$1001,MATCH(ROWS($V$2:V190),$V$2:$V$1001,0),MATCH(COLUMNS($AC$1006:AQ1006),$AC$1006:$AS$1006,0)), HYPERLINK("#",""), HYPERLINK(CONCATENATE("#metadata!", ADDRESS(INDEX($X$2:$X$1001,MATCH(ROWS($V$2:V190),$V$2:$V$1001,0),0), INDEX($AC$1004:$AS$1004,1,MATCH(COLUMNS($AC$1006:AQ1006),$AC$1006:$AS$1006,0)))),"Fix")))</f>
        <v xml:space="preserve"> </v>
      </c>
      <c r="Q190" s="4" t="str">
        <f ca="1">IF(OR(INDEX($W$2:$W$1001,MATCH(ROWS($V$2:V190),$V$2:$V$1001,0),1)&gt;=100000,INDEX($AC$1005:$AS$1005,1,MATCH(COLUMNS($AC$1006:AR1006),$AC$1006:$AS$1006,0))&gt;=100000), " ",IF(INDEX($AC$2:$AS$1001,MATCH(ROWS($V$2:V190),$V$2:$V$1001,0),MATCH(COLUMNS($AC$1006:AR1006),$AC$1006:$AS$1006,0)), HYPERLINK("#",""), HYPERLINK(CONCATENATE("#metadata!", ADDRESS(INDEX($X$2:$X$1001,MATCH(ROWS($V$2:V190),$V$2:$V$1001,0),0), INDEX($AC$1004:$AS$1004,1,MATCH(COLUMNS($AC$1006:AR1006),$AC$1006:$AS$1006,0)))),"Fix")))</f>
        <v xml:space="preserve"> </v>
      </c>
      <c r="R190" s="4" t="str">
        <f ca="1">IF(OR(INDEX($W$2:$W$1001,MATCH(ROWS($V$2:V190),$V$2:$V$1001,0),1)&gt;=100000,INDEX($AC$1005:$AS$1005,1,MATCH(COLUMNS($AC$1006:AS1006),$AC$1006:$AS$1006,0))&gt;=100000), " ",IF(INDEX($AC$2:$AS$1001,MATCH(ROWS($V$2:V190),$V$2:$V$1001,0),MATCH(COLUMNS($AC$1006:AS1006),$AC$1006:$AS$1006,0)), HYPERLINK("#",""), HYPERLINK(CONCATENATE("#metadata!", ADDRESS(INDEX($X$2:$X$1001,MATCH(ROWS($V$2:V190),$V$2:$V$1001,0),0), INDEX($AC$1004:$AS$1004,1,MATCH(COLUMNS($AC$1006:AS1006),$AC$1006:$AS$1006,0)))),"Fix")))</f>
        <v xml:space="preserve"> </v>
      </c>
      <c r="V190">
        <v>189</v>
      </c>
      <c r="W190">
        <v>100190</v>
      </c>
      <c r="X190">
        <v>190</v>
      </c>
      <c r="Y190" t="b">
        <f t="shared" si="2"/>
        <v>1</v>
      </c>
      <c r="Z190" t="b">
        <f>COUNTBLANK(metadata!B190:R190)=COLUMNS(metadata!B190:R190)</f>
        <v>1</v>
      </c>
      <c r="AA190" t="str">
        <v/>
      </c>
      <c r="AC190" t="b">
        <f ca="1"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AD190" t="b">
        <f>IF(metadata!C190="",FALSE,ISNUMBER(VALUE(metadata!C190)))</f>
        <v>0</v>
      </c>
      <c r="AE190" t="b">
        <f>AND(IF(metadata!D190="",FALSE,TRUE),EXACT(metadata!D190,"years"))</f>
        <v>0</v>
      </c>
      <c r="AF190" t="b">
        <f>OR(AND(IF(metadata!E190="",FALSE,TRUE),OR(EXACT(metadata!E190,"not applicable"),EXACT(metadata!E190,"missing: not collected"),EXACT(metadata!E190,"missing: not provided"),EXACT(metadata!E190,"missing: restricted access"))),AND(IF(metadata!E190="",FALSE,ISNUMBER(VALUE(metadata!E190))),metadata!E190&gt;0))</f>
        <v>0</v>
      </c>
      <c r="AG190" t="b">
        <f>AND(IF(metadata!F190="",FALSE,TRUE),EXACT(metadata!F190,"Not applicable"))</f>
        <v>0</v>
      </c>
      <c r="AH190" t="b">
        <f>AND(IF(metadata!G190="",FALSE,TRUE),EXACT(metadata!G190,"urban biome"))</f>
        <v>0</v>
      </c>
      <c r="AI190" t="b">
        <f>AND(IF(metadata!H190="",FALSE,TRUE),EXACT(metadata!H190,"human-associated habitat"))</f>
        <v>0</v>
      </c>
      <c r="AJ190" t="b">
        <f>AND(IF(metadata!I190="",FALSE,TRUE),OR(EXACT(metadata!I190,"human-associated"),EXACT(metadata!I190,"human-skin"),EXACT(metadata!I190,"human-oral"),EXACT(metadata!I190,"human-gut"),EXACT(metadata!I190,"human-vaginal")))</f>
        <v>0</v>
      </c>
      <c r="AK190" t="b">
        <f>IF(metadata!J190="",FALSE,ISNUMBER(VALUE(metadata!J190)))</f>
        <v>0</v>
      </c>
      <c r="AL190" t="b">
        <f>AND(IF(metadata!K190="",FALSE,TRUE),EXACT(metadata!K190,"cm"))</f>
        <v>0</v>
      </c>
      <c r="AM190" t="b">
        <f>AND(IF(metadata!L190="",FALSE,TRUE),EXACT(metadata!L190,"human"))</f>
        <v>0</v>
      </c>
      <c r="AN190" t="b">
        <f>AND(IF(metadata!M190="",FALSE,TRUE),EXACT(metadata!M190,"Homo sapiens"))</f>
        <v>0</v>
      </c>
      <c r="AO190" t="b">
        <f>AND(IF(metadata!N190="",FALSE,TRUE),EXACT(metadata!N190,"9606"))</f>
        <v>0</v>
      </c>
      <c r="AP190" t="b">
        <f>IF(metadata!O190="",FALSE,TRUE)</f>
        <v>0</v>
      </c>
      <c r="AQ190" t="b">
        <f>IF(metadata!P190="",FALSE,TRUE)</f>
        <v>0</v>
      </c>
      <c r="AR190" t="b">
        <f>IF(metadata!Q190="",FALSE,ISNUMBER(VALUE(metadata!Q190)))</f>
        <v>0</v>
      </c>
      <c r="AS190" t="b">
        <f>AND(IF(metadata!R190="",FALSE,TRUE),EXACT(metadata!R190,"kg"))</f>
        <v>0</v>
      </c>
    </row>
    <row r="191" spans="1:45" x14ac:dyDescent="0.2">
      <c r="A191" s="5" t="str">
        <f ca="1">IF(B191=" "," ",HYPERLINK(CONCATENATE("#metadata!",ADDRESS(INDEX($X$2:$X$1001,MATCH(ROWS($V$2:V191),$V$2:$V$1001,0),0),1)),INDEX($AA$2:$AA$1001,MATCH(ROWS($V$2:V191),$V$2:$V$1001,0),0)))</f>
        <v xml:space="preserve"> </v>
      </c>
      <c r="B191" s="4" t="str">
        <f ca="1">IF(OR(INDEX($W$2:$W$1001,MATCH(ROWS($V$2:V191),$V$2:$V$1001,0),1)&gt;=100000,INDEX($AC$1005:$AS$1005,1,MATCH(COLUMNS($AC$1006:AC1006),$AC$1006:$AS$1006,0))&gt;=100000), " ",IF(INDEX($AC$2:$AS$1001,MATCH(ROWS($V$2:V191),$V$2:$V$1001,0),MATCH(COLUMNS($AC$1006:AC1006),$AC$1006:$AS$1006,0)), HYPERLINK("#",""), HYPERLINK(CONCATENATE("#metadata!", ADDRESS(INDEX($X$2:$X$1001,MATCH(ROWS($V$2:V191),$V$2:$V$1001,0),0), INDEX($AC$1004:$AS$1004,1,MATCH(COLUMNS($AC$1006:AC1006),$AC$1006:$AS$1006,0)))),"Fix")))</f>
        <v xml:space="preserve"> </v>
      </c>
      <c r="C191" s="4" t="str">
        <f ca="1">IF(OR(INDEX($W$2:$W$1001,MATCH(ROWS($V$2:V191),$V$2:$V$1001,0),1)&gt;=100000,INDEX($AC$1005:$AS$1005,1,MATCH(COLUMNS($AC$1006:AD1006),$AC$1006:$AS$1006,0))&gt;=100000), " ",IF(INDEX($AC$2:$AS$1001,MATCH(ROWS($V$2:V191),$V$2:$V$1001,0),MATCH(COLUMNS($AC$1006:AD1006),$AC$1006:$AS$1006,0)), HYPERLINK("#",""), HYPERLINK(CONCATENATE("#metadata!", ADDRESS(INDEX($X$2:$X$1001,MATCH(ROWS($V$2:V191),$V$2:$V$1001,0),0), INDEX($AC$1004:$AS$1004,1,MATCH(COLUMNS($AC$1006:AD1006),$AC$1006:$AS$1006,0)))),"Fix")))</f>
        <v xml:space="preserve"> </v>
      </c>
      <c r="D191" s="4" t="str">
        <f ca="1">IF(OR(INDEX($W$2:$W$1001,MATCH(ROWS($V$2:V191),$V$2:$V$1001,0),1)&gt;=100000,INDEX($AC$1005:$AS$1005,1,MATCH(COLUMNS($AC$1006:AE1006),$AC$1006:$AS$1006,0))&gt;=100000), " ",IF(INDEX($AC$2:$AS$1001,MATCH(ROWS($V$2:V191),$V$2:$V$1001,0),MATCH(COLUMNS($AC$1006:AE1006),$AC$1006:$AS$1006,0)), HYPERLINK("#",""), HYPERLINK(CONCATENATE("#metadata!", ADDRESS(INDEX($X$2:$X$1001,MATCH(ROWS($V$2:V191),$V$2:$V$1001,0),0), INDEX($AC$1004:$AS$1004,1,MATCH(COLUMNS($AC$1006:AE1006),$AC$1006:$AS$1006,0)))),"Fix")))</f>
        <v xml:space="preserve"> </v>
      </c>
      <c r="E191" s="4" t="str">
        <f ca="1">IF(OR(INDEX($W$2:$W$1001,MATCH(ROWS($V$2:V191),$V$2:$V$1001,0),1)&gt;=100000,INDEX($AC$1005:$AS$1005,1,MATCH(COLUMNS($AC$1006:AF1006),$AC$1006:$AS$1006,0))&gt;=100000), " ",IF(INDEX($AC$2:$AS$1001,MATCH(ROWS($V$2:V191),$V$2:$V$1001,0),MATCH(COLUMNS($AC$1006:AF1006),$AC$1006:$AS$1006,0)), HYPERLINK("#",""), HYPERLINK(CONCATENATE("#metadata!", ADDRESS(INDEX($X$2:$X$1001,MATCH(ROWS($V$2:V191),$V$2:$V$1001,0),0), INDEX($AC$1004:$AS$1004,1,MATCH(COLUMNS($AC$1006:AF1006),$AC$1006:$AS$1006,0)))),"Fix")))</f>
        <v xml:space="preserve"> </v>
      </c>
      <c r="F191" s="4" t="str">
        <f ca="1">IF(OR(INDEX($W$2:$W$1001,MATCH(ROWS($V$2:V191),$V$2:$V$1001,0),1)&gt;=100000,INDEX($AC$1005:$AS$1005,1,MATCH(COLUMNS($AC$1006:AG1006),$AC$1006:$AS$1006,0))&gt;=100000), " ",IF(INDEX($AC$2:$AS$1001,MATCH(ROWS($V$2:V191),$V$2:$V$1001,0),MATCH(COLUMNS($AC$1006:AG1006),$AC$1006:$AS$1006,0)), HYPERLINK("#",""), HYPERLINK(CONCATENATE("#metadata!", ADDRESS(INDEX($X$2:$X$1001,MATCH(ROWS($V$2:V191),$V$2:$V$1001,0),0), INDEX($AC$1004:$AS$1004,1,MATCH(COLUMNS($AC$1006:AG1006),$AC$1006:$AS$1006,0)))),"Fix")))</f>
        <v xml:space="preserve"> </v>
      </c>
      <c r="G191" s="4" t="str">
        <f ca="1">IF(OR(INDEX($W$2:$W$1001,MATCH(ROWS($V$2:V191),$V$2:$V$1001,0),1)&gt;=100000,INDEX($AC$1005:$AS$1005,1,MATCH(COLUMNS($AC$1006:AH1006),$AC$1006:$AS$1006,0))&gt;=100000), " ",IF(INDEX($AC$2:$AS$1001,MATCH(ROWS($V$2:V191),$V$2:$V$1001,0),MATCH(COLUMNS($AC$1006:AH1006),$AC$1006:$AS$1006,0)), HYPERLINK("#",""), HYPERLINK(CONCATENATE("#metadata!", ADDRESS(INDEX($X$2:$X$1001,MATCH(ROWS($V$2:V191),$V$2:$V$1001,0),0), INDEX($AC$1004:$AS$1004,1,MATCH(COLUMNS($AC$1006:AH1006),$AC$1006:$AS$1006,0)))),"Fix")))</f>
        <v xml:space="preserve"> </v>
      </c>
      <c r="H191" s="4" t="str">
        <f ca="1">IF(OR(INDEX($W$2:$W$1001,MATCH(ROWS($V$2:V191),$V$2:$V$1001,0),1)&gt;=100000,INDEX($AC$1005:$AS$1005,1,MATCH(COLUMNS($AC$1006:AI1006),$AC$1006:$AS$1006,0))&gt;=100000), " ",IF(INDEX($AC$2:$AS$1001,MATCH(ROWS($V$2:V191),$V$2:$V$1001,0),MATCH(COLUMNS($AC$1006:AI1006),$AC$1006:$AS$1006,0)), HYPERLINK("#",""), HYPERLINK(CONCATENATE("#metadata!", ADDRESS(INDEX($X$2:$X$1001,MATCH(ROWS($V$2:V191),$V$2:$V$1001,0),0), INDEX($AC$1004:$AS$1004,1,MATCH(COLUMNS($AC$1006:AI1006),$AC$1006:$AS$1006,0)))),"Fix")))</f>
        <v xml:space="preserve"> </v>
      </c>
      <c r="I191" s="4" t="str">
        <f ca="1">IF(OR(INDEX($W$2:$W$1001,MATCH(ROWS($V$2:V191),$V$2:$V$1001,0),1)&gt;=100000,INDEX($AC$1005:$AS$1005,1,MATCH(COLUMNS($AC$1006:AJ1006),$AC$1006:$AS$1006,0))&gt;=100000), " ",IF(INDEX($AC$2:$AS$1001,MATCH(ROWS($V$2:V191),$V$2:$V$1001,0),MATCH(COLUMNS($AC$1006:AJ1006),$AC$1006:$AS$1006,0)), HYPERLINK("#",""), HYPERLINK(CONCATENATE("#metadata!", ADDRESS(INDEX($X$2:$X$1001,MATCH(ROWS($V$2:V191),$V$2:$V$1001,0),0), INDEX($AC$1004:$AS$1004,1,MATCH(COLUMNS($AC$1006:AJ1006),$AC$1006:$AS$1006,0)))),"Fix")))</f>
        <v xml:space="preserve"> </v>
      </c>
      <c r="J191" s="4" t="str">
        <f ca="1">IF(OR(INDEX($W$2:$W$1001,MATCH(ROWS($V$2:V191),$V$2:$V$1001,0),1)&gt;=100000,INDEX($AC$1005:$AS$1005,1,MATCH(COLUMNS($AC$1006:AK1006),$AC$1006:$AS$1006,0))&gt;=100000), " ",IF(INDEX($AC$2:$AS$1001,MATCH(ROWS($V$2:V191),$V$2:$V$1001,0),MATCH(COLUMNS($AC$1006:AK1006),$AC$1006:$AS$1006,0)), HYPERLINK("#",""), HYPERLINK(CONCATENATE("#metadata!", ADDRESS(INDEX($X$2:$X$1001,MATCH(ROWS($V$2:V191),$V$2:$V$1001,0),0), INDEX($AC$1004:$AS$1004,1,MATCH(COLUMNS($AC$1006:AK1006),$AC$1006:$AS$1006,0)))),"Fix")))</f>
        <v xml:space="preserve"> </v>
      </c>
      <c r="K191" s="4" t="str">
        <f ca="1">IF(OR(INDEX($W$2:$W$1001,MATCH(ROWS($V$2:V191),$V$2:$V$1001,0),1)&gt;=100000,INDEX($AC$1005:$AS$1005,1,MATCH(COLUMNS($AC$1006:AL1006),$AC$1006:$AS$1006,0))&gt;=100000), " ",IF(INDEX($AC$2:$AS$1001,MATCH(ROWS($V$2:V191),$V$2:$V$1001,0),MATCH(COLUMNS($AC$1006:AL1006),$AC$1006:$AS$1006,0)), HYPERLINK("#",""), HYPERLINK(CONCATENATE("#metadata!", ADDRESS(INDEX($X$2:$X$1001,MATCH(ROWS($V$2:V191),$V$2:$V$1001,0),0), INDEX($AC$1004:$AS$1004,1,MATCH(COLUMNS($AC$1006:AL1006),$AC$1006:$AS$1006,0)))),"Fix")))</f>
        <v xml:space="preserve"> </v>
      </c>
      <c r="L191" s="4" t="str">
        <f ca="1">IF(OR(INDEX($W$2:$W$1001,MATCH(ROWS($V$2:V191),$V$2:$V$1001,0),1)&gt;=100000,INDEX($AC$1005:$AS$1005,1,MATCH(COLUMNS($AC$1006:AM1006),$AC$1006:$AS$1006,0))&gt;=100000), " ",IF(INDEX($AC$2:$AS$1001,MATCH(ROWS($V$2:V191),$V$2:$V$1001,0),MATCH(COLUMNS($AC$1006:AM1006),$AC$1006:$AS$1006,0)), HYPERLINK("#",""), HYPERLINK(CONCATENATE("#metadata!", ADDRESS(INDEX($X$2:$X$1001,MATCH(ROWS($V$2:V191),$V$2:$V$1001,0),0), INDEX($AC$1004:$AS$1004,1,MATCH(COLUMNS($AC$1006:AM1006),$AC$1006:$AS$1006,0)))),"Fix")))</f>
        <v xml:space="preserve"> </v>
      </c>
      <c r="M191" s="4" t="str">
        <f ca="1">IF(OR(INDEX($W$2:$W$1001,MATCH(ROWS($V$2:V191),$V$2:$V$1001,0),1)&gt;=100000,INDEX($AC$1005:$AS$1005,1,MATCH(COLUMNS($AC$1006:AN1006),$AC$1006:$AS$1006,0))&gt;=100000), " ",IF(INDEX($AC$2:$AS$1001,MATCH(ROWS($V$2:V191),$V$2:$V$1001,0),MATCH(COLUMNS($AC$1006:AN1006),$AC$1006:$AS$1006,0)), HYPERLINK("#",""), HYPERLINK(CONCATENATE("#metadata!", ADDRESS(INDEX($X$2:$X$1001,MATCH(ROWS($V$2:V191),$V$2:$V$1001,0),0), INDEX($AC$1004:$AS$1004,1,MATCH(COLUMNS($AC$1006:AN1006),$AC$1006:$AS$1006,0)))),"Fix")))</f>
        <v xml:space="preserve"> </v>
      </c>
      <c r="N191" s="4" t="str">
        <f ca="1">IF(OR(INDEX($W$2:$W$1001,MATCH(ROWS($V$2:V191),$V$2:$V$1001,0),1)&gt;=100000,INDEX($AC$1005:$AS$1005,1,MATCH(COLUMNS($AC$1006:AO1006),$AC$1006:$AS$1006,0))&gt;=100000), " ",IF(INDEX($AC$2:$AS$1001,MATCH(ROWS($V$2:V191),$V$2:$V$1001,0),MATCH(COLUMNS($AC$1006:AO1006),$AC$1006:$AS$1006,0)), HYPERLINK("#",""), HYPERLINK(CONCATENATE("#metadata!", ADDRESS(INDEX($X$2:$X$1001,MATCH(ROWS($V$2:V191),$V$2:$V$1001,0),0), INDEX($AC$1004:$AS$1004,1,MATCH(COLUMNS($AC$1006:AO1006),$AC$1006:$AS$1006,0)))),"Fix")))</f>
        <v xml:space="preserve"> </v>
      </c>
      <c r="O191" s="4" t="str">
        <f ca="1">IF(OR(INDEX($W$2:$W$1001,MATCH(ROWS($V$2:V191),$V$2:$V$1001,0),1)&gt;=100000,INDEX($AC$1005:$AS$1005,1,MATCH(COLUMNS($AC$1006:AP1006),$AC$1006:$AS$1006,0))&gt;=100000), " ",IF(INDEX($AC$2:$AS$1001,MATCH(ROWS($V$2:V191),$V$2:$V$1001,0),MATCH(COLUMNS($AC$1006:AP1006),$AC$1006:$AS$1006,0)), HYPERLINK("#",""), HYPERLINK(CONCATENATE("#metadata!", ADDRESS(INDEX($X$2:$X$1001,MATCH(ROWS($V$2:V191),$V$2:$V$1001,0),0), INDEX($AC$1004:$AS$1004,1,MATCH(COLUMNS($AC$1006:AP1006),$AC$1006:$AS$1006,0)))),"Fix")))</f>
        <v xml:space="preserve"> </v>
      </c>
      <c r="P191" s="4" t="str">
        <f ca="1">IF(OR(INDEX($W$2:$W$1001,MATCH(ROWS($V$2:V191),$V$2:$V$1001,0),1)&gt;=100000,INDEX($AC$1005:$AS$1005,1,MATCH(COLUMNS($AC$1006:AQ1006),$AC$1006:$AS$1006,0))&gt;=100000), " ",IF(INDEX($AC$2:$AS$1001,MATCH(ROWS($V$2:V191),$V$2:$V$1001,0),MATCH(COLUMNS($AC$1006:AQ1006),$AC$1006:$AS$1006,0)), HYPERLINK("#",""), HYPERLINK(CONCATENATE("#metadata!", ADDRESS(INDEX($X$2:$X$1001,MATCH(ROWS($V$2:V191),$V$2:$V$1001,0),0), INDEX($AC$1004:$AS$1004,1,MATCH(COLUMNS($AC$1006:AQ1006),$AC$1006:$AS$1006,0)))),"Fix")))</f>
        <v xml:space="preserve"> </v>
      </c>
      <c r="Q191" s="4" t="str">
        <f ca="1">IF(OR(INDEX($W$2:$W$1001,MATCH(ROWS($V$2:V191),$V$2:$V$1001,0),1)&gt;=100000,INDEX($AC$1005:$AS$1005,1,MATCH(COLUMNS($AC$1006:AR1006),$AC$1006:$AS$1006,0))&gt;=100000), " ",IF(INDEX($AC$2:$AS$1001,MATCH(ROWS($V$2:V191),$V$2:$V$1001,0),MATCH(COLUMNS($AC$1006:AR1006),$AC$1006:$AS$1006,0)), HYPERLINK("#",""), HYPERLINK(CONCATENATE("#metadata!", ADDRESS(INDEX($X$2:$X$1001,MATCH(ROWS($V$2:V191),$V$2:$V$1001,0),0), INDEX($AC$1004:$AS$1004,1,MATCH(COLUMNS($AC$1006:AR1006),$AC$1006:$AS$1006,0)))),"Fix")))</f>
        <v xml:space="preserve"> </v>
      </c>
      <c r="R191" s="4" t="str">
        <f ca="1">IF(OR(INDEX($W$2:$W$1001,MATCH(ROWS($V$2:V191),$V$2:$V$1001,0),1)&gt;=100000,INDEX($AC$1005:$AS$1005,1,MATCH(COLUMNS($AC$1006:AS1006),$AC$1006:$AS$1006,0))&gt;=100000), " ",IF(INDEX($AC$2:$AS$1001,MATCH(ROWS($V$2:V191),$V$2:$V$1001,0),MATCH(COLUMNS($AC$1006:AS1006),$AC$1006:$AS$1006,0)), HYPERLINK("#",""), HYPERLINK(CONCATENATE("#metadata!", ADDRESS(INDEX($X$2:$X$1001,MATCH(ROWS($V$2:V191),$V$2:$V$1001,0),0), INDEX($AC$1004:$AS$1004,1,MATCH(COLUMNS($AC$1006:AS1006),$AC$1006:$AS$1006,0)))),"Fix")))</f>
        <v xml:space="preserve"> </v>
      </c>
      <c r="V191">
        <v>190</v>
      </c>
      <c r="W191">
        <v>100191</v>
      </c>
      <c r="X191">
        <v>191</v>
      </c>
      <c r="Y191" t="b">
        <f t="shared" si="2"/>
        <v>1</v>
      </c>
      <c r="Z191" t="b">
        <f>COUNTBLANK(metadata!B191:R191)=COLUMNS(metadata!B191:R191)</f>
        <v>1</v>
      </c>
      <c r="AA191" t="str">
        <v/>
      </c>
      <c r="AC191" t="b">
        <f ca="1"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AD191" t="b">
        <f>IF(metadata!C191="",FALSE,ISNUMBER(VALUE(metadata!C191)))</f>
        <v>0</v>
      </c>
      <c r="AE191" t="b">
        <f>AND(IF(metadata!D191="",FALSE,TRUE),EXACT(metadata!D191,"years"))</f>
        <v>0</v>
      </c>
      <c r="AF191" t="b">
        <f>OR(AND(IF(metadata!E191="",FALSE,TRUE),OR(EXACT(metadata!E191,"not applicable"),EXACT(metadata!E191,"missing: not collected"),EXACT(metadata!E191,"missing: not provided"),EXACT(metadata!E191,"missing: restricted access"))),AND(IF(metadata!E191="",FALSE,ISNUMBER(VALUE(metadata!E191))),metadata!E191&gt;0))</f>
        <v>0</v>
      </c>
      <c r="AG191" t="b">
        <f>AND(IF(metadata!F191="",FALSE,TRUE),EXACT(metadata!F191,"Not applicable"))</f>
        <v>0</v>
      </c>
      <c r="AH191" t="b">
        <f>AND(IF(metadata!G191="",FALSE,TRUE),EXACT(metadata!G191,"urban biome"))</f>
        <v>0</v>
      </c>
      <c r="AI191" t="b">
        <f>AND(IF(metadata!H191="",FALSE,TRUE),EXACT(metadata!H191,"human-associated habitat"))</f>
        <v>0</v>
      </c>
      <c r="AJ191" t="b">
        <f>AND(IF(metadata!I191="",FALSE,TRUE),OR(EXACT(metadata!I191,"human-associated"),EXACT(metadata!I191,"human-skin"),EXACT(metadata!I191,"human-oral"),EXACT(metadata!I191,"human-gut"),EXACT(metadata!I191,"human-vaginal")))</f>
        <v>0</v>
      </c>
      <c r="AK191" t="b">
        <f>IF(metadata!J191="",FALSE,ISNUMBER(VALUE(metadata!J191)))</f>
        <v>0</v>
      </c>
      <c r="AL191" t="b">
        <f>AND(IF(metadata!K191="",FALSE,TRUE),EXACT(metadata!K191,"cm"))</f>
        <v>0</v>
      </c>
      <c r="AM191" t="b">
        <f>AND(IF(metadata!L191="",FALSE,TRUE),EXACT(metadata!L191,"human"))</f>
        <v>0</v>
      </c>
      <c r="AN191" t="b">
        <f>AND(IF(metadata!M191="",FALSE,TRUE),EXACT(metadata!M191,"Homo sapiens"))</f>
        <v>0</v>
      </c>
      <c r="AO191" t="b">
        <f>AND(IF(metadata!N191="",FALSE,TRUE),EXACT(metadata!N191,"9606"))</f>
        <v>0</v>
      </c>
      <c r="AP191" t="b">
        <f>IF(metadata!O191="",FALSE,TRUE)</f>
        <v>0</v>
      </c>
      <c r="AQ191" t="b">
        <f>IF(metadata!P191="",FALSE,TRUE)</f>
        <v>0</v>
      </c>
      <c r="AR191" t="b">
        <f>IF(metadata!Q191="",FALSE,ISNUMBER(VALUE(metadata!Q191)))</f>
        <v>0</v>
      </c>
      <c r="AS191" t="b">
        <f>AND(IF(metadata!R191="",FALSE,TRUE),EXACT(metadata!R191,"kg"))</f>
        <v>0</v>
      </c>
    </row>
    <row r="192" spans="1:45" x14ac:dyDescent="0.2">
      <c r="A192" s="5" t="str">
        <f ca="1">IF(B192=" "," ",HYPERLINK(CONCATENATE("#metadata!",ADDRESS(INDEX($X$2:$X$1001,MATCH(ROWS($V$2:V192),$V$2:$V$1001,0),0),1)),INDEX($AA$2:$AA$1001,MATCH(ROWS($V$2:V192),$V$2:$V$1001,0),0)))</f>
        <v xml:space="preserve"> </v>
      </c>
      <c r="B192" s="4" t="str">
        <f ca="1">IF(OR(INDEX($W$2:$W$1001,MATCH(ROWS($V$2:V192),$V$2:$V$1001,0),1)&gt;=100000,INDEX($AC$1005:$AS$1005,1,MATCH(COLUMNS($AC$1006:AC1006),$AC$1006:$AS$1006,0))&gt;=100000), " ",IF(INDEX($AC$2:$AS$1001,MATCH(ROWS($V$2:V192),$V$2:$V$1001,0),MATCH(COLUMNS($AC$1006:AC1006),$AC$1006:$AS$1006,0)), HYPERLINK("#",""), HYPERLINK(CONCATENATE("#metadata!", ADDRESS(INDEX($X$2:$X$1001,MATCH(ROWS($V$2:V192),$V$2:$V$1001,0),0), INDEX($AC$1004:$AS$1004,1,MATCH(COLUMNS($AC$1006:AC1006),$AC$1006:$AS$1006,0)))),"Fix")))</f>
        <v xml:space="preserve"> </v>
      </c>
      <c r="C192" s="4" t="str">
        <f ca="1">IF(OR(INDEX($W$2:$W$1001,MATCH(ROWS($V$2:V192),$V$2:$V$1001,0),1)&gt;=100000,INDEX($AC$1005:$AS$1005,1,MATCH(COLUMNS($AC$1006:AD1006),$AC$1006:$AS$1006,0))&gt;=100000), " ",IF(INDEX($AC$2:$AS$1001,MATCH(ROWS($V$2:V192),$V$2:$V$1001,0),MATCH(COLUMNS($AC$1006:AD1006),$AC$1006:$AS$1006,0)), HYPERLINK("#",""), HYPERLINK(CONCATENATE("#metadata!", ADDRESS(INDEX($X$2:$X$1001,MATCH(ROWS($V$2:V192),$V$2:$V$1001,0),0), INDEX($AC$1004:$AS$1004,1,MATCH(COLUMNS($AC$1006:AD1006),$AC$1006:$AS$1006,0)))),"Fix")))</f>
        <v xml:space="preserve"> </v>
      </c>
      <c r="D192" s="4" t="str">
        <f ca="1">IF(OR(INDEX($W$2:$W$1001,MATCH(ROWS($V$2:V192),$V$2:$V$1001,0),1)&gt;=100000,INDEX($AC$1005:$AS$1005,1,MATCH(COLUMNS($AC$1006:AE1006),$AC$1006:$AS$1006,0))&gt;=100000), " ",IF(INDEX($AC$2:$AS$1001,MATCH(ROWS($V$2:V192),$V$2:$V$1001,0),MATCH(COLUMNS($AC$1006:AE1006),$AC$1006:$AS$1006,0)), HYPERLINK("#",""), HYPERLINK(CONCATENATE("#metadata!", ADDRESS(INDEX($X$2:$X$1001,MATCH(ROWS($V$2:V192),$V$2:$V$1001,0),0), INDEX($AC$1004:$AS$1004,1,MATCH(COLUMNS($AC$1006:AE1006),$AC$1006:$AS$1006,0)))),"Fix")))</f>
        <v xml:space="preserve"> </v>
      </c>
      <c r="E192" s="4" t="str">
        <f ca="1">IF(OR(INDEX($W$2:$W$1001,MATCH(ROWS($V$2:V192),$V$2:$V$1001,0),1)&gt;=100000,INDEX($AC$1005:$AS$1005,1,MATCH(COLUMNS($AC$1006:AF1006),$AC$1006:$AS$1006,0))&gt;=100000), " ",IF(INDEX($AC$2:$AS$1001,MATCH(ROWS($V$2:V192),$V$2:$V$1001,0),MATCH(COLUMNS($AC$1006:AF1006),$AC$1006:$AS$1006,0)), HYPERLINK("#",""), HYPERLINK(CONCATENATE("#metadata!", ADDRESS(INDEX($X$2:$X$1001,MATCH(ROWS($V$2:V192),$V$2:$V$1001,0),0), INDEX($AC$1004:$AS$1004,1,MATCH(COLUMNS($AC$1006:AF1006),$AC$1006:$AS$1006,0)))),"Fix")))</f>
        <v xml:space="preserve"> </v>
      </c>
      <c r="F192" s="4" t="str">
        <f ca="1">IF(OR(INDEX($W$2:$W$1001,MATCH(ROWS($V$2:V192),$V$2:$V$1001,0),1)&gt;=100000,INDEX($AC$1005:$AS$1005,1,MATCH(COLUMNS($AC$1006:AG1006),$AC$1006:$AS$1006,0))&gt;=100000), " ",IF(INDEX($AC$2:$AS$1001,MATCH(ROWS($V$2:V192),$V$2:$V$1001,0),MATCH(COLUMNS($AC$1006:AG1006),$AC$1006:$AS$1006,0)), HYPERLINK("#",""), HYPERLINK(CONCATENATE("#metadata!", ADDRESS(INDEX($X$2:$X$1001,MATCH(ROWS($V$2:V192),$V$2:$V$1001,0),0), INDEX($AC$1004:$AS$1004,1,MATCH(COLUMNS($AC$1006:AG1006),$AC$1006:$AS$1006,0)))),"Fix")))</f>
        <v xml:space="preserve"> </v>
      </c>
      <c r="G192" s="4" t="str">
        <f ca="1">IF(OR(INDEX($W$2:$W$1001,MATCH(ROWS($V$2:V192),$V$2:$V$1001,0),1)&gt;=100000,INDEX($AC$1005:$AS$1005,1,MATCH(COLUMNS($AC$1006:AH1006),$AC$1006:$AS$1006,0))&gt;=100000), " ",IF(INDEX($AC$2:$AS$1001,MATCH(ROWS($V$2:V192),$V$2:$V$1001,0),MATCH(COLUMNS($AC$1006:AH1006),$AC$1006:$AS$1006,0)), HYPERLINK("#",""), HYPERLINK(CONCATENATE("#metadata!", ADDRESS(INDEX($X$2:$X$1001,MATCH(ROWS($V$2:V192),$V$2:$V$1001,0),0), INDEX($AC$1004:$AS$1004,1,MATCH(COLUMNS($AC$1006:AH1006),$AC$1006:$AS$1006,0)))),"Fix")))</f>
        <v xml:space="preserve"> </v>
      </c>
      <c r="H192" s="4" t="str">
        <f ca="1">IF(OR(INDEX($W$2:$W$1001,MATCH(ROWS($V$2:V192),$V$2:$V$1001,0),1)&gt;=100000,INDEX($AC$1005:$AS$1005,1,MATCH(COLUMNS($AC$1006:AI1006),$AC$1006:$AS$1006,0))&gt;=100000), " ",IF(INDEX($AC$2:$AS$1001,MATCH(ROWS($V$2:V192),$V$2:$V$1001,0),MATCH(COLUMNS($AC$1006:AI1006),$AC$1006:$AS$1006,0)), HYPERLINK("#",""), HYPERLINK(CONCATENATE("#metadata!", ADDRESS(INDEX($X$2:$X$1001,MATCH(ROWS($V$2:V192),$V$2:$V$1001,0),0), INDEX($AC$1004:$AS$1004,1,MATCH(COLUMNS($AC$1006:AI1006),$AC$1006:$AS$1006,0)))),"Fix")))</f>
        <v xml:space="preserve"> </v>
      </c>
      <c r="I192" s="4" t="str">
        <f ca="1">IF(OR(INDEX($W$2:$W$1001,MATCH(ROWS($V$2:V192),$V$2:$V$1001,0),1)&gt;=100000,INDEX($AC$1005:$AS$1005,1,MATCH(COLUMNS($AC$1006:AJ1006),$AC$1006:$AS$1006,0))&gt;=100000), " ",IF(INDEX($AC$2:$AS$1001,MATCH(ROWS($V$2:V192),$V$2:$V$1001,0),MATCH(COLUMNS($AC$1006:AJ1006),$AC$1006:$AS$1006,0)), HYPERLINK("#",""), HYPERLINK(CONCATENATE("#metadata!", ADDRESS(INDEX($X$2:$X$1001,MATCH(ROWS($V$2:V192),$V$2:$V$1001,0),0), INDEX($AC$1004:$AS$1004,1,MATCH(COLUMNS($AC$1006:AJ1006),$AC$1006:$AS$1006,0)))),"Fix")))</f>
        <v xml:space="preserve"> </v>
      </c>
      <c r="J192" s="4" t="str">
        <f ca="1">IF(OR(INDEX($W$2:$W$1001,MATCH(ROWS($V$2:V192),$V$2:$V$1001,0),1)&gt;=100000,INDEX($AC$1005:$AS$1005,1,MATCH(COLUMNS($AC$1006:AK1006),$AC$1006:$AS$1006,0))&gt;=100000), " ",IF(INDEX($AC$2:$AS$1001,MATCH(ROWS($V$2:V192),$V$2:$V$1001,0),MATCH(COLUMNS($AC$1006:AK1006),$AC$1006:$AS$1006,0)), HYPERLINK("#",""), HYPERLINK(CONCATENATE("#metadata!", ADDRESS(INDEX($X$2:$X$1001,MATCH(ROWS($V$2:V192),$V$2:$V$1001,0),0), INDEX($AC$1004:$AS$1004,1,MATCH(COLUMNS($AC$1006:AK1006),$AC$1006:$AS$1006,0)))),"Fix")))</f>
        <v xml:space="preserve"> </v>
      </c>
      <c r="K192" s="4" t="str">
        <f ca="1">IF(OR(INDEX($W$2:$W$1001,MATCH(ROWS($V$2:V192),$V$2:$V$1001,0),1)&gt;=100000,INDEX($AC$1005:$AS$1005,1,MATCH(COLUMNS($AC$1006:AL1006),$AC$1006:$AS$1006,0))&gt;=100000), " ",IF(INDEX($AC$2:$AS$1001,MATCH(ROWS($V$2:V192),$V$2:$V$1001,0),MATCH(COLUMNS($AC$1006:AL1006),$AC$1006:$AS$1006,0)), HYPERLINK("#",""), HYPERLINK(CONCATENATE("#metadata!", ADDRESS(INDEX($X$2:$X$1001,MATCH(ROWS($V$2:V192),$V$2:$V$1001,0),0), INDEX($AC$1004:$AS$1004,1,MATCH(COLUMNS($AC$1006:AL1006),$AC$1006:$AS$1006,0)))),"Fix")))</f>
        <v xml:space="preserve"> </v>
      </c>
      <c r="L192" s="4" t="str">
        <f ca="1">IF(OR(INDEX($W$2:$W$1001,MATCH(ROWS($V$2:V192),$V$2:$V$1001,0),1)&gt;=100000,INDEX($AC$1005:$AS$1005,1,MATCH(COLUMNS($AC$1006:AM1006),$AC$1006:$AS$1006,0))&gt;=100000), " ",IF(INDEX($AC$2:$AS$1001,MATCH(ROWS($V$2:V192),$V$2:$V$1001,0),MATCH(COLUMNS($AC$1006:AM1006),$AC$1006:$AS$1006,0)), HYPERLINK("#",""), HYPERLINK(CONCATENATE("#metadata!", ADDRESS(INDEX($X$2:$X$1001,MATCH(ROWS($V$2:V192),$V$2:$V$1001,0),0), INDEX($AC$1004:$AS$1004,1,MATCH(COLUMNS($AC$1006:AM1006),$AC$1006:$AS$1006,0)))),"Fix")))</f>
        <v xml:space="preserve"> </v>
      </c>
      <c r="M192" s="4" t="str">
        <f ca="1">IF(OR(INDEX($W$2:$W$1001,MATCH(ROWS($V$2:V192),$V$2:$V$1001,0),1)&gt;=100000,INDEX($AC$1005:$AS$1005,1,MATCH(COLUMNS($AC$1006:AN1006),$AC$1006:$AS$1006,0))&gt;=100000), " ",IF(INDEX($AC$2:$AS$1001,MATCH(ROWS($V$2:V192),$V$2:$V$1001,0),MATCH(COLUMNS($AC$1006:AN1006),$AC$1006:$AS$1006,0)), HYPERLINK("#",""), HYPERLINK(CONCATENATE("#metadata!", ADDRESS(INDEX($X$2:$X$1001,MATCH(ROWS($V$2:V192),$V$2:$V$1001,0),0), INDEX($AC$1004:$AS$1004,1,MATCH(COLUMNS($AC$1006:AN1006),$AC$1006:$AS$1006,0)))),"Fix")))</f>
        <v xml:space="preserve"> </v>
      </c>
      <c r="N192" s="4" t="str">
        <f ca="1">IF(OR(INDEX($W$2:$W$1001,MATCH(ROWS($V$2:V192),$V$2:$V$1001,0),1)&gt;=100000,INDEX($AC$1005:$AS$1005,1,MATCH(COLUMNS($AC$1006:AO1006),$AC$1006:$AS$1006,0))&gt;=100000), " ",IF(INDEX($AC$2:$AS$1001,MATCH(ROWS($V$2:V192),$V$2:$V$1001,0),MATCH(COLUMNS($AC$1006:AO1006),$AC$1006:$AS$1006,0)), HYPERLINK("#",""), HYPERLINK(CONCATENATE("#metadata!", ADDRESS(INDEX($X$2:$X$1001,MATCH(ROWS($V$2:V192),$V$2:$V$1001,0),0), INDEX($AC$1004:$AS$1004,1,MATCH(COLUMNS($AC$1006:AO1006),$AC$1006:$AS$1006,0)))),"Fix")))</f>
        <v xml:space="preserve"> </v>
      </c>
      <c r="O192" s="4" t="str">
        <f ca="1">IF(OR(INDEX($W$2:$W$1001,MATCH(ROWS($V$2:V192),$V$2:$V$1001,0),1)&gt;=100000,INDEX($AC$1005:$AS$1005,1,MATCH(COLUMNS($AC$1006:AP1006),$AC$1006:$AS$1006,0))&gt;=100000), " ",IF(INDEX($AC$2:$AS$1001,MATCH(ROWS($V$2:V192),$V$2:$V$1001,0),MATCH(COLUMNS($AC$1006:AP1006),$AC$1006:$AS$1006,0)), HYPERLINK("#",""), HYPERLINK(CONCATENATE("#metadata!", ADDRESS(INDEX($X$2:$X$1001,MATCH(ROWS($V$2:V192),$V$2:$V$1001,0),0), INDEX($AC$1004:$AS$1004,1,MATCH(COLUMNS($AC$1006:AP1006),$AC$1006:$AS$1006,0)))),"Fix")))</f>
        <v xml:space="preserve"> </v>
      </c>
      <c r="P192" s="4" t="str">
        <f ca="1">IF(OR(INDEX($W$2:$W$1001,MATCH(ROWS($V$2:V192),$V$2:$V$1001,0),1)&gt;=100000,INDEX($AC$1005:$AS$1005,1,MATCH(COLUMNS($AC$1006:AQ1006),$AC$1006:$AS$1006,0))&gt;=100000), " ",IF(INDEX($AC$2:$AS$1001,MATCH(ROWS($V$2:V192),$V$2:$V$1001,0),MATCH(COLUMNS($AC$1006:AQ1006),$AC$1006:$AS$1006,0)), HYPERLINK("#",""), HYPERLINK(CONCATENATE("#metadata!", ADDRESS(INDEX($X$2:$X$1001,MATCH(ROWS($V$2:V192),$V$2:$V$1001,0),0), INDEX($AC$1004:$AS$1004,1,MATCH(COLUMNS($AC$1006:AQ1006),$AC$1006:$AS$1006,0)))),"Fix")))</f>
        <v xml:space="preserve"> </v>
      </c>
      <c r="Q192" s="4" t="str">
        <f ca="1">IF(OR(INDEX($W$2:$W$1001,MATCH(ROWS($V$2:V192),$V$2:$V$1001,0),1)&gt;=100000,INDEX($AC$1005:$AS$1005,1,MATCH(COLUMNS($AC$1006:AR1006),$AC$1006:$AS$1006,0))&gt;=100000), " ",IF(INDEX($AC$2:$AS$1001,MATCH(ROWS($V$2:V192),$V$2:$V$1001,0),MATCH(COLUMNS($AC$1006:AR1006),$AC$1006:$AS$1006,0)), HYPERLINK("#",""), HYPERLINK(CONCATENATE("#metadata!", ADDRESS(INDEX($X$2:$X$1001,MATCH(ROWS($V$2:V192),$V$2:$V$1001,0),0), INDEX($AC$1004:$AS$1004,1,MATCH(COLUMNS($AC$1006:AR1006),$AC$1006:$AS$1006,0)))),"Fix")))</f>
        <v xml:space="preserve"> </v>
      </c>
      <c r="R192" s="4" t="str">
        <f ca="1">IF(OR(INDEX($W$2:$W$1001,MATCH(ROWS($V$2:V192),$V$2:$V$1001,0),1)&gt;=100000,INDEX($AC$1005:$AS$1005,1,MATCH(COLUMNS($AC$1006:AS1006),$AC$1006:$AS$1006,0))&gt;=100000), " ",IF(INDEX($AC$2:$AS$1001,MATCH(ROWS($V$2:V192),$V$2:$V$1001,0),MATCH(COLUMNS($AC$1006:AS1006),$AC$1006:$AS$1006,0)), HYPERLINK("#",""), HYPERLINK(CONCATENATE("#metadata!", ADDRESS(INDEX($X$2:$X$1001,MATCH(ROWS($V$2:V192),$V$2:$V$1001,0),0), INDEX($AC$1004:$AS$1004,1,MATCH(COLUMNS($AC$1006:AS1006),$AC$1006:$AS$1006,0)))),"Fix")))</f>
        <v xml:space="preserve"> </v>
      </c>
      <c r="V192">
        <v>191</v>
      </c>
      <c r="W192">
        <v>100192</v>
      </c>
      <c r="X192">
        <v>192</v>
      </c>
      <c r="Y192" t="b">
        <f t="shared" si="2"/>
        <v>1</v>
      </c>
      <c r="Z192" t="b">
        <f>COUNTBLANK(metadata!B192:R192)=COLUMNS(metadata!B192:R192)</f>
        <v>1</v>
      </c>
      <c r="AA192" t="str">
        <v/>
      </c>
      <c r="AC192" t="b">
        <f ca="1"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AD192" t="b">
        <f>IF(metadata!C192="",FALSE,ISNUMBER(VALUE(metadata!C192)))</f>
        <v>0</v>
      </c>
      <c r="AE192" t="b">
        <f>AND(IF(metadata!D192="",FALSE,TRUE),EXACT(metadata!D192,"years"))</f>
        <v>0</v>
      </c>
      <c r="AF192" t="b">
        <f>OR(AND(IF(metadata!E192="",FALSE,TRUE),OR(EXACT(metadata!E192,"not applicable"),EXACT(metadata!E192,"missing: not collected"),EXACT(metadata!E192,"missing: not provided"),EXACT(metadata!E192,"missing: restricted access"))),AND(IF(metadata!E192="",FALSE,ISNUMBER(VALUE(metadata!E192))),metadata!E192&gt;0))</f>
        <v>0</v>
      </c>
      <c r="AG192" t="b">
        <f>AND(IF(metadata!F192="",FALSE,TRUE),EXACT(metadata!F192,"Not applicable"))</f>
        <v>0</v>
      </c>
      <c r="AH192" t="b">
        <f>AND(IF(metadata!G192="",FALSE,TRUE),EXACT(metadata!G192,"urban biome"))</f>
        <v>0</v>
      </c>
      <c r="AI192" t="b">
        <f>AND(IF(metadata!H192="",FALSE,TRUE),EXACT(metadata!H192,"human-associated habitat"))</f>
        <v>0</v>
      </c>
      <c r="AJ192" t="b">
        <f>AND(IF(metadata!I192="",FALSE,TRUE),OR(EXACT(metadata!I192,"human-associated"),EXACT(metadata!I192,"human-skin"),EXACT(metadata!I192,"human-oral"),EXACT(metadata!I192,"human-gut"),EXACT(metadata!I192,"human-vaginal")))</f>
        <v>0</v>
      </c>
      <c r="AK192" t="b">
        <f>IF(metadata!J192="",FALSE,ISNUMBER(VALUE(metadata!J192)))</f>
        <v>0</v>
      </c>
      <c r="AL192" t="b">
        <f>AND(IF(metadata!K192="",FALSE,TRUE),EXACT(metadata!K192,"cm"))</f>
        <v>0</v>
      </c>
      <c r="AM192" t="b">
        <f>AND(IF(metadata!L192="",FALSE,TRUE),EXACT(metadata!L192,"human"))</f>
        <v>0</v>
      </c>
      <c r="AN192" t="b">
        <f>AND(IF(metadata!M192="",FALSE,TRUE),EXACT(metadata!M192,"Homo sapiens"))</f>
        <v>0</v>
      </c>
      <c r="AO192" t="b">
        <f>AND(IF(metadata!N192="",FALSE,TRUE),EXACT(metadata!N192,"9606"))</f>
        <v>0</v>
      </c>
      <c r="AP192" t="b">
        <f>IF(metadata!O192="",FALSE,TRUE)</f>
        <v>0</v>
      </c>
      <c r="AQ192" t="b">
        <f>IF(metadata!P192="",FALSE,TRUE)</f>
        <v>0</v>
      </c>
      <c r="AR192" t="b">
        <f>IF(metadata!Q192="",FALSE,ISNUMBER(VALUE(metadata!Q192)))</f>
        <v>0</v>
      </c>
      <c r="AS192" t="b">
        <f>AND(IF(metadata!R192="",FALSE,TRUE),EXACT(metadata!R192,"kg"))</f>
        <v>0</v>
      </c>
    </row>
    <row r="193" spans="1:45" x14ac:dyDescent="0.2">
      <c r="A193" s="5" t="str">
        <f ca="1">IF(B193=" "," ",HYPERLINK(CONCATENATE("#metadata!",ADDRESS(INDEX($X$2:$X$1001,MATCH(ROWS($V$2:V193),$V$2:$V$1001,0),0),1)),INDEX($AA$2:$AA$1001,MATCH(ROWS($V$2:V193),$V$2:$V$1001,0),0)))</f>
        <v xml:space="preserve"> </v>
      </c>
      <c r="B193" s="4" t="str">
        <f ca="1">IF(OR(INDEX($W$2:$W$1001,MATCH(ROWS($V$2:V193),$V$2:$V$1001,0),1)&gt;=100000,INDEX($AC$1005:$AS$1005,1,MATCH(COLUMNS($AC$1006:AC1006),$AC$1006:$AS$1006,0))&gt;=100000), " ",IF(INDEX($AC$2:$AS$1001,MATCH(ROWS($V$2:V193),$V$2:$V$1001,0),MATCH(COLUMNS($AC$1006:AC1006),$AC$1006:$AS$1006,0)), HYPERLINK("#",""), HYPERLINK(CONCATENATE("#metadata!", ADDRESS(INDEX($X$2:$X$1001,MATCH(ROWS($V$2:V193),$V$2:$V$1001,0),0), INDEX($AC$1004:$AS$1004,1,MATCH(COLUMNS($AC$1006:AC1006),$AC$1006:$AS$1006,0)))),"Fix")))</f>
        <v xml:space="preserve"> </v>
      </c>
      <c r="C193" s="4" t="str">
        <f ca="1">IF(OR(INDEX($W$2:$W$1001,MATCH(ROWS($V$2:V193),$V$2:$V$1001,0),1)&gt;=100000,INDEX($AC$1005:$AS$1005,1,MATCH(COLUMNS($AC$1006:AD1006),$AC$1006:$AS$1006,0))&gt;=100000), " ",IF(INDEX($AC$2:$AS$1001,MATCH(ROWS($V$2:V193),$V$2:$V$1001,0),MATCH(COLUMNS($AC$1006:AD1006),$AC$1006:$AS$1006,0)), HYPERLINK("#",""), HYPERLINK(CONCATENATE("#metadata!", ADDRESS(INDEX($X$2:$X$1001,MATCH(ROWS($V$2:V193),$V$2:$V$1001,0),0), INDEX($AC$1004:$AS$1004,1,MATCH(COLUMNS($AC$1006:AD1006),$AC$1006:$AS$1006,0)))),"Fix")))</f>
        <v xml:space="preserve"> </v>
      </c>
      <c r="D193" s="4" t="str">
        <f ca="1">IF(OR(INDEX($W$2:$W$1001,MATCH(ROWS($V$2:V193),$V$2:$V$1001,0),1)&gt;=100000,INDEX($AC$1005:$AS$1005,1,MATCH(COLUMNS($AC$1006:AE1006),$AC$1006:$AS$1006,0))&gt;=100000), " ",IF(INDEX($AC$2:$AS$1001,MATCH(ROWS($V$2:V193),$V$2:$V$1001,0),MATCH(COLUMNS($AC$1006:AE1006),$AC$1006:$AS$1006,0)), HYPERLINK("#",""), HYPERLINK(CONCATENATE("#metadata!", ADDRESS(INDEX($X$2:$X$1001,MATCH(ROWS($V$2:V193),$V$2:$V$1001,0),0), INDEX($AC$1004:$AS$1004,1,MATCH(COLUMNS($AC$1006:AE1006),$AC$1006:$AS$1006,0)))),"Fix")))</f>
        <v xml:space="preserve"> </v>
      </c>
      <c r="E193" s="4" t="str">
        <f ca="1">IF(OR(INDEX($W$2:$W$1001,MATCH(ROWS($V$2:V193),$V$2:$V$1001,0),1)&gt;=100000,INDEX($AC$1005:$AS$1005,1,MATCH(COLUMNS($AC$1006:AF1006),$AC$1006:$AS$1006,0))&gt;=100000), " ",IF(INDEX($AC$2:$AS$1001,MATCH(ROWS($V$2:V193),$V$2:$V$1001,0),MATCH(COLUMNS($AC$1006:AF1006),$AC$1006:$AS$1006,0)), HYPERLINK("#",""), HYPERLINK(CONCATENATE("#metadata!", ADDRESS(INDEX($X$2:$X$1001,MATCH(ROWS($V$2:V193),$V$2:$V$1001,0),0), INDEX($AC$1004:$AS$1004,1,MATCH(COLUMNS($AC$1006:AF1006),$AC$1006:$AS$1006,0)))),"Fix")))</f>
        <v xml:space="preserve"> </v>
      </c>
      <c r="F193" s="4" t="str">
        <f ca="1">IF(OR(INDEX($W$2:$W$1001,MATCH(ROWS($V$2:V193),$V$2:$V$1001,0),1)&gt;=100000,INDEX($AC$1005:$AS$1005,1,MATCH(COLUMNS($AC$1006:AG1006),$AC$1006:$AS$1006,0))&gt;=100000), " ",IF(INDEX($AC$2:$AS$1001,MATCH(ROWS($V$2:V193),$V$2:$V$1001,0),MATCH(COLUMNS($AC$1006:AG1006),$AC$1006:$AS$1006,0)), HYPERLINK("#",""), HYPERLINK(CONCATENATE("#metadata!", ADDRESS(INDEX($X$2:$X$1001,MATCH(ROWS($V$2:V193),$V$2:$V$1001,0),0), INDEX($AC$1004:$AS$1004,1,MATCH(COLUMNS($AC$1006:AG1006),$AC$1006:$AS$1006,0)))),"Fix")))</f>
        <v xml:space="preserve"> </v>
      </c>
      <c r="G193" s="4" t="str">
        <f ca="1">IF(OR(INDEX($W$2:$W$1001,MATCH(ROWS($V$2:V193),$V$2:$V$1001,0),1)&gt;=100000,INDEX($AC$1005:$AS$1005,1,MATCH(COLUMNS($AC$1006:AH1006),$AC$1006:$AS$1006,0))&gt;=100000), " ",IF(INDEX($AC$2:$AS$1001,MATCH(ROWS($V$2:V193),$V$2:$V$1001,0),MATCH(COLUMNS($AC$1006:AH1006),$AC$1006:$AS$1006,0)), HYPERLINK("#",""), HYPERLINK(CONCATENATE("#metadata!", ADDRESS(INDEX($X$2:$X$1001,MATCH(ROWS($V$2:V193),$V$2:$V$1001,0),0), INDEX($AC$1004:$AS$1004,1,MATCH(COLUMNS($AC$1006:AH1006),$AC$1006:$AS$1006,0)))),"Fix")))</f>
        <v xml:space="preserve"> </v>
      </c>
      <c r="H193" s="4" t="str">
        <f ca="1">IF(OR(INDEX($W$2:$W$1001,MATCH(ROWS($V$2:V193),$V$2:$V$1001,0),1)&gt;=100000,INDEX($AC$1005:$AS$1005,1,MATCH(COLUMNS($AC$1006:AI1006),$AC$1006:$AS$1006,0))&gt;=100000), " ",IF(INDEX($AC$2:$AS$1001,MATCH(ROWS($V$2:V193),$V$2:$V$1001,0),MATCH(COLUMNS($AC$1006:AI1006),$AC$1006:$AS$1006,0)), HYPERLINK("#",""), HYPERLINK(CONCATENATE("#metadata!", ADDRESS(INDEX($X$2:$X$1001,MATCH(ROWS($V$2:V193),$V$2:$V$1001,0),0), INDEX($AC$1004:$AS$1004,1,MATCH(COLUMNS($AC$1006:AI1006),$AC$1006:$AS$1006,0)))),"Fix")))</f>
        <v xml:space="preserve"> </v>
      </c>
      <c r="I193" s="4" t="str">
        <f ca="1">IF(OR(INDEX($W$2:$W$1001,MATCH(ROWS($V$2:V193),$V$2:$V$1001,0),1)&gt;=100000,INDEX($AC$1005:$AS$1005,1,MATCH(COLUMNS($AC$1006:AJ1006),$AC$1006:$AS$1006,0))&gt;=100000), " ",IF(INDEX($AC$2:$AS$1001,MATCH(ROWS($V$2:V193),$V$2:$V$1001,0),MATCH(COLUMNS($AC$1006:AJ1006),$AC$1006:$AS$1006,0)), HYPERLINK("#",""), HYPERLINK(CONCATENATE("#metadata!", ADDRESS(INDEX($X$2:$X$1001,MATCH(ROWS($V$2:V193),$V$2:$V$1001,0),0), INDEX($AC$1004:$AS$1004,1,MATCH(COLUMNS($AC$1006:AJ1006),$AC$1006:$AS$1006,0)))),"Fix")))</f>
        <v xml:space="preserve"> </v>
      </c>
      <c r="J193" s="4" t="str">
        <f ca="1">IF(OR(INDEX($W$2:$W$1001,MATCH(ROWS($V$2:V193),$V$2:$V$1001,0),1)&gt;=100000,INDEX($AC$1005:$AS$1005,1,MATCH(COLUMNS($AC$1006:AK1006),$AC$1006:$AS$1006,0))&gt;=100000), " ",IF(INDEX($AC$2:$AS$1001,MATCH(ROWS($V$2:V193),$V$2:$V$1001,0),MATCH(COLUMNS($AC$1006:AK1006),$AC$1006:$AS$1006,0)), HYPERLINK("#",""), HYPERLINK(CONCATENATE("#metadata!", ADDRESS(INDEX($X$2:$X$1001,MATCH(ROWS($V$2:V193),$V$2:$V$1001,0),0), INDEX($AC$1004:$AS$1004,1,MATCH(COLUMNS($AC$1006:AK1006),$AC$1006:$AS$1006,0)))),"Fix")))</f>
        <v xml:space="preserve"> </v>
      </c>
      <c r="K193" s="4" t="str">
        <f ca="1">IF(OR(INDEX($W$2:$W$1001,MATCH(ROWS($V$2:V193),$V$2:$V$1001,0),1)&gt;=100000,INDEX($AC$1005:$AS$1005,1,MATCH(COLUMNS($AC$1006:AL1006),$AC$1006:$AS$1006,0))&gt;=100000), " ",IF(INDEX($AC$2:$AS$1001,MATCH(ROWS($V$2:V193),$V$2:$V$1001,0),MATCH(COLUMNS($AC$1006:AL1006),$AC$1006:$AS$1006,0)), HYPERLINK("#",""), HYPERLINK(CONCATENATE("#metadata!", ADDRESS(INDEX($X$2:$X$1001,MATCH(ROWS($V$2:V193),$V$2:$V$1001,0),0), INDEX($AC$1004:$AS$1004,1,MATCH(COLUMNS($AC$1006:AL1006),$AC$1006:$AS$1006,0)))),"Fix")))</f>
        <v xml:space="preserve"> </v>
      </c>
      <c r="L193" s="4" t="str">
        <f ca="1">IF(OR(INDEX($W$2:$W$1001,MATCH(ROWS($V$2:V193),$V$2:$V$1001,0),1)&gt;=100000,INDEX($AC$1005:$AS$1005,1,MATCH(COLUMNS($AC$1006:AM1006),$AC$1006:$AS$1006,0))&gt;=100000), " ",IF(INDEX($AC$2:$AS$1001,MATCH(ROWS($V$2:V193),$V$2:$V$1001,0),MATCH(COLUMNS($AC$1006:AM1006),$AC$1006:$AS$1006,0)), HYPERLINK("#",""), HYPERLINK(CONCATENATE("#metadata!", ADDRESS(INDEX($X$2:$X$1001,MATCH(ROWS($V$2:V193),$V$2:$V$1001,0),0), INDEX($AC$1004:$AS$1004,1,MATCH(COLUMNS($AC$1006:AM1006),$AC$1006:$AS$1006,0)))),"Fix")))</f>
        <v xml:space="preserve"> </v>
      </c>
      <c r="M193" s="4" t="str">
        <f ca="1">IF(OR(INDEX($W$2:$W$1001,MATCH(ROWS($V$2:V193),$V$2:$V$1001,0),1)&gt;=100000,INDEX($AC$1005:$AS$1005,1,MATCH(COLUMNS($AC$1006:AN1006),$AC$1006:$AS$1006,0))&gt;=100000), " ",IF(INDEX($AC$2:$AS$1001,MATCH(ROWS($V$2:V193),$V$2:$V$1001,0),MATCH(COLUMNS($AC$1006:AN1006),$AC$1006:$AS$1006,0)), HYPERLINK("#",""), HYPERLINK(CONCATENATE("#metadata!", ADDRESS(INDEX($X$2:$X$1001,MATCH(ROWS($V$2:V193),$V$2:$V$1001,0),0), INDEX($AC$1004:$AS$1004,1,MATCH(COLUMNS($AC$1006:AN1006),$AC$1006:$AS$1006,0)))),"Fix")))</f>
        <v xml:space="preserve"> </v>
      </c>
      <c r="N193" s="4" t="str">
        <f ca="1">IF(OR(INDEX($W$2:$W$1001,MATCH(ROWS($V$2:V193),$V$2:$V$1001,0),1)&gt;=100000,INDEX($AC$1005:$AS$1005,1,MATCH(COLUMNS($AC$1006:AO1006),$AC$1006:$AS$1006,0))&gt;=100000), " ",IF(INDEX($AC$2:$AS$1001,MATCH(ROWS($V$2:V193),$V$2:$V$1001,0),MATCH(COLUMNS($AC$1006:AO1006),$AC$1006:$AS$1006,0)), HYPERLINK("#",""), HYPERLINK(CONCATENATE("#metadata!", ADDRESS(INDEX($X$2:$X$1001,MATCH(ROWS($V$2:V193),$V$2:$V$1001,0),0), INDEX($AC$1004:$AS$1004,1,MATCH(COLUMNS($AC$1006:AO1006),$AC$1006:$AS$1006,0)))),"Fix")))</f>
        <v xml:space="preserve"> </v>
      </c>
      <c r="O193" s="4" t="str">
        <f ca="1">IF(OR(INDEX($W$2:$W$1001,MATCH(ROWS($V$2:V193),$V$2:$V$1001,0),1)&gt;=100000,INDEX($AC$1005:$AS$1005,1,MATCH(COLUMNS($AC$1006:AP1006),$AC$1006:$AS$1006,0))&gt;=100000), " ",IF(INDEX($AC$2:$AS$1001,MATCH(ROWS($V$2:V193),$V$2:$V$1001,0),MATCH(COLUMNS($AC$1006:AP1006),$AC$1006:$AS$1006,0)), HYPERLINK("#",""), HYPERLINK(CONCATENATE("#metadata!", ADDRESS(INDEX($X$2:$X$1001,MATCH(ROWS($V$2:V193),$V$2:$V$1001,0),0), INDEX($AC$1004:$AS$1004,1,MATCH(COLUMNS($AC$1006:AP1006),$AC$1006:$AS$1006,0)))),"Fix")))</f>
        <v xml:space="preserve"> </v>
      </c>
      <c r="P193" s="4" t="str">
        <f ca="1">IF(OR(INDEX($W$2:$W$1001,MATCH(ROWS($V$2:V193),$V$2:$V$1001,0),1)&gt;=100000,INDEX($AC$1005:$AS$1005,1,MATCH(COLUMNS($AC$1006:AQ1006),$AC$1006:$AS$1006,0))&gt;=100000), " ",IF(INDEX($AC$2:$AS$1001,MATCH(ROWS($V$2:V193),$V$2:$V$1001,0),MATCH(COLUMNS($AC$1006:AQ1006),$AC$1006:$AS$1006,0)), HYPERLINK("#",""), HYPERLINK(CONCATENATE("#metadata!", ADDRESS(INDEX($X$2:$X$1001,MATCH(ROWS($V$2:V193),$V$2:$V$1001,0),0), INDEX($AC$1004:$AS$1004,1,MATCH(COLUMNS($AC$1006:AQ1006),$AC$1006:$AS$1006,0)))),"Fix")))</f>
        <v xml:space="preserve"> </v>
      </c>
      <c r="Q193" s="4" t="str">
        <f ca="1">IF(OR(INDEX($W$2:$W$1001,MATCH(ROWS($V$2:V193),$V$2:$V$1001,0),1)&gt;=100000,INDEX($AC$1005:$AS$1005,1,MATCH(COLUMNS($AC$1006:AR1006),$AC$1006:$AS$1006,0))&gt;=100000), " ",IF(INDEX($AC$2:$AS$1001,MATCH(ROWS($V$2:V193),$V$2:$V$1001,0),MATCH(COLUMNS($AC$1006:AR1006),$AC$1006:$AS$1006,0)), HYPERLINK("#",""), HYPERLINK(CONCATENATE("#metadata!", ADDRESS(INDEX($X$2:$X$1001,MATCH(ROWS($V$2:V193),$V$2:$V$1001,0),0), INDEX($AC$1004:$AS$1004,1,MATCH(COLUMNS($AC$1006:AR1006),$AC$1006:$AS$1006,0)))),"Fix")))</f>
        <v xml:space="preserve"> </v>
      </c>
      <c r="R193" s="4" t="str">
        <f ca="1">IF(OR(INDEX($W$2:$W$1001,MATCH(ROWS($V$2:V193),$V$2:$V$1001,0),1)&gt;=100000,INDEX($AC$1005:$AS$1005,1,MATCH(COLUMNS($AC$1006:AS1006),$AC$1006:$AS$1006,0))&gt;=100000), " ",IF(INDEX($AC$2:$AS$1001,MATCH(ROWS($V$2:V193),$V$2:$V$1001,0),MATCH(COLUMNS($AC$1006:AS1006),$AC$1006:$AS$1006,0)), HYPERLINK("#",""), HYPERLINK(CONCATENATE("#metadata!", ADDRESS(INDEX($X$2:$X$1001,MATCH(ROWS($V$2:V193),$V$2:$V$1001,0),0), INDEX($AC$1004:$AS$1004,1,MATCH(COLUMNS($AC$1006:AS1006),$AC$1006:$AS$1006,0)))),"Fix")))</f>
        <v xml:space="preserve"> </v>
      </c>
      <c r="V193">
        <v>192</v>
      </c>
      <c r="W193">
        <v>100193</v>
      </c>
      <c r="X193">
        <v>193</v>
      </c>
      <c r="Y193" t="b">
        <f t="shared" si="2"/>
        <v>1</v>
      </c>
      <c r="Z193" t="b">
        <f>COUNTBLANK(metadata!B193:R193)=COLUMNS(metadata!B193:R193)</f>
        <v>1</v>
      </c>
      <c r="AA193" t="str">
        <v/>
      </c>
      <c r="AC193" t="b">
        <f ca="1"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AD193" t="b">
        <f>IF(metadata!C193="",FALSE,ISNUMBER(VALUE(metadata!C193)))</f>
        <v>0</v>
      </c>
      <c r="AE193" t="b">
        <f>AND(IF(metadata!D193="",FALSE,TRUE),EXACT(metadata!D193,"years"))</f>
        <v>0</v>
      </c>
      <c r="AF193" t="b">
        <f>OR(AND(IF(metadata!E193="",FALSE,TRUE),OR(EXACT(metadata!E193,"not applicable"),EXACT(metadata!E193,"missing: not collected"),EXACT(metadata!E193,"missing: not provided"),EXACT(metadata!E193,"missing: restricted access"))),AND(IF(metadata!E193="",FALSE,ISNUMBER(VALUE(metadata!E193))),metadata!E193&gt;0))</f>
        <v>0</v>
      </c>
      <c r="AG193" t="b">
        <f>AND(IF(metadata!F193="",FALSE,TRUE),EXACT(metadata!F193,"Not applicable"))</f>
        <v>0</v>
      </c>
      <c r="AH193" t="b">
        <f>AND(IF(metadata!G193="",FALSE,TRUE),EXACT(metadata!G193,"urban biome"))</f>
        <v>0</v>
      </c>
      <c r="AI193" t="b">
        <f>AND(IF(metadata!H193="",FALSE,TRUE),EXACT(metadata!H193,"human-associated habitat"))</f>
        <v>0</v>
      </c>
      <c r="AJ193" t="b">
        <f>AND(IF(metadata!I193="",FALSE,TRUE),OR(EXACT(metadata!I193,"human-associated"),EXACT(metadata!I193,"human-skin"),EXACT(metadata!I193,"human-oral"),EXACT(metadata!I193,"human-gut"),EXACT(metadata!I193,"human-vaginal")))</f>
        <v>0</v>
      </c>
      <c r="AK193" t="b">
        <f>IF(metadata!J193="",FALSE,ISNUMBER(VALUE(metadata!J193)))</f>
        <v>0</v>
      </c>
      <c r="AL193" t="b">
        <f>AND(IF(metadata!K193="",FALSE,TRUE),EXACT(metadata!K193,"cm"))</f>
        <v>0</v>
      </c>
      <c r="AM193" t="b">
        <f>AND(IF(metadata!L193="",FALSE,TRUE),EXACT(metadata!L193,"human"))</f>
        <v>0</v>
      </c>
      <c r="AN193" t="b">
        <f>AND(IF(metadata!M193="",FALSE,TRUE),EXACT(metadata!M193,"Homo sapiens"))</f>
        <v>0</v>
      </c>
      <c r="AO193" t="b">
        <f>AND(IF(metadata!N193="",FALSE,TRUE),EXACT(metadata!N193,"9606"))</f>
        <v>0</v>
      </c>
      <c r="AP193" t="b">
        <f>IF(metadata!O193="",FALSE,TRUE)</f>
        <v>0</v>
      </c>
      <c r="AQ193" t="b">
        <f>IF(metadata!P193="",FALSE,TRUE)</f>
        <v>0</v>
      </c>
      <c r="AR193" t="b">
        <f>IF(metadata!Q193="",FALSE,ISNUMBER(VALUE(metadata!Q193)))</f>
        <v>0</v>
      </c>
      <c r="AS193" t="b">
        <f>AND(IF(metadata!R193="",FALSE,TRUE),EXACT(metadata!R193,"kg"))</f>
        <v>0</v>
      </c>
    </row>
    <row r="194" spans="1:45" x14ac:dyDescent="0.2">
      <c r="A194" s="5" t="str">
        <f ca="1">IF(B194=" "," ",HYPERLINK(CONCATENATE("#metadata!",ADDRESS(INDEX($X$2:$X$1001,MATCH(ROWS($V$2:V194),$V$2:$V$1001,0),0),1)),INDEX($AA$2:$AA$1001,MATCH(ROWS($V$2:V194),$V$2:$V$1001,0),0)))</f>
        <v xml:space="preserve"> </v>
      </c>
      <c r="B194" s="4" t="str">
        <f ca="1">IF(OR(INDEX($W$2:$W$1001,MATCH(ROWS($V$2:V194),$V$2:$V$1001,0),1)&gt;=100000,INDEX($AC$1005:$AS$1005,1,MATCH(COLUMNS($AC$1006:AC1006),$AC$1006:$AS$1006,0))&gt;=100000), " ",IF(INDEX($AC$2:$AS$1001,MATCH(ROWS($V$2:V194),$V$2:$V$1001,0),MATCH(COLUMNS($AC$1006:AC1006),$AC$1006:$AS$1006,0)), HYPERLINK("#",""), HYPERLINK(CONCATENATE("#metadata!", ADDRESS(INDEX($X$2:$X$1001,MATCH(ROWS($V$2:V194),$V$2:$V$1001,0),0), INDEX($AC$1004:$AS$1004,1,MATCH(COLUMNS($AC$1006:AC1006),$AC$1006:$AS$1006,0)))),"Fix")))</f>
        <v xml:space="preserve"> </v>
      </c>
      <c r="C194" s="4" t="str">
        <f ca="1">IF(OR(INDEX($W$2:$W$1001,MATCH(ROWS($V$2:V194),$V$2:$V$1001,0),1)&gt;=100000,INDEX($AC$1005:$AS$1005,1,MATCH(COLUMNS($AC$1006:AD1006),$AC$1006:$AS$1006,0))&gt;=100000), " ",IF(INDEX($AC$2:$AS$1001,MATCH(ROWS($V$2:V194),$V$2:$V$1001,0),MATCH(COLUMNS($AC$1006:AD1006),$AC$1006:$AS$1006,0)), HYPERLINK("#",""), HYPERLINK(CONCATENATE("#metadata!", ADDRESS(INDEX($X$2:$X$1001,MATCH(ROWS($V$2:V194),$V$2:$V$1001,0),0), INDEX($AC$1004:$AS$1004,1,MATCH(COLUMNS($AC$1006:AD1006),$AC$1006:$AS$1006,0)))),"Fix")))</f>
        <v xml:space="preserve"> </v>
      </c>
      <c r="D194" s="4" t="str">
        <f ca="1">IF(OR(INDEX($W$2:$W$1001,MATCH(ROWS($V$2:V194),$V$2:$V$1001,0),1)&gt;=100000,INDEX($AC$1005:$AS$1005,1,MATCH(COLUMNS($AC$1006:AE1006),$AC$1006:$AS$1006,0))&gt;=100000), " ",IF(INDEX($AC$2:$AS$1001,MATCH(ROWS($V$2:V194),$V$2:$V$1001,0),MATCH(COLUMNS($AC$1006:AE1006),$AC$1006:$AS$1006,0)), HYPERLINK("#",""), HYPERLINK(CONCATENATE("#metadata!", ADDRESS(INDEX($X$2:$X$1001,MATCH(ROWS($V$2:V194),$V$2:$V$1001,0),0), INDEX($AC$1004:$AS$1004,1,MATCH(COLUMNS($AC$1006:AE1006),$AC$1006:$AS$1006,0)))),"Fix")))</f>
        <v xml:space="preserve"> </v>
      </c>
      <c r="E194" s="4" t="str">
        <f ca="1">IF(OR(INDEX($W$2:$W$1001,MATCH(ROWS($V$2:V194),$V$2:$V$1001,0),1)&gt;=100000,INDEX($AC$1005:$AS$1005,1,MATCH(COLUMNS($AC$1006:AF1006),$AC$1006:$AS$1006,0))&gt;=100000), " ",IF(INDEX($AC$2:$AS$1001,MATCH(ROWS($V$2:V194),$V$2:$V$1001,0),MATCH(COLUMNS($AC$1006:AF1006),$AC$1006:$AS$1006,0)), HYPERLINK("#",""), HYPERLINK(CONCATENATE("#metadata!", ADDRESS(INDEX($X$2:$X$1001,MATCH(ROWS($V$2:V194),$V$2:$V$1001,0),0), INDEX($AC$1004:$AS$1004,1,MATCH(COLUMNS($AC$1006:AF1006),$AC$1006:$AS$1006,0)))),"Fix")))</f>
        <v xml:space="preserve"> </v>
      </c>
      <c r="F194" s="4" t="str">
        <f ca="1">IF(OR(INDEX($W$2:$W$1001,MATCH(ROWS($V$2:V194),$V$2:$V$1001,0),1)&gt;=100000,INDEX($AC$1005:$AS$1005,1,MATCH(COLUMNS($AC$1006:AG1006),$AC$1006:$AS$1006,0))&gt;=100000), " ",IF(INDEX($AC$2:$AS$1001,MATCH(ROWS($V$2:V194),$V$2:$V$1001,0),MATCH(COLUMNS($AC$1006:AG1006),$AC$1006:$AS$1006,0)), HYPERLINK("#",""), HYPERLINK(CONCATENATE("#metadata!", ADDRESS(INDEX($X$2:$X$1001,MATCH(ROWS($V$2:V194),$V$2:$V$1001,0),0), INDEX($AC$1004:$AS$1004,1,MATCH(COLUMNS($AC$1006:AG1006),$AC$1006:$AS$1006,0)))),"Fix")))</f>
        <v xml:space="preserve"> </v>
      </c>
      <c r="G194" s="4" t="str">
        <f ca="1">IF(OR(INDEX($W$2:$W$1001,MATCH(ROWS($V$2:V194),$V$2:$V$1001,0),1)&gt;=100000,INDEX($AC$1005:$AS$1005,1,MATCH(COLUMNS($AC$1006:AH1006),$AC$1006:$AS$1006,0))&gt;=100000), " ",IF(INDEX($AC$2:$AS$1001,MATCH(ROWS($V$2:V194),$V$2:$V$1001,0),MATCH(COLUMNS($AC$1006:AH1006),$AC$1006:$AS$1006,0)), HYPERLINK("#",""), HYPERLINK(CONCATENATE("#metadata!", ADDRESS(INDEX($X$2:$X$1001,MATCH(ROWS($V$2:V194),$V$2:$V$1001,0),0), INDEX($AC$1004:$AS$1004,1,MATCH(COLUMNS($AC$1006:AH1006),$AC$1006:$AS$1006,0)))),"Fix")))</f>
        <v xml:space="preserve"> </v>
      </c>
      <c r="H194" s="4" t="str">
        <f ca="1">IF(OR(INDEX($W$2:$W$1001,MATCH(ROWS($V$2:V194),$V$2:$V$1001,0),1)&gt;=100000,INDEX($AC$1005:$AS$1005,1,MATCH(COLUMNS($AC$1006:AI1006),$AC$1006:$AS$1006,0))&gt;=100000), " ",IF(INDEX($AC$2:$AS$1001,MATCH(ROWS($V$2:V194),$V$2:$V$1001,0),MATCH(COLUMNS($AC$1006:AI1006),$AC$1006:$AS$1006,0)), HYPERLINK("#",""), HYPERLINK(CONCATENATE("#metadata!", ADDRESS(INDEX($X$2:$X$1001,MATCH(ROWS($V$2:V194),$V$2:$V$1001,0),0), INDEX($AC$1004:$AS$1004,1,MATCH(COLUMNS($AC$1006:AI1006),$AC$1006:$AS$1006,0)))),"Fix")))</f>
        <v xml:space="preserve"> </v>
      </c>
      <c r="I194" s="4" t="str">
        <f ca="1">IF(OR(INDEX($W$2:$W$1001,MATCH(ROWS($V$2:V194),$V$2:$V$1001,0),1)&gt;=100000,INDEX($AC$1005:$AS$1005,1,MATCH(COLUMNS($AC$1006:AJ1006),$AC$1006:$AS$1006,0))&gt;=100000), " ",IF(INDEX($AC$2:$AS$1001,MATCH(ROWS($V$2:V194),$V$2:$V$1001,0),MATCH(COLUMNS($AC$1006:AJ1006),$AC$1006:$AS$1006,0)), HYPERLINK("#",""), HYPERLINK(CONCATENATE("#metadata!", ADDRESS(INDEX($X$2:$X$1001,MATCH(ROWS($V$2:V194),$V$2:$V$1001,0),0), INDEX($AC$1004:$AS$1004,1,MATCH(COLUMNS($AC$1006:AJ1006),$AC$1006:$AS$1006,0)))),"Fix")))</f>
        <v xml:space="preserve"> </v>
      </c>
      <c r="J194" s="4" t="str">
        <f ca="1">IF(OR(INDEX($W$2:$W$1001,MATCH(ROWS($V$2:V194),$V$2:$V$1001,0),1)&gt;=100000,INDEX($AC$1005:$AS$1005,1,MATCH(COLUMNS($AC$1006:AK1006),$AC$1006:$AS$1006,0))&gt;=100000), " ",IF(INDEX($AC$2:$AS$1001,MATCH(ROWS($V$2:V194),$V$2:$V$1001,0),MATCH(COLUMNS($AC$1006:AK1006),$AC$1006:$AS$1006,0)), HYPERLINK("#",""), HYPERLINK(CONCATENATE("#metadata!", ADDRESS(INDEX($X$2:$X$1001,MATCH(ROWS($V$2:V194),$V$2:$V$1001,0),0), INDEX($AC$1004:$AS$1004,1,MATCH(COLUMNS($AC$1006:AK1006),$AC$1006:$AS$1006,0)))),"Fix")))</f>
        <v xml:space="preserve"> </v>
      </c>
      <c r="K194" s="4" t="str">
        <f ca="1">IF(OR(INDEX($W$2:$W$1001,MATCH(ROWS($V$2:V194),$V$2:$V$1001,0),1)&gt;=100000,INDEX($AC$1005:$AS$1005,1,MATCH(COLUMNS($AC$1006:AL1006),$AC$1006:$AS$1006,0))&gt;=100000), " ",IF(INDEX($AC$2:$AS$1001,MATCH(ROWS($V$2:V194),$V$2:$V$1001,0),MATCH(COLUMNS($AC$1006:AL1006),$AC$1006:$AS$1006,0)), HYPERLINK("#",""), HYPERLINK(CONCATENATE("#metadata!", ADDRESS(INDEX($X$2:$X$1001,MATCH(ROWS($V$2:V194),$V$2:$V$1001,0),0), INDEX($AC$1004:$AS$1004,1,MATCH(COLUMNS($AC$1006:AL1006),$AC$1006:$AS$1006,0)))),"Fix")))</f>
        <v xml:space="preserve"> </v>
      </c>
      <c r="L194" s="4" t="str">
        <f ca="1">IF(OR(INDEX($W$2:$W$1001,MATCH(ROWS($V$2:V194),$V$2:$V$1001,0),1)&gt;=100000,INDEX($AC$1005:$AS$1005,1,MATCH(COLUMNS($AC$1006:AM1006),$AC$1006:$AS$1006,0))&gt;=100000), " ",IF(INDEX($AC$2:$AS$1001,MATCH(ROWS($V$2:V194),$V$2:$V$1001,0),MATCH(COLUMNS($AC$1006:AM1006),$AC$1006:$AS$1006,0)), HYPERLINK("#",""), HYPERLINK(CONCATENATE("#metadata!", ADDRESS(INDEX($X$2:$X$1001,MATCH(ROWS($V$2:V194),$V$2:$V$1001,0),0), INDEX($AC$1004:$AS$1004,1,MATCH(COLUMNS($AC$1006:AM1006),$AC$1006:$AS$1006,0)))),"Fix")))</f>
        <v xml:space="preserve"> </v>
      </c>
      <c r="M194" s="4" t="str">
        <f ca="1">IF(OR(INDEX($W$2:$W$1001,MATCH(ROWS($V$2:V194),$V$2:$V$1001,0),1)&gt;=100000,INDEX($AC$1005:$AS$1005,1,MATCH(COLUMNS($AC$1006:AN1006),$AC$1006:$AS$1006,0))&gt;=100000), " ",IF(INDEX($AC$2:$AS$1001,MATCH(ROWS($V$2:V194),$V$2:$V$1001,0),MATCH(COLUMNS($AC$1006:AN1006),$AC$1006:$AS$1006,0)), HYPERLINK("#",""), HYPERLINK(CONCATENATE("#metadata!", ADDRESS(INDEX($X$2:$X$1001,MATCH(ROWS($V$2:V194),$V$2:$V$1001,0),0), INDEX($AC$1004:$AS$1004,1,MATCH(COLUMNS($AC$1006:AN1006),$AC$1006:$AS$1006,0)))),"Fix")))</f>
        <v xml:space="preserve"> </v>
      </c>
      <c r="N194" s="4" t="str">
        <f ca="1">IF(OR(INDEX($W$2:$W$1001,MATCH(ROWS($V$2:V194),$V$2:$V$1001,0),1)&gt;=100000,INDEX($AC$1005:$AS$1005,1,MATCH(COLUMNS($AC$1006:AO1006),$AC$1006:$AS$1006,0))&gt;=100000), " ",IF(INDEX($AC$2:$AS$1001,MATCH(ROWS($V$2:V194),$V$2:$V$1001,0),MATCH(COLUMNS($AC$1006:AO1006),$AC$1006:$AS$1006,0)), HYPERLINK("#",""), HYPERLINK(CONCATENATE("#metadata!", ADDRESS(INDEX($X$2:$X$1001,MATCH(ROWS($V$2:V194),$V$2:$V$1001,0),0), INDEX($AC$1004:$AS$1004,1,MATCH(COLUMNS($AC$1006:AO1006),$AC$1006:$AS$1006,0)))),"Fix")))</f>
        <v xml:space="preserve"> </v>
      </c>
      <c r="O194" s="4" t="str">
        <f ca="1">IF(OR(INDEX($W$2:$W$1001,MATCH(ROWS($V$2:V194),$V$2:$V$1001,0),1)&gt;=100000,INDEX($AC$1005:$AS$1005,1,MATCH(COLUMNS($AC$1006:AP1006),$AC$1006:$AS$1006,0))&gt;=100000), " ",IF(INDEX($AC$2:$AS$1001,MATCH(ROWS($V$2:V194),$V$2:$V$1001,0),MATCH(COLUMNS($AC$1006:AP1006),$AC$1006:$AS$1006,0)), HYPERLINK("#",""), HYPERLINK(CONCATENATE("#metadata!", ADDRESS(INDEX($X$2:$X$1001,MATCH(ROWS($V$2:V194),$V$2:$V$1001,0),0), INDEX($AC$1004:$AS$1004,1,MATCH(COLUMNS($AC$1006:AP1006),$AC$1006:$AS$1006,0)))),"Fix")))</f>
        <v xml:space="preserve"> </v>
      </c>
      <c r="P194" s="4" t="str">
        <f ca="1">IF(OR(INDEX($W$2:$W$1001,MATCH(ROWS($V$2:V194),$V$2:$V$1001,0),1)&gt;=100000,INDEX($AC$1005:$AS$1005,1,MATCH(COLUMNS($AC$1006:AQ1006),$AC$1006:$AS$1006,0))&gt;=100000), " ",IF(INDEX($AC$2:$AS$1001,MATCH(ROWS($V$2:V194),$V$2:$V$1001,0),MATCH(COLUMNS($AC$1006:AQ1006),$AC$1006:$AS$1006,0)), HYPERLINK("#",""), HYPERLINK(CONCATENATE("#metadata!", ADDRESS(INDEX($X$2:$X$1001,MATCH(ROWS($V$2:V194),$V$2:$V$1001,0),0), INDEX($AC$1004:$AS$1004,1,MATCH(COLUMNS($AC$1006:AQ1006),$AC$1006:$AS$1006,0)))),"Fix")))</f>
        <v xml:space="preserve"> </v>
      </c>
      <c r="Q194" s="4" t="str">
        <f ca="1">IF(OR(INDEX($W$2:$W$1001,MATCH(ROWS($V$2:V194),$V$2:$V$1001,0),1)&gt;=100000,INDEX($AC$1005:$AS$1005,1,MATCH(COLUMNS($AC$1006:AR1006),$AC$1006:$AS$1006,0))&gt;=100000), " ",IF(INDEX($AC$2:$AS$1001,MATCH(ROWS($V$2:V194),$V$2:$V$1001,0),MATCH(COLUMNS($AC$1006:AR1006),$AC$1006:$AS$1006,0)), HYPERLINK("#",""), HYPERLINK(CONCATENATE("#metadata!", ADDRESS(INDEX($X$2:$X$1001,MATCH(ROWS($V$2:V194),$V$2:$V$1001,0),0), INDEX($AC$1004:$AS$1004,1,MATCH(COLUMNS($AC$1006:AR1006),$AC$1006:$AS$1006,0)))),"Fix")))</f>
        <v xml:space="preserve"> </v>
      </c>
      <c r="R194" s="4" t="str">
        <f ca="1">IF(OR(INDEX($W$2:$W$1001,MATCH(ROWS($V$2:V194),$V$2:$V$1001,0),1)&gt;=100000,INDEX($AC$1005:$AS$1005,1,MATCH(COLUMNS($AC$1006:AS1006),$AC$1006:$AS$1006,0))&gt;=100000), " ",IF(INDEX($AC$2:$AS$1001,MATCH(ROWS($V$2:V194),$V$2:$V$1001,0),MATCH(COLUMNS($AC$1006:AS1006),$AC$1006:$AS$1006,0)), HYPERLINK("#",""), HYPERLINK(CONCATENATE("#metadata!", ADDRESS(INDEX($X$2:$X$1001,MATCH(ROWS($V$2:V194),$V$2:$V$1001,0),0), INDEX($AC$1004:$AS$1004,1,MATCH(COLUMNS($AC$1006:AS1006),$AC$1006:$AS$1006,0)))),"Fix")))</f>
        <v xml:space="preserve"> </v>
      </c>
      <c r="V194">
        <v>193</v>
      </c>
      <c r="W194">
        <v>100194</v>
      </c>
      <c r="X194">
        <v>194</v>
      </c>
      <c r="Y194" t="b">
        <f t="shared" ref="Y194:Y257" si="3">IF(Z194,TRUE,AND(AC194:AS194))</f>
        <v>1</v>
      </c>
      <c r="Z194" t="b">
        <f>COUNTBLANK(metadata!B194:R194)=COLUMNS(metadata!B194:R194)</f>
        <v>1</v>
      </c>
      <c r="AA194" t="str">
        <v/>
      </c>
      <c r="AC194" t="b">
        <f ca="1"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AD194" t="b">
        <f>IF(metadata!C194="",FALSE,ISNUMBER(VALUE(metadata!C194)))</f>
        <v>0</v>
      </c>
      <c r="AE194" t="b">
        <f>AND(IF(metadata!D194="",FALSE,TRUE),EXACT(metadata!D194,"years"))</f>
        <v>0</v>
      </c>
      <c r="AF194" t="b">
        <f>OR(AND(IF(metadata!E194="",FALSE,TRUE),OR(EXACT(metadata!E194,"not applicable"),EXACT(metadata!E194,"missing: not collected"),EXACT(metadata!E194,"missing: not provided"),EXACT(metadata!E194,"missing: restricted access"))),AND(IF(metadata!E194="",FALSE,ISNUMBER(VALUE(metadata!E194))),metadata!E194&gt;0))</f>
        <v>0</v>
      </c>
      <c r="AG194" t="b">
        <f>AND(IF(metadata!F194="",FALSE,TRUE),EXACT(metadata!F194,"Not applicable"))</f>
        <v>0</v>
      </c>
      <c r="AH194" t="b">
        <f>AND(IF(metadata!G194="",FALSE,TRUE),EXACT(metadata!G194,"urban biome"))</f>
        <v>0</v>
      </c>
      <c r="AI194" t="b">
        <f>AND(IF(metadata!H194="",FALSE,TRUE),EXACT(metadata!H194,"human-associated habitat"))</f>
        <v>0</v>
      </c>
      <c r="AJ194" t="b">
        <f>AND(IF(metadata!I194="",FALSE,TRUE),OR(EXACT(metadata!I194,"human-associated"),EXACT(metadata!I194,"human-skin"),EXACT(metadata!I194,"human-oral"),EXACT(metadata!I194,"human-gut"),EXACT(metadata!I194,"human-vaginal")))</f>
        <v>0</v>
      </c>
      <c r="AK194" t="b">
        <f>IF(metadata!J194="",FALSE,ISNUMBER(VALUE(metadata!J194)))</f>
        <v>0</v>
      </c>
      <c r="AL194" t="b">
        <f>AND(IF(metadata!K194="",FALSE,TRUE),EXACT(metadata!K194,"cm"))</f>
        <v>0</v>
      </c>
      <c r="AM194" t="b">
        <f>AND(IF(metadata!L194="",FALSE,TRUE),EXACT(metadata!L194,"human"))</f>
        <v>0</v>
      </c>
      <c r="AN194" t="b">
        <f>AND(IF(metadata!M194="",FALSE,TRUE),EXACT(metadata!M194,"Homo sapiens"))</f>
        <v>0</v>
      </c>
      <c r="AO194" t="b">
        <f>AND(IF(metadata!N194="",FALSE,TRUE),EXACT(metadata!N194,"9606"))</f>
        <v>0</v>
      </c>
      <c r="AP194" t="b">
        <f>IF(metadata!O194="",FALSE,TRUE)</f>
        <v>0</v>
      </c>
      <c r="AQ194" t="b">
        <f>IF(metadata!P194="",FALSE,TRUE)</f>
        <v>0</v>
      </c>
      <c r="AR194" t="b">
        <f>IF(metadata!Q194="",FALSE,ISNUMBER(VALUE(metadata!Q194)))</f>
        <v>0</v>
      </c>
      <c r="AS194" t="b">
        <f>AND(IF(metadata!R194="",FALSE,TRUE),EXACT(metadata!R194,"kg"))</f>
        <v>0</v>
      </c>
    </row>
    <row r="195" spans="1:45" x14ac:dyDescent="0.2">
      <c r="A195" s="5" t="str">
        <f ca="1">IF(B195=" "," ",HYPERLINK(CONCATENATE("#metadata!",ADDRESS(INDEX($X$2:$X$1001,MATCH(ROWS($V$2:V195),$V$2:$V$1001,0),0),1)),INDEX($AA$2:$AA$1001,MATCH(ROWS($V$2:V195),$V$2:$V$1001,0),0)))</f>
        <v xml:space="preserve"> </v>
      </c>
      <c r="B195" s="4" t="str">
        <f ca="1">IF(OR(INDEX($W$2:$W$1001,MATCH(ROWS($V$2:V195),$V$2:$V$1001,0),1)&gt;=100000,INDEX($AC$1005:$AS$1005,1,MATCH(COLUMNS($AC$1006:AC1006),$AC$1006:$AS$1006,0))&gt;=100000), " ",IF(INDEX($AC$2:$AS$1001,MATCH(ROWS($V$2:V195),$V$2:$V$1001,0),MATCH(COLUMNS($AC$1006:AC1006),$AC$1006:$AS$1006,0)), HYPERLINK("#",""), HYPERLINK(CONCATENATE("#metadata!", ADDRESS(INDEX($X$2:$X$1001,MATCH(ROWS($V$2:V195),$V$2:$V$1001,0),0), INDEX($AC$1004:$AS$1004,1,MATCH(COLUMNS($AC$1006:AC1006),$AC$1006:$AS$1006,0)))),"Fix")))</f>
        <v xml:space="preserve"> </v>
      </c>
      <c r="C195" s="4" t="str">
        <f ca="1">IF(OR(INDEX($W$2:$W$1001,MATCH(ROWS($V$2:V195),$V$2:$V$1001,0),1)&gt;=100000,INDEX($AC$1005:$AS$1005,1,MATCH(COLUMNS($AC$1006:AD1006),$AC$1006:$AS$1006,0))&gt;=100000), " ",IF(INDEX($AC$2:$AS$1001,MATCH(ROWS($V$2:V195),$V$2:$V$1001,0),MATCH(COLUMNS($AC$1006:AD1006),$AC$1006:$AS$1006,0)), HYPERLINK("#",""), HYPERLINK(CONCATENATE("#metadata!", ADDRESS(INDEX($X$2:$X$1001,MATCH(ROWS($V$2:V195),$V$2:$V$1001,0),0), INDEX($AC$1004:$AS$1004,1,MATCH(COLUMNS($AC$1006:AD1006),$AC$1006:$AS$1006,0)))),"Fix")))</f>
        <v xml:space="preserve"> </v>
      </c>
      <c r="D195" s="4" t="str">
        <f ca="1">IF(OR(INDEX($W$2:$W$1001,MATCH(ROWS($V$2:V195),$V$2:$V$1001,0),1)&gt;=100000,INDEX($AC$1005:$AS$1005,1,MATCH(COLUMNS($AC$1006:AE1006),$AC$1006:$AS$1006,0))&gt;=100000), " ",IF(INDEX($AC$2:$AS$1001,MATCH(ROWS($V$2:V195),$V$2:$V$1001,0),MATCH(COLUMNS($AC$1006:AE1006),$AC$1006:$AS$1006,0)), HYPERLINK("#",""), HYPERLINK(CONCATENATE("#metadata!", ADDRESS(INDEX($X$2:$X$1001,MATCH(ROWS($V$2:V195),$V$2:$V$1001,0),0), INDEX($AC$1004:$AS$1004,1,MATCH(COLUMNS($AC$1006:AE1006),$AC$1006:$AS$1006,0)))),"Fix")))</f>
        <v xml:space="preserve"> </v>
      </c>
      <c r="E195" s="4" t="str">
        <f ca="1">IF(OR(INDEX($W$2:$W$1001,MATCH(ROWS($V$2:V195),$V$2:$V$1001,0),1)&gt;=100000,INDEX($AC$1005:$AS$1005,1,MATCH(COLUMNS($AC$1006:AF1006),$AC$1006:$AS$1006,0))&gt;=100000), " ",IF(INDEX($AC$2:$AS$1001,MATCH(ROWS($V$2:V195),$V$2:$V$1001,0),MATCH(COLUMNS($AC$1006:AF1006),$AC$1006:$AS$1006,0)), HYPERLINK("#",""), HYPERLINK(CONCATENATE("#metadata!", ADDRESS(INDEX($X$2:$X$1001,MATCH(ROWS($V$2:V195),$V$2:$V$1001,0),0), INDEX($AC$1004:$AS$1004,1,MATCH(COLUMNS($AC$1006:AF1006),$AC$1006:$AS$1006,0)))),"Fix")))</f>
        <v xml:space="preserve"> </v>
      </c>
      <c r="F195" s="4" t="str">
        <f ca="1">IF(OR(INDEX($W$2:$W$1001,MATCH(ROWS($V$2:V195),$V$2:$V$1001,0),1)&gt;=100000,INDEX($AC$1005:$AS$1005,1,MATCH(COLUMNS($AC$1006:AG1006),$AC$1006:$AS$1006,0))&gt;=100000), " ",IF(INDEX($AC$2:$AS$1001,MATCH(ROWS($V$2:V195),$V$2:$V$1001,0),MATCH(COLUMNS($AC$1006:AG1006),$AC$1006:$AS$1006,0)), HYPERLINK("#",""), HYPERLINK(CONCATENATE("#metadata!", ADDRESS(INDEX($X$2:$X$1001,MATCH(ROWS($V$2:V195),$V$2:$V$1001,0),0), INDEX($AC$1004:$AS$1004,1,MATCH(COLUMNS($AC$1006:AG1006),$AC$1006:$AS$1006,0)))),"Fix")))</f>
        <v xml:space="preserve"> </v>
      </c>
      <c r="G195" s="4" t="str">
        <f ca="1">IF(OR(INDEX($W$2:$W$1001,MATCH(ROWS($V$2:V195),$V$2:$V$1001,0),1)&gt;=100000,INDEX($AC$1005:$AS$1005,1,MATCH(COLUMNS($AC$1006:AH1006),$AC$1006:$AS$1006,0))&gt;=100000), " ",IF(INDEX($AC$2:$AS$1001,MATCH(ROWS($V$2:V195),$V$2:$V$1001,0),MATCH(COLUMNS($AC$1006:AH1006),$AC$1006:$AS$1006,0)), HYPERLINK("#",""), HYPERLINK(CONCATENATE("#metadata!", ADDRESS(INDEX($X$2:$X$1001,MATCH(ROWS($V$2:V195),$V$2:$V$1001,0),0), INDEX($AC$1004:$AS$1004,1,MATCH(COLUMNS($AC$1006:AH1006),$AC$1006:$AS$1006,0)))),"Fix")))</f>
        <v xml:space="preserve"> </v>
      </c>
      <c r="H195" s="4" t="str">
        <f ca="1">IF(OR(INDEX($W$2:$W$1001,MATCH(ROWS($V$2:V195),$V$2:$V$1001,0),1)&gt;=100000,INDEX($AC$1005:$AS$1005,1,MATCH(COLUMNS($AC$1006:AI1006),$AC$1006:$AS$1006,0))&gt;=100000), " ",IF(INDEX($AC$2:$AS$1001,MATCH(ROWS($V$2:V195),$V$2:$V$1001,0),MATCH(COLUMNS($AC$1006:AI1006),$AC$1006:$AS$1006,0)), HYPERLINK("#",""), HYPERLINK(CONCATENATE("#metadata!", ADDRESS(INDEX($X$2:$X$1001,MATCH(ROWS($V$2:V195),$V$2:$V$1001,0),0), INDEX($AC$1004:$AS$1004,1,MATCH(COLUMNS($AC$1006:AI1006),$AC$1006:$AS$1006,0)))),"Fix")))</f>
        <v xml:space="preserve"> </v>
      </c>
      <c r="I195" s="4" t="str">
        <f ca="1">IF(OR(INDEX($W$2:$W$1001,MATCH(ROWS($V$2:V195),$V$2:$V$1001,0),1)&gt;=100000,INDEX($AC$1005:$AS$1005,1,MATCH(COLUMNS($AC$1006:AJ1006),$AC$1006:$AS$1006,0))&gt;=100000), " ",IF(INDEX($AC$2:$AS$1001,MATCH(ROWS($V$2:V195),$V$2:$V$1001,0),MATCH(COLUMNS($AC$1006:AJ1006),$AC$1006:$AS$1006,0)), HYPERLINK("#",""), HYPERLINK(CONCATENATE("#metadata!", ADDRESS(INDEX($X$2:$X$1001,MATCH(ROWS($V$2:V195),$V$2:$V$1001,0),0), INDEX($AC$1004:$AS$1004,1,MATCH(COLUMNS($AC$1006:AJ1006),$AC$1006:$AS$1006,0)))),"Fix")))</f>
        <v xml:space="preserve"> </v>
      </c>
      <c r="J195" s="4" t="str">
        <f ca="1">IF(OR(INDEX($W$2:$W$1001,MATCH(ROWS($V$2:V195),$V$2:$V$1001,0),1)&gt;=100000,INDEX($AC$1005:$AS$1005,1,MATCH(COLUMNS($AC$1006:AK1006),$AC$1006:$AS$1006,0))&gt;=100000), " ",IF(INDEX($AC$2:$AS$1001,MATCH(ROWS($V$2:V195),$V$2:$V$1001,0),MATCH(COLUMNS($AC$1006:AK1006),$AC$1006:$AS$1006,0)), HYPERLINK("#",""), HYPERLINK(CONCATENATE("#metadata!", ADDRESS(INDEX($X$2:$X$1001,MATCH(ROWS($V$2:V195),$V$2:$V$1001,0),0), INDEX($AC$1004:$AS$1004,1,MATCH(COLUMNS($AC$1006:AK1006),$AC$1006:$AS$1006,0)))),"Fix")))</f>
        <v xml:space="preserve"> </v>
      </c>
      <c r="K195" s="4" t="str">
        <f ca="1">IF(OR(INDEX($W$2:$W$1001,MATCH(ROWS($V$2:V195),$V$2:$V$1001,0),1)&gt;=100000,INDEX($AC$1005:$AS$1005,1,MATCH(COLUMNS($AC$1006:AL1006),$AC$1006:$AS$1006,0))&gt;=100000), " ",IF(INDEX($AC$2:$AS$1001,MATCH(ROWS($V$2:V195),$V$2:$V$1001,0),MATCH(COLUMNS($AC$1006:AL1006),$AC$1006:$AS$1006,0)), HYPERLINK("#",""), HYPERLINK(CONCATENATE("#metadata!", ADDRESS(INDEX($X$2:$X$1001,MATCH(ROWS($V$2:V195),$V$2:$V$1001,0),0), INDEX($AC$1004:$AS$1004,1,MATCH(COLUMNS($AC$1006:AL1006),$AC$1006:$AS$1006,0)))),"Fix")))</f>
        <v xml:space="preserve"> </v>
      </c>
      <c r="L195" s="4" t="str">
        <f ca="1">IF(OR(INDEX($W$2:$W$1001,MATCH(ROWS($V$2:V195),$V$2:$V$1001,0),1)&gt;=100000,INDEX($AC$1005:$AS$1005,1,MATCH(COLUMNS($AC$1006:AM1006),$AC$1006:$AS$1006,0))&gt;=100000), " ",IF(INDEX($AC$2:$AS$1001,MATCH(ROWS($V$2:V195),$V$2:$V$1001,0),MATCH(COLUMNS($AC$1006:AM1006),$AC$1006:$AS$1006,0)), HYPERLINK("#",""), HYPERLINK(CONCATENATE("#metadata!", ADDRESS(INDEX($X$2:$X$1001,MATCH(ROWS($V$2:V195),$V$2:$V$1001,0),0), INDEX($AC$1004:$AS$1004,1,MATCH(COLUMNS($AC$1006:AM1006),$AC$1006:$AS$1006,0)))),"Fix")))</f>
        <v xml:space="preserve"> </v>
      </c>
      <c r="M195" s="4" t="str">
        <f ca="1">IF(OR(INDEX($W$2:$W$1001,MATCH(ROWS($V$2:V195),$V$2:$V$1001,0),1)&gt;=100000,INDEX($AC$1005:$AS$1005,1,MATCH(COLUMNS($AC$1006:AN1006),$AC$1006:$AS$1006,0))&gt;=100000), " ",IF(INDEX($AC$2:$AS$1001,MATCH(ROWS($V$2:V195),$V$2:$V$1001,0),MATCH(COLUMNS($AC$1006:AN1006),$AC$1006:$AS$1006,0)), HYPERLINK("#",""), HYPERLINK(CONCATENATE("#metadata!", ADDRESS(INDEX($X$2:$X$1001,MATCH(ROWS($V$2:V195),$V$2:$V$1001,0),0), INDEX($AC$1004:$AS$1004,1,MATCH(COLUMNS($AC$1006:AN1006),$AC$1006:$AS$1006,0)))),"Fix")))</f>
        <v xml:space="preserve"> </v>
      </c>
      <c r="N195" s="4" t="str">
        <f ca="1">IF(OR(INDEX($W$2:$W$1001,MATCH(ROWS($V$2:V195),$V$2:$V$1001,0),1)&gt;=100000,INDEX($AC$1005:$AS$1005,1,MATCH(COLUMNS($AC$1006:AO1006),$AC$1006:$AS$1006,0))&gt;=100000), " ",IF(INDEX($AC$2:$AS$1001,MATCH(ROWS($V$2:V195),$V$2:$V$1001,0),MATCH(COLUMNS($AC$1006:AO1006),$AC$1006:$AS$1006,0)), HYPERLINK("#",""), HYPERLINK(CONCATENATE("#metadata!", ADDRESS(INDEX($X$2:$X$1001,MATCH(ROWS($V$2:V195),$V$2:$V$1001,0),0), INDEX($AC$1004:$AS$1004,1,MATCH(COLUMNS($AC$1006:AO1006),$AC$1006:$AS$1006,0)))),"Fix")))</f>
        <v xml:space="preserve"> </v>
      </c>
      <c r="O195" s="4" t="str">
        <f ca="1">IF(OR(INDEX($W$2:$W$1001,MATCH(ROWS($V$2:V195),$V$2:$V$1001,0),1)&gt;=100000,INDEX($AC$1005:$AS$1005,1,MATCH(COLUMNS($AC$1006:AP1006),$AC$1006:$AS$1006,0))&gt;=100000), " ",IF(INDEX($AC$2:$AS$1001,MATCH(ROWS($V$2:V195),$V$2:$V$1001,0),MATCH(COLUMNS($AC$1006:AP1006),$AC$1006:$AS$1006,0)), HYPERLINK("#",""), HYPERLINK(CONCATENATE("#metadata!", ADDRESS(INDEX($X$2:$X$1001,MATCH(ROWS($V$2:V195),$V$2:$V$1001,0),0), INDEX($AC$1004:$AS$1004,1,MATCH(COLUMNS($AC$1006:AP1006),$AC$1006:$AS$1006,0)))),"Fix")))</f>
        <v xml:space="preserve"> </v>
      </c>
      <c r="P195" s="4" t="str">
        <f ca="1">IF(OR(INDEX($W$2:$W$1001,MATCH(ROWS($V$2:V195),$V$2:$V$1001,0),1)&gt;=100000,INDEX($AC$1005:$AS$1005,1,MATCH(COLUMNS($AC$1006:AQ1006),$AC$1006:$AS$1006,0))&gt;=100000), " ",IF(INDEX($AC$2:$AS$1001,MATCH(ROWS($V$2:V195),$V$2:$V$1001,0),MATCH(COLUMNS($AC$1006:AQ1006),$AC$1006:$AS$1006,0)), HYPERLINK("#",""), HYPERLINK(CONCATENATE("#metadata!", ADDRESS(INDEX($X$2:$X$1001,MATCH(ROWS($V$2:V195),$V$2:$V$1001,0),0), INDEX($AC$1004:$AS$1004,1,MATCH(COLUMNS($AC$1006:AQ1006),$AC$1006:$AS$1006,0)))),"Fix")))</f>
        <v xml:space="preserve"> </v>
      </c>
      <c r="Q195" s="4" t="str">
        <f ca="1">IF(OR(INDEX($W$2:$W$1001,MATCH(ROWS($V$2:V195),$V$2:$V$1001,0),1)&gt;=100000,INDEX($AC$1005:$AS$1005,1,MATCH(COLUMNS($AC$1006:AR1006),$AC$1006:$AS$1006,0))&gt;=100000), " ",IF(INDEX($AC$2:$AS$1001,MATCH(ROWS($V$2:V195),$V$2:$V$1001,0),MATCH(COLUMNS($AC$1006:AR1006),$AC$1006:$AS$1006,0)), HYPERLINK("#",""), HYPERLINK(CONCATENATE("#metadata!", ADDRESS(INDEX($X$2:$X$1001,MATCH(ROWS($V$2:V195),$V$2:$V$1001,0),0), INDEX($AC$1004:$AS$1004,1,MATCH(COLUMNS($AC$1006:AR1006),$AC$1006:$AS$1006,0)))),"Fix")))</f>
        <v xml:space="preserve"> </v>
      </c>
      <c r="R195" s="4" t="str">
        <f ca="1">IF(OR(INDEX($W$2:$W$1001,MATCH(ROWS($V$2:V195),$V$2:$V$1001,0),1)&gt;=100000,INDEX($AC$1005:$AS$1005,1,MATCH(COLUMNS($AC$1006:AS1006),$AC$1006:$AS$1006,0))&gt;=100000), " ",IF(INDEX($AC$2:$AS$1001,MATCH(ROWS($V$2:V195),$V$2:$V$1001,0),MATCH(COLUMNS($AC$1006:AS1006),$AC$1006:$AS$1006,0)), HYPERLINK("#",""), HYPERLINK(CONCATENATE("#metadata!", ADDRESS(INDEX($X$2:$X$1001,MATCH(ROWS($V$2:V195),$V$2:$V$1001,0),0), INDEX($AC$1004:$AS$1004,1,MATCH(COLUMNS($AC$1006:AS1006),$AC$1006:$AS$1006,0)))),"Fix")))</f>
        <v xml:space="preserve"> </v>
      </c>
      <c r="V195">
        <v>194</v>
      </c>
      <c r="W195">
        <v>100195</v>
      </c>
      <c r="X195">
        <v>195</v>
      </c>
      <c r="Y195" t="b">
        <f t="shared" si="3"/>
        <v>1</v>
      </c>
      <c r="Z195" t="b">
        <f>COUNTBLANK(metadata!B195:R195)=COLUMNS(metadata!B195:R195)</f>
        <v>1</v>
      </c>
      <c r="AA195" t="str">
        <v/>
      </c>
      <c r="AC195" t="b">
        <f ca="1"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AD195" t="b">
        <f>IF(metadata!C195="",FALSE,ISNUMBER(VALUE(metadata!C195)))</f>
        <v>0</v>
      </c>
      <c r="AE195" t="b">
        <f>AND(IF(metadata!D195="",FALSE,TRUE),EXACT(metadata!D195,"years"))</f>
        <v>0</v>
      </c>
      <c r="AF195" t="b">
        <f>OR(AND(IF(metadata!E195="",FALSE,TRUE),OR(EXACT(metadata!E195,"not applicable"),EXACT(metadata!E195,"missing: not collected"),EXACT(metadata!E195,"missing: not provided"),EXACT(metadata!E195,"missing: restricted access"))),AND(IF(metadata!E195="",FALSE,ISNUMBER(VALUE(metadata!E195))),metadata!E195&gt;0))</f>
        <v>0</v>
      </c>
      <c r="AG195" t="b">
        <f>AND(IF(metadata!F195="",FALSE,TRUE),EXACT(metadata!F195,"Not applicable"))</f>
        <v>0</v>
      </c>
      <c r="AH195" t="b">
        <f>AND(IF(metadata!G195="",FALSE,TRUE),EXACT(metadata!G195,"urban biome"))</f>
        <v>0</v>
      </c>
      <c r="AI195" t="b">
        <f>AND(IF(metadata!H195="",FALSE,TRUE),EXACT(metadata!H195,"human-associated habitat"))</f>
        <v>0</v>
      </c>
      <c r="AJ195" t="b">
        <f>AND(IF(metadata!I195="",FALSE,TRUE),OR(EXACT(metadata!I195,"human-associated"),EXACT(metadata!I195,"human-skin"),EXACT(metadata!I195,"human-oral"),EXACT(metadata!I195,"human-gut"),EXACT(metadata!I195,"human-vaginal")))</f>
        <v>0</v>
      </c>
      <c r="AK195" t="b">
        <f>IF(metadata!J195="",FALSE,ISNUMBER(VALUE(metadata!J195)))</f>
        <v>0</v>
      </c>
      <c r="AL195" t="b">
        <f>AND(IF(metadata!K195="",FALSE,TRUE),EXACT(metadata!K195,"cm"))</f>
        <v>0</v>
      </c>
      <c r="AM195" t="b">
        <f>AND(IF(metadata!L195="",FALSE,TRUE),EXACT(metadata!L195,"human"))</f>
        <v>0</v>
      </c>
      <c r="AN195" t="b">
        <f>AND(IF(metadata!M195="",FALSE,TRUE),EXACT(metadata!M195,"Homo sapiens"))</f>
        <v>0</v>
      </c>
      <c r="AO195" t="b">
        <f>AND(IF(metadata!N195="",FALSE,TRUE),EXACT(metadata!N195,"9606"))</f>
        <v>0</v>
      </c>
      <c r="AP195" t="b">
        <f>IF(metadata!O195="",FALSE,TRUE)</f>
        <v>0</v>
      </c>
      <c r="AQ195" t="b">
        <f>IF(metadata!P195="",FALSE,TRUE)</f>
        <v>0</v>
      </c>
      <c r="AR195" t="b">
        <f>IF(metadata!Q195="",FALSE,ISNUMBER(VALUE(metadata!Q195)))</f>
        <v>0</v>
      </c>
      <c r="AS195" t="b">
        <f>AND(IF(metadata!R195="",FALSE,TRUE),EXACT(metadata!R195,"kg"))</f>
        <v>0</v>
      </c>
    </row>
    <row r="196" spans="1:45" x14ac:dyDescent="0.2">
      <c r="A196" s="5" t="str">
        <f ca="1">IF(B196=" "," ",HYPERLINK(CONCATENATE("#metadata!",ADDRESS(INDEX($X$2:$X$1001,MATCH(ROWS($V$2:V196),$V$2:$V$1001,0),0),1)),INDEX($AA$2:$AA$1001,MATCH(ROWS($V$2:V196),$V$2:$V$1001,0),0)))</f>
        <v xml:space="preserve"> </v>
      </c>
      <c r="B196" s="4" t="str">
        <f ca="1">IF(OR(INDEX($W$2:$W$1001,MATCH(ROWS($V$2:V196),$V$2:$V$1001,0),1)&gt;=100000,INDEX($AC$1005:$AS$1005,1,MATCH(COLUMNS($AC$1006:AC1006),$AC$1006:$AS$1006,0))&gt;=100000), " ",IF(INDEX($AC$2:$AS$1001,MATCH(ROWS($V$2:V196),$V$2:$V$1001,0),MATCH(COLUMNS($AC$1006:AC1006),$AC$1006:$AS$1006,0)), HYPERLINK("#",""), HYPERLINK(CONCATENATE("#metadata!", ADDRESS(INDEX($X$2:$X$1001,MATCH(ROWS($V$2:V196),$V$2:$V$1001,0),0), INDEX($AC$1004:$AS$1004,1,MATCH(COLUMNS($AC$1006:AC1006),$AC$1006:$AS$1006,0)))),"Fix")))</f>
        <v xml:space="preserve"> </v>
      </c>
      <c r="C196" s="4" t="str">
        <f ca="1">IF(OR(INDEX($W$2:$W$1001,MATCH(ROWS($V$2:V196),$V$2:$V$1001,0),1)&gt;=100000,INDEX($AC$1005:$AS$1005,1,MATCH(COLUMNS($AC$1006:AD1006),$AC$1006:$AS$1006,0))&gt;=100000), " ",IF(INDEX($AC$2:$AS$1001,MATCH(ROWS($V$2:V196),$V$2:$V$1001,0),MATCH(COLUMNS($AC$1006:AD1006),$AC$1006:$AS$1006,0)), HYPERLINK("#",""), HYPERLINK(CONCATENATE("#metadata!", ADDRESS(INDEX($X$2:$X$1001,MATCH(ROWS($V$2:V196),$V$2:$V$1001,0),0), INDEX($AC$1004:$AS$1004,1,MATCH(COLUMNS($AC$1006:AD1006),$AC$1006:$AS$1006,0)))),"Fix")))</f>
        <v xml:space="preserve"> </v>
      </c>
      <c r="D196" s="4" t="str">
        <f ca="1">IF(OR(INDEX($W$2:$W$1001,MATCH(ROWS($V$2:V196),$V$2:$V$1001,0),1)&gt;=100000,INDEX($AC$1005:$AS$1005,1,MATCH(COLUMNS($AC$1006:AE1006),$AC$1006:$AS$1006,0))&gt;=100000), " ",IF(INDEX($AC$2:$AS$1001,MATCH(ROWS($V$2:V196),$V$2:$V$1001,0),MATCH(COLUMNS($AC$1006:AE1006),$AC$1006:$AS$1006,0)), HYPERLINK("#",""), HYPERLINK(CONCATENATE("#metadata!", ADDRESS(INDEX($X$2:$X$1001,MATCH(ROWS($V$2:V196),$V$2:$V$1001,0),0), INDEX($AC$1004:$AS$1004,1,MATCH(COLUMNS($AC$1006:AE1006),$AC$1006:$AS$1006,0)))),"Fix")))</f>
        <v xml:space="preserve"> </v>
      </c>
      <c r="E196" s="4" t="str">
        <f ca="1">IF(OR(INDEX($W$2:$W$1001,MATCH(ROWS($V$2:V196),$V$2:$V$1001,0),1)&gt;=100000,INDEX($AC$1005:$AS$1005,1,MATCH(COLUMNS($AC$1006:AF1006),$AC$1006:$AS$1006,0))&gt;=100000), " ",IF(INDEX($AC$2:$AS$1001,MATCH(ROWS($V$2:V196),$V$2:$V$1001,0),MATCH(COLUMNS($AC$1006:AF1006),$AC$1006:$AS$1006,0)), HYPERLINK("#",""), HYPERLINK(CONCATENATE("#metadata!", ADDRESS(INDEX($X$2:$X$1001,MATCH(ROWS($V$2:V196),$V$2:$V$1001,0),0), INDEX($AC$1004:$AS$1004,1,MATCH(COLUMNS($AC$1006:AF1006),$AC$1006:$AS$1006,0)))),"Fix")))</f>
        <v xml:space="preserve"> </v>
      </c>
      <c r="F196" s="4" t="str">
        <f ca="1">IF(OR(INDEX($W$2:$W$1001,MATCH(ROWS($V$2:V196),$V$2:$V$1001,0),1)&gt;=100000,INDEX($AC$1005:$AS$1005,1,MATCH(COLUMNS($AC$1006:AG1006),$AC$1006:$AS$1006,0))&gt;=100000), " ",IF(INDEX($AC$2:$AS$1001,MATCH(ROWS($V$2:V196),$V$2:$V$1001,0),MATCH(COLUMNS($AC$1006:AG1006),$AC$1006:$AS$1006,0)), HYPERLINK("#",""), HYPERLINK(CONCATENATE("#metadata!", ADDRESS(INDEX($X$2:$X$1001,MATCH(ROWS($V$2:V196),$V$2:$V$1001,0),0), INDEX($AC$1004:$AS$1004,1,MATCH(COLUMNS($AC$1006:AG1006),$AC$1006:$AS$1006,0)))),"Fix")))</f>
        <v xml:space="preserve"> </v>
      </c>
      <c r="G196" s="4" t="str">
        <f ca="1">IF(OR(INDEX($W$2:$W$1001,MATCH(ROWS($V$2:V196),$V$2:$V$1001,0),1)&gt;=100000,INDEX($AC$1005:$AS$1005,1,MATCH(COLUMNS($AC$1006:AH1006),$AC$1006:$AS$1006,0))&gt;=100000), " ",IF(INDEX($AC$2:$AS$1001,MATCH(ROWS($V$2:V196),$V$2:$V$1001,0),MATCH(COLUMNS($AC$1006:AH1006),$AC$1006:$AS$1006,0)), HYPERLINK("#",""), HYPERLINK(CONCATENATE("#metadata!", ADDRESS(INDEX($X$2:$X$1001,MATCH(ROWS($V$2:V196),$V$2:$V$1001,0),0), INDEX($AC$1004:$AS$1004,1,MATCH(COLUMNS($AC$1006:AH1006),$AC$1006:$AS$1006,0)))),"Fix")))</f>
        <v xml:space="preserve"> </v>
      </c>
      <c r="H196" s="4" t="str">
        <f ca="1">IF(OR(INDEX($W$2:$W$1001,MATCH(ROWS($V$2:V196),$V$2:$V$1001,0),1)&gt;=100000,INDEX($AC$1005:$AS$1005,1,MATCH(COLUMNS($AC$1006:AI1006),$AC$1006:$AS$1006,0))&gt;=100000), " ",IF(INDEX($AC$2:$AS$1001,MATCH(ROWS($V$2:V196),$V$2:$V$1001,0),MATCH(COLUMNS($AC$1006:AI1006),$AC$1006:$AS$1006,0)), HYPERLINK("#",""), HYPERLINK(CONCATENATE("#metadata!", ADDRESS(INDEX($X$2:$X$1001,MATCH(ROWS($V$2:V196),$V$2:$V$1001,0),0), INDEX($AC$1004:$AS$1004,1,MATCH(COLUMNS($AC$1006:AI1006),$AC$1006:$AS$1006,0)))),"Fix")))</f>
        <v xml:space="preserve"> </v>
      </c>
      <c r="I196" s="4" t="str">
        <f ca="1">IF(OR(INDEX($W$2:$W$1001,MATCH(ROWS($V$2:V196),$V$2:$V$1001,0),1)&gt;=100000,INDEX($AC$1005:$AS$1005,1,MATCH(COLUMNS($AC$1006:AJ1006),$AC$1006:$AS$1006,0))&gt;=100000), " ",IF(INDEX($AC$2:$AS$1001,MATCH(ROWS($V$2:V196),$V$2:$V$1001,0),MATCH(COLUMNS($AC$1006:AJ1006),$AC$1006:$AS$1006,0)), HYPERLINK("#",""), HYPERLINK(CONCATENATE("#metadata!", ADDRESS(INDEX($X$2:$X$1001,MATCH(ROWS($V$2:V196),$V$2:$V$1001,0),0), INDEX($AC$1004:$AS$1004,1,MATCH(COLUMNS($AC$1006:AJ1006),$AC$1006:$AS$1006,0)))),"Fix")))</f>
        <v xml:space="preserve"> </v>
      </c>
      <c r="J196" s="4" t="str">
        <f ca="1">IF(OR(INDEX($W$2:$W$1001,MATCH(ROWS($V$2:V196),$V$2:$V$1001,0),1)&gt;=100000,INDEX($AC$1005:$AS$1005,1,MATCH(COLUMNS($AC$1006:AK1006),$AC$1006:$AS$1006,0))&gt;=100000), " ",IF(INDEX($AC$2:$AS$1001,MATCH(ROWS($V$2:V196),$V$2:$V$1001,0),MATCH(COLUMNS($AC$1006:AK1006),$AC$1006:$AS$1006,0)), HYPERLINK("#",""), HYPERLINK(CONCATENATE("#metadata!", ADDRESS(INDEX($X$2:$X$1001,MATCH(ROWS($V$2:V196),$V$2:$V$1001,0),0), INDEX($AC$1004:$AS$1004,1,MATCH(COLUMNS($AC$1006:AK1006),$AC$1006:$AS$1006,0)))),"Fix")))</f>
        <v xml:space="preserve"> </v>
      </c>
      <c r="K196" s="4" t="str">
        <f ca="1">IF(OR(INDEX($W$2:$W$1001,MATCH(ROWS($V$2:V196),$V$2:$V$1001,0),1)&gt;=100000,INDEX($AC$1005:$AS$1005,1,MATCH(COLUMNS($AC$1006:AL1006),$AC$1006:$AS$1006,0))&gt;=100000), " ",IF(INDEX($AC$2:$AS$1001,MATCH(ROWS($V$2:V196),$V$2:$V$1001,0),MATCH(COLUMNS($AC$1006:AL1006),$AC$1006:$AS$1006,0)), HYPERLINK("#",""), HYPERLINK(CONCATENATE("#metadata!", ADDRESS(INDEX($X$2:$X$1001,MATCH(ROWS($V$2:V196),$V$2:$V$1001,0),0), INDEX($AC$1004:$AS$1004,1,MATCH(COLUMNS($AC$1006:AL1006),$AC$1006:$AS$1006,0)))),"Fix")))</f>
        <v xml:space="preserve"> </v>
      </c>
      <c r="L196" s="4" t="str">
        <f ca="1">IF(OR(INDEX($W$2:$W$1001,MATCH(ROWS($V$2:V196),$V$2:$V$1001,0),1)&gt;=100000,INDEX($AC$1005:$AS$1005,1,MATCH(COLUMNS($AC$1006:AM1006),$AC$1006:$AS$1006,0))&gt;=100000), " ",IF(INDEX($AC$2:$AS$1001,MATCH(ROWS($V$2:V196),$V$2:$V$1001,0),MATCH(COLUMNS($AC$1006:AM1006),$AC$1006:$AS$1006,0)), HYPERLINK("#",""), HYPERLINK(CONCATENATE("#metadata!", ADDRESS(INDEX($X$2:$X$1001,MATCH(ROWS($V$2:V196),$V$2:$V$1001,0),0), INDEX($AC$1004:$AS$1004,1,MATCH(COLUMNS($AC$1006:AM1006),$AC$1006:$AS$1006,0)))),"Fix")))</f>
        <v xml:space="preserve"> </v>
      </c>
      <c r="M196" s="4" t="str">
        <f ca="1">IF(OR(INDEX($W$2:$W$1001,MATCH(ROWS($V$2:V196),$V$2:$V$1001,0),1)&gt;=100000,INDEX($AC$1005:$AS$1005,1,MATCH(COLUMNS($AC$1006:AN1006),$AC$1006:$AS$1006,0))&gt;=100000), " ",IF(INDEX($AC$2:$AS$1001,MATCH(ROWS($V$2:V196),$V$2:$V$1001,0),MATCH(COLUMNS($AC$1006:AN1006),$AC$1006:$AS$1006,0)), HYPERLINK("#",""), HYPERLINK(CONCATENATE("#metadata!", ADDRESS(INDEX($X$2:$X$1001,MATCH(ROWS($V$2:V196),$V$2:$V$1001,0),0), INDEX($AC$1004:$AS$1004,1,MATCH(COLUMNS($AC$1006:AN1006),$AC$1006:$AS$1006,0)))),"Fix")))</f>
        <v xml:space="preserve"> </v>
      </c>
      <c r="N196" s="4" t="str">
        <f ca="1">IF(OR(INDEX($W$2:$W$1001,MATCH(ROWS($V$2:V196),$V$2:$V$1001,0),1)&gt;=100000,INDEX($AC$1005:$AS$1005,1,MATCH(COLUMNS($AC$1006:AO1006),$AC$1006:$AS$1006,0))&gt;=100000), " ",IF(INDEX($AC$2:$AS$1001,MATCH(ROWS($V$2:V196),$V$2:$V$1001,0),MATCH(COLUMNS($AC$1006:AO1006),$AC$1006:$AS$1006,0)), HYPERLINK("#",""), HYPERLINK(CONCATENATE("#metadata!", ADDRESS(INDEX($X$2:$X$1001,MATCH(ROWS($V$2:V196),$V$2:$V$1001,0),0), INDEX($AC$1004:$AS$1004,1,MATCH(COLUMNS($AC$1006:AO1006),$AC$1006:$AS$1006,0)))),"Fix")))</f>
        <v xml:space="preserve"> </v>
      </c>
      <c r="O196" s="4" t="str">
        <f ca="1">IF(OR(INDEX($W$2:$W$1001,MATCH(ROWS($V$2:V196),$V$2:$V$1001,0),1)&gt;=100000,INDEX($AC$1005:$AS$1005,1,MATCH(COLUMNS($AC$1006:AP1006),$AC$1006:$AS$1006,0))&gt;=100000), " ",IF(INDEX($AC$2:$AS$1001,MATCH(ROWS($V$2:V196),$V$2:$V$1001,0),MATCH(COLUMNS($AC$1006:AP1006),$AC$1006:$AS$1006,0)), HYPERLINK("#",""), HYPERLINK(CONCATENATE("#metadata!", ADDRESS(INDEX($X$2:$X$1001,MATCH(ROWS($V$2:V196),$V$2:$V$1001,0),0), INDEX($AC$1004:$AS$1004,1,MATCH(COLUMNS($AC$1006:AP1006),$AC$1006:$AS$1006,0)))),"Fix")))</f>
        <v xml:space="preserve"> </v>
      </c>
      <c r="P196" s="4" t="str">
        <f ca="1">IF(OR(INDEX($W$2:$W$1001,MATCH(ROWS($V$2:V196),$V$2:$V$1001,0),1)&gt;=100000,INDEX($AC$1005:$AS$1005,1,MATCH(COLUMNS($AC$1006:AQ1006),$AC$1006:$AS$1006,0))&gt;=100000), " ",IF(INDEX($AC$2:$AS$1001,MATCH(ROWS($V$2:V196),$V$2:$V$1001,0),MATCH(COLUMNS($AC$1006:AQ1006),$AC$1006:$AS$1006,0)), HYPERLINK("#",""), HYPERLINK(CONCATENATE("#metadata!", ADDRESS(INDEX($X$2:$X$1001,MATCH(ROWS($V$2:V196),$V$2:$V$1001,0),0), INDEX($AC$1004:$AS$1004,1,MATCH(COLUMNS($AC$1006:AQ1006),$AC$1006:$AS$1006,0)))),"Fix")))</f>
        <v xml:space="preserve"> </v>
      </c>
      <c r="Q196" s="4" t="str">
        <f ca="1">IF(OR(INDEX($W$2:$W$1001,MATCH(ROWS($V$2:V196),$V$2:$V$1001,0),1)&gt;=100000,INDEX($AC$1005:$AS$1005,1,MATCH(COLUMNS($AC$1006:AR1006),$AC$1006:$AS$1006,0))&gt;=100000), " ",IF(INDEX($AC$2:$AS$1001,MATCH(ROWS($V$2:V196),$V$2:$V$1001,0),MATCH(COLUMNS($AC$1006:AR1006),$AC$1006:$AS$1006,0)), HYPERLINK("#",""), HYPERLINK(CONCATENATE("#metadata!", ADDRESS(INDEX($X$2:$X$1001,MATCH(ROWS($V$2:V196),$V$2:$V$1001,0),0), INDEX($AC$1004:$AS$1004,1,MATCH(COLUMNS($AC$1006:AR1006),$AC$1006:$AS$1006,0)))),"Fix")))</f>
        <v xml:space="preserve"> </v>
      </c>
      <c r="R196" s="4" t="str">
        <f ca="1">IF(OR(INDEX($W$2:$W$1001,MATCH(ROWS($V$2:V196),$V$2:$V$1001,0),1)&gt;=100000,INDEX($AC$1005:$AS$1005,1,MATCH(COLUMNS($AC$1006:AS1006),$AC$1006:$AS$1006,0))&gt;=100000), " ",IF(INDEX($AC$2:$AS$1001,MATCH(ROWS($V$2:V196),$V$2:$V$1001,0),MATCH(COLUMNS($AC$1006:AS1006),$AC$1006:$AS$1006,0)), HYPERLINK("#",""), HYPERLINK(CONCATENATE("#metadata!", ADDRESS(INDEX($X$2:$X$1001,MATCH(ROWS($V$2:V196),$V$2:$V$1001,0),0), INDEX($AC$1004:$AS$1004,1,MATCH(COLUMNS($AC$1006:AS1006),$AC$1006:$AS$1006,0)))),"Fix")))</f>
        <v xml:space="preserve"> </v>
      </c>
      <c r="V196">
        <v>195</v>
      </c>
      <c r="W196">
        <v>100196</v>
      </c>
      <c r="X196">
        <v>196</v>
      </c>
      <c r="Y196" t="b">
        <f t="shared" si="3"/>
        <v>1</v>
      </c>
      <c r="Z196" t="b">
        <f>COUNTBLANK(metadata!B196:R196)=COLUMNS(metadata!B196:R196)</f>
        <v>1</v>
      </c>
      <c r="AA196" t="str">
        <v/>
      </c>
      <c r="AC196" t="b">
        <f ca="1"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AD196" t="b">
        <f>IF(metadata!C196="",FALSE,ISNUMBER(VALUE(metadata!C196)))</f>
        <v>0</v>
      </c>
      <c r="AE196" t="b">
        <f>AND(IF(metadata!D196="",FALSE,TRUE),EXACT(metadata!D196,"years"))</f>
        <v>0</v>
      </c>
      <c r="AF196" t="b">
        <f>OR(AND(IF(metadata!E196="",FALSE,TRUE),OR(EXACT(metadata!E196,"not applicable"),EXACT(metadata!E196,"missing: not collected"),EXACT(metadata!E196,"missing: not provided"),EXACT(metadata!E196,"missing: restricted access"))),AND(IF(metadata!E196="",FALSE,ISNUMBER(VALUE(metadata!E196))),metadata!E196&gt;0))</f>
        <v>0</v>
      </c>
      <c r="AG196" t="b">
        <f>AND(IF(metadata!F196="",FALSE,TRUE),EXACT(metadata!F196,"Not applicable"))</f>
        <v>0</v>
      </c>
      <c r="AH196" t="b">
        <f>AND(IF(metadata!G196="",FALSE,TRUE),EXACT(metadata!G196,"urban biome"))</f>
        <v>0</v>
      </c>
      <c r="AI196" t="b">
        <f>AND(IF(metadata!H196="",FALSE,TRUE),EXACT(metadata!H196,"human-associated habitat"))</f>
        <v>0</v>
      </c>
      <c r="AJ196" t="b">
        <f>AND(IF(metadata!I196="",FALSE,TRUE),OR(EXACT(metadata!I196,"human-associated"),EXACT(metadata!I196,"human-skin"),EXACT(metadata!I196,"human-oral"),EXACT(metadata!I196,"human-gut"),EXACT(metadata!I196,"human-vaginal")))</f>
        <v>0</v>
      </c>
      <c r="AK196" t="b">
        <f>IF(metadata!J196="",FALSE,ISNUMBER(VALUE(metadata!J196)))</f>
        <v>0</v>
      </c>
      <c r="AL196" t="b">
        <f>AND(IF(metadata!K196="",FALSE,TRUE),EXACT(metadata!K196,"cm"))</f>
        <v>0</v>
      </c>
      <c r="AM196" t="b">
        <f>AND(IF(metadata!L196="",FALSE,TRUE),EXACT(metadata!L196,"human"))</f>
        <v>0</v>
      </c>
      <c r="AN196" t="b">
        <f>AND(IF(metadata!M196="",FALSE,TRUE),EXACT(metadata!M196,"Homo sapiens"))</f>
        <v>0</v>
      </c>
      <c r="AO196" t="b">
        <f>AND(IF(metadata!N196="",FALSE,TRUE),EXACT(metadata!N196,"9606"))</f>
        <v>0</v>
      </c>
      <c r="AP196" t="b">
        <f>IF(metadata!O196="",FALSE,TRUE)</f>
        <v>0</v>
      </c>
      <c r="AQ196" t="b">
        <f>IF(metadata!P196="",FALSE,TRUE)</f>
        <v>0</v>
      </c>
      <c r="AR196" t="b">
        <f>IF(metadata!Q196="",FALSE,ISNUMBER(VALUE(metadata!Q196)))</f>
        <v>0</v>
      </c>
      <c r="AS196" t="b">
        <f>AND(IF(metadata!R196="",FALSE,TRUE),EXACT(metadata!R196,"kg"))</f>
        <v>0</v>
      </c>
    </row>
    <row r="197" spans="1:45" x14ac:dyDescent="0.2">
      <c r="A197" s="5" t="str">
        <f ca="1">IF(B197=" "," ",HYPERLINK(CONCATENATE("#metadata!",ADDRESS(INDEX($X$2:$X$1001,MATCH(ROWS($V$2:V197),$V$2:$V$1001,0),0),1)),INDEX($AA$2:$AA$1001,MATCH(ROWS($V$2:V197),$V$2:$V$1001,0),0)))</f>
        <v xml:space="preserve"> </v>
      </c>
      <c r="B197" s="4" t="str">
        <f ca="1">IF(OR(INDEX($W$2:$W$1001,MATCH(ROWS($V$2:V197),$V$2:$V$1001,0),1)&gt;=100000,INDEX($AC$1005:$AS$1005,1,MATCH(COLUMNS($AC$1006:AC1006),$AC$1006:$AS$1006,0))&gt;=100000), " ",IF(INDEX($AC$2:$AS$1001,MATCH(ROWS($V$2:V197),$V$2:$V$1001,0),MATCH(COLUMNS($AC$1006:AC1006),$AC$1006:$AS$1006,0)), HYPERLINK("#",""), HYPERLINK(CONCATENATE("#metadata!", ADDRESS(INDEX($X$2:$X$1001,MATCH(ROWS($V$2:V197),$V$2:$V$1001,0),0), INDEX($AC$1004:$AS$1004,1,MATCH(COLUMNS($AC$1006:AC1006),$AC$1006:$AS$1006,0)))),"Fix")))</f>
        <v xml:space="preserve"> </v>
      </c>
      <c r="C197" s="4" t="str">
        <f ca="1">IF(OR(INDEX($W$2:$W$1001,MATCH(ROWS($V$2:V197),$V$2:$V$1001,0),1)&gt;=100000,INDEX($AC$1005:$AS$1005,1,MATCH(COLUMNS($AC$1006:AD1006),$AC$1006:$AS$1006,0))&gt;=100000), " ",IF(INDEX($AC$2:$AS$1001,MATCH(ROWS($V$2:V197),$V$2:$V$1001,0),MATCH(COLUMNS($AC$1006:AD1006),$AC$1006:$AS$1006,0)), HYPERLINK("#",""), HYPERLINK(CONCATENATE("#metadata!", ADDRESS(INDEX($X$2:$X$1001,MATCH(ROWS($V$2:V197),$V$2:$V$1001,0),0), INDEX($AC$1004:$AS$1004,1,MATCH(COLUMNS($AC$1006:AD1006),$AC$1006:$AS$1006,0)))),"Fix")))</f>
        <v xml:space="preserve"> </v>
      </c>
      <c r="D197" s="4" t="str">
        <f ca="1">IF(OR(INDEX($W$2:$W$1001,MATCH(ROWS($V$2:V197),$V$2:$V$1001,0),1)&gt;=100000,INDEX($AC$1005:$AS$1005,1,MATCH(COLUMNS($AC$1006:AE1006),$AC$1006:$AS$1006,0))&gt;=100000), " ",IF(INDEX($AC$2:$AS$1001,MATCH(ROWS($V$2:V197),$V$2:$V$1001,0),MATCH(COLUMNS($AC$1006:AE1006),$AC$1006:$AS$1006,0)), HYPERLINK("#",""), HYPERLINK(CONCATENATE("#metadata!", ADDRESS(INDEX($X$2:$X$1001,MATCH(ROWS($V$2:V197),$V$2:$V$1001,0),0), INDEX($AC$1004:$AS$1004,1,MATCH(COLUMNS($AC$1006:AE1006),$AC$1006:$AS$1006,0)))),"Fix")))</f>
        <v xml:space="preserve"> </v>
      </c>
      <c r="E197" s="4" t="str">
        <f ca="1">IF(OR(INDEX($W$2:$W$1001,MATCH(ROWS($V$2:V197),$V$2:$V$1001,0),1)&gt;=100000,INDEX($AC$1005:$AS$1005,1,MATCH(COLUMNS($AC$1006:AF1006),$AC$1006:$AS$1006,0))&gt;=100000), " ",IF(INDEX($AC$2:$AS$1001,MATCH(ROWS($V$2:V197),$V$2:$V$1001,0),MATCH(COLUMNS($AC$1006:AF1006),$AC$1006:$AS$1006,0)), HYPERLINK("#",""), HYPERLINK(CONCATENATE("#metadata!", ADDRESS(INDEX($X$2:$X$1001,MATCH(ROWS($V$2:V197),$V$2:$V$1001,0),0), INDEX($AC$1004:$AS$1004,1,MATCH(COLUMNS($AC$1006:AF1006),$AC$1006:$AS$1006,0)))),"Fix")))</f>
        <v xml:space="preserve"> </v>
      </c>
      <c r="F197" s="4" t="str">
        <f ca="1">IF(OR(INDEX($W$2:$W$1001,MATCH(ROWS($V$2:V197),$V$2:$V$1001,0),1)&gt;=100000,INDEX($AC$1005:$AS$1005,1,MATCH(COLUMNS($AC$1006:AG1006),$AC$1006:$AS$1006,0))&gt;=100000), " ",IF(INDEX($AC$2:$AS$1001,MATCH(ROWS($V$2:V197),$V$2:$V$1001,0),MATCH(COLUMNS($AC$1006:AG1006),$AC$1006:$AS$1006,0)), HYPERLINK("#",""), HYPERLINK(CONCATENATE("#metadata!", ADDRESS(INDEX($X$2:$X$1001,MATCH(ROWS($V$2:V197),$V$2:$V$1001,0),0), INDEX($AC$1004:$AS$1004,1,MATCH(COLUMNS($AC$1006:AG1006),$AC$1006:$AS$1006,0)))),"Fix")))</f>
        <v xml:space="preserve"> </v>
      </c>
      <c r="G197" s="4" t="str">
        <f ca="1">IF(OR(INDEX($W$2:$W$1001,MATCH(ROWS($V$2:V197),$V$2:$V$1001,0),1)&gt;=100000,INDEX($AC$1005:$AS$1005,1,MATCH(COLUMNS($AC$1006:AH1006),$AC$1006:$AS$1006,0))&gt;=100000), " ",IF(INDEX($AC$2:$AS$1001,MATCH(ROWS($V$2:V197),$V$2:$V$1001,0),MATCH(COLUMNS($AC$1006:AH1006),$AC$1006:$AS$1006,0)), HYPERLINK("#",""), HYPERLINK(CONCATENATE("#metadata!", ADDRESS(INDEX($X$2:$X$1001,MATCH(ROWS($V$2:V197),$V$2:$V$1001,0),0), INDEX($AC$1004:$AS$1004,1,MATCH(COLUMNS($AC$1006:AH1006),$AC$1006:$AS$1006,0)))),"Fix")))</f>
        <v xml:space="preserve"> </v>
      </c>
      <c r="H197" s="4" t="str">
        <f ca="1">IF(OR(INDEX($W$2:$W$1001,MATCH(ROWS($V$2:V197),$V$2:$V$1001,0),1)&gt;=100000,INDEX($AC$1005:$AS$1005,1,MATCH(COLUMNS($AC$1006:AI1006),$AC$1006:$AS$1006,0))&gt;=100000), " ",IF(INDEX($AC$2:$AS$1001,MATCH(ROWS($V$2:V197),$V$2:$V$1001,0),MATCH(COLUMNS($AC$1006:AI1006),$AC$1006:$AS$1006,0)), HYPERLINK("#",""), HYPERLINK(CONCATENATE("#metadata!", ADDRESS(INDEX($X$2:$X$1001,MATCH(ROWS($V$2:V197),$V$2:$V$1001,0),0), INDEX($AC$1004:$AS$1004,1,MATCH(COLUMNS($AC$1006:AI1006),$AC$1006:$AS$1006,0)))),"Fix")))</f>
        <v xml:space="preserve"> </v>
      </c>
      <c r="I197" s="4" t="str">
        <f ca="1">IF(OR(INDEX($W$2:$W$1001,MATCH(ROWS($V$2:V197),$V$2:$V$1001,0),1)&gt;=100000,INDEX($AC$1005:$AS$1005,1,MATCH(COLUMNS($AC$1006:AJ1006),$AC$1006:$AS$1006,0))&gt;=100000), " ",IF(INDEX($AC$2:$AS$1001,MATCH(ROWS($V$2:V197),$V$2:$V$1001,0),MATCH(COLUMNS($AC$1006:AJ1006),$AC$1006:$AS$1006,0)), HYPERLINK("#",""), HYPERLINK(CONCATENATE("#metadata!", ADDRESS(INDEX($X$2:$X$1001,MATCH(ROWS($V$2:V197),$V$2:$V$1001,0),0), INDEX($AC$1004:$AS$1004,1,MATCH(COLUMNS($AC$1006:AJ1006),$AC$1006:$AS$1006,0)))),"Fix")))</f>
        <v xml:space="preserve"> </v>
      </c>
      <c r="J197" s="4" t="str">
        <f ca="1">IF(OR(INDEX($W$2:$W$1001,MATCH(ROWS($V$2:V197),$V$2:$V$1001,0),1)&gt;=100000,INDEX($AC$1005:$AS$1005,1,MATCH(COLUMNS($AC$1006:AK1006),$AC$1006:$AS$1006,0))&gt;=100000), " ",IF(INDEX($AC$2:$AS$1001,MATCH(ROWS($V$2:V197),$V$2:$V$1001,0),MATCH(COLUMNS($AC$1006:AK1006),$AC$1006:$AS$1006,0)), HYPERLINK("#",""), HYPERLINK(CONCATENATE("#metadata!", ADDRESS(INDEX($X$2:$X$1001,MATCH(ROWS($V$2:V197),$V$2:$V$1001,0),0), INDEX($AC$1004:$AS$1004,1,MATCH(COLUMNS($AC$1006:AK1006),$AC$1006:$AS$1006,0)))),"Fix")))</f>
        <v xml:space="preserve"> </v>
      </c>
      <c r="K197" s="4" t="str">
        <f ca="1">IF(OR(INDEX($W$2:$W$1001,MATCH(ROWS($V$2:V197),$V$2:$V$1001,0),1)&gt;=100000,INDEX($AC$1005:$AS$1005,1,MATCH(COLUMNS($AC$1006:AL1006),$AC$1006:$AS$1006,0))&gt;=100000), " ",IF(INDEX($AC$2:$AS$1001,MATCH(ROWS($V$2:V197),$V$2:$V$1001,0),MATCH(COLUMNS($AC$1006:AL1006),$AC$1006:$AS$1006,0)), HYPERLINK("#",""), HYPERLINK(CONCATENATE("#metadata!", ADDRESS(INDEX($X$2:$X$1001,MATCH(ROWS($V$2:V197),$V$2:$V$1001,0),0), INDEX($AC$1004:$AS$1004,1,MATCH(COLUMNS($AC$1006:AL1006),$AC$1006:$AS$1006,0)))),"Fix")))</f>
        <v xml:space="preserve"> </v>
      </c>
      <c r="L197" s="4" t="str">
        <f ca="1">IF(OR(INDEX($W$2:$W$1001,MATCH(ROWS($V$2:V197),$V$2:$V$1001,0),1)&gt;=100000,INDEX($AC$1005:$AS$1005,1,MATCH(COLUMNS($AC$1006:AM1006),$AC$1006:$AS$1006,0))&gt;=100000), " ",IF(INDEX($AC$2:$AS$1001,MATCH(ROWS($V$2:V197),$V$2:$V$1001,0),MATCH(COLUMNS($AC$1006:AM1006),$AC$1006:$AS$1006,0)), HYPERLINK("#",""), HYPERLINK(CONCATENATE("#metadata!", ADDRESS(INDEX($X$2:$X$1001,MATCH(ROWS($V$2:V197),$V$2:$V$1001,0),0), INDEX($AC$1004:$AS$1004,1,MATCH(COLUMNS($AC$1006:AM1006),$AC$1006:$AS$1006,0)))),"Fix")))</f>
        <v xml:space="preserve"> </v>
      </c>
      <c r="M197" s="4" t="str">
        <f ca="1">IF(OR(INDEX($W$2:$W$1001,MATCH(ROWS($V$2:V197),$V$2:$V$1001,0),1)&gt;=100000,INDEX($AC$1005:$AS$1005,1,MATCH(COLUMNS($AC$1006:AN1006),$AC$1006:$AS$1006,0))&gt;=100000), " ",IF(INDEX($AC$2:$AS$1001,MATCH(ROWS($V$2:V197),$V$2:$V$1001,0),MATCH(COLUMNS($AC$1006:AN1006),$AC$1006:$AS$1006,0)), HYPERLINK("#",""), HYPERLINK(CONCATENATE("#metadata!", ADDRESS(INDEX($X$2:$X$1001,MATCH(ROWS($V$2:V197),$V$2:$V$1001,0),0), INDEX($AC$1004:$AS$1004,1,MATCH(COLUMNS($AC$1006:AN1006),$AC$1006:$AS$1006,0)))),"Fix")))</f>
        <v xml:space="preserve"> </v>
      </c>
      <c r="N197" s="4" t="str">
        <f ca="1">IF(OR(INDEX($W$2:$W$1001,MATCH(ROWS($V$2:V197),$V$2:$V$1001,0),1)&gt;=100000,INDEX($AC$1005:$AS$1005,1,MATCH(COLUMNS($AC$1006:AO1006),$AC$1006:$AS$1006,0))&gt;=100000), " ",IF(INDEX($AC$2:$AS$1001,MATCH(ROWS($V$2:V197),$V$2:$V$1001,0),MATCH(COLUMNS($AC$1006:AO1006),$AC$1006:$AS$1006,0)), HYPERLINK("#",""), HYPERLINK(CONCATENATE("#metadata!", ADDRESS(INDEX($X$2:$X$1001,MATCH(ROWS($V$2:V197),$V$2:$V$1001,0),0), INDEX($AC$1004:$AS$1004,1,MATCH(COLUMNS($AC$1006:AO1006),$AC$1006:$AS$1006,0)))),"Fix")))</f>
        <v xml:space="preserve"> </v>
      </c>
      <c r="O197" s="4" t="str">
        <f ca="1">IF(OR(INDEX($W$2:$W$1001,MATCH(ROWS($V$2:V197),$V$2:$V$1001,0),1)&gt;=100000,INDEX($AC$1005:$AS$1005,1,MATCH(COLUMNS($AC$1006:AP1006),$AC$1006:$AS$1006,0))&gt;=100000), " ",IF(INDEX($AC$2:$AS$1001,MATCH(ROWS($V$2:V197),$V$2:$V$1001,0),MATCH(COLUMNS($AC$1006:AP1006),$AC$1006:$AS$1006,0)), HYPERLINK("#",""), HYPERLINK(CONCATENATE("#metadata!", ADDRESS(INDEX($X$2:$X$1001,MATCH(ROWS($V$2:V197),$V$2:$V$1001,0),0), INDEX($AC$1004:$AS$1004,1,MATCH(COLUMNS($AC$1006:AP1006),$AC$1006:$AS$1006,0)))),"Fix")))</f>
        <v xml:space="preserve"> </v>
      </c>
      <c r="P197" s="4" t="str">
        <f ca="1">IF(OR(INDEX($W$2:$W$1001,MATCH(ROWS($V$2:V197),$V$2:$V$1001,0),1)&gt;=100000,INDEX($AC$1005:$AS$1005,1,MATCH(COLUMNS($AC$1006:AQ1006),$AC$1006:$AS$1006,0))&gt;=100000), " ",IF(INDEX($AC$2:$AS$1001,MATCH(ROWS($V$2:V197),$V$2:$V$1001,0),MATCH(COLUMNS($AC$1006:AQ1006),$AC$1006:$AS$1006,0)), HYPERLINK("#",""), HYPERLINK(CONCATENATE("#metadata!", ADDRESS(INDEX($X$2:$X$1001,MATCH(ROWS($V$2:V197),$V$2:$V$1001,0),0), INDEX($AC$1004:$AS$1004,1,MATCH(COLUMNS($AC$1006:AQ1006),$AC$1006:$AS$1006,0)))),"Fix")))</f>
        <v xml:space="preserve"> </v>
      </c>
      <c r="Q197" s="4" t="str">
        <f ca="1">IF(OR(INDEX($W$2:$W$1001,MATCH(ROWS($V$2:V197),$V$2:$V$1001,0),1)&gt;=100000,INDEX($AC$1005:$AS$1005,1,MATCH(COLUMNS($AC$1006:AR1006),$AC$1006:$AS$1006,0))&gt;=100000), " ",IF(INDEX($AC$2:$AS$1001,MATCH(ROWS($V$2:V197),$V$2:$V$1001,0),MATCH(COLUMNS($AC$1006:AR1006),$AC$1006:$AS$1006,0)), HYPERLINK("#",""), HYPERLINK(CONCATENATE("#metadata!", ADDRESS(INDEX($X$2:$X$1001,MATCH(ROWS($V$2:V197),$V$2:$V$1001,0),0), INDEX($AC$1004:$AS$1004,1,MATCH(COLUMNS($AC$1006:AR1006),$AC$1006:$AS$1006,0)))),"Fix")))</f>
        <v xml:space="preserve"> </v>
      </c>
      <c r="R197" s="4" t="str">
        <f ca="1">IF(OR(INDEX($W$2:$W$1001,MATCH(ROWS($V$2:V197),$V$2:$V$1001,0),1)&gt;=100000,INDEX($AC$1005:$AS$1005,1,MATCH(COLUMNS($AC$1006:AS1006),$AC$1006:$AS$1006,0))&gt;=100000), " ",IF(INDEX($AC$2:$AS$1001,MATCH(ROWS($V$2:V197),$V$2:$V$1001,0),MATCH(COLUMNS($AC$1006:AS1006),$AC$1006:$AS$1006,0)), HYPERLINK("#",""), HYPERLINK(CONCATENATE("#metadata!", ADDRESS(INDEX($X$2:$X$1001,MATCH(ROWS($V$2:V197),$V$2:$V$1001,0),0), INDEX($AC$1004:$AS$1004,1,MATCH(COLUMNS($AC$1006:AS1006),$AC$1006:$AS$1006,0)))),"Fix")))</f>
        <v xml:space="preserve"> </v>
      </c>
      <c r="V197">
        <v>196</v>
      </c>
      <c r="W197">
        <v>100197</v>
      </c>
      <c r="X197">
        <v>197</v>
      </c>
      <c r="Y197" t="b">
        <f t="shared" si="3"/>
        <v>1</v>
      </c>
      <c r="Z197" t="b">
        <f>COUNTBLANK(metadata!B197:R197)=COLUMNS(metadata!B197:R197)</f>
        <v>1</v>
      </c>
      <c r="AA197" t="str">
        <v/>
      </c>
      <c r="AC197" t="b">
        <f ca="1"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AD197" t="b">
        <f>IF(metadata!C197="",FALSE,ISNUMBER(VALUE(metadata!C197)))</f>
        <v>0</v>
      </c>
      <c r="AE197" t="b">
        <f>AND(IF(metadata!D197="",FALSE,TRUE),EXACT(metadata!D197,"years"))</f>
        <v>0</v>
      </c>
      <c r="AF197" t="b">
        <f>OR(AND(IF(metadata!E197="",FALSE,TRUE),OR(EXACT(metadata!E197,"not applicable"),EXACT(metadata!E197,"missing: not collected"),EXACT(metadata!E197,"missing: not provided"),EXACT(metadata!E197,"missing: restricted access"))),AND(IF(metadata!E197="",FALSE,ISNUMBER(VALUE(metadata!E197))),metadata!E197&gt;0))</f>
        <v>0</v>
      </c>
      <c r="AG197" t="b">
        <f>AND(IF(metadata!F197="",FALSE,TRUE),EXACT(metadata!F197,"Not applicable"))</f>
        <v>0</v>
      </c>
      <c r="AH197" t="b">
        <f>AND(IF(metadata!G197="",FALSE,TRUE),EXACT(metadata!G197,"urban biome"))</f>
        <v>0</v>
      </c>
      <c r="AI197" t="b">
        <f>AND(IF(metadata!H197="",FALSE,TRUE),EXACT(metadata!H197,"human-associated habitat"))</f>
        <v>0</v>
      </c>
      <c r="AJ197" t="b">
        <f>AND(IF(metadata!I197="",FALSE,TRUE),OR(EXACT(metadata!I197,"human-associated"),EXACT(metadata!I197,"human-skin"),EXACT(metadata!I197,"human-oral"),EXACT(metadata!I197,"human-gut"),EXACT(metadata!I197,"human-vaginal")))</f>
        <v>0</v>
      </c>
      <c r="AK197" t="b">
        <f>IF(metadata!J197="",FALSE,ISNUMBER(VALUE(metadata!J197)))</f>
        <v>0</v>
      </c>
      <c r="AL197" t="b">
        <f>AND(IF(metadata!K197="",FALSE,TRUE),EXACT(metadata!K197,"cm"))</f>
        <v>0</v>
      </c>
      <c r="AM197" t="b">
        <f>AND(IF(metadata!L197="",FALSE,TRUE),EXACT(metadata!L197,"human"))</f>
        <v>0</v>
      </c>
      <c r="AN197" t="b">
        <f>AND(IF(metadata!M197="",FALSE,TRUE),EXACT(metadata!M197,"Homo sapiens"))</f>
        <v>0</v>
      </c>
      <c r="AO197" t="b">
        <f>AND(IF(metadata!N197="",FALSE,TRUE),EXACT(metadata!N197,"9606"))</f>
        <v>0</v>
      </c>
      <c r="AP197" t="b">
        <f>IF(metadata!O197="",FALSE,TRUE)</f>
        <v>0</v>
      </c>
      <c r="AQ197" t="b">
        <f>IF(metadata!P197="",FALSE,TRUE)</f>
        <v>0</v>
      </c>
      <c r="AR197" t="b">
        <f>IF(metadata!Q197="",FALSE,ISNUMBER(VALUE(metadata!Q197)))</f>
        <v>0</v>
      </c>
      <c r="AS197" t="b">
        <f>AND(IF(metadata!R197="",FALSE,TRUE),EXACT(metadata!R197,"kg"))</f>
        <v>0</v>
      </c>
    </row>
    <row r="198" spans="1:45" x14ac:dyDescent="0.2">
      <c r="A198" s="5" t="str">
        <f ca="1">IF(B198=" "," ",HYPERLINK(CONCATENATE("#metadata!",ADDRESS(INDEX($X$2:$X$1001,MATCH(ROWS($V$2:V198),$V$2:$V$1001,0),0),1)),INDEX($AA$2:$AA$1001,MATCH(ROWS($V$2:V198),$V$2:$V$1001,0),0)))</f>
        <v xml:space="preserve"> </v>
      </c>
      <c r="B198" s="4" t="str">
        <f ca="1">IF(OR(INDEX($W$2:$W$1001,MATCH(ROWS($V$2:V198),$V$2:$V$1001,0),1)&gt;=100000,INDEX($AC$1005:$AS$1005,1,MATCH(COLUMNS($AC$1006:AC1006),$AC$1006:$AS$1006,0))&gt;=100000), " ",IF(INDEX($AC$2:$AS$1001,MATCH(ROWS($V$2:V198),$V$2:$V$1001,0),MATCH(COLUMNS($AC$1006:AC1006),$AC$1006:$AS$1006,0)), HYPERLINK("#",""), HYPERLINK(CONCATENATE("#metadata!", ADDRESS(INDEX($X$2:$X$1001,MATCH(ROWS($V$2:V198),$V$2:$V$1001,0),0), INDEX($AC$1004:$AS$1004,1,MATCH(COLUMNS($AC$1006:AC1006),$AC$1006:$AS$1006,0)))),"Fix")))</f>
        <v xml:space="preserve"> </v>
      </c>
      <c r="C198" s="4" t="str">
        <f ca="1">IF(OR(INDEX($W$2:$W$1001,MATCH(ROWS($V$2:V198),$V$2:$V$1001,0),1)&gt;=100000,INDEX($AC$1005:$AS$1005,1,MATCH(COLUMNS($AC$1006:AD1006),$AC$1006:$AS$1006,0))&gt;=100000), " ",IF(INDEX($AC$2:$AS$1001,MATCH(ROWS($V$2:V198),$V$2:$V$1001,0),MATCH(COLUMNS($AC$1006:AD1006),$AC$1006:$AS$1006,0)), HYPERLINK("#",""), HYPERLINK(CONCATENATE("#metadata!", ADDRESS(INDEX($X$2:$X$1001,MATCH(ROWS($V$2:V198),$V$2:$V$1001,0),0), INDEX($AC$1004:$AS$1004,1,MATCH(COLUMNS($AC$1006:AD1006),$AC$1006:$AS$1006,0)))),"Fix")))</f>
        <v xml:space="preserve"> </v>
      </c>
      <c r="D198" s="4" t="str">
        <f ca="1">IF(OR(INDEX($W$2:$W$1001,MATCH(ROWS($V$2:V198),$V$2:$V$1001,0),1)&gt;=100000,INDEX($AC$1005:$AS$1005,1,MATCH(COLUMNS($AC$1006:AE1006),$AC$1006:$AS$1006,0))&gt;=100000), " ",IF(INDEX($AC$2:$AS$1001,MATCH(ROWS($V$2:V198),$V$2:$V$1001,0),MATCH(COLUMNS($AC$1006:AE1006),$AC$1006:$AS$1006,0)), HYPERLINK("#",""), HYPERLINK(CONCATENATE("#metadata!", ADDRESS(INDEX($X$2:$X$1001,MATCH(ROWS($V$2:V198),$V$2:$V$1001,0),0), INDEX($AC$1004:$AS$1004,1,MATCH(COLUMNS($AC$1006:AE1006),$AC$1006:$AS$1006,0)))),"Fix")))</f>
        <v xml:space="preserve"> </v>
      </c>
      <c r="E198" s="4" t="str">
        <f ca="1">IF(OR(INDEX($W$2:$W$1001,MATCH(ROWS($V$2:V198),$V$2:$V$1001,0),1)&gt;=100000,INDEX($AC$1005:$AS$1005,1,MATCH(COLUMNS($AC$1006:AF1006),$AC$1006:$AS$1006,0))&gt;=100000), " ",IF(INDEX($AC$2:$AS$1001,MATCH(ROWS($V$2:V198),$V$2:$V$1001,0),MATCH(COLUMNS($AC$1006:AF1006),$AC$1006:$AS$1006,0)), HYPERLINK("#",""), HYPERLINK(CONCATENATE("#metadata!", ADDRESS(INDEX($X$2:$X$1001,MATCH(ROWS($V$2:V198),$V$2:$V$1001,0),0), INDEX($AC$1004:$AS$1004,1,MATCH(COLUMNS($AC$1006:AF1006),$AC$1006:$AS$1006,0)))),"Fix")))</f>
        <v xml:space="preserve"> </v>
      </c>
      <c r="F198" s="4" t="str">
        <f ca="1">IF(OR(INDEX($W$2:$W$1001,MATCH(ROWS($V$2:V198),$V$2:$V$1001,0),1)&gt;=100000,INDEX($AC$1005:$AS$1005,1,MATCH(COLUMNS($AC$1006:AG1006),$AC$1006:$AS$1006,0))&gt;=100000), " ",IF(INDEX($AC$2:$AS$1001,MATCH(ROWS($V$2:V198),$V$2:$V$1001,0),MATCH(COLUMNS($AC$1006:AG1006),$AC$1006:$AS$1006,0)), HYPERLINK("#",""), HYPERLINK(CONCATENATE("#metadata!", ADDRESS(INDEX($X$2:$X$1001,MATCH(ROWS($V$2:V198),$V$2:$V$1001,0),0), INDEX($AC$1004:$AS$1004,1,MATCH(COLUMNS($AC$1006:AG1006),$AC$1006:$AS$1006,0)))),"Fix")))</f>
        <v xml:space="preserve"> </v>
      </c>
      <c r="G198" s="4" t="str">
        <f ca="1">IF(OR(INDEX($W$2:$W$1001,MATCH(ROWS($V$2:V198),$V$2:$V$1001,0),1)&gt;=100000,INDEX($AC$1005:$AS$1005,1,MATCH(COLUMNS($AC$1006:AH1006),$AC$1006:$AS$1006,0))&gt;=100000), " ",IF(INDEX($AC$2:$AS$1001,MATCH(ROWS($V$2:V198),$V$2:$V$1001,0),MATCH(COLUMNS($AC$1006:AH1006),$AC$1006:$AS$1006,0)), HYPERLINK("#",""), HYPERLINK(CONCATENATE("#metadata!", ADDRESS(INDEX($X$2:$X$1001,MATCH(ROWS($V$2:V198),$V$2:$V$1001,0),0), INDEX($AC$1004:$AS$1004,1,MATCH(COLUMNS($AC$1006:AH1006),$AC$1006:$AS$1006,0)))),"Fix")))</f>
        <v xml:space="preserve"> </v>
      </c>
      <c r="H198" s="4" t="str">
        <f ca="1">IF(OR(INDEX($W$2:$W$1001,MATCH(ROWS($V$2:V198),$V$2:$V$1001,0),1)&gt;=100000,INDEX($AC$1005:$AS$1005,1,MATCH(COLUMNS($AC$1006:AI1006),$AC$1006:$AS$1006,0))&gt;=100000), " ",IF(INDEX($AC$2:$AS$1001,MATCH(ROWS($V$2:V198),$V$2:$V$1001,0),MATCH(COLUMNS($AC$1006:AI1006),$AC$1006:$AS$1006,0)), HYPERLINK("#",""), HYPERLINK(CONCATENATE("#metadata!", ADDRESS(INDEX($X$2:$X$1001,MATCH(ROWS($V$2:V198),$V$2:$V$1001,0),0), INDEX($AC$1004:$AS$1004,1,MATCH(COLUMNS($AC$1006:AI1006),$AC$1006:$AS$1006,0)))),"Fix")))</f>
        <v xml:space="preserve"> </v>
      </c>
      <c r="I198" s="4" t="str">
        <f ca="1">IF(OR(INDEX($W$2:$W$1001,MATCH(ROWS($V$2:V198),$V$2:$V$1001,0),1)&gt;=100000,INDEX($AC$1005:$AS$1005,1,MATCH(COLUMNS($AC$1006:AJ1006),$AC$1006:$AS$1006,0))&gt;=100000), " ",IF(INDEX($AC$2:$AS$1001,MATCH(ROWS($V$2:V198),$V$2:$V$1001,0),MATCH(COLUMNS($AC$1006:AJ1006),$AC$1006:$AS$1006,0)), HYPERLINK("#",""), HYPERLINK(CONCATENATE("#metadata!", ADDRESS(INDEX($X$2:$X$1001,MATCH(ROWS($V$2:V198),$V$2:$V$1001,0),0), INDEX($AC$1004:$AS$1004,1,MATCH(COLUMNS($AC$1006:AJ1006),$AC$1006:$AS$1006,0)))),"Fix")))</f>
        <v xml:space="preserve"> </v>
      </c>
      <c r="J198" s="4" t="str">
        <f ca="1">IF(OR(INDEX($W$2:$W$1001,MATCH(ROWS($V$2:V198),$V$2:$V$1001,0),1)&gt;=100000,INDEX($AC$1005:$AS$1005,1,MATCH(COLUMNS($AC$1006:AK1006),$AC$1006:$AS$1006,0))&gt;=100000), " ",IF(INDEX($AC$2:$AS$1001,MATCH(ROWS($V$2:V198),$V$2:$V$1001,0),MATCH(COLUMNS($AC$1006:AK1006),$AC$1006:$AS$1006,0)), HYPERLINK("#",""), HYPERLINK(CONCATENATE("#metadata!", ADDRESS(INDEX($X$2:$X$1001,MATCH(ROWS($V$2:V198),$V$2:$V$1001,0),0), INDEX($AC$1004:$AS$1004,1,MATCH(COLUMNS($AC$1006:AK1006),$AC$1006:$AS$1006,0)))),"Fix")))</f>
        <v xml:space="preserve"> </v>
      </c>
      <c r="K198" s="4" t="str">
        <f ca="1">IF(OR(INDEX($W$2:$W$1001,MATCH(ROWS($V$2:V198),$V$2:$V$1001,0),1)&gt;=100000,INDEX($AC$1005:$AS$1005,1,MATCH(COLUMNS($AC$1006:AL1006),$AC$1006:$AS$1006,0))&gt;=100000), " ",IF(INDEX($AC$2:$AS$1001,MATCH(ROWS($V$2:V198),$V$2:$V$1001,0),MATCH(COLUMNS($AC$1006:AL1006),$AC$1006:$AS$1006,0)), HYPERLINK("#",""), HYPERLINK(CONCATENATE("#metadata!", ADDRESS(INDEX($X$2:$X$1001,MATCH(ROWS($V$2:V198),$V$2:$V$1001,0),0), INDEX($AC$1004:$AS$1004,1,MATCH(COLUMNS($AC$1006:AL1006),$AC$1006:$AS$1006,0)))),"Fix")))</f>
        <v xml:space="preserve"> </v>
      </c>
      <c r="L198" s="4" t="str">
        <f ca="1">IF(OR(INDEX($W$2:$W$1001,MATCH(ROWS($V$2:V198),$V$2:$V$1001,0),1)&gt;=100000,INDEX($AC$1005:$AS$1005,1,MATCH(COLUMNS($AC$1006:AM1006),$AC$1006:$AS$1006,0))&gt;=100000), " ",IF(INDEX($AC$2:$AS$1001,MATCH(ROWS($V$2:V198),$V$2:$V$1001,0),MATCH(COLUMNS($AC$1006:AM1006),$AC$1006:$AS$1006,0)), HYPERLINK("#",""), HYPERLINK(CONCATENATE("#metadata!", ADDRESS(INDEX($X$2:$X$1001,MATCH(ROWS($V$2:V198),$V$2:$V$1001,0),0), INDEX($AC$1004:$AS$1004,1,MATCH(COLUMNS($AC$1006:AM1006),$AC$1006:$AS$1006,0)))),"Fix")))</f>
        <v xml:space="preserve"> </v>
      </c>
      <c r="M198" s="4" t="str">
        <f ca="1">IF(OR(INDEX($W$2:$W$1001,MATCH(ROWS($V$2:V198),$V$2:$V$1001,0),1)&gt;=100000,INDEX($AC$1005:$AS$1005,1,MATCH(COLUMNS($AC$1006:AN1006),$AC$1006:$AS$1006,0))&gt;=100000), " ",IF(INDEX($AC$2:$AS$1001,MATCH(ROWS($V$2:V198),$V$2:$V$1001,0),MATCH(COLUMNS($AC$1006:AN1006),$AC$1006:$AS$1006,0)), HYPERLINK("#",""), HYPERLINK(CONCATENATE("#metadata!", ADDRESS(INDEX($X$2:$X$1001,MATCH(ROWS($V$2:V198),$V$2:$V$1001,0),0), INDEX($AC$1004:$AS$1004,1,MATCH(COLUMNS($AC$1006:AN1006),$AC$1006:$AS$1006,0)))),"Fix")))</f>
        <v xml:space="preserve"> </v>
      </c>
      <c r="N198" s="4" t="str">
        <f ca="1">IF(OR(INDEX($W$2:$W$1001,MATCH(ROWS($V$2:V198),$V$2:$V$1001,0),1)&gt;=100000,INDEX($AC$1005:$AS$1005,1,MATCH(COLUMNS($AC$1006:AO1006),$AC$1006:$AS$1006,0))&gt;=100000), " ",IF(INDEX($AC$2:$AS$1001,MATCH(ROWS($V$2:V198),$V$2:$V$1001,0),MATCH(COLUMNS($AC$1006:AO1006),$AC$1006:$AS$1006,0)), HYPERLINK("#",""), HYPERLINK(CONCATENATE("#metadata!", ADDRESS(INDEX($X$2:$X$1001,MATCH(ROWS($V$2:V198),$V$2:$V$1001,0),0), INDEX($AC$1004:$AS$1004,1,MATCH(COLUMNS($AC$1006:AO1006),$AC$1006:$AS$1006,0)))),"Fix")))</f>
        <v xml:space="preserve"> </v>
      </c>
      <c r="O198" s="4" t="str">
        <f ca="1">IF(OR(INDEX($W$2:$W$1001,MATCH(ROWS($V$2:V198),$V$2:$V$1001,0),1)&gt;=100000,INDEX($AC$1005:$AS$1005,1,MATCH(COLUMNS($AC$1006:AP1006),$AC$1006:$AS$1006,0))&gt;=100000), " ",IF(INDEX($AC$2:$AS$1001,MATCH(ROWS($V$2:V198),$V$2:$V$1001,0),MATCH(COLUMNS($AC$1006:AP1006),$AC$1006:$AS$1006,0)), HYPERLINK("#",""), HYPERLINK(CONCATENATE("#metadata!", ADDRESS(INDEX($X$2:$X$1001,MATCH(ROWS($V$2:V198),$V$2:$V$1001,0),0), INDEX($AC$1004:$AS$1004,1,MATCH(COLUMNS($AC$1006:AP1006),$AC$1006:$AS$1006,0)))),"Fix")))</f>
        <v xml:space="preserve"> </v>
      </c>
      <c r="P198" s="4" t="str">
        <f ca="1">IF(OR(INDEX($W$2:$W$1001,MATCH(ROWS($V$2:V198),$V$2:$V$1001,0),1)&gt;=100000,INDEX($AC$1005:$AS$1005,1,MATCH(COLUMNS($AC$1006:AQ1006),$AC$1006:$AS$1006,0))&gt;=100000), " ",IF(INDEX($AC$2:$AS$1001,MATCH(ROWS($V$2:V198),$V$2:$V$1001,0),MATCH(COLUMNS($AC$1006:AQ1006),$AC$1006:$AS$1006,0)), HYPERLINK("#",""), HYPERLINK(CONCATENATE("#metadata!", ADDRESS(INDEX($X$2:$X$1001,MATCH(ROWS($V$2:V198),$V$2:$V$1001,0),0), INDEX($AC$1004:$AS$1004,1,MATCH(COLUMNS($AC$1006:AQ1006),$AC$1006:$AS$1006,0)))),"Fix")))</f>
        <v xml:space="preserve"> </v>
      </c>
      <c r="Q198" s="4" t="str">
        <f ca="1">IF(OR(INDEX($W$2:$W$1001,MATCH(ROWS($V$2:V198),$V$2:$V$1001,0),1)&gt;=100000,INDEX($AC$1005:$AS$1005,1,MATCH(COLUMNS($AC$1006:AR1006),$AC$1006:$AS$1006,0))&gt;=100000), " ",IF(INDEX($AC$2:$AS$1001,MATCH(ROWS($V$2:V198),$V$2:$V$1001,0),MATCH(COLUMNS($AC$1006:AR1006),$AC$1006:$AS$1006,0)), HYPERLINK("#",""), HYPERLINK(CONCATENATE("#metadata!", ADDRESS(INDEX($X$2:$X$1001,MATCH(ROWS($V$2:V198),$V$2:$V$1001,0),0), INDEX($AC$1004:$AS$1004,1,MATCH(COLUMNS($AC$1006:AR1006),$AC$1006:$AS$1006,0)))),"Fix")))</f>
        <v xml:space="preserve"> </v>
      </c>
      <c r="R198" s="4" t="str">
        <f ca="1">IF(OR(INDEX($W$2:$W$1001,MATCH(ROWS($V$2:V198),$V$2:$V$1001,0),1)&gt;=100000,INDEX($AC$1005:$AS$1005,1,MATCH(COLUMNS($AC$1006:AS1006),$AC$1006:$AS$1006,0))&gt;=100000), " ",IF(INDEX($AC$2:$AS$1001,MATCH(ROWS($V$2:V198),$V$2:$V$1001,0),MATCH(COLUMNS($AC$1006:AS1006),$AC$1006:$AS$1006,0)), HYPERLINK("#",""), HYPERLINK(CONCATENATE("#metadata!", ADDRESS(INDEX($X$2:$X$1001,MATCH(ROWS($V$2:V198),$V$2:$V$1001,0),0), INDEX($AC$1004:$AS$1004,1,MATCH(COLUMNS($AC$1006:AS1006),$AC$1006:$AS$1006,0)))),"Fix")))</f>
        <v xml:space="preserve"> </v>
      </c>
      <c r="V198">
        <v>197</v>
      </c>
      <c r="W198">
        <v>100198</v>
      </c>
      <c r="X198">
        <v>198</v>
      </c>
      <c r="Y198" t="b">
        <f t="shared" si="3"/>
        <v>1</v>
      </c>
      <c r="Z198" t="b">
        <f>COUNTBLANK(metadata!B198:R198)=COLUMNS(metadata!B198:R198)</f>
        <v>1</v>
      </c>
      <c r="AA198" t="str">
        <v/>
      </c>
      <c r="AC198" t="b">
        <f ca="1"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AD198" t="b">
        <f>IF(metadata!C198="",FALSE,ISNUMBER(VALUE(metadata!C198)))</f>
        <v>0</v>
      </c>
      <c r="AE198" t="b">
        <f>AND(IF(metadata!D198="",FALSE,TRUE),EXACT(metadata!D198,"years"))</f>
        <v>0</v>
      </c>
      <c r="AF198" t="b">
        <f>OR(AND(IF(metadata!E198="",FALSE,TRUE),OR(EXACT(metadata!E198,"not applicable"),EXACT(metadata!E198,"missing: not collected"),EXACT(metadata!E198,"missing: not provided"),EXACT(metadata!E198,"missing: restricted access"))),AND(IF(metadata!E198="",FALSE,ISNUMBER(VALUE(metadata!E198))),metadata!E198&gt;0))</f>
        <v>0</v>
      </c>
      <c r="AG198" t="b">
        <f>AND(IF(metadata!F198="",FALSE,TRUE),EXACT(metadata!F198,"Not applicable"))</f>
        <v>0</v>
      </c>
      <c r="AH198" t="b">
        <f>AND(IF(metadata!G198="",FALSE,TRUE),EXACT(metadata!G198,"urban biome"))</f>
        <v>0</v>
      </c>
      <c r="AI198" t="b">
        <f>AND(IF(metadata!H198="",FALSE,TRUE),EXACT(metadata!H198,"human-associated habitat"))</f>
        <v>0</v>
      </c>
      <c r="AJ198" t="b">
        <f>AND(IF(metadata!I198="",FALSE,TRUE),OR(EXACT(metadata!I198,"human-associated"),EXACT(metadata!I198,"human-skin"),EXACT(metadata!I198,"human-oral"),EXACT(metadata!I198,"human-gut"),EXACT(metadata!I198,"human-vaginal")))</f>
        <v>0</v>
      </c>
      <c r="AK198" t="b">
        <f>IF(metadata!J198="",FALSE,ISNUMBER(VALUE(metadata!J198)))</f>
        <v>0</v>
      </c>
      <c r="AL198" t="b">
        <f>AND(IF(metadata!K198="",FALSE,TRUE),EXACT(metadata!K198,"cm"))</f>
        <v>0</v>
      </c>
      <c r="AM198" t="b">
        <f>AND(IF(metadata!L198="",FALSE,TRUE),EXACT(metadata!L198,"human"))</f>
        <v>0</v>
      </c>
      <c r="AN198" t="b">
        <f>AND(IF(metadata!M198="",FALSE,TRUE),EXACT(metadata!M198,"Homo sapiens"))</f>
        <v>0</v>
      </c>
      <c r="AO198" t="b">
        <f>AND(IF(metadata!N198="",FALSE,TRUE),EXACT(metadata!N198,"9606"))</f>
        <v>0</v>
      </c>
      <c r="AP198" t="b">
        <f>IF(metadata!O198="",FALSE,TRUE)</f>
        <v>0</v>
      </c>
      <c r="AQ198" t="b">
        <f>IF(metadata!P198="",FALSE,TRUE)</f>
        <v>0</v>
      </c>
      <c r="AR198" t="b">
        <f>IF(metadata!Q198="",FALSE,ISNUMBER(VALUE(metadata!Q198)))</f>
        <v>0</v>
      </c>
      <c r="AS198" t="b">
        <f>AND(IF(metadata!R198="",FALSE,TRUE),EXACT(metadata!R198,"kg"))</f>
        <v>0</v>
      </c>
    </row>
    <row r="199" spans="1:45" x14ac:dyDescent="0.2">
      <c r="A199" s="5" t="str">
        <f ca="1">IF(B199=" "," ",HYPERLINK(CONCATENATE("#metadata!",ADDRESS(INDEX($X$2:$X$1001,MATCH(ROWS($V$2:V199),$V$2:$V$1001,0),0),1)),INDEX($AA$2:$AA$1001,MATCH(ROWS($V$2:V199),$V$2:$V$1001,0),0)))</f>
        <v xml:space="preserve"> </v>
      </c>
      <c r="B199" s="4" t="str">
        <f ca="1">IF(OR(INDEX($W$2:$W$1001,MATCH(ROWS($V$2:V199),$V$2:$V$1001,0),1)&gt;=100000,INDEX($AC$1005:$AS$1005,1,MATCH(COLUMNS($AC$1006:AC1006),$AC$1006:$AS$1006,0))&gt;=100000), " ",IF(INDEX($AC$2:$AS$1001,MATCH(ROWS($V$2:V199),$V$2:$V$1001,0),MATCH(COLUMNS($AC$1006:AC1006),$AC$1006:$AS$1006,0)), HYPERLINK("#",""), HYPERLINK(CONCATENATE("#metadata!", ADDRESS(INDEX($X$2:$X$1001,MATCH(ROWS($V$2:V199),$V$2:$V$1001,0),0), INDEX($AC$1004:$AS$1004,1,MATCH(COLUMNS($AC$1006:AC1006),$AC$1006:$AS$1006,0)))),"Fix")))</f>
        <v xml:space="preserve"> </v>
      </c>
      <c r="C199" s="4" t="str">
        <f ca="1">IF(OR(INDEX($W$2:$W$1001,MATCH(ROWS($V$2:V199),$V$2:$V$1001,0),1)&gt;=100000,INDEX($AC$1005:$AS$1005,1,MATCH(COLUMNS($AC$1006:AD1006),$AC$1006:$AS$1006,0))&gt;=100000), " ",IF(INDEX($AC$2:$AS$1001,MATCH(ROWS($V$2:V199),$V$2:$V$1001,0),MATCH(COLUMNS($AC$1006:AD1006),$AC$1006:$AS$1006,0)), HYPERLINK("#",""), HYPERLINK(CONCATENATE("#metadata!", ADDRESS(INDEX($X$2:$X$1001,MATCH(ROWS($V$2:V199),$V$2:$V$1001,0),0), INDEX($AC$1004:$AS$1004,1,MATCH(COLUMNS($AC$1006:AD1006),$AC$1006:$AS$1006,0)))),"Fix")))</f>
        <v xml:space="preserve"> </v>
      </c>
      <c r="D199" s="4" t="str">
        <f ca="1">IF(OR(INDEX($W$2:$W$1001,MATCH(ROWS($V$2:V199),$V$2:$V$1001,0),1)&gt;=100000,INDEX($AC$1005:$AS$1005,1,MATCH(COLUMNS($AC$1006:AE1006),$AC$1006:$AS$1006,0))&gt;=100000), " ",IF(INDEX($AC$2:$AS$1001,MATCH(ROWS($V$2:V199),$V$2:$V$1001,0),MATCH(COLUMNS($AC$1006:AE1006),$AC$1006:$AS$1006,0)), HYPERLINK("#",""), HYPERLINK(CONCATENATE("#metadata!", ADDRESS(INDEX($X$2:$X$1001,MATCH(ROWS($V$2:V199),$V$2:$V$1001,0),0), INDEX($AC$1004:$AS$1004,1,MATCH(COLUMNS($AC$1006:AE1006),$AC$1006:$AS$1006,0)))),"Fix")))</f>
        <v xml:space="preserve"> </v>
      </c>
      <c r="E199" s="4" t="str">
        <f ca="1">IF(OR(INDEX($W$2:$W$1001,MATCH(ROWS($V$2:V199),$V$2:$V$1001,0),1)&gt;=100000,INDEX($AC$1005:$AS$1005,1,MATCH(COLUMNS($AC$1006:AF1006),$AC$1006:$AS$1006,0))&gt;=100000), " ",IF(INDEX($AC$2:$AS$1001,MATCH(ROWS($V$2:V199),$V$2:$V$1001,0),MATCH(COLUMNS($AC$1006:AF1006),$AC$1006:$AS$1006,0)), HYPERLINK("#",""), HYPERLINK(CONCATENATE("#metadata!", ADDRESS(INDEX($X$2:$X$1001,MATCH(ROWS($V$2:V199),$V$2:$V$1001,0),0), INDEX($AC$1004:$AS$1004,1,MATCH(COLUMNS($AC$1006:AF1006),$AC$1006:$AS$1006,0)))),"Fix")))</f>
        <v xml:space="preserve"> </v>
      </c>
      <c r="F199" s="4" t="str">
        <f ca="1">IF(OR(INDEX($W$2:$W$1001,MATCH(ROWS($V$2:V199),$V$2:$V$1001,0),1)&gt;=100000,INDEX($AC$1005:$AS$1005,1,MATCH(COLUMNS($AC$1006:AG1006),$AC$1006:$AS$1006,0))&gt;=100000), " ",IF(INDEX($AC$2:$AS$1001,MATCH(ROWS($V$2:V199),$V$2:$V$1001,0),MATCH(COLUMNS($AC$1006:AG1006),$AC$1006:$AS$1006,0)), HYPERLINK("#",""), HYPERLINK(CONCATENATE("#metadata!", ADDRESS(INDEX($X$2:$X$1001,MATCH(ROWS($V$2:V199),$V$2:$V$1001,0),0), INDEX($AC$1004:$AS$1004,1,MATCH(COLUMNS($AC$1006:AG1006),$AC$1006:$AS$1006,0)))),"Fix")))</f>
        <v xml:space="preserve"> </v>
      </c>
      <c r="G199" s="4" t="str">
        <f ca="1">IF(OR(INDEX($W$2:$W$1001,MATCH(ROWS($V$2:V199),$V$2:$V$1001,0),1)&gt;=100000,INDEX($AC$1005:$AS$1005,1,MATCH(COLUMNS($AC$1006:AH1006),$AC$1006:$AS$1006,0))&gt;=100000), " ",IF(INDEX($AC$2:$AS$1001,MATCH(ROWS($V$2:V199),$V$2:$V$1001,0),MATCH(COLUMNS($AC$1006:AH1006),$AC$1006:$AS$1006,0)), HYPERLINK("#",""), HYPERLINK(CONCATENATE("#metadata!", ADDRESS(INDEX($X$2:$X$1001,MATCH(ROWS($V$2:V199),$V$2:$V$1001,0),0), INDEX($AC$1004:$AS$1004,1,MATCH(COLUMNS($AC$1006:AH1006),$AC$1006:$AS$1006,0)))),"Fix")))</f>
        <v xml:space="preserve"> </v>
      </c>
      <c r="H199" s="4" t="str">
        <f ca="1">IF(OR(INDEX($W$2:$W$1001,MATCH(ROWS($V$2:V199),$V$2:$V$1001,0),1)&gt;=100000,INDEX($AC$1005:$AS$1005,1,MATCH(COLUMNS($AC$1006:AI1006),$AC$1006:$AS$1006,0))&gt;=100000), " ",IF(INDEX($AC$2:$AS$1001,MATCH(ROWS($V$2:V199),$V$2:$V$1001,0),MATCH(COLUMNS($AC$1006:AI1006),$AC$1006:$AS$1006,0)), HYPERLINK("#",""), HYPERLINK(CONCATENATE("#metadata!", ADDRESS(INDEX($X$2:$X$1001,MATCH(ROWS($V$2:V199),$V$2:$V$1001,0),0), INDEX($AC$1004:$AS$1004,1,MATCH(COLUMNS($AC$1006:AI1006),$AC$1006:$AS$1006,0)))),"Fix")))</f>
        <v xml:space="preserve"> </v>
      </c>
      <c r="I199" s="4" t="str">
        <f ca="1">IF(OR(INDEX($W$2:$W$1001,MATCH(ROWS($V$2:V199),$V$2:$V$1001,0),1)&gt;=100000,INDEX($AC$1005:$AS$1005,1,MATCH(COLUMNS($AC$1006:AJ1006),$AC$1006:$AS$1006,0))&gt;=100000), " ",IF(INDEX($AC$2:$AS$1001,MATCH(ROWS($V$2:V199),$V$2:$V$1001,0),MATCH(COLUMNS($AC$1006:AJ1006),$AC$1006:$AS$1006,0)), HYPERLINK("#",""), HYPERLINK(CONCATENATE("#metadata!", ADDRESS(INDEX($X$2:$X$1001,MATCH(ROWS($V$2:V199),$V$2:$V$1001,0),0), INDEX($AC$1004:$AS$1004,1,MATCH(COLUMNS($AC$1006:AJ1006),$AC$1006:$AS$1006,0)))),"Fix")))</f>
        <v xml:space="preserve"> </v>
      </c>
      <c r="J199" s="4" t="str">
        <f ca="1">IF(OR(INDEX($W$2:$W$1001,MATCH(ROWS($V$2:V199),$V$2:$V$1001,0),1)&gt;=100000,INDEX($AC$1005:$AS$1005,1,MATCH(COLUMNS($AC$1006:AK1006),$AC$1006:$AS$1006,0))&gt;=100000), " ",IF(INDEX($AC$2:$AS$1001,MATCH(ROWS($V$2:V199),$V$2:$V$1001,0),MATCH(COLUMNS($AC$1006:AK1006),$AC$1006:$AS$1006,0)), HYPERLINK("#",""), HYPERLINK(CONCATENATE("#metadata!", ADDRESS(INDEX($X$2:$X$1001,MATCH(ROWS($V$2:V199),$V$2:$V$1001,0),0), INDEX($AC$1004:$AS$1004,1,MATCH(COLUMNS($AC$1006:AK1006),$AC$1006:$AS$1006,0)))),"Fix")))</f>
        <v xml:space="preserve"> </v>
      </c>
      <c r="K199" s="4" t="str">
        <f ca="1">IF(OR(INDEX($W$2:$W$1001,MATCH(ROWS($V$2:V199),$V$2:$V$1001,0),1)&gt;=100000,INDEX($AC$1005:$AS$1005,1,MATCH(COLUMNS($AC$1006:AL1006),$AC$1006:$AS$1006,0))&gt;=100000), " ",IF(INDEX($AC$2:$AS$1001,MATCH(ROWS($V$2:V199),$V$2:$V$1001,0),MATCH(COLUMNS($AC$1006:AL1006),$AC$1006:$AS$1006,0)), HYPERLINK("#",""), HYPERLINK(CONCATENATE("#metadata!", ADDRESS(INDEX($X$2:$X$1001,MATCH(ROWS($V$2:V199),$V$2:$V$1001,0),0), INDEX($AC$1004:$AS$1004,1,MATCH(COLUMNS($AC$1006:AL1006),$AC$1006:$AS$1006,0)))),"Fix")))</f>
        <v xml:space="preserve"> </v>
      </c>
      <c r="L199" s="4" t="str">
        <f ca="1">IF(OR(INDEX($W$2:$W$1001,MATCH(ROWS($V$2:V199),$V$2:$V$1001,0),1)&gt;=100000,INDEX($AC$1005:$AS$1005,1,MATCH(COLUMNS($AC$1006:AM1006),$AC$1006:$AS$1006,0))&gt;=100000), " ",IF(INDEX($AC$2:$AS$1001,MATCH(ROWS($V$2:V199),$V$2:$V$1001,0),MATCH(COLUMNS($AC$1006:AM1006),$AC$1006:$AS$1006,0)), HYPERLINK("#",""), HYPERLINK(CONCATENATE("#metadata!", ADDRESS(INDEX($X$2:$X$1001,MATCH(ROWS($V$2:V199),$V$2:$V$1001,0),0), INDEX($AC$1004:$AS$1004,1,MATCH(COLUMNS($AC$1006:AM1006),$AC$1006:$AS$1006,0)))),"Fix")))</f>
        <v xml:space="preserve"> </v>
      </c>
      <c r="M199" s="4" t="str">
        <f ca="1">IF(OR(INDEX($W$2:$W$1001,MATCH(ROWS($V$2:V199),$V$2:$V$1001,0),1)&gt;=100000,INDEX($AC$1005:$AS$1005,1,MATCH(COLUMNS($AC$1006:AN1006),$AC$1006:$AS$1006,0))&gt;=100000), " ",IF(INDEX($AC$2:$AS$1001,MATCH(ROWS($V$2:V199),$V$2:$V$1001,0),MATCH(COLUMNS($AC$1006:AN1006),$AC$1006:$AS$1006,0)), HYPERLINK("#",""), HYPERLINK(CONCATENATE("#metadata!", ADDRESS(INDEX($X$2:$X$1001,MATCH(ROWS($V$2:V199),$V$2:$V$1001,0),0), INDEX($AC$1004:$AS$1004,1,MATCH(COLUMNS($AC$1006:AN1006),$AC$1006:$AS$1006,0)))),"Fix")))</f>
        <v xml:space="preserve"> </v>
      </c>
      <c r="N199" s="4" t="str">
        <f ca="1">IF(OR(INDEX($W$2:$W$1001,MATCH(ROWS($V$2:V199),$V$2:$V$1001,0),1)&gt;=100000,INDEX($AC$1005:$AS$1005,1,MATCH(COLUMNS($AC$1006:AO1006),$AC$1006:$AS$1006,0))&gt;=100000), " ",IF(INDEX($AC$2:$AS$1001,MATCH(ROWS($V$2:V199),$V$2:$V$1001,0),MATCH(COLUMNS($AC$1006:AO1006),$AC$1006:$AS$1006,0)), HYPERLINK("#",""), HYPERLINK(CONCATENATE("#metadata!", ADDRESS(INDEX($X$2:$X$1001,MATCH(ROWS($V$2:V199),$V$2:$V$1001,0),0), INDEX($AC$1004:$AS$1004,1,MATCH(COLUMNS($AC$1006:AO1006),$AC$1006:$AS$1006,0)))),"Fix")))</f>
        <v xml:space="preserve"> </v>
      </c>
      <c r="O199" s="4" t="str">
        <f ca="1">IF(OR(INDEX($W$2:$W$1001,MATCH(ROWS($V$2:V199),$V$2:$V$1001,0),1)&gt;=100000,INDEX($AC$1005:$AS$1005,1,MATCH(COLUMNS($AC$1006:AP1006),$AC$1006:$AS$1006,0))&gt;=100000), " ",IF(INDEX($AC$2:$AS$1001,MATCH(ROWS($V$2:V199),$V$2:$V$1001,0),MATCH(COLUMNS($AC$1006:AP1006),$AC$1006:$AS$1006,0)), HYPERLINK("#",""), HYPERLINK(CONCATENATE("#metadata!", ADDRESS(INDEX($X$2:$X$1001,MATCH(ROWS($V$2:V199),$V$2:$V$1001,0),0), INDEX($AC$1004:$AS$1004,1,MATCH(COLUMNS($AC$1006:AP1006),$AC$1006:$AS$1006,0)))),"Fix")))</f>
        <v xml:space="preserve"> </v>
      </c>
      <c r="P199" s="4" t="str">
        <f ca="1">IF(OR(INDEX($W$2:$W$1001,MATCH(ROWS($V$2:V199),$V$2:$V$1001,0),1)&gt;=100000,INDEX($AC$1005:$AS$1005,1,MATCH(COLUMNS($AC$1006:AQ1006),$AC$1006:$AS$1006,0))&gt;=100000), " ",IF(INDEX($AC$2:$AS$1001,MATCH(ROWS($V$2:V199),$V$2:$V$1001,0),MATCH(COLUMNS($AC$1006:AQ1006),$AC$1006:$AS$1006,0)), HYPERLINK("#",""), HYPERLINK(CONCATENATE("#metadata!", ADDRESS(INDEX($X$2:$X$1001,MATCH(ROWS($V$2:V199),$V$2:$V$1001,0),0), INDEX($AC$1004:$AS$1004,1,MATCH(COLUMNS($AC$1006:AQ1006),$AC$1006:$AS$1006,0)))),"Fix")))</f>
        <v xml:space="preserve"> </v>
      </c>
      <c r="Q199" s="4" t="str">
        <f ca="1">IF(OR(INDEX($W$2:$W$1001,MATCH(ROWS($V$2:V199),$V$2:$V$1001,0),1)&gt;=100000,INDEX($AC$1005:$AS$1005,1,MATCH(COLUMNS($AC$1006:AR1006),$AC$1006:$AS$1006,0))&gt;=100000), " ",IF(INDEX($AC$2:$AS$1001,MATCH(ROWS($V$2:V199),$V$2:$V$1001,0),MATCH(COLUMNS($AC$1006:AR1006),$AC$1006:$AS$1006,0)), HYPERLINK("#",""), HYPERLINK(CONCATENATE("#metadata!", ADDRESS(INDEX($X$2:$X$1001,MATCH(ROWS($V$2:V199),$V$2:$V$1001,0),0), INDEX($AC$1004:$AS$1004,1,MATCH(COLUMNS($AC$1006:AR1006),$AC$1006:$AS$1006,0)))),"Fix")))</f>
        <v xml:space="preserve"> </v>
      </c>
      <c r="R199" s="4" t="str">
        <f ca="1">IF(OR(INDEX($W$2:$W$1001,MATCH(ROWS($V$2:V199),$V$2:$V$1001,0),1)&gt;=100000,INDEX($AC$1005:$AS$1005,1,MATCH(COLUMNS($AC$1006:AS1006),$AC$1006:$AS$1006,0))&gt;=100000), " ",IF(INDEX($AC$2:$AS$1001,MATCH(ROWS($V$2:V199),$V$2:$V$1001,0),MATCH(COLUMNS($AC$1006:AS1006),$AC$1006:$AS$1006,0)), HYPERLINK("#",""), HYPERLINK(CONCATENATE("#metadata!", ADDRESS(INDEX($X$2:$X$1001,MATCH(ROWS($V$2:V199),$V$2:$V$1001,0),0), INDEX($AC$1004:$AS$1004,1,MATCH(COLUMNS($AC$1006:AS1006),$AC$1006:$AS$1006,0)))),"Fix")))</f>
        <v xml:space="preserve"> </v>
      </c>
      <c r="V199">
        <v>198</v>
      </c>
      <c r="W199">
        <v>100199</v>
      </c>
      <c r="X199">
        <v>199</v>
      </c>
      <c r="Y199" t="b">
        <f t="shared" si="3"/>
        <v>1</v>
      </c>
      <c r="Z199" t="b">
        <f>COUNTBLANK(metadata!B199:R199)=COLUMNS(metadata!B199:R199)</f>
        <v>1</v>
      </c>
      <c r="AA199" t="str">
        <v/>
      </c>
      <c r="AC199" t="b">
        <f ca="1"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AD199" t="b">
        <f>IF(metadata!C199="",FALSE,ISNUMBER(VALUE(metadata!C199)))</f>
        <v>0</v>
      </c>
      <c r="AE199" t="b">
        <f>AND(IF(metadata!D199="",FALSE,TRUE),EXACT(metadata!D199,"years"))</f>
        <v>0</v>
      </c>
      <c r="AF199" t="b">
        <f>OR(AND(IF(metadata!E199="",FALSE,TRUE),OR(EXACT(metadata!E199,"not applicable"),EXACT(metadata!E199,"missing: not collected"),EXACT(metadata!E199,"missing: not provided"),EXACT(metadata!E199,"missing: restricted access"))),AND(IF(metadata!E199="",FALSE,ISNUMBER(VALUE(metadata!E199))),metadata!E199&gt;0))</f>
        <v>0</v>
      </c>
      <c r="AG199" t="b">
        <f>AND(IF(metadata!F199="",FALSE,TRUE),EXACT(metadata!F199,"Not applicable"))</f>
        <v>0</v>
      </c>
      <c r="AH199" t="b">
        <f>AND(IF(metadata!G199="",FALSE,TRUE),EXACT(metadata!G199,"urban biome"))</f>
        <v>0</v>
      </c>
      <c r="AI199" t="b">
        <f>AND(IF(metadata!H199="",FALSE,TRUE),EXACT(metadata!H199,"human-associated habitat"))</f>
        <v>0</v>
      </c>
      <c r="AJ199" t="b">
        <f>AND(IF(metadata!I199="",FALSE,TRUE),OR(EXACT(metadata!I199,"human-associated"),EXACT(metadata!I199,"human-skin"),EXACT(metadata!I199,"human-oral"),EXACT(metadata!I199,"human-gut"),EXACT(metadata!I199,"human-vaginal")))</f>
        <v>0</v>
      </c>
      <c r="AK199" t="b">
        <f>IF(metadata!J199="",FALSE,ISNUMBER(VALUE(metadata!J199)))</f>
        <v>0</v>
      </c>
      <c r="AL199" t="b">
        <f>AND(IF(metadata!K199="",FALSE,TRUE),EXACT(metadata!K199,"cm"))</f>
        <v>0</v>
      </c>
      <c r="AM199" t="b">
        <f>AND(IF(metadata!L199="",FALSE,TRUE),EXACT(metadata!L199,"human"))</f>
        <v>0</v>
      </c>
      <c r="AN199" t="b">
        <f>AND(IF(metadata!M199="",FALSE,TRUE),EXACT(metadata!M199,"Homo sapiens"))</f>
        <v>0</v>
      </c>
      <c r="AO199" t="b">
        <f>AND(IF(metadata!N199="",FALSE,TRUE),EXACT(metadata!N199,"9606"))</f>
        <v>0</v>
      </c>
      <c r="AP199" t="b">
        <f>IF(metadata!O199="",FALSE,TRUE)</f>
        <v>0</v>
      </c>
      <c r="AQ199" t="b">
        <f>IF(metadata!P199="",FALSE,TRUE)</f>
        <v>0</v>
      </c>
      <c r="AR199" t="b">
        <f>IF(metadata!Q199="",FALSE,ISNUMBER(VALUE(metadata!Q199)))</f>
        <v>0</v>
      </c>
      <c r="AS199" t="b">
        <f>AND(IF(metadata!R199="",FALSE,TRUE),EXACT(metadata!R199,"kg"))</f>
        <v>0</v>
      </c>
    </row>
    <row r="200" spans="1:45" x14ac:dyDescent="0.2">
      <c r="A200" s="5" t="str">
        <f ca="1">IF(B200=" "," ",HYPERLINK(CONCATENATE("#metadata!",ADDRESS(INDEX($X$2:$X$1001,MATCH(ROWS($V$2:V200),$V$2:$V$1001,0),0),1)),INDEX($AA$2:$AA$1001,MATCH(ROWS($V$2:V200),$V$2:$V$1001,0),0)))</f>
        <v xml:space="preserve"> </v>
      </c>
      <c r="B200" s="4" t="str">
        <f ca="1">IF(OR(INDEX($W$2:$W$1001,MATCH(ROWS($V$2:V200),$V$2:$V$1001,0),1)&gt;=100000,INDEX($AC$1005:$AS$1005,1,MATCH(COLUMNS($AC$1006:AC1006),$AC$1006:$AS$1006,0))&gt;=100000), " ",IF(INDEX($AC$2:$AS$1001,MATCH(ROWS($V$2:V200),$V$2:$V$1001,0),MATCH(COLUMNS($AC$1006:AC1006),$AC$1006:$AS$1006,0)), HYPERLINK("#",""), HYPERLINK(CONCATENATE("#metadata!", ADDRESS(INDEX($X$2:$X$1001,MATCH(ROWS($V$2:V200),$V$2:$V$1001,0),0), INDEX($AC$1004:$AS$1004,1,MATCH(COLUMNS($AC$1006:AC1006),$AC$1006:$AS$1006,0)))),"Fix")))</f>
        <v xml:space="preserve"> </v>
      </c>
      <c r="C200" s="4" t="str">
        <f ca="1">IF(OR(INDEX($W$2:$W$1001,MATCH(ROWS($V$2:V200),$V$2:$V$1001,0),1)&gt;=100000,INDEX($AC$1005:$AS$1005,1,MATCH(COLUMNS($AC$1006:AD1006),$AC$1006:$AS$1006,0))&gt;=100000), " ",IF(INDEX($AC$2:$AS$1001,MATCH(ROWS($V$2:V200),$V$2:$V$1001,0),MATCH(COLUMNS($AC$1006:AD1006),$AC$1006:$AS$1006,0)), HYPERLINK("#",""), HYPERLINK(CONCATENATE("#metadata!", ADDRESS(INDEX($X$2:$X$1001,MATCH(ROWS($V$2:V200),$V$2:$V$1001,0),0), INDEX($AC$1004:$AS$1004,1,MATCH(COLUMNS($AC$1006:AD1006),$AC$1006:$AS$1006,0)))),"Fix")))</f>
        <v xml:space="preserve"> </v>
      </c>
      <c r="D200" s="4" t="str">
        <f ca="1">IF(OR(INDEX($W$2:$W$1001,MATCH(ROWS($V$2:V200),$V$2:$V$1001,0),1)&gt;=100000,INDEX($AC$1005:$AS$1005,1,MATCH(COLUMNS($AC$1006:AE1006),$AC$1006:$AS$1006,0))&gt;=100000), " ",IF(INDEX($AC$2:$AS$1001,MATCH(ROWS($V$2:V200),$V$2:$V$1001,0),MATCH(COLUMNS($AC$1006:AE1006),$AC$1006:$AS$1006,0)), HYPERLINK("#",""), HYPERLINK(CONCATENATE("#metadata!", ADDRESS(INDEX($X$2:$X$1001,MATCH(ROWS($V$2:V200),$V$2:$V$1001,0),0), INDEX($AC$1004:$AS$1004,1,MATCH(COLUMNS($AC$1006:AE1006),$AC$1006:$AS$1006,0)))),"Fix")))</f>
        <v xml:space="preserve"> </v>
      </c>
      <c r="E200" s="4" t="str">
        <f ca="1">IF(OR(INDEX($W$2:$W$1001,MATCH(ROWS($V$2:V200),$V$2:$V$1001,0),1)&gt;=100000,INDEX($AC$1005:$AS$1005,1,MATCH(COLUMNS($AC$1006:AF1006),$AC$1006:$AS$1006,0))&gt;=100000), " ",IF(INDEX($AC$2:$AS$1001,MATCH(ROWS($V$2:V200),$V$2:$V$1001,0),MATCH(COLUMNS($AC$1006:AF1006),$AC$1006:$AS$1006,0)), HYPERLINK("#",""), HYPERLINK(CONCATENATE("#metadata!", ADDRESS(INDEX($X$2:$X$1001,MATCH(ROWS($V$2:V200),$V$2:$V$1001,0),0), INDEX($AC$1004:$AS$1004,1,MATCH(COLUMNS($AC$1006:AF1006),$AC$1006:$AS$1006,0)))),"Fix")))</f>
        <v xml:space="preserve"> </v>
      </c>
      <c r="F200" s="4" t="str">
        <f ca="1">IF(OR(INDEX($W$2:$W$1001,MATCH(ROWS($V$2:V200),$V$2:$V$1001,0),1)&gt;=100000,INDEX($AC$1005:$AS$1005,1,MATCH(COLUMNS($AC$1006:AG1006),$AC$1006:$AS$1006,0))&gt;=100000), " ",IF(INDEX($AC$2:$AS$1001,MATCH(ROWS($V$2:V200),$V$2:$V$1001,0),MATCH(COLUMNS($AC$1006:AG1006),$AC$1006:$AS$1006,0)), HYPERLINK("#",""), HYPERLINK(CONCATENATE("#metadata!", ADDRESS(INDEX($X$2:$X$1001,MATCH(ROWS($V$2:V200),$V$2:$V$1001,0),0), INDEX($AC$1004:$AS$1004,1,MATCH(COLUMNS($AC$1006:AG1006),$AC$1006:$AS$1006,0)))),"Fix")))</f>
        <v xml:space="preserve"> </v>
      </c>
      <c r="G200" s="4" t="str">
        <f ca="1">IF(OR(INDEX($W$2:$W$1001,MATCH(ROWS($V$2:V200),$V$2:$V$1001,0),1)&gt;=100000,INDEX($AC$1005:$AS$1005,1,MATCH(COLUMNS($AC$1006:AH1006),$AC$1006:$AS$1006,0))&gt;=100000), " ",IF(INDEX($AC$2:$AS$1001,MATCH(ROWS($V$2:V200),$V$2:$V$1001,0),MATCH(COLUMNS($AC$1006:AH1006),$AC$1006:$AS$1006,0)), HYPERLINK("#",""), HYPERLINK(CONCATENATE("#metadata!", ADDRESS(INDEX($X$2:$X$1001,MATCH(ROWS($V$2:V200),$V$2:$V$1001,0),0), INDEX($AC$1004:$AS$1004,1,MATCH(COLUMNS($AC$1006:AH1006),$AC$1006:$AS$1006,0)))),"Fix")))</f>
        <v xml:space="preserve"> </v>
      </c>
      <c r="H200" s="4" t="str">
        <f ca="1">IF(OR(INDEX($W$2:$W$1001,MATCH(ROWS($V$2:V200),$V$2:$V$1001,0),1)&gt;=100000,INDEX($AC$1005:$AS$1005,1,MATCH(COLUMNS($AC$1006:AI1006),$AC$1006:$AS$1006,0))&gt;=100000), " ",IF(INDEX($AC$2:$AS$1001,MATCH(ROWS($V$2:V200),$V$2:$V$1001,0),MATCH(COLUMNS($AC$1006:AI1006),$AC$1006:$AS$1006,0)), HYPERLINK("#",""), HYPERLINK(CONCATENATE("#metadata!", ADDRESS(INDEX($X$2:$X$1001,MATCH(ROWS($V$2:V200),$V$2:$V$1001,0),0), INDEX($AC$1004:$AS$1004,1,MATCH(COLUMNS($AC$1006:AI1006),$AC$1006:$AS$1006,0)))),"Fix")))</f>
        <v xml:space="preserve"> </v>
      </c>
      <c r="I200" s="4" t="str">
        <f ca="1">IF(OR(INDEX($W$2:$W$1001,MATCH(ROWS($V$2:V200),$V$2:$V$1001,0),1)&gt;=100000,INDEX($AC$1005:$AS$1005,1,MATCH(COLUMNS($AC$1006:AJ1006),$AC$1006:$AS$1006,0))&gt;=100000), " ",IF(INDEX($AC$2:$AS$1001,MATCH(ROWS($V$2:V200),$V$2:$V$1001,0),MATCH(COLUMNS($AC$1006:AJ1006),$AC$1006:$AS$1006,0)), HYPERLINK("#",""), HYPERLINK(CONCATENATE("#metadata!", ADDRESS(INDEX($X$2:$X$1001,MATCH(ROWS($V$2:V200),$V$2:$V$1001,0),0), INDEX($AC$1004:$AS$1004,1,MATCH(COLUMNS($AC$1006:AJ1006),$AC$1006:$AS$1006,0)))),"Fix")))</f>
        <v xml:space="preserve"> </v>
      </c>
      <c r="J200" s="4" t="str">
        <f ca="1">IF(OR(INDEX($W$2:$W$1001,MATCH(ROWS($V$2:V200),$V$2:$V$1001,0),1)&gt;=100000,INDEX($AC$1005:$AS$1005,1,MATCH(COLUMNS($AC$1006:AK1006),$AC$1006:$AS$1006,0))&gt;=100000), " ",IF(INDEX($AC$2:$AS$1001,MATCH(ROWS($V$2:V200),$V$2:$V$1001,0),MATCH(COLUMNS($AC$1006:AK1006),$AC$1006:$AS$1006,0)), HYPERLINK("#",""), HYPERLINK(CONCATENATE("#metadata!", ADDRESS(INDEX($X$2:$X$1001,MATCH(ROWS($V$2:V200),$V$2:$V$1001,0),0), INDEX($AC$1004:$AS$1004,1,MATCH(COLUMNS($AC$1006:AK1006),$AC$1006:$AS$1006,0)))),"Fix")))</f>
        <v xml:space="preserve"> </v>
      </c>
      <c r="K200" s="4" t="str">
        <f ca="1">IF(OR(INDEX($W$2:$W$1001,MATCH(ROWS($V$2:V200),$V$2:$V$1001,0),1)&gt;=100000,INDEX($AC$1005:$AS$1005,1,MATCH(COLUMNS($AC$1006:AL1006),$AC$1006:$AS$1006,0))&gt;=100000), " ",IF(INDEX($AC$2:$AS$1001,MATCH(ROWS($V$2:V200),$V$2:$V$1001,0),MATCH(COLUMNS($AC$1006:AL1006),$AC$1006:$AS$1006,0)), HYPERLINK("#",""), HYPERLINK(CONCATENATE("#metadata!", ADDRESS(INDEX($X$2:$X$1001,MATCH(ROWS($V$2:V200),$V$2:$V$1001,0),0), INDEX($AC$1004:$AS$1004,1,MATCH(COLUMNS($AC$1006:AL1006),$AC$1006:$AS$1006,0)))),"Fix")))</f>
        <v xml:space="preserve"> </v>
      </c>
      <c r="L200" s="4" t="str">
        <f ca="1">IF(OR(INDEX($W$2:$W$1001,MATCH(ROWS($V$2:V200),$V$2:$V$1001,0),1)&gt;=100000,INDEX($AC$1005:$AS$1005,1,MATCH(COLUMNS($AC$1006:AM1006),$AC$1006:$AS$1006,0))&gt;=100000), " ",IF(INDEX($AC$2:$AS$1001,MATCH(ROWS($V$2:V200),$V$2:$V$1001,0),MATCH(COLUMNS($AC$1006:AM1006),$AC$1006:$AS$1006,0)), HYPERLINK("#",""), HYPERLINK(CONCATENATE("#metadata!", ADDRESS(INDEX($X$2:$X$1001,MATCH(ROWS($V$2:V200),$V$2:$V$1001,0),0), INDEX($AC$1004:$AS$1004,1,MATCH(COLUMNS($AC$1006:AM1006),$AC$1006:$AS$1006,0)))),"Fix")))</f>
        <v xml:space="preserve"> </v>
      </c>
      <c r="M200" s="4" t="str">
        <f ca="1">IF(OR(INDEX($W$2:$W$1001,MATCH(ROWS($V$2:V200),$V$2:$V$1001,0),1)&gt;=100000,INDEX($AC$1005:$AS$1005,1,MATCH(COLUMNS($AC$1006:AN1006),$AC$1006:$AS$1006,0))&gt;=100000), " ",IF(INDEX($AC$2:$AS$1001,MATCH(ROWS($V$2:V200),$V$2:$V$1001,0),MATCH(COLUMNS($AC$1006:AN1006),$AC$1006:$AS$1006,0)), HYPERLINK("#",""), HYPERLINK(CONCATENATE("#metadata!", ADDRESS(INDEX($X$2:$X$1001,MATCH(ROWS($V$2:V200),$V$2:$V$1001,0),0), INDEX($AC$1004:$AS$1004,1,MATCH(COLUMNS($AC$1006:AN1006),$AC$1006:$AS$1006,0)))),"Fix")))</f>
        <v xml:space="preserve"> </v>
      </c>
      <c r="N200" s="4" t="str">
        <f ca="1">IF(OR(INDEX($W$2:$W$1001,MATCH(ROWS($V$2:V200),$V$2:$V$1001,0),1)&gt;=100000,INDEX($AC$1005:$AS$1005,1,MATCH(COLUMNS($AC$1006:AO1006),$AC$1006:$AS$1006,0))&gt;=100000), " ",IF(INDEX($AC$2:$AS$1001,MATCH(ROWS($V$2:V200),$V$2:$V$1001,0),MATCH(COLUMNS($AC$1006:AO1006),$AC$1006:$AS$1006,0)), HYPERLINK("#",""), HYPERLINK(CONCATENATE("#metadata!", ADDRESS(INDEX($X$2:$X$1001,MATCH(ROWS($V$2:V200),$V$2:$V$1001,0),0), INDEX($AC$1004:$AS$1004,1,MATCH(COLUMNS($AC$1006:AO1006),$AC$1006:$AS$1006,0)))),"Fix")))</f>
        <v xml:space="preserve"> </v>
      </c>
      <c r="O200" s="4" t="str">
        <f ca="1">IF(OR(INDEX($W$2:$W$1001,MATCH(ROWS($V$2:V200),$V$2:$V$1001,0),1)&gt;=100000,INDEX($AC$1005:$AS$1005,1,MATCH(COLUMNS($AC$1006:AP1006),$AC$1006:$AS$1006,0))&gt;=100000), " ",IF(INDEX($AC$2:$AS$1001,MATCH(ROWS($V$2:V200),$V$2:$V$1001,0),MATCH(COLUMNS($AC$1006:AP1006),$AC$1006:$AS$1006,0)), HYPERLINK("#",""), HYPERLINK(CONCATENATE("#metadata!", ADDRESS(INDEX($X$2:$X$1001,MATCH(ROWS($V$2:V200),$V$2:$V$1001,0),0), INDEX($AC$1004:$AS$1004,1,MATCH(COLUMNS($AC$1006:AP1006),$AC$1006:$AS$1006,0)))),"Fix")))</f>
        <v xml:space="preserve"> </v>
      </c>
      <c r="P200" s="4" t="str">
        <f ca="1">IF(OR(INDEX($W$2:$W$1001,MATCH(ROWS($V$2:V200),$V$2:$V$1001,0),1)&gt;=100000,INDEX($AC$1005:$AS$1005,1,MATCH(COLUMNS($AC$1006:AQ1006),$AC$1006:$AS$1006,0))&gt;=100000), " ",IF(INDEX($AC$2:$AS$1001,MATCH(ROWS($V$2:V200),$V$2:$V$1001,0),MATCH(COLUMNS($AC$1006:AQ1006),$AC$1006:$AS$1006,0)), HYPERLINK("#",""), HYPERLINK(CONCATENATE("#metadata!", ADDRESS(INDEX($X$2:$X$1001,MATCH(ROWS($V$2:V200),$V$2:$V$1001,0),0), INDEX($AC$1004:$AS$1004,1,MATCH(COLUMNS($AC$1006:AQ1006),$AC$1006:$AS$1006,0)))),"Fix")))</f>
        <v xml:space="preserve"> </v>
      </c>
      <c r="Q200" s="4" t="str">
        <f ca="1">IF(OR(INDEX($W$2:$W$1001,MATCH(ROWS($V$2:V200),$V$2:$V$1001,0),1)&gt;=100000,INDEX($AC$1005:$AS$1005,1,MATCH(COLUMNS($AC$1006:AR1006),$AC$1006:$AS$1006,0))&gt;=100000), " ",IF(INDEX($AC$2:$AS$1001,MATCH(ROWS($V$2:V200),$V$2:$V$1001,0),MATCH(COLUMNS($AC$1006:AR1006),$AC$1006:$AS$1006,0)), HYPERLINK("#",""), HYPERLINK(CONCATENATE("#metadata!", ADDRESS(INDEX($X$2:$X$1001,MATCH(ROWS($V$2:V200),$V$2:$V$1001,0),0), INDEX($AC$1004:$AS$1004,1,MATCH(COLUMNS($AC$1006:AR1006),$AC$1006:$AS$1006,0)))),"Fix")))</f>
        <v xml:space="preserve"> </v>
      </c>
      <c r="R200" s="4" t="str">
        <f ca="1">IF(OR(INDEX($W$2:$W$1001,MATCH(ROWS($V$2:V200),$V$2:$V$1001,0),1)&gt;=100000,INDEX($AC$1005:$AS$1005,1,MATCH(COLUMNS($AC$1006:AS1006),$AC$1006:$AS$1006,0))&gt;=100000), " ",IF(INDEX($AC$2:$AS$1001,MATCH(ROWS($V$2:V200),$V$2:$V$1001,0),MATCH(COLUMNS($AC$1006:AS1006),$AC$1006:$AS$1006,0)), HYPERLINK("#",""), HYPERLINK(CONCATENATE("#metadata!", ADDRESS(INDEX($X$2:$X$1001,MATCH(ROWS($V$2:V200),$V$2:$V$1001,0),0), INDEX($AC$1004:$AS$1004,1,MATCH(COLUMNS($AC$1006:AS1006),$AC$1006:$AS$1006,0)))),"Fix")))</f>
        <v xml:space="preserve"> </v>
      </c>
      <c r="V200">
        <v>199</v>
      </c>
      <c r="W200">
        <v>100200</v>
      </c>
      <c r="X200">
        <v>200</v>
      </c>
      <c r="Y200" t="b">
        <f t="shared" si="3"/>
        <v>1</v>
      </c>
      <c r="Z200" t="b">
        <f>COUNTBLANK(metadata!B200:R200)=COLUMNS(metadata!B200:R200)</f>
        <v>1</v>
      </c>
      <c r="AA200" t="str">
        <v/>
      </c>
      <c r="AC200" t="b">
        <f ca="1"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AD200" t="b">
        <f>IF(metadata!C200="",FALSE,ISNUMBER(VALUE(metadata!C200)))</f>
        <v>0</v>
      </c>
      <c r="AE200" t="b">
        <f>AND(IF(metadata!D200="",FALSE,TRUE),EXACT(metadata!D200,"years"))</f>
        <v>0</v>
      </c>
      <c r="AF200" t="b">
        <f>OR(AND(IF(metadata!E200="",FALSE,TRUE),OR(EXACT(metadata!E200,"not applicable"),EXACT(metadata!E200,"missing: not collected"),EXACT(metadata!E200,"missing: not provided"),EXACT(metadata!E200,"missing: restricted access"))),AND(IF(metadata!E200="",FALSE,ISNUMBER(VALUE(metadata!E200))),metadata!E200&gt;0))</f>
        <v>0</v>
      </c>
      <c r="AG200" t="b">
        <f>AND(IF(metadata!F200="",FALSE,TRUE),EXACT(metadata!F200,"Not applicable"))</f>
        <v>0</v>
      </c>
      <c r="AH200" t="b">
        <f>AND(IF(metadata!G200="",FALSE,TRUE),EXACT(metadata!G200,"urban biome"))</f>
        <v>0</v>
      </c>
      <c r="AI200" t="b">
        <f>AND(IF(metadata!H200="",FALSE,TRUE),EXACT(metadata!H200,"human-associated habitat"))</f>
        <v>0</v>
      </c>
      <c r="AJ200" t="b">
        <f>AND(IF(metadata!I200="",FALSE,TRUE),OR(EXACT(metadata!I200,"human-associated"),EXACT(metadata!I200,"human-skin"),EXACT(metadata!I200,"human-oral"),EXACT(metadata!I200,"human-gut"),EXACT(metadata!I200,"human-vaginal")))</f>
        <v>0</v>
      </c>
      <c r="AK200" t="b">
        <f>IF(metadata!J200="",FALSE,ISNUMBER(VALUE(metadata!J200)))</f>
        <v>0</v>
      </c>
      <c r="AL200" t="b">
        <f>AND(IF(metadata!K200="",FALSE,TRUE),EXACT(metadata!K200,"cm"))</f>
        <v>0</v>
      </c>
      <c r="AM200" t="b">
        <f>AND(IF(metadata!L200="",FALSE,TRUE),EXACT(metadata!L200,"human"))</f>
        <v>0</v>
      </c>
      <c r="AN200" t="b">
        <f>AND(IF(metadata!M200="",FALSE,TRUE),EXACT(metadata!M200,"Homo sapiens"))</f>
        <v>0</v>
      </c>
      <c r="AO200" t="b">
        <f>AND(IF(metadata!N200="",FALSE,TRUE),EXACT(metadata!N200,"9606"))</f>
        <v>0</v>
      </c>
      <c r="AP200" t="b">
        <f>IF(metadata!O200="",FALSE,TRUE)</f>
        <v>0</v>
      </c>
      <c r="AQ200" t="b">
        <f>IF(metadata!P200="",FALSE,TRUE)</f>
        <v>0</v>
      </c>
      <c r="AR200" t="b">
        <f>IF(metadata!Q200="",FALSE,ISNUMBER(VALUE(metadata!Q200)))</f>
        <v>0</v>
      </c>
      <c r="AS200" t="b">
        <f>AND(IF(metadata!R200="",FALSE,TRUE),EXACT(metadata!R200,"kg"))</f>
        <v>0</v>
      </c>
    </row>
    <row r="201" spans="1:45" x14ac:dyDescent="0.2">
      <c r="A201" s="5" t="str">
        <f ca="1">IF(B201=" "," ",HYPERLINK(CONCATENATE("#metadata!",ADDRESS(INDEX($X$2:$X$1001,MATCH(ROWS($V$2:V201),$V$2:$V$1001,0),0),1)),INDEX($AA$2:$AA$1001,MATCH(ROWS($V$2:V201),$V$2:$V$1001,0),0)))</f>
        <v xml:space="preserve"> </v>
      </c>
      <c r="B201" s="4" t="str">
        <f ca="1">IF(OR(INDEX($W$2:$W$1001,MATCH(ROWS($V$2:V201),$V$2:$V$1001,0),1)&gt;=100000,INDEX($AC$1005:$AS$1005,1,MATCH(COLUMNS($AC$1006:AC1006),$AC$1006:$AS$1006,0))&gt;=100000), " ",IF(INDEX($AC$2:$AS$1001,MATCH(ROWS($V$2:V201),$V$2:$V$1001,0),MATCH(COLUMNS($AC$1006:AC1006),$AC$1006:$AS$1006,0)), HYPERLINK("#",""), HYPERLINK(CONCATENATE("#metadata!", ADDRESS(INDEX($X$2:$X$1001,MATCH(ROWS($V$2:V201),$V$2:$V$1001,0),0), INDEX($AC$1004:$AS$1004,1,MATCH(COLUMNS($AC$1006:AC1006),$AC$1006:$AS$1006,0)))),"Fix")))</f>
        <v xml:space="preserve"> </v>
      </c>
      <c r="C201" s="4" t="str">
        <f ca="1">IF(OR(INDEX($W$2:$W$1001,MATCH(ROWS($V$2:V201),$V$2:$V$1001,0),1)&gt;=100000,INDEX($AC$1005:$AS$1005,1,MATCH(COLUMNS($AC$1006:AD1006),$AC$1006:$AS$1006,0))&gt;=100000), " ",IF(INDEX($AC$2:$AS$1001,MATCH(ROWS($V$2:V201),$V$2:$V$1001,0),MATCH(COLUMNS($AC$1006:AD1006),$AC$1006:$AS$1006,0)), HYPERLINK("#",""), HYPERLINK(CONCATENATE("#metadata!", ADDRESS(INDEX($X$2:$X$1001,MATCH(ROWS($V$2:V201),$V$2:$V$1001,0),0), INDEX($AC$1004:$AS$1004,1,MATCH(COLUMNS($AC$1006:AD1006),$AC$1006:$AS$1006,0)))),"Fix")))</f>
        <v xml:space="preserve"> </v>
      </c>
      <c r="D201" s="4" t="str">
        <f ca="1">IF(OR(INDEX($W$2:$W$1001,MATCH(ROWS($V$2:V201),$V$2:$V$1001,0),1)&gt;=100000,INDEX($AC$1005:$AS$1005,1,MATCH(COLUMNS($AC$1006:AE1006),$AC$1006:$AS$1006,0))&gt;=100000), " ",IF(INDEX($AC$2:$AS$1001,MATCH(ROWS($V$2:V201),$V$2:$V$1001,0),MATCH(COLUMNS($AC$1006:AE1006),$AC$1006:$AS$1006,0)), HYPERLINK("#",""), HYPERLINK(CONCATENATE("#metadata!", ADDRESS(INDEX($X$2:$X$1001,MATCH(ROWS($V$2:V201),$V$2:$V$1001,0),0), INDEX($AC$1004:$AS$1004,1,MATCH(COLUMNS($AC$1006:AE1006),$AC$1006:$AS$1006,0)))),"Fix")))</f>
        <v xml:space="preserve"> </v>
      </c>
      <c r="E201" s="4" t="str">
        <f ca="1">IF(OR(INDEX($W$2:$W$1001,MATCH(ROWS($V$2:V201),$V$2:$V$1001,0),1)&gt;=100000,INDEX($AC$1005:$AS$1005,1,MATCH(COLUMNS($AC$1006:AF1006),$AC$1006:$AS$1006,0))&gt;=100000), " ",IF(INDEX($AC$2:$AS$1001,MATCH(ROWS($V$2:V201),$V$2:$V$1001,0),MATCH(COLUMNS($AC$1006:AF1006),$AC$1006:$AS$1006,0)), HYPERLINK("#",""), HYPERLINK(CONCATENATE("#metadata!", ADDRESS(INDEX($X$2:$X$1001,MATCH(ROWS($V$2:V201),$V$2:$V$1001,0),0), INDEX($AC$1004:$AS$1004,1,MATCH(COLUMNS($AC$1006:AF1006),$AC$1006:$AS$1006,0)))),"Fix")))</f>
        <v xml:space="preserve"> </v>
      </c>
      <c r="F201" s="4" t="str">
        <f ca="1">IF(OR(INDEX($W$2:$W$1001,MATCH(ROWS($V$2:V201),$V$2:$V$1001,0),1)&gt;=100000,INDEX($AC$1005:$AS$1005,1,MATCH(COLUMNS($AC$1006:AG1006),$AC$1006:$AS$1006,0))&gt;=100000), " ",IF(INDEX($AC$2:$AS$1001,MATCH(ROWS($V$2:V201),$V$2:$V$1001,0),MATCH(COLUMNS($AC$1006:AG1006),$AC$1006:$AS$1006,0)), HYPERLINK("#",""), HYPERLINK(CONCATENATE("#metadata!", ADDRESS(INDEX($X$2:$X$1001,MATCH(ROWS($V$2:V201),$V$2:$V$1001,0),0), INDEX($AC$1004:$AS$1004,1,MATCH(COLUMNS($AC$1006:AG1006),$AC$1006:$AS$1006,0)))),"Fix")))</f>
        <v xml:space="preserve"> </v>
      </c>
      <c r="G201" s="4" t="str">
        <f ca="1">IF(OR(INDEX($W$2:$W$1001,MATCH(ROWS($V$2:V201),$V$2:$V$1001,0),1)&gt;=100000,INDEX($AC$1005:$AS$1005,1,MATCH(COLUMNS($AC$1006:AH1006),$AC$1006:$AS$1006,0))&gt;=100000), " ",IF(INDEX($AC$2:$AS$1001,MATCH(ROWS($V$2:V201),$V$2:$V$1001,0),MATCH(COLUMNS($AC$1006:AH1006),$AC$1006:$AS$1006,0)), HYPERLINK("#",""), HYPERLINK(CONCATENATE("#metadata!", ADDRESS(INDEX($X$2:$X$1001,MATCH(ROWS($V$2:V201),$V$2:$V$1001,0),0), INDEX($AC$1004:$AS$1004,1,MATCH(COLUMNS($AC$1006:AH1006),$AC$1006:$AS$1006,0)))),"Fix")))</f>
        <v xml:space="preserve"> </v>
      </c>
      <c r="H201" s="4" t="str">
        <f ca="1">IF(OR(INDEX($W$2:$W$1001,MATCH(ROWS($V$2:V201),$V$2:$V$1001,0),1)&gt;=100000,INDEX($AC$1005:$AS$1005,1,MATCH(COLUMNS($AC$1006:AI1006),$AC$1006:$AS$1006,0))&gt;=100000), " ",IF(INDEX($AC$2:$AS$1001,MATCH(ROWS($V$2:V201),$V$2:$V$1001,0),MATCH(COLUMNS($AC$1006:AI1006),$AC$1006:$AS$1006,0)), HYPERLINK("#",""), HYPERLINK(CONCATENATE("#metadata!", ADDRESS(INDEX($X$2:$X$1001,MATCH(ROWS($V$2:V201),$V$2:$V$1001,0),0), INDEX($AC$1004:$AS$1004,1,MATCH(COLUMNS($AC$1006:AI1006),$AC$1006:$AS$1006,0)))),"Fix")))</f>
        <v xml:space="preserve"> </v>
      </c>
      <c r="I201" s="4" t="str">
        <f ca="1">IF(OR(INDEX($W$2:$W$1001,MATCH(ROWS($V$2:V201),$V$2:$V$1001,0),1)&gt;=100000,INDEX($AC$1005:$AS$1005,1,MATCH(COLUMNS($AC$1006:AJ1006),$AC$1006:$AS$1006,0))&gt;=100000), " ",IF(INDEX($AC$2:$AS$1001,MATCH(ROWS($V$2:V201),$V$2:$V$1001,0),MATCH(COLUMNS($AC$1006:AJ1006),$AC$1006:$AS$1006,0)), HYPERLINK("#",""), HYPERLINK(CONCATENATE("#metadata!", ADDRESS(INDEX($X$2:$X$1001,MATCH(ROWS($V$2:V201),$V$2:$V$1001,0),0), INDEX($AC$1004:$AS$1004,1,MATCH(COLUMNS($AC$1006:AJ1006),$AC$1006:$AS$1006,0)))),"Fix")))</f>
        <v xml:space="preserve"> </v>
      </c>
      <c r="J201" s="4" t="str">
        <f ca="1">IF(OR(INDEX($W$2:$W$1001,MATCH(ROWS($V$2:V201),$V$2:$V$1001,0),1)&gt;=100000,INDEX($AC$1005:$AS$1005,1,MATCH(COLUMNS($AC$1006:AK1006),$AC$1006:$AS$1006,0))&gt;=100000), " ",IF(INDEX($AC$2:$AS$1001,MATCH(ROWS($V$2:V201),$V$2:$V$1001,0),MATCH(COLUMNS($AC$1006:AK1006),$AC$1006:$AS$1006,0)), HYPERLINK("#",""), HYPERLINK(CONCATENATE("#metadata!", ADDRESS(INDEX($X$2:$X$1001,MATCH(ROWS($V$2:V201),$V$2:$V$1001,0),0), INDEX($AC$1004:$AS$1004,1,MATCH(COLUMNS($AC$1006:AK1006),$AC$1006:$AS$1006,0)))),"Fix")))</f>
        <v xml:space="preserve"> </v>
      </c>
      <c r="K201" s="4" t="str">
        <f ca="1">IF(OR(INDEX($W$2:$W$1001,MATCH(ROWS($V$2:V201),$V$2:$V$1001,0),1)&gt;=100000,INDEX($AC$1005:$AS$1005,1,MATCH(COLUMNS($AC$1006:AL1006),$AC$1006:$AS$1006,0))&gt;=100000), " ",IF(INDEX($AC$2:$AS$1001,MATCH(ROWS($V$2:V201),$V$2:$V$1001,0),MATCH(COLUMNS($AC$1006:AL1006),$AC$1006:$AS$1006,0)), HYPERLINK("#",""), HYPERLINK(CONCATENATE("#metadata!", ADDRESS(INDEX($X$2:$X$1001,MATCH(ROWS($V$2:V201),$V$2:$V$1001,0),0), INDEX($AC$1004:$AS$1004,1,MATCH(COLUMNS($AC$1006:AL1006),$AC$1006:$AS$1006,0)))),"Fix")))</f>
        <v xml:space="preserve"> </v>
      </c>
      <c r="L201" s="4" t="str">
        <f ca="1">IF(OR(INDEX($W$2:$W$1001,MATCH(ROWS($V$2:V201),$V$2:$V$1001,0),1)&gt;=100000,INDEX($AC$1005:$AS$1005,1,MATCH(COLUMNS($AC$1006:AM1006),$AC$1006:$AS$1006,0))&gt;=100000), " ",IF(INDEX($AC$2:$AS$1001,MATCH(ROWS($V$2:V201),$V$2:$V$1001,0),MATCH(COLUMNS($AC$1006:AM1006),$AC$1006:$AS$1006,0)), HYPERLINK("#",""), HYPERLINK(CONCATENATE("#metadata!", ADDRESS(INDEX($X$2:$X$1001,MATCH(ROWS($V$2:V201),$V$2:$V$1001,0),0), INDEX($AC$1004:$AS$1004,1,MATCH(COLUMNS($AC$1006:AM1006),$AC$1006:$AS$1006,0)))),"Fix")))</f>
        <v xml:space="preserve"> </v>
      </c>
      <c r="M201" s="4" t="str">
        <f ca="1">IF(OR(INDEX($W$2:$W$1001,MATCH(ROWS($V$2:V201),$V$2:$V$1001,0),1)&gt;=100000,INDEX($AC$1005:$AS$1005,1,MATCH(COLUMNS($AC$1006:AN1006),$AC$1006:$AS$1006,0))&gt;=100000), " ",IF(INDEX($AC$2:$AS$1001,MATCH(ROWS($V$2:V201),$V$2:$V$1001,0),MATCH(COLUMNS($AC$1006:AN1006),$AC$1006:$AS$1006,0)), HYPERLINK("#",""), HYPERLINK(CONCATENATE("#metadata!", ADDRESS(INDEX($X$2:$X$1001,MATCH(ROWS($V$2:V201),$V$2:$V$1001,0),0), INDEX($AC$1004:$AS$1004,1,MATCH(COLUMNS($AC$1006:AN1006),$AC$1006:$AS$1006,0)))),"Fix")))</f>
        <v xml:space="preserve"> </v>
      </c>
      <c r="N201" s="4" t="str">
        <f ca="1">IF(OR(INDEX($W$2:$W$1001,MATCH(ROWS($V$2:V201),$V$2:$V$1001,0),1)&gt;=100000,INDEX($AC$1005:$AS$1005,1,MATCH(COLUMNS($AC$1006:AO1006),$AC$1006:$AS$1006,0))&gt;=100000), " ",IF(INDEX($AC$2:$AS$1001,MATCH(ROWS($V$2:V201),$V$2:$V$1001,0),MATCH(COLUMNS($AC$1006:AO1006),$AC$1006:$AS$1006,0)), HYPERLINK("#",""), HYPERLINK(CONCATENATE("#metadata!", ADDRESS(INDEX($X$2:$X$1001,MATCH(ROWS($V$2:V201),$V$2:$V$1001,0),0), INDEX($AC$1004:$AS$1004,1,MATCH(COLUMNS($AC$1006:AO1006),$AC$1006:$AS$1006,0)))),"Fix")))</f>
        <v xml:space="preserve"> </v>
      </c>
      <c r="O201" s="4" t="str">
        <f ca="1">IF(OR(INDEX($W$2:$W$1001,MATCH(ROWS($V$2:V201),$V$2:$V$1001,0),1)&gt;=100000,INDEX($AC$1005:$AS$1005,1,MATCH(COLUMNS($AC$1006:AP1006),$AC$1006:$AS$1006,0))&gt;=100000), " ",IF(INDEX($AC$2:$AS$1001,MATCH(ROWS($V$2:V201),$V$2:$V$1001,0),MATCH(COLUMNS($AC$1006:AP1006),$AC$1006:$AS$1006,0)), HYPERLINK("#",""), HYPERLINK(CONCATENATE("#metadata!", ADDRESS(INDEX($X$2:$X$1001,MATCH(ROWS($V$2:V201),$V$2:$V$1001,0),0), INDEX($AC$1004:$AS$1004,1,MATCH(COLUMNS($AC$1006:AP1006),$AC$1006:$AS$1006,0)))),"Fix")))</f>
        <v xml:space="preserve"> </v>
      </c>
      <c r="P201" s="4" t="str">
        <f ca="1">IF(OR(INDEX($W$2:$W$1001,MATCH(ROWS($V$2:V201),$V$2:$V$1001,0),1)&gt;=100000,INDEX($AC$1005:$AS$1005,1,MATCH(COLUMNS($AC$1006:AQ1006),$AC$1006:$AS$1006,0))&gt;=100000), " ",IF(INDEX($AC$2:$AS$1001,MATCH(ROWS($V$2:V201),$V$2:$V$1001,0),MATCH(COLUMNS($AC$1006:AQ1006),$AC$1006:$AS$1006,0)), HYPERLINK("#",""), HYPERLINK(CONCATENATE("#metadata!", ADDRESS(INDEX($X$2:$X$1001,MATCH(ROWS($V$2:V201),$V$2:$V$1001,0),0), INDEX($AC$1004:$AS$1004,1,MATCH(COLUMNS($AC$1006:AQ1006),$AC$1006:$AS$1006,0)))),"Fix")))</f>
        <v xml:space="preserve"> </v>
      </c>
      <c r="Q201" s="4" t="str">
        <f ca="1">IF(OR(INDEX($W$2:$W$1001,MATCH(ROWS($V$2:V201),$V$2:$V$1001,0),1)&gt;=100000,INDEX($AC$1005:$AS$1005,1,MATCH(COLUMNS($AC$1006:AR1006),$AC$1006:$AS$1006,0))&gt;=100000), " ",IF(INDEX($AC$2:$AS$1001,MATCH(ROWS($V$2:V201),$V$2:$V$1001,0),MATCH(COLUMNS($AC$1006:AR1006),$AC$1006:$AS$1006,0)), HYPERLINK("#",""), HYPERLINK(CONCATENATE("#metadata!", ADDRESS(INDEX($X$2:$X$1001,MATCH(ROWS($V$2:V201),$V$2:$V$1001,0),0), INDEX($AC$1004:$AS$1004,1,MATCH(COLUMNS($AC$1006:AR1006),$AC$1006:$AS$1006,0)))),"Fix")))</f>
        <v xml:space="preserve"> </v>
      </c>
      <c r="R201" s="4" t="str">
        <f ca="1">IF(OR(INDEX($W$2:$W$1001,MATCH(ROWS($V$2:V201),$V$2:$V$1001,0),1)&gt;=100000,INDEX($AC$1005:$AS$1005,1,MATCH(COLUMNS($AC$1006:AS1006),$AC$1006:$AS$1006,0))&gt;=100000), " ",IF(INDEX($AC$2:$AS$1001,MATCH(ROWS($V$2:V201),$V$2:$V$1001,0),MATCH(COLUMNS($AC$1006:AS1006),$AC$1006:$AS$1006,0)), HYPERLINK("#",""), HYPERLINK(CONCATENATE("#metadata!", ADDRESS(INDEX($X$2:$X$1001,MATCH(ROWS($V$2:V201),$V$2:$V$1001,0),0), INDEX($AC$1004:$AS$1004,1,MATCH(COLUMNS($AC$1006:AS1006),$AC$1006:$AS$1006,0)))),"Fix")))</f>
        <v xml:space="preserve"> </v>
      </c>
      <c r="V201">
        <v>200</v>
      </c>
      <c r="W201">
        <v>100201</v>
      </c>
      <c r="X201">
        <v>201</v>
      </c>
      <c r="Y201" t="b">
        <f t="shared" si="3"/>
        <v>1</v>
      </c>
      <c r="Z201" t="b">
        <f>COUNTBLANK(metadata!B201:R201)=COLUMNS(metadata!B201:R201)</f>
        <v>1</v>
      </c>
      <c r="AA201" t="str">
        <v/>
      </c>
      <c r="AC201" t="b">
        <f ca="1"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AD201" t="b">
        <f>IF(metadata!C201="",FALSE,ISNUMBER(VALUE(metadata!C201)))</f>
        <v>0</v>
      </c>
      <c r="AE201" t="b">
        <f>AND(IF(metadata!D201="",FALSE,TRUE),EXACT(metadata!D201,"years"))</f>
        <v>0</v>
      </c>
      <c r="AF201" t="b">
        <f>OR(AND(IF(metadata!E201="",FALSE,TRUE),OR(EXACT(metadata!E201,"not applicable"),EXACT(metadata!E201,"missing: not collected"),EXACT(metadata!E201,"missing: not provided"),EXACT(metadata!E201,"missing: restricted access"))),AND(IF(metadata!E201="",FALSE,ISNUMBER(VALUE(metadata!E201))),metadata!E201&gt;0))</f>
        <v>0</v>
      </c>
      <c r="AG201" t="b">
        <f>AND(IF(metadata!F201="",FALSE,TRUE),EXACT(metadata!F201,"Not applicable"))</f>
        <v>0</v>
      </c>
      <c r="AH201" t="b">
        <f>AND(IF(metadata!G201="",FALSE,TRUE),EXACT(metadata!G201,"urban biome"))</f>
        <v>0</v>
      </c>
      <c r="AI201" t="b">
        <f>AND(IF(metadata!H201="",FALSE,TRUE),EXACT(metadata!H201,"human-associated habitat"))</f>
        <v>0</v>
      </c>
      <c r="AJ201" t="b">
        <f>AND(IF(metadata!I201="",FALSE,TRUE),OR(EXACT(metadata!I201,"human-associated"),EXACT(metadata!I201,"human-skin"),EXACT(metadata!I201,"human-oral"),EXACT(metadata!I201,"human-gut"),EXACT(metadata!I201,"human-vaginal")))</f>
        <v>0</v>
      </c>
      <c r="AK201" t="b">
        <f>IF(metadata!J201="",FALSE,ISNUMBER(VALUE(metadata!J201)))</f>
        <v>0</v>
      </c>
      <c r="AL201" t="b">
        <f>AND(IF(metadata!K201="",FALSE,TRUE),EXACT(metadata!K201,"cm"))</f>
        <v>0</v>
      </c>
      <c r="AM201" t="b">
        <f>AND(IF(metadata!L201="",FALSE,TRUE),EXACT(metadata!L201,"human"))</f>
        <v>0</v>
      </c>
      <c r="AN201" t="b">
        <f>AND(IF(metadata!M201="",FALSE,TRUE),EXACT(metadata!M201,"Homo sapiens"))</f>
        <v>0</v>
      </c>
      <c r="AO201" t="b">
        <f>AND(IF(metadata!N201="",FALSE,TRUE),EXACT(metadata!N201,"9606"))</f>
        <v>0</v>
      </c>
      <c r="AP201" t="b">
        <f>IF(metadata!O201="",FALSE,TRUE)</f>
        <v>0</v>
      </c>
      <c r="AQ201" t="b">
        <f>IF(metadata!P201="",FALSE,TRUE)</f>
        <v>0</v>
      </c>
      <c r="AR201" t="b">
        <f>IF(metadata!Q201="",FALSE,ISNUMBER(VALUE(metadata!Q201)))</f>
        <v>0</v>
      </c>
      <c r="AS201" t="b">
        <f>AND(IF(metadata!R201="",FALSE,TRUE),EXACT(metadata!R201,"kg"))</f>
        <v>0</v>
      </c>
    </row>
    <row r="202" spans="1:45" x14ac:dyDescent="0.2">
      <c r="A202" s="5" t="str">
        <f ca="1">IF(B202=" "," ",HYPERLINK(CONCATENATE("#metadata!",ADDRESS(INDEX($X$2:$X$1001,MATCH(ROWS($V$2:V202),$V$2:$V$1001,0),0),1)),INDEX($AA$2:$AA$1001,MATCH(ROWS($V$2:V202),$V$2:$V$1001,0),0)))</f>
        <v xml:space="preserve"> </v>
      </c>
      <c r="B202" s="4" t="str">
        <f ca="1">IF(OR(INDEX($W$2:$W$1001,MATCH(ROWS($V$2:V202),$V$2:$V$1001,0),1)&gt;=100000,INDEX($AC$1005:$AS$1005,1,MATCH(COLUMNS($AC$1006:AC1006),$AC$1006:$AS$1006,0))&gt;=100000), " ",IF(INDEX($AC$2:$AS$1001,MATCH(ROWS($V$2:V202),$V$2:$V$1001,0),MATCH(COLUMNS($AC$1006:AC1006),$AC$1006:$AS$1006,0)), HYPERLINK("#",""), HYPERLINK(CONCATENATE("#metadata!", ADDRESS(INDEX($X$2:$X$1001,MATCH(ROWS($V$2:V202),$V$2:$V$1001,0),0), INDEX($AC$1004:$AS$1004,1,MATCH(COLUMNS($AC$1006:AC1006),$AC$1006:$AS$1006,0)))),"Fix")))</f>
        <v xml:space="preserve"> </v>
      </c>
      <c r="C202" s="4" t="str">
        <f ca="1">IF(OR(INDEX($W$2:$W$1001,MATCH(ROWS($V$2:V202),$V$2:$V$1001,0),1)&gt;=100000,INDEX($AC$1005:$AS$1005,1,MATCH(COLUMNS($AC$1006:AD1006),$AC$1006:$AS$1006,0))&gt;=100000), " ",IF(INDEX($AC$2:$AS$1001,MATCH(ROWS($V$2:V202),$V$2:$V$1001,0),MATCH(COLUMNS($AC$1006:AD1006),$AC$1006:$AS$1006,0)), HYPERLINK("#",""), HYPERLINK(CONCATENATE("#metadata!", ADDRESS(INDEX($X$2:$X$1001,MATCH(ROWS($V$2:V202),$V$2:$V$1001,0),0), INDEX($AC$1004:$AS$1004,1,MATCH(COLUMNS($AC$1006:AD1006),$AC$1006:$AS$1006,0)))),"Fix")))</f>
        <v xml:space="preserve"> </v>
      </c>
      <c r="D202" s="4" t="str">
        <f ca="1">IF(OR(INDEX($W$2:$W$1001,MATCH(ROWS($V$2:V202),$V$2:$V$1001,0),1)&gt;=100000,INDEX($AC$1005:$AS$1005,1,MATCH(COLUMNS($AC$1006:AE1006),$AC$1006:$AS$1006,0))&gt;=100000), " ",IF(INDEX($AC$2:$AS$1001,MATCH(ROWS($V$2:V202),$V$2:$V$1001,0),MATCH(COLUMNS($AC$1006:AE1006),$AC$1006:$AS$1006,0)), HYPERLINK("#",""), HYPERLINK(CONCATENATE("#metadata!", ADDRESS(INDEX($X$2:$X$1001,MATCH(ROWS($V$2:V202),$V$2:$V$1001,0),0), INDEX($AC$1004:$AS$1004,1,MATCH(COLUMNS($AC$1006:AE1006),$AC$1006:$AS$1006,0)))),"Fix")))</f>
        <v xml:space="preserve"> </v>
      </c>
      <c r="E202" s="4" t="str">
        <f ca="1">IF(OR(INDEX($W$2:$W$1001,MATCH(ROWS($V$2:V202),$V$2:$V$1001,0),1)&gt;=100000,INDEX($AC$1005:$AS$1005,1,MATCH(COLUMNS($AC$1006:AF1006),$AC$1006:$AS$1006,0))&gt;=100000), " ",IF(INDEX($AC$2:$AS$1001,MATCH(ROWS($V$2:V202),$V$2:$V$1001,0),MATCH(COLUMNS($AC$1006:AF1006),$AC$1006:$AS$1006,0)), HYPERLINK("#",""), HYPERLINK(CONCATENATE("#metadata!", ADDRESS(INDEX($X$2:$X$1001,MATCH(ROWS($V$2:V202),$V$2:$V$1001,0),0), INDEX($AC$1004:$AS$1004,1,MATCH(COLUMNS($AC$1006:AF1006),$AC$1006:$AS$1006,0)))),"Fix")))</f>
        <v xml:space="preserve"> </v>
      </c>
      <c r="F202" s="4" t="str">
        <f ca="1">IF(OR(INDEX($W$2:$W$1001,MATCH(ROWS($V$2:V202),$V$2:$V$1001,0),1)&gt;=100000,INDEX($AC$1005:$AS$1005,1,MATCH(COLUMNS($AC$1006:AG1006),$AC$1006:$AS$1006,0))&gt;=100000), " ",IF(INDEX($AC$2:$AS$1001,MATCH(ROWS($V$2:V202),$V$2:$V$1001,0),MATCH(COLUMNS($AC$1006:AG1006),$AC$1006:$AS$1006,0)), HYPERLINK("#",""), HYPERLINK(CONCATENATE("#metadata!", ADDRESS(INDEX($X$2:$X$1001,MATCH(ROWS($V$2:V202),$V$2:$V$1001,0),0), INDEX($AC$1004:$AS$1004,1,MATCH(COLUMNS($AC$1006:AG1006),$AC$1006:$AS$1006,0)))),"Fix")))</f>
        <v xml:space="preserve"> </v>
      </c>
      <c r="G202" s="4" t="str">
        <f ca="1">IF(OR(INDEX($W$2:$W$1001,MATCH(ROWS($V$2:V202),$V$2:$V$1001,0),1)&gt;=100000,INDEX($AC$1005:$AS$1005,1,MATCH(COLUMNS($AC$1006:AH1006),$AC$1006:$AS$1006,0))&gt;=100000), " ",IF(INDEX($AC$2:$AS$1001,MATCH(ROWS($V$2:V202),$V$2:$V$1001,0),MATCH(COLUMNS($AC$1006:AH1006),$AC$1006:$AS$1006,0)), HYPERLINK("#",""), HYPERLINK(CONCATENATE("#metadata!", ADDRESS(INDEX($X$2:$X$1001,MATCH(ROWS($V$2:V202),$V$2:$V$1001,0),0), INDEX($AC$1004:$AS$1004,1,MATCH(COLUMNS($AC$1006:AH1006),$AC$1006:$AS$1006,0)))),"Fix")))</f>
        <v xml:space="preserve"> </v>
      </c>
      <c r="H202" s="4" t="str">
        <f ca="1">IF(OR(INDEX($W$2:$W$1001,MATCH(ROWS($V$2:V202),$V$2:$V$1001,0),1)&gt;=100000,INDEX($AC$1005:$AS$1005,1,MATCH(COLUMNS($AC$1006:AI1006),$AC$1006:$AS$1006,0))&gt;=100000), " ",IF(INDEX($AC$2:$AS$1001,MATCH(ROWS($V$2:V202),$V$2:$V$1001,0),MATCH(COLUMNS($AC$1006:AI1006),$AC$1006:$AS$1006,0)), HYPERLINK("#",""), HYPERLINK(CONCATENATE("#metadata!", ADDRESS(INDEX($X$2:$X$1001,MATCH(ROWS($V$2:V202),$V$2:$V$1001,0),0), INDEX($AC$1004:$AS$1004,1,MATCH(COLUMNS($AC$1006:AI1006),$AC$1006:$AS$1006,0)))),"Fix")))</f>
        <v xml:space="preserve"> </v>
      </c>
      <c r="I202" s="4" t="str">
        <f ca="1">IF(OR(INDEX($W$2:$W$1001,MATCH(ROWS($V$2:V202),$V$2:$V$1001,0),1)&gt;=100000,INDEX($AC$1005:$AS$1005,1,MATCH(COLUMNS($AC$1006:AJ1006),$AC$1006:$AS$1006,0))&gt;=100000), " ",IF(INDEX($AC$2:$AS$1001,MATCH(ROWS($V$2:V202),$V$2:$V$1001,0),MATCH(COLUMNS($AC$1006:AJ1006),$AC$1006:$AS$1006,0)), HYPERLINK("#",""), HYPERLINK(CONCATENATE("#metadata!", ADDRESS(INDEX($X$2:$X$1001,MATCH(ROWS($V$2:V202),$V$2:$V$1001,0),0), INDEX($AC$1004:$AS$1004,1,MATCH(COLUMNS($AC$1006:AJ1006),$AC$1006:$AS$1006,0)))),"Fix")))</f>
        <v xml:space="preserve"> </v>
      </c>
      <c r="J202" s="4" t="str">
        <f ca="1">IF(OR(INDEX($W$2:$W$1001,MATCH(ROWS($V$2:V202),$V$2:$V$1001,0),1)&gt;=100000,INDEX($AC$1005:$AS$1005,1,MATCH(COLUMNS($AC$1006:AK1006),$AC$1006:$AS$1006,0))&gt;=100000), " ",IF(INDEX($AC$2:$AS$1001,MATCH(ROWS($V$2:V202),$V$2:$V$1001,0),MATCH(COLUMNS($AC$1006:AK1006),$AC$1006:$AS$1006,0)), HYPERLINK("#",""), HYPERLINK(CONCATENATE("#metadata!", ADDRESS(INDEX($X$2:$X$1001,MATCH(ROWS($V$2:V202),$V$2:$V$1001,0),0), INDEX($AC$1004:$AS$1004,1,MATCH(COLUMNS($AC$1006:AK1006),$AC$1006:$AS$1006,0)))),"Fix")))</f>
        <v xml:space="preserve"> </v>
      </c>
      <c r="K202" s="4" t="str">
        <f ca="1">IF(OR(INDEX($W$2:$W$1001,MATCH(ROWS($V$2:V202),$V$2:$V$1001,0),1)&gt;=100000,INDEX($AC$1005:$AS$1005,1,MATCH(COLUMNS($AC$1006:AL1006),$AC$1006:$AS$1006,0))&gt;=100000), " ",IF(INDEX($AC$2:$AS$1001,MATCH(ROWS($V$2:V202),$V$2:$V$1001,0),MATCH(COLUMNS($AC$1006:AL1006),$AC$1006:$AS$1006,0)), HYPERLINK("#",""), HYPERLINK(CONCATENATE("#metadata!", ADDRESS(INDEX($X$2:$X$1001,MATCH(ROWS($V$2:V202),$V$2:$V$1001,0),0), INDEX($AC$1004:$AS$1004,1,MATCH(COLUMNS($AC$1006:AL1006),$AC$1006:$AS$1006,0)))),"Fix")))</f>
        <v xml:space="preserve"> </v>
      </c>
      <c r="L202" s="4" t="str">
        <f ca="1">IF(OR(INDEX($W$2:$W$1001,MATCH(ROWS($V$2:V202),$V$2:$V$1001,0),1)&gt;=100000,INDEX($AC$1005:$AS$1005,1,MATCH(COLUMNS($AC$1006:AM1006),$AC$1006:$AS$1006,0))&gt;=100000), " ",IF(INDEX($AC$2:$AS$1001,MATCH(ROWS($V$2:V202),$V$2:$V$1001,0),MATCH(COLUMNS($AC$1006:AM1006),$AC$1006:$AS$1006,0)), HYPERLINK("#",""), HYPERLINK(CONCATENATE("#metadata!", ADDRESS(INDEX($X$2:$X$1001,MATCH(ROWS($V$2:V202),$V$2:$V$1001,0),0), INDEX($AC$1004:$AS$1004,1,MATCH(COLUMNS($AC$1006:AM1006),$AC$1006:$AS$1006,0)))),"Fix")))</f>
        <v xml:space="preserve"> </v>
      </c>
      <c r="M202" s="4" t="str">
        <f ca="1">IF(OR(INDEX($W$2:$W$1001,MATCH(ROWS($V$2:V202),$V$2:$V$1001,0),1)&gt;=100000,INDEX($AC$1005:$AS$1005,1,MATCH(COLUMNS($AC$1006:AN1006),$AC$1006:$AS$1006,0))&gt;=100000), " ",IF(INDEX($AC$2:$AS$1001,MATCH(ROWS($V$2:V202),$V$2:$V$1001,0),MATCH(COLUMNS($AC$1006:AN1006),$AC$1006:$AS$1006,0)), HYPERLINK("#",""), HYPERLINK(CONCATENATE("#metadata!", ADDRESS(INDEX($X$2:$X$1001,MATCH(ROWS($V$2:V202),$V$2:$V$1001,0),0), INDEX($AC$1004:$AS$1004,1,MATCH(COLUMNS($AC$1006:AN1006),$AC$1006:$AS$1006,0)))),"Fix")))</f>
        <v xml:space="preserve"> </v>
      </c>
      <c r="N202" s="4" t="str">
        <f ca="1">IF(OR(INDEX($W$2:$W$1001,MATCH(ROWS($V$2:V202),$V$2:$V$1001,0),1)&gt;=100000,INDEX($AC$1005:$AS$1005,1,MATCH(COLUMNS($AC$1006:AO1006),$AC$1006:$AS$1006,0))&gt;=100000), " ",IF(INDEX($AC$2:$AS$1001,MATCH(ROWS($V$2:V202),$V$2:$V$1001,0),MATCH(COLUMNS($AC$1006:AO1006),$AC$1006:$AS$1006,0)), HYPERLINK("#",""), HYPERLINK(CONCATENATE("#metadata!", ADDRESS(INDEX($X$2:$X$1001,MATCH(ROWS($V$2:V202),$V$2:$V$1001,0),0), INDEX($AC$1004:$AS$1004,1,MATCH(COLUMNS($AC$1006:AO1006),$AC$1006:$AS$1006,0)))),"Fix")))</f>
        <v xml:space="preserve"> </v>
      </c>
      <c r="O202" s="4" t="str">
        <f ca="1">IF(OR(INDEX($W$2:$W$1001,MATCH(ROWS($V$2:V202),$V$2:$V$1001,0),1)&gt;=100000,INDEX($AC$1005:$AS$1005,1,MATCH(COLUMNS($AC$1006:AP1006),$AC$1006:$AS$1006,0))&gt;=100000), " ",IF(INDEX($AC$2:$AS$1001,MATCH(ROWS($V$2:V202),$V$2:$V$1001,0),MATCH(COLUMNS($AC$1006:AP1006),$AC$1006:$AS$1006,0)), HYPERLINK("#",""), HYPERLINK(CONCATENATE("#metadata!", ADDRESS(INDEX($X$2:$X$1001,MATCH(ROWS($V$2:V202),$V$2:$V$1001,0),0), INDEX($AC$1004:$AS$1004,1,MATCH(COLUMNS($AC$1006:AP1006),$AC$1006:$AS$1006,0)))),"Fix")))</f>
        <v xml:space="preserve"> </v>
      </c>
      <c r="P202" s="4" t="str">
        <f ca="1">IF(OR(INDEX($W$2:$W$1001,MATCH(ROWS($V$2:V202),$V$2:$V$1001,0),1)&gt;=100000,INDEX($AC$1005:$AS$1005,1,MATCH(COLUMNS($AC$1006:AQ1006),$AC$1006:$AS$1006,0))&gt;=100000), " ",IF(INDEX($AC$2:$AS$1001,MATCH(ROWS($V$2:V202),$V$2:$V$1001,0),MATCH(COLUMNS($AC$1006:AQ1006),$AC$1006:$AS$1006,0)), HYPERLINK("#",""), HYPERLINK(CONCATENATE("#metadata!", ADDRESS(INDEX($X$2:$X$1001,MATCH(ROWS($V$2:V202),$V$2:$V$1001,0),0), INDEX($AC$1004:$AS$1004,1,MATCH(COLUMNS($AC$1006:AQ1006),$AC$1006:$AS$1006,0)))),"Fix")))</f>
        <v xml:space="preserve"> </v>
      </c>
      <c r="Q202" s="4" t="str">
        <f ca="1">IF(OR(INDEX($W$2:$W$1001,MATCH(ROWS($V$2:V202),$V$2:$V$1001,0),1)&gt;=100000,INDEX($AC$1005:$AS$1005,1,MATCH(COLUMNS($AC$1006:AR1006),$AC$1006:$AS$1006,0))&gt;=100000), " ",IF(INDEX($AC$2:$AS$1001,MATCH(ROWS($V$2:V202),$V$2:$V$1001,0),MATCH(COLUMNS($AC$1006:AR1006),$AC$1006:$AS$1006,0)), HYPERLINK("#",""), HYPERLINK(CONCATENATE("#metadata!", ADDRESS(INDEX($X$2:$X$1001,MATCH(ROWS($V$2:V202),$V$2:$V$1001,0),0), INDEX($AC$1004:$AS$1004,1,MATCH(COLUMNS($AC$1006:AR1006),$AC$1006:$AS$1006,0)))),"Fix")))</f>
        <v xml:space="preserve"> </v>
      </c>
      <c r="R202" s="4" t="str">
        <f ca="1">IF(OR(INDEX($W$2:$W$1001,MATCH(ROWS($V$2:V202),$V$2:$V$1001,0),1)&gt;=100000,INDEX($AC$1005:$AS$1005,1,MATCH(COLUMNS($AC$1006:AS1006),$AC$1006:$AS$1006,0))&gt;=100000), " ",IF(INDEX($AC$2:$AS$1001,MATCH(ROWS($V$2:V202),$V$2:$V$1001,0),MATCH(COLUMNS($AC$1006:AS1006),$AC$1006:$AS$1006,0)), HYPERLINK("#",""), HYPERLINK(CONCATENATE("#metadata!", ADDRESS(INDEX($X$2:$X$1001,MATCH(ROWS($V$2:V202),$V$2:$V$1001,0),0), INDEX($AC$1004:$AS$1004,1,MATCH(COLUMNS($AC$1006:AS1006),$AC$1006:$AS$1006,0)))),"Fix")))</f>
        <v xml:space="preserve"> </v>
      </c>
      <c r="V202">
        <v>201</v>
      </c>
      <c r="W202">
        <v>100202</v>
      </c>
      <c r="X202">
        <v>202</v>
      </c>
      <c r="Y202" t="b">
        <f t="shared" si="3"/>
        <v>1</v>
      </c>
      <c r="Z202" t="b">
        <f>COUNTBLANK(metadata!B202:R202)=COLUMNS(metadata!B202:R202)</f>
        <v>1</v>
      </c>
      <c r="AA202" t="str">
        <v/>
      </c>
      <c r="AC202" t="b">
        <f ca="1"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AD202" t="b">
        <f>IF(metadata!C202="",FALSE,ISNUMBER(VALUE(metadata!C202)))</f>
        <v>0</v>
      </c>
      <c r="AE202" t="b">
        <f>AND(IF(metadata!D202="",FALSE,TRUE),EXACT(metadata!D202,"years"))</f>
        <v>0</v>
      </c>
      <c r="AF202" t="b">
        <f>OR(AND(IF(metadata!E202="",FALSE,TRUE),OR(EXACT(metadata!E202,"not applicable"),EXACT(metadata!E202,"missing: not collected"),EXACT(metadata!E202,"missing: not provided"),EXACT(metadata!E202,"missing: restricted access"))),AND(IF(metadata!E202="",FALSE,ISNUMBER(VALUE(metadata!E202))),metadata!E202&gt;0))</f>
        <v>0</v>
      </c>
      <c r="AG202" t="b">
        <f>AND(IF(metadata!F202="",FALSE,TRUE),EXACT(metadata!F202,"Not applicable"))</f>
        <v>0</v>
      </c>
      <c r="AH202" t="b">
        <f>AND(IF(metadata!G202="",FALSE,TRUE),EXACT(metadata!G202,"urban biome"))</f>
        <v>0</v>
      </c>
      <c r="AI202" t="b">
        <f>AND(IF(metadata!H202="",FALSE,TRUE),EXACT(metadata!H202,"human-associated habitat"))</f>
        <v>0</v>
      </c>
      <c r="AJ202" t="b">
        <f>AND(IF(metadata!I202="",FALSE,TRUE),OR(EXACT(metadata!I202,"human-associated"),EXACT(metadata!I202,"human-skin"),EXACT(metadata!I202,"human-oral"),EXACT(metadata!I202,"human-gut"),EXACT(metadata!I202,"human-vaginal")))</f>
        <v>0</v>
      </c>
      <c r="AK202" t="b">
        <f>IF(metadata!J202="",FALSE,ISNUMBER(VALUE(metadata!J202)))</f>
        <v>0</v>
      </c>
      <c r="AL202" t="b">
        <f>AND(IF(metadata!K202="",FALSE,TRUE),EXACT(metadata!K202,"cm"))</f>
        <v>0</v>
      </c>
      <c r="AM202" t="b">
        <f>AND(IF(metadata!L202="",FALSE,TRUE),EXACT(metadata!L202,"human"))</f>
        <v>0</v>
      </c>
      <c r="AN202" t="b">
        <f>AND(IF(metadata!M202="",FALSE,TRUE),EXACT(metadata!M202,"Homo sapiens"))</f>
        <v>0</v>
      </c>
      <c r="AO202" t="b">
        <f>AND(IF(metadata!N202="",FALSE,TRUE),EXACT(metadata!N202,"9606"))</f>
        <v>0</v>
      </c>
      <c r="AP202" t="b">
        <f>IF(metadata!O202="",FALSE,TRUE)</f>
        <v>0</v>
      </c>
      <c r="AQ202" t="b">
        <f>IF(metadata!P202="",FALSE,TRUE)</f>
        <v>0</v>
      </c>
      <c r="AR202" t="b">
        <f>IF(metadata!Q202="",FALSE,ISNUMBER(VALUE(metadata!Q202)))</f>
        <v>0</v>
      </c>
      <c r="AS202" t="b">
        <f>AND(IF(metadata!R202="",FALSE,TRUE),EXACT(metadata!R202,"kg"))</f>
        <v>0</v>
      </c>
    </row>
    <row r="203" spans="1:45" x14ac:dyDescent="0.2">
      <c r="A203" s="5" t="str">
        <f ca="1">IF(B203=" "," ",HYPERLINK(CONCATENATE("#metadata!",ADDRESS(INDEX($X$2:$X$1001,MATCH(ROWS($V$2:V203),$V$2:$V$1001,0),0),1)),INDEX($AA$2:$AA$1001,MATCH(ROWS($V$2:V203),$V$2:$V$1001,0),0)))</f>
        <v xml:space="preserve"> </v>
      </c>
      <c r="B203" s="4" t="str">
        <f ca="1">IF(OR(INDEX($W$2:$W$1001,MATCH(ROWS($V$2:V203),$V$2:$V$1001,0),1)&gt;=100000,INDEX($AC$1005:$AS$1005,1,MATCH(COLUMNS($AC$1006:AC1006),$AC$1006:$AS$1006,0))&gt;=100000), " ",IF(INDEX($AC$2:$AS$1001,MATCH(ROWS($V$2:V203),$V$2:$V$1001,0),MATCH(COLUMNS($AC$1006:AC1006),$AC$1006:$AS$1006,0)), HYPERLINK("#",""), HYPERLINK(CONCATENATE("#metadata!", ADDRESS(INDEX($X$2:$X$1001,MATCH(ROWS($V$2:V203),$V$2:$V$1001,0),0), INDEX($AC$1004:$AS$1004,1,MATCH(COLUMNS($AC$1006:AC1006),$AC$1006:$AS$1006,0)))),"Fix")))</f>
        <v xml:space="preserve"> </v>
      </c>
      <c r="C203" s="4" t="str">
        <f ca="1">IF(OR(INDEX($W$2:$W$1001,MATCH(ROWS($V$2:V203),$V$2:$V$1001,0),1)&gt;=100000,INDEX($AC$1005:$AS$1005,1,MATCH(COLUMNS($AC$1006:AD1006),$AC$1006:$AS$1006,0))&gt;=100000), " ",IF(INDEX($AC$2:$AS$1001,MATCH(ROWS($V$2:V203),$V$2:$V$1001,0),MATCH(COLUMNS($AC$1006:AD1006),$AC$1006:$AS$1006,0)), HYPERLINK("#",""), HYPERLINK(CONCATENATE("#metadata!", ADDRESS(INDEX($X$2:$X$1001,MATCH(ROWS($V$2:V203),$V$2:$V$1001,0),0), INDEX($AC$1004:$AS$1004,1,MATCH(COLUMNS($AC$1006:AD1006),$AC$1006:$AS$1006,0)))),"Fix")))</f>
        <v xml:space="preserve"> </v>
      </c>
      <c r="D203" s="4" t="str">
        <f ca="1">IF(OR(INDEX($W$2:$W$1001,MATCH(ROWS($V$2:V203),$V$2:$V$1001,0),1)&gt;=100000,INDEX($AC$1005:$AS$1005,1,MATCH(COLUMNS($AC$1006:AE1006),$AC$1006:$AS$1006,0))&gt;=100000), " ",IF(INDEX($AC$2:$AS$1001,MATCH(ROWS($V$2:V203),$V$2:$V$1001,0),MATCH(COLUMNS($AC$1006:AE1006),$AC$1006:$AS$1006,0)), HYPERLINK("#",""), HYPERLINK(CONCATENATE("#metadata!", ADDRESS(INDEX($X$2:$X$1001,MATCH(ROWS($V$2:V203),$V$2:$V$1001,0),0), INDEX($AC$1004:$AS$1004,1,MATCH(COLUMNS($AC$1006:AE1006),$AC$1006:$AS$1006,0)))),"Fix")))</f>
        <v xml:space="preserve"> </v>
      </c>
      <c r="E203" s="4" t="str">
        <f ca="1">IF(OR(INDEX($W$2:$W$1001,MATCH(ROWS($V$2:V203),$V$2:$V$1001,0),1)&gt;=100000,INDEX($AC$1005:$AS$1005,1,MATCH(COLUMNS($AC$1006:AF1006),$AC$1006:$AS$1006,0))&gt;=100000), " ",IF(INDEX($AC$2:$AS$1001,MATCH(ROWS($V$2:V203),$V$2:$V$1001,0),MATCH(COLUMNS($AC$1006:AF1006),$AC$1006:$AS$1006,0)), HYPERLINK("#",""), HYPERLINK(CONCATENATE("#metadata!", ADDRESS(INDEX($X$2:$X$1001,MATCH(ROWS($V$2:V203),$V$2:$V$1001,0),0), INDEX($AC$1004:$AS$1004,1,MATCH(COLUMNS($AC$1006:AF1006),$AC$1006:$AS$1006,0)))),"Fix")))</f>
        <v xml:space="preserve"> </v>
      </c>
      <c r="F203" s="4" t="str">
        <f ca="1">IF(OR(INDEX($W$2:$W$1001,MATCH(ROWS($V$2:V203),$V$2:$V$1001,0),1)&gt;=100000,INDEX($AC$1005:$AS$1005,1,MATCH(COLUMNS($AC$1006:AG1006),$AC$1006:$AS$1006,0))&gt;=100000), " ",IF(INDEX($AC$2:$AS$1001,MATCH(ROWS($V$2:V203),$V$2:$V$1001,0),MATCH(COLUMNS($AC$1006:AG1006),$AC$1006:$AS$1006,0)), HYPERLINK("#",""), HYPERLINK(CONCATENATE("#metadata!", ADDRESS(INDEX($X$2:$X$1001,MATCH(ROWS($V$2:V203),$V$2:$V$1001,0),0), INDEX($AC$1004:$AS$1004,1,MATCH(COLUMNS($AC$1006:AG1006),$AC$1006:$AS$1006,0)))),"Fix")))</f>
        <v xml:space="preserve"> </v>
      </c>
      <c r="G203" s="4" t="str">
        <f ca="1">IF(OR(INDEX($W$2:$W$1001,MATCH(ROWS($V$2:V203),$V$2:$V$1001,0),1)&gt;=100000,INDEX($AC$1005:$AS$1005,1,MATCH(COLUMNS($AC$1006:AH1006),$AC$1006:$AS$1006,0))&gt;=100000), " ",IF(INDEX($AC$2:$AS$1001,MATCH(ROWS($V$2:V203),$V$2:$V$1001,0),MATCH(COLUMNS($AC$1006:AH1006),$AC$1006:$AS$1006,0)), HYPERLINK("#",""), HYPERLINK(CONCATENATE("#metadata!", ADDRESS(INDEX($X$2:$X$1001,MATCH(ROWS($V$2:V203),$V$2:$V$1001,0),0), INDEX($AC$1004:$AS$1004,1,MATCH(COLUMNS($AC$1006:AH1006),$AC$1006:$AS$1006,0)))),"Fix")))</f>
        <v xml:space="preserve"> </v>
      </c>
      <c r="H203" s="4" t="str">
        <f ca="1">IF(OR(INDEX($W$2:$W$1001,MATCH(ROWS($V$2:V203),$V$2:$V$1001,0),1)&gt;=100000,INDEX($AC$1005:$AS$1005,1,MATCH(COLUMNS($AC$1006:AI1006),$AC$1006:$AS$1006,0))&gt;=100000), " ",IF(INDEX($AC$2:$AS$1001,MATCH(ROWS($V$2:V203),$V$2:$V$1001,0),MATCH(COLUMNS($AC$1006:AI1006),$AC$1006:$AS$1006,0)), HYPERLINK("#",""), HYPERLINK(CONCATENATE("#metadata!", ADDRESS(INDEX($X$2:$X$1001,MATCH(ROWS($V$2:V203),$V$2:$V$1001,0),0), INDEX($AC$1004:$AS$1004,1,MATCH(COLUMNS($AC$1006:AI1006),$AC$1006:$AS$1006,0)))),"Fix")))</f>
        <v xml:space="preserve"> </v>
      </c>
      <c r="I203" s="4" t="str">
        <f ca="1">IF(OR(INDEX($W$2:$W$1001,MATCH(ROWS($V$2:V203),$V$2:$V$1001,0),1)&gt;=100000,INDEX($AC$1005:$AS$1005,1,MATCH(COLUMNS($AC$1006:AJ1006),$AC$1006:$AS$1006,0))&gt;=100000), " ",IF(INDEX($AC$2:$AS$1001,MATCH(ROWS($V$2:V203),$V$2:$V$1001,0),MATCH(COLUMNS($AC$1006:AJ1006),$AC$1006:$AS$1006,0)), HYPERLINK("#",""), HYPERLINK(CONCATENATE("#metadata!", ADDRESS(INDEX($X$2:$X$1001,MATCH(ROWS($V$2:V203),$V$2:$V$1001,0),0), INDEX($AC$1004:$AS$1004,1,MATCH(COLUMNS($AC$1006:AJ1006),$AC$1006:$AS$1006,0)))),"Fix")))</f>
        <v xml:space="preserve"> </v>
      </c>
      <c r="J203" s="4" t="str">
        <f ca="1">IF(OR(INDEX($W$2:$W$1001,MATCH(ROWS($V$2:V203),$V$2:$V$1001,0),1)&gt;=100000,INDEX($AC$1005:$AS$1005,1,MATCH(COLUMNS($AC$1006:AK1006),$AC$1006:$AS$1006,0))&gt;=100000), " ",IF(INDEX($AC$2:$AS$1001,MATCH(ROWS($V$2:V203),$V$2:$V$1001,0),MATCH(COLUMNS($AC$1006:AK1006),$AC$1006:$AS$1006,0)), HYPERLINK("#",""), HYPERLINK(CONCATENATE("#metadata!", ADDRESS(INDEX($X$2:$X$1001,MATCH(ROWS($V$2:V203),$V$2:$V$1001,0),0), INDEX($AC$1004:$AS$1004,1,MATCH(COLUMNS($AC$1006:AK1006),$AC$1006:$AS$1006,0)))),"Fix")))</f>
        <v xml:space="preserve"> </v>
      </c>
      <c r="K203" s="4" t="str">
        <f ca="1">IF(OR(INDEX($W$2:$W$1001,MATCH(ROWS($V$2:V203),$V$2:$V$1001,0),1)&gt;=100000,INDEX($AC$1005:$AS$1005,1,MATCH(COLUMNS($AC$1006:AL1006),$AC$1006:$AS$1006,0))&gt;=100000), " ",IF(INDEX($AC$2:$AS$1001,MATCH(ROWS($V$2:V203),$V$2:$V$1001,0),MATCH(COLUMNS($AC$1006:AL1006),$AC$1006:$AS$1006,0)), HYPERLINK("#",""), HYPERLINK(CONCATENATE("#metadata!", ADDRESS(INDEX($X$2:$X$1001,MATCH(ROWS($V$2:V203),$V$2:$V$1001,0),0), INDEX($AC$1004:$AS$1004,1,MATCH(COLUMNS($AC$1006:AL1006),$AC$1006:$AS$1006,0)))),"Fix")))</f>
        <v xml:space="preserve"> </v>
      </c>
      <c r="L203" s="4" t="str">
        <f ca="1">IF(OR(INDEX($W$2:$W$1001,MATCH(ROWS($V$2:V203),$V$2:$V$1001,0),1)&gt;=100000,INDEX($AC$1005:$AS$1005,1,MATCH(COLUMNS($AC$1006:AM1006),$AC$1006:$AS$1006,0))&gt;=100000), " ",IF(INDEX($AC$2:$AS$1001,MATCH(ROWS($V$2:V203),$V$2:$V$1001,0),MATCH(COLUMNS($AC$1006:AM1006),$AC$1006:$AS$1006,0)), HYPERLINK("#",""), HYPERLINK(CONCATENATE("#metadata!", ADDRESS(INDEX($X$2:$X$1001,MATCH(ROWS($V$2:V203),$V$2:$V$1001,0),0), INDEX($AC$1004:$AS$1004,1,MATCH(COLUMNS($AC$1006:AM1006),$AC$1006:$AS$1006,0)))),"Fix")))</f>
        <v xml:space="preserve"> </v>
      </c>
      <c r="M203" s="4" t="str">
        <f ca="1">IF(OR(INDEX($W$2:$W$1001,MATCH(ROWS($V$2:V203),$V$2:$V$1001,0),1)&gt;=100000,INDEX($AC$1005:$AS$1005,1,MATCH(COLUMNS($AC$1006:AN1006),$AC$1006:$AS$1006,0))&gt;=100000), " ",IF(INDEX($AC$2:$AS$1001,MATCH(ROWS($V$2:V203),$V$2:$V$1001,0),MATCH(COLUMNS($AC$1006:AN1006),$AC$1006:$AS$1006,0)), HYPERLINK("#",""), HYPERLINK(CONCATENATE("#metadata!", ADDRESS(INDEX($X$2:$X$1001,MATCH(ROWS($V$2:V203),$V$2:$V$1001,0),0), INDEX($AC$1004:$AS$1004,1,MATCH(COLUMNS($AC$1006:AN1006),$AC$1006:$AS$1006,0)))),"Fix")))</f>
        <v xml:space="preserve"> </v>
      </c>
      <c r="N203" s="4" t="str">
        <f ca="1">IF(OR(INDEX($W$2:$W$1001,MATCH(ROWS($V$2:V203),$V$2:$V$1001,0),1)&gt;=100000,INDEX($AC$1005:$AS$1005,1,MATCH(COLUMNS($AC$1006:AO1006),$AC$1006:$AS$1006,0))&gt;=100000), " ",IF(INDEX($AC$2:$AS$1001,MATCH(ROWS($V$2:V203),$V$2:$V$1001,0),MATCH(COLUMNS($AC$1006:AO1006),$AC$1006:$AS$1006,0)), HYPERLINK("#",""), HYPERLINK(CONCATENATE("#metadata!", ADDRESS(INDEX($X$2:$X$1001,MATCH(ROWS($V$2:V203),$V$2:$V$1001,0),0), INDEX($AC$1004:$AS$1004,1,MATCH(COLUMNS($AC$1006:AO1006),$AC$1006:$AS$1006,0)))),"Fix")))</f>
        <v xml:space="preserve"> </v>
      </c>
      <c r="O203" s="4" t="str">
        <f ca="1">IF(OR(INDEX($W$2:$W$1001,MATCH(ROWS($V$2:V203),$V$2:$V$1001,0),1)&gt;=100000,INDEX($AC$1005:$AS$1005,1,MATCH(COLUMNS($AC$1006:AP1006),$AC$1006:$AS$1006,0))&gt;=100000), " ",IF(INDEX($AC$2:$AS$1001,MATCH(ROWS($V$2:V203),$V$2:$V$1001,0),MATCH(COLUMNS($AC$1006:AP1006),$AC$1006:$AS$1006,0)), HYPERLINK("#",""), HYPERLINK(CONCATENATE("#metadata!", ADDRESS(INDEX($X$2:$X$1001,MATCH(ROWS($V$2:V203),$V$2:$V$1001,0),0), INDEX($AC$1004:$AS$1004,1,MATCH(COLUMNS($AC$1006:AP1006),$AC$1006:$AS$1006,0)))),"Fix")))</f>
        <v xml:space="preserve"> </v>
      </c>
      <c r="P203" s="4" t="str">
        <f ca="1">IF(OR(INDEX($W$2:$W$1001,MATCH(ROWS($V$2:V203),$V$2:$V$1001,0),1)&gt;=100000,INDEX($AC$1005:$AS$1005,1,MATCH(COLUMNS($AC$1006:AQ1006),$AC$1006:$AS$1006,0))&gt;=100000), " ",IF(INDEX($AC$2:$AS$1001,MATCH(ROWS($V$2:V203),$V$2:$V$1001,0),MATCH(COLUMNS($AC$1006:AQ1006),$AC$1006:$AS$1006,0)), HYPERLINK("#",""), HYPERLINK(CONCATENATE("#metadata!", ADDRESS(INDEX($X$2:$X$1001,MATCH(ROWS($V$2:V203),$V$2:$V$1001,0),0), INDEX($AC$1004:$AS$1004,1,MATCH(COLUMNS($AC$1006:AQ1006),$AC$1006:$AS$1006,0)))),"Fix")))</f>
        <v xml:space="preserve"> </v>
      </c>
      <c r="Q203" s="4" t="str">
        <f ca="1">IF(OR(INDEX($W$2:$W$1001,MATCH(ROWS($V$2:V203),$V$2:$V$1001,0),1)&gt;=100000,INDEX($AC$1005:$AS$1005,1,MATCH(COLUMNS($AC$1006:AR1006),$AC$1006:$AS$1006,0))&gt;=100000), " ",IF(INDEX($AC$2:$AS$1001,MATCH(ROWS($V$2:V203),$V$2:$V$1001,0),MATCH(COLUMNS($AC$1006:AR1006),$AC$1006:$AS$1006,0)), HYPERLINK("#",""), HYPERLINK(CONCATENATE("#metadata!", ADDRESS(INDEX($X$2:$X$1001,MATCH(ROWS($V$2:V203),$V$2:$V$1001,0),0), INDEX($AC$1004:$AS$1004,1,MATCH(COLUMNS($AC$1006:AR1006),$AC$1006:$AS$1006,0)))),"Fix")))</f>
        <v xml:space="preserve"> </v>
      </c>
      <c r="R203" s="4" t="str">
        <f ca="1">IF(OR(INDEX($W$2:$W$1001,MATCH(ROWS($V$2:V203),$V$2:$V$1001,0),1)&gt;=100000,INDEX($AC$1005:$AS$1005,1,MATCH(COLUMNS($AC$1006:AS1006),$AC$1006:$AS$1006,0))&gt;=100000), " ",IF(INDEX($AC$2:$AS$1001,MATCH(ROWS($V$2:V203),$V$2:$V$1001,0),MATCH(COLUMNS($AC$1006:AS1006),$AC$1006:$AS$1006,0)), HYPERLINK("#",""), HYPERLINK(CONCATENATE("#metadata!", ADDRESS(INDEX($X$2:$X$1001,MATCH(ROWS($V$2:V203),$V$2:$V$1001,0),0), INDEX($AC$1004:$AS$1004,1,MATCH(COLUMNS($AC$1006:AS1006),$AC$1006:$AS$1006,0)))),"Fix")))</f>
        <v xml:space="preserve"> </v>
      </c>
      <c r="V203">
        <v>202</v>
      </c>
      <c r="W203">
        <v>100203</v>
      </c>
      <c r="X203">
        <v>203</v>
      </c>
      <c r="Y203" t="b">
        <f t="shared" si="3"/>
        <v>1</v>
      </c>
      <c r="Z203" t="b">
        <f>COUNTBLANK(metadata!B203:R203)=COLUMNS(metadata!B203:R203)</f>
        <v>1</v>
      </c>
      <c r="AA203" t="str">
        <v/>
      </c>
      <c r="AC203" t="b">
        <f ca="1"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AD203" t="b">
        <f>IF(metadata!C203="",FALSE,ISNUMBER(VALUE(metadata!C203)))</f>
        <v>0</v>
      </c>
      <c r="AE203" t="b">
        <f>AND(IF(metadata!D203="",FALSE,TRUE),EXACT(metadata!D203,"years"))</f>
        <v>0</v>
      </c>
      <c r="AF203" t="b">
        <f>OR(AND(IF(metadata!E203="",FALSE,TRUE),OR(EXACT(metadata!E203,"not applicable"),EXACT(metadata!E203,"missing: not collected"),EXACT(metadata!E203,"missing: not provided"),EXACT(metadata!E203,"missing: restricted access"))),AND(IF(metadata!E203="",FALSE,ISNUMBER(VALUE(metadata!E203))),metadata!E203&gt;0))</f>
        <v>0</v>
      </c>
      <c r="AG203" t="b">
        <f>AND(IF(metadata!F203="",FALSE,TRUE),EXACT(metadata!F203,"Not applicable"))</f>
        <v>0</v>
      </c>
      <c r="AH203" t="b">
        <f>AND(IF(metadata!G203="",FALSE,TRUE),EXACT(metadata!G203,"urban biome"))</f>
        <v>0</v>
      </c>
      <c r="AI203" t="b">
        <f>AND(IF(metadata!H203="",FALSE,TRUE),EXACT(metadata!H203,"human-associated habitat"))</f>
        <v>0</v>
      </c>
      <c r="AJ203" t="b">
        <f>AND(IF(metadata!I203="",FALSE,TRUE),OR(EXACT(metadata!I203,"human-associated"),EXACT(metadata!I203,"human-skin"),EXACT(metadata!I203,"human-oral"),EXACT(metadata!I203,"human-gut"),EXACT(metadata!I203,"human-vaginal")))</f>
        <v>0</v>
      </c>
      <c r="AK203" t="b">
        <f>IF(metadata!J203="",FALSE,ISNUMBER(VALUE(metadata!J203)))</f>
        <v>0</v>
      </c>
      <c r="AL203" t="b">
        <f>AND(IF(metadata!K203="",FALSE,TRUE),EXACT(metadata!K203,"cm"))</f>
        <v>0</v>
      </c>
      <c r="AM203" t="b">
        <f>AND(IF(metadata!L203="",FALSE,TRUE),EXACT(metadata!L203,"human"))</f>
        <v>0</v>
      </c>
      <c r="AN203" t="b">
        <f>AND(IF(metadata!M203="",FALSE,TRUE),EXACT(metadata!M203,"Homo sapiens"))</f>
        <v>0</v>
      </c>
      <c r="AO203" t="b">
        <f>AND(IF(metadata!N203="",FALSE,TRUE),EXACT(metadata!N203,"9606"))</f>
        <v>0</v>
      </c>
      <c r="AP203" t="b">
        <f>IF(metadata!O203="",FALSE,TRUE)</f>
        <v>0</v>
      </c>
      <c r="AQ203" t="b">
        <f>IF(metadata!P203="",FALSE,TRUE)</f>
        <v>0</v>
      </c>
      <c r="AR203" t="b">
        <f>IF(metadata!Q203="",FALSE,ISNUMBER(VALUE(metadata!Q203)))</f>
        <v>0</v>
      </c>
      <c r="AS203" t="b">
        <f>AND(IF(metadata!R203="",FALSE,TRUE),EXACT(metadata!R203,"kg"))</f>
        <v>0</v>
      </c>
    </row>
    <row r="204" spans="1:45" x14ac:dyDescent="0.2">
      <c r="A204" s="5" t="str">
        <f ca="1">IF(B204=" "," ",HYPERLINK(CONCATENATE("#metadata!",ADDRESS(INDEX($X$2:$X$1001,MATCH(ROWS($V$2:V204),$V$2:$V$1001,0),0),1)),INDEX($AA$2:$AA$1001,MATCH(ROWS($V$2:V204),$V$2:$V$1001,0),0)))</f>
        <v xml:space="preserve"> </v>
      </c>
      <c r="B204" s="4" t="str">
        <f ca="1">IF(OR(INDEX($W$2:$W$1001,MATCH(ROWS($V$2:V204),$V$2:$V$1001,0),1)&gt;=100000,INDEX($AC$1005:$AS$1005,1,MATCH(COLUMNS($AC$1006:AC1006),$AC$1006:$AS$1006,0))&gt;=100000), " ",IF(INDEX($AC$2:$AS$1001,MATCH(ROWS($V$2:V204),$V$2:$V$1001,0),MATCH(COLUMNS($AC$1006:AC1006),$AC$1006:$AS$1006,0)), HYPERLINK("#",""), HYPERLINK(CONCATENATE("#metadata!", ADDRESS(INDEX($X$2:$X$1001,MATCH(ROWS($V$2:V204),$V$2:$V$1001,0),0), INDEX($AC$1004:$AS$1004,1,MATCH(COLUMNS($AC$1006:AC1006),$AC$1006:$AS$1006,0)))),"Fix")))</f>
        <v xml:space="preserve"> </v>
      </c>
      <c r="C204" s="4" t="str">
        <f ca="1">IF(OR(INDEX($W$2:$W$1001,MATCH(ROWS($V$2:V204),$V$2:$V$1001,0),1)&gt;=100000,INDEX($AC$1005:$AS$1005,1,MATCH(COLUMNS($AC$1006:AD1006),$AC$1006:$AS$1006,0))&gt;=100000), " ",IF(INDEX($AC$2:$AS$1001,MATCH(ROWS($V$2:V204),$V$2:$V$1001,0),MATCH(COLUMNS($AC$1006:AD1006),$AC$1006:$AS$1006,0)), HYPERLINK("#",""), HYPERLINK(CONCATENATE("#metadata!", ADDRESS(INDEX($X$2:$X$1001,MATCH(ROWS($V$2:V204),$V$2:$V$1001,0),0), INDEX($AC$1004:$AS$1004,1,MATCH(COLUMNS($AC$1006:AD1006),$AC$1006:$AS$1006,0)))),"Fix")))</f>
        <v xml:space="preserve"> </v>
      </c>
      <c r="D204" s="4" t="str">
        <f ca="1">IF(OR(INDEX($W$2:$W$1001,MATCH(ROWS($V$2:V204),$V$2:$V$1001,0),1)&gt;=100000,INDEX($AC$1005:$AS$1005,1,MATCH(COLUMNS($AC$1006:AE1006),$AC$1006:$AS$1006,0))&gt;=100000), " ",IF(INDEX($AC$2:$AS$1001,MATCH(ROWS($V$2:V204),$V$2:$V$1001,0),MATCH(COLUMNS($AC$1006:AE1006),$AC$1006:$AS$1006,0)), HYPERLINK("#",""), HYPERLINK(CONCATENATE("#metadata!", ADDRESS(INDEX($X$2:$X$1001,MATCH(ROWS($V$2:V204),$V$2:$V$1001,0),0), INDEX($AC$1004:$AS$1004,1,MATCH(COLUMNS($AC$1006:AE1006),$AC$1006:$AS$1006,0)))),"Fix")))</f>
        <v xml:space="preserve"> </v>
      </c>
      <c r="E204" s="4" t="str">
        <f ca="1">IF(OR(INDEX($W$2:$W$1001,MATCH(ROWS($V$2:V204),$V$2:$V$1001,0),1)&gt;=100000,INDEX($AC$1005:$AS$1005,1,MATCH(COLUMNS($AC$1006:AF1006),$AC$1006:$AS$1006,0))&gt;=100000), " ",IF(INDEX($AC$2:$AS$1001,MATCH(ROWS($V$2:V204),$V$2:$V$1001,0),MATCH(COLUMNS($AC$1006:AF1006),$AC$1006:$AS$1006,0)), HYPERLINK("#",""), HYPERLINK(CONCATENATE("#metadata!", ADDRESS(INDEX($X$2:$X$1001,MATCH(ROWS($V$2:V204),$V$2:$V$1001,0),0), INDEX($AC$1004:$AS$1004,1,MATCH(COLUMNS($AC$1006:AF1006),$AC$1006:$AS$1006,0)))),"Fix")))</f>
        <v xml:space="preserve"> </v>
      </c>
      <c r="F204" s="4" t="str">
        <f ca="1">IF(OR(INDEX($W$2:$W$1001,MATCH(ROWS($V$2:V204),$V$2:$V$1001,0),1)&gt;=100000,INDEX($AC$1005:$AS$1005,1,MATCH(COLUMNS($AC$1006:AG1006),$AC$1006:$AS$1006,0))&gt;=100000), " ",IF(INDEX($AC$2:$AS$1001,MATCH(ROWS($V$2:V204),$V$2:$V$1001,0),MATCH(COLUMNS($AC$1006:AG1006),$AC$1006:$AS$1006,0)), HYPERLINK("#",""), HYPERLINK(CONCATENATE("#metadata!", ADDRESS(INDEX($X$2:$X$1001,MATCH(ROWS($V$2:V204),$V$2:$V$1001,0),0), INDEX($AC$1004:$AS$1004,1,MATCH(COLUMNS($AC$1006:AG1006),$AC$1006:$AS$1006,0)))),"Fix")))</f>
        <v xml:space="preserve"> </v>
      </c>
      <c r="G204" s="4" t="str">
        <f ca="1">IF(OR(INDEX($W$2:$W$1001,MATCH(ROWS($V$2:V204),$V$2:$V$1001,0),1)&gt;=100000,INDEX($AC$1005:$AS$1005,1,MATCH(COLUMNS($AC$1006:AH1006),$AC$1006:$AS$1006,0))&gt;=100000), " ",IF(INDEX($AC$2:$AS$1001,MATCH(ROWS($V$2:V204),$V$2:$V$1001,0),MATCH(COLUMNS($AC$1006:AH1006),$AC$1006:$AS$1006,0)), HYPERLINK("#",""), HYPERLINK(CONCATENATE("#metadata!", ADDRESS(INDEX($X$2:$X$1001,MATCH(ROWS($V$2:V204),$V$2:$V$1001,0),0), INDEX($AC$1004:$AS$1004,1,MATCH(COLUMNS($AC$1006:AH1006),$AC$1006:$AS$1006,0)))),"Fix")))</f>
        <v xml:space="preserve"> </v>
      </c>
      <c r="H204" s="4" t="str">
        <f ca="1">IF(OR(INDEX($W$2:$W$1001,MATCH(ROWS($V$2:V204),$V$2:$V$1001,0),1)&gt;=100000,INDEX($AC$1005:$AS$1005,1,MATCH(COLUMNS($AC$1006:AI1006),$AC$1006:$AS$1006,0))&gt;=100000), " ",IF(INDEX($AC$2:$AS$1001,MATCH(ROWS($V$2:V204),$V$2:$V$1001,0),MATCH(COLUMNS($AC$1006:AI1006),$AC$1006:$AS$1006,0)), HYPERLINK("#",""), HYPERLINK(CONCATENATE("#metadata!", ADDRESS(INDEX($X$2:$X$1001,MATCH(ROWS($V$2:V204),$V$2:$V$1001,0),0), INDEX($AC$1004:$AS$1004,1,MATCH(COLUMNS($AC$1006:AI1006),$AC$1006:$AS$1006,0)))),"Fix")))</f>
        <v xml:space="preserve"> </v>
      </c>
      <c r="I204" s="4" t="str">
        <f ca="1">IF(OR(INDEX($W$2:$W$1001,MATCH(ROWS($V$2:V204),$V$2:$V$1001,0),1)&gt;=100000,INDEX($AC$1005:$AS$1005,1,MATCH(COLUMNS($AC$1006:AJ1006),$AC$1006:$AS$1006,0))&gt;=100000), " ",IF(INDEX($AC$2:$AS$1001,MATCH(ROWS($V$2:V204),$V$2:$V$1001,0),MATCH(COLUMNS($AC$1006:AJ1006),$AC$1006:$AS$1006,0)), HYPERLINK("#",""), HYPERLINK(CONCATENATE("#metadata!", ADDRESS(INDEX($X$2:$X$1001,MATCH(ROWS($V$2:V204),$V$2:$V$1001,0),0), INDEX($AC$1004:$AS$1004,1,MATCH(COLUMNS($AC$1006:AJ1006),$AC$1006:$AS$1006,0)))),"Fix")))</f>
        <v xml:space="preserve"> </v>
      </c>
      <c r="J204" s="4" t="str">
        <f ca="1">IF(OR(INDEX($W$2:$W$1001,MATCH(ROWS($V$2:V204),$V$2:$V$1001,0),1)&gt;=100000,INDEX($AC$1005:$AS$1005,1,MATCH(COLUMNS($AC$1006:AK1006),$AC$1006:$AS$1006,0))&gt;=100000), " ",IF(INDEX($AC$2:$AS$1001,MATCH(ROWS($V$2:V204),$V$2:$V$1001,0),MATCH(COLUMNS($AC$1006:AK1006),$AC$1006:$AS$1006,0)), HYPERLINK("#",""), HYPERLINK(CONCATENATE("#metadata!", ADDRESS(INDEX($X$2:$X$1001,MATCH(ROWS($V$2:V204),$V$2:$V$1001,0),0), INDEX($AC$1004:$AS$1004,1,MATCH(COLUMNS($AC$1006:AK1006),$AC$1006:$AS$1006,0)))),"Fix")))</f>
        <v xml:space="preserve"> </v>
      </c>
      <c r="K204" s="4" t="str">
        <f ca="1">IF(OR(INDEX($W$2:$W$1001,MATCH(ROWS($V$2:V204),$V$2:$V$1001,0),1)&gt;=100000,INDEX($AC$1005:$AS$1005,1,MATCH(COLUMNS($AC$1006:AL1006),$AC$1006:$AS$1006,0))&gt;=100000), " ",IF(INDEX($AC$2:$AS$1001,MATCH(ROWS($V$2:V204),$V$2:$V$1001,0),MATCH(COLUMNS($AC$1006:AL1006),$AC$1006:$AS$1006,0)), HYPERLINK("#",""), HYPERLINK(CONCATENATE("#metadata!", ADDRESS(INDEX($X$2:$X$1001,MATCH(ROWS($V$2:V204),$V$2:$V$1001,0),0), INDEX($AC$1004:$AS$1004,1,MATCH(COLUMNS($AC$1006:AL1006),$AC$1006:$AS$1006,0)))),"Fix")))</f>
        <v xml:space="preserve"> </v>
      </c>
      <c r="L204" s="4" t="str">
        <f ca="1">IF(OR(INDEX($W$2:$W$1001,MATCH(ROWS($V$2:V204),$V$2:$V$1001,0),1)&gt;=100000,INDEX($AC$1005:$AS$1005,1,MATCH(COLUMNS($AC$1006:AM1006),$AC$1006:$AS$1006,0))&gt;=100000), " ",IF(INDEX($AC$2:$AS$1001,MATCH(ROWS($V$2:V204),$V$2:$V$1001,0),MATCH(COLUMNS($AC$1006:AM1006),$AC$1006:$AS$1006,0)), HYPERLINK("#",""), HYPERLINK(CONCATENATE("#metadata!", ADDRESS(INDEX($X$2:$X$1001,MATCH(ROWS($V$2:V204),$V$2:$V$1001,0),0), INDEX($AC$1004:$AS$1004,1,MATCH(COLUMNS($AC$1006:AM1006),$AC$1006:$AS$1006,0)))),"Fix")))</f>
        <v xml:space="preserve"> </v>
      </c>
      <c r="M204" s="4" t="str">
        <f ca="1">IF(OR(INDEX($W$2:$W$1001,MATCH(ROWS($V$2:V204),$V$2:$V$1001,0),1)&gt;=100000,INDEX($AC$1005:$AS$1005,1,MATCH(COLUMNS($AC$1006:AN1006),$AC$1006:$AS$1006,0))&gt;=100000), " ",IF(INDEX($AC$2:$AS$1001,MATCH(ROWS($V$2:V204),$V$2:$V$1001,0),MATCH(COLUMNS($AC$1006:AN1006),$AC$1006:$AS$1006,0)), HYPERLINK("#",""), HYPERLINK(CONCATENATE("#metadata!", ADDRESS(INDEX($X$2:$X$1001,MATCH(ROWS($V$2:V204),$V$2:$V$1001,0),0), INDEX($AC$1004:$AS$1004,1,MATCH(COLUMNS($AC$1006:AN1006),$AC$1006:$AS$1006,0)))),"Fix")))</f>
        <v xml:space="preserve"> </v>
      </c>
      <c r="N204" s="4" t="str">
        <f ca="1">IF(OR(INDEX($W$2:$W$1001,MATCH(ROWS($V$2:V204),$V$2:$V$1001,0),1)&gt;=100000,INDEX($AC$1005:$AS$1005,1,MATCH(COLUMNS($AC$1006:AO1006),$AC$1006:$AS$1006,0))&gt;=100000), " ",IF(INDEX($AC$2:$AS$1001,MATCH(ROWS($V$2:V204),$V$2:$V$1001,0),MATCH(COLUMNS($AC$1006:AO1006),$AC$1006:$AS$1006,0)), HYPERLINK("#",""), HYPERLINK(CONCATENATE("#metadata!", ADDRESS(INDEX($X$2:$X$1001,MATCH(ROWS($V$2:V204),$V$2:$V$1001,0),0), INDEX($AC$1004:$AS$1004,1,MATCH(COLUMNS($AC$1006:AO1006),$AC$1006:$AS$1006,0)))),"Fix")))</f>
        <v xml:space="preserve"> </v>
      </c>
      <c r="O204" s="4" t="str">
        <f ca="1">IF(OR(INDEX($W$2:$W$1001,MATCH(ROWS($V$2:V204),$V$2:$V$1001,0),1)&gt;=100000,INDEX($AC$1005:$AS$1005,1,MATCH(COLUMNS($AC$1006:AP1006),$AC$1006:$AS$1006,0))&gt;=100000), " ",IF(INDEX($AC$2:$AS$1001,MATCH(ROWS($V$2:V204),$V$2:$V$1001,0),MATCH(COLUMNS($AC$1006:AP1006),$AC$1006:$AS$1006,0)), HYPERLINK("#",""), HYPERLINK(CONCATENATE("#metadata!", ADDRESS(INDEX($X$2:$X$1001,MATCH(ROWS($V$2:V204),$V$2:$V$1001,0),0), INDEX($AC$1004:$AS$1004,1,MATCH(COLUMNS($AC$1006:AP1006),$AC$1006:$AS$1006,0)))),"Fix")))</f>
        <v xml:space="preserve"> </v>
      </c>
      <c r="P204" s="4" t="str">
        <f ca="1">IF(OR(INDEX($W$2:$W$1001,MATCH(ROWS($V$2:V204),$V$2:$V$1001,0),1)&gt;=100000,INDEX($AC$1005:$AS$1005,1,MATCH(COLUMNS($AC$1006:AQ1006),$AC$1006:$AS$1006,0))&gt;=100000), " ",IF(INDEX($AC$2:$AS$1001,MATCH(ROWS($V$2:V204),$V$2:$V$1001,0),MATCH(COLUMNS($AC$1006:AQ1006),$AC$1006:$AS$1006,0)), HYPERLINK("#",""), HYPERLINK(CONCATENATE("#metadata!", ADDRESS(INDEX($X$2:$X$1001,MATCH(ROWS($V$2:V204),$V$2:$V$1001,0),0), INDEX($AC$1004:$AS$1004,1,MATCH(COLUMNS($AC$1006:AQ1006),$AC$1006:$AS$1006,0)))),"Fix")))</f>
        <v xml:space="preserve"> </v>
      </c>
      <c r="Q204" s="4" t="str">
        <f ca="1">IF(OR(INDEX($W$2:$W$1001,MATCH(ROWS($V$2:V204),$V$2:$V$1001,0),1)&gt;=100000,INDEX($AC$1005:$AS$1005,1,MATCH(COLUMNS($AC$1006:AR1006),$AC$1006:$AS$1006,0))&gt;=100000), " ",IF(INDEX($AC$2:$AS$1001,MATCH(ROWS($V$2:V204),$V$2:$V$1001,0),MATCH(COLUMNS($AC$1006:AR1006),$AC$1006:$AS$1006,0)), HYPERLINK("#",""), HYPERLINK(CONCATENATE("#metadata!", ADDRESS(INDEX($X$2:$X$1001,MATCH(ROWS($V$2:V204),$V$2:$V$1001,0),0), INDEX($AC$1004:$AS$1004,1,MATCH(COLUMNS($AC$1006:AR1006),$AC$1006:$AS$1006,0)))),"Fix")))</f>
        <v xml:space="preserve"> </v>
      </c>
      <c r="R204" s="4" t="str">
        <f ca="1">IF(OR(INDEX($W$2:$W$1001,MATCH(ROWS($V$2:V204),$V$2:$V$1001,0),1)&gt;=100000,INDEX($AC$1005:$AS$1005,1,MATCH(COLUMNS($AC$1006:AS1006),$AC$1006:$AS$1006,0))&gt;=100000), " ",IF(INDEX($AC$2:$AS$1001,MATCH(ROWS($V$2:V204),$V$2:$V$1001,0),MATCH(COLUMNS($AC$1006:AS1006),$AC$1006:$AS$1006,0)), HYPERLINK("#",""), HYPERLINK(CONCATENATE("#metadata!", ADDRESS(INDEX($X$2:$X$1001,MATCH(ROWS($V$2:V204),$V$2:$V$1001,0),0), INDEX($AC$1004:$AS$1004,1,MATCH(COLUMNS($AC$1006:AS1006),$AC$1006:$AS$1006,0)))),"Fix")))</f>
        <v xml:space="preserve"> </v>
      </c>
      <c r="V204">
        <v>203</v>
      </c>
      <c r="W204">
        <v>100204</v>
      </c>
      <c r="X204">
        <v>204</v>
      </c>
      <c r="Y204" t="b">
        <f t="shared" si="3"/>
        <v>1</v>
      </c>
      <c r="Z204" t="b">
        <f>COUNTBLANK(metadata!B204:R204)=COLUMNS(metadata!B204:R204)</f>
        <v>1</v>
      </c>
      <c r="AA204" t="str">
        <v/>
      </c>
      <c r="AC204" t="b">
        <f ca="1"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AD204" t="b">
        <f>IF(metadata!C204="",FALSE,ISNUMBER(VALUE(metadata!C204)))</f>
        <v>0</v>
      </c>
      <c r="AE204" t="b">
        <f>AND(IF(metadata!D204="",FALSE,TRUE),EXACT(metadata!D204,"years"))</f>
        <v>0</v>
      </c>
      <c r="AF204" t="b">
        <f>OR(AND(IF(metadata!E204="",FALSE,TRUE),OR(EXACT(metadata!E204,"not applicable"),EXACT(metadata!E204,"missing: not collected"),EXACT(metadata!E204,"missing: not provided"),EXACT(metadata!E204,"missing: restricted access"))),AND(IF(metadata!E204="",FALSE,ISNUMBER(VALUE(metadata!E204))),metadata!E204&gt;0))</f>
        <v>0</v>
      </c>
      <c r="AG204" t="b">
        <f>AND(IF(metadata!F204="",FALSE,TRUE),EXACT(metadata!F204,"Not applicable"))</f>
        <v>0</v>
      </c>
      <c r="AH204" t="b">
        <f>AND(IF(metadata!G204="",FALSE,TRUE),EXACT(metadata!G204,"urban biome"))</f>
        <v>0</v>
      </c>
      <c r="AI204" t="b">
        <f>AND(IF(metadata!H204="",FALSE,TRUE),EXACT(metadata!H204,"human-associated habitat"))</f>
        <v>0</v>
      </c>
      <c r="AJ204" t="b">
        <f>AND(IF(metadata!I204="",FALSE,TRUE),OR(EXACT(metadata!I204,"human-associated"),EXACT(metadata!I204,"human-skin"),EXACT(metadata!I204,"human-oral"),EXACT(metadata!I204,"human-gut"),EXACT(metadata!I204,"human-vaginal")))</f>
        <v>0</v>
      </c>
      <c r="AK204" t="b">
        <f>IF(metadata!J204="",FALSE,ISNUMBER(VALUE(metadata!J204)))</f>
        <v>0</v>
      </c>
      <c r="AL204" t="b">
        <f>AND(IF(metadata!K204="",FALSE,TRUE),EXACT(metadata!K204,"cm"))</f>
        <v>0</v>
      </c>
      <c r="AM204" t="b">
        <f>AND(IF(metadata!L204="",FALSE,TRUE),EXACT(metadata!L204,"human"))</f>
        <v>0</v>
      </c>
      <c r="AN204" t="b">
        <f>AND(IF(metadata!M204="",FALSE,TRUE),EXACT(metadata!M204,"Homo sapiens"))</f>
        <v>0</v>
      </c>
      <c r="AO204" t="b">
        <f>AND(IF(metadata!N204="",FALSE,TRUE),EXACT(metadata!N204,"9606"))</f>
        <v>0</v>
      </c>
      <c r="AP204" t="b">
        <f>IF(metadata!O204="",FALSE,TRUE)</f>
        <v>0</v>
      </c>
      <c r="AQ204" t="b">
        <f>IF(metadata!P204="",FALSE,TRUE)</f>
        <v>0</v>
      </c>
      <c r="AR204" t="b">
        <f>IF(metadata!Q204="",FALSE,ISNUMBER(VALUE(metadata!Q204)))</f>
        <v>0</v>
      </c>
      <c r="AS204" t="b">
        <f>AND(IF(metadata!R204="",FALSE,TRUE),EXACT(metadata!R204,"kg"))</f>
        <v>0</v>
      </c>
    </row>
    <row r="205" spans="1:45" x14ac:dyDescent="0.2">
      <c r="A205" s="5" t="str">
        <f ca="1">IF(B205=" "," ",HYPERLINK(CONCATENATE("#metadata!",ADDRESS(INDEX($X$2:$X$1001,MATCH(ROWS($V$2:V205),$V$2:$V$1001,0),0),1)),INDEX($AA$2:$AA$1001,MATCH(ROWS($V$2:V205),$V$2:$V$1001,0),0)))</f>
        <v xml:space="preserve"> </v>
      </c>
      <c r="B205" s="4" t="str">
        <f ca="1">IF(OR(INDEX($W$2:$W$1001,MATCH(ROWS($V$2:V205),$V$2:$V$1001,0),1)&gt;=100000,INDEX($AC$1005:$AS$1005,1,MATCH(COLUMNS($AC$1006:AC1006),$AC$1006:$AS$1006,0))&gt;=100000), " ",IF(INDEX($AC$2:$AS$1001,MATCH(ROWS($V$2:V205),$V$2:$V$1001,0),MATCH(COLUMNS($AC$1006:AC1006),$AC$1006:$AS$1006,0)), HYPERLINK("#",""), HYPERLINK(CONCATENATE("#metadata!", ADDRESS(INDEX($X$2:$X$1001,MATCH(ROWS($V$2:V205),$V$2:$V$1001,0),0), INDEX($AC$1004:$AS$1004,1,MATCH(COLUMNS($AC$1006:AC1006),$AC$1006:$AS$1006,0)))),"Fix")))</f>
        <v xml:space="preserve"> </v>
      </c>
      <c r="C205" s="4" t="str">
        <f ca="1">IF(OR(INDEX($W$2:$W$1001,MATCH(ROWS($V$2:V205),$V$2:$V$1001,0),1)&gt;=100000,INDEX($AC$1005:$AS$1005,1,MATCH(COLUMNS($AC$1006:AD1006),$AC$1006:$AS$1006,0))&gt;=100000), " ",IF(INDEX($AC$2:$AS$1001,MATCH(ROWS($V$2:V205),$V$2:$V$1001,0),MATCH(COLUMNS($AC$1006:AD1006),$AC$1006:$AS$1006,0)), HYPERLINK("#",""), HYPERLINK(CONCATENATE("#metadata!", ADDRESS(INDEX($X$2:$X$1001,MATCH(ROWS($V$2:V205),$V$2:$V$1001,0),0), INDEX($AC$1004:$AS$1004,1,MATCH(COLUMNS($AC$1006:AD1006),$AC$1006:$AS$1006,0)))),"Fix")))</f>
        <v xml:space="preserve"> </v>
      </c>
      <c r="D205" s="4" t="str">
        <f ca="1">IF(OR(INDEX($W$2:$W$1001,MATCH(ROWS($V$2:V205),$V$2:$V$1001,0),1)&gt;=100000,INDEX($AC$1005:$AS$1005,1,MATCH(COLUMNS($AC$1006:AE1006),$AC$1006:$AS$1006,0))&gt;=100000), " ",IF(INDEX($AC$2:$AS$1001,MATCH(ROWS($V$2:V205),$V$2:$V$1001,0),MATCH(COLUMNS($AC$1006:AE1006),$AC$1006:$AS$1006,0)), HYPERLINK("#",""), HYPERLINK(CONCATENATE("#metadata!", ADDRESS(INDEX($X$2:$X$1001,MATCH(ROWS($V$2:V205),$V$2:$V$1001,0),0), INDEX($AC$1004:$AS$1004,1,MATCH(COLUMNS($AC$1006:AE1006),$AC$1006:$AS$1006,0)))),"Fix")))</f>
        <v xml:space="preserve"> </v>
      </c>
      <c r="E205" s="4" t="str">
        <f ca="1">IF(OR(INDEX($W$2:$W$1001,MATCH(ROWS($V$2:V205),$V$2:$V$1001,0),1)&gt;=100000,INDEX($AC$1005:$AS$1005,1,MATCH(COLUMNS($AC$1006:AF1006),$AC$1006:$AS$1006,0))&gt;=100000), " ",IF(INDEX($AC$2:$AS$1001,MATCH(ROWS($V$2:V205),$V$2:$V$1001,0),MATCH(COLUMNS($AC$1006:AF1006),$AC$1006:$AS$1006,0)), HYPERLINK("#",""), HYPERLINK(CONCATENATE("#metadata!", ADDRESS(INDEX($X$2:$X$1001,MATCH(ROWS($V$2:V205),$V$2:$V$1001,0),0), INDEX($AC$1004:$AS$1004,1,MATCH(COLUMNS($AC$1006:AF1006),$AC$1006:$AS$1006,0)))),"Fix")))</f>
        <v xml:space="preserve"> </v>
      </c>
      <c r="F205" s="4" t="str">
        <f ca="1">IF(OR(INDEX($W$2:$W$1001,MATCH(ROWS($V$2:V205),$V$2:$V$1001,0),1)&gt;=100000,INDEX($AC$1005:$AS$1005,1,MATCH(COLUMNS($AC$1006:AG1006),$AC$1006:$AS$1006,0))&gt;=100000), " ",IF(INDEX($AC$2:$AS$1001,MATCH(ROWS($V$2:V205),$V$2:$V$1001,0),MATCH(COLUMNS($AC$1006:AG1006),$AC$1006:$AS$1006,0)), HYPERLINK("#",""), HYPERLINK(CONCATENATE("#metadata!", ADDRESS(INDEX($X$2:$X$1001,MATCH(ROWS($V$2:V205),$V$2:$V$1001,0),0), INDEX($AC$1004:$AS$1004,1,MATCH(COLUMNS($AC$1006:AG1006),$AC$1006:$AS$1006,0)))),"Fix")))</f>
        <v xml:space="preserve"> </v>
      </c>
      <c r="G205" s="4" t="str">
        <f ca="1">IF(OR(INDEX($W$2:$W$1001,MATCH(ROWS($V$2:V205),$V$2:$V$1001,0),1)&gt;=100000,INDEX($AC$1005:$AS$1005,1,MATCH(COLUMNS($AC$1006:AH1006),$AC$1006:$AS$1006,0))&gt;=100000), " ",IF(INDEX($AC$2:$AS$1001,MATCH(ROWS($V$2:V205),$V$2:$V$1001,0),MATCH(COLUMNS($AC$1006:AH1006),$AC$1006:$AS$1006,0)), HYPERLINK("#",""), HYPERLINK(CONCATENATE("#metadata!", ADDRESS(INDEX($X$2:$X$1001,MATCH(ROWS($V$2:V205),$V$2:$V$1001,0),0), INDEX($AC$1004:$AS$1004,1,MATCH(COLUMNS($AC$1006:AH1006),$AC$1006:$AS$1006,0)))),"Fix")))</f>
        <v xml:space="preserve"> </v>
      </c>
      <c r="H205" s="4" t="str">
        <f ca="1">IF(OR(INDEX($W$2:$W$1001,MATCH(ROWS($V$2:V205),$V$2:$V$1001,0),1)&gt;=100000,INDEX($AC$1005:$AS$1005,1,MATCH(COLUMNS($AC$1006:AI1006),$AC$1006:$AS$1006,0))&gt;=100000), " ",IF(INDEX($AC$2:$AS$1001,MATCH(ROWS($V$2:V205),$V$2:$V$1001,0),MATCH(COLUMNS($AC$1006:AI1006),$AC$1006:$AS$1006,0)), HYPERLINK("#",""), HYPERLINK(CONCATENATE("#metadata!", ADDRESS(INDEX($X$2:$X$1001,MATCH(ROWS($V$2:V205),$V$2:$V$1001,0),0), INDEX($AC$1004:$AS$1004,1,MATCH(COLUMNS($AC$1006:AI1006),$AC$1006:$AS$1006,0)))),"Fix")))</f>
        <v xml:space="preserve"> </v>
      </c>
      <c r="I205" s="4" t="str">
        <f ca="1">IF(OR(INDEX($W$2:$W$1001,MATCH(ROWS($V$2:V205),$V$2:$V$1001,0),1)&gt;=100000,INDEX($AC$1005:$AS$1005,1,MATCH(COLUMNS($AC$1006:AJ1006),$AC$1006:$AS$1006,0))&gt;=100000), " ",IF(INDEX($AC$2:$AS$1001,MATCH(ROWS($V$2:V205),$V$2:$V$1001,0),MATCH(COLUMNS($AC$1006:AJ1006),$AC$1006:$AS$1006,0)), HYPERLINK("#",""), HYPERLINK(CONCATENATE("#metadata!", ADDRESS(INDEX($X$2:$X$1001,MATCH(ROWS($V$2:V205),$V$2:$V$1001,0),0), INDEX($AC$1004:$AS$1004,1,MATCH(COLUMNS($AC$1006:AJ1006),$AC$1006:$AS$1006,0)))),"Fix")))</f>
        <v xml:space="preserve"> </v>
      </c>
      <c r="J205" s="4" t="str">
        <f ca="1">IF(OR(INDEX($W$2:$W$1001,MATCH(ROWS($V$2:V205),$V$2:$V$1001,0),1)&gt;=100000,INDEX($AC$1005:$AS$1005,1,MATCH(COLUMNS($AC$1006:AK1006),$AC$1006:$AS$1006,0))&gt;=100000), " ",IF(INDEX($AC$2:$AS$1001,MATCH(ROWS($V$2:V205),$V$2:$V$1001,0),MATCH(COLUMNS($AC$1006:AK1006),$AC$1006:$AS$1006,0)), HYPERLINK("#",""), HYPERLINK(CONCATENATE("#metadata!", ADDRESS(INDEX($X$2:$X$1001,MATCH(ROWS($V$2:V205),$V$2:$V$1001,0),0), INDEX($AC$1004:$AS$1004,1,MATCH(COLUMNS($AC$1006:AK1006),$AC$1006:$AS$1006,0)))),"Fix")))</f>
        <v xml:space="preserve"> </v>
      </c>
      <c r="K205" s="4" t="str">
        <f ca="1">IF(OR(INDEX($W$2:$W$1001,MATCH(ROWS($V$2:V205),$V$2:$V$1001,0),1)&gt;=100000,INDEX($AC$1005:$AS$1005,1,MATCH(COLUMNS($AC$1006:AL1006),$AC$1006:$AS$1006,0))&gt;=100000), " ",IF(INDEX($AC$2:$AS$1001,MATCH(ROWS($V$2:V205),$V$2:$V$1001,0),MATCH(COLUMNS($AC$1006:AL1006),$AC$1006:$AS$1006,0)), HYPERLINK("#",""), HYPERLINK(CONCATENATE("#metadata!", ADDRESS(INDEX($X$2:$X$1001,MATCH(ROWS($V$2:V205),$V$2:$V$1001,0),0), INDEX($AC$1004:$AS$1004,1,MATCH(COLUMNS($AC$1006:AL1006),$AC$1006:$AS$1006,0)))),"Fix")))</f>
        <v xml:space="preserve"> </v>
      </c>
      <c r="L205" s="4" t="str">
        <f ca="1">IF(OR(INDEX($W$2:$W$1001,MATCH(ROWS($V$2:V205),$V$2:$V$1001,0),1)&gt;=100000,INDEX($AC$1005:$AS$1005,1,MATCH(COLUMNS($AC$1006:AM1006),$AC$1006:$AS$1006,0))&gt;=100000), " ",IF(INDEX($AC$2:$AS$1001,MATCH(ROWS($V$2:V205),$V$2:$V$1001,0),MATCH(COLUMNS($AC$1006:AM1006),$AC$1006:$AS$1006,0)), HYPERLINK("#",""), HYPERLINK(CONCATENATE("#metadata!", ADDRESS(INDEX($X$2:$X$1001,MATCH(ROWS($V$2:V205),$V$2:$V$1001,0),0), INDEX($AC$1004:$AS$1004,1,MATCH(COLUMNS($AC$1006:AM1006),$AC$1006:$AS$1006,0)))),"Fix")))</f>
        <v xml:space="preserve"> </v>
      </c>
      <c r="M205" s="4" t="str">
        <f ca="1">IF(OR(INDEX($W$2:$W$1001,MATCH(ROWS($V$2:V205),$V$2:$V$1001,0),1)&gt;=100000,INDEX($AC$1005:$AS$1005,1,MATCH(COLUMNS($AC$1006:AN1006),$AC$1006:$AS$1006,0))&gt;=100000), " ",IF(INDEX($AC$2:$AS$1001,MATCH(ROWS($V$2:V205),$V$2:$V$1001,0),MATCH(COLUMNS($AC$1006:AN1006),$AC$1006:$AS$1006,0)), HYPERLINK("#",""), HYPERLINK(CONCATENATE("#metadata!", ADDRESS(INDEX($X$2:$X$1001,MATCH(ROWS($V$2:V205),$V$2:$V$1001,0),0), INDEX($AC$1004:$AS$1004,1,MATCH(COLUMNS($AC$1006:AN1006),$AC$1006:$AS$1006,0)))),"Fix")))</f>
        <v xml:space="preserve"> </v>
      </c>
      <c r="N205" s="4" t="str">
        <f ca="1">IF(OR(INDEX($W$2:$W$1001,MATCH(ROWS($V$2:V205),$V$2:$V$1001,0),1)&gt;=100000,INDEX($AC$1005:$AS$1005,1,MATCH(COLUMNS($AC$1006:AO1006),$AC$1006:$AS$1006,0))&gt;=100000), " ",IF(INDEX($AC$2:$AS$1001,MATCH(ROWS($V$2:V205),$V$2:$V$1001,0),MATCH(COLUMNS($AC$1006:AO1006),$AC$1006:$AS$1006,0)), HYPERLINK("#",""), HYPERLINK(CONCATENATE("#metadata!", ADDRESS(INDEX($X$2:$X$1001,MATCH(ROWS($V$2:V205),$V$2:$V$1001,0),0), INDEX($AC$1004:$AS$1004,1,MATCH(COLUMNS($AC$1006:AO1006),$AC$1006:$AS$1006,0)))),"Fix")))</f>
        <v xml:space="preserve"> </v>
      </c>
      <c r="O205" s="4" t="str">
        <f ca="1">IF(OR(INDEX($W$2:$W$1001,MATCH(ROWS($V$2:V205),$V$2:$V$1001,0),1)&gt;=100000,INDEX($AC$1005:$AS$1005,1,MATCH(COLUMNS($AC$1006:AP1006),$AC$1006:$AS$1006,0))&gt;=100000), " ",IF(INDEX($AC$2:$AS$1001,MATCH(ROWS($V$2:V205),$V$2:$V$1001,0),MATCH(COLUMNS($AC$1006:AP1006),$AC$1006:$AS$1006,0)), HYPERLINK("#",""), HYPERLINK(CONCATENATE("#metadata!", ADDRESS(INDEX($X$2:$X$1001,MATCH(ROWS($V$2:V205),$V$2:$V$1001,0),0), INDEX($AC$1004:$AS$1004,1,MATCH(COLUMNS($AC$1006:AP1006),$AC$1006:$AS$1006,0)))),"Fix")))</f>
        <v xml:space="preserve"> </v>
      </c>
      <c r="P205" s="4" t="str">
        <f ca="1">IF(OR(INDEX($W$2:$W$1001,MATCH(ROWS($V$2:V205),$V$2:$V$1001,0),1)&gt;=100000,INDEX($AC$1005:$AS$1005,1,MATCH(COLUMNS($AC$1006:AQ1006),$AC$1006:$AS$1006,0))&gt;=100000), " ",IF(INDEX($AC$2:$AS$1001,MATCH(ROWS($V$2:V205),$V$2:$V$1001,0),MATCH(COLUMNS($AC$1006:AQ1006),$AC$1006:$AS$1006,0)), HYPERLINK("#",""), HYPERLINK(CONCATENATE("#metadata!", ADDRESS(INDEX($X$2:$X$1001,MATCH(ROWS($V$2:V205),$V$2:$V$1001,0),0), INDEX($AC$1004:$AS$1004,1,MATCH(COLUMNS($AC$1006:AQ1006),$AC$1006:$AS$1006,0)))),"Fix")))</f>
        <v xml:space="preserve"> </v>
      </c>
      <c r="Q205" s="4" t="str">
        <f ca="1">IF(OR(INDEX($W$2:$W$1001,MATCH(ROWS($V$2:V205),$V$2:$V$1001,0),1)&gt;=100000,INDEX($AC$1005:$AS$1005,1,MATCH(COLUMNS($AC$1006:AR1006),$AC$1006:$AS$1006,0))&gt;=100000), " ",IF(INDEX($AC$2:$AS$1001,MATCH(ROWS($V$2:V205),$V$2:$V$1001,0),MATCH(COLUMNS($AC$1006:AR1006),$AC$1006:$AS$1006,0)), HYPERLINK("#",""), HYPERLINK(CONCATENATE("#metadata!", ADDRESS(INDEX($X$2:$X$1001,MATCH(ROWS($V$2:V205),$V$2:$V$1001,0),0), INDEX($AC$1004:$AS$1004,1,MATCH(COLUMNS($AC$1006:AR1006),$AC$1006:$AS$1006,0)))),"Fix")))</f>
        <v xml:space="preserve"> </v>
      </c>
      <c r="R205" s="4" t="str">
        <f ca="1">IF(OR(INDEX($W$2:$W$1001,MATCH(ROWS($V$2:V205),$V$2:$V$1001,0),1)&gt;=100000,INDEX($AC$1005:$AS$1005,1,MATCH(COLUMNS($AC$1006:AS1006),$AC$1006:$AS$1006,0))&gt;=100000), " ",IF(INDEX($AC$2:$AS$1001,MATCH(ROWS($V$2:V205),$V$2:$V$1001,0),MATCH(COLUMNS($AC$1006:AS1006),$AC$1006:$AS$1006,0)), HYPERLINK("#",""), HYPERLINK(CONCATENATE("#metadata!", ADDRESS(INDEX($X$2:$X$1001,MATCH(ROWS($V$2:V205),$V$2:$V$1001,0),0), INDEX($AC$1004:$AS$1004,1,MATCH(COLUMNS($AC$1006:AS1006),$AC$1006:$AS$1006,0)))),"Fix")))</f>
        <v xml:space="preserve"> </v>
      </c>
      <c r="V205">
        <v>204</v>
      </c>
      <c r="W205">
        <v>100205</v>
      </c>
      <c r="X205">
        <v>205</v>
      </c>
      <c r="Y205" t="b">
        <f t="shared" si="3"/>
        <v>1</v>
      </c>
      <c r="Z205" t="b">
        <f>COUNTBLANK(metadata!B205:R205)=COLUMNS(metadata!B205:R205)</f>
        <v>1</v>
      </c>
      <c r="AA205" t="str">
        <v/>
      </c>
      <c r="AC205" t="b">
        <f ca="1"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AD205" t="b">
        <f>IF(metadata!C205="",FALSE,ISNUMBER(VALUE(metadata!C205)))</f>
        <v>0</v>
      </c>
      <c r="AE205" t="b">
        <f>AND(IF(metadata!D205="",FALSE,TRUE),EXACT(metadata!D205,"years"))</f>
        <v>0</v>
      </c>
      <c r="AF205" t="b">
        <f>OR(AND(IF(metadata!E205="",FALSE,TRUE),OR(EXACT(metadata!E205,"not applicable"),EXACT(metadata!E205,"missing: not collected"),EXACT(metadata!E205,"missing: not provided"),EXACT(metadata!E205,"missing: restricted access"))),AND(IF(metadata!E205="",FALSE,ISNUMBER(VALUE(metadata!E205))),metadata!E205&gt;0))</f>
        <v>0</v>
      </c>
      <c r="AG205" t="b">
        <f>AND(IF(metadata!F205="",FALSE,TRUE),EXACT(metadata!F205,"Not applicable"))</f>
        <v>0</v>
      </c>
      <c r="AH205" t="b">
        <f>AND(IF(metadata!G205="",FALSE,TRUE),EXACT(metadata!G205,"urban biome"))</f>
        <v>0</v>
      </c>
      <c r="AI205" t="b">
        <f>AND(IF(metadata!H205="",FALSE,TRUE),EXACT(metadata!H205,"human-associated habitat"))</f>
        <v>0</v>
      </c>
      <c r="AJ205" t="b">
        <f>AND(IF(metadata!I205="",FALSE,TRUE),OR(EXACT(metadata!I205,"human-associated"),EXACT(metadata!I205,"human-skin"),EXACT(metadata!I205,"human-oral"),EXACT(metadata!I205,"human-gut"),EXACT(metadata!I205,"human-vaginal")))</f>
        <v>0</v>
      </c>
      <c r="AK205" t="b">
        <f>IF(metadata!J205="",FALSE,ISNUMBER(VALUE(metadata!J205)))</f>
        <v>0</v>
      </c>
      <c r="AL205" t="b">
        <f>AND(IF(metadata!K205="",FALSE,TRUE),EXACT(metadata!K205,"cm"))</f>
        <v>0</v>
      </c>
      <c r="AM205" t="b">
        <f>AND(IF(metadata!L205="",FALSE,TRUE),EXACT(metadata!L205,"human"))</f>
        <v>0</v>
      </c>
      <c r="AN205" t="b">
        <f>AND(IF(metadata!M205="",FALSE,TRUE),EXACT(metadata!M205,"Homo sapiens"))</f>
        <v>0</v>
      </c>
      <c r="AO205" t="b">
        <f>AND(IF(metadata!N205="",FALSE,TRUE),EXACT(metadata!N205,"9606"))</f>
        <v>0</v>
      </c>
      <c r="AP205" t="b">
        <f>IF(metadata!O205="",FALSE,TRUE)</f>
        <v>0</v>
      </c>
      <c r="AQ205" t="b">
        <f>IF(metadata!P205="",FALSE,TRUE)</f>
        <v>0</v>
      </c>
      <c r="AR205" t="b">
        <f>IF(metadata!Q205="",FALSE,ISNUMBER(VALUE(metadata!Q205)))</f>
        <v>0</v>
      </c>
      <c r="AS205" t="b">
        <f>AND(IF(metadata!R205="",FALSE,TRUE),EXACT(metadata!R205,"kg"))</f>
        <v>0</v>
      </c>
    </row>
    <row r="206" spans="1:45" x14ac:dyDescent="0.2">
      <c r="A206" s="5" t="str">
        <f ca="1">IF(B206=" "," ",HYPERLINK(CONCATENATE("#metadata!",ADDRESS(INDEX($X$2:$X$1001,MATCH(ROWS($V$2:V206),$V$2:$V$1001,0),0),1)),INDEX($AA$2:$AA$1001,MATCH(ROWS($V$2:V206),$V$2:$V$1001,0),0)))</f>
        <v xml:space="preserve"> </v>
      </c>
      <c r="B206" s="4" t="str">
        <f ca="1">IF(OR(INDEX($W$2:$W$1001,MATCH(ROWS($V$2:V206),$V$2:$V$1001,0),1)&gt;=100000,INDEX($AC$1005:$AS$1005,1,MATCH(COLUMNS($AC$1006:AC1006),$AC$1006:$AS$1006,0))&gt;=100000), " ",IF(INDEX($AC$2:$AS$1001,MATCH(ROWS($V$2:V206),$V$2:$V$1001,0),MATCH(COLUMNS($AC$1006:AC1006),$AC$1006:$AS$1006,0)), HYPERLINK("#",""), HYPERLINK(CONCATENATE("#metadata!", ADDRESS(INDEX($X$2:$X$1001,MATCH(ROWS($V$2:V206),$V$2:$V$1001,0),0), INDEX($AC$1004:$AS$1004,1,MATCH(COLUMNS($AC$1006:AC1006),$AC$1006:$AS$1006,0)))),"Fix")))</f>
        <v xml:space="preserve"> </v>
      </c>
      <c r="C206" s="4" t="str">
        <f ca="1">IF(OR(INDEX($W$2:$W$1001,MATCH(ROWS($V$2:V206),$V$2:$V$1001,0),1)&gt;=100000,INDEX($AC$1005:$AS$1005,1,MATCH(COLUMNS($AC$1006:AD1006),$AC$1006:$AS$1006,0))&gt;=100000), " ",IF(INDEX($AC$2:$AS$1001,MATCH(ROWS($V$2:V206),$V$2:$V$1001,0),MATCH(COLUMNS($AC$1006:AD1006),$AC$1006:$AS$1006,0)), HYPERLINK("#",""), HYPERLINK(CONCATENATE("#metadata!", ADDRESS(INDEX($X$2:$X$1001,MATCH(ROWS($V$2:V206),$V$2:$V$1001,0),0), INDEX($AC$1004:$AS$1004,1,MATCH(COLUMNS($AC$1006:AD1006),$AC$1006:$AS$1006,0)))),"Fix")))</f>
        <v xml:space="preserve"> </v>
      </c>
      <c r="D206" s="4" t="str">
        <f ca="1">IF(OR(INDEX($W$2:$W$1001,MATCH(ROWS($V$2:V206),$V$2:$V$1001,0),1)&gt;=100000,INDEX($AC$1005:$AS$1005,1,MATCH(COLUMNS($AC$1006:AE1006),$AC$1006:$AS$1006,0))&gt;=100000), " ",IF(INDEX($AC$2:$AS$1001,MATCH(ROWS($V$2:V206),$V$2:$V$1001,0),MATCH(COLUMNS($AC$1006:AE1006),$AC$1006:$AS$1006,0)), HYPERLINK("#",""), HYPERLINK(CONCATENATE("#metadata!", ADDRESS(INDEX($X$2:$X$1001,MATCH(ROWS($V$2:V206),$V$2:$V$1001,0),0), INDEX($AC$1004:$AS$1004,1,MATCH(COLUMNS($AC$1006:AE1006),$AC$1006:$AS$1006,0)))),"Fix")))</f>
        <v xml:space="preserve"> </v>
      </c>
      <c r="E206" s="4" t="str">
        <f ca="1">IF(OR(INDEX($W$2:$W$1001,MATCH(ROWS($V$2:V206),$V$2:$V$1001,0),1)&gt;=100000,INDEX($AC$1005:$AS$1005,1,MATCH(COLUMNS($AC$1006:AF1006),$AC$1006:$AS$1006,0))&gt;=100000), " ",IF(INDEX($AC$2:$AS$1001,MATCH(ROWS($V$2:V206),$V$2:$V$1001,0),MATCH(COLUMNS($AC$1006:AF1006),$AC$1006:$AS$1006,0)), HYPERLINK("#",""), HYPERLINK(CONCATENATE("#metadata!", ADDRESS(INDEX($X$2:$X$1001,MATCH(ROWS($V$2:V206),$V$2:$V$1001,0),0), INDEX($AC$1004:$AS$1004,1,MATCH(COLUMNS($AC$1006:AF1006),$AC$1006:$AS$1006,0)))),"Fix")))</f>
        <v xml:space="preserve"> </v>
      </c>
      <c r="F206" s="4" t="str">
        <f ca="1">IF(OR(INDEX($W$2:$W$1001,MATCH(ROWS($V$2:V206),$V$2:$V$1001,0),1)&gt;=100000,INDEX($AC$1005:$AS$1005,1,MATCH(COLUMNS($AC$1006:AG1006),$AC$1006:$AS$1006,0))&gt;=100000), " ",IF(INDEX($AC$2:$AS$1001,MATCH(ROWS($V$2:V206),$V$2:$V$1001,0),MATCH(COLUMNS($AC$1006:AG1006),$AC$1006:$AS$1006,0)), HYPERLINK("#",""), HYPERLINK(CONCATENATE("#metadata!", ADDRESS(INDEX($X$2:$X$1001,MATCH(ROWS($V$2:V206),$V$2:$V$1001,0),0), INDEX($AC$1004:$AS$1004,1,MATCH(COLUMNS($AC$1006:AG1006),$AC$1006:$AS$1006,0)))),"Fix")))</f>
        <v xml:space="preserve"> </v>
      </c>
      <c r="G206" s="4" t="str">
        <f ca="1">IF(OR(INDEX($W$2:$W$1001,MATCH(ROWS($V$2:V206),$V$2:$V$1001,0),1)&gt;=100000,INDEX($AC$1005:$AS$1005,1,MATCH(COLUMNS($AC$1006:AH1006),$AC$1006:$AS$1006,0))&gt;=100000), " ",IF(INDEX($AC$2:$AS$1001,MATCH(ROWS($V$2:V206),$V$2:$V$1001,0),MATCH(COLUMNS($AC$1006:AH1006),$AC$1006:$AS$1006,0)), HYPERLINK("#",""), HYPERLINK(CONCATENATE("#metadata!", ADDRESS(INDEX($X$2:$X$1001,MATCH(ROWS($V$2:V206),$V$2:$V$1001,0),0), INDEX($AC$1004:$AS$1004,1,MATCH(COLUMNS($AC$1006:AH1006),$AC$1006:$AS$1006,0)))),"Fix")))</f>
        <v xml:space="preserve"> </v>
      </c>
      <c r="H206" s="4" t="str">
        <f ca="1">IF(OR(INDEX($W$2:$W$1001,MATCH(ROWS($V$2:V206),$V$2:$V$1001,0),1)&gt;=100000,INDEX($AC$1005:$AS$1005,1,MATCH(COLUMNS($AC$1006:AI1006),$AC$1006:$AS$1006,0))&gt;=100000), " ",IF(INDEX($AC$2:$AS$1001,MATCH(ROWS($V$2:V206),$V$2:$V$1001,0),MATCH(COLUMNS($AC$1006:AI1006),$AC$1006:$AS$1006,0)), HYPERLINK("#",""), HYPERLINK(CONCATENATE("#metadata!", ADDRESS(INDEX($X$2:$X$1001,MATCH(ROWS($V$2:V206),$V$2:$V$1001,0),0), INDEX($AC$1004:$AS$1004,1,MATCH(COLUMNS($AC$1006:AI1006),$AC$1006:$AS$1006,0)))),"Fix")))</f>
        <v xml:space="preserve"> </v>
      </c>
      <c r="I206" s="4" t="str">
        <f ca="1">IF(OR(INDEX($W$2:$W$1001,MATCH(ROWS($V$2:V206),$V$2:$V$1001,0),1)&gt;=100000,INDEX($AC$1005:$AS$1005,1,MATCH(COLUMNS($AC$1006:AJ1006),$AC$1006:$AS$1006,0))&gt;=100000), " ",IF(INDEX($AC$2:$AS$1001,MATCH(ROWS($V$2:V206),$V$2:$V$1001,0),MATCH(COLUMNS($AC$1006:AJ1006),$AC$1006:$AS$1006,0)), HYPERLINK("#",""), HYPERLINK(CONCATENATE("#metadata!", ADDRESS(INDEX($X$2:$X$1001,MATCH(ROWS($V$2:V206),$V$2:$V$1001,0),0), INDEX($AC$1004:$AS$1004,1,MATCH(COLUMNS($AC$1006:AJ1006),$AC$1006:$AS$1006,0)))),"Fix")))</f>
        <v xml:space="preserve"> </v>
      </c>
      <c r="J206" s="4" t="str">
        <f ca="1">IF(OR(INDEX($W$2:$W$1001,MATCH(ROWS($V$2:V206),$V$2:$V$1001,0),1)&gt;=100000,INDEX($AC$1005:$AS$1005,1,MATCH(COLUMNS($AC$1006:AK1006),$AC$1006:$AS$1006,0))&gt;=100000), " ",IF(INDEX($AC$2:$AS$1001,MATCH(ROWS($V$2:V206),$V$2:$V$1001,0),MATCH(COLUMNS($AC$1006:AK1006),$AC$1006:$AS$1006,0)), HYPERLINK("#",""), HYPERLINK(CONCATENATE("#metadata!", ADDRESS(INDEX($X$2:$X$1001,MATCH(ROWS($V$2:V206),$V$2:$V$1001,0),0), INDEX($AC$1004:$AS$1004,1,MATCH(COLUMNS($AC$1006:AK1006),$AC$1006:$AS$1006,0)))),"Fix")))</f>
        <v xml:space="preserve"> </v>
      </c>
      <c r="K206" s="4" t="str">
        <f ca="1">IF(OR(INDEX($W$2:$W$1001,MATCH(ROWS($V$2:V206),$V$2:$V$1001,0),1)&gt;=100000,INDEX($AC$1005:$AS$1005,1,MATCH(COLUMNS($AC$1006:AL1006),$AC$1006:$AS$1006,0))&gt;=100000), " ",IF(INDEX($AC$2:$AS$1001,MATCH(ROWS($V$2:V206),$V$2:$V$1001,0),MATCH(COLUMNS($AC$1006:AL1006),$AC$1006:$AS$1006,0)), HYPERLINK("#",""), HYPERLINK(CONCATENATE("#metadata!", ADDRESS(INDEX($X$2:$X$1001,MATCH(ROWS($V$2:V206),$V$2:$V$1001,0),0), INDEX($AC$1004:$AS$1004,1,MATCH(COLUMNS($AC$1006:AL1006),$AC$1006:$AS$1006,0)))),"Fix")))</f>
        <v xml:space="preserve"> </v>
      </c>
      <c r="L206" s="4" t="str">
        <f ca="1">IF(OR(INDEX($W$2:$W$1001,MATCH(ROWS($V$2:V206),$V$2:$V$1001,0),1)&gt;=100000,INDEX($AC$1005:$AS$1005,1,MATCH(COLUMNS($AC$1006:AM1006),$AC$1006:$AS$1006,0))&gt;=100000), " ",IF(INDEX($AC$2:$AS$1001,MATCH(ROWS($V$2:V206),$V$2:$V$1001,0),MATCH(COLUMNS($AC$1006:AM1006),$AC$1006:$AS$1006,0)), HYPERLINK("#",""), HYPERLINK(CONCATENATE("#metadata!", ADDRESS(INDEX($X$2:$X$1001,MATCH(ROWS($V$2:V206),$V$2:$V$1001,0),0), INDEX($AC$1004:$AS$1004,1,MATCH(COLUMNS($AC$1006:AM1006),$AC$1006:$AS$1006,0)))),"Fix")))</f>
        <v xml:space="preserve"> </v>
      </c>
      <c r="M206" s="4" t="str">
        <f ca="1">IF(OR(INDEX($W$2:$W$1001,MATCH(ROWS($V$2:V206),$V$2:$V$1001,0),1)&gt;=100000,INDEX($AC$1005:$AS$1005,1,MATCH(COLUMNS($AC$1006:AN1006),$AC$1006:$AS$1006,0))&gt;=100000), " ",IF(INDEX($AC$2:$AS$1001,MATCH(ROWS($V$2:V206),$V$2:$V$1001,0),MATCH(COLUMNS($AC$1006:AN1006),$AC$1006:$AS$1006,0)), HYPERLINK("#",""), HYPERLINK(CONCATENATE("#metadata!", ADDRESS(INDEX($X$2:$X$1001,MATCH(ROWS($V$2:V206),$V$2:$V$1001,0),0), INDEX($AC$1004:$AS$1004,1,MATCH(COLUMNS($AC$1006:AN1006),$AC$1006:$AS$1006,0)))),"Fix")))</f>
        <v xml:space="preserve"> </v>
      </c>
      <c r="N206" s="4" t="str">
        <f ca="1">IF(OR(INDEX($W$2:$W$1001,MATCH(ROWS($V$2:V206),$V$2:$V$1001,0),1)&gt;=100000,INDEX($AC$1005:$AS$1005,1,MATCH(COLUMNS($AC$1006:AO1006),$AC$1006:$AS$1006,0))&gt;=100000), " ",IF(INDEX($AC$2:$AS$1001,MATCH(ROWS($V$2:V206),$V$2:$V$1001,0),MATCH(COLUMNS($AC$1006:AO1006),$AC$1006:$AS$1006,0)), HYPERLINK("#",""), HYPERLINK(CONCATENATE("#metadata!", ADDRESS(INDEX($X$2:$X$1001,MATCH(ROWS($V$2:V206),$V$2:$V$1001,0),0), INDEX($AC$1004:$AS$1004,1,MATCH(COLUMNS($AC$1006:AO1006),$AC$1006:$AS$1006,0)))),"Fix")))</f>
        <v xml:space="preserve"> </v>
      </c>
      <c r="O206" s="4" t="str">
        <f ca="1">IF(OR(INDEX($W$2:$W$1001,MATCH(ROWS($V$2:V206),$V$2:$V$1001,0),1)&gt;=100000,INDEX($AC$1005:$AS$1005,1,MATCH(COLUMNS($AC$1006:AP1006),$AC$1006:$AS$1006,0))&gt;=100000), " ",IF(INDEX($AC$2:$AS$1001,MATCH(ROWS($V$2:V206),$V$2:$V$1001,0),MATCH(COLUMNS($AC$1006:AP1006),$AC$1006:$AS$1006,0)), HYPERLINK("#",""), HYPERLINK(CONCATENATE("#metadata!", ADDRESS(INDEX($X$2:$X$1001,MATCH(ROWS($V$2:V206),$V$2:$V$1001,0),0), INDEX($AC$1004:$AS$1004,1,MATCH(COLUMNS($AC$1006:AP1006),$AC$1006:$AS$1006,0)))),"Fix")))</f>
        <v xml:space="preserve"> </v>
      </c>
      <c r="P206" s="4" t="str">
        <f ca="1">IF(OR(INDEX($W$2:$W$1001,MATCH(ROWS($V$2:V206),$V$2:$V$1001,0),1)&gt;=100000,INDEX($AC$1005:$AS$1005,1,MATCH(COLUMNS($AC$1006:AQ1006),$AC$1006:$AS$1006,0))&gt;=100000), " ",IF(INDEX($AC$2:$AS$1001,MATCH(ROWS($V$2:V206),$V$2:$V$1001,0),MATCH(COLUMNS($AC$1006:AQ1006),$AC$1006:$AS$1006,0)), HYPERLINK("#",""), HYPERLINK(CONCATENATE("#metadata!", ADDRESS(INDEX($X$2:$X$1001,MATCH(ROWS($V$2:V206),$V$2:$V$1001,0),0), INDEX($AC$1004:$AS$1004,1,MATCH(COLUMNS($AC$1006:AQ1006),$AC$1006:$AS$1006,0)))),"Fix")))</f>
        <v xml:space="preserve"> </v>
      </c>
      <c r="Q206" s="4" t="str">
        <f ca="1">IF(OR(INDEX($W$2:$W$1001,MATCH(ROWS($V$2:V206),$V$2:$V$1001,0),1)&gt;=100000,INDEX($AC$1005:$AS$1005,1,MATCH(COLUMNS($AC$1006:AR1006),$AC$1006:$AS$1006,0))&gt;=100000), " ",IF(INDEX($AC$2:$AS$1001,MATCH(ROWS($V$2:V206),$V$2:$V$1001,0),MATCH(COLUMNS($AC$1006:AR1006),$AC$1006:$AS$1006,0)), HYPERLINK("#",""), HYPERLINK(CONCATENATE("#metadata!", ADDRESS(INDEX($X$2:$X$1001,MATCH(ROWS($V$2:V206),$V$2:$V$1001,0),0), INDEX($AC$1004:$AS$1004,1,MATCH(COLUMNS($AC$1006:AR1006),$AC$1006:$AS$1006,0)))),"Fix")))</f>
        <v xml:space="preserve"> </v>
      </c>
      <c r="R206" s="4" t="str">
        <f ca="1">IF(OR(INDEX($W$2:$W$1001,MATCH(ROWS($V$2:V206),$V$2:$V$1001,0),1)&gt;=100000,INDEX($AC$1005:$AS$1005,1,MATCH(COLUMNS($AC$1006:AS1006),$AC$1006:$AS$1006,0))&gt;=100000), " ",IF(INDEX($AC$2:$AS$1001,MATCH(ROWS($V$2:V206),$V$2:$V$1001,0),MATCH(COLUMNS($AC$1006:AS1006),$AC$1006:$AS$1006,0)), HYPERLINK("#",""), HYPERLINK(CONCATENATE("#metadata!", ADDRESS(INDEX($X$2:$X$1001,MATCH(ROWS($V$2:V206),$V$2:$V$1001,0),0), INDEX($AC$1004:$AS$1004,1,MATCH(COLUMNS($AC$1006:AS1006),$AC$1006:$AS$1006,0)))),"Fix")))</f>
        <v xml:space="preserve"> </v>
      </c>
      <c r="V206">
        <v>205</v>
      </c>
      <c r="W206">
        <v>100206</v>
      </c>
      <c r="X206">
        <v>206</v>
      </c>
      <c r="Y206" t="b">
        <f t="shared" si="3"/>
        <v>1</v>
      </c>
      <c r="Z206" t="b">
        <f>COUNTBLANK(metadata!B206:R206)=COLUMNS(metadata!B206:R206)</f>
        <v>1</v>
      </c>
      <c r="AA206" t="str">
        <v/>
      </c>
      <c r="AC206" t="b">
        <f ca="1"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AD206" t="b">
        <f>IF(metadata!C206="",FALSE,ISNUMBER(VALUE(metadata!C206)))</f>
        <v>0</v>
      </c>
      <c r="AE206" t="b">
        <f>AND(IF(metadata!D206="",FALSE,TRUE),EXACT(metadata!D206,"years"))</f>
        <v>0</v>
      </c>
      <c r="AF206" t="b">
        <f>OR(AND(IF(metadata!E206="",FALSE,TRUE),OR(EXACT(metadata!E206,"not applicable"),EXACT(metadata!E206,"missing: not collected"),EXACT(metadata!E206,"missing: not provided"),EXACT(metadata!E206,"missing: restricted access"))),AND(IF(metadata!E206="",FALSE,ISNUMBER(VALUE(metadata!E206))),metadata!E206&gt;0))</f>
        <v>0</v>
      </c>
      <c r="AG206" t="b">
        <f>AND(IF(metadata!F206="",FALSE,TRUE),EXACT(metadata!F206,"Not applicable"))</f>
        <v>0</v>
      </c>
      <c r="AH206" t="b">
        <f>AND(IF(metadata!G206="",FALSE,TRUE),EXACT(metadata!G206,"urban biome"))</f>
        <v>0</v>
      </c>
      <c r="AI206" t="b">
        <f>AND(IF(metadata!H206="",FALSE,TRUE),EXACT(metadata!H206,"human-associated habitat"))</f>
        <v>0</v>
      </c>
      <c r="AJ206" t="b">
        <f>AND(IF(metadata!I206="",FALSE,TRUE),OR(EXACT(metadata!I206,"human-associated"),EXACT(metadata!I206,"human-skin"),EXACT(metadata!I206,"human-oral"),EXACT(metadata!I206,"human-gut"),EXACT(metadata!I206,"human-vaginal")))</f>
        <v>0</v>
      </c>
      <c r="AK206" t="b">
        <f>IF(metadata!J206="",FALSE,ISNUMBER(VALUE(metadata!J206)))</f>
        <v>0</v>
      </c>
      <c r="AL206" t="b">
        <f>AND(IF(metadata!K206="",FALSE,TRUE),EXACT(metadata!K206,"cm"))</f>
        <v>0</v>
      </c>
      <c r="AM206" t="b">
        <f>AND(IF(metadata!L206="",FALSE,TRUE),EXACT(metadata!L206,"human"))</f>
        <v>0</v>
      </c>
      <c r="AN206" t="b">
        <f>AND(IF(metadata!M206="",FALSE,TRUE),EXACT(metadata!M206,"Homo sapiens"))</f>
        <v>0</v>
      </c>
      <c r="AO206" t="b">
        <f>AND(IF(metadata!N206="",FALSE,TRUE),EXACT(metadata!N206,"9606"))</f>
        <v>0</v>
      </c>
      <c r="AP206" t="b">
        <f>IF(metadata!O206="",FALSE,TRUE)</f>
        <v>0</v>
      </c>
      <c r="AQ206" t="b">
        <f>IF(metadata!P206="",FALSE,TRUE)</f>
        <v>0</v>
      </c>
      <c r="AR206" t="b">
        <f>IF(metadata!Q206="",FALSE,ISNUMBER(VALUE(metadata!Q206)))</f>
        <v>0</v>
      </c>
      <c r="AS206" t="b">
        <f>AND(IF(metadata!R206="",FALSE,TRUE),EXACT(metadata!R206,"kg"))</f>
        <v>0</v>
      </c>
    </row>
    <row r="207" spans="1:45" x14ac:dyDescent="0.2">
      <c r="A207" s="5" t="str">
        <f ca="1">IF(B207=" "," ",HYPERLINK(CONCATENATE("#metadata!",ADDRESS(INDEX($X$2:$X$1001,MATCH(ROWS($V$2:V207),$V$2:$V$1001,0),0),1)),INDEX($AA$2:$AA$1001,MATCH(ROWS($V$2:V207),$V$2:$V$1001,0),0)))</f>
        <v xml:space="preserve"> </v>
      </c>
      <c r="B207" s="4" t="str">
        <f ca="1">IF(OR(INDEX($W$2:$W$1001,MATCH(ROWS($V$2:V207),$V$2:$V$1001,0),1)&gt;=100000,INDEX($AC$1005:$AS$1005,1,MATCH(COLUMNS($AC$1006:AC1006),$AC$1006:$AS$1006,0))&gt;=100000), " ",IF(INDEX($AC$2:$AS$1001,MATCH(ROWS($V$2:V207),$V$2:$V$1001,0),MATCH(COLUMNS($AC$1006:AC1006),$AC$1006:$AS$1006,0)), HYPERLINK("#",""), HYPERLINK(CONCATENATE("#metadata!", ADDRESS(INDEX($X$2:$X$1001,MATCH(ROWS($V$2:V207),$V$2:$V$1001,0),0), INDEX($AC$1004:$AS$1004,1,MATCH(COLUMNS($AC$1006:AC1006),$AC$1006:$AS$1006,0)))),"Fix")))</f>
        <v xml:space="preserve"> </v>
      </c>
      <c r="C207" s="4" t="str">
        <f ca="1">IF(OR(INDEX($W$2:$W$1001,MATCH(ROWS($V$2:V207),$V$2:$V$1001,0),1)&gt;=100000,INDEX($AC$1005:$AS$1005,1,MATCH(COLUMNS($AC$1006:AD1006),$AC$1006:$AS$1006,0))&gt;=100000), " ",IF(INDEX($AC$2:$AS$1001,MATCH(ROWS($V$2:V207),$V$2:$V$1001,0),MATCH(COLUMNS($AC$1006:AD1006),$AC$1006:$AS$1006,0)), HYPERLINK("#",""), HYPERLINK(CONCATENATE("#metadata!", ADDRESS(INDEX($X$2:$X$1001,MATCH(ROWS($V$2:V207),$V$2:$V$1001,0),0), INDEX($AC$1004:$AS$1004,1,MATCH(COLUMNS($AC$1006:AD1006),$AC$1006:$AS$1006,0)))),"Fix")))</f>
        <v xml:space="preserve"> </v>
      </c>
      <c r="D207" s="4" t="str">
        <f ca="1">IF(OR(INDEX($W$2:$W$1001,MATCH(ROWS($V$2:V207),$V$2:$V$1001,0),1)&gt;=100000,INDEX($AC$1005:$AS$1005,1,MATCH(COLUMNS($AC$1006:AE1006),$AC$1006:$AS$1006,0))&gt;=100000), " ",IF(INDEX($AC$2:$AS$1001,MATCH(ROWS($V$2:V207),$V$2:$V$1001,0),MATCH(COLUMNS($AC$1006:AE1006),$AC$1006:$AS$1006,0)), HYPERLINK("#",""), HYPERLINK(CONCATENATE("#metadata!", ADDRESS(INDEX($X$2:$X$1001,MATCH(ROWS($V$2:V207),$V$2:$V$1001,0),0), INDEX($AC$1004:$AS$1004,1,MATCH(COLUMNS($AC$1006:AE1006),$AC$1006:$AS$1006,0)))),"Fix")))</f>
        <v xml:space="preserve"> </v>
      </c>
      <c r="E207" s="4" t="str">
        <f ca="1">IF(OR(INDEX($W$2:$W$1001,MATCH(ROWS($V$2:V207),$V$2:$V$1001,0),1)&gt;=100000,INDEX($AC$1005:$AS$1005,1,MATCH(COLUMNS($AC$1006:AF1006),$AC$1006:$AS$1006,0))&gt;=100000), " ",IF(INDEX($AC$2:$AS$1001,MATCH(ROWS($V$2:V207),$V$2:$V$1001,0),MATCH(COLUMNS($AC$1006:AF1006),$AC$1006:$AS$1006,0)), HYPERLINK("#",""), HYPERLINK(CONCATENATE("#metadata!", ADDRESS(INDEX($X$2:$X$1001,MATCH(ROWS($V$2:V207),$V$2:$V$1001,0),0), INDEX($AC$1004:$AS$1004,1,MATCH(COLUMNS($AC$1006:AF1006),$AC$1006:$AS$1006,0)))),"Fix")))</f>
        <v xml:space="preserve"> </v>
      </c>
      <c r="F207" s="4" t="str">
        <f ca="1">IF(OR(INDEX($W$2:$W$1001,MATCH(ROWS($V$2:V207),$V$2:$V$1001,0),1)&gt;=100000,INDEX($AC$1005:$AS$1005,1,MATCH(COLUMNS($AC$1006:AG1006),$AC$1006:$AS$1006,0))&gt;=100000), " ",IF(INDEX($AC$2:$AS$1001,MATCH(ROWS($V$2:V207),$V$2:$V$1001,0),MATCH(COLUMNS($AC$1006:AG1006),$AC$1006:$AS$1006,0)), HYPERLINK("#",""), HYPERLINK(CONCATENATE("#metadata!", ADDRESS(INDEX($X$2:$X$1001,MATCH(ROWS($V$2:V207),$V$2:$V$1001,0),0), INDEX($AC$1004:$AS$1004,1,MATCH(COLUMNS($AC$1006:AG1006),$AC$1006:$AS$1006,0)))),"Fix")))</f>
        <v xml:space="preserve"> </v>
      </c>
      <c r="G207" s="4" t="str">
        <f ca="1">IF(OR(INDEX($W$2:$W$1001,MATCH(ROWS($V$2:V207),$V$2:$V$1001,0),1)&gt;=100000,INDEX($AC$1005:$AS$1005,1,MATCH(COLUMNS($AC$1006:AH1006),$AC$1006:$AS$1006,0))&gt;=100000), " ",IF(INDEX($AC$2:$AS$1001,MATCH(ROWS($V$2:V207),$V$2:$V$1001,0),MATCH(COLUMNS($AC$1006:AH1006),$AC$1006:$AS$1006,0)), HYPERLINK("#",""), HYPERLINK(CONCATENATE("#metadata!", ADDRESS(INDEX($X$2:$X$1001,MATCH(ROWS($V$2:V207),$V$2:$V$1001,0),0), INDEX($AC$1004:$AS$1004,1,MATCH(COLUMNS($AC$1006:AH1006),$AC$1006:$AS$1006,0)))),"Fix")))</f>
        <v xml:space="preserve"> </v>
      </c>
      <c r="H207" s="4" t="str">
        <f ca="1">IF(OR(INDEX($W$2:$W$1001,MATCH(ROWS($V$2:V207),$V$2:$V$1001,0),1)&gt;=100000,INDEX($AC$1005:$AS$1005,1,MATCH(COLUMNS($AC$1006:AI1006),$AC$1006:$AS$1006,0))&gt;=100000), " ",IF(INDEX($AC$2:$AS$1001,MATCH(ROWS($V$2:V207),$V$2:$V$1001,0),MATCH(COLUMNS($AC$1006:AI1006),$AC$1006:$AS$1006,0)), HYPERLINK("#",""), HYPERLINK(CONCATENATE("#metadata!", ADDRESS(INDEX($X$2:$X$1001,MATCH(ROWS($V$2:V207),$V$2:$V$1001,0),0), INDEX($AC$1004:$AS$1004,1,MATCH(COLUMNS($AC$1006:AI1006),$AC$1006:$AS$1006,0)))),"Fix")))</f>
        <v xml:space="preserve"> </v>
      </c>
      <c r="I207" s="4" t="str">
        <f ca="1">IF(OR(INDEX($W$2:$W$1001,MATCH(ROWS($V$2:V207),$V$2:$V$1001,0),1)&gt;=100000,INDEX($AC$1005:$AS$1005,1,MATCH(COLUMNS($AC$1006:AJ1006),$AC$1006:$AS$1006,0))&gt;=100000), " ",IF(INDEX($AC$2:$AS$1001,MATCH(ROWS($V$2:V207),$V$2:$V$1001,0),MATCH(COLUMNS($AC$1006:AJ1006),$AC$1006:$AS$1006,0)), HYPERLINK("#",""), HYPERLINK(CONCATENATE("#metadata!", ADDRESS(INDEX($X$2:$X$1001,MATCH(ROWS($V$2:V207),$V$2:$V$1001,0),0), INDEX($AC$1004:$AS$1004,1,MATCH(COLUMNS($AC$1006:AJ1006),$AC$1006:$AS$1006,0)))),"Fix")))</f>
        <v xml:space="preserve"> </v>
      </c>
      <c r="J207" s="4" t="str">
        <f ca="1">IF(OR(INDEX($W$2:$W$1001,MATCH(ROWS($V$2:V207),$V$2:$V$1001,0),1)&gt;=100000,INDEX($AC$1005:$AS$1005,1,MATCH(COLUMNS($AC$1006:AK1006),$AC$1006:$AS$1006,0))&gt;=100000), " ",IF(INDEX($AC$2:$AS$1001,MATCH(ROWS($V$2:V207),$V$2:$V$1001,0),MATCH(COLUMNS($AC$1006:AK1006),$AC$1006:$AS$1006,0)), HYPERLINK("#",""), HYPERLINK(CONCATENATE("#metadata!", ADDRESS(INDEX($X$2:$X$1001,MATCH(ROWS($V$2:V207),$V$2:$V$1001,0),0), INDEX($AC$1004:$AS$1004,1,MATCH(COLUMNS($AC$1006:AK1006),$AC$1006:$AS$1006,0)))),"Fix")))</f>
        <v xml:space="preserve"> </v>
      </c>
      <c r="K207" s="4" t="str">
        <f ca="1">IF(OR(INDEX($W$2:$W$1001,MATCH(ROWS($V$2:V207),$V$2:$V$1001,0),1)&gt;=100000,INDEX($AC$1005:$AS$1005,1,MATCH(COLUMNS($AC$1006:AL1006),$AC$1006:$AS$1006,0))&gt;=100000), " ",IF(INDEX($AC$2:$AS$1001,MATCH(ROWS($V$2:V207),$V$2:$V$1001,0),MATCH(COLUMNS($AC$1006:AL1006),$AC$1006:$AS$1006,0)), HYPERLINK("#",""), HYPERLINK(CONCATENATE("#metadata!", ADDRESS(INDEX($X$2:$X$1001,MATCH(ROWS($V$2:V207),$V$2:$V$1001,0),0), INDEX($AC$1004:$AS$1004,1,MATCH(COLUMNS($AC$1006:AL1006),$AC$1006:$AS$1006,0)))),"Fix")))</f>
        <v xml:space="preserve"> </v>
      </c>
      <c r="L207" s="4" t="str">
        <f ca="1">IF(OR(INDEX($W$2:$W$1001,MATCH(ROWS($V$2:V207),$V$2:$V$1001,0),1)&gt;=100000,INDEX($AC$1005:$AS$1005,1,MATCH(COLUMNS($AC$1006:AM1006),$AC$1006:$AS$1006,0))&gt;=100000), " ",IF(INDEX($AC$2:$AS$1001,MATCH(ROWS($V$2:V207),$V$2:$V$1001,0),MATCH(COLUMNS($AC$1006:AM1006),$AC$1006:$AS$1006,0)), HYPERLINK("#",""), HYPERLINK(CONCATENATE("#metadata!", ADDRESS(INDEX($X$2:$X$1001,MATCH(ROWS($V$2:V207),$V$2:$V$1001,0),0), INDEX($AC$1004:$AS$1004,1,MATCH(COLUMNS($AC$1006:AM1006),$AC$1006:$AS$1006,0)))),"Fix")))</f>
        <v xml:space="preserve"> </v>
      </c>
      <c r="M207" s="4" t="str">
        <f ca="1">IF(OR(INDEX($W$2:$W$1001,MATCH(ROWS($V$2:V207),$V$2:$V$1001,0),1)&gt;=100000,INDEX($AC$1005:$AS$1005,1,MATCH(COLUMNS($AC$1006:AN1006),$AC$1006:$AS$1006,0))&gt;=100000), " ",IF(INDEX($AC$2:$AS$1001,MATCH(ROWS($V$2:V207),$V$2:$V$1001,0),MATCH(COLUMNS($AC$1006:AN1006),$AC$1006:$AS$1006,0)), HYPERLINK("#",""), HYPERLINK(CONCATENATE("#metadata!", ADDRESS(INDEX($X$2:$X$1001,MATCH(ROWS($V$2:V207),$V$2:$V$1001,0),0), INDEX($AC$1004:$AS$1004,1,MATCH(COLUMNS($AC$1006:AN1006),$AC$1006:$AS$1006,0)))),"Fix")))</f>
        <v xml:space="preserve"> </v>
      </c>
      <c r="N207" s="4" t="str">
        <f ca="1">IF(OR(INDEX($W$2:$W$1001,MATCH(ROWS($V$2:V207),$V$2:$V$1001,0),1)&gt;=100000,INDEX($AC$1005:$AS$1005,1,MATCH(COLUMNS($AC$1006:AO1006),$AC$1006:$AS$1006,0))&gt;=100000), " ",IF(INDEX($AC$2:$AS$1001,MATCH(ROWS($V$2:V207),$V$2:$V$1001,0),MATCH(COLUMNS($AC$1006:AO1006),$AC$1006:$AS$1006,0)), HYPERLINK("#",""), HYPERLINK(CONCATENATE("#metadata!", ADDRESS(INDEX($X$2:$X$1001,MATCH(ROWS($V$2:V207),$V$2:$V$1001,0),0), INDEX($AC$1004:$AS$1004,1,MATCH(COLUMNS($AC$1006:AO1006),$AC$1006:$AS$1006,0)))),"Fix")))</f>
        <v xml:space="preserve"> </v>
      </c>
      <c r="O207" s="4" t="str">
        <f ca="1">IF(OR(INDEX($W$2:$W$1001,MATCH(ROWS($V$2:V207),$V$2:$V$1001,0),1)&gt;=100000,INDEX($AC$1005:$AS$1005,1,MATCH(COLUMNS($AC$1006:AP1006),$AC$1006:$AS$1006,0))&gt;=100000), " ",IF(INDEX($AC$2:$AS$1001,MATCH(ROWS($V$2:V207),$V$2:$V$1001,0),MATCH(COLUMNS($AC$1006:AP1006),$AC$1006:$AS$1006,0)), HYPERLINK("#",""), HYPERLINK(CONCATENATE("#metadata!", ADDRESS(INDEX($X$2:$X$1001,MATCH(ROWS($V$2:V207),$V$2:$V$1001,0),0), INDEX($AC$1004:$AS$1004,1,MATCH(COLUMNS($AC$1006:AP1006),$AC$1006:$AS$1006,0)))),"Fix")))</f>
        <v xml:space="preserve"> </v>
      </c>
      <c r="P207" s="4" t="str">
        <f ca="1">IF(OR(INDEX($W$2:$W$1001,MATCH(ROWS($V$2:V207),$V$2:$V$1001,0),1)&gt;=100000,INDEX($AC$1005:$AS$1005,1,MATCH(COLUMNS($AC$1006:AQ1006),$AC$1006:$AS$1006,0))&gt;=100000), " ",IF(INDEX($AC$2:$AS$1001,MATCH(ROWS($V$2:V207),$V$2:$V$1001,0),MATCH(COLUMNS($AC$1006:AQ1006),$AC$1006:$AS$1006,0)), HYPERLINK("#",""), HYPERLINK(CONCATENATE("#metadata!", ADDRESS(INDEX($X$2:$X$1001,MATCH(ROWS($V$2:V207),$V$2:$V$1001,0),0), INDEX($AC$1004:$AS$1004,1,MATCH(COLUMNS($AC$1006:AQ1006),$AC$1006:$AS$1006,0)))),"Fix")))</f>
        <v xml:space="preserve"> </v>
      </c>
      <c r="Q207" s="4" t="str">
        <f ca="1">IF(OR(INDEX($W$2:$W$1001,MATCH(ROWS($V$2:V207),$V$2:$V$1001,0),1)&gt;=100000,INDEX($AC$1005:$AS$1005,1,MATCH(COLUMNS($AC$1006:AR1006),$AC$1006:$AS$1006,0))&gt;=100000), " ",IF(INDEX($AC$2:$AS$1001,MATCH(ROWS($V$2:V207),$V$2:$V$1001,0),MATCH(COLUMNS($AC$1006:AR1006),$AC$1006:$AS$1006,0)), HYPERLINK("#",""), HYPERLINK(CONCATENATE("#metadata!", ADDRESS(INDEX($X$2:$X$1001,MATCH(ROWS($V$2:V207),$V$2:$V$1001,0),0), INDEX($AC$1004:$AS$1004,1,MATCH(COLUMNS($AC$1006:AR1006),$AC$1006:$AS$1006,0)))),"Fix")))</f>
        <v xml:space="preserve"> </v>
      </c>
      <c r="R207" s="4" t="str">
        <f ca="1">IF(OR(INDEX($W$2:$W$1001,MATCH(ROWS($V$2:V207),$V$2:$V$1001,0),1)&gt;=100000,INDEX($AC$1005:$AS$1005,1,MATCH(COLUMNS($AC$1006:AS1006),$AC$1006:$AS$1006,0))&gt;=100000), " ",IF(INDEX($AC$2:$AS$1001,MATCH(ROWS($V$2:V207),$V$2:$V$1001,0),MATCH(COLUMNS($AC$1006:AS1006),$AC$1006:$AS$1006,0)), HYPERLINK("#",""), HYPERLINK(CONCATENATE("#metadata!", ADDRESS(INDEX($X$2:$X$1001,MATCH(ROWS($V$2:V207),$V$2:$V$1001,0),0), INDEX($AC$1004:$AS$1004,1,MATCH(COLUMNS($AC$1006:AS1006),$AC$1006:$AS$1006,0)))),"Fix")))</f>
        <v xml:space="preserve"> </v>
      </c>
      <c r="V207">
        <v>206</v>
      </c>
      <c r="W207">
        <v>100207</v>
      </c>
      <c r="X207">
        <v>207</v>
      </c>
      <c r="Y207" t="b">
        <f t="shared" si="3"/>
        <v>1</v>
      </c>
      <c r="Z207" t="b">
        <f>COUNTBLANK(metadata!B207:R207)=COLUMNS(metadata!B207:R207)</f>
        <v>1</v>
      </c>
      <c r="AA207" t="str">
        <v/>
      </c>
      <c r="AC207" t="b">
        <f ca="1"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AD207" t="b">
        <f>IF(metadata!C207="",FALSE,ISNUMBER(VALUE(metadata!C207)))</f>
        <v>0</v>
      </c>
      <c r="AE207" t="b">
        <f>AND(IF(metadata!D207="",FALSE,TRUE),EXACT(metadata!D207,"years"))</f>
        <v>0</v>
      </c>
      <c r="AF207" t="b">
        <f>OR(AND(IF(metadata!E207="",FALSE,TRUE),OR(EXACT(metadata!E207,"not applicable"),EXACT(metadata!E207,"missing: not collected"),EXACT(metadata!E207,"missing: not provided"),EXACT(metadata!E207,"missing: restricted access"))),AND(IF(metadata!E207="",FALSE,ISNUMBER(VALUE(metadata!E207))),metadata!E207&gt;0))</f>
        <v>0</v>
      </c>
      <c r="AG207" t="b">
        <f>AND(IF(metadata!F207="",FALSE,TRUE),EXACT(metadata!F207,"Not applicable"))</f>
        <v>0</v>
      </c>
      <c r="AH207" t="b">
        <f>AND(IF(metadata!G207="",FALSE,TRUE),EXACT(metadata!G207,"urban biome"))</f>
        <v>0</v>
      </c>
      <c r="AI207" t="b">
        <f>AND(IF(metadata!H207="",FALSE,TRUE),EXACT(metadata!H207,"human-associated habitat"))</f>
        <v>0</v>
      </c>
      <c r="AJ207" t="b">
        <f>AND(IF(metadata!I207="",FALSE,TRUE),OR(EXACT(metadata!I207,"human-associated"),EXACT(metadata!I207,"human-skin"),EXACT(metadata!I207,"human-oral"),EXACT(metadata!I207,"human-gut"),EXACT(metadata!I207,"human-vaginal")))</f>
        <v>0</v>
      </c>
      <c r="AK207" t="b">
        <f>IF(metadata!J207="",FALSE,ISNUMBER(VALUE(metadata!J207)))</f>
        <v>0</v>
      </c>
      <c r="AL207" t="b">
        <f>AND(IF(metadata!K207="",FALSE,TRUE),EXACT(metadata!K207,"cm"))</f>
        <v>0</v>
      </c>
      <c r="AM207" t="b">
        <f>AND(IF(metadata!L207="",FALSE,TRUE),EXACT(metadata!L207,"human"))</f>
        <v>0</v>
      </c>
      <c r="AN207" t="b">
        <f>AND(IF(metadata!M207="",FALSE,TRUE),EXACT(metadata!M207,"Homo sapiens"))</f>
        <v>0</v>
      </c>
      <c r="AO207" t="b">
        <f>AND(IF(metadata!N207="",FALSE,TRUE),EXACT(metadata!N207,"9606"))</f>
        <v>0</v>
      </c>
      <c r="AP207" t="b">
        <f>IF(metadata!O207="",FALSE,TRUE)</f>
        <v>0</v>
      </c>
      <c r="AQ207" t="b">
        <f>IF(metadata!P207="",FALSE,TRUE)</f>
        <v>0</v>
      </c>
      <c r="AR207" t="b">
        <f>IF(metadata!Q207="",FALSE,ISNUMBER(VALUE(metadata!Q207)))</f>
        <v>0</v>
      </c>
      <c r="AS207" t="b">
        <f>AND(IF(metadata!R207="",FALSE,TRUE),EXACT(metadata!R207,"kg"))</f>
        <v>0</v>
      </c>
    </row>
    <row r="208" spans="1:45" x14ac:dyDescent="0.2">
      <c r="A208" s="5" t="str">
        <f ca="1">IF(B208=" "," ",HYPERLINK(CONCATENATE("#metadata!",ADDRESS(INDEX($X$2:$X$1001,MATCH(ROWS($V$2:V208),$V$2:$V$1001,0),0),1)),INDEX($AA$2:$AA$1001,MATCH(ROWS($V$2:V208),$V$2:$V$1001,0),0)))</f>
        <v xml:space="preserve"> </v>
      </c>
      <c r="B208" s="4" t="str">
        <f ca="1">IF(OR(INDEX($W$2:$W$1001,MATCH(ROWS($V$2:V208),$V$2:$V$1001,0),1)&gt;=100000,INDEX($AC$1005:$AS$1005,1,MATCH(COLUMNS($AC$1006:AC1006),$AC$1006:$AS$1006,0))&gt;=100000), " ",IF(INDEX($AC$2:$AS$1001,MATCH(ROWS($V$2:V208),$V$2:$V$1001,0),MATCH(COLUMNS($AC$1006:AC1006),$AC$1006:$AS$1006,0)), HYPERLINK("#",""), HYPERLINK(CONCATENATE("#metadata!", ADDRESS(INDEX($X$2:$X$1001,MATCH(ROWS($V$2:V208),$V$2:$V$1001,0),0), INDEX($AC$1004:$AS$1004,1,MATCH(COLUMNS($AC$1006:AC1006),$AC$1006:$AS$1006,0)))),"Fix")))</f>
        <v xml:space="preserve"> </v>
      </c>
      <c r="C208" s="4" t="str">
        <f ca="1">IF(OR(INDEX($W$2:$W$1001,MATCH(ROWS($V$2:V208),$V$2:$V$1001,0),1)&gt;=100000,INDEX($AC$1005:$AS$1005,1,MATCH(COLUMNS($AC$1006:AD1006),$AC$1006:$AS$1006,0))&gt;=100000), " ",IF(INDEX($AC$2:$AS$1001,MATCH(ROWS($V$2:V208),$V$2:$V$1001,0),MATCH(COLUMNS($AC$1006:AD1006),$AC$1006:$AS$1006,0)), HYPERLINK("#",""), HYPERLINK(CONCATENATE("#metadata!", ADDRESS(INDEX($X$2:$X$1001,MATCH(ROWS($V$2:V208),$V$2:$V$1001,0),0), INDEX($AC$1004:$AS$1004,1,MATCH(COLUMNS($AC$1006:AD1006),$AC$1006:$AS$1006,0)))),"Fix")))</f>
        <v xml:space="preserve"> </v>
      </c>
      <c r="D208" s="4" t="str">
        <f ca="1">IF(OR(INDEX($W$2:$W$1001,MATCH(ROWS($V$2:V208),$V$2:$V$1001,0),1)&gt;=100000,INDEX($AC$1005:$AS$1005,1,MATCH(COLUMNS($AC$1006:AE1006),$AC$1006:$AS$1006,0))&gt;=100000), " ",IF(INDEX($AC$2:$AS$1001,MATCH(ROWS($V$2:V208),$V$2:$V$1001,0),MATCH(COLUMNS($AC$1006:AE1006),$AC$1006:$AS$1006,0)), HYPERLINK("#",""), HYPERLINK(CONCATENATE("#metadata!", ADDRESS(INDEX($X$2:$X$1001,MATCH(ROWS($V$2:V208),$V$2:$V$1001,0),0), INDEX($AC$1004:$AS$1004,1,MATCH(COLUMNS($AC$1006:AE1006),$AC$1006:$AS$1006,0)))),"Fix")))</f>
        <v xml:space="preserve"> </v>
      </c>
      <c r="E208" s="4" t="str">
        <f ca="1">IF(OR(INDEX($W$2:$W$1001,MATCH(ROWS($V$2:V208),$V$2:$V$1001,0),1)&gt;=100000,INDEX($AC$1005:$AS$1005,1,MATCH(COLUMNS($AC$1006:AF1006),$AC$1006:$AS$1006,0))&gt;=100000), " ",IF(INDEX($AC$2:$AS$1001,MATCH(ROWS($V$2:V208),$V$2:$V$1001,0),MATCH(COLUMNS($AC$1006:AF1006),$AC$1006:$AS$1006,0)), HYPERLINK("#",""), HYPERLINK(CONCATENATE("#metadata!", ADDRESS(INDEX($X$2:$X$1001,MATCH(ROWS($V$2:V208),$V$2:$V$1001,0),0), INDEX($AC$1004:$AS$1004,1,MATCH(COLUMNS($AC$1006:AF1006),$AC$1006:$AS$1006,0)))),"Fix")))</f>
        <v xml:space="preserve"> </v>
      </c>
      <c r="F208" s="4" t="str">
        <f ca="1">IF(OR(INDEX($W$2:$W$1001,MATCH(ROWS($V$2:V208),$V$2:$V$1001,0),1)&gt;=100000,INDEX($AC$1005:$AS$1005,1,MATCH(COLUMNS($AC$1006:AG1006),$AC$1006:$AS$1006,0))&gt;=100000), " ",IF(INDEX($AC$2:$AS$1001,MATCH(ROWS($V$2:V208),$V$2:$V$1001,0),MATCH(COLUMNS($AC$1006:AG1006),$AC$1006:$AS$1006,0)), HYPERLINK("#",""), HYPERLINK(CONCATENATE("#metadata!", ADDRESS(INDEX($X$2:$X$1001,MATCH(ROWS($V$2:V208),$V$2:$V$1001,0),0), INDEX($AC$1004:$AS$1004,1,MATCH(COLUMNS($AC$1006:AG1006),$AC$1006:$AS$1006,0)))),"Fix")))</f>
        <v xml:space="preserve"> </v>
      </c>
      <c r="G208" s="4" t="str">
        <f ca="1">IF(OR(INDEX($W$2:$W$1001,MATCH(ROWS($V$2:V208),$V$2:$V$1001,0),1)&gt;=100000,INDEX($AC$1005:$AS$1005,1,MATCH(COLUMNS($AC$1006:AH1006),$AC$1006:$AS$1006,0))&gt;=100000), " ",IF(INDEX($AC$2:$AS$1001,MATCH(ROWS($V$2:V208),$V$2:$V$1001,0),MATCH(COLUMNS($AC$1006:AH1006),$AC$1006:$AS$1006,0)), HYPERLINK("#",""), HYPERLINK(CONCATENATE("#metadata!", ADDRESS(INDEX($X$2:$X$1001,MATCH(ROWS($V$2:V208),$V$2:$V$1001,0),0), INDEX($AC$1004:$AS$1004,1,MATCH(COLUMNS($AC$1006:AH1006),$AC$1006:$AS$1006,0)))),"Fix")))</f>
        <v xml:space="preserve"> </v>
      </c>
      <c r="H208" s="4" t="str">
        <f ca="1">IF(OR(INDEX($W$2:$W$1001,MATCH(ROWS($V$2:V208),$V$2:$V$1001,0),1)&gt;=100000,INDEX($AC$1005:$AS$1005,1,MATCH(COLUMNS($AC$1006:AI1006),$AC$1006:$AS$1006,0))&gt;=100000), " ",IF(INDEX($AC$2:$AS$1001,MATCH(ROWS($V$2:V208),$V$2:$V$1001,0),MATCH(COLUMNS($AC$1006:AI1006),$AC$1006:$AS$1006,0)), HYPERLINK("#",""), HYPERLINK(CONCATENATE("#metadata!", ADDRESS(INDEX($X$2:$X$1001,MATCH(ROWS($V$2:V208),$V$2:$V$1001,0),0), INDEX($AC$1004:$AS$1004,1,MATCH(COLUMNS($AC$1006:AI1006),$AC$1006:$AS$1006,0)))),"Fix")))</f>
        <v xml:space="preserve"> </v>
      </c>
      <c r="I208" s="4" t="str">
        <f ca="1">IF(OR(INDEX($W$2:$W$1001,MATCH(ROWS($V$2:V208),$V$2:$V$1001,0),1)&gt;=100000,INDEX($AC$1005:$AS$1005,1,MATCH(COLUMNS($AC$1006:AJ1006),$AC$1006:$AS$1006,0))&gt;=100000), " ",IF(INDEX($AC$2:$AS$1001,MATCH(ROWS($V$2:V208),$V$2:$V$1001,0),MATCH(COLUMNS($AC$1006:AJ1006),$AC$1006:$AS$1006,0)), HYPERLINK("#",""), HYPERLINK(CONCATENATE("#metadata!", ADDRESS(INDEX($X$2:$X$1001,MATCH(ROWS($V$2:V208),$V$2:$V$1001,0),0), INDEX($AC$1004:$AS$1004,1,MATCH(COLUMNS($AC$1006:AJ1006),$AC$1006:$AS$1006,0)))),"Fix")))</f>
        <v xml:space="preserve"> </v>
      </c>
      <c r="J208" s="4" t="str">
        <f ca="1">IF(OR(INDEX($W$2:$W$1001,MATCH(ROWS($V$2:V208),$V$2:$V$1001,0),1)&gt;=100000,INDEX($AC$1005:$AS$1005,1,MATCH(COLUMNS($AC$1006:AK1006),$AC$1006:$AS$1006,0))&gt;=100000), " ",IF(INDEX($AC$2:$AS$1001,MATCH(ROWS($V$2:V208),$V$2:$V$1001,0),MATCH(COLUMNS($AC$1006:AK1006),$AC$1006:$AS$1006,0)), HYPERLINK("#",""), HYPERLINK(CONCATENATE("#metadata!", ADDRESS(INDEX($X$2:$X$1001,MATCH(ROWS($V$2:V208),$V$2:$V$1001,0),0), INDEX($AC$1004:$AS$1004,1,MATCH(COLUMNS($AC$1006:AK1006),$AC$1006:$AS$1006,0)))),"Fix")))</f>
        <v xml:space="preserve"> </v>
      </c>
      <c r="K208" s="4" t="str">
        <f ca="1">IF(OR(INDEX($W$2:$W$1001,MATCH(ROWS($V$2:V208),$V$2:$V$1001,0),1)&gt;=100000,INDEX($AC$1005:$AS$1005,1,MATCH(COLUMNS($AC$1006:AL1006),$AC$1006:$AS$1006,0))&gt;=100000), " ",IF(INDEX($AC$2:$AS$1001,MATCH(ROWS($V$2:V208),$V$2:$V$1001,0),MATCH(COLUMNS($AC$1006:AL1006),$AC$1006:$AS$1006,0)), HYPERLINK("#",""), HYPERLINK(CONCATENATE("#metadata!", ADDRESS(INDEX($X$2:$X$1001,MATCH(ROWS($V$2:V208),$V$2:$V$1001,0),0), INDEX($AC$1004:$AS$1004,1,MATCH(COLUMNS($AC$1006:AL1006),$AC$1006:$AS$1006,0)))),"Fix")))</f>
        <v xml:space="preserve"> </v>
      </c>
      <c r="L208" s="4" t="str">
        <f ca="1">IF(OR(INDEX($W$2:$W$1001,MATCH(ROWS($V$2:V208),$V$2:$V$1001,0),1)&gt;=100000,INDEX($AC$1005:$AS$1005,1,MATCH(COLUMNS($AC$1006:AM1006),$AC$1006:$AS$1006,0))&gt;=100000), " ",IF(INDEX($AC$2:$AS$1001,MATCH(ROWS($V$2:V208),$V$2:$V$1001,0),MATCH(COLUMNS($AC$1006:AM1006),$AC$1006:$AS$1006,0)), HYPERLINK("#",""), HYPERLINK(CONCATENATE("#metadata!", ADDRESS(INDEX($X$2:$X$1001,MATCH(ROWS($V$2:V208),$V$2:$V$1001,0),0), INDEX($AC$1004:$AS$1004,1,MATCH(COLUMNS($AC$1006:AM1006),$AC$1006:$AS$1006,0)))),"Fix")))</f>
        <v xml:space="preserve"> </v>
      </c>
      <c r="M208" s="4" t="str">
        <f ca="1">IF(OR(INDEX($W$2:$W$1001,MATCH(ROWS($V$2:V208),$V$2:$V$1001,0),1)&gt;=100000,INDEX($AC$1005:$AS$1005,1,MATCH(COLUMNS($AC$1006:AN1006),$AC$1006:$AS$1006,0))&gt;=100000), " ",IF(INDEX($AC$2:$AS$1001,MATCH(ROWS($V$2:V208),$V$2:$V$1001,0),MATCH(COLUMNS($AC$1006:AN1006),$AC$1006:$AS$1006,0)), HYPERLINK("#",""), HYPERLINK(CONCATENATE("#metadata!", ADDRESS(INDEX($X$2:$X$1001,MATCH(ROWS($V$2:V208),$V$2:$V$1001,0),0), INDEX($AC$1004:$AS$1004,1,MATCH(COLUMNS($AC$1006:AN1006),$AC$1006:$AS$1006,0)))),"Fix")))</f>
        <v xml:space="preserve"> </v>
      </c>
      <c r="N208" s="4" t="str">
        <f ca="1">IF(OR(INDEX($W$2:$W$1001,MATCH(ROWS($V$2:V208),$V$2:$V$1001,0),1)&gt;=100000,INDEX($AC$1005:$AS$1005,1,MATCH(COLUMNS($AC$1006:AO1006),$AC$1006:$AS$1006,0))&gt;=100000), " ",IF(INDEX($AC$2:$AS$1001,MATCH(ROWS($V$2:V208),$V$2:$V$1001,0),MATCH(COLUMNS($AC$1006:AO1006),$AC$1006:$AS$1006,0)), HYPERLINK("#",""), HYPERLINK(CONCATENATE("#metadata!", ADDRESS(INDEX($X$2:$X$1001,MATCH(ROWS($V$2:V208),$V$2:$V$1001,0),0), INDEX($AC$1004:$AS$1004,1,MATCH(COLUMNS($AC$1006:AO1006),$AC$1006:$AS$1006,0)))),"Fix")))</f>
        <v xml:space="preserve"> </v>
      </c>
      <c r="O208" s="4" t="str">
        <f ca="1">IF(OR(INDEX($W$2:$W$1001,MATCH(ROWS($V$2:V208),$V$2:$V$1001,0),1)&gt;=100000,INDEX($AC$1005:$AS$1005,1,MATCH(COLUMNS($AC$1006:AP1006),$AC$1006:$AS$1006,0))&gt;=100000), " ",IF(INDEX($AC$2:$AS$1001,MATCH(ROWS($V$2:V208),$V$2:$V$1001,0),MATCH(COLUMNS($AC$1006:AP1006),$AC$1006:$AS$1006,0)), HYPERLINK("#",""), HYPERLINK(CONCATENATE("#metadata!", ADDRESS(INDEX($X$2:$X$1001,MATCH(ROWS($V$2:V208),$V$2:$V$1001,0),0), INDEX($AC$1004:$AS$1004,1,MATCH(COLUMNS($AC$1006:AP1006),$AC$1006:$AS$1006,0)))),"Fix")))</f>
        <v xml:space="preserve"> </v>
      </c>
      <c r="P208" s="4" t="str">
        <f ca="1">IF(OR(INDEX($W$2:$W$1001,MATCH(ROWS($V$2:V208),$V$2:$V$1001,0),1)&gt;=100000,INDEX($AC$1005:$AS$1005,1,MATCH(COLUMNS($AC$1006:AQ1006),$AC$1006:$AS$1006,0))&gt;=100000), " ",IF(INDEX($AC$2:$AS$1001,MATCH(ROWS($V$2:V208),$V$2:$V$1001,0),MATCH(COLUMNS($AC$1006:AQ1006),$AC$1006:$AS$1006,0)), HYPERLINK("#",""), HYPERLINK(CONCATENATE("#metadata!", ADDRESS(INDEX($X$2:$X$1001,MATCH(ROWS($V$2:V208),$V$2:$V$1001,0),0), INDEX($AC$1004:$AS$1004,1,MATCH(COLUMNS($AC$1006:AQ1006),$AC$1006:$AS$1006,0)))),"Fix")))</f>
        <v xml:space="preserve"> </v>
      </c>
      <c r="Q208" s="4" t="str">
        <f ca="1">IF(OR(INDEX($W$2:$W$1001,MATCH(ROWS($V$2:V208),$V$2:$V$1001,0),1)&gt;=100000,INDEX($AC$1005:$AS$1005,1,MATCH(COLUMNS($AC$1006:AR1006),$AC$1006:$AS$1006,0))&gt;=100000), " ",IF(INDEX($AC$2:$AS$1001,MATCH(ROWS($V$2:V208),$V$2:$V$1001,0),MATCH(COLUMNS($AC$1006:AR1006),$AC$1006:$AS$1006,0)), HYPERLINK("#",""), HYPERLINK(CONCATENATE("#metadata!", ADDRESS(INDEX($X$2:$X$1001,MATCH(ROWS($V$2:V208),$V$2:$V$1001,0),0), INDEX($AC$1004:$AS$1004,1,MATCH(COLUMNS($AC$1006:AR1006),$AC$1006:$AS$1006,0)))),"Fix")))</f>
        <v xml:space="preserve"> </v>
      </c>
      <c r="R208" s="4" t="str">
        <f ca="1">IF(OR(INDEX($W$2:$W$1001,MATCH(ROWS($V$2:V208),$V$2:$V$1001,0),1)&gt;=100000,INDEX($AC$1005:$AS$1005,1,MATCH(COLUMNS($AC$1006:AS1006),$AC$1006:$AS$1006,0))&gt;=100000), " ",IF(INDEX($AC$2:$AS$1001,MATCH(ROWS($V$2:V208),$V$2:$V$1001,0),MATCH(COLUMNS($AC$1006:AS1006),$AC$1006:$AS$1006,0)), HYPERLINK("#",""), HYPERLINK(CONCATENATE("#metadata!", ADDRESS(INDEX($X$2:$X$1001,MATCH(ROWS($V$2:V208),$V$2:$V$1001,0),0), INDEX($AC$1004:$AS$1004,1,MATCH(COLUMNS($AC$1006:AS1006),$AC$1006:$AS$1006,0)))),"Fix")))</f>
        <v xml:space="preserve"> </v>
      </c>
      <c r="V208">
        <v>207</v>
      </c>
      <c r="W208">
        <v>100208</v>
      </c>
      <c r="X208">
        <v>208</v>
      </c>
      <c r="Y208" t="b">
        <f t="shared" si="3"/>
        <v>1</v>
      </c>
      <c r="Z208" t="b">
        <f>COUNTBLANK(metadata!B208:R208)=COLUMNS(metadata!B208:R208)</f>
        <v>1</v>
      </c>
      <c r="AA208" t="str">
        <v/>
      </c>
      <c r="AC208" t="b">
        <f ca="1"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AD208" t="b">
        <f>IF(metadata!C208="",FALSE,ISNUMBER(VALUE(metadata!C208)))</f>
        <v>0</v>
      </c>
      <c r="AE208" t="b">
        <f>AND(IF(metadata!D208="",FALSE,TRUE),EXACT(metadata!D208,"years"))</f>
        <v>0</v>
      </c>
      <c r="AF208" t="b">
        <f>OR(AND(IF(metadata!E208="",FALSE,TRUE),OR(EXACT(metadata!E208,"not applicable"),EXACT(metadata!E208,"missing: not collected"),EXACT(metadata!E208,"missing: not provided"),EXACT(metadata!E208,"missing: restricted access"))),AND(IF(metadata!E208="",FALSE,ISNUMBER(VALUE(metadata!E208))),metadata!E208&gt;0))</f>
        <v>0</v>
      </c>
      <c r="AG208" t="b">
        <f>AND(IF(metadata!F208="",FALSE,TRUE),EXACT(metadata!F208,"Not applicable"))</f>
        <v>0</v>
      </c>
      <c r="AH208" t="b">
        <f>AND(IF(metadata!G208="",FALSE,TRUE),EXACT(metadata!G208,"urban biome"))</f>
        <v>0</v>
      </c>
      <c r="AI208" t="b">
        <f>AND(IF(metadata!H208="",FALSE,TRUE),EXACT(metadata!H208,"human-associated habitat"))</f>
        <v>0</v>
      </c>
      <c r="AJ208" t="b">
        <f>AND(IF(metadata!I208="",FALSE,TRUE),OR(EXACT(metadata!I208,"human-associated"),EXACT(metadata!I208,"human-skin"),EXACT(metadata!I208,"human-oral"),EXACT(metadata!I208,"human-gut"),EXACT(metadata!I208,"human-vaginal")))</f>
        <v>0</v>
      </c>
      <c r="AK208" t="b">
        <f>IF(metadata!J208="",FALSE,ISNUMBER(VALUE(metadata!J208)))</f>
        <v>0</v>
      </c>
      <c r="AL208" t="b">
        <f>AND(IF(metadata!K208="",FALSE,TRUE),EXACT(metadata!K208,"cm"))</f>
        <v>0</v>
      </c>
      <c r="AM208" t="b">
        <f>AND(IF(metadata!L208="",FALSE,TRUE),EXACT(metadata!L208,"human"))</f>
        <v>0</v>
      </c>
      <c r="AN208" t="b">
        <f>AND(IF(metadata!M208="",FALSE,TRUE),EXACT(metadata!M208,"Homo sapiens"))</f>
        <v>0</v>
      </c>
      <c r="AO208" t="b">
        <f>AND(IF(metadata!N208="",FALSE,TRUE),EXACT(metadata!N208,"9606"))</f>
        <v>0</v>
      </c>
      <c r="AP208" t="b">
        <f>IF(metadata!O208="",FALSE,TRUE)</f>
        <v>0</v>
      </c>
      <c r="AQ208" t="b">
        <f>IF(metadata!P208="",FALSE,TRUE)</f>
        <v>0</v>
      </c>
      <c r="AR208" t="b">
        <f>IF(metadata!Q208="",FALSE,ISNUMBER(VALUE(metadata!Q208)))</f>
        <v>0</v>
      </c>
      <c r="AS208" t="b">
        <f>AND(IF(metadata!R208="",FALSE,TRUE),EXACT(metadata!R208,"kg"))</f>
        <v>0</v>
      </c>
    </row>
    <row r="209" spans="1:45" x14ac:dyDescent="0.2">
      <c r="A209" s="5" t="str">
        <f ca="1">IF(B209=" "," ",HYPERLINK(CONCATENATE("#metadata!",ADDRESS(INDEX($X$2:$X$1001,MATCH(ROWS($V$2:V209),$V$2:$V$1001,0),0),1)),INDEX($AA$2:$AA$1001,MATCH(ROWS($V$2:V209),$V$2:$V$1001,0),0)))</f>
        <v xml:space="preserve"> </v>
      </c>
      <c r="B209" s="4" t="str">
        <f ca="1">IF(OR(INDEX($W$2:$W$1001,MATCH(ROWS($V$2:V209),$V$2:$V$1001,0),1)&gt;=100000,INDEX($AC$1005:$AS$1005,1,MATCH(COLUMNS($AC$1006:AC1006),$AC$1006:$AS$1006,0))&gt;=100000), " ",IF(INDEX($AC$2:$AS$1001,MATCH(ROWS($V$2:V209),$V$2:$V$1001,0),MATCH(COLUMNS($AC$1006:AC1006),$AC$1006:$AS$1006,0)), HYPERLINK("#",""), HYPERLINK(CONCATENATE("#metadata!", ADDRESS(INDEX($X$2:$X$1001,MATCH(ROWS($V$2:V209),$V$2:$V$1001,0),0), INDEX($AC$1004:$AS$1004,1,MATCH(COLUMNS($AC$1006:AC1006),$AC$1006:$AS$1006,0)))),"Fix")))</f>
        <v xml:space="preserve"> </v>
      </c>
      <c r="C209" s="4" t="str">
        <f ca="1">IF(OR(INDEX($W$2:$W$1001,MATCH(ROWS($V$2:V209),$V$2:$V$1001,0),1)&gt;=100000,INDEX($AC$1005:$AS$1005,1,MATCH(COLUMNS($AC$1006:AD1006),$AC$1006:$AS$1006,0))&gt;=100000), " ",IF(INDEX($AC$2:$AS$1001,MATCH(ROWS($V$2:V209),$V$2:$V$1001,0),MATCH(COLUMNS($AC$1006:AD1006),$AC$1006:$AS$1006,0)), HYPERLINK("#",""), HYPERLINK(CONCATENATE("#metadata!", ADDRESS(INDEX($X$2:$X$1001,MATCH(ROWS($V$2:V209),$V$2:$V$1001,0),0), INDEX($AC$1004:$AS$1004,1,MATCH(COLUMNS($AC$1006:AD1006),$AC$1006:$AS$1006,0)))),"Fix")))</f>
        <v xml:space="preserve"> </v>
      </c>
      <c r="D209" s="4" t="str">
        <f ca="1">IF(OR(INDEX($W$2:$W$1001,MATCH(ROWS($V$2:V209),$V$2:$V$1001,0),1)&gt;=100000,INDEX($AC$1005:$AS$1005,1,MATCH(COLUMNS($AC$1006:AE1006),$AC$1006:$AS$1006,0))&gt;=100000), " ",IF(INDEX($AC$2:$AS$1001,MATCH(ROWS($V$2:V209),$V$2:$V$1001,0),MATCH(COLUMNS($AC$1006:AE1006),$AC$1006:$AS$1006,0)), HYPERLINK("#",""), HYPERLINK(CONCATENATE("#metadata!", ADDRESS(INDEX($X$2:$X$1001,MATCH(ROWS($V$2:V209),$V$2:$V$1001,0),0), INDEX($AC$1004:$AS$1004,1,MATCH(COLUMNS($AC$1006:AE1006),$AC$1006:$AS$1006,0)))),"Fix")))</f>
        <v xml:space="preserve"> </v>
      </c>
      <c r="E209" s="4" t="str">
        <f ca="1">IF(OR(INDEX($W$2:$W$1001,MATCH(ROWS($V$2:V209),$V$2:$V$1001,0),1)&gt;=100000,INDEX($AC$1005:$AS$1005,1,MATCH(COLUMNS($AC$1006:AF1006),$AC$1006:$AS$1006,0))&gt;=100000), " ",IF(INDEX($AC$2:$AS$1001,MATCH(ROWS($V$2:V209),$V$2:$V$1001,0),MATCH(COLUMNS($AC$1006:AF1006),$AC$1006:$AS$1006,0)), HYPERLINK("#",""), HYPERLINK(CONCATENATE("#metadata!", ADDRESS(INDEX($X$2:$X$1001,MATCH(ROWS($V$2:V209),$V$2:$V$1001,0),0), INDEX($AC$1004:$AS$1004,1,MATCH(COLUMNS($AC$1006:AF1006),$AC$1006:$AS$1006,0)))),"Fix")))</f>
        <v xml:space="preserve"> </v>
      </c>
      <c r="F209" s="4" t="str">
        <f ca="1">IF(OR(INDEX($W$2:$W$1001,MATCH(ROWS($V$2:V209),$V$2:$V$1001,0),1)&gt;=100000,INDEX($AC$1005:$AS$1005,1,MATCH(COLUMNS($AC$1006:AG1006),$AC$1006:$AS$1006,0))&gt;=100000), " ",IF(INDEX($AC$2:$AS$1001,MATCH(ROWS($V$2:V209),$V$2:$V$1001,0),MATCH(COLUMNS($AC$1006:AG1006),$AC$1006:$AS$1006,0)), HYPERLINK("#",""), HYPERLINK(CONCATENATE("#metadata!", ADDRESS(INDEX($X$2:$X$1001,MATCH(ROWS($V$2:V209),$V$2:$V$1001,0),0), INDEX($AC$1004:$AS$1004,1,MATCH(COLUMNS($AC$1006:AG1006),$AC$1006:$AS$1006,0)))),"Fix")))</f>
        <v xml:space="preserve"> </v>
      </c>
      <c r="G209" s="4" t="str">
        <f ca="1">IF(OR(INDEX($W$2:$W$1001,MATCH(ROWS($V$2:V209),$V$2:$V$1001,0),1)&gt;=100000,INDEX($AC$1005:$AS$1005,1,MATCH(COLUMNS($AC$1006:AH1006),$AC$1006:$AS$1006,0))&gt;=100000), " ",IF(INDEX($AC$2:$AS$1001,MATCH(ROWS($V$2:V209),$V$2:$V$1001,0),MATCH(COLUMNS($AC$1006:AH1006),$AC$1006:$AS$1006,0)), HYPERLINK("#",""), HYPERLINK(CONCATENATE("#metadata!", ADDRESS(INDEX($X$2:$X$1001,MATCH(ROWS($V$2:V209),$V$2:$V$1001,0),0), INDEX($AC$1004:$AS$1004,1,MATCH(COLUMNS($AC$1006:AH1006),$AC$1006:$AS$1006,0)))),"Fix")))</f>
        <v xml:space="preserve"> </v>
      </c>
      <c r="H209" s="4" t="str">
        <f ca="1">IF(OR(INDEX($W$2:$W$1001,MATCH(ROWS($V$2:V209),$V$2:$V$1001,0),1)&gt;=100000,INDEX($AC$1005:$AS$1005,1,MATCH(COLUMNS($AC$1006:AI1006),$AC$1006:$AS$1006,0))&gt;=100000), " ",IF(INDEX($AC$2:$AS$1001,MATCH(ROWS($V$2:V209),$V$2:$V$1001,0),MATCH(COLUMNS($AC$1006:AI1006),$AC$1006:$AS$1006,0)), HYPERLINK("#",""), HYPERLINK(CONCATENATE("#metadata!", ADDRESS(INDEX($X$2:$X$1001,MATCH(ROWS($V$2:V209),$V$2:$V$1001,0),0), INDEX($AC$1004:$AS$1004,1,MATCH(COLUMNS($AC$1006:AI1006),$AC$1006:$AS$1006,0)))),"Fix")))</f>
        <v xml:space="preserve"> </v>
      </c>
      <c r="I209" s="4" t="str">
        <f ca="1">IF(OR(INDEX($W$2:$W$1001,MATCH(ROWS($V$2:V209),$V$2:$V$1001,0),1)&gt;=100000,INDEX($AC$1005:$AS$1005,1,MATCH(COLUMNS($AC$1006:AJ1006),$AC$1006:$AS$1006,0))&gt;=100000), " ",IF(INDEX($AC$2:$AS$1001,MATCH(ROWS($V$2:V209),$V$2:$V$1001,0),MATCH(COLUMNS($AC$1006:AJ1006),$AC$1006:$AS$1006,0)), HYPERLINK("#",""), HYPERLINK(CONCATENATE("#metadata!", ADDRESS(INDEX($X$2:$X$1001,MATCH(ROWS($V$2:V209),$V$2:$V$1001,0),0), INDEX($AC$1004:$AS$1004,1,MATCH(COLUMNS($AC$1006:AJ1006),$AC$1006:$AS$1006,0)))),"Fix")))</f>
        <v xml:space="preserve"> </v>
      </c>
      <c r="J209" s="4" t="str">
        <f ca="1">IF(OR(INDEX($W$2:$W$1001,MATCH(ROWS($V$2:V209),$V$2:$V$1001,0),1)&gt;=100000,INDEX($AC$1005:$AS$1005,1,MATCH(COLUMNS($AC$1006:AK1006),$AC$1006:$AS$1006,0))&gt;=100000), " ",IF(INDEX($AC$2:$AS$1001,MATCH(ROWS($V$2:V209),$V$2:$V$1001,0),MATCH(COLUMNS($AC$1006:AK1006),$AC$1006:$AS$1006,0)), HYPERLINK("#",""), HYPERLINK(CONCATENATE("#metadata!", ADDRESS(INDEX($X$2:$X$1001,MATCH(ROWS($V$2:V209),$V$2:$V$1001,0),0), INDEX($AC$1004:$AS$1004,1,MATCH(COLUMNS($AC$1006:AK1006),$AC$1006:$AS$1006,0)))),"Fix")))</f>
        <v xml:space="preserve"> </v>
      </c>
      <c r="K209" s="4" t="str">
        <f ca="1">IF(OR(INDEX($W$2:$W$1001,MATCH(ROWS($V$2:V209),$V$2:$V$1001,0),1)&gt;=100000,INDEX($AC$1005:$AS$1005,1,MATCH(COLUMNS($AC$1006:AL1006),$AC$1006:$AS$1006,0))&gt;=100000), " ",IF(INDEX($AC$2:$AS$1001,MATCH(ROWS($V$2:V209),$V$2:$V$1001,0),MATCH(COLUMNS($AC$1006:AL1006),$AC$1006:$AS$1006,0)), HYPERLINK("#",""), HYPERLINK(CONCATENATE("#metadata!", ADDRESS(INDEX($X$2:$X$1001,MATCH(ROWS($V$2:V209),$V$2:$V$1001,0),0), INDEX($AC$1004:$AS$1004,1,MATCH(COLUMNS($AC$1006:AL1006),$AC$1006:$AS$1006,0)))),"Fix")))</f>
        <v xml:space="preserve"> </v>
      </c>
      <c r="L209" s="4" t="str">
        <f ca="1">IF(OR(INDEX($W$2:$W$1001,MATCH(ROWS($V$2:V209),$V$2:$V$1001,0),1)&gt;=100000,INDEX($AC$1005:$AS$1005,1,MATCH(COLUMNS($AC$1006:AM1006),$AC$1006:$AS$1006,0))&gt;=100000), " ",IF(INDEX($AC$2:$AS$1001,MATCH(ROWS($V$2:V209),$V$2:$V$1001,0),MATCH(COLUMNS($AC$1006:AM1006),$AC$1006:$AS$1006,0)), HYPERLINK("#",""), HYPERLINK(CONCATENATE("#metadata!", ADDRESS(INDEX($X$2:$X$1001,MATCH(ROWS($V$2:V209),$V$2:$V$1001,0),0), INDEX($AC$1004:$AS$1004,1,MATCH(COLUMNS($AC$1006:AM1006),$AC$1006:$AS$1006,0)))),"Fix")))</f>
        <v xml:space="preserve"> </v>
      </c>
      <c r="M209" s="4" t="str">
        <f ca="1">IF(OR(INDEX($W$2:$W$1001,MATCH(ROWS($V$2:V209),$V$2:$V$1001,0),1)&gt;=100000,INDEX($AC$1005:$AS$1005,1,MATCH(COLUMNS($AC$1006:AN1006),$AC$1006:$AS$1006,0))&gt;=100000), " ",IF(INDEX($AC$2:$AS$1001,MATCH(ROWS($V$2:V209),$V$2:$V$1001,0),MATCH(COLUMNS($AC$1006:AN1006),$AC$1006:$AS$1006,0)), HYPERLINK("#",""), HYPERLINK(CONCATENATE("#metadata!", ADDRESS(INDEX($X$2:$X$1001,MATCH(ROWS($V$2:V209),$V$2:$V$1001,0),0), INDEX($AC$1004:$AS$1004,1,MATCH(COLUMNS($AC$1006:AN1006),$AC$1006:$AS$1006,0)))),"Fix")))</f>
        <v xml:space="preserve"> </v>
      </c>
      <c r="N209" s="4" t="str">
        <f ca="1">IF(OR(INDEX($W$2:$W$1001,MATCH(ROWS($V$2:V209),$V$2:$V$1001,0),1)&gt;=100000,INDEX($AC$1005:$AS$1005,1,MATCH(COLUMNS($AC$1006:AO1006),$AC$1006:$AS$1006,0))&gt;=100000), " ",IF(INDEX($AC$2:$AS$1001,MATCH(ROWS($V$2:V209),$V$2:$V$1001,0),MATCH(COLUMNS($AC$1006:AO1006),$AC$1006:$AS$1006,0)), HYPERLINK("#",""), HYPERLINK(CONCATENATE("#metadata!", ADDRESS(INDEX($X$2:$X$1001,MATCH(ROWS($V$2:V209),$V$2:$V$1001,0),0), INDEX($AC$1004:$AS$1004,1,MATCH(COLUMNS($AC$1006:AO1006),$AC$1006:$AS$1006,0)))),"Fix")))</f>
        <v xml:space="preserve"> </v>
      </c>
      <c r="O209" s="4" t="str">
        <f ca="1">IF(OR(INDEX($W$2:$W$1001,MATCH(ROWS($V$2:V209),$V$2:$V$1001,0),1)&gt;=100000,INDEX($AC$1005:$AS$1005,1,MATCH(COLUMNS($AC$1006:AP1006),$AC$1006:$AS$1006,0))&gt;=100000), " ",IF(INDEX($AC$2:$AS$1001,MATCH(ROWS($V$2:V209),$V$2:$V$1001,0),MATCH(COLUMNS($AC$1006:AP1006),$AC$1006:$AS$1006,0)), HYPERLINK("#",""), HYPERLINK(CONCATENATE("#metadata!", ADDRESS(INDEX($X$2:$X$1001,MATCH(ROWS($V$2:V209),$V$2:$V$1001,0),0), INDEX($AC$1004:$AS$1004,1,MATCH(COLUMNS($AC$1006:AP1006),$AC$1006:$AS$1006,0)))),"Fix")))</f>
        <v xml:space="preserve"> </v>
      </c>
      <c r="P209" s="4" t="str">
        <f ca="1">IF(OR(INDEX($W$2:$W$1001,MATCH(ROWS($V$2:V209),$V$2:$V$1001,0),1)&gt;=100000,INDEX($AC$1005:$AS$1005,1,MATCH(COLUMNS($AC$1006:AQ1006),$AC$1006:$AS$1006,0))&gt;=100000), " ",IF(INDEX($AC$2:$AS$1001,MATCH(ROWS($V$2:V209),$V$2:$V$1001,0),MATCH(COLUMNS($AC$1006:AQ1006),$AC$1006:$AS$1006,0)), HYPERLINK("#",""), HYPERLINK(CONCATENATE("#metadata!", ADDRESS(INDEX($X$2:$X$1001,MATCH(ROWS($V$2:V209),$V$2:$V$1001,0),0), INDEX($AC$1004:$AS$1004,1,MATCH(COLUMNS($AC$1006:AQ1006),$AC$1006:$AS$1006,0)))),"Fix")))</f>
        <v xml:space="preserve"> </v>
      </c>
      <c r="Q209" s="4" t="str">
        <f ca="1">IF(OR(INDEX($W$2:$W$1001,MATCH(ROWS($V$2:V209),$V$2:$V$1001,0),1)&gt;=100000,INDEX($AC$1005:$AS$1005,1,MATCH(COLUMNS($AC$1006:AR1006),$AC$1006:$AS$1006,0))&gt;=100000), " ",IF(INDEX($AC$2:$AS$1001,MATCH(ROWS($V$2:V209),$V$2:$V$1001,0),MATCH(COLUMNS($AC$1006:AR1006),$AC$1006:$AS$1006,0)), HYPERLINK("#",""), HYPERLINK(CONCATENATE("#metadata!", ADDRESS(INDEX($X$2:$X$1001,MATCH(ROWS($V$2:V209),$V$2:$V$1001,0),0), INDEX($AC$1004:$AS$1004,1,MATCH(COLUMNS($AC$1006:AR1006),$AC$1006:$AS$1006,0)))),"Fix")))</f>
        <v xml:space="preserve"> </v>
      </c>
      <c r="R209" s="4" t="str">
        <f ca="1">IF(OR(INDEX($W$2:$W$1001,MATCH(ROWS($V$2:V209),$V$2:$V$1001,0),1)&gt;=100000,INDEX($AC$1005:$AS$1005,1,MATCH(COLUMNS($AC$1006:AS1006),$AC$1006:$AS$1006,0))&gt;=100000), " ",IF(INDEX($AC$2:$AS$1001,MATCH(ROWS($V$2:V209),$V$2:$V$1001,0),MATCH(COLUMNS($AC$1006:AS1006),$AC$1006:$AS$1006,0)), HYPERLINK("#",""), HYPERLINK(CONCATENATE("#metadata!", ADDRESS(INDEX($X$2:$X$1001,MATCH(ROWS($V$2:V209),$V$2:$V$1001,0),0), INDEX($AC$1004:$AS$1004,1,MATCH(COLUMNS($AC$1006:AS1006),$AC$1006:$AS$1006,0)))),"Fix")))</f>
        <v xml:space="preserve"> </v>
      </c>
      <c r="V209">
        <v>208</v>
      </c>
      <c r="W209">
        <v>100209</v>
      </c>
      <c r="X209">
        <v>209</v>
      </c>
      <c r="Y209" t="b">
        <f t="shared" si="3"/>
        <v>1</v>
      </c>
      <c r="Z209" t="b">
        <f>COUNTBLANK(metadata!B209:R209)=COLUMNS(metadata!B209:R209)</f>
        <v>1</v>
      </c>
      <c r="AA209" t="str">
        <v/>
      </c>
      <c r="AC209" t="b">
        <f ca="1"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AD209" t="b">
        <f>IF(metadata!C209="",FALSE,ISNUMBER(VALUE(metadata!C209)))</f>
        <v>0</v>
      </c>
      <c r="AE209" t="b">
        <f>AND(IF(metadata!D209="",FALSE,TRUE),EXACT(metadata!D209,"years"))</f>
        <v>0</v>
      </c>
      <c r="AF209" t="b">
        <f>OR(AND(IF(metadata!E209="",FALSE,TRUE),OR(EXACT(metadata!E209,"not applicable"),EXACT(metadata!E209,"missing: not collected"),EXACT(metadata!E209,"missing: not provided"),EXACT(metadata!E209,"missing: restricted access"))),AND(IF(metadata!E209="",FALSE,ISNUMBER(VALUE(metadata!E209))),metadata!E209&gt;0))</f>
        <v>0</v>
      </c>
      <c r="AG209" t="b">
        <f>AND(IF(metadata!F209="",FALSE,TRUE),EXACT(metadata!F209,"Not applicable"))</f>
        <v>0</v>
      </c>
      <c r="AH209" t="b">
        <f>AND(IF(metadata!G209="",FALSE,TRUE),EXACT(metadata!G209,"urban biome"))</f>
        <v>0</v>
      </c>
      <c r="AI209" t="b">
        <f>AND(IF(metadata!H209="",FALSE,TRUE),EXACT(metadata!H209,"human-associated habitat"))</f>
        <v>0</v>
      </c>
      <c r="AJ209" t="b">
        <f>AND(IF(metadata!I209="",FALSE,TRUE),OR(EXACT(metadata!I209,"human-associated"),EXACT(metadata!I209,"human-skin"),EXACT(metadata!I209,"human-oral"),EXACT(metadata!I209,"human-gut"),EXACT(metadata!I209,"human-vaginal")))</f>
        <v>0</v>
      </c>
      <c r="AK209" t="b">
        <f>IF(metadata!J209="",FALSE,ISNUMBER(VALUE(metadata!J209)))</f>
        <v>0</v>
      </c>
      <c r="AL209" t="b">
        <f>AND(IF(metadata!K209="",FALSE,TRUE),EXACT(metadata!K209,"cm"))</f>
        <v>0</v>
      </c>
      <c r="AM209" t="b">
        <f>AND(IF(metadata!L209="",FALSE,TRUE),EXACT(metadata!L209,"human"))</f>
        <v>0</v>
      </c>
      <c r="AN209" t="b">
        <f>AND(IF(metadata!M209="",FALSE,TRUE),EXACT(metadata!M209,"Homo sapiens"))</f>
        <v>0</v>
      </c>
      <c r="AO209" t="b">
        <f>AND(IF(metadata!N209="",FALSE,TRUE),EXACT(metadata!N209,"9606"))</f>
        <v>0</v>
      </c>
      <c r="AP209" t="b">
        <f>IF(metadata!O209="",FALSE,TRUE)</f>
        <v>0</v>
      </c>
      <c r="AQ209" t="b">
        <f>IF(metadata!P209="",FALSE,TRUE)</f>
        <v>0</v>
      </c>
      <c r="AR209" t="b">
        <f>IF(metadata!Q209="",FALSE,ISNUMBER(VALUE(metadata!Q209)))</f>
        <v>0</v>
      </c>
      <c r="AS209" t="b">
        <f>AND(IF(metadata!R209="",FALSE,TRUE),EXACT(metadata!R209,"kg"))</f>
        <v>0</v>
      </c>
    </row>
    <row r="210" spans="1:45" x14ac:dyDescent="0.2">
      <c r="A210" s="5" t="str">
        <f ca="1">IF(B210=" "," ",HYPERLINK(CONCATENATE("#metadata!",ADDRESS(INDEX($X$2:$X$1001,MATCH(ROWS($V$2:V210),$V$2:$V$1001,0),0),1)),INDEX($AA$2:$AA$1001,MATCH(ROWS($V$2:V210),$V$2:$V$1001,0),0)))</f>
        <v xml:space="preserve"> </v>
      </c>
      <c r="B210" s="4" t="str">
        <f ca="1">IF(OR(INDEX($W$2:$W$1001,MATCH(ROWS($V$2:V210),$V$2:$V$1001,0),1)&gt;=100000,INDEX($AC$1005:$AS$1005,1,MATCH(COLUMNS($AC$1006:AC1006),$AC$1006:$AS$1006,0))&gt;=100000), " ",IF(INDEX($AC$2:$AS$1001,MATCH(ROWS($V$2:V210),$V$2:$V$1001,0),MATCH(COLUMNS($AC$1006:AC1006),$AC$1006:$AS$1006,0)), HYPERLINK("#",""), HYPERLINK(CONCATENATE("#metadata!", ADDRESS(INDEX($X$2:$X$1001,MATCH(ROWS($V$2:V210),$V$2:$V$1001,0),0), INDEX($AC$1004:$AS$1004,1,MATCH(COLUMNS($AC$1006:AC1006),$AC$1006:$AS$1006,0)))),"Fix")))</f>
        <v xml:space="preserve"> </v>
      </c>
      <c r="C210" s="4" t="str">
        <f ca="1">IF(OR(INDEX($W$2:$W$1001,MATCH(ROWS($V$2:V210),$V$2:$V$1001,0),1)&gt;=100000,INDEX($AC$1005:$AS$1005,1,MATCH(COLUMNS($AC$1006:AD1006),$AC$1006:$AS$1006,0))&gt;=100000), " ",IF(INDEX($AC$2:$AS$1001,MATCH(ROWS($V$2:V210),$V$2:$V$1001,0),MATCH(COLUMNS($AC$1006:AD1006),$AC$1006:$AS$1006,0)), HYPERLINK("#",""), HYPERLINK(CONCATENATE("#metadata!", ADDRESS(INDEX($X$2:$X$1001,MATCH(ROWS($V$2:V210),$V$2:$V$1001,0),0), INDEX($AC$1004:$AS$1004,1,MATCH(COLUMNS($AC$1006:AD1006),$AC$1006:$AS$1006,0)))),"Fix")))</f>
        <v xml:space="preserve"> </v>
      </c>
      <c r="D210" s="4" t="str">
        <f ca="1">IF(OR(INDEX($W$2:$W$1001,MATCH(ROWS($V$2:V210),$V$2:$V$1001,0),1)&gt;=100000,INDEX($AC$1005:$AS$1005,1,MATCH(COLUMNS($AC$1006:AE1006),$AC$1006:$AS$1006,0))&gt;=100000), " ",IF(INDEX($AC$2:$AS$1001,MATCH(ROWS($V$2:V210),$V$2:$V$1001,0),MATCH(COLUMNS($AC$1006:AE1006),$AC$1006:$AS$1006,0)), HYPERLINK("#",""), HYPERLINK(CONCATENATE("#metadata!", ADDRESS(INDEX($X$2:$X$1001,MATCH(ROWS($V$2:V210),$V$2:$V$1001,0),0), INDEX($AC$1004:$AS$1004,1,MATCH(COLUMNS($AC$1006:AE1006),$AC$1006:$AS$1006,0)))),"Fix")))</f>
        <v xml:space="preserve"> </v>
      </c>
      <c r="E210" s="4" t="str">
        <f ca="1">IF(OR(INDEX($W$2:$W$1001,MATCH(ROWS($V$2:V210),$V$2:$V$1001,0),1)&gt;=100000,INDEX($AC$1005:$AS$1005,1,MATCH(COLUMNS($AC$1006:AF1006),$AC$1006:$AS$1006,0))&gt;=100000), " ",IF(INDEX($AC$2:$AS$1001,MATCH(ROWS($V$2:V210),$V$2:$V$1001,0),MATCH(COLUMNS($AC$1006:AF1006),$AC$1006:$AS$1006,0)), HYPERLINK("#",""), HYPERLINK(CONCATENATE("#metadata!", ADDRESS(INDEX($X$2:$X$1001,MATCH(ROWS($V$2:V210),$V$2:$V$1001,0),0), INDEX($AC$1004:$AS$1004,1,MATCH(COLUMNS($AC$1006:AF1006),$AC$1006:$AS$1006,0)))),"Fix")))</f>
        <v xml:space="preserve"> </v>
      </c>
      <c r="F210" s="4" t="str">
        <f ca="1">IF(OR(INDEX($W$2:$W$1001,MATCH(ROWS($V$2:V210),$V$2:$V$1001,0),1)&gt;=100000,INDEX($AC$1005:$AS$1005,1,MATCH(COLUMNS($AC$1006:AG1006),$AC$1006:$AS$1006,0))&gt;=100000), " ",IF(INDEX($AC$2:$AS$1001,MATCH(ROWS($V$2:V210),$V$2:$V$1001,0),MATCH(COLUMNS($AC$1006:AG1006),$AC$1006:$AS$1006,0)), HYPERLINK("#",""), HYPERLINK(CONCATENATE("#metadata!", ADDRESS(INDEX($X$2:$X$1001,MATCH(ROWS($V$2:V210),$V$2:$V$1001,0),0), INDEX($AC$1004:$AS$1004,1,MATCH(COLUMNS($AC$1006:AG1006),$AC$1006:$AS$1006,0)))),"Fix")))</f>
        <v xml:space="preserve"> </v>
      </c>
      <c r="G210" s="4" t="str">
        <f ca="1">IF(OR(INDEX($W$2:$W$1001,MATCH(ROWS($V$2:V210),$V$2:$V$1001,0),1)&gt;=100000,INDEX($AC$1005:$AS$1005,1,MATCH(COLUMNS($AC$1006:AH1006),$AC$1006:$AS$1006,0))&gt;=100000), " ",IF(INDEX($AC$2:$AS$1001,MATCH(ROWS($V$2:V210),$V$2:$V$1001,0),MATCH(COLUMNS($AC$1006:AH1006),$AC$1006:$AS$1006,0)), HYPERLINK("#",""), HYPERLINK(CONCATENATE("#metadata!", ADDRESS(INDEX($X$2:$X$1001,MATCH(ROWS($V$2:V210),$V$2:$V$1001,0),0), INDEX($AC$1004:$AS$1004,1,MATCH(COLUMNS($AC$1006:AH1006),$AC$1006:$AS$1006,0)))),"Fix")))</f>
        <v xml:space="preserve"> </v>
      </c>
      <c r="H210" s="4" t="str">
        <f ca="1">IF(OR(INDEX($W$2:$W$1001,MATCH(ROWS($V$2:V210),$V$2:$V$1001,0),1)&gt;=100000,INDEX($AC$1005:$AS$1005,1,MATCH(COLUMNS($AC$1006:AI1006),$AC$1006:$AS$1006,0))&gt;=100000), " ",IF(INDEX($AC$2:$AS$1001,MATCH(ROWS($V$2:V210),$V$2:$V$1001,0),MATCH(COLUMNS($AC$1006:AI1006),$AC$1006:$AS$1006,0)), HYPERLINK("#",""), HYPERLINK(CONCATENATE("#metadata!", ADDRESS(INDEX($X$2:$X$1001,MATCH(ROWS($V$2:V210),$V$2:$V$1001,0),0), INDEX($AC$1004:$AS$1004,1,MATCH(COLUMNS($AC$1006:AI1006),$AC$1006:$AS$1006,0)))),"Fix")))</f>
        <v xml:space="preserve"> </v>
      </c>
      <c r="I210" s="4" t="str">
        <f ca="1">IF(OR(INDEX($W$2:$W$1001,MATCH(ROWS($V$2:V210),$V$2:$V$1001,0),1)&gt;=100000,INDEX($AC$1005:$AS$1005,1,MATCH(COLUMNS($AC$1006:AJ1006),$AC$1006:$AS$1006,0))&gt;=100000), " ",IF(INDEX($AC$2:$AS$1001,MATCH(ROWS($V$2:V210),$V$2:$V$1001,0),MATCH(COLUMNS($AC$1006:AJ1006),$AC$1006:$AS$1006,0)), HYPERLINK("#",""), HYPERLINK(CONCATENATE("#metadata!", ADDRESS(INDEX($X$2:$X$1001,MATCH(ROWS($V$2:V210),$V$2:$V$1001,0),0), INDEX($AC$1004:$AS$1004,1,MATCH(COLUMNS($AC$1006:AJ1006),$AC$1006:$AS$1006,0)))),"Fix")))</f>
        <v xml:space="preserve"> </v>
      </c>
      <c r="J210" s="4" t="str">
        <f ca="1">IF(OR(INDEX($W$2:$W$1001,MATCH(ROWS($V$2:V210),$V$2:$V$1001,0),1)&gt;=100000,INDEX($AC$1005:$AS$1005,1,MATCH(COLUMNS($AC$1006:AK1006),$AC$1006:$AS$1006,0))&gt;=100000), " ",IF(INDEX($AC$2:$AS$1001,MATCH(ROWS($V$2:V210),$V$2:$V$1001,0),MATCH(COLUMNS($AC$1006:AK1006),$AC$1006:$AS$1006,0)), HYPERLINK("#",""), HYPERLINK(CONCATENATE("#metadata!", ADDRESS(INDEX($X$2:$X$1001,MATCH(ROWS($V$2:V210),$V$2:$V$1001,0),0), INDEX($AC$1004:$AS$1004,1,MATCH(COLUMNS($AC$1006:AK1006),$AC$1006:$AS$1006,0)))),"Fix")))</f>
        <v xml:space="preserve"> </v>
      </c>
      <c r="K210" s="4" t="str">
        <f ca="1">IF(OR(INDEX($W$2:$W$1001,MATCH(ROWS($V$2:V210),$V$2:$V$1001,0),1)&gt;=100000,INDEX($AC$1005:$AS$1005,1,MATCH(COLUMNS($AC$1006:AL1006),$AC$1006:$AS$1006,0))&gt;=100000), " ",IF(INDEX($AC$2:$AS$1001,MATCH(ROWS($V$2:V210),$V$2:$V$1001,0),MATCH(COLUMNS($AC$1006:AL1006),$AC$1006:$AS$1006,0)), HYPERLINK("#",""), HYPERLINK(CONCATENATE("#metadata!", ADDRESS(INDEX($X$2:$X$1001,MATCH(ROWS($V$2:V210),$V$2:$V$1001,0),0), INDEX($AC$1004:$AS$1004,1,MATCH(COLUMNS($AC$1006:AL1006),$AC$1006:$AS$1006,0)))),"Fix")))</f>
        <v xml:space="preserve"> </v>
      </c>
      <c r="L210" s="4" t="str">
        <f ca="1">IF(OR(INDEX($W$2:$W$1001,MATCH(ROWS($V$2:V210),$V$2:$V$1001,0),1)&gt;=100000,INDEX($AC$1005:$AS$1005,1,MATCH(COLUMNS($AC$1006:AM1006),$AC$1006:$AS$1006,0))&gt;=100000), " ",IF(INDEX($AC$2:$AS$1001,MATCH(ROWS($V$2:V210),$V$2:$V$1001,0),MATCH(COLUMNS($AC$1006:AM1006),$AC$1006:$AS$1006,0)), HYPERLINK("#",""), HYPERLINK(CONCATENATE("#metadata!", ADDRESS(INDEX($X$2:$X$1001,MATCH(ROWS($V$2:V210),$V$2:$V$1001,0),0), INDEX($AC$1004:$AS$1004,1,MATCH(COLUMNS($AC$1006:AM1006),$AC$1006:$AS$1006,0)))),"Fix")))</f>
        <v xml:space="preserve"> </v>
      </c>
      <c r="M210" s="4" t="str">
        <f ca="1">IF(OR(INDEX($W$2:$W$1001,MATCH(ROWS($V$2:V210),$V$2:$V$1001,0),1)&gt;=100000,INDEX($AC$1005:$AS$1005,1,MATCH(COLUMNS($AC$1006:AN1006),$AC$1006:$AS$1006,0))&gt;=100000), " ",IF(INDEX($AC$2:$AS$1001,MATCH(ROWS($V$2:V210),$V$2:$V$1001,0),MATCH(COLUMNS($AC$1006:AN1006),$AC$1006:$AS$1006,0)), HYPERLINK("#",""), HYPERLINK(CONCATENATE("#metadata!", ADDRESS(INDEX($X$2:$X$1001,MATCH(ROWS($V$2:V210),$V$2:$V$1001,0),0), INDEX($AC$1004:$AS$1004,1,MATCH(COLUMNS($AC$1006:AN1006),$AC$1006:$AS$1006,0)))),"Fix")))</f>
        <v xml:space="preserve"> </v>
      </c>
      <c r="N210" s="4" t="str">
        <f ca="1">IF(OR(INDEX($W$2:$W$1001,MATCH(ROWS($V$2:V210),$V$2:$V$1001,0),1)&gt;=100000,INDEX($AC$1005:$AS$1005,1,MATCH(COLUMNS($AC$1006:AO1006),$AC$1006:$AS$1006,0))&gt;=100000), " ",IF(INDEX($AC$2:$AS$1001,MATCH(ROWS($V$2:V210),$V$2:$V$1001,0),MATCH(COLUMNS($AC$1006:AO1006),$AC$1006:$AS$1006,0)), HYPERLINK("#",""), HYPERLINK(CONCATENATE("#metadata!", ADDRESS(INDEX($X$2:$X$1001,MATCH(ROWS($V$2:V210),$V$2:$V$1001,0),0), INDEX($AC$1004:$AS$1004,1,MATCH(COLUMNS($AC$1006:AO1006),$AC$1006:$AS$1006,0)))),"Fix")))</f>
        <v xml:space="preserve"> </v>
      </c>
      <c r="O210" s="4" t="str">
        <f ca="1">IF(OR(INDEX($W$2:$W$1001,MATCH(ROWS($V$2:V210),$V$2:$V$1001,0),1)&gt;=100000,INDEX($AC$1005:$AS$1005,1,MATCH(COLUMNS($AC$1006:AP1006),$AC$1006:$AS$1006,0))&gt;=100000), " ",IF(INDEX($AC$2:$AS$1001,MATCH(ROWS($V$2:V210),$V$2:$V$1001,0),MATCH(COLUMNS($AC$1006:AP1006),$AC$1006:$AS$1006,0)), HYPERLINK("#",""), HYPERLINK(CONCATENATE("#metadata!", ADDRESS(INDEX($X$2:$X$1001,MATCH(ROWS($V$2:V210),$V$2:$V$1001,0),0), INDEX($AC$1004:$AS$1004,1,MATCH(COLUMNS($AC$1006:AP1006),$AC$1006:$AS$1006,0)))),"Fix")))</f>
        <v xml:space="preserve"> </v>
      </c>
      <c r="P210" s="4" t="str">
        <f ca="1">IF(OR(INDEX($W$2:$W$1001,MATCH(ROWS($V$2:V210),$V$2:$V$1001,0),1)&gt;=100000,INDEX($AC$1005:$AS$1005,1,MATCH(COLUMNS($AC$1006:AQ1006),$AC$1006:$AS$1006,0))&gt;=100000), " ",IF(INDEX($AC$2:$AS$1001,MATCH(ROWS($V$2:V210),$V$2:$V$1001,0),MATCH(COLUMNS($AC$1006:AQ1006),$AC$1006:$AS$1006,0)), HYPERLINK("#",""), HYPERLINK(CONCATENATE("#metadata!", ADDRESS(INDEX($X$2:$X$1001,MATCH(ROWS($V$2:V210),$V$2:$V$1001,0),0), INDEX($AC$1004:$AS$1004,1,MATCH(COLUMNS($AC$1006:AQ1006),$AC$1006:$AS$1006,0)))),"Fix")))</f>
        <v xml:space="preserve"> </v>
      </c>
      <c r="Q210" s="4" t="str">
        <f ca="1">IF(OR(INDEX($W$2:$W$1001,MATCH(ROWS($V$2:V210),$V$2:$V$1001,0),1)&gt;=100000,INDEX($AC$1005:$AS$1005,1,MATCH(COLUMNS($AC$1006:AR1006),$AC$1006:$AS$1006,0))&gt;=100000), " ",IF(INDEX($AC$2:$AS$1001,MATCH(ROWS($V$2:V210),$V$2:$V$1001,0),MATCH(COLUMNS($AC$1006:AR1006),$AC$1006:$AS$1006,0)), HYPERLINK("#",""), HYPERLINK(CONCATENATE("#metadata!", ADDRESS(INDEX($X$2:$X$1001,MATCH(ROWS($V$2:V210),$V$2:$V$1001,0),0), INDEX($AC$1004:$AS$1004,1,MATCH(COLUMNS($AC$1006:AR1006),$AC$1006:$AS$1006,0)))),"Fix")))</f>
        <v xml:space="preserve"> </v>
      </c>
      <c r="R210" s="4" t="str">
        <f ca="1">IF(OR(INDEX($W$2:$W$1001,MATCH(ROWS($V$2:V210),$V$2:$V$1001,0),1)&gt;=100000,INDEX($AC$1005:$AS$1005,1,MATCH(COLUMNS($AC$1006:AS1006),$AC$1006:$AS$1006,0))&gt;=100000), " ",IF(INDEX($AC$2:$AS$1001,MATCH(ROWS($V$2:V210),$V$2:$V$1001,0),MATCH(COLUMNS($AC$1006:AS1006),$AC$1006:$AS$1006,0)), HYPERLINK("#",""), HYPERLINK(CONCATENATE("#metadata!", ADDRESS(INDEX($X$2:$X$1001,MATCH(ROWS($V$2:V210),$V$2:$V$1001,0),0), INDEX($AC$1004:$AS$1004,1,MATCH(COLUMNS($AC$1006:AS1006),$AC$1006:$AS$1006,0)))),"Fix")))</f>
        <v xml:space="preserve"> </v>
      </c>
      <c r="V210">
        <v>209</v>
      </c>
      <c r="W210">
        <v>100210</v>
      </c>
      <c r="X210">
        <v>210</v>
      </c>
      <c r="Y210" t="b">
        <f t="shared" si="3"/>
        <v>1</v>
      </c>
      <c r="Z210" t="b">
        <f>COUNTBLANK(metadata!B210:R210)=COLUMNS(metadata!B210:R210)</f>
        <v>1</v>
      </c>
      <c r="AA210" t="str">
        <v/>
      </c>
      <c r="AC210" t="b">
        <f ca="1"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AD210" t="b">
        <f>IF(metadata!C210="",FALSE,ISNUMBER(VALUE(metadata!C210)))</f>
        <v>0</v>
      </c>
      <c r="AE210" t="b">
        <f>AND(IF(metadata!D210="",FALSE,TRUE),EXACT(metadata!D210,"years"))</f>
        <v>0</v>
      </c>
      <c r="AF210" t="b">
        <f>OR(AND(IF(metadata!E210="",FALSE,TRUE),OR(EXACT(metadata!E210,"not applicable"),EXACT(metadata!E210,"missing: not collected"),EXACT(metadata!E210,"missing: not provided"),EXACT(metadata!E210,"missing: restricted access"))),AND(IF(metadata!E210="",FALSE,ISNUMBER(VALUE(metadata!E210))),metadata!E210&gt;0))</f>
        <v>0</v>
      </c>
      <c r="AG210" t="b">
        <f>AND(IF(metadata!F210="",FALSE,TRUE),EXACT(metadata!F210,"Not applicable"))</f>
        <v>0</v>
      </c>
      <c r="AH210" t="b">
        <f>AND(IF(metadata!G210="",FALSE,TRUE),EXACT(metadata!G210,"urban biome"))</f>
        <v>0</v>
      </c>
      <c r="AI210" t="b">
        <f>AND(IF(metadata!H210="",FALSE,TRUE),EXACT(metadata!H210,"human-associated habitat"))</f>
        <v>0</v>
      </c>
      <c r="AJ210" t="b">
        <f>AND(IF(metadata!I210="",FALSE,TRUE),OR(EXACT(metadata!I210,"human-associated"),EXACT(metadata!I210,"human-skin"),EXACT(metadata!I210,"human-oral"),EXACT(metadata!I210,"human-gut"),EXACT(metadata!I210,"human-vaginal")))</f>
        <v>0</v>
      </c>
      <c r="AK210" t="b">
        <f>IF(metadata!J210="",FALSE,ISNUMBER(VALUE(metadata!J210)))</f>
        <v>0</v>
      </c>
      <c r="AL210" t="b">
        <f>AND(IF(metadata!K210="",FALSE,TRUE),EXACT(metadata!K210,"cm"))</f>
        <v>0</v>
      </c>
      <c r="AM210" t="b">
        <f>AND(IF(metadata!L210="",FALSE,TRUE),EXACT(metadata!L210,"human"))</f>
        <v>0</v>
      </c>
      <c r="AN210" t="b">
        <f>AND(IF(metadata!M210="",FALSE,TRUE),EXACT(metadata!M210,"Homo sapiens"))</f>
        <v>0</v>
      </c>
      <c r="AO210" t="b">
        <f>AND(IF(metadata!N210="",FALSE,TRUE),EXACT(metadata!N210,"9606"))</f>
        <v>0</v>
      </c>
      <c r="AP210" t="b">
        <f>IF(metadata!O210="",FALSE,TRUE)</f>
        <v>0</v>
      </c>
      <c r="AQ210" t="b">
        <f>IF(metadata!P210="",FALSE,TRUE)</f>
        <v>0</v>
      </c>
      <c r="AR210" t="b">
        <f>IF(metadata!Q210="",FALSE,ISNUMBER(VALUE(metadata!Q210)))</f>
        <v>0</v>
      </c>
      <c r="AS210" t="b">
        <f>AND(IF(metadata!R210="",FALSE,TRUE),EXACT(metadata!R210,"kg"))</f>
        <v>0</v>
      </c>
    </row>
    <row r="211" spans="1:45" x14ac:dyDescent="0.2">
      <c r="A211" s="5" t="str">
        <f ca="1">IF(B211=" "," ",HYPERLINK(CONCATENATE("#metadata!",ADDRESS(INDEX($X$2:$X$1001,MATCH(ROWS($V$2:V211),$V$2:$V$1001,0),0),1)),INDEX($AA$2:$AA$1001,MATCH(ROWS($V$2:V211),$V$2:$V$1001,0),0)))</f>
        <v xml:space="preserve"> </v>
      </c>
      <c r="B211" s="4" t="str">
        <f ca="1">IF(OR(INDEX($W$2:$W$1001,MATCH(ROWS($V$2:V211),$V$2:$V$1001,0),1)&gt;=100000,INDEX($AC$1005:$AS$1005,1,MATCH(COLUMNS($AC$1006:AC1006),$AC$1006:$AS$1006,0))&gt;=100000), " ",IF(INDEX($AC$2:$AS$1001,MATCH(ROWS($V$2:V211),$V$2:$V$1001,0),MATCH(COLUMNS($AC$1006:AC1006),$AC$1006:$AS$1006,0)), HYPERLINK("#",""), HYPERLINK(CONCATENATE("#metadata!", ADDRESS(INDEX($X$2:$X$1001,MATCH(ROWS($V$2:V211),$V$2:$V$1001,0),0), INDEX($AC$1004:$AS$1004,1,MATCH(COLUMNS($AC$1006:AC1006),$AC$1006:$AS$1006,0)))),"Fix")))</f>
        <v xml:space="preserve"> </v>
      </c>
      <c r="C211" s="4" t="str">
        <f ca="1">IF(OR(INDEX($W$2:$W$1001,MATCH(ROWS($V$2:V211),$V$2:$V$1001,0),1)&gt;=100000,INDEX($AC$1005:$AS$1005,1,MATCH(COLUMNS($AC$1006:AD1006),$AC$1006:$AS$1006,0))&gt;=100000), " ",IF(INDEX($AC$2:$AS$1001,MATCH(ROWS($V$2:V211),$V$2:$V$1001,0),MATCH(COLUMNS($AC$1006:AD1006),$AC$1006:$AS$1006,0)), HYPERLINK("#",""), HYPERLINK(CONCATENATE("#metadata!", ADDRESS(INDEX($X$2:$X$1001,MATCH(ROWS($V$2:V211),$V$2:$V$1001,0),0), INDEX($AC$1004:$AS$1004,1,MATCH(COLUMNS($AC$1006:AD1006),$AC$1006:$AS$1006,0)))),"Fix")))</f>
        <v xml:space="preserve"> </v>
      </c>
      <c r="D211" s="4" t="str">
        <f ca="1">IF(OR(INDEX($W$2:$W$1001,MATCH(ROWS($V$2:V211),$V$2:$V$1001,0),1)&gt;=100000,INDEX($AC$1005:$AS$1005,1,MATCH(COLUMNS($AC$1006:AE1006),$AC$1006:$AS$1006,0))&gt;=100000), " ",IF(INDEX($AC$2:$AS$1001,MATCH(ROWS($V$2:V211),$V$2:$V$1001,0),MATCH(COLUMNS($AC$1006:AE1006),$AC$1006:$AS$1006,0)), HYPERLINK("#",""), HYPERLINK(CONCATENATE("#metadata!", ADDRESS(INDEX($X$2:$X$1001,MATCH(ROWS($V$2:V211),$V$2:$V$1001,0),0), INDEX($AC$1004:$AS$1004,1,MATCH(COLUMNS($AC$1006:AE1006),$AC$1006:$AS$1006,0)))),"Fix")))</f>
        <v xml:space="preserve"> </v>
      </c>
      <c r="E211" s="4" t="str">
        <f ca="1">IF(OR(INDEX($W$2:$W$1001,MATCH(ROWS($V$2:V211),$V$2:$V$1001,0),1)&gt;=100000,INDEX($AC$1005:$AS$1005,1,MATCH(COLUMNS($AC$1006:AF1006),$AC$1006:$AS$1006,0))&gt;=100000), " ",IF(INDEX($AC$2:$AS$1001,MATCH(ROWS($V$2:V211),$V$2:$V$1001,0),MATCH(COLUMNS($AC$1006:AF1006),$AC$1006:$AS$1006,0)), HYPERLINK("#",""), HYPERLINK(CONCATENATE("#metadata!", ADDRESS(INDEX($X$2:$X$1001,MATCH(ROWS($V$2:V211),$V$2:$V$1001,0),0), INDEX($AC$1004:$AS$1004,1,MATCH(COLUMNS($AC$1006:AF1006),$AC$1006:$AS$1006,0)))),"Fix")))</f>
        <v xml:space="preserve"> </v>
      </c>
      <c r="F211" s="4" t="str">
        <f ca="1">IF(OR(INDEX($W$2:$W$1001,MATCH(ROWS($V$2:V211),$V$2:$V$1001,0),1)&gt;=100000,INDEX($AC$1005:$AS$1005,1,MATCH(COLUMNS($AC$1006:AG1006),$AC$1006:$AS$1006,0))&gt;=100000), " ",IF(INDEX($AC$2:$AS$1001,MATCH(ROWS($V$2:V211),$V$2:$V$1001,0),MATCH(COLUMNS($AC$1006:AG1006),$AC$1006:$AS$1006,0)), HYPERLINK("#",""), HYPERLINK(CONCATENATE("#metadata!", ADDRESS(INDEX($X$2:$X$1001,MATCH(ROWS($V$2:V211),$V$2:$V$1001,0),0), INDEX($AC$1004:$AS$1004,1,MATCH(COLUMNS($AC$1006:AG1006),$AC$1006:$AS$1006,0)))),"Fix")))</f>
        <v xml:space="preserve"> </v>
      </c>
      <c r="G211" s="4" t="str">
        <f ca="1">IF(OR(INDEX($W$2:$W$1001,MATCH(ROWS($V$2:V211),$V$2:$V$1001,0),1)&gt;=100000,INDEX($AC$1005:$AS$1005,1,MATCH(COLUMNS($AC$1006:AH1006),$AC$1006:$AS$1006,0))&gt;=100000), " ",IF(INDEX($AC$2:$AS$1001,MATCH(ROWS($V$2:V211),$V$2:$V$1001,0),MATCH(COLUMNS($AC$1006:AH1006),$AC$1006:$AS$1006,0)), HYPERLINK("#",""), HYPERLINK(CONCATENATE("#metadata!", ADDRESS(INDEX($X$2:$X$1001,MATCH(ROWS($V$2:V211),$V$2:$V$1001,0),0), INDEX($AC$1004:$AS$1004,1,MATCH(COLUMNS($AC$1006:AH1006),$AC$1006:$AS$1006,0)))),"Fix")))</f>
        <v xml:space="preserve"> </v>
      </c>
      <c r="H211" s="4" t="str">
        <f ca="1">IF(OR(INDEX($W$2:$W$1001,MATCH(ROWS($V$2:V211),$V$2:$V$1001,0),1)&gt;=100000,INDEX($AC$1005:$AS$1005,1,MATCH(COLUMNS($AC$1006:AI1006),$AC$1006:$AS$1006,0))&gt;=100000), " ",IF(INDEX($AC$2:$AS$1001,MATCH(ROWS($V$2:V211),$V$2:$V$1001,0),MATCH(COLUMNS($AC$1006:AI1006),$AC$1006:$AS$1006,0)), HYPERLINK("#",""), HYPERLINK(CONCATENATE("#metadata!", ADDRESS(INDEX($X$2:$X$1001,MATCH(ROWS($V$2:V211),$V$2:$V$1001,0),0), INDEX($AC$1004:$AS$1004,1,MATCH(COLUMNS($AC$1006:AI1006),$AC$1006:$AS$1006,0)))),"Fix")))</f>
        <v xml:space="preserve"> </v>
      </c>
      <c r="I211" s="4" t="str">
        <f ca="1">IF(OR(INDEX($W$2:$W$1001,MATCH(ROWS($V$2:V211),$V$2:$V$1001,0),1)&gt;=100000,INDEX($AC$1005:$AS$1005,1,MATCH(COLUMNS($AC$1006:AJ1006),$AC$1006:$AS$1006,0))&gt;=100000), " ",IF(INDEX($AC$2:$AS$1001,MATCH(ROWS($V$2:V211),$V$2:$V$1001,0),MATCH(COLUMNS($AC$1006:AJ1006),$AC$1006:$AS$1006,0)), HYPERLINK("#",""), HYPERLINK(CONCATENATE("#metadata!", ADDRESS(INDEX($X$2:$X$1001,MATCH(ROWS($V$2:V211),$V$2:$V$1001,0),0), INDEX($AC$1004:$AS$1004,1,MATCH(COLUMNS($AC$1006:AJ1006),$AC$1006:$AS$1006,0)))),"Fix")))</f>
        <v xml:space="preserve"> </v>
      </c>
      <c r="J211" s="4" t="str">
        <f ca="1">IF(OR(INDEX($W$2:$W$1001,MATCH(ROWS($V$2:V211),$V$2:$V$1001,0),1)&gt;=100000,INDEX($AC$1005:$AS$1005,1,MATCH(COLUMNS($AC$1006:AK1006),$AC$1006:$AS$1006,0))&gt;=100000), " ",IF(INDEX($AC$2:$AS$1001,MATCH(ROWS($V$2:V211),$V$2:$V$1001,0),MATCH(COLUMNS($AC$1006:AK1006),$AC$1006:$AS$1006,0)), HYPERLINK("#",""), HYPERLINK(CONCATENATE("#metadata!", ADDRESS(INDEX($X$2:$X$1001,MATCH(ROWS($V$2:V211),$V$2:$V$1001,0),0), INDEX($AC$1004:$AS$1004,1,MATCH(COLUMNS($AC$1006:AK1006),$AC$1006:$AS$1006,0)))),"Fix")))</f>
        <v xml:space="preserve"> </v>
      </c>
      <c r="K211" s="4" t="str">
        <f ca="1">IF(OR(INDEX($W$2:$W$1001,MATCH(ROWS($V$2:V211),$V$2:$V$1001,0),1)&gt;=100000,INDEX($AC$1005:$AS$1005,1,MATCH(COLUMNS($AC$1006:AL1006),$AC$1006:$AS$1006,0))&gt;=100000), " ",IF(INDEX($AC$2:$AS$1001,MATCH(ROWS($V$2:V211),$V$2:$V$1001,0),MATCH(COLUMNS($AC$1006:AL1006),$AC$1006:$AS$1006,0)), HYPERLINK("#",""), HYPERLINK(CONCATENATE("#metadata!", ADDRESS(INDEX($X$2:$X$1001,MATCH(ROWS($V$2:V211),$V$2:$V$1001,0),0), INDEX($AC$1004:$AS$1004,1,MATCH(COLUMNS($AC$1006:AL1006),$AC$1006:$AS$1006,0)))),"Fix")))</f>
        <v xml:space="preserve"> </v>
      </c>
      <c r="L211" s="4" t="str">
        <f ca="1">IF(OR(INDEX($W$2:$W$1001,MATCH(ROWS($V$2:V211),$V$2:$V$1001,0),1)&gt;=100000,INDEX($AC$1005:$AS$1005,1,MATCH(COLUMNS($AC$1006:AM1006),$AC$1006:$AS$1006,0))&gt;=100000), " ",IF(INDEX($AC$2:$AS$1001,MATCH(ROWS($V$2:V211),$V$2:$V$1001,0),MATCH(COLUMNS($AC$1006:AM1006),$AC$1006:$AS$1006,0)), HYPERLINK("#",""), HYPERLINK(CONCATENATE("#metadata!", ADDRESS(INDEX($X$2:$X$1001,MATCH(ROWS($V$2:V211),$V$2:$V$1001,0),0), INDEX($AC$1004:$AS$1004,1,MATCH(COLUMNS($AC$1006:AM1006),$AC$1006:$AS$1006,0)))),"Fix")))</f>
        <v xml:space="preserve"> </v>
      </c>
      <c r="M211" s="4" t="str">
        <f ca="1">IF(OR(INDEX($W$2:$W$1001,MATCH(ROWS($V$2:V211),$V$2:$V$1001,0),1)&gt;=100000,INDEX($AC$1005:$AS$1005,1,MATCH(COLUMNS($AC$1006:AN1006),$AC$1006:$AS$1006,0))&gt;=100000), " ",IF(INDEX($AC$2:$AS$1001,MATCH(ROWS($V$2:V211),$V$2:$V$1001,0),MATCH(COLUMNS($AC$1006:AN1006),$AC$1006:$AS$1006,0)), HYPERLINK("#",""), HYPERLINK(CONCATENATE("#metadata!", ADDRESS(INDEX($X$2:$X$1001,MATCH(ROWS($V$2:V211),$V$2:$V$1001,0),0), INDEX($AC$1004:$AS$1004,1,MATCH(COLUMNS($AC$1006:AN1006),$AC$1006:$AS$1006,0)))),"Fix")))</f>
        <v xml:space="preserve"> </v>
      </c>
      <c r="N211" s="4" t="str">
        <f ca="1">IF(OR(INDEX($W$2:$W$1001,MATCH(ROWS($V$2:V211),$V$2:$V$1001,0),1)&gt;=100000,INDEX($AC$1005:$AS$1005,1,MATCH(COLUMNS($AC$1006:AO1006),$AC$1006:$AS$1006,0))&gt;=100000), " ",IF(INDEX($AC$2:$AS$1001,MATCH(ROWS($V$2:V211),$V$2:$V$1001,0),MATCH(COLUMNS($AC$1006:AO1006),$AC$1006:$AS$1006,0)), HYPERLINK("#",""), HYPERLINK(CONCATENATE("#metadata!", ADDRESS(INDEX($X$2:$X$1001,MATCH(ROWS($V$2:V211),$V$2:$V$1001,0),0), INDEX($AC$1004:$AS$1004,1,MATCH(COLUMNS($AC$1006:AO1006),$AC$1006:$AS$1006,0)))),"Fix")))</f>
        <v xml:space="preserve"> </v>
      </c>
      <c r="O211" s="4" t="str">
        <f ca="1">IF(OR(INDEX($W$2:$W$1001,MATCH(ROWS($V$2:V211),$V$2:$V$1001,0),1)&gt;=100000,INDEX($AC$1005:$AS$1005,1,MATCH(COLUMNS($AC$1006:AP1006),$AC$1006:$AS$1006,0))&gt;=100000), " ",IF(INDEX($AC$2:$AS$1001,MATCH(ROWS($V$2:V211),$V$2:$V$1001,0),MATCH(COLUMNS($AC$1006:AP1006),$AC$1006:$AS$1006,0)), HYPERLINK("#",""), HYPERLINK(CONCATENATE("#metadata!", ADDRESS(INDEX($X$2:$X$1001,MATCH(ROWS($V$2:V211),$V$2:$V$1001,0),0), INDEX($AC$1004:$AS$1004,1,MATCH(COLUMNS($AC$1006:AP1006),$AC$1006:$AS$1006,0)))),"Fix")))</f>
        <v xml:space="preserve"> </v>
      </c>
      <c r="P211" s="4" t="str">
        <f ca="1">IF(OR(INDEX($W$2:$W$1001,MATCH(ROWS($V$2:V211),$V$2:$V$1001,0),1)&gt;=100000,INDEX($AC$1005:$AS$1005,1,MATCH(COLUMNS($AC$1006:AQ1006),$AC$1006:$AS$1006,0))&gt;=100000), " ",IF(INDEX($AC$2:$AS$1001,MATCH(ROWS($V$2:V211),$V$2:$V$1001,0),MATCH(COLUMNS($AC$1006:AQ1006),$AC$1006:$AS$1006,0)), HYPERLINK("#",""), HYPERLINK(CONCATENATE("#metadata!", ADDRESS(INDEX($X$2:$X$1001,MATCH(ROWS($V$2:V211),$V$2:$V$1001,0),0), INDEX($AC$1004:$AS$1004,1,MATCH(COLUMNS($AC$1006:AQ1006),$AC$1006:$AS$1006,0)))),"Fix")))</f>
        <v xml:space="preserve"> </v>
      </c>
      <c r="Q211" s="4" t="str">
        <f ca="1">IF(OR(INDEX($W$2:$W$1001,MATCH(ROWS($V$2:V211),$V$2:$V$1001,0),1)&gt;=100000,INDEX($AC$1005:$AS$1005,1,MATCH(COLUMNS($AC$1006:AR1006),$AC$1006:$AS$1006,0))&gt;=100000), " ",IF(INDEX($AC$2:$AS$1001,MATCH(ROWS($V$2:V211),$V$2:$V$1001,0),MATCH(COLUMNS($AC$1006:AR1006),$AC$1006:$AS$1006,0)), HYPERLINK("#",""), HYPERLINK(CONCATENATE("#metadata!", ADDRESS(INDEX($X$2:$X$1001,MATCH(ROWS($V$2:V211),$V$2:$V$1001,0),0), INDEX($AC$1004:$AS$1004,1,MATCH(COLUMNS($AC$1006:AR1006),$AC$1006:$AS$1006,0)))),"Fix")))</f>
        <v xml:space="preserve"> </v>
      </c>
      <c r="R211" s="4" t="str">
        <f ca="1">IF(OR(INDEX($W$2:$W$1001,MATCH(ROWS($V$2:V211),$V$2:$V$1001,0),1)&gt;=100000,INDEX($AC$1005:$AS$1005,1,MATCH(COLUMNS($AC$1006:AS1006),$AC$1006:$AS$1006,0))&gt;=100000), " ",IF(INDEX($AC$2:$AS$1001,MATCH(ROWS($V$2:V211),$V$2:$V$1001,0),MATCH(COLUMNS($AC$1006:AS1006),$AC$1006:$AS$1006,0)), HYPERLINK("#",""), HYPERLINK(CONCATENATE("#metadata!", ADDRESS(INDEX($X$2:$X$1001,MATCH(ROWS($V$2:V211),$V$2:$V$1001,0),0), INDEX($AC$1004:$AS$1004,1,MATCH(COLUMNS($AC$1006:AS1006),$AC$1006:$AS$1006,0)))),"Fix")))</f>
        <v xml:space="preserve"> </v>
      </c>
      <c r="V211">
        <v>210</v>
      </c>
      <c r="W211">
        <v>100211</v>
      </c>
      <c r="X211">
        <v>211</v>
      </c>
      <c r="Y211" t="b">
        <f t="shared" si="3"/>
        <v>1</v>
      </c>
      <c r="Z211" t="b">
        <f>COUNTBLANK(metadata!B211:R211)=COLUMNS(metadata!B211:R211)</f>
        <v>1</v>
      </c>
      <c r="AA211" t="str">
        <v/>
      </c>
      <c r="AC211" t="b">
        <f ca="1"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AD211" t="b">
        <f>IF(metadata!C211="",FALSE,ISNUMBER(VALUE(metadata!C211)))</f>
        <v>0</v>
      </c>
      <c r="AE211" t="b">
        <f>AND(IF(metadata!D211="",FALSE,TRUE),EXACT(metadata!D211,"years"))</f>
        <v>0</v>
      </c>
      <c r="AF211" t="b">
        <f>OR(AND(IF(metadata!E211="",FALSE,TRUE),OR(EXACT(metadata!E211,"not applicable"),EXACT(metadata!E211,"missing: not collected"),EXACT(metadata!E211,"missing: not provided"),EXACT(metadata!E211,"missing: restricted access"))),AND(IF(metadata!E211="",FALSE,ISNUMBER(VALUE(metadata!E211))),metadata!E211&gt;0))</f>
        <v>0</v>
      </c>
      <c r="AG211" t="b">
        <f>AND(IF(metadata!F211="",FALSE,TRUE),EXACT(metadata!F211,"Not applicable"))</f>
        <v>0</v>
      </c>
      <c r="AH211" t="b">
        <f>AND(IF(metadata!G211="",FALSE,TRUE),EXACT(metadata!G211,"urban biome"))</f>
        <v>0</v>
      </c>
      <c r="AI211" t="b">
        <f>AND(IF(metadata!H211="",FALSE,TRUE),EXACT(metadata!H211,"human-associated habitat"))</f>
        <v>0</v>
      </c>
      <c r="AJ211" t="b">
        <f>AND(IF(metadata!I211="",FALSE,TRUE),OR(EXACT(metadata!I211,"human-associated"),EXACT(metadata!I211,"human-skin"),EXACT(metadata!I211,"human-oral"),EXACT(metadata!I211,"human-gut"),EXACT(metadata!I211,"human-vaginal")))</f>
        <v>0</v>
      </c>
      <c r="AK211" t="b">
        <f>IF(metadata!J211="",FALSE,ISNUMBER(VALUE(metadata!J211)))</f>
        <v>0</v>
      </c>
      <c r="AL211" t="b">
        <f>AND(IF(metadata!K211="",FALSE,TRUE),EXACT(metadata!K211,"cm"))</f>
        <v>0</v>
      </c>
      <c r="AM211" t="b">
        <f>AND(IF(metadata!L211="",FALSE,TRUE),EXACT(metadata!L211,"human"))</f>
        <v>0</v>
      </c>
      <c r="AN211" t="b">
        <f>AND(IF(metadata!M211="",FALSE,TRUE),EXACT(metadata!M211,"Homo sapiens"))</f>
        <v>0</v>
      </c>
      <c r="AO211" t="b">
        <f>AND(IF(metadata!N211="",FALSE,TRUE),EXACT(metadata!N211,"9606"))</f>
        <v>0</v>
      </c>
      <c r="AP211" t="b">
        <f>IF(metadata!O211="",FALSE,TRUE)</f>
        <v>0</v>
      </c>
      <c r="AQ211" t="b">
        <f>IF(metadata!P211="",FALSE,TRUE)</f>
        <v>0</v>
      </c>
      <c r="AR211" t="b">
        <f>IF(metadata!Q211="",FALSE,ISNUMBER(VALUE(metadata!Q211)))</f>
        <v>0</v>
      </c>
      <c r="AS211" t="b">
        <f>AND(IF(metadata!R211="",FALSE,TRUE),EXACT(metadata!R211,"kg"))</f>
        <v>0</v>
      </c>
    </row>
    <row r="212" spans="1:45" x14ac:dyDescent="0.2">
      <c r="A212" s="5" t="str">
        <f ca="1">IF(B212=" "," ",HYPERLINK(CONCATENATE("#metadata!",ADDRESS(INDEX($X$2:$X$1001,MATCH(ROWS($V$2:V212),$V$2:$V$1001,0),0),1)),INDEX($AA$2:$AA$1001,MATCH(ROWS($V$2:V212),$V$2:$V$1001,0),0)))</f>
        <v xml:space="preserve"> </v>
      </c>
      <c r="B212" s="4" t="str">
        <f ca="1">IF(OR(INDEX($W$2:$W$1001,MATCH(ROWS($V$2:V212),$V$2:$V$1001,0),1)&gt;=100000,INDEX($AC$1005:$AS$1005,1,MATCH(COLUMNS($AC$1006:AC1006),$AC$1006:$AS$1006,0))&gt;=100000), " ",IF(INDEX($AC$2:$AS$1001,MATCH(ROWS($V$2:V212),$V$2:$V$1001,0),MATCH(COLUMNS($AC$1006:AC1006),$AC$1006:$AS$1006,0)), HYPERLINK("#",""), HYPERLINK(CONCATENATE("#metadata!", ADDRESS(INDEX($X$2:$X$1001,MATCH(ROWS($V$2:V212),$V$2:$V$1001,0),0), INDEX($AC$1004:$AS$1004,1,MATCH(COLUMNS($AC$1006:AC1006),$AC$1006:$AS$1006,0)))),"Fix")))</f>
        <v xml:space="preserve"> </v>
      </c>
      <c r="C212" s="4" t="str">
        <f ca="1">IF(OR(INDEX($W$2:$W$1001,MATCH(ROWS($V$2:V212),$V$2:$V$1001,0),1)&gt;=100000,INDEX($AC$1005:$AS$1005,1,MATCH(COLUMNS($AC$1006:AD1006),$AC$1006:$AS$1006,0))&gt;=100000), " ",IF(INDEX($AC$2:$AS$1001,MATCH(ROWS($V$2:V212),$V$2:$V$1001,0),MATCH(COLUMNS($AC$1006:AD1006),$AC$1006:$AS$1006,0)), HYPERLINK("#",""), HYPERLINK(CONCATENATE("#metadata!", ADDRESS(INDEX($X$2:$X$1001,MATCH(ROWS($V$2:V212),$V$2:$V$1001,0),0), INDEX($AC$1004:$AS$1004,1,MATCH(COLUMNS($AC$1006:AD1006),$AC$1006:$AS$1006,0)))),"Fix")))</f>
        <v xml:space="preserve"> </v>
      </c>
      <c r="D212" s="4" t="str">
        <f ca="1">IF(OR(INDEX($W$2:$W$1001,MATCH(ROWS($V$2:V212),$V$2:$V$1001,0),1)&gt;=100000,INDEX($AC$1005:$AS$1005,1,MATCH(COLUMNS($AC$1006:AE1006),$AC$1006:$AS$1006,0))&gt;=100000), " ",IF(INDEX($AC$2:$AS$1001,MATCH(ROWS($V$2:V212),$V$2:$V$1001,0),MATCH(COLUMNS($AC$1006:AE1006),$AC$1006:$AS$1006,0)), HYPERLINK("#",""), HYPERLINK(CONCATENATE("#metadata!", ADDRESS(INDEX($X$2:$X$1001,MATCH(ROWS($V$2:V212),$V$2:$V$1001,0),0), INDEX($AC$1004:$AS$1004,1,MATCH(COLUMNS($AC$1006:AE1006),$AC$1006:$AS$1006,0)))),"Fix")))</f>
        <v xml:space="preserve"> </v>
      </c>
      <c r="E212" s="4" t="str">
        <f ca="1">IF(OR(INDEX($W$2:$W$1001,MATCH(ROWS($V$2:V212),$V$2:$V$1001,0),1)&gt;=100000,INDEX($AC$1005:$AS$1005,1,MATCH(COLUMNS($AC$1006:AF1006),$AC$1006:$AS$1006,0))&gt;=100000), " ",IF(INDEX($AC$2:$AS$1001,MATCH(ROWS($V$2:V212),$V$2:$V$1001,0),MATCH(COLUMNS($AC$1006:AF1006),$AC$1006:$AS$1006,0)), HYPERLINK("#",""), HYPERLINK(CONCATENATE("#metadata!", ADDRESS(INDEX($X$2:$X$1001,MATCH(ROWS($V$2:V212),$V$2:$V$1001,0),0), INDEX($AC$1004:$AS$1004,1,MATCH(COLUMNS($AC$1006:AF1006),$AC$1006:$AS$1006,0)))),"Fix")))</f>
        <v xml:space="preserve"> </v>
      </c>
      <c r="F212" s="4" t="str">
        <f ca="1">IF(OR(INDEX($W$2:$W$1001,MATCH(ROWS($V$2:V212),$V$2:$V$1001,0),1)&gt;=100000,INDEX($AC$1005:$AS$1005,1,MATCH(COLUMNS($AC$1006:AG1006),$AC$1006:$AS$1006,0))&gt;=100000), " ",IF(INDEX($AC$2:$AS$1001,MATCH(ROWS($V$2:V212),$V$2:$V$1001,0),MATCH(COLUMNS($AC$1006:AG1006),$AC$1006:$AS$1006,0)), HYPERLINK("#",""), HYPERLINK(CONCATENATE("#metadata!", ADDRESS(INDEX($X$2:$X$1001,MATCH(ROWS($V$2:V212),$V$2:$V$1001,0),0), INDEX($AC$1004:$AS$1004,1,MATCH(COLUMNS($AC$1006:AG1006),$AC$1006:$AS$1006,0)))),"Fix")))</f>
        <v xml:space="preserve"> </v>
      </c>
      <c r="G212" s="4" t="str">
        <f ca="1">IF(OR(INDEX($W$2:$W$1001,MATCH(ROWS($V$2:V212),$V$2:$V$1001,0),1)&gt;=100000,INDEX($AC$1005:$AS$1005,1,MATCH(COLUMNS($AC$1006:AH1006),$AC$1006:$AS$1006,0))&gt;=100000), " ",IF(INDEX($AC$2:$AS$1001,MATCH(ROWS($V$2:V212),$V$2:$V$1001,0),MATCH(COLUMNS($AC$1006:AH1006),$AC$1006:$AS$1006,0)), HYPERLINK("#",""), HYPERLINK(CONCATENATE("#metadata!", ADDRESS(INDEX($X$2:$X$1001,MATCH(ROWS($V$2:V212),$V$2:$V$1001,0),0), INDEX($AC$1004:$AS$1004,1,MATCH(COLUMNS($AC$1006:AH1006),$AC$1006:$AS$1006,0)))),"Fix")))</f>
        <v xml:space="preserve"> </v>
      </c>
      <c r="H212" s="4" t="str">
        <f ca="1">IF(OR(INDEX($W$2:$W$1001,MATCH(ROWS($V$2:V212),$V$2:$V$1001,0),1)&gt;=100000,INDEX($AC$1005:$AS$1005,1,MATCH(COLUMNS($AC$1006:AI1006),$AC$1006:$AS$1006,0))&gt;=100000), " ",IF(INDEX($AC$2:$AS$1001,MATCH(ROWS($V$2:V212),$V$2:$V$1001,0),MATCH(COLUMNS($AC$1006:AI1006),$AC$1006:$AS$1006,0)), HYPERLINK("#",""), HYPERLINK(CONCATENATE("#metadata!", ADDRESS(INDEX($X$2:$X$1001,MATCH(ROWS($V$2:V212),$V$2:$V$1001,0),0), INDEX($AC$1004:$AS$1004,1,MATCH(COLUMNS($AC$1006:AI1006),$AC$1006:$AS$1006,0)))),"Fix")))</f>
        <v xml:space="preserve"> </v>
      </c>
      <c r="I212" s="4" t="str">
        <f ca="1">IF(OR(INDEX($W$2:$W$1001,MATCH(ROWS($V$2:V212),$V$2:$V$1001,0),1)&gt;=100000,INDEX($AC$1005:$AS$1005,1,MATCH(COLUMNS($AC$1006:AJ1006),$AC$1006:$AS$1006,0))&gt;=100000), " ",IF(INDEX($AC$2:$AS$1001,MATCH(ROWS($V$2:V212),$V$2:$V$1001,0),MATCH(COLUMNS($AC$1006:AJ1006),$AC$1006:$AS$1006,0)), HYPERLINK("#",""), HYPERLINK(CONCATENATE("#metadata!", ADDRESS(INDEX($X$2:$X$1001,MATCH(ROWS($V$2:V212),$V$2:$V$1001,0),0), INDEX($AC$1004:$AS$1004,1,MATCH(COLUMNS($AC$1006:AJ1006),$AC$1006:$AS$1006,0)))),"Fix")))</f>
        <v xml:space="preserve"> </v>
      </c>
      <c r="J212" s="4" t="str">
        <f ca="1">IF(OR(INDEX($W$2:$W$1001,MATCH(ROWS($V$2:V212),$V$2:$V$1001,0),1)&gt;=100000,INDEX($AC$1005:$AS$1005,1,MATCH(COLUMNS($AC$1006:AK1006),$AC$1006:$AS$1006,0))&gt;=100000), " ",IF(INDEX($AC$2:$AS$1001,MATCH(ROWS($V$2:V212),$V$2:$V$1001,0),MATCH(COLUMNS($AC$1006:AK1006),$AC$1006:$AS$1006,0)), HYPERLINK("#",""), HYPERLINK(CONCATENATE("#metadata!", ADDRESS(INDEX($X$2:$X$1001,MATCH(ROWS($V$2:V212),$V$2:$V$1001,0),0), INDEX($AC$1004:$AS$1004,1,MATCH(COLUMNS($AC$1006:AK1006),$AC$1006:$AS$1006,0)))),"Fix")))</f>
        <v xml:space="preserve"> </v>
      </c>
      <c r="K212" s="4" t="str">
        <f ca="1">IF(OR(INDEX($W$2:$W$1001,MATCH(ROWS($V$2:V212),$V$2:$V$1001,0),1)&gt;=100000,INDEX($AC$1005:$AS$1005,1,MATCH(COLUMNS($AC$1006:AL1006),$AC$1006:$AS$1006,0))&gt;=100000), " ",IF(INDEX($AC$2:$AS$1001,MATCH(ROWS($V$2:V212),$V$2:$V$1001,0),MATCH(COLUMNS($AC$1006:AL1006),$AC$1006:$AS$1006,0)), HYPERLINK("#",""), HYPERLINK(CONCATENATE("#metadata!", ADDRESS(INDEX($X$2:$X$1001,MATCH(ROWS($V$2:V212),$V$2:$V$1001,0),0), INDEX($AC$1004:$AS$1004,1,MATCH(COLUMNS($AC$1006:AL1006),$AC$1006:$AS$1006,0)))),"Fix")))</f>
        <v xml:space="preserve"> </v>
      </c>
      <c r="L212" s="4" t="str">
        <f ca="1">IF(OR(INDEX($W$2:$W$1001,MATCH(ROWS($V$2:V212),$V$2:$V$1001,0),1)&gt;=100000,INDEX($AC$1005:$AS$1005,1,MATCH(COLUMNS($AC$1006:AM1006),$AC$1006:$AS$1006,0))&gt;=100000), " ",IF(INDEX($AC$2:$AS$1001,MATCH(ROWS($V$2:V212),$V$2:$V$1001,0),MATCH(COLUMNS($AC$1006:AM1006),$AC$1006:$AS$1006,0)), HYPERLINK("#",""), HYPERLINK(CONCATENATE("#metadata!", ADDRESS(INDEX($X$2:$X$1001,MATCH(ROWS($V$2:V212),$V$2:$V$1001,0),0), INDEX($AC$1004:$AS$1004,1,MATCH(COLUMNS($AC$1006:AM1006),$AC$1006:$AS$1006,0)))),"Fix")))</f>
        <v xml:space="preserve"> </v>
      </c>
      <c r="M212" s="4" t="str">
        <f ca="1">IF(OR(INDEX($W$2:$W$1001,MATCH(ROWS($V$2:V212),$V$2:$V$1001,0),1)&gt;=100000,INDEX($AC$1005:$AS$1005,1,MATCH(COLUMNS($AC$1006:AN1006),$AC$1006:$AS$1006,0))&gt;=100000), " ",IF(INDEX($AC$2:$AS$1001,MATCH(ROWS($V$2:V212),$V$2:$V$1001,0),MATCH(COLUMNS($AC$1006:AN1006),$AC$1006:$AS$1006,0)), HYPERLINK("#",""), HYPERLINK(CONCATENATE("#metadata!", ADDRESS(INDEX($X$2:$X$1001,MATCH(ROWS($V$2:V212),$V$2:$V$1001,0),0), INDEX($AC$1004:$AS$1004,1,MATCH(COLUMNS($AC$1006:AN1006),$AC$1006:$AS$1006,0)))),"Fix")))</f>
        <v xml:space="preserve"> </v>
      </c>
      <c r="N212" s="4" t="str">
        <f ca="1">IF(OR(INDEX($W$2:$W$1001,MATCH(ROWS($V$2:V212),$V$2:$V$1001,0),1)&gt;=100000,INDEX($AC$1005:$AS$1005,1,MATCH(COLUMNS($AC$1006:AO1006),$AC$1006:$AS$1006,0))&gt;=100000), " ",IF(INDEX($AC$2:$AS$1001,MATCH(ROWS($V$2:V212),$V$2:$V$1001,0),MATCH(COLUMNS($AC$1006:AO1006),$AC$1006:$AS$1006,0)), HYPERLINK("#",""), HYPERLINK(CONCATENATE("#metadata!", ADDRESS(INDEX($X$2:$X$1001,MATCH(ROWS($V$2:V212),$V$2:$V$1001,0),0), INDEX($AC$1004:$AS$1004,1,MATCH(COLUMNS($AC$1006:AO1006),$AC$1006:$AS$1006,0)))),"Fix")))</f>
        <v xml:space="preserve"> </v>
      </c>
      <c r="O212" s="4" t="str">
        <f ca="1">IF(OR(INDEX($W$2:$W$1001,MATCH(ROWS($V$2:V212),$V$2:$V$1001,0),1)&gt;=100000,INDEX($AC$1005:$AS$1005,1,MATCH(COLUMNS($AC$1006:AP1006),$AC$1006:$AS$1006,0))&gt;=100000), " ",IF(INDEX($AC$2:$AS$1001,MATCH(ROWS($V$2:V212),$V$2:$V$1001,0),MATCH(COLUMNS($AC$1006:AP1006),$AC$1006:$AS$1006,0)), HYPERLINK("#",""), HYPERLINK(CONCATENATE("#metadata!", ADDRESS(INDEX($X$2:$X$1001,MATCH(ROWS($V$2:V212),$V$2:$V$1001,0),0), INDEX($AC$1004:$AS$1004,1,MATCH(COLUMNS($AC$1006:AP1006),$AC$1006:$AS$1006,0)))),"Fix")))</f>
        <v xml:space="preserve"> </v>
      </c>
      <c r="P212" s="4" t="str">
        <f ca="1">IF(OR(INDEX($W$2:$W$1001,MATCH(ROWS($V$2:V212),$V$2:$V$1001,0),1)&gt;=100000,INDEX($AC$1005:$AS$1005,1,MATCH(COLUMNS($AC$1006:AQ1006),$AC$1006:$AS$1006,0))&gt;=100000), " ",IF(INDEX($AC$2:$AS$1001,MATCH(ROWS($V$2:V212),$V$2:$V$1001,0),MATCH(COLUMNS($AC$1006:AQ1006),$AC$1006:$AS$1006,0)), HYPERLINK("#",""), HYPERLINK(CONCATENATE("#metadata!", ADDRESS(INDEX($X$2:$X$1001,MATCH(ROWS($V$2:V212),$V$2:$V$1001,0),0), INDEX($AC$1004:$AS$1004,1,MATCH(COLUMNS($AC$1006:AQ1006),$AC$1006:$AS$1006,0)))),"Fix")))</f>
        <v xml:space="preserve"> </v>
      </c>
      <c r="Q212" s="4" t="str">
        <f ca="1">IF(OR(INDEX($W$2:$W$1001,MATCH(ROWS($V$2:V212),$V$2:$V$1001,0),1)&gt;=100000,INDEX($AC$1005:$AS$1005,1,MATCH(COLUMNS($AC$1006:AR1006),$AC$1006:$AS$1006,0))&gt;=100000), " ",IF(INDEX($AC$2:$AS$1001,MATCH(ROWS($V$2:V212),$V$2:$V$1001,0),MATCH(COLUMNS($AC$1006:AR1006),$AC$1006:$AS$1006,0)), HYPERLINK("#",""), HYPERLINK(CONCATENATE("#metadata!", ADDRESS(INDEX($X$2:$X$1001,MATCH(ROWS($V$2:V212),$V$2:$V$1001,0),0), INDEX($AC$1004:$AS$1004,1,MATCH(COLUMNS($AC$1006:AR1006),$AC$1006:$AS$1006,0)))),"Fix")))</f>
        <v xml:space="preserve"> </v>
      </c>
      <c r="R212" s="4" t="str">
        <f ca="1">IF(OR(INDEX($W$2:$W$1001,MATCH(ROWS($V$2:V212),$V$2:$V$1001,0),1)&gt;=100000,INDEX($AC$1005:$AS$1005,1,MATCH(COLUMNS($AC$1006:AS1006),$AC$1006:$AS$1006,0))&gt;=100000), " ",IF(INDEX($AC$2:$AS$1001,MATCH(ROWS($V$2:V212),$V$2:$V$1001,0),MATCH(COLUMNS($AC$1006:AS1006),$AC$1006:$AS$1006,0)), HYPERLINK("#",""), HYPERLINK(CONCATENATE("#metadata!", ADDRESS(INDEX($X$2:$X$1001,MATCH(ROWS($V$2:V212),$V$2:$V$1001,0),0), INDEX($AC$1004:$AS$1004,1,MATCH(COLUMNS($AC$1006:AS1006),$AC$1006:$AS$1006,0)))),"Fix")))</f>
        <v xml:space="preserve"> </v>
      </c>
      <c r="V212">
        <v>211</v>
      </c>
      <c r="W212">
        <v>100212</v>
      </c>
      <c r="X212">
        <v>212</v>
      </c>
      <c r="Y212" t="b">
        <f t="shared" si="3"/>
        <v>1</v>
      </c>
      <c r="Z212" t="b">
        <f>COUNTBLANK(metadata!B212:R212)=COLUMNS(metadata!B212:R212)</f>
        <v>1</v>
      </c>
      <c r="AA212" t="str">
        <v/>
      </c>
      <c r="AC212" t="b">
        <f ca="1"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AD212" t="b">
        <f>IF(metadata!C212="",FALSE,ISNUMBER(VALUE(metadata!C212)))</f>
        <v>0</v>
      </c>
      <c r="AE212" t="b">
        <f>AND(IF(metadata!D212="",FALSE,TRUE),EXACT(metadata!D212,"years"))</f>
        <v>0</v>
      </c>
      <c r="AF212" t="b">
        <f>OR(AND(IF(metadata!E212="",FALSE,TRUE),OR(EXACT(metadata!E212,"not applicable"),EXACT(metadata!E212,"missing: not collected"),EXACT(metadata!E212,"missing: not provided"),EXACT(metadata!E212,"missing: restricted access"))),AND(IF(metadata!E212="",FALSE,ISNUMBER(VALUE(metadata!E212))),metadata!E212&gt;0))</f>
        <v>0</v>
      </c>
      <c r="AG212" t="b">
        <f>AND(IF(metadata!F212="",FALSE,TRUE),EXACT(metadata!F212,"Not applicable"))</f>
        <v>0</v>
      </c>
      <c r="AH212" t="b">
        <f>AND(IF(metadata!G212="",FALSE,TRUE),EXACT(metadata!G212,"urban biome"))</f>
        <v>0</v>
      </c>
      <c r="AI212" t="b">
        <f>AND(IF(metadata!H212="",FALSE,TRUE),EXACT(metadata!H212,"human-associated habitat"))</f>
        <v>0</v>
      </c>
      <c r="AJ212" t="b">
        <f>AND(IF(metadata!I212="",FALSE,TRUE),OR(EXACT(metadata!I212,"human-associated"),EXACT(metadata!I212,"human-skin"),EXACT(metadata!I212,"human-oral"),EXACT(metadata!I212,"human-gut"),EXACT(metadata!I212,"human-vaginal")))</f>
        <v>0</v>
      </c>
      <c r="AK212" t="b">
        <f>IF(metadata!J212="",FALSE,ISNUMBER(VALUE(metadata!J212)))</f>
        <v>0</v>
      </c>
      <c r="AL212" t="b">
        <f>AND(IF(metadata!K212="",FALSE,TRUE),EXACT(metadata!K212,"cm"))</f>
        <v>0</v>
      </c>
      <c r="AM212" t="b">
        <f>AND(IF(metadata!L212="",FALSE,TRUE),EXACT(metadata!L212,"human"))</f>
        <v>0</v>
      </c>
      <c r="AN212" t="b">
        <f>AND(IF(metadata!M212="",FALSE,TRUE),EXACT(metadata!M212,"Homo sapiens"))</f>
        <v>0</v>
      </c>
      <c r="AO212" t="b">
        <f>AND(IF(metadata!N212="",FALSE,TRUE),EXACT(metadata!N212,"9606"))</f>
        <v>0</v>
      </c>
      <c r="AP212" t="b">
        <f>IF(metadata!O212="",FALSE,TRUE)</f>
        <v>0</v>
      </c>
      <c r="AQ212" t="b">
        <f>IF(metadata!P212="",FALSE,TRUE)</f>
        <v>0</v>
      </c>
      <c r="AR212" t="b">
        <f>IF(metadata!Q212="",FALSE,ISNUMBER(VALUE(metadata!Q212)))</f>
        <v>0</v>
      </c>
      <c r="AS212" t="b">
        <f>AND(IF(metadata!R212="",FALSE,TRUE),EXACT(metadata!R212,"kg"))</f>
        <v>0</v>
      </c>
    </row>
    <row r="213" spans="1:45" x14ac:dyDescent="0.2">
      <c r="A213" s="5" t="str">
        <f ca="1">IF(B213=" "," ",HYPERLINK(CONCATENATE("#metadata!",ADDRESS(INDEX($X$2:$X$1001,MATCH(ROWS($V$2:V213),$V$2:$V$1001,0),0),1)),INDEX($AA$2:$AA$1001,MATCH(ROWS($V$2:V213),$V$2:$V$1001,0),0)))</f>
        <v xml:space="preserve"> </v>
      </c>
      <c r="B213" s="4" t="str">
        <f ca="1">IF(OR(INDEX($W$2:$W$1001,MATCH(ROWS($V$2:V213),$V$2:$V$1001,0),1)&gt;=100000,INDEX($AC$1005:$AS$1005,1,MATCH(COLUMNS($AC$1006:AC1006),$AC$1006:$AS$1006,0))&gt;=100000), " ",IF(INDEX($AC$2:$AS$1001,MATCH(ROWS($V$2:V213),$V$2:$V$1001,0),MATCH(COLUMNS($AC$1006:AC1006),$AC$1006:$AS$1006,0)), HYPERLINK("#",""), HYPERLINK(CONCATENATE("#metadata!", ADDRESS(INDEX($X$2:$X$1001,MATCH(ROWS($V$2:V213),$V$2:$V$1001,0),0), INDEX($AC$1004:$AS$1004,1,MATCH(COLUMNS($AC$1006:AC1006),$AC$1006:$AS$1006,0)))),"Fix")))</f>
        <v xml:space="preserve"> </v>
      </c>
      <c r="C213" s="4" t="str">
        <f ca="1">IF(OR(INDEX($W$2:$W$1001,MATCH(ROWS($V$2:V213),$V$2:$V$1001,0),1)&gt;=100000,INDEX($AC$1005:$AS$1005,1,MATCH(COLUMNS($AC$1006:AD1006),$AC$1006:$AS$1006,0))&gt;=100000), " ",IF(INDEX($AC$2:$AS$1001,MATCH(ROWS($V$2:V213),$V$2:$V$1001,0),MATCH(COLUMNS($AC$1006:AD1006),$AC$1006:$AS$1006,0)), HYPERLINK("#",""), HYPERLINK(CONCATENATE("#metadata!", ADDRESS(INDEX($X$2:$X$1001,MATCH(ROWS($V$2:V213),$V$2:$V$1001,0),0), INDEX($AC$1004:$AS$1004,1,MATCH(COLUMNS($AC$1006:AD1006),$AC$1006:$AS$1006,0)))),"Fix")))</f>
        <v xml:space="preserve"> </v>
      </c>
      <c r="D213" s="4" t="str">
        <f ca="1">IF(OR(INDEX($W$2:$W$1001,MATCH(ROWS($V$2:V213),$V$2:$V$1001,0),1)&gt;=100000,INDEX($AC$1005:$AS$1005,1,MATCH(COLUMNS($AC$1006:AE1006),$AC$1006:$AS$1006,0))&gt;=100000), " ",IF(INDEX($AC$2:$AS$1001,MATCH(ROWS($V$2:V213),$V$2:$V$1001,0),MATCH(COLUMNS($AC$1006:AE1006),$AC$1006:$AS$1006,0)), HYPERLINK("#",""), HYPERLINK(CONCATENATE("#metadata!", ADDRESS(INDEX($X$2:$X$1001,MATCH(ROWS($V$2:V213),$V$2:$V$1001,0),0), INDEX($AC$1004:$AS$1004,1,MATCH(COLUMNS($AC$1006:AE1006),$AC$1006:$AS$1006,0)))),"Fix")))</f>
        <v xml:space="preserve"> </v>
      </c>
      <c r="E213" s="4" t="str">
        <f ca="1">IF(OR(INDEX($W$2:$W$1001,MATCH(ROWS($V$2:V213),$V$2:$V$1001,0),1)&gt;=100000,INDEX($AC$1005:$AS$1005,1,MATCH(COLUMNS($AC$1006:AF1006),$AC$1006:$AS$1006,0))&gt;=100000), " ",IF(INDEX($AC$2:$AS$1001,MATCH(ROWS($V$2:V213),$V$2:$V$1001,0),MATCH(COLUMNS($AC$1006:AF1006),$AC$1006:$AS$1006,0)), HYPERLINK("#",""), HYPERLINK(CONCATENATE("#metadata!", ADDRESS(INDEX($X$2:$X$1001,MATCH(ROWS($V$2:V213),$V$2:$V$1001,0),0), INDEX($AC$1004:$AS$1004,1,MATCH(COLUMNS($AC$1006:AF1006),$AC$1006:$AS$1006,0)))),"Fix")))</f>
        <v xml:space="preserve"> </v>
      </c>
      <c r="F213" s="4" t="str">
        <f ca="1">IF(OR(INDEX($W$2:$W$1001,MATCH(ROWS($V$2:V213),$V$2:$V$1001,0),1)&gt;=100000,INDEX($AC$1005:$AS$1005,1,MATCH(COLUMNS($AC$1006:AG1006),$AC$1006:$AS$1006,0))&gt;=100000), " ",IF(INDEX($AC$2:$AS$1001,MATCH(ROWS($V$2:V213),$V$2:$V$1001,0),MATCH(COLUMNS($AC$1006:AG1006),$AC$1006:$AS$1006,0)), HYPERLINK("#",""), HYPERLINK(CONCATENATE("#metadata!", ADDRESS(INDEX($X$2:$X$1001,MATCH(ROWS($V$2:V213),$V$2:$V$1001,0),0), INDEX($AC$1004:$AS$1004,1,MATCH(COLUMNS($AC$1006:AG1006),$AC$1006:$AS$1006,0)))),"Fix")))</f>
        <v xml:space="preserve"> </v>
      </c>
      <c r="G213" s="4" t="str">
        <f ca="1">IF(OR(INDEX($W$2:$W$1001,MATCH(ROWS($V$2:V213),$V$2:$V$1001,0),1)&gt;=100000,INDEX($AC$1005:$AS$1005,1,MATCH(COLUMNS($AC$1006:AH1006),$AC$1006:$AS$1006,0))&gt;=100000), " ",IF(INDEX($AC$2:$AS$1001,MATCH(ROWS($V$2:V213),$V$2:$V$1001,0),MATCH(COLUMNS($AC$1006:AH1006),$AC$1006:$AS$1006,0)), HYPERLINK("#",""), HYPERLINK(CONCATENATE("#metadata!", ADDRESS(INDEX($X$2:$X$1001,MATCH(ROWS($V$2:V213),$V$2:$V$1001,0),0), INDEX($AC$1004:$AS$1004,1,MATCH(COLUMNS($AC$1006:AH1006),$AC$1006:$AS$1006,0)))),"Fix")))</f>
        <v xml:space="preserve"> </v>
      </c>
      <c r="H213" s="4" t="str">
        <f ca="1">IF(OR(INDEX($W$2:$W$1001,MATCH(ROWS($V$2:V213),$V$2:$V$1001,0),1)&gt;=100000,INDEX($AC$1005:$AS$1005,1,MATCH(COLUMNS($AC$1006:AI1006),$AC$1006:$AS$1006,0))&gt;=100000), " ",IF(INDEX($AC$2:$AS$1001,MATCH(ROWS($V$2:V213),$V$2:$V$1001,0),MATCH(COLUMNS($AC$1006:AI1006),$AC$1006:$AS$1006,0)), HYPERLINK("#",""), HYPERLINK(CONCATENATE("#metadata!", ADDRESS(INDEX($X$2:$X$1001,MATCH(ROWS($V$2:V213),$V$2:$V$1001,0),0), INDEX($AC$1004:$AS$1004,1,MATCH(COLUMNS($AC$1006:AI1006),$AC$1006:$AS$1006,0)))),"Fix")))</f>
        <v xml:space="preserve"> </v>
      </c>
      <c r="I213" s="4" t="str">
        <f ca="1">IF(OR(INDEX($W$2:$W$1001,MATCH(ROWS($V$2:V213),$V$2:$V$1001,0),1)&gt;=100000,INDEX($AC$1005:$AS$1005,1,MATCH(COLUMNS($AC$1006:AJ1006),$AC$1006:$AS$1006,0))&gt;=100000), " ",IF(INDEX($AC$2:$AS$1001,MATCH(ROWS($V$2:V213),$V$2:$V$1001,0),MATCH(COLUMNS($AC$1006:AJ1006),$AC$1006:$AS$1006,0)), HYPERLINK("#",""), HYPERLINK(CONCATENATE("#metadata!", ADDRESS(INDEX($X$2:$X$1001,MATCH(ROWS($V$2:V213),$V$2:$V$1001,0),0), INDEX($AC$1004:$AS$1004,1,MATCH(COLUMNS($AC$1006:AJ1006),$AC$1006:$AS$1006,0)))),"Fix")))</f>
        <v xml:space="preserve"> </v>
      </c>
      <c r="J213" s="4" t="str">
        <f ca="1">IF(OR(INDEX($W$2:$W$1001,MATCH(ROWS($V$2:V213),$V$2:$V$1001,0),1)&gt;=100000,INDEX($AC$1005:$AS$1005,1,MATCH(COLUMNS($AC$1006:AK1006),$AC$1006:$AS$1006,0))&gt;=100000), " ",IF(INDEX($AC$2:$AS$1001,MATCH(ROWS($V$2:V213),$V$2:$V$1001,0),MATCH(COLUMNS($AC$1006:AK1006),$AC$1006:$AS$1006,0)), HYPERLINK("#",""), HYPERLINK(CONCATENATE("#metadata!", ADDRESS(INDEX($X$2:$X$1001,MATCH(ROWS($V$2:V213),$V$2:$V$1001,0),0), INDEX($AC$1004:$AS$1004,1,MATCH(COLUMNS($AC$1006:AK1006),$AC$1006:$AS$1006,0)))),"Fix")))</f>
        <v xml:space="preserve"> </v>
      </c>
      <c r="K213" s="4" t="str">
        <f ca="1">IF(OR(INDEX($W$2:$W$1001,MATCH(ROWS($V$2:V213),$V$2:$V$1001,0),1)&gt;=100000,INDEX($AC$1005:$AS$1005,1,MATCH(COLUMNS($AC$1006:AL1006),$AC$1006:$AS$1006,0))&gt;=100000), " ",IF(INDEX($AC$2:$AS$1001,MATCH(ROWS($V$2:V213),$V$2:$V$1001,0),MATCH(COLUMNS($AC$1006:AL1006),$AC$1006:$AS$1006,0)), HYPERLINK("#",""), HYPERLINK(CONCATENATE("#metadata!", ADDRESS(INDEX($X$2:$X$1001,MATCH(ROWS($V$2:V213),$V$2:$V$1001,0),0), INDEX($AC$1004:$AS$1004,1,MATCH(COLUMNS($AC$1006:AL1006),$AC$1006:$AS$1006,0)))),"Fix")))</f>
        <v xml:space="preserve"> </v>
      </c>
      <c r="L213" s="4" t="str">
        <f ca="1">IF(OR(INDEX($W$2:$W$1001,MATCH(ROWS($V$2:V213),$V$2:$V$1001,0),1)&gt;=100000,INDEX($AC$1005:$AS$1005,1,MATCH(COLUMNS($AC$1006:AM1006),$AC$1006:$AS$1006,0))&gt;=100000), " ",IF(INDEX($AC$2:$AS$1001,MATCH(ROWS($V$2:V213),$V$2:$V$1001,0),MATCH(COLUMNS($AC$1006:AM1006),$AC$1006:$AS$1006,0)), HYPERLINK("#",""), HYPERLINK(CONCATENATE("#metadata!", ADDRESS(INDEX($X$2:$X$1001,MATCH(ROWS($V$2:V213),$V$2:$V$1001,0),0), INDEX($AC$1004:$AS$1004,1,MATCH(COLUMNS($AC$1006:AM1006),$AC$1006:$AS$1006,0)))),"Fix")))</f>
        <v xml:space="preserve"> </v>
      </c>
      <c r="M213" s="4" t="str">
        <f ca="1">IF(OR(INDEX($W$2:$W$1001,MATCH(ROWS($V$2:V213),$V$2:$V$1001,0),1)&gt;=100000,INDEX($AC$1005:$AS$1005,1,MATCH(COLUMNS($AC$1006:AN1006),$AC$1006:$AS$1006,0))&gt;=100000), " ",IF(INDEX($AC$2:$AS$1001,MATCH(ROWS($V$2:V213),$V$2:$V$1001,0),MATCH(COLUMNS($AC$1006:AN1006),$AC$1006:$AS$1006,0)), HYPERLINK("#",""), HYPERLINK(CONCATENATE("#metadata!", ADDRESS(INDEX($X$2:$X$1001,MATCH(ROWS($V$2:V213),$V$2:$V$1001,0),0), INDEX($AC$1004:$AS$1004,1,MATCH(COLUMNS($AC$1006:AN1006),$AC$1006:$AS$1006,0)))),"Fix")))</f>
        <v xml:space="preserve"> </v>
      </c>
      <c r="N213" s="4" t="str">
        <f ca="1">IF(OR(INDEX($W$2:$W$1001,MATCH(ROWS($V$2:V213),$V$2:$V$1001,0),1)&gt;=100000,INDEX($AC$1005:$AS$1005,1,MATCH(COLUMNS($AC$1006:AO1006),$AC$1006:$AS$1006,0))&gt;=100000), " ",IF(INDEX($AC$2:$AS$1001,MATCH(ROWS($V$2:V213),$V$2:$V$1001,0),MATCH(COLUMNS($AC$1006:AO1006),$AC$1006:$AS$1006,0)), HYPERLINK("#",""), HYPERLINK(CONCATENATE("#metadata!", ADDRESS(INDEX($X$2:$X$1001,MATCH(ROWS($V$2:V213),$V$2:$V$1001,0),0), INDEX($AC$1004:$AS$1004,1,MATCH(COLUMNS($AC$1006:AO1006),$AC$1006:$AS$1006,0)))),"Fix")))</f>
        <v xml:space="preserve"> </v>
      </c>
      <c r="O213" s="4" t="str">
        <f ca="1">IF(OR(INDEX($W$2:$W$1001,MATCH(ROWS($V$2:V213),$V$2:$V$1001,0),1)&gt;=100000,INDEX($AC$1005:$AS$1005,1,MATCH(COLUMNS($AC$1006:AP1006),$AC$1006:$AS$1006,0))&gt;=100000), " ",IF(INDEX($AC$2:$AS$1001,MATCH(ROWS($V$2:V213),$V$2:$V$1001,0),MATCH(COLUMNS($AC$1006:AP1006),$AC$1006:$AS$1006,0)), HYPERLINK("#",""), HYPERLINK(CONCATENATE("#metadata!", ADDRESS(INDEX($X$2:$X$1001,MATCH(ROWS($V$2:V213),$V$2:$V$1001,0),0), INDEX($AC$1004:$AS$1004,1,MATCH(COLUMNS($AC$1006:AP1006),$AC$1006:$AS$1006,0)))),"Fix")))</f>
        <v xml:space="preserve"> </v>
      </c>
      <c r="P213" s="4" t="str">
        <f ca="1">IF(OR(INDEX($W$2:$W$1001,MATCH(ROWS($V$2:V213),$V$2:$V$1001,0),1)&gt;=100000,INDEX($AC$1005:$AS$1005,1,MATCH(COLUMNS($AC$1006:AQ1006),$AC$1006:$AS$1006,0))&gt;=100000), " ",IF(INDEX($AC$2:$AS$1001,MATCH(ROWS($V$2:V213),$V$2:$V$1001,0),MATCH(COLUMNS($AC$1006:AQ1006),$AC$1006:$AS$1006,0)), HYPERLINK("#",""), HYPERLINK(CONCATENATE("#metadata!", ADDRESS(INDEX($X$2:$X$1001,MATCH(ROWS($V$2:V213),$V$2:$V$1001,0),0), INDEX($AC$1004:$AS$1004,1,MATCH(COLUMNS($AC$1006:AQ1006),$AC$1006:$AS$1006,0)))),"Fix")))</f>
        <v xml:space="preserve"> </v>
      </c>
      <c r="Q213" s="4" t="str">
        <f ca="1">IF(OR(INDEX($W$2:$W$1001,MATCH(ROWS($V$2:V213),$V$2:$V$1001,0),1)&gt;=100000,INDEX($AC$1005:$AS$1005,1,MATCH(COLUMNS($AC$1006:AR1006),$AC$1006:$AS$1006,0))&gt;=100000), " ",IF(INDEX($AC$2:$AS$1001,MATCH(ROWS($V$2:V213),$V$2:$V$1001,0),MATCH(COLUMNS($AC$1006:AR1006),$AC$1006:$AS$1006,0)), HYPERLINK("#",""), HYPERLINK(CONCATENATE("#metadata!", ADDRESS(INDEX($X$2:$X$1001,MATCH(ROWS($V$2:V213),$V$2:$V$1001,0),0), INDEX($AC$1004:$AS$1004,1,MATCH(COLUMNS($AC$1006:AR1006),$AC$1006:$AS$1006,0)))),"Fix")))</f>
        <v xml:space="preserve"> </v>
      </c>
      <c r="R213" s="4" t="str">
        <f ca="1">IF(OR(INDEX($W$2:$W$1001,MATCH(ROWS($V$2:V213),$V$2:$V$1001,0),1)&gt;=100000,INDEX($AC$1005:$AS$1005,1,MATCH(COLUMNS($AC$1006:AS1006),$AC$1006:$AS$1006,0))&gt;=100000), " ",IF(INDEX($AC$2:$AS$1001,MATCH(ROWS($V$2:V213),$V$2:$V$1001,0),MATCH(COLUMNS($AC$1006:AS1006),$AC$1006:$AS$1006,0)), HYPERLINK("#",""), HYPERLINK(CONCATENATE("#metadata!", ADDRESS(INDEX($X$2:$X$1001,MATCH(ROWS($V$2:V213),$V$2:$V$1001,0),0), INDEX($AC$1004:$AS$1004,1,MATCH(COLUMNS($AC$1006:AS1006),$AC$1006:$AS$1006,0)))),"Fix")))</f>
        <v xml:space="preserve"> </v>
      </c>
      <c r="V213">
        <v>212</v>
      </c>
      <c r="W213">
        <v>100213</v>
      </c>
      <c r="X213">
        <v>213</v>
      </c>
      <c r="Y213" t="b">
        <f t="shared" si="3"/>
        <v>1</v>
      </c>
      <c r="Z213" t="b">
        <f>COUNTBLANK(metadata!B213:R213)=COLUMNS(metadata!B213:R213)</f>
        <v>1</v>
      </c>
      <c r="AA213" t="str">
        <v/>
      </c>
      <c r="AC213" t="b">
        <f ca="1"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AD213" t="b">
        <f>IF(metadata!C213="",FALSE,ISNUMBER(VALUE(metadata!C213)))</f>
        <v>0</v>
      </c>
      <c r="AE213" t="b">
        <f>AND(IF(metadata!D213="",FALSE,TRUE),EXACT(metadata!D213,"years"))</f>
        <v>0</v>
      </c>
      <c r="AF213" t="b">
        <f>OR(AND(IF(metadata!E213="",FALSE,TRUE),OR(EXACT(metadata!E213,"not applicable"),EXACT(metadata!E213,"missing: not collected"),EXACT(metadata!E213,"missing: not provided"),EXACT(metadata!E213,"missing: restricted access"))),AND(IF(metadata!E213="",FALSE,ISNUMBER(VALUE(metadata!E213))),metadata!E213&gt;0))</f>
        <v>0</v>
      </c>
      <c r="AG213" t="b">
        <f>AND(IF(metadata!F213="",FALSE,TRUE),EXACT(metadata!F213,"Not applicable"))</f>
        <v>0</v>
      </c>
      <c r="AH213" t="b">
        <f>AND(IF(metadata!G213="",FALSE,TRUE),EXACT(metadata!G213,"urban biome"))</f>
        <v>0</v>
      </c>
      <c r="AI213" t="b">
        <f>AND(IF(metadata!H213="",FALSE,TRUE),EXACT(metadata!H213,"human-associated habitat"))</f>
        <v>0</v>
      </c>
      <c r="AJ213" t="b">
        <f>AND(IF(metadata!I213="",FALSE,TRUE),OR(EXACT(metadata!I213,"human-associated"),EXACT(metadata!I213,"human-skin"),EXACT(metadata!I213,"human-oral"),EXACT(metadata!I213,"human-gut"),EXACT(metadata!I213,"human-vaginal")))</f>
        <v>0</v>
      </c>
      <c r="AK213" t="b">
        <f>IF(metadata!J213="",FALSE,ISNUMBER(VALUE(metadata!J213)))</f>
        <v>0</v>
      </c>
      <c r="AL213" t="b">
        <f>AND(IF(metadata!K213="",FALSE,TRUE),EXACT(metadata!K213,"cm"))</f>
        <v>0</v>
      </c>
      <c r="AM213" t="b">
        <f>AND(IF(metadata!L213="",FALSE,TRUE),EXACT(metadata!L213,"human"))</f>
        <v>0</v>
      </c>
      <c r="AN213" t="b">
        <f>AND(IF(metadata!M213="",FALSE,TRUE),EXACT(metadata!M213,"Homo sapiens"))</f>
        <v>0</v>
      </c>
      <c r="AO213" t="b">
        <f>AND(IF(metadata!N213="",FALSE,TRUE),EXACT(metadata!N213,"9606"))</f>
        <v>0</v>
      </c>
      <c r="AP213" t="b">
        <f>IF(metadata!O213="",FALSE,TRUE)</f>
        <v>0</v>
      </c>
      <c r="AQ213" t="b">
        <f>IF(metadata!P213="",FALSE,TRUE)</f>
        <v>0</v>
      </c>
      <c r="AR213" t="b">
        <f>IF(metadata!Q213="",FALSE,ISNUMBER(VALUE(metadata!Q213)))</f>
        <v>0</v>
      </c>
      <c r="AS213" t="b">
        <f>AND(IF(metadata!R213="",FALSE,TRUE),EXACT(metadata!R213,"kg"))</f>
        <v>0</v>
      </c>
    </row>
    <row r="214" spans="1:45" x14ac:dyDescent="0.2">
      <c r="A214" s="5" t="str">
        <f ca="1">IF(B214=" "," ",HYPERLINK(CONCATENATE("#metadata!",ADDRESS(INDEX($X$2:$X$1001,MATCH(ROWS($V$2:V214),$V$2:$V$1001,0),0),1)),INDEX($AA$2:$AA$1001,MATCH(ROWS($V$2:V214),$V$2:$V$1001,0),0)))</f>
        <v xml:space="preserve"> </v>
      </c>
      <c r="B214" s="4" t="str">
        <f ca="1">IF(OR(INDEX($W$2:$W$1001,MATCH(ROWS($V$2:V214),$V$2:$V$1001,0),1)&gt;=100000,INDEX($AC$1005:$AS$1005,1,MATCH(COLUMNS($AC$1006:AC1006),$AC$1006:$AS$1006,0))&gt;=100000), " ",IF(INDEX($AC$2:$AS$1001,MATCH(ROWS($V$2:V214),$V$2:$V$1001,0),MATCH(COLUMNS($AC$1006:AC1006),$AC$1006:$AS$1006,0)), HYPERLINK("#",""), HYPERLINK(CONCATENATE("#metadata!", ADDRESS(INDEX($X$2:$X$1001,MATCH(ROWS($V$2:V214),$V$2:$V$1001,0),0), INDEX($AC$1004:$AS$1004,1,MATCH(COLUMNS($AC$1006:AC1006),$AC$1006:$AS$1006,0)))),"Fix")))</f>
        <v xml:space="preserve"> </v>
      </c>
      <c r="C214" s="4" t="str">
        <f ca="1">IF(OR(INDEX($W$2:$W$1001,MATCH(ROWS($V$2:V214),$V$2:$V$1001,0),1)&gt;=100000,INDEX($AC$1005:$AS$1005,1,MATCH(COLUMNS($AC$1006:AD1006),$AC$1006:$AS$1006,0))&gt;=100000), " ",IF(INDEX($AC$2:$AS$1001,MATCH(ROWS($V$2:V214),$V$2:$V$1001,0),MATCH(COLUMNS($AC$1006:AD1006),$AC$1006:$AS$1006,0)), HYPERLINK("#",""), HYPERLINK(CONCATENATE("#metadata!", ADDRESS(INDEX($X$2:$X$1001,MATCH(ROWS($V$2:V214),$V$2:$V$1001,0),0), INDEX($AC$1004:$AS$1004,1,MATCH(COLUMNS($AC$1006:AD1006),$AC$1006:$AS$1006,0)))),"Fix")))</f>
        <v xml:space="preserve"> </v>
      </c>
      <c r="D214" s="4" t="str">
        <f ca="1">IF(OR(INDEX($W$2:$W$1001,MATCH(ROWS($V$2:V214),$V$2:$V$1001,0),1)&gt;=100000,INDEX($AC$1005:$AS$1005,1,MATCH(COLUMNS($AC$1006:AE1006),$AC$1006:$AS$1006,0))&gt;=100000), " ",IF(INDEX($AC$2:$AS$1001,MATCH(ROWS($V$2:V214),$V$2:$V$1001,0),MATCH(COLUMNS($AC$1006:AE1006),$AC$1006:$AS$1006,0)), HYPERLINK("#",""), HYPERLINK(CONCATENATE("#metadata!", ADDRESS(INDEX($X$2:$X$1001,MATCH(ROWS($V$2:V214),$V$2:$V$1001,0),0), INDEX($AC$1004:$AS$1004,1,MATCH(COLUMNS($AC$1006:AE1006),$AC$1006:$AS$1006,0)))),"Fix")))</f>
        <v xml:space="preserve"> </v>
      </c>
      <c r="E214" s="4" t="str">
        <f ca="1">IF(OR(INDEX($W$2:$W$1001,MATCH(ROWS($V$2:V214),$V$2:$V$1001,0),1)&gt;=100000,INDEX($AC$1005:$AS$1005,1,MATCH(COLUMNS($AC$1006:AF1006),$AC$1006:$AS$1006,0))&gt;=100000), " ",IF(INDEX($AC$2:$AS$1001,MATCH(ROWS($V$2:V214),$V$2:$V$1001,0),MATCH(COLUMNS($AC$1006:AF1006),$AC$1006:$AS$1006,0)), HYPERLINK("#",""), HYPERLINK(CONCATENATE("#metadata!", ADDRESS(INDEX($X$2:$X$1001,MATCH(ROWS($V$2:V214),$V$2:$V$1001,0),0), INDEX($AC$1004:$AS$1004,1,MATCH(COLUMNS($AC$1006:AF1006),$AC$1006:$AS$1006,0)))),"Fix")))</f>
        <v xml:space="preserve"> </v>
      </c>
      <c r="F214" s="4" t="str">
        <f ca="1">IF(OR(INDEX($W$2:$W$1001,MATCH(ROWS($V$2:V214),$V$2:$V$1001,0),1)&gt;=100000,INDEX($AC$1005:$AS$1005,1,MATCH(COLUMNS($AC$1006:AG1006),$AC$1006:$AS$1006,0))&gt;=100000), " ",IF(INDEX($AC$2:$AS$1001,MATCH(ROWS($V$2:V214),$V$2:$V$1001,0),MATCH(COLUMNS($AC$1006:AG1006),$AC$1006:$AS$1006,0)), HYPERLINK("#",""), HYPERLINK(CONCATENATE("#metadata!", ADDRESS(INDEX($X$2:$X$1001,MATCH(ROWS($V$2:V214),$V$2:$V$1001,0),0), INDEX($AC$1004:$AS$1004,1,MATCH(COLUMNS($AC$1006:AG1006),$AC$1006:$AS$1006,0)))),"Fix")))</f>
        <v xml:space="preserve"> </v>
      </c>
      <c r="G214" s="4" t="str">
        <f ca="1">IF(OR(INDEX($W$2:$W$1001,MATCH(ROWS($V$2:V214),$V$2:$V$1001,0),1)&gt;=100000,INDEX($AC$1005:$AS$1005,1,MATCH(COLUMNS($AC$1006:AH1006),$AC$1006:$AS$1006,0))&gt;=100000), " ",IF(INDEX($AC$2:$AS$1001,MATCH(ROWS($V$2:V214),$V$2:$V$1001,0),MATCH(COLUMNS($AC$1006:AH1006),$AC$1006:$AS$1006,0)), HYPERLINK("#",""), HYPERLINK(CONCATENATE("#metadata!", ADDRESS(INDEX($X$2:$X$1001,MATCH(ROWS($V$2:V214),$V$2:$V$1001,0),0), INDEX($AC$1004:$AS$1004,1,MATCH(COLUMNS($AC$1006:AH1006),$AC$1006:$AS$1006,0)))),"Fix")))</f>
        <v xml:space="preserve"> </v>
      </c>
      <c r="H214" s="4" t="str">
        <f ca="1">IF(OR(INDEX($W$2:$W$1001,MATCH(ROWS($V$2:V214),$V$2:$V$1001,0),1)&gt;=100000,INDEX($AC$1005:$AS$1005,1,MATCH(COLUMNS($AC$1006:AI1006),$AC$1006:$AS$1006,0))&gt;=100000), " ",IF(INDEX($AC$2:$AS$1001,MATCH(ROWS($V$2:V214),$V$2:$V$1001,0),MATCH(COLUMNS($AC$1006:AI1006),$AC$1006:$AS$1006,0)), HYPERLINK("#",""), HYPERLINK(CONCATENATE("#metadata!", ADDRESS(INDEX($X$2:$X$1001,MATCH(ROWS($V$2:V214),$V$2:$V$1001,0),0), INDEX($AC$1004:$AS$1004,1,MATCH(COLUMNS($AC$1006:AI1006),$AC$1006:$AS$1006,0)))),"Fix")))</f>
        <v xml:space="preserve"> </v>
      </c>
      <c r="I214" s="4" t="str">
        <f ca="1">IF(OR(INDEX($W$2:$W$1001,MATCH(ROWS($V$2:V214),$V$2:$V$1001,0),1)&gt;=100000,INDEX($AC$1005:$AS$1005,1,MATCH(COLUMNS($AC$1006:AJ1006),$AC$1006:$AS$1006,0))&gt;=100000), " ",IF(INDEX($AC$2:$AS$1001,MATCH(ROWS($V$2:V214),$V$2:$V$1001,0),MATCH(COLUMNS($AC$1006:AJ1006),$AC$1006:$AS$1006,0)), HYPERLINK("#",""), HYPERLINK(CONCATENATE("#metadata!", ADDRESS(INDEX($X$2:$X$1001,MATCH(ROWS($V$2:V214),$V$2:$V$1001,0),0), INDEX($AC$1004:$AS$1004,1,MATCH(COLUMNS($AC$1006:AJ1006),$AC$1006:$AS$1006,0)))),"Fix")))</f>
        <v xml:space="preserve"> </v>
      </c>
      <c r="J214" s="4" t="str">
        <f ca="1">IF(OR(INDEX($W$2:$W$1001,MATCH(ROWS($V$2:V214),$V$2:$V$1001,0),1)&gt;=100000,INDEX($AC$1005:$AS$1005,1,MATCH(COLUMNS($AC$1006:AK1006),$AC$1006:$AS$1006,0))&gt;=100000), " ",IF(INDEX($AC$2:$AS$1001,MATCH(ROWS($V$2:V214),$V$2:$V$1001,0),MATCH(COLUMNS($AC$1006:AK1006),$AC$1006:$AS$1006,0)), HYPERLINK("#",""), HYPERLINK(CONCATENATE("#metadata!", ADDRESS(INDEX($X$2:$X$1001,MATCH(ROWS($V$2:V214),$V$2:$V$1001,0),0), INDEX($AC$1004:$AS$1004,1,MATCH(COLUMNS($AC$1006:AK1006),$AC$1006:$AS$1006,0)))),"Fix")))</f>
        <v xml:space="preserve"> </v>
      </c>
      <c r="K214" s="4" t="str">
        <f ca="1">IF(OR(INDEX($W$2:$W$1001,MATCH(ROWS($V$2:V214),$V$2:$V$1001,0),1)&gt;=100000,INDEX($AC$1005:$AS$1005,1,MATCH(COLUMNS($AC$1006:AL1006),$AC$1006:$AS$1006,0))&gt;=100000), " ",IF(INDEX($AC$2:$AS$1001,MATCH(ROWS($V$2:V214),$V$2:$V$1001,0),MATCH(COLUMNS($AC$1006:AL1006),$AC$1006:$AS$1006,0)), HYPERLINK("#",""), HYPERLINK(CONCATENATE("#metadata!", ADDRESS(INDEX($X$2:$X$1001,MATCH(ROWS($V$2:V214),$V$2:$V$1001,0),0), INDEX($AC$1004:$AS$1004,1,MATCH(COLUMNS($AC$1006:AL1006),$AC$1006:$AS$1006,0)))),"Fix")))</f>
        <v xml:space="preserve"> </v>
      </c>
      <c r="L214" s="4" t="str">
        <f ca="1">IF(OR(INDEX($W$2:$W$1001,MATCH(ROWS($V$2:V214),$V$2:$V$1001,0),1)&gt;=100000,INDEX($AC$1005:$AS$1005,1,MATCH(COLUMNS($AC$1006:AM1006),$AC$1006:$AS$1006,0))&gt;=100000), " ",IF(INDEX($AC$2:$AS$1001,MATCH(ROWS($V$2:V214),$V$2:$V$1001,0),MATCH(COLUMNS($AC$1006:AM1006),$AC$1006:$AS$1006,0)), HYPERLINK("#",""), HYPERLINK(CONCATENATE("#metadata!", ADDRESS(INDEX($X$2:$X$1001,MATCH(ROWS($V$2:V214),$V$2:$V$1001,0),0), INDEX($AC$1004:$AS$1004,1,MATCH(COLUMNS($AC$1006:AM1006),$AC$1006:$AS$1006,0)))),"Fix")))</f>
        <v xml:space="preserve"> </v>
      </c>
      <c r="M214" s="4" t="str">
        <f ca="1">IF(OR(INDEX($W$2:$W$1001,MATCH(ROWS($V$2:V214),$V$2:$V$1001,0),1)&gt;=100000,INDEX($AC$1005:$AS$1005,1,MATCH(COLUMNS($AC$1006:AN1006),$AC$1006:$AS$1006,0))&gt;=100000), " ",IF(INDEX($AC$2:$AS$1001,MATCH(ROWS($V$2:V214),$V$2:$V$1001,0),MATCH(COLUMNS($AC$1006:AN1006),$AC$1006:$AS$1006,0)), HYPERLINK("#",""), HYPERLINK(CONCATENATE("#metadata!", ADDRESS(INDEX($X$2:$X$1001,MATCH(ROWS($V$2:V214),$V$2:$V$1001,0),0), INDEX($AC$1004:$AS$1004,1,MATCH(COLUMNS($AC$1006:AN1006),$AC$1006:$AS$1006,0)))),"Fix")))</f>
        <v xml:space="preserve"> </v>
      </c>
      <c r="N214" s="4" t="str">
        <f ca="1">IF(OR(INDEX($W$2:$W$1001,MATCH(ROWS($V$2:V214),$V$2:$V$1001,0),1)&gt;=100000,INDEX($AC$1005:$AS$1005,1,MATCH(COLUMNS($AC$1006:AO1006),$AC$1006:$AS$1006,0))&gt;=100000), " ",IF(INDEX($AC$2:$AS$1001,MATCH(ROWS($V$2:V214),$V$2:$V$1001,0),MATCH(COLUMNS($AC$1006:AO1006),$AC$1006:$AS$1006,0)), HYPERLINK("#",""), HYPERLINK(CONCATENATE("#metadata!", ADDRESS(INDEX($X$2:$X$1001,MATCH(ROWS($V$2:V214),$V$2:$V$1001,0),0), INDEX($AC$1004:$AS$1004,1,MATCH(COLUMNS($AC$1006:AO1006),$AC$1006:$AS$1006,0)))),"Fix")))</f>
        <v xml:space="preserve"> </v>
      </c>
      <c r="O214" s="4" t="str">
        <f ca="1">IF(OR(INDEX($W$2:$W$1001,MATCH(ROWS($V$2:V214),$V$2:$V$1001,0),1)&gt;=100000,INDEX($AC$1005:$AS$1005,1,MATCH(COLUMNS($AC$1006:AP1006),$AC$1006:$AS$1006,0))&gt;=100000), " ",IF(INDEX($AC$2:$AS$1001,MATCH(ROWS($V$2:V214),$V$2:$V$1001,0),MATCH(COLUMNS($AC$1006:AP1006),$AC$1006:$AS$1006,0)), HYPERLINK("#",""), HYPERLINK(CONCATENATE("#metadata!", ADDRESS(INDEX($X$2:$X$1001,MATCH(ROWS($V$2:V214),$V$2:$V$1001,0),0), INDEX($AC$1004:$AS$1004,1,MATCH(COLUMNS($AC$1006:AP1006),$AC$1006:$AS$1006,0)))),"Fix")))</f>
        <v xml:space="preserve"> </v>
      </c>
      <c r="P214" s="4" t="str">
        <f ca="1">IF(OR(INDEX($W$2:$W$1001,MATCH(ROWS($V$2:V214),$V$2:$V$1001,0),1)&gt;=100000,INDEX($AC$1005:$AS$1005,1,MATCH(COLUMNS($AC$1006:AQ1006),$AC$1006:$AS$1006,0))&gt;=100000), " ",IF(INDEX($AC$2:$AS$1001,MATCH(ROWS($V$2:V214),$V$2:$V$1001,0),MATCH(COLUMNS($AC$1006:AQ1006),$AC$1006:$AS$1006,0)), HYPERLINK("#",""), HYPERLINK(CONCATENATE("#metadata!", ADDRESS(INDEX($X$2:$X$1001,MATCH(ROWS($V$2:V214),$V$2:$V$1001,0),0), INDEX($AC$1004:$AS$1004,1,MATCH(COLUMNS($AC$1006:AQ1006),$AC$1006:$AS$1006,0)))),"Fix")))</f>
        <v xml:space="preserve"> </v>
      </c>
      <c r="Q214" s="4" t="str">
        <f ca="1">IF(OR(INDEX($W$2:$W$1001,MATCH(ROWS($V$2:V214),$V$2:$V$1001,0),1)&gt;=100000,INDEX($AC$1005:$AS$1005,1,MATCH(COLUMNS($AC$1006:AR1006),$AC$1006:$AS$1006,0))&gt;=100000), " ",IF(INDEX($AC$2:$AS$1001,MATCH(ROWS($V$2:V214),$V$2:$V$1001,0),MATCH(COLUMNS($AC$1006:AR1006),$AC$1006:$AS$1006,0)), HYPERLINK("#",""), HYPERLINK(CONCATENATE("#metadata!", ADDRESS(INDEX($X$2:$X$1001,MATCH(ROWS($V$2:V214),$V$2:$V$1001,0),0), INDEX($AC$1004:$AS$1004,1,MATCH(COLUMNS($AC$1006:AR1006),$AC$1006:$AS$1006,0)))),"Fix")))</f>
        <v xml:space="preserve"> </v>
      </c>
      <c r="R214" s="4" t="str">
        <f ca="1">IF(OR(INDEX($W$2:$W$1001,MATCH(ROWS($V$2:V214),$V$2:$V$1001,0),1)&gt;=100000,INDEX($AC$1005:$AS$1005,1,MATCH(COLUMNS($AC$1006:AS1006),$AC$1006:$AS$1006,0))&gt;=100000), " ",IF(INDEX($AC$2:$AS$1001,MATCH(ROWS($V$2:V214),$V$2:$V$1001,0),MATCH(COLUMNS($AC$1006:AS1006),$AC$1006:$AS$1006,0)), HYPERLINK("#",""), HYPERLINK(CONCATENATE("#metadata!", ADDRESS(INDEX($X$2:$X$1001,MATCH(ROWS($V$2:V214),$V$2:$V$1001,0),0), INDEX($AC$1004:$AS$1004,1,MATCH(COLUMNS($AC$1006:AS1006),$AC$1006:$AS$1006,0)))),"Fix")))</f>
        <v xml:space="preserve"> </v>
      </c>
      <c r="V214">
        <v>213</v>
      </c>
      <c r="W214">
        <v>100214</v>
      </c>
      <c r="X214">
        <v>214</v>
      </c>
      <c r="Y214" t="b">
        <f t="shared" si="3"/>
        <v>1</v>
      </c>
      <c r="Z214" t="b">
        <f>COUNTBLANK(metadata!B214:R214)=COLUMNS(metadata!B214:R214)</f>
        <v>1</v>
      </c>
      <c r="AA214" t="str">
        <v/>
      </c>
      <c r="AC214" t="b">
        <f ca="1"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AD214" t="b">
        <f>IF(metadata!C214="",FALSE,ISNUMBER(VALUE(metadata!C214)))</f>
        <v>0</v>
      </c>
      <c r="AE214" t="b">
        <f>AND(IF(metadata!D214="",FALSE,TRUE),EXACT(metadata!D214,"years"))</f>
        <v>0</v>
      </c>
      <c r="AF214" t="b">
        <f>OR(AND(IF(metadata!E214="",FALSE,TRUE),OR(EXACT(metadata!E214,"not applicable"),EXACT(metadata!E214,"missing: not collected"),EXACT(metadata!E214,"missing: not provided"),EXACT(metadata!E214,"missing: restricted access"))),AND(IF(metadata!E214="",FALSE,ISNUMBER(VALUE(metadata!E214))),metadata!E214&gt;0))</f>
        <v>0</v>
      </c>
      <c r="AG214" t="b">
        <f>AND(IF(metadata!F214="",FALSE,TRUE),EXACT(metadata!F214,"Not applicable"))</f>
        <v>0</v>
      </c>
      <c r="AH214" t="b">
        <f>AND(IF(metadata!G214="",FALSE,TRUE),EXACT(metadata!G214,"urban biome"))</f>
        <v>0</v>
      </c>
      <c r="AI214" t="b">
        <f>AND(IF(metadata!H214="",FALSE,TRUE),EXACT(metadata!H214,"human-associated habitat"))</f>
        <v>0</v>
      </c>
      <c r="AJ214" t="b">
        <f>AND(IF(metadata!I214="",FALSE,TRUE),OR(EXACT(metadata!I214,"human-associated"),EXACT(metadata!I214,"human-skin"),EXACT(metadata!I214,"human-oral"),EXACT(metadata!I214,"human-gut"),EXACT(metadata!I214,"human-vaginal")))</f>
        <v>0</v>
      </c>
      <c r="AK214" t="b">
        <f>IF(metadata!J214="",FALSE,ISNUMBER(VALUE(metadata!J214)))</f>
        <v>0</v>
      </c>
      <c r="AL214" t="b">
        <f>AND(IF(metadata!K214="",FALSE,TRUE),EXACT(metadata!K214,"cm"))</f>
        <v>0</v>
      </c>
      <c r="AM214" t="b">
        <f>AND(IF(metadata!L214="",FALSE,TRUE),EXACT(metadata!L214,"human"))</f>
        <v>0</v>
      </c>
      <c r="AN214" t="b">
        <f>AND(IF(metadata!M214="",FALSE,TRUE),EXACT(metadata!M214,"Homo sapiens"))</f>
        <v>0</v>
      </c>
      <c r="AO214" t="b">
        <f>AND(IF(metadata!N214="",FALSE,TRUE),EXACT(metadata!N214,"9606"))</f>
        <v>0</v>
      </c>
      <c r="AP214" t="b">
        <f>IF(metadata!O214="",FALSE,TRUE)</f>
        <v>0</v>
      </c>
      <c r="AQ214" t="b">
        <f>IF(metadata!P214="",FALSE,TRUE)</f>
        <v>0</v>
      </c>
      <c r="AR214" t="b">
        <f>IF(metadata!Q214="",FALSE,ISNUMBER(VALUE(metadata!Q214)))</f>
        <v>0</v>
      </c>
      <c r="AS214" t="b">
        <f>AND(IF(metadata!R214="",FALSE,TRUE),EXACT(metadata!R214,"kg"))</f>
        <v>0</v>
      </c>
    </row>
    <row r="215" spans="1:45" x14ac:dyDescent="0.2">
      <c r="A215" s="5" t="str">
        <f ca="1">IF(B215=" "," ",HYPERLINK(CONCATENATE("#metadata!",ADDRESS(INDEX($X$2:$X$1001,MATCH(ROWS($V$2:V215),$V$2:$V$1001,0),0),1)),INDEX($AA$2:$AA$1001,MATCH(ROWS($V$2:V215),$V$2:$V$1001,0),0)))</f>
        <v xml:space="preserve"> </v>
      </c>
      <c r="B215" s="4" t="str">
        <f ca="1">IF(OR(INDEX($W$2:$W$1001,MATCH(ROWS($V$2:V215),$V$2:$V$1001,0),1)&gt;=100000,INDEX($AC$1005:$AS$1005,1,MATCH(COLUMNS($AC$1006:AC1006),$AC$1006:$AS$1006,0))&gt;=100000), " ",IF(INDEX($AC$2:$AS$1001,MATCH(ROWS($V$2:V215),$V$2:$V$1001,0),MATCH(COLUMNS($AC$1006:AC1006),$AC$1006:$AS$1006,0)), HYPERLINK("#",""), HYPERLINK(CONCATENATE("#metadata!", ADDRESS(INDEX($X$2:$X$1001,MATCH(ROWS($V$2:V215),$V$2:$V$1001,0),0), INDEX($AC$1004:$AS$1004,1,MATCH(COLUMNS($AC$1006:AC1006),$AC$1006:$AS$1006,0)))),"Fix")))</f>
        <v xml:space="preserve"> </v>
      </c>
      <c r="C215" s="4" t="str">
        <f ca="1">IF(OR(INDEX($W$2:$W$1001,MATCH(ROWS($V$2:V215),$V$2:$V$1001,0),1)&gt;=100000,INDEX($AC$1005:$AS$1005,1,MATCH(COLUMNS($AC$1006:AD1006),$AC$1006:$AS$1006,0))&gt;=100000), " ",IF(INDEX($AC$2:$AS$1001,MATCH(ROWS($V$2:V215),$V$2:$V$1001,0),MATCH(COLUMNS($AC$1006:AD1006),$AC$1006:$AS$1006,0)), HYPERLINK("#",""), HYPERLINK(CONCATENATE("#metadata!", ADDRESS(INDEX($X$2:$X$1001,MATCH(ROWS($V$2:V215),$V$2:$V$1001,0),0), INDEX($AC$1004:$AS$1004,1,MATCH(COLUMNS($AC$1006:AD1006),$AC$1006:$AS$1006,0)))),"Fix")))</f>
        <v xml:space="preserve"> </v>
      </c>
      <c r="D215" s="4" t="str">
        <f ca="1">IF(OR(INDEX($W$2:$W$1001,MATCH(ROWS($V$2:V215),$V$2:$V$1001,0),1)&gt;=100000,INDEX($AC$1005:$AS$1005,1,MATCH(COLUMNS($AC$1006:AE1006),$AC$1006:$AS$1006,0))&gt;=100000), " ",IF(INDEX($AC$2:$AS$1001,MATCH(ROWS($V$2:V215),$V$2:$V$1001,0),MATCH(COLUMNS($AC$1006:AE1006),$AC$1006:$AS$1006,0)), HYPERLINK("#",""), HYPERLINK(CONCATENATE("#metadata!", ADDRESS(INDEX($X$2:$X$1001,MATCH(ROWS($V$2:V215),$V$2:$V$1001,0),0), INDEX($AC$1004:$AS$1004,1,MATCH(COLUMNS($AC$1006:AE1006),$AC$1006:$AS$1006,0)))),"Fix")))</f>
        <v xml:space="preserve"> </v>
      </c>
      <c r="E215" s="4" t="str">
        <f ca="1">IF(OR(INDEX($W$2:$W$1001,MATCH(ROWS($V$2:V215),$V$2:$V$1001,0),1)&gt;=100000,INDEX($AC$1005:$AS$1005,1,MATCH(COLUMNS($AC$1006:AF1006),$AC$1006:$AS$1006,0))&gt;=100000), " ",IF(INDEX($AC$2:$AS$1001,MATCH(ROWS($V$2:V215),$V$2:$V$1001,0),MATCH(COLUMNS($AC$1006:AF1006),$AC$1006:$AS$1006,0)), HYPERLINK("#",""), HYPERLINK(CONCATENATE("#metadata!", ADDRESS(INDEX($X$2:$X$1001,MATCH(ROWS($V$2:V215),$V$2:$V$1001,0),0), INDEX($AC$1004:$AS$1004,1,MATCH(COLUMNS($AC$1006:AF1006),$AC$1006:$AS$1006,0)))),"Fix")))</f>
        <v xml:space="preserve"> </v>
      </c>
      <c r="F215" s="4" t="str">
        <f ca="1">IF(OR(INDEX($W$2:$W$1001,MATCH(ROWS($V$2:V215),$V$2:$V$1001,0),1)&gt;=100000,INDEX($AC$1005:$AS$1005,1,MATCH(COLUMNS($AC$1006:AG1006),$AC$1006:$AS$1006,0))&gt;=100000), " ",IF(INDEX($AC$2:$AS$1001,MATCH(ROWS($V$2:V215),$V$2:$V$1001,0),MATCH(COLUMNS($AC$1006:AG1006),$AC$1006:$AS$1006,0)), HYPERLINK("#",""), HYPERLINK(CONCATENATE("#metadata!", ADDRESS(INDEX($X$2:$X$1001,MATCH(ROWS($V$2:V215),$V$2:$V$1001,0),0), INDEX($AC$1004:$AS$1004,1,MATCH(COLUMNS($AC$1006:AG1006),$AC$1006:$AS$1006,0)))),"Fix")))</f>
        <v xml:space="preserve"> </v>
      </c>
      <c r="G215" s="4" t="str">
        <f ca="1">IF(OR(INDEX($W$2:$W$1001,MATCH(ROWS($V$2:V215),$V$2:$V$1001,0),1)&gt;=100000,INDEX($AC$1005:$AS$1005,1,MATCH(COLUMNS($AC$1006:AH1006),$AC$1006:$AS$1006,0))&gt;=100000), " ",IF(INDEX($AC$2:$AS$1001,MATCH(ROWS($V$2:V215),$V$2:$V$1001,0),MATCH(COLUMNS($AC$1006:AH1006),$AC$1006:$AS$1006,0)), HYPERLINK("#",""), HYPERLINK(CONCATENATE("#metadata!", ADDRESS(INDEX($X$2:$X$1001,MATCH(ROWS($V$2:V215),$V$2:$V$1001,0),0), INDEX($AC$1004:$AS$1004,1,MATCH(COLUMNS($AC$1006:AH1006),$AC$1006:$AS$1006,0)))),"Fix")))</f>
        <v xml:space="preserve"> </v>
      </c>
      <c r="H215" s="4" t="str">
        <f ca="1">IF(OR(INDEX($W$2:$W$1001,MATCH(ROWS($V$2:V215),$V$2:$V$1001,0),1)&gt;=100000,INDEX($AC$1005:$AS$1005,1,MATCH(COLUMNS($AC$1006:AI1006),$AC$1006:$AS$1006,0))&gt;=100000), " ",IF(INDEX($AC$2:$AS$1001,MATCH(ROWS($V$2:V215),$V$2:$V$1001,0),MATCH(COLUMNS($AC$1006:AI1006),$AC$1006:$AS$1006,0)), HYPERLINK("#",""), HYPERLINK(CONCATENATE("#metadata!", ADDRESS(INDEX($X$2:$X$1001,MATCH(ROWS($V$2:V215),$V$2:$V$1001,0),0), INDEX($AC$1004:$AS$1004,1,MATCH(COLUMNS($AC$1006:AI1006),$AC$1006:$AS$1006,0)))),"Fix")))</f>
        <v xml:space="preserve"> </v>
      </c>
      <c r="I215" s="4" t="str">
        <f ca="1">IF(OR(INDEX($W$2:$W$1001,MATCH(ROWS($V$2:V215),$V$2:$V$1001,0),1)&gt;=100000,INDEX($AC$1005:$AS$1005,1,MATCH(COLUMNS($AC$1006:AJ1006),$AC$1006:$AS$1006,0))&gt;=100000), " ",IF(INDEX($AC$2:$AS$1001,MATCH(ROWS($V$2:V215),$V$2:$V$1001,0),MATCH(COLUMNS($AC$1006:AJ1006),$AC$1006:$AS$1006,0)), HYPERLINK("#",""), HYPERLINK(CONCATENATE("#metadata!", ADDRESS(INDEX($X$2:$X$1001,MATCH(ROWS($V$2:V215),$V$2:$V$1001,0),0), INDEX($AC$1004:$AS$1004,1,MATCH(COLUMNS($AC$1006:AJ1006),$AC$1006:$AS$1006,0)))),"Fix")))</f>
        <v xml:space="preserve"> </v>
      </c>
      <c r="J215" s="4" t="str">
        <f ca="1">IF(OR(INDEX($W$2:$W$1001,MATCH(ROWS($V$2:V215),$V$2:$V$1001,0),1)&gt;=100000,INDEX($AC$1005:$AS$1005,1,MATCH(COLUMNS($AC$1006:AK1006),$AC$1006:$AS$1006,0))&gt;=100000), " ",IF(INDEX($AC$2:$AS$1001,MATCH(ROWS($V$2:V215),$V$2:$V$1001,0),MATCH(COLUMNS($AC$1006:AK1006),$AC$1006:$AS$1006,0)), HYPERLINK("#",""), HYPERLINK(CONCATENATE("#metadata!", ADDRESS(INDEX($X$2:$X$1001,MATCH(ROWS($V$2:V215),$V$2:$V$1001,0),0), INDEX($AC$1004:$AS$1004,1,MATCH(COLUMNS($AC$1006:AK1006),$AC$1006:$AS$1006,0)))),"Fix")))</f>
        <v xml:space="preserve"> </v>
      </c>
      <c r="K215" s="4" t="str">
        <f ca="1">IF(OR(INDEX($W$2:$W$1001,MATCH(ROWS($V$2:V215),$V$2:$V$1001,0),1)&gt;=100000,INDEX($AC$1005:$AS$1005,1,MATCH(COLUMNS($AC$1006:AL1006),$AC$1006:$AS$1006,0))&gt;=100000), " ",IF(INDEX($AC$2:$AS$1001,MATCH(ROWS($V$2:V215),$V$2:$V$1001,0),MATCH(COLUMNS($AC$1006:AL1006),$AC$1006:$AS$1006,0)), HYPERLINK("#",""), HYPERLINK(CONCATENATE("#metadata!", ADDRESS(INDEX($X$2:$X$1001,MATCH(ROWS($V$2:V215),$V$2:$V$1001,0),0), INDEX($AC$1004:$AS$1004,1,MATCH(COLUMNS($AC$1006:AL1006),$AC$1006:$AS$1006,0)))),"Fix")))</f>
        <v xml:space="preserve"> </v>
      </c>
      <c r="L215" s="4" t="str">
        <f ca="1">IF(OR(INDEX($W$2:$W$1001,MATCH(ROWS($V$2:V215),$V$2:$V$1001,0),1)&gt;=100000,INDEX($AC$1005:$AS$1005,1,MATCH(COLUMNS($AC$1006:AM1006),$AC$1006:$AS$1006,0))&gt;=100000), " ",IF(INDEX($AC$2:$AS$1001,MATCH(ROWS($V$2:V215),$V$2:$V$1001,0),MATCH(COLUMNS($AC$1006:AM1006),$AC$1006:$AS$1006,0)), HYPERLINK("#",""), HYPERLINK(CONCATENATE("#metadata!", ADDRESS(INDEX($X$2:$X$1001,MATCH(ROWS($V$2:V215),$V$2:$V$1001,0),0), INDEX($AC$1004:$AS$1004,1,MATCH(COLUMNS($AC$1006:AM1006),$AC$1006:$AS$1006,0)))),"Fix")))</f>
        <v xml:space="preserve"> </v>
      </c>
      <c r="M215" s="4" t="str">
        <f ca="1">IF(OR(INDEX($W$2:$W$1001,MATCH(ROWS($V$2:V215),$V$2:$V$1001,0),1)&gt;=100000,INDEX($AC$1005:$AS$1005,1,MATCH(COLUMNS($AC$1006:AN1006),$AC$1006:$AS$1006,0))&gt;=100000), " ",IF(INDEX($AC$2:$AS$1001,MATCH(ROWS($V$2:V215),$V$2:$V$1001,0),MATCH(COLUMNS($AC$1006:AN1006),$AC$1006:$AS$1006,0)), HYPERLINK("#",""), HYPERLINK(CONCATENATE("#metadata!", ADDRESS(INDEX($X$2:$X$1001,MATCH(ROWS($V$2:V215),$V$2:$V$1001,0),0), INDEX($AC$1004:$AS$1004,1,MATCH(COLUMNS($AC$1006:AN1006),$AC$1006:$AS$1006,0)))),"Fix")))</f>
        <v xml:space="preserve"> </v>
      </c>
      <c r="N215" s="4" t="str">
        <f ca="1">IF(OR(INDEX($W$2:$W$1001,MATCH(ROWS($V$2:V215),$V$2:$V$1001,0),1)&gt;=100000,INDEX($AC$1005:$AS$1005,1,MATCH(COLUMNS($AC$1006:AO1006),$AC$1006:$AS$1006,0))&gt;=100000), " ",IF(INDEX($AC$2:$AS$1001,MATCH(ROWS($V$2:V215),$V$2:$V$1001,0),MATCH(COLUMNS($AC$1006:AO1006),$AC$1006:$AS$1006,0)), HYPERLINK("#",""), HYPERLINK(CONCATENATE("#metadata!", ADDRESS(INDEX($X$2:$X$1001,MATCH(ROWS($V$2:V215),$V$2:$V$1001,0),0), INDEX($AC$1004:$AS$1004,1,MATCH(COLUMNS($AC$1006:AO1006),$AC$1006:$AS$1006,0)))),"Fix")))</f>
        <v xml:space="preserve"> </v>
      </c>
      <c r="O215" s="4" t="str">
        <f ca="1">IF(OR(INDEX($W$2:$W$1001,MATCH(ROWS($V$2:V215),$V$2:$V$1001,0),1)&gt;=100000,INDEX($AC$1005:$AS$1005,1,MATCH(COLUMNS($AC$1006:AP1006),$AC$1006:$AS$1006,0))&gt;=100000), " ",IF(INDEX($AC$2:$AS$1001,MATCH(ROWS($V$2:V215),$V$2:$V$1001,0),MATCH(COLUMNS($AC$1006:AP1006),$AC$1006:$AS$1006,0)), HYPERLINK("#",""), HYPERLINK(CONCATENATE("#metadata!", ADDRESS(INDEX($X$2:$X$1001,MATCH(ROWS($V$2:V215),$V$2:$V$1001,0),0), INDEX($AC$1004:$AS$1004,1,MATCH(COLUMNS($AC$1006:AP1006),$AC$1006:$AS$1006,0)))),"Fix")))</f>
        <v xml:space="preserve"> </v>
      </c>
      <c r="P215" s="4" t="str">
        <f ca="1">IF(OR(INDEX($W$2:$W$1001,MATCH(ROWS($V$2:V215),$V$2:$V$1001,0),1)&gt;=100000,INDEX($AC$1005:$AS$1005,1,MATCH(COLUMNS($AC$1006:AQ1006),$AC$1006:$AS$1006,0))&gt;=100000), " ",IF(INDEX($AC$2:$AS$1001,MATCH(ROWS($V$2:V215),$V$2:$V$1001,0),MATCH(COLUMNS($AC$1006:AQ1006),$AC$1006:$AS$1006,0)), HYPERLINK("#",""), HYPERLINK(CONCATENATE("#metadata!", ADDRESS(INDEX($X$2:$X$1001,MATCH(ROWS($V$2:V215),$V$2:$V$1001,0),0), INDEX($AC$1004:$AS$1004,1,MATCH(COLUMNS($AC$1006:AQ1006),$AC$1006:$AS$1006,0)))),"Fix")))</f>
        <v xml:space="preserve"> </v>
      </c>
      <c r="Q215" s="4" t="str">
        <f ca="1">IF(OR(INDEX($W$2:$W$1001,MATCH(ROWS($V$2:V215),$V$2:$V$1001,0),1)&gt;=100000,INDEX($AC$1005:$AS$1005,1,MATCH(COLUMNS($AC$1006:AR1006),$AC$1006:$AS$1006,0))&gt;=100000), " ",IF(INDEX($AC$2:$AS$1001,MATCH(ROWS($V$2:V215),$V$2:$V$1001,0),MATCH(COLUMNS($AC$1006:AR1006),$AC$1006:$AS$1006,0)), HYPERLINK("#",""), HYPERLINK(CONCATENATE("#metadata!", ADDRESS(INDEX($X$2:$X$1001,MATCH(ROWS($V$2:V215),$V$2:$V$1001,0),0), INDEX($AC$1004:$AS$1004,1,MATCH(COLUMNS($AC$1006:AR1006),$AC$1006:$AS$1006,0)))),"Fix")))</f>
        <v xml:space="preserve"> </v>
      </c>
      <c r="R215" s="4" t="str">
        <f ca="1">IF(OR(INDEX($W$2:$W$1001,MATCH(ROWS($V$2:V215),$V$2:$V$1001,0),1)&gt;=100000,INDEX($AC$1005:$AS$1005,1,MATCH(COLUMNS($AC$1006:AS1006),$AC$1006:$AS$1006,0))&gt;=100000), " ",IF(INDEX($AC$2:$AS$1001,MATCH(ROWS($V$2:V215),$V$2:$V$1001,0),MATCH(COLUMNS($AC$1006:AS1006),$AC$1006:$AS$1006,0)), HYPERLINK("#",""), HYPERLINK(CONCATENATE("#metadata!", ADDRESS(INDEX($X$2:$X$1001,MATCH(ROWS($V$2:V215),$V$2:$V$1001,0),0), INDEX($AC$1004:$AS$1004,1,MATCH(COLUMNS($AC$1006:AS1006),$AC$1006:$AS$1006,0)))),"Fix")))</f>
        <v xml:space="preserve"> </v>
      </c>
      <c r="V215">
        <v>214</v>
      </c>
      <c r="W215">
        <v>100215</v>
      </c>
      <c r="X215">
        <v>215</v>
      </c>
      <c r="Y215" t="b">
        <f t="shared" si="3"/>
        <v>1</v>
      </c>
      <c r="Z215" t="b">
        <f>COUNTBLANK(metadata!B215:R215)=COLUMNS(metadata!B215:R215)</f>
        <v>1</v>
      </c>
      <c r="AA215" t="str">
        <v/>
      </c>
      <c r="AC215" t="b">
        <f ca="1"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AD215" t="b">
        <f>IF(metadata!C215="",FALSE,ISNUMBER(VALUE(metadata!C215)))</f>
        <v>0</v>
      </c>
      <c r="AE215" t="b">
        <f>AND(IF(metadata!D215="",FALSE,TRUE),EXACT(metadata!D215,"years"))</f>
        <v>0</v>
      </c>
      <c r="AF215" t="b">
        <f>OR(AND(IF(metadata!E215="",FALSE,TRUE),OR(EXACT(metadata!E215,"not applicable"),EXACT(metadata!E215,"missing: not collected"),EXACT(metadata!E215,"missing: not provided"),EXACT(metadata!E215,"missing: restricted access"))),AND(IF(metadata!E215="",FALSE,ISNUMBER(VALUE(metadata!E215))),metadata!E215&gt;0))</f>
        <v>0</v>
      </c>
      <c r="AG215" t="b">
        <f>AND(IF(metadata!F215="",FALSE,TRUE),EXACT(metadata!F215,"Not applicable"))</f>
        <v>0</v>
      </c>
      <c r="AH215" t="b">
        <f>AND(IF(metadata!G215="",FALSE,TRUE),EXACT(metadata!G215,"urban biome"))</f>
        <v>0</v>
      </c>
      <c r="AI215" t="b">
        <f>AND(IF(metadata!H215="",FALSE,TRUE),EXACT(metadata!H215,"human-associated habitat"))</f>
        <v>0</v>
      </c>
      <c r="AJ215" t="b">
        <f>AND(IF(metadata!I215="",FALSE,TRUE),OR(EXACT(metadata!I215,"human-associated"),EXACT(metadata!I215,"human-skin"),EXACT(metadata!I215,"human-oral"),EXACT(metadata!I215,"human-gut"),EXACT(metadata!I215,"human-vaginal")))</f>
        <v>0</v>
      </c>
      <c r="AK215" t="b">
        <f>IF(metadata!J215="",FALSE,ISNUMBER(VALUE(metadata!J215)))</f>
        <v>0</v>
      </c>
      <c r="AL215" t="b">
        <f>AND(IF(metadata!K215="",FALSE,TRUE),EXACT(metadata!K215,"cm"))</f>
        <v>0</v>
      </c>
      <c r="AM215" t="b">
        <f>AND(IF(metadata!L215="",FALSE,TRUE),EXACT(metadata!L215,"human"))</f>
        <v>0</v>
      </c>
      <c r="AN215" t="b">
        <f>AND(IF(metadata!M215="",FALSE,TRUE),EXACT(metadata!M215,"Homo sapiens"))</f>
        <v>0</v>
      </c>
      <c r="AO215" t="b">
        <f>AND(IF(metadata!N215="",FALSE,TRUE),EXACT(metadata!N215,"9606"))</f>
        <v>0</v>
      </c>
      <c r="AP215" t="b">
        <f>IF(metadata!O215="",FALSE,TRUE)</f>
        <v>0</v>
      </c>
      <c r="AQ215" t="b">
        <f>IF(metadata!P215="",FALSE,TRUE)</f>
        <v>0</v>
      </c>
      <c r="AR215" t="b">
        <f>IF(metadata!Q215="",FALSE,ISNUMBER(VALUE(metadata!Q215)))</f>
        <v>0</v>
      </c>
      <c r="AS215" t="b">
        <f>AND(IF(metadata!R215="",FALSE,TRUE),EXACT(metadata!R215,"kg"))</f>
        <v>0</v>
      </c>
    </row>
    <row r="216" spans="1:45" x14ac:dyDescent="0.2">
      <c r="A216" s="5" t="str">
        <f ca="1">IF(B216=" "," ",HYPERLINK(CONCATENATE("#metadata!",ADDRESS(INDEX($X$2:$X$1001,MATCH(ROWS($V$2:V216),$V$2:$V$1001,0),0),1)),INDEX($AA$2:$AA$1001,MATCH(ROWS($V$2:V216),$V$2:$V$1001,0),0)))</f>
        <v xml:space="preserve"> </v>
      </c>
      <c r="B216" s="4" t="str">
        <f ca="1">IF(OR(INDEX($W$2:$W$1001,MATCH(ROWS($V$2:V216),$V$2:$V$1001,0),1)&gt;=100000,INDEX($AC$1005:$AS$1005,1,MATCH(COLUMNS($AC$1006:AC1006),$AC$1006:$AS$1006,0))&gt;=100000), " ",IF(INDEX($AC$2:$AS$1001,MATCH(ROWS($V$2:V216),$V$2:$V$1001,0),MATCH(COLUMNS($AC$1006:AC1006),$AC$1006:$AS$1006,0)), HYPERLINK("#",""), HYPERLINK(CONCATENATE("#metadata!", ADDRESS(INDEX($X$2:$X$1001,MATCH(ROWS($V$2:V216),$V$2:$V$1001,0),0), INDEX($AC$1004:$AS$1004,1,MATCH(COLUMNS($AC$1006:AC1006),$AC$1006:$AS$1006,0)))),"Fix")))</f>
        <v xml:space="preserve"> </v>
      </c>
      <c r="C216" s="4" t="str">
        <f ca="1">IF(OR(INDEX($W$2:$W$1001,MATCH(ROWS($V$2:V216),$V$2:$V$1001,0),1)&gt;=100000,INDEX($AC$1005:$AS$1005,1,MATCH(COLUMNS($AC$1006:AD1006),$AC$1006:$AS$1006,0))&gt;=100000), " ",IF(INDEX($AC$2:$AS$1001,MATCH(ROWS($V$2:V216),$V$2:$V$1001,0),MATCH(COLUMNS($AC$1006:AD1006),$AC$1006:$AS$1006,0)), HYPERLINK("#",""), HYPERLINK(CONCATENATE("#metadata!", ADDRESS(INDEX($X$2:$X$1001,MATCH(ROWS($V$2:V216),$V$2:$V$1001,0),0), INDEX($AC$1004:$AS$1004,1,MATCH(COLUMNS($AC$1006:AD1006),$AC$1006:$AS$1006,0)))),"Fix")))</f>
        <v xml:space="preserve"> </v>
      </c>
      <c r="D216" s="4" t="str">
        <f ca="1">IF(OR(INDEX($W$2:$W$1001,MATCH(ROWS($V$2:V216),$V$2:$V$1001,0),1)&gt;=100000,INDEX($AC$1005:$AS$1005,1,MATCH(COLUMNS($AC$1006:AE1006),$AC$1006:$AS$1006,0))&gt;=100000), " ",IF(INDEX($AC$2:$AS$1001,MATCH(ROWS($V$2:V216),$V$2:$V$1001,0),MATCH(COLUMNS($AC$1006:AE1006),$AC$1006:$AS$1006,0)), HYPERLINK("#",""), HYPERLINK(CONCATENATE("#metadata!", ADDRESS(INDEX($X$2:$X$1001,MATCH(ROWS($V$2:V216),$V$2:$V$1001,0),0), INDEX($AC$1004:$AS$1004,1,MATCH(COLUMNS($AC$1006:AE1006),$AC$1006:$AS$1006,0)))),"Fix")))</f>
        <v xml:space="preserve"> </v>
      </c>
      <c r="E216" s="4" t="str">
        <f ca="1">IF(OR(INDEX($W$2:$W$1001,MATCH(ROWS($V$2:V216),$V$2:$V$1001,0),1)&gt;=100000,INDEX($AC$1005:$AS$1005,1,MATCH(COLUMNS($AC$1006:AF1006),$AC$1006:$AS$1006,0))&gt;=100000), " ",IF(INDEX($AC$2:$AS$1001,MATCH(ROWS($V$2:V216),$V$2:$V$1001,0),MATCH(COLUMNS($AC$1006:AF1006),$AC$1006:$AS$1006,0)), HYPERLINK("#",""), HYPERLINK(CONCATENATE("#metadata!", ADDRESS(INDEX($X$2:$X$1001,MATCH(ROWS($V$2:V216),$V$2:$V$1001,0),0), INDEX($AC$1004:$AS$1004,1,MATCH(COLUMNS($AC$1006:AF1006),$AC$1006:$AS$1006,0)))),"Fix")))</f>
        <v xml:space="preserve"> </v>
      </c>
      <c r="F216" s="4" t="str">
        <f ca="1">IF(OR(INDEX($W$2:$W$1001,MATCH(ROWS($V$2:V216),$V$2:$V$1001,0),1)&gt;=100000,INDEX($AC$1005:$AS$1005,1,MATCH(COLUMNS($AC$1006:AG1006),$AC$1006:$AS$1006,0))&gt;=100000), " ",IF(INDEX($AC$2:$AS$1001,MATCH(ROWS($V$2:V216),$V$2:$V$1001,0),MATCH(COLUMNS($AC$1006:AG1006),$AC$1006:$AS$1006,0)), HYPERLINK("#",""), HYPERLINK(CONCATENATE("#metadata!", ADDRESS(INDEX($X$2:$X$1001,MATCH(ROWS($V$2:V216),$V$2:$V$1001,0),0), INDEX($AC$1004:$AS$1004,1,MATCH(COLUMNS($AC$1006:AG1006),$AC$1006:$AS$1006,0)))),"Fix")))</f>
        <v xml:space="preserve"> </v>
      </c>
      <c r="G216" s="4" t="str">
        <f ca="1">IF(OR(INDEX($W$2:$W$1001,MATCH(ROWS($V$2:V216),$V$2:$V$1001,0),1)&gt;=100000,INDEX($AC$1005:$AS$1005,1,MATCH(COLUMNS($AC$1006:AH1006),$AC$1006:$AS$1006,0))&gt;=100000), " ",IF(INDEX($AC$2:$AS$1001,MATCH(ROWS($V$2:V216),$V$2:$V$1001,0),MATCH(COLUMNS($AC$1006:AH1006),$AC$1006:$AS$1006,0)), HYPERLINK("#",""), HYPERLINK(CONCATENATE("#metadata!", ADDRESS(INDEX($X$2:$X$1001,MATCH(ROWS($V$2:V216),$V$2:$V$1001,0),0), INDEX($AC$1004:$AS$1004,1,MATCH(COLUMNS($AC$1006:AH1006),$AC$1006:$AS$1006,0)))),"Fix")))</f>
        <v xml:space="preserve"> </v>
      </c>
      <c r="H216" s="4" t="str">
        <f ca="1">IF(OR(INDEX($W$2:$W$1001,MATCH(ROWS($V$2:V216),$V$2:$V$1001,0),1)&gt;=100000,INDEX($AC$1005:$AS$1005,1,MATCH(COLUMNS($AC$1006:AI1006),$AC$1006:$AS$1006,0))&gt;=100000), " ",IF(INDEX($AC$2:$AS$1001,MATCH(ROWS($V$2:V216),$V$2:$V$1001,0),MATCH(COLUMNS($AC$1006:AI1006),$AC$1006:$AS$1006,0)), HYPERLINK("#",""), HYPERLINK(CONCATENATE("#metadata!", ADDRESS(INDEX($X$2:$X$1001,MATCH(ROWS($V$2:V216),$V$2:$V$1001,0),0), INDEX($AC$1004:$AS$1004,1,MATCH(COLUMNS($AC$1006:AI1006),$AC$1006:$AS$1006,0)))),"Fix")))</f>
        <v xml:space="preserve"> </v>
      </c>
      <c r="I216" s="4" t="str">
        <f ca="1">IF(OR(INDEX($W$2:$W$1001,MATCH(ROWS($V$2:V216),$V$2:$V$1001,0),1)&gt;=100000,INDEX($AC$1005:$AS$1005,1,MATCH(COLUMNS($AC$1006:AJ1006),$AC$1006:$AS$1006,0))&gt;=100000), " ",IF(INDEX($AC$2:$AS$1001,MATCH(ROWS($V$2:V216),$V$2:$V$1001,0),MATCH(COLUMNS($AC$1006:AJ1006),$AC$1006:$AS$1006,0)), HYPERLINK("#",""), HYPERLINK(CONCATENATE("#metadata!", ADDRESS(INDEX($X$2:$X$1001,MATCH(ROWS($V$2:V216),$V$2:$V$1001,0),0), INDEX($AC$1004:$AS$1004,1,MATCH(COLUMNS($AC$1006:AJ1006),$AC$1006:$AS$1006,0)))),"Fix")))</f>
        <v xml:space="preserve"> </v>
      </c>
      <c r="J216" s="4" t="str">
        <f ca="1">IF(OR(INDEX($W$2:$W$1001,MATCH(ROWS($V$2:V216),$V$2:$V$1001,0),1)&gt;=100000,INDEX($AC$1005:$AS$1005,1,MATCH(COLUMNS($AC$1006:AK1006),$AC$1006:$AS$1006,0))&gt;=100000), " ",IF(INDEX($AC$2:$AS$1001,MATCH(ROWS($V$2:V216),$V$2:$V$1001,0),MATCH(COLUMNS($AC$1006:AK1006),$AC$1006:$AS$1006,0)), HYPERLINK("#",""), HYPERLINK(CONCATENATE("#metadata!", ADDRESS(INDEX($X$2:$X$1001,MATCH(ROWS($V$2:V216),$V$2:$V$1001,0),0), INDEX($AC$1004:$AS$1004,1,MATCH(COLUMNS($AC$1006:AK1006),$AC$1006:$AS$1006,0)))),"Fix")))</f>
        <v xml:space="preserve"> </v>
      </c>
      <c r="K216" s="4" t="str">
        <f ca="1">IF(OR(INDEX($W$2:$W$1001,MATCH(ROWS($V$2:V216),$V$2:$V$1001,0),1)&gt;=100000,INDEX($AC$1005:$AS$1005,1,MATCH(COLUMNS($AC$1006:AL1006),$AC$1006:$AS$1006,0))&gt;=100000), " ",IF(INDEX($AC$2:$AS$1001,MATCH(ROWS($V$2:V216),$V$2:$V$1001,0),MATCH(COLUMNS($AC$1006:AL1006),$AC$1006:$AS$1006,0)), HYPERLINK("#",""), HYPERLINK(CONCATENATE("#metadata!", ADDRESS(INDEX($X$2:$X$1001,MATCH(ROWS($V$2:V216),$V$2:$V$1001,0),0), INDEX($AC$1004:$AS$1004,1,MATCH(COLUMNS($AC$1006:AL1006),$AC$1006:$AS$1006,0)))),"Fix")))</f>
        <v xml:space="preserve"> </v>
      </c>
      <c r="L216" s="4" t="str">
        <f ca="1">IF(OR(INDEX($W$2:$W$1001,MATCH(ROWS($V$2:V216),$V$2:$V$1001,0),1)&gt;=100000,INDEX($AC$1005:$AS$1005,1,MATCH(COLUMNS($AC$1006:AM1006),$AC$1006:$AS$1006,0))&gt;=100000), " ",IF(INDEX($AC$2:$AS$1001,MATCH(ROWS($V$2:V216),$V$2:$V$1001,0),MATCH(COLUMNS($AC$1006:AM1006),$AC$1006:$AS$1006,0)), HYPERLINK("#",""), HYPERLINK(CONCATENATE("#metadata!", ADDRESS(INDEX($X$2:$X$1001,MATCH(ROWS($V$2:V216),$V$2:$V$1001,0),0), INDEX($AC$1004:$AS$1004,1,MATCH(COLUMNS($AC$1006:AM1006),$AC$1006:$AS$1006,0)))),"Fix")))</f>
        <v xml:space="preserve"> </v>
      </c>
      <c r="M216" s="4" t="str">
        <f ca="1">IF(OR(INDEX($W$2:$W$1001,MATCH(ROWS($V$2:V216),$V$2:$V$1001,0),1)&gt;=100000,INDEX($AC$1005:$AS$1005,1,MATCH(COLUMNS($AC$1006:AN1006),$AC$1006:$AS$1006,0))&gt;=100000), " ",IF(INDEX($AC$2:$AS$1001,MATCH(ROWS($V$2:V216),$V$2:$V$1001,0),MATCH(COLUMNS($AC$1006:AN1006),$AC$1006:$AS$1006,0)), HYPERLINK("#",""), HYPERLINK(CONCATENATE("#metadata!", ADDRESS(INDEX($X$2:$X$1001,MATCH(ROWS($V$2:V216),$V$2:$V$1001,0),0), INDEX($AC$1004:$AS$1004,1,MATCH(COLUMNS($AC$1006:AN1006),$AC$1006:$AS$1006,0)))),"Fix")))</f>
        <v xml:space="preserve"> </v>
      </c>
      <c r="N216" s="4" t="str">
        <f ca="1">IF(OR(INDEX($W$2:$W$1001,MATCH(ROWS($V$2:V216),$V$2:$V$1001,0),1)&gt;=100000,INDEX($AC$1005:$AS$1005,1,MATCH(COLUMNS($AC$1006:AO1006),$AC$1006:$AS$1006,0))&gt;=100000), " ",IF(INDEX($AC$2:$AS$1001,MATCH(ROWS($V$2:V216),$V$2:$V$1001,0),MATCH(COLUMNS($AC$1006:AO1006),$AC$1006:$AS$1006,0)), HYPERLINK("#",""), HYPERLINK(CONCATENATE("#metadata!", ADDRESS(INDEX($X$2:$X$1001,MATCH(ROWS($V$2:V216),$V$2:$V$1001,0),0), INDEX($AC$1004:$AS$1004,1,MATCH(COLUMNS($AC$1006:AO1006),$AC$1006:$AS$1006,0)))),"Fix")))</f>
        <v xml:space="preserve"> </v>
      </c>
      <c r="O216" s="4" t="str">
        <f ca="1">IF(OR(INDEX($W$2:$W$1001,MATCH(ROWS($V$2:V216),$V$2:$V$1001,0),1)&gt;=100000,INDEX($AC$1005:$AS$1005,1,MATCH(COLUMNS($AC$1006:AP1006),$AC$1006:$AS$1006,0))&gt;=100000), " ",IF(INDEX($AC$2:$AS$1001,MATCH(ROWS($V$2:V216),$V$2:$V$1001,0),MATCH(COLUMNS($AC$1006:AP1006),$AC$1006:$AS$1006,0)), HYPERLINK("#",""), HYPERLINK(CONCATENATE("#metadata!", ADDRESS(INDEX($X$2:$X$1001,MATCH(ROWS($V$2:V216),$V$2:$V$1001,0),0), INDEX($AC$1004:$AS$1004,1,MATCH(COLUMNS($AC$1006:AP1006),$AC$1006:$AS$1006,0)))),"Fix")))</f>
        <v xml:space="preserve"> </v>
      </c>
      <c r="P216" s="4" t="str">
        <f ca="1">IF(OR(INDEX($W$2:$W$1001,MATCH(ROWS($V$2:V216),$V$2:$V$1001,0),1)&gt;=100000,INDEX($AC$1005:$AS$1005,1,MATCH(COLUMNS($AC$1006:AQ1006),$AC$1006:$AS$1006,0))&gt;=100000), " ",IF(INDEX($AC$2:$AS$1001,MATCH(ROWS($V$2:V216),$V$2:$V$1001,0),MATCH(COLUMNS($AC$1006:AQ1006),$AC$1006:$AS$1006,0)), HYPERLINK("#",""), HYPERLINK(CONCATENATE("#metadata!", ADDRESS(INDEX($X$2:$X$1001,MATCH(ROWS($V$2:V216),$V$2:$V$1001,0),0), INDEX($AC$1004:$AS$1004,1,MATCH(COLUMNS($AC$1006:AQ1006),$AC$1006:$AS$1006,0)))),"Fix")))</f>
        <v xml:space="preserve"> </v>
      </c>
      <c r="Q216" s="4" t="str">
        <f ca="1">IF(OR(INDEX($W$2:$W$1001,MATCH(ROWS($V$2:V216),$V$2:$V$1001,0),1)&gt;=100000,INDEX($AC$1005:$AS$1005,1,MATCH(COLUMNS($AC$1006:AR1006),$AC$1006:$AS$1006,0))&gt;=100000), " ",IF(INDEX($AC$2:$AS$1001,MATCH(ROWS($V$2:V216),$V$2:$V$1001,0),MATCH(COLUMNS($AC$1006:AR1006),$AC$1006:$AS$1006,0)), HYPERLINK("#",""), HYPERLINK(CONCATENATE("#metadata!", ADDRESS(INDEX($X$2:$X$1001,MATCH(ROWS($V$2:V216),$V$2:$V$1001,0),0), INDEX($AC$1004:$AS$1004,1,MATCH(COLUMNS($AC$1006:AR1006),$AC$1006:$AS$1006,0)))),"Fix")))</f>
        <v xml:space="preserve"> </v>
      </c>
      <c r="R216" s="4" t="str">
        <f ca="1">IF(OR(INDEX($W$2:$W$1001,MATCH(ROWS($V$2:V216),$V$2:$V$1001,0),1)&gt;=100000,INDEX($AC$1005:$AS$1005,1,MATCH(COLUMNS($AC$1006:AS1006),$AC$1006:$AS$1006,0))&gt;=100000), " ",IF(INDEX($AC$2:$AS$1001,MATCH(ROWS($V$2:V216),$V$2:$V$1001,0),MATCH(COLUMNS($AC$1006:AS1006),$AC$1006:$AS$1006,0)), HYPERLINK("#",""), HYPERLINK(CONCATENATE("#metadata!", ADDRESS(INDEX($X$2:$X$1001,MATCH(ROWS($V$2:V216),$V$2:$V$1001,0),0), INDEX($AC$1004:$AS$1004,1,MATCH(COLUMNS($AC$1006:AS1006),$AC$1006:$AS$1006,0)))),"Fix")))</f>
        <v xml:space="preserve"> </v>
      </c>
      <c r="V216">
        <v>215</v>
      </c>
      <c r="W216">
        <v>100216</v>
      </c>
      <c r="X216">
        <v>216</v>
      </c>
      <c r="Y216" t="b">
        <f t="shared" si="3"/>
        <v>1</v>
      </c>
      <c r="Z216" t="b">
        <f>COUNTBLANK(metadata!B216:R216)=COLUMNS(metadata!B216:R216)</f>
        <v>1</v>
      </c>
      <c r="AA216" t="str">
        <v/>
      </c>
      <c r="AC216" t="b">
        <f ca="1"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AD216" t="b">
        <f>IF(metadata!C216="",FALSE,ISNUMBER(VALUE(metadata!C216)))</f>
        <v>0</v>
      </c>
      <c r="AE216" t="b">
        <f>AND(IF(metadata!D216="",FALSE,TRUE),EXACT(metadata!D216,"years"))</f>
        <v>0</v>
      </c>
      <c r="AF216" t="b">
        <f>OR(AND(IF(metadata!E216="",FALSE,TRUE),OR(EXACT(metadata!E216,"not applicable"),EXACT(metadata!E216,"missing: not collected"),EXACT(metadata!E216,"missing: not provided"),EXACT(metadata!E216,"missing: restricted access"))),AND(IF(metadata!E216="",FALSE,ISNUMBER(VALUE(metadata!E216))),metadata!E216&gt;0))</f>
        <v>0</v>
      </c>
      <c r="AG216" t="b">
        <f>AND(IF(metadata!F216="",FALSE,TRUE),EXACT(metadata!F216,"Not applicable"))</f>
        <v>0</v>
      </c>
      <c r="AH216" t="b">
        <f>AND(IF(metadata!G216="",FALSE,TRUE),EXACT(metadata!G216,"urban biome"))</f>
        <v>0</v>
      </c>
      <c r="AI216" t="b">
        <f>AND(IF(metadata!H216="",FALSE,TRUE),EXACT(metadata!H216,"human-associated habitat"))</f>
        <v>0</v>
      </c>
      <c r="AJ216" t="b">
        <f>AND(IF(metadata!I216="",FALSE,TRUE),OR(EXACT(metadata!I216,"human-associated"),EXACT(metadata!I216,"human-skin"),EXACT(metadata!I216,"human-oral"),EXACT(metadata!I216,"human-gut"),EXACT(metadata!I216,"human-vaginal")))</f>
        <v>0</v>
      </c>
      <c r="AK216" t="b">
        <f>IF(metadata!J216="",FALSE,ISNUMBER(VALUE(metadata!J216)))</f>
        <v>0</v>
      </c>
      <c r="AL216" t="b">
        <f>AND(IF(metadata!K216="",FALSE,TRUE),EXACT(metadata!K216,"cm"))</f>
        <v>0</v>
      </c>
      <c r="AM216" t="b">
        <f>AND(IF(metadata!L216="",FALSE,TRUE),EXACT(metadata!L216,"human"))</f>
        <v>0</v>
      </c>
      <c r="AN216" t="b">
        <f>AND(IF(metadata!M216="",FALSE,TRUE),EXACT(metadata!M216,"Homo sapiens"))</f>
        <v>0</v>
      </c>
      <c r="AO216" t="b">
        <f>AND(IF(metadata!N216="",FALSE,TRUE),EXACT(metadata!N216,"9606"))</f>
        <v>0</v>
      </c>
      <c r="AP216" t="b">
        <f>IF(metadata!O216="",FALSE,TRUE)</f>
        <v>0</v>
      </c>
      <c r="AQ216" t="b">
        <f>IF(metadata!P216="",FALSE,TRUE)</f>
        <v>0</v>
      </c>
      <c r="AR216" t="b">
        <f>IF(metadata!Q216="",FALSE,ISNUMBER(VALUE(metadata!Q216)))</f>
        <v>0</v>
      </c>
      <c r="AS216" t="b">
        <f>AND(IF(metadata!R216="",FALSE,TRUE),EXACT(metadata!R216,"kg"))</f>
        <v>0</v>
      </c>
    </row>
    <row r="217" spans="1:45" x14ac:dyDescent="0.2">
      <c r="A217" s="5" t="str">
        <f ca="1">IF(B217=" "," ",HYPERLINK(CONCATENATE("#metadata!",ADDRESS(INDEX($X$2:$X$1001,MATCH(ROWS($V$2:V217),$V$2:$V$1001,0),0),1)),INDEX($AA$2:$AA$1001,MATCH(ROWS($V$2:V217),$V$2:$V$1001,0),0)))</f>
        <v xml:space="preserve"> </v>
      </c>
      <c r="B217" s="4" t="str">
        <f ca="1">IF(OR(INDEX($W$2:$W$1001,MATCH(ROWS($V$2:V217),$V$2:$V$1001,0),1)&gt;=100000,INDEX($AC$1005:$AS$1005,1,MATCH(COLUMNS($AC$1006:AC1006),$AC$1006:$AS$1006,0))&gt;=100000), " ",IF(INDEX($AC$2:$AS$1001,MATCH(ROWS($V$2:V217),$V$2:$V$1001,0),MATCH(COLUMNS($AC$1006:AC1006),$AC$1006:$AS$1006,0)), HYPERLINK("#",""), HYPERLINK(CONCATENATE("#metadata!", ADDRESS(INDEX($X$2:$X$1001,MATCH(ROWS($V$2:V217),$V$2:$V$1001,0),0), INDEX($AC$1004:$AS$1004,1,MATCH(COLUMNS($AC$1006:AC1006),$AC$1006:$AS$1006,0)))),"Fix")))</f>
        <v xml:space="preserve"> </v>
      </c>
      <c r="C217" s="4" t="str">
        <f ca="1">IF(OR(INDEX($W$2:$W$1001,MATCH(ROWS($V$2:V217),$V$2:$V$1001,0),1)&gt;=100000,INDEX($AC$1005:$AS$1005,1,MATCH(COLUMNS($AC$1006:AD1006),$AC$1006:$AS$1006,0))&gt;=100000), " ",IF(INDEX($AC$2:$AS$1001,MATCH(ROWS($V$2:V217),$V$2:$V$1001,0),MATCH(COLUMNS($AC$1006:AD1006),$AC$1006:$AS$1006,0)), HYPERLINK("#",""), HYPERLINK(CONCATENATE("#metadata!", ADDRESS(INDEX($X$2:$X$1001,MATCH(ROWS($V$2:V217),$V$2:$V$1001,0),0), INDEX($AC$1004:$AS$1004,1,MATCH(COLUMNS($AC$1006:AD1006),$AC$1006:$AS$1006,0)))),"Fix")))</f>
        <v xml:space="preserve"> </v>
      </c>
      <c r="D217" s="4" t="str">
        <f ca="1">IF(OR(INDEX($W$2:$W$1001,MATCH(ROWS($V$2:V217),$V$2:$V$1001,0),1)&gt;=100000,INDEX($AC$1005:$AS$1005,1,MATCH(COLUMNS($AC$1006:AE1006),$AC$1006:$AS$1006,0))&gt;=100000), " ",IF(INDEX($AC$2:$AS$1001,MATCH(ROWS($V$2:V217),$V$2:$V$1001,0),MATCH(COLUMNS($AC$1006:AE1006),$AC$1006:$AS$1006,0)), HYPERLINK("#",""), HYPERLINK(CONCATENATE("#metadata!", ADDRESS(INDEX($X$2:$X$1001,MATCH(ROWS($V$2:V217),$V$2:$V$1001,0),0), INDEX($AC$1004:$AS$1004,1,MATCH(COLUMNS($AC$1006:AE1006),$AC$1006:$AS$1006,0)))),"Fix")))</f>
        <v xml:space="preserve"> </v>
      </c>
      <c r="E217" s="4" t="str">
        <f ca="1">IF(OR(INDEX($W$2:$W$1001,MATCH(ROWS($V$2:V217),$V$2:$V$1001,0),1)&gt;=100000,INDEX($AC$1005:$AS$1005,1,MATCH(COLUMNS($AC$1006:AF1006),$AC$1006:$AS$1006,0))&gt;=100000), " ",IF(INDEX($AC$2:$AS$1001,MATCH(ROWS($V$2:V217),$V$2:$V$1001,0),MATCH(COLUMNS($AC$1006:AF1006),$AC$1006:$AS$1006,0)), HYPERLINK("#",""), HYPERLINK(CONCATENATE("#metadata!", ADDRESS(INDEX($X$2:$X$1001,MATCH(ROWS($V$2:V217),$V$2:$V$1001,0),0), INDEX($AC$1004:$AS$1004,1,MATCH(COLUMNS($AC$1006:AF1006),$AC$1006:$AS$1006,0)))),"Fix")))</f>
        <v xml:space="preserve"> </v>
      </c>
      <c r="F217" s="4" t="str">
        <f ca="1">IF(OR(INDEX($W$2:$W$1001,MATCH(ROWS($V$2:V217),$V$2:$V$1001,0),1)&gt;=100000,INDEX($AC$1005:$AS$1005,1,MATCH(COLUMNS($AC$1006:AG1006),$AC$1006:$AS$1006,0))&gt;=100000), " ",IF(INDEX($AC$2:$AS$1001,MATCH(ROWS($V$2:V217),$V$2:$V$1001,0),MATCH(COLUMNS($AC$1006:AG1006),$AC$1006:$AS$1006,0)), HYPERLINK("#",""), HYPERLINK(CONCATENATE("#metadata!", ADDRESS(INDEX($X$2:$X$1001,MATCH(ROWS($V$2:V217),$V$2:$V$1001,0),0), INDEX($AC$1004:$AS$1004,1,MATCH(COLUMNS($AC$1006:AG1006),$AC$1006:$AS$1006,0)))),"Fix")))</f>
        <v xml:space="preserve"> </v>
      </c>
      <c r="G217" s="4" t="str">
        <f ca="1">IF(OR(INDEX($W$2:$W$1001,MATCH(ROWS($V$2:V217),$V$2:$V$1001,0),1)&gt;=100000,INDEX($AC$1005:$AS$1005,1,MATCH(COLUMNS($AC$1006:AH1006),$AC$1006:$AS$1006,0))&gt;=100000), " ",IF(INDEX($AC$2:$AS$1001,MATCH(ROWS($V$2:V217),$V$2:$V$1001,0),MATCH(COLUMNS($AC$1006:AH1006),$AC$1006:$AS$1006,0)), HYPERLINK("#",""), HYPERLINK(CONCATENATE("#metadata!", ADDRESS(INDEX($X$2:$X$1001,MATCH(ROWS($V$2:V217),$V$2:$V$1001,0),0), INDEX($AC$1004:$AS$1004,1,MATCH(COLUMNS($AC$1006:AH1006),$AC$1006:$AS$1006,0)))),"Fix")))</f>
        <v xml:space="preserve"> </v>
      </c>
      <c r="H217" s="4" t="str">
        <f ca="1">IF(OR(INDEX($W$2:$W$1001,MATCH(ROWS($V$2:V217),$V$2:$V$1001,0),1)&gt;=100000,INDEX($AC$1005:$AS$1005,1,MATCH(COLUMNS($AC$1006:AI1006),$AC$1006:$AS$1006,0))&gt;=100000), " ",IF(INDEX($AC$2:$AS$1001,MATCH(ROWS($V$2:V217),$V$2:$V$1001,0),MATCH(COLUMNS($AC$1006:AI1006),$AC$1006:$AS$1006,0)), HYPERLINK("#",""), HYPERLINK(CONCATENATE("#metadata!", ADDRESS(INDEX($X$2:$X$1001,MATCH(ROWS($V$2:V217),$V$2:$V$1001,0),0), INDEX($AC$1004:$AS$1004,1,MATCH(COLUMNS($AC$1006:AI1006),$AC$1006:$AS$1006,0)))),"Fix")))</f>
        <v xml:space="preserve"> </v>
      </c>
      <c r="I217" s="4" t="str">
        <f ca="1">IF(OR(INDEX($W$2:$W$1001,MATCH(ROWS($V$2:V217),$V$2:$V$1001,0),1)&gt;=100000,INDEX($AC$1005:$AS$1005,1,MATCH(COLUMNS($AC$1006:AJ1006),$AC$1006:$AS$1006,0))&gt;=100000), " ",IF(INDEX($AC$2:$AS$1001,MATCH(ROWS($V$2:V217),$V$2:$V$1001,0),MATCH(COLUMNS($AC$1006:AJ1006),$AC$1006:$AS$1006,0)), HYPERLINK("#",""), HYPERLINK(CONCATENATE("#metadata!", ADDRESS(INDEX($X$2:$X$1001,MATCH(ROWS($V$2:V217),$V$2:$V$1001,0),0), INDEX($AC$1004:$AS$1004,1,MATCH(COLUMNS($AC$1006:AJ1006),$AC$1006:$AS$1006,0)))),"Fix")))</f>
        <v xml:space="preserve"> </v>
      </c>
      <c r="J217" s="4" t="str">
        <f ca="1">IF(OR(INDEX($W$2:$W$1001,MATCH(ROWS($V$2:V217),$V$2:$V$1001,0),1)&gt;=100000,INDEX($AC$1005:$AS$1005,1,MATCH(COLUMNS($AC$1006:AK1006),$AC$1006:$AS$1006,0))&gt;=100000), " ",IF(INDEX($AC$2:$AS$1001,MATCH(ROWS($V$2:V217),$V$2:$V$1001,0),MATCH(COLUMNS($AC$1006:AK1006),$AC$1006:$AS$1006,0)), HYPERLINK("#",""), HYPERLINK(CONCATENATE("#metadata!", ADDRESS(INDEX($X$2:$X$1001,MATCH(ROWS($V$2:V217),$V$2:$V$1001,0),0), INDEX($AC$1004:$AS$1004,1,MATCH(COLUMNS($AC$1006:AK1006),$AC$1006:$AS$1006,0)))),"Fix")))</f>
        <v xml:space="preserve"> </v>
      </c>
      <c r="K217" s="4" t="str">
        <f ca="1">IF(OR(INDEX($W$2:$W$1001,MATCH(ROWS($V$2:V217),$V$2:$V$1001,0),1)&gt;=100000,INDEX($AC$1005:$AS$1005,1,MATCH(COLUMNS($AC$1006:AL1006),$AC$1006:$AS$1006,0))&gt;=100000), " ",IF(INDEX($AC$2:$AS$1001,MATCH(ROWS($V$2:V217),$V$2:$V$1001,0),MATCH(COLUMNS($AC$1006:AL1006),$AC$1006:$AS$1006,0)), HYPERLINK("#",""), HYPERLINK(CONCATENATE("#metadata!", ADDRESS(INDEX($X$2:$X$1001,MATCH(ROWS($V$2:V217),$V$2:$V$1001,0),0), INDEX($AC$1004:$AS$1004,1,MATCH(COLUMNS($AC$1006:AL1006),$AC$1006:$AS$1006,0)))),"Fix")))</f>
        <v xml:space="preserve"> </v>
      </c>
      <c r="L217" s="4" t="str">
        <f ca="1">IF(OR(INDEX($W$2:$W$1001,MATCH(ROWS($V$2:V217),$V$2:$V$1001,0),1)&gt;=100000,INDEX($AC$1005:$AS$1005,1,MATCH(COLUMNS($AC$1006:AM1006),$AC$1006:$AS$1006,0))&gt;=100000), " ",IF(INDEX($AC$2:$AS$1001,MATCH(ROWS($V$2:V217),$V$2:$V$1001,0),MATCH(COLUMNS($AC$1006:AM1006),$AC$1006:$AS$1006,0)), HYPERLINK("#",""), HYPERLINK(CONCATENATE("#metadata!", ADDRESS(INDEX($X$2:$X$1001,MATCH(ROWS($V$2:V217),$V$2:$V$1001,0),0), INDEX($AC$1004:$AS$1004,1,MATCH(COLUMNS($AC$1006:AM1006),$AC$1006:$AS$1006,0)))),"Fix")))</f>
        <v xml:space="preserve"> </v>
      </c>
      <c r="M217" s="4" t="str">
        <f ca="1">IF(OR(INDEX($W$2:$W$1001,MATCH(ROWS($V$2:V217),$V$2:$V$1001,0),1)&gt;=100000,INDEX($AC$1005:$AS$1005,1,MATCH(COLUMNS($AC$1006:AN1006),$AC$1006:$AS$1006,0))&gt;=100000), " ",IF(INDEX($AC$2:$AS$1001,MATCH(ROWS($V$2:V217),$V$2:$V$1001,0),MATCH(COLUMNS($AC$1006:AN1006),$AC$1006:$AS$1006,0)), HYPERLINK("#",""), HYPERLINK(CONCATENATE("#metadata!", ADDRESS(INDEX($X$2:$X$1001,MATCH(ROWS($V$2:V217),$V$2:$V$1001,0),0), INDEX($AC$1004:$AS$1004,1,MATCH(COLUMNS($AC$1006:AN1006),$AC$1006:$AS$1006,0)))),"Fix")))</f>
        <v xml:space="preserve"> </v>
      </c>
      <c r="N217" s="4" t="str">
        <f ca="1">IF(OR(INDEX($W$2:$W$1001,MATCH(ROWS($V$2:V217),$V$2:$V$1001,0),1)&gt;=100000,INDEX($AC$1005:$AS$1005,1,MATCH(COLUMNS($AC$1006:AO1006),$AC$1006:$AS$1006,0))&gt;=100000), " ",IF(INDEX($AC$2:$AS$1001,MATCH(ROWS($V$2:V217),$V$2:$V$1001,0),MATCH(COLUMNS($AC$1006:AO1006),$AC$1006:$AS$1006,0)), HYPERLINK("#",""), HYPERLINK(CONCATENATE("#metadata!", ADDRESS(INDEX($X$2:$X$1001,MATCH(ROWS($V$2:V217),$V$2:$V$1001,0),0), INDEX($AC$1004:$AS$1004,1,MATCH(COLUMNS($AC$1006:AO1006),$AC$1006:$AS$1006,0)))),"Fix")))</f>
        <v xml:space="preserve"> </v>
      </c>
      <c r="O217" s="4" t="str">
        <f ca="1">IF(OR(INDEX($W$2:$W$1001,MATCH(ROWS($V$2:V217),$V$2:$V$1001,0),1)&gt;=100000,INDEX($AC$1005:$AS$1005,1,MATCH(COLUMNS($AC$1006:AP1006),$AC$1006:$AS$1006,0))&gt;=100000), " ",IF(INDEX($AC$2:$AS$1001,MATCH(ROWS($V$2:V217),$V$2:$V$1001,0),MATCH(COLUMNS($AC$1006:AP1006),$AC$1006:$AS$1006,0)), HYPERLINK("#",""), HYPERLINK(CONCATENATE("#metadata!", ADDRESS(INDEX($X$2:$X$1001,MATCH(ROWS($V$2:V217),$V$2:$V$1001,0),0), INDEX($AC$1004:$AS$1004,1,MATCH(COLUMNS($AC$1006:AP1006),$AC$1006:$AS$1006,0)))),"Fix")))</f>
        <v xml:space="preserve"> </v>
      </c>
      <c r="P217" s="4" t="str">
        <f ca="1">IF(OR(INDEX($W$2:$W$1001,MATCH(ROWS($V$2:V217),$V$2:$V$1001,0),1)&gt;=100000,INDEX($AC$1005:$AS$1005,1,MATCH(COLUMNS($AC$1006:AQ1006),$AC$1006:$AS$1006,0))&gt;=100000), " ",IF(INDEX($AC$2:$AS$1001,MATCH(ROWS($V$2:V217),$V$2:$V$1001,0),MATCH(COLUMNS($AC$1006:AQ1006),$AC$1006:$AS$1006,0)), HYPERLINK("#",""), HYPERLINK(CONCATENATE("#metadata!", ADDRESS(INDEX($X$2:$X$1001,MATCH(ROWS($V$2:V217),$V$2:$V$1001,0),0), INDEX($AC$1004:$AS$1004,1,MATCH(COLUMNS($AC$1006:AQ1006),$AC$1006:$AS$1006,0)))),"Fix")))</f>
        <v xml:space="preserve"> </v>
      </c>
      <c r="Q217" s="4" t="str">
        <f ca="1">IF(OR(INDEX($W$2:$W$1001,MATCH(ROWS($V$2:V217),$V$2:$V$1001,0),1)&gt;=100000,INDEX($AC$1005:$AS$1005,1,MATCH(COLUMNS($AC$1006:AR1006),$AC$1006:$AS$1006,0))&gt;=100000), " ",IF(INDEX($AC$2:$AS$1001,MATCH(ROWS($V$2:V217),$V$2:$V$1001,0),MATCH(COLUMNS($AC$1006:AR1006),$AC$1006:$AS$1006,0)), HYPERLINK("#",""), HYPERLINK(CONCATENATE("#metadata!", ADDRESS(INDEX($X$2:$X$1001,MATCH(ROWS($V$2:V217),$V$2:$V$1001,0),0), INDEX($AC$1004:$AS$1004,1,MATCH(COLUMNS($AC$1006:AR1006),$AC$1006:$AS$1006,0)))),"Fix")))</f>
        <v xml:space="preserve"> </v>
      </c>
      <c r="R217" s="4" t="str">
        <f ca="1">IF(OR(INDEX($W$2:$W$1001,MATCH(ROWS($V$2:V217),$V$2:$V$1001,0),1)&gt;=100000,INDEX($AC$1005:$AS$1005,1,MATCH(COLUMNS($AC$1006:AS1006),$AC$1006:$AS$1006,0))&gt;=100000), " ",IF(INDEX($AC$2:$AS$1001,MATCH(ROWS($V$2:V217),$V$2:$V$1001,0),MATCH(COLUMNS($AC$1006:AS1006),$AC$1006:$AS$1006,0)), HYPERLINK("#",""), HYPERLINK(CONCATENATE("#metadata!", ADDRESS(INDEX($X$2:$X$1001,MATCH(ROWS($V$2:V217),$V$2:$V$1001,0),0), INDEX($AC$1004:$AS$1004,1,MATCH(COLUMNS($AC$1006:AS1006),$AC$1006:$AS$1006,0)))),"Fix")))</f>
        <v xml:space="preserve"> </v>
      </c>
      <c r="V217">
        <v>216</v>
      </c>
      <c r="W217">
        <v>100217</v>
      </c>
      <c r="X217">
        <v>217</v>
      </c>
      <c r="Y217" t="b">
        <f t="shared" si="3"/>
        <v>1</v>
      </c>
      <c r="Z217" t="b">
        <f>COUNTBLANK(metadata!B217:R217)=COLUMNS(metadata!B217:R217)</f>
        <v>1</v>
      </c>
      <c r="AA217" t="str">
        <v/>
      </c>
      <c r="AC217" t="b">
        <f ca="1"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AD217" t="b">
        <f>IF(metadata!C217="",FALSE,ISNUMBER(VALUE(metadata!C217)))</f>
        <v>0</v>
      </c>
      <c r="AE217" t="b">
        <f>AND(IF(metadata!D217="",FALSE,TRUE),EXACT(metadata!D217,"years"))</f>
        <v>0</v>
      </c>
      <c r="AF217" t="b">
        <f>OR(AND(IF(metadata!E217="",FALSE,TRUE),OR(EXACT(metadata!E217,"not applicable"),EXACT(metadata!E217,"missing: not collected"),EXACT(metadata!E217,"missing: not provided"),EXACT(metadata!E217,"missing: restricted access"))),AND(IF(metadata!E217="",FALSE,ISNUMBER(VALUE(metadata!E217))),metadata!E217&gt;0))</f>
        <v>0</v>
      </c>
      <c r="AG217" t="b">
        <f>AND(IF(metadata!F217="",FALSE,TRUE),EXACT(metadata!F217,"Not applicable"))</f>
        <v>0</v>
      </c>
      <c r="AH217" t="b">
        <f>AND(IF(metadata!G217="",FALSE,TRUE),EXACT(metadata!G217,"urban biome"))</f>
        <v>0</v>
      </c>
      <c r="AI217" t="b">
        <f>AND(IF(metadata!H217="",FALSE,TRUE),EXACT(metadata!H217,"human-associated habitat"))</f>
        <v>0</v>
      </c>
      <c r="AJ217" t="b">
        <f>AND(IF(metadata!I217="",FALSE,TRUE),OR(EXACT(metadata!I217,"human-associated"),EXACT(metadata!I217,"human-skin"),EXACT(metadata!I217,"human-oral"),EXACT(metadata!I217,"human-gut"),EXACT(metadata!I217,"human-vaginal")))</f>
        <v>0</v>
      </c>
      <c r="AK217" t="b">
        <f>IF(metadata!J217="",FALSE,ISNUMBER(VALUE(metadata!J217)))</f>
        <v>0</v>
      </c>
      <c r="AL217" t="b">
        <f>AND(IF(metadata!K217="",FALSE,TRUE),EXACT(metadata!K217,"cm"))</f>
        <v>0</v>
      </c>
      <c r="AM217" t="b">
        <f>AND(IF(metadata!L217="",FALSE,TRUE),EXACT(metadata!L217,"human"))</f>
        <v>0</v>
      </c>
      <c r="AN217" t="b">
        <f>AND(IF(metadata!M217="",FALSE,TRUE),EXACT(metadata!M217,"Homo sapiens"))</f>
        <v>0</v>
      </c>
      <c r="AO217" t="b">
        <f>AND(IF(metadata!N217="",FALSE,TRUE),EXACT(metadata!N217,"9606"))</f>
        <v>0</v>
      </c>
      <c r="AP217" t="b">
        <f>IF(metadata!O217="",FALSE,TRUE)</f>
        <v>0</v>
      </c>
      <c r="AQ217" t="b">
        <f>IF(metadata!P217="",FALSE,TRUE)</f>
        <v>0</v>
      </c>
      <c r="AR217" t="b">
        <f>IF(metadata!Q217="",FALSE,ISNUMBER(VALUE(metadata!Q217)))</f>
        <v>0</v>
      </c>
      <c r="AS217" t="b">
        <f>AND(IF(metadata!R217="",FALSE,TRUE),EXACT(metadata!R217,"kg"))</f>
        <v>0</v>
      </c>
    </row>
    <row r="218" spans="1:45" x14ac:dyDescent="0.2">
      <c r="A218" s="5" t="str">
        <f ca="1">IF(B218=" "," ",HYPERLINK(CONCATENATE("#metadata!",ADDRESS(INDEX($X$2:$X$1001,MATCH(ROWS($V$2:V218),$V$2:$V$1001,0),0),1)),INDEX($AA$2:$AA$1001,MATCH(ROWS($V$2:V218),$V$2:$V$1001,0),0)))</f>
        <v xml:space="preserve"> </v>
      </c>
      <c r="B218" s="4" t="str">
        <f ca="1">IF(OR(INDEX($W$2:$W$1001,MATCH(ROWS($V$2:V218),$V$2:$V$1001,0),1)&gt;=100000,INDEX($AC$1005:$AS$1005,1,MATCH(COLUMNS($AC$1006:AC1006),$AC$1006:$AS$1006,0))&gt;=100000), " ",IF(INDEX($AC$2:$AS$1001,MATCH(ROWS($V$2:V218),$V$2:$V$1001,0),MATCH(COLUMNS($AC$1006:AC1006),$AC$1006:$AS$1006,0)), HYPERLINK("#",""), HYPERLINK(CONCATENATE("#metadata!", ADDRESS(INDEX($X$2:$X$1001,MATCH(ROWS($V$2:V218),$V$2:$V$1001,0),0), INDEX($AC$1004:$AS$1004,1,MATCH(COLUMNS($AC$1006:AC1006),$AC$1006:$AS$1006,0)))),"Fix")))</f>
        <v xml:space="preserve"> </v>
      </c>
      <c r="C218" s="4" t="str">
        <f ca="1">IF(OR(INDEX($W$2:$W$1001,MATCH(ROWS($V$2:V218),$V$2:$V$1001,0),1)&gt;=100000,INDEX($AC$1005:$AS$1005,1,MATCH(COLUMNS($AC$1006:AD1006),$AC$1006:$AS$1006,0))&gt;=100000), " ",IF(INDEX($AC$2:$AS$1001,MATCH(ROWS($V$2:V218),$V$2:$V$1001,0),MATCH(COLUMNS($AC$1006:AD1006),$AC$1006:$AS$1006,0)), HYPERLINK("#",""), HYPERLINK(CONCATENATE("#metadata!", ADDRESS(INDEX($X$2:$X$1001,MATCH(ROWS($V$2:V218),$V$2:$V$1001,0),0), INDEX($AC$1004:$AS$1004,1,MATCH(COLUMNS($AC$1006:AD1006),$AC$1006:$AS$1006,0)))),"Fix")))</f>
        <v xml:space="preserve"> </v>
      </c>
      <c r="D218" s="4" t="str">
        <f ca="1">IF(OR(INDEX($W$2:$W$1001,MATCH(ROWS($V$2:V218),$V$2:$V$1001,0),1)&gt;=100000,INDEX($AC$1005:$AS$1005,1,MATCH(COLUMNS($AC$1006:AE1006),$AC$1006:$AS$1006,0))&gt;=100000), " ",IF(INDEX($AC$2:$AS$1001,MATCH(ROWS($V$2:V218),$V$2:$V$1001,0),MATCH(COLUMNS($AC$1006:AE1006),$AC$1006:$AS$1006,0)), HYPERLINK("#",""), HYPERLINK(CONCATENATE("#metadata!", ADDRESS(INDEX($X$2:$X$1001,MATCH(ROWS($V$2:V218),$V$2:$V$1001,0),0), INDEX($AC$1004:$AS$1004,1,MATCH(COLUMNS($AC$1006:AE1006),$AC$1006:$AS$1006,0)))),"Fix")))</f>
        <v xml:space="preserve"> </v>
      </c>
      <c r="E218" s="4" t="str">
        <f ca="1">IF(OR(INDEX($W$2:$W$1001,MATCH(ROWS($V$2:V218),$V$2:$V$1001,0),1)&gt;=100000,INDEX($AC$1005:$AS$1005,1,MATCH(COLUMNS($AC$1006:AF1006),$AC$1006:$AS$1006,0))&gt;=100000), " ",IF(INDEX($AC$2:$AS$1001,MATCH(ROWS($V$2:V218),$V$2:$V$1001,0),MATCH(COLUMNS($AC$1006:AF1006),$AC$1006:$AS$1006,0)), HYPERLINK("#",""), HYPERLINK(CONCATENATE("#metadata!", ADDRESS(INDEX($X$2:$X$1001,MATCH(ROWS($V$2:V218),$V$2:$V$1001,0),0), INDEX($AC$1004:$AS$1004,1,MATCH(COLUMNS($AC$1006:AF1006),$AC$1006:$AS$1006,0)))),"Fix")))</f>
        <v xml:space="preserve"> </v>
      </c>
      <c r="F218" s="4" t="str">
        <f ca="1">IF(OR(INDEX($W$2:$W$1001,MATCH(ROWS($V$2:V218),$V$2:$V$1001,0),1)&gt;=100000,INDEX($AC$1005:$AS$1005,1,MATCH(COLUMNS($AC$1006:AG1006),$AC$1006:$AS$1006,0))&gt;=100000), " ",IF(INDEX($AC$2:$AS$1001,MATCH(ROWS($V$2:V218),$V$2:$V$1001,0),MATCH(COLUMNS($AC$1006:AG1006),$AC$1006:$AS$1006,0)), HYPERLINK("#",""), HYPERLINK(CONCATENATE("#metadata!", ADDRESS(INDEX($X$2:$X$1001,MATCH(ROWS($V$2:V218),$V$2:$V$1001,0),0), INDEX($AC$1004:$AS$1004,1,MATCH(COLUMNS($AC$1006:AG1006),$AC$1006:$AS$1006,0)))),"Fix")))</f>
        <v xml:space="preserve"> </v>
      </c>
      <c r="G218" s="4" t="str">
        <f ca="1">IF(OR(INDEX($W$2:$W$1001,MATCH(ROWS($V$2:V218),$V$2:$V$1001,0),1)&gt;=100000,INDEX($AC$1005:$AS$1005,1,MATCH(COLUMNS($AC$1006:AH1006),$AC$1006:$AS$1006,0))&gt;=100000), " ",IF(INDEX($AC$2:$AS$1001,MATCH(ROWS($V$2:V218),$V$2:$V$1001,0),MATCH(COLUMNS($AC$1006:AH1006),$AC$1006:$AS$1006,0)), HYPERLINK("#",""), HYPERLINK(CONCATENATE("#metadata!", ADDRESS(INDEX($X$2:$X$1001,MATCH(ROWS($V$2:V218),$V$2:$V$1001,0),0), INDEX($AC$1004:$AS$1004,1,MATCH(COLUMNS($AC$1006:AH1006),$AC$1006:$AS$1006,0)))),"Fix")))</f>
        <v xml:space="preserve"> </v>
      </c>
      <c r="H218" s="4" t="str">
        <f ca="1">IF(OR(INDEX($W$2:$W$1001,MATCH(ROWS($V$2:V218),$V$2:$V$1001,0),1)&gt;=100000,INDEX($AC$1005:$AS$1005,1,MATCH(COLUMNS($AC$1006:AI1006),$AC$1006:$AS$1006,0))&gt;=100000), " ",IF(INDEX($AC$2:$AS$1001,MATCH(ROWS($V$2:V218),$V$2:$V$1001,0),MATCH(COLUMNS($AC$1006:AI1006),$AC$1006:$AS$1006,0)), HYPERLINK("#",""), HYPERLINK(CONCATENATE("#metadata!", ADDRESS(INDEX($X$2:$X$1001,MATCH(ROWS($V$2:V218),$V$2:$V$1001,0),0), INDEX($AC$1004:$AS$1004,1,MATCH(COLUMNS($AC$1006:AI1006),$AC$1006:$AS$1006,0)))),"Fix")))</f>
        <v xml:space="preserve"> </v>
      </c>
      <c r="I218" s="4" t="str">
        <f ca="1">IF(OR(INDEX($W$2:$W$1001,MATCH(ROWS($V$2:V218),$V$2:$V$1001,0),1)&gt;=100000,INDEX($AC$1005:$AS$1005,1,MATCH(COLUMNS($AC$1006:AJ1006),$AC$1006:$AS$1006,0))&gt;=100000), " ",IF(INDEX($AC$2:$AS$1001,MATCH(ROWS($V$2:V218),$V$2:$V$1001,0),MATCH(COLUMNS($AC$1006:AJ1006),$AC$1006:$AS$1006,0)), HYPERLINK("#",""), HYPERLINK(CONCATENATE("#metadata!", ADDRESS(INDEX($X$2:$X$1001,MATCH(ROWS($V$2:V218),$V$2:$V$1001,0),0), INDEX($AC$1004:$AS$1004,1,MATCH(COLUMNS($AC$1006:AJ1006),$AC$1006:$AS$1006,0)))),"Fix")))</f>
        <v xml:space="preserve"> </v>
      </c>
      <c r="J218" s="4" t="str">
        <f ca="1">IF(OR(INDEX($W$2:$W$1001,MATCH(ROWS($V$2:V218),$V$2:$V$1001,0),1)&gt;=100000,INDEX($AC$1005:$AS$1005,1,MATCH(COLUMNS($AC$1006:AK1006),$AC$1006:$AS$1006,0))&gt;=100000), " ",IF(INDEX($AC$2:$AS$1001,MATCH(ROWS($V$2:V218),$V$2:$V$1001,0),MATCH(COLUMNS($AC$1006:AK1006),$AC$1006:$AS$1006,0)), HYPERLINK("#",""), HYPERLINK(CONCATENATE("#metadata!", ADDRESS(INDEX($X$2:$X$1001,MATCH(ROWS($V$2:V218),$V$2:$V$1001,0),0), INDEX($AC$1004:$AS$1004,1,MATCH(COLUMNS($AC$1006:AK1006),$AC$1006:$AS$1006,0)))),"Fix")))</f>
        <v xml:space="preserve"> </v>
      </c>
      <c r="K218" s="4" t="str">
        <f ca="1">IF(OR(INDEX($W$2:$W$1001,MATCH(ROWS($V$2:V218),$V$2:$V$1001,0),1)&gt;=100000,INDEX($AC$1005:$AS$1005,1,MATCH(COLUMNS($AC$1006:AL1006),$AC$1006:$AS$1006,0))&gt;=100000), " ",IF(INDEX($AC$2:$AS$1001,MATCH(ROWS($V$2:V218),$V$2:$V$1001,0),MATCH(COLUMNS($AC$1006:AL1006),$AC$1006:$AS$1006,0)), HYPERLINK("#",""), HYPERLINK(CONCATENATE("#metadata!", ADDRESS(INDEX($X$2:$X$1001,MATCH(ROWS($V$2:V218),$V$2:$V$1001,0),0), INDEX($AC$1004:$AS$1004,1,MATCH(COLUMNS($AC$1006:AL1006),$AC$1006:$AS$1006,0)))),"Fix")))</f>
        <v xml:space="preserve"> </v>
      </c>
      <c r="L218" s="4" t="str">
        <f ca="1">IF(OR(INDEX($W$2:$W$1001,MATCH(ROWS($V$2:V218),$V$2:$V$1001,0),1)&gt;=100000,INDEX($AC$1005:$AS$1005,1,MATCH(COLUMNS($AC$1006:AM1006),$AC$1006:$AS$1006,0))&gt;=100000), " ",IF(INDEX($AC$2:$AS$1001,MATCH(ROWS($V$2:V218),$V$2:$V$1001,0),MATCH(COLUMNS($AC$1006:AM1006),$AC$1006:$AS$1006,0)), HYPERLINK("#",""), HYPERLINK(CONCATENATE("#metadata!", ADDRESS(INDEX($X$2:$X$1001,MATCH(ROWS($V$2:V218),$V$2:$V$1001,0),0), INDEX($AC$1004:$AS$1004,1,MATCH(COLUMNS($AC$1006:AM1006),$AC$1006:$AS$1006,0)))),"Fix")))</f>
        <v xml:space="preserve"> </v>
      </c>
      <c r="M218" s="4" t="str">
        <f ca="1">IF(OR(INDEX($W$2:$W$1001,MATCH(ROWS($V$2:V218),$V$2:$V$1001,0),1)&gt;=100000,INDEX($AC$1005:$AS$1005,1,MATCH(COLUMNS($AC$1006:AN1006),$AC$1006:$AS$1006,0))&gt;=100000), " ",IF(INDEX($AC$2:$AS$1001,MATCH(ROWS($V$2:V218),$V$2:$V$1001,0),MATCH(COLUMNS($AC$1006:AN1006),$AC$1006:$AS$1006,0)), HYPERLINK("#",""), HYPERLINK(CONCATENATE("#metadata!", ADDRESS(INDEX($X$2:$X$1001,MATCH(ROWS($V$2:V218),$V$2:$V$1001,0),0), INDEX($AC$1004:$AS$1004,1,MATCH(COLUMNS($AC$1006:AN1006),$AC$1006:$AS$1006,0)))),"Fix")))</f>
        <v xml:space="preserve"> </v>
      </c>
      <c r="N218" s="4" t="str">
        <f ca="1">IF(OR(INDEX($W$2:$W$1001,MATCH(ROWS($V$2:V218),$V$2:$V$1001,0),1)&gt;=100000,INDEX($AC$1005:$AS$1005,1,MATCH(COLUMNS($AC$1006:AO1006),$AC$1006:$AS$1006,0))&gt;=100000), " ",IF(INDEX($AC$2:$AS$1001,MATCH(ROWS($V$2:V218),$V$2:$V$1001,0),MATCH(COLUMNS($AC$1006:AO1006),$AC$1006:$AS$1006,0)), HYPERLINK("#",""), HYPERLINK(CONCATENATE("#metadata!", ADDRESS(INDEX($X$2:$X$1001,MATCH(ROWS($V$2:V218),$V$2:$V$1001,0),0), INDEX($AC$1004:$AS$1004,1,MATCH(COLUMNS($AC$1006:AO1006),$AC$1006:$AS$1006,0)))),"Fix")))</f>
        <v xml:space="preserve"> </v>
      </c>
      <c r="O218" s="4" t="str">
        <f ca="1">IF(OR(INDEX($W$2:$W$1001,MATCH(ROWS($V$2:V218),$V$2:$V$1001,0),1)&gt;=100000,INDEX($AC$1005:$AS$1005,1,MATCH(COLUMNS($AC$1006:AP1006),$AC$1006:$AS$1006,0))&gt;=100000), " ",IF(INDEX($AC$2:$AS$1001,MATCH(ROWS($V$2:V218),$V$2:$V$1001,0),MATCH(COLUMNS($AC$1006:AP1006),$AC$1006:$AS$1006,0)), HYPERLINK("#",""), HYPERLINK(CONCATENATE("#metadata!", ADDRESS(INDEX($X$2:$X$1001,MATCH(ROWS($V$2:V218),$V$2:$V$1001,0),0), INDEX($AC$1004:$AS$1004,1,MATCH(COLUMNS($AC$1006:AP1006),$AC$1006:$AS$1006,0)))),"Fix")))</f>
        <v xml:space="preserve"> </v>
      </c>
      <c r="P218" s="4" t="str">
        <f ca="1">IF(OR(INDEX($W$2:$W$1001,MATCH(ROWS($V$2:V218),$V$2:$V$1001,0),1)&gt;=100000,INDEX($AC$1005:$AS$1005,1,MATCH(COLUMNS($AC$1006:AQ1006),$AC$1006:$AS$1006,0))&gt;=100000), " ",IF(INDEX($AC$2:$AS$1001,MATCH(ROWS($V$2:V218),$V$2:$V$1001,0),MATCH(COLUMNS($AC$1006:AQ1006),$AC$1006:$AS$1006,0)), HYPERLINK("#",""), HYPERLINK(CONCATENATE("#metadata!", ADDRESS(INDEX($X$2:$X$1001,MATCH(ROWS($V$2:V218),$V$2:$V$1001,0),0), INDEX($AC$1004:$AS$1004,1,MATCH(COLUMNS($AC$1006:AQ1006),$AC$1006:$AS$1006,0)))),"Fix")))</f>
        <v xml:space="preserve"> </v>
      </c>
      <c r="Q218" s="4" t="str">
        <f ca="1">IF(OR(INDEX($W$2:$W$1001,MATCH(ROWS($V$2:V218),$V$2:$V$1001,0),1)&gt;=100000,INDEX($AC$1005:$AS$1005,1,MATCH(COLUMNS($AC$1006:AR1006),$AC$1006:$AS$1006,0))&gt;=100000), " ",IF(INDEX($AC$2:$AS$1001,MATCH(ROWS($V$2:V218),$V$2:$V$1001,0),MATCH(COLUMNS($AC$1006:AR1006),$AC$1006:$AS$1006,0)), HYPERLINK("#",""), HYPERLINK(CONCATENATE("#metadata!", ADDRESS(INDEX($X$2:$X$1001,MATCH(ROWS($V$2:V218),$V$2:$V$1001,0),0), INDEX($AC$1004:$AS$1004,1,MATCH(COLUMNS($AC$1006:AR1006),$AC$1006:$AS$1006,0)))),"Fix")))</f>
        <v xml:space="preserve"> </v>
      </c>
      <c r="R218" s="4" t="str">
        <f ca="1">IF(OR(INDEX($W$2:$W$1001,MATCH(ROWS($V$2:V218),$V$2:$V$1001,0),1)&gt;=100000,INDEX($AC$1005:$AS$1005,1,MATCH(COLUMNS($AC$1006:AS1006),$AC$1006:$AS$1006,0))&gt;=100000), " ",IF(INDEX($AC$2:$AS$1001,MATCH(ROWS($V$2:V218),$V$2:$V$1001,0),MATCH(COLUMNS($AC$1006:AS1006),$AC$1006:$AS$1006,0)), HYPERLINK("#",""), HYPERLINK(CONCATENATE("#metadata!", ADDRESS(INDEX($X$2:$X$1001,MATCH(ROWS($V$2:V218),$V$2:$V$1001,0),0), INDEX($AC$1004:$AS$1004,1,MATCH(COLUMNS($AC$1006:AS1006),$AC$1006:$AS$1006,0)))),"Fix")))</f>
        <v xml:space="preserve"> </v>
      </c>
      <c r="V218">
        <v>217</v>
      </c>
      <c r="W218">
        <v>100218</v>
      </c>
      <c r="X218">
        <v>218</v>
      </c>
      <c r="Y218" t="b">
        <f t="shared" si="3"/>
        <v>1</v>
      </c>
      <c r="Z218" t="b">
        <f>COUNTBLANK(metadata!B218:R218)=COLUMNS(metadata!B218:R218)</f>
        <v>1</v>
      </c>
      <c r="AA218" t="str">
        <v/>
      </c>
      <c r="AC218" t="b">
        <f ca="1"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AD218" t="b">
        <f>IF(metadata!C218="",FALSE,ISNUMBER(VALUE(metadata!C218)))</f>
        <v>0</v>
      </c>
      <c r="AE218" t="b">
        <f>AND(IF(metadata!D218="",FALSE,TRUE),EXACT(metadata!D218,"years"))</f>
        <v>0</v>
      </c>
      <c r="AF218" t="b">
        <f>OR(AND(IF(metadata!E218="",FALSE,TRUE),OR(EXACT(metadata!E218,"not applicable"),EXACT(metadata!E218,"missing: not collected"),EXACT(metadata!E218,"missing: not provided"),EXACT(metadata!E218,"missing: restricted access"))),AND(IF(metadata!E218="",FALSE,ISNUMBER(VALUE(metadata!E218))),metadata!E218&gt;0))</f>
        <v>0</v>
      </c>
      <c r="AG218" t="b">
        <f>AND(IF(metadata!F218="",FALSE,TRUE),EXACT(metadata!F218,"Not applicable"))</f>
        <v>0</v>
      </c>
      <c r="AH218" t="b">
        <f>AND(IF(metadata!G218="",FALSE,TRUE),EXACT(metadata!G218,"urban biome"))</f>
        <v>0</v>
      </c>
      <c r="AI218" t="b">
        <f>AND(IF(metadata!H218="",FALSE,TRUE),EXACT(metadata!H218,"human-associated habitat"))</f>
        <v>0</v>
      </c>
      <c r="AJ218" t="b">
        <f>AND(IF(metadata!I218="",FALSE,TRUE),OR(EXACT(metadata!I218,"human-associated"),EXACT(metadata!I218,"human-skin"),EXACT(metadata!I218,"human-oral"),EXACT(metadata!I218,"human-gut"),EXACT(metadata!I218,"human-vaginal")))</f>
        <v>0</v>
      </c>
      <c r="AK218" t="b">
        <f>IF(metadata!J218="",FALSE,ISNUMBER(VALUE(metadata!J218)))</f>
        <v>0</v>
      </c>
      <c r="AL218" t="b">
        <f>AND(IF(metadata!K218="",FALSE,TRUE),EXACT(metadata!K218,"cm"))</f>
        <v>0</v>
      </c>
      <c r="AM218" t="b">
        <f>AND(IF(metadata!L218="",FALSE,TRUE),EXACT(metadata!L218,"human"))</f>
        <v>0</v>
      </c>
      <c r="AN218" t="b">
        <f>AND(IF(metadata!M218="",FALSE,TRUE),EXACT(metadata!M218,"Homo sapiens"))</f>
        <v>0</v>
      </c>
      <c r="AO218" t="b">
        <f>AND(IF(metadata!N218="",FALSE,TRUE),EXACT(metadata!N218,"9606"))</f>
        <v>0</v>
      </c>
      <c r="AP218" t="b">
        <f>IF(metadata!O218="",FALSE,TRUE)</f>
        <v>0</v>
      </c>
      <c r="AQ218" t="b">
        <f>IF(metadata!P218="",FALSE,TRUE)</f>
        <v>0</v>
      </c>
      <c r="AR218" t="b">
        <f>IF(metadata!Q218="",FALSE,ISNUMBER(VALUE(metadata!Q218)))</f>
        <v>0</v>
      </c>
      <c r="AS218" t="b">
        <f>AND(IF(metadata!R218="",FALSE,TRUE),EXACT(metadata!R218,"kg"))</f>
        <v>0</v>
      </c>
    </row>
    <row r="219" spans="1:45" x14ac:dyDescent="0.2">
      <c r="A219" s="5" t="str">
        <f ca="1">IF(B219=" "," ",HYPERLINK(CONCATENATE("#metadata!",ADDRESS(INDEX($X$2:$X$1001,MATCH(ROWS($V$2:V219),$V$2:$V$1001,0),0),1)),INDEX($AA$2:$AA$1001,MATCH(ROWS($V$2:V219),$V$2:$V$1001,0),0)))</f>
        <v xml:space="preserve"> </v>
      </c>
      <c r="B219" s="4" t="str">
        <f ca="1">IF(OR(INDEX($W$2:$W$1001,MATCH(ROWS($V$2:V219),$V$2:$V$1001,0),1)&gt;=100000,INDEX($AC$1005:$AS$1005,1,MATCH(COLUMNS($AC$1006:AC1006),$AC$1006:$AS$1006,0))&gt;=100000), " ",IF(INDEX($AC$2:$AS$1001,MATCH(ROWS($V$2:V219),$V$2:$V$1001,0),MATCH(COLUMNS($AC$1006:AC1006),$AC$1006:$AS$1006,0)), HYPERLINK("#",""), HYPERLINK(CONCATENATE("#metadata!", ADDRESS(INDEX($X$2:$X$1001,MATCH(ROWS($V$2:V219),$V$2:$V$1001,0),0), INDEX($AC$1004:$AS$1004,1,MATCH(COLUMNS($AC$1006:AC1006),$AC$1006:$AS$1006,0)))),"Fix")))</f>
        <v xml:space="preserve"> </v>
      </c>
      <c r="C219" s="4" t="str">
        <f ca="1">IF(OR(INDEX($W$2:$W$1001,MATCH(ROWS($V$2:V219),$V$2:$V$1001,0),1)&gt;=100000,INDEX($AC$1005:$AS$1005,1,MATCH(COLUMNS($AC$1006:AD1006),$AC$1006:$AS$1006,0))&gt;=100000), " ",IF(INDEX($AC$2:$AS$1001,MATCH(ROWS($V$2:V219),$V$2:$V$1001,0),MATCH(COLUMNS($AC$1006:AD1006),$AC$1006:$AS$1006,0)), HYPERLINK("#",""), HYPERLINK(CONCATENATE("#metadata!", ADDRESS(INDEX($X$2:$X$1001,MATCH(ROWS($V$2:V219),$V$2:$V$1001,0),0), INDEX($AC$1004:$AS$1004,1,MATCH(COLUMNS($AC$1006:AD1006),$AC$1006:$AS$1006,0)))),"Fix")))</f>
        <v xml:space="preserve"> </v>
      </c>
      <c r="D219" s="4" t="str">
        <f ca="1">IF(OR(INDEX($W$2:$W$1001,MATCH(ROWS($V$2:V219),$V$2:$V$1001,0),1)&gt;=100000,INDEX($AC$1005:$AS$1005,1,MATCH(COLUMNS($AC$1006:AE1006),$AC$1006:$AS$1006,0))&gt;=100000), " ",IF(INDEX($AC$2:$AS$1001,MATCH(ROWS($V$2:V219),$V$2:$V$1001,0),MATCH(COLUMNS($AC$1006:AE1006),$AC$1006:$AS$1006,0)), HYPERLINK("#",""), HYPERLINK(CONCATENATE("#metadata!", ADDRESS(INDEX($X$2:$X$1001,MATCH(ROWS($V$2:V219),$V$2:$V$1001,0),0), INDEX($AC$1004:$AS$1004,1,MATCH(COLUMNS($AC$1006:AE1006),$AC$1006:$AS$1006,0)))),"Fix")))</f>
        <v xml:space="preserve"> </v>
      </c>
      <c r="E219" s="4" t="str">
        <f ca="1">IF(OR(INDEX($W$2:$W$1001,MATCH(ROWS($V$2:V219),$V$2:$V$1001,0),1)&gt;=100000,INDEX($AC$1005:$AS$1005,1,MATCH(COLUMNS($AC$1006:AF1006),$AC$1006:$AS$1006,0))&gt;=100000), " ",IF(INDEX($AC$2:$AS$1001,MATCH(ROWS($V$2:V219),$V$2:$V$1001,0),MATCH(COLUMNS($AC$1006:AF1006),$AC$1006:$AS$1006,0)), HYPERLINK("#",""), HYPERLINK(CONCATENATE("#metadata!", ADDRESS(INDEX($X$2:$X$1001,MATCH(ROWS($V$2:V219),$V$2:$V$1001,0),0), INDEX($AC$1004:$AS$1004,1,MATCH(COLUMNS($AC$1006:AF1006),$AC$1006:$AS$1006,0)))),"Fix")))</f>
        <v xml:space="preserve"> </v>
      </c>
      <c r="F219" s="4" t="str">
        <f ca="1">IF(OR(INDEX($W$2:$W$1001,MATCH(ROWS($V$2:V219),$V$2:$V$1001,0),1)&gt;=100000,INDEX($AC$1005:$AS$1005,1,MATCH(COLUMNS($AC$1006:AG1006),$AC$1006:$AS$1006,0))&gt;=100000), " ",IF(INDEX($AC$2:$AS$1001,MATCH(ROWS($V$2:V219),$V$2:$V$1001,0),MATCH(COLUMNS($AC$1006:AG1006),$AC$1006:$AS$1006,0)), HYPERLINK("#",""), HYPERLINK(CONCATENATE("#metadata!", ADDRESS(INDEX($X$2:$X$1001,MATCH(ROWS($V$2:V219),$V$2:$V$1001,0),0), INDEX($AC$1004:$AS$1004,1,MATCH(COLUMNS($AC$1006:AG1006),$AC$1006:$AS$1006,0)))),"Fix")))</f>
        <v xml:space="preserve"> </v>
      </c>
      <c r="G219" s="4" t="str">
        <f ca="1">IF(OR(INDEX($W$2:$W$1001,MATCH(ROWS($V$2:V219),$V$2:$V$1001,0),1)&gt;=100000,INDEX($AC$1005:$AS$1005,1,MATCH(COLUMNS($AC$1006:AH1006),$AC$1006:$AS$1006,0))&gt;=100000), " ",IF(INDEX($AC$2:$AS$1001,MATCH(ROWS($V$2:V219),$V$2:$V$1001,0),MATCH(COLUMNS($AC$1006:AH1006),$AC$1006:$AS$1006,0)), HYPERLINK("#",""), HYPERLINK(CONCATENATE("#metadata!", ADDRESS(INDEX($X$2:$X$1001,MATCH(ROWS($V$2:V219),$V$2:$V$1001,0),0), INDEX($AC$1004:$AS$1004,1,MATCH(COLUMNS($AC$1006:AH1006),$AC$1006:$AS$1006,0)))),"Fix")))</f>
        <v xml:space="preserve"> </v>
      </c>
      <c r="H219" s="4" t="str">
        <f ca="1">IF(OR(INDEX($W$2:$W$1001,MATCH(ROWS($V$2:V219),$V$2:$V$1001,0),1)&gt;=100000,INDEX($AC$1005:$AS$1005,1,MATCH(COLUMNS($AC$1006:AI1006),$AC$1006:$AS$1006,0))&gt;=100000), " ",IF(INDEX($AC$2:$AS$1001,MATCH(ROWS($V$2:V219),$V$2:$V$1001,0),MATCH(COLUMNS($AC$1006:AI1006),$AC$1006:$AS$1006,0)), HYPERLINK("#",""), HYPERLINK(CONCATENATE("#metadata!", ADDRESS(INDEX($X$2:$X$1001,MATCH(ROWS($V$2:V219),$V$2:$V$1001,0),0), INDEX($AC$1004:$AS$1004,1,MATCH(COLUMNS($AC$1006:AI1006),$AC$1006:$AS$1006,0)))),"Fix")))</f>
        <v xml:space="preserve"> </v>
      </c>
      <c r="I219" s="4" t="str">
        <f ca="1">IF(OR(INDEX($W$2:$W$1001,MATCH(ROWS($V$2:V219),$V$2:$V$1001,0),1)&gt;=100000,INDEX($AC$1005:$AS$1005,1,MATCH(COLUMNS($AC$1006:AJ1006),$AC$1006:$AS$1006,0))&gt;=100000), " ",IF(INDEX($AC$2:$AS$1001,MATCH(ROWS($V$2:V219),$V$2:$V$1001,0),MATCH(COLUMNS($AC$1006:AJ1006),$AC$1006:$AS$1006,0)), HYPERLINK("#",""), HYPERLINK(CONCATENATE("#metadata!", ADDRESS(INDEX($X$2:$X$1001,MATCH(ROWS($V$2:V219),$V$2:$V$1001,0),0), INDEX($AC$1004:$AS$1004,1,MATCH(COLUMNS($AC$1006:AJ1006),$AC$1006:$AS$1006,0)))),"Fix")))</f>
        <v xml:space="preserve"> </v>
      </c>
      <c r="J219" s="4" t="str">
        <f ca="1">IF(OR(INDEX($W$2:$W$1001,MATCH(ROWS($V$2:V219),$V$2:$V$1001,0),1)&gt;=100000,INDEX($AC$1005:$AS$1005,1,MATCH(COLUMNS($AC$1006:AK1006),$AC$1006:$AS$1006,0))&gt;=100000), " ",IF(INDEX($AC$2:$AS$1001,MATCH(ROWS($V$2:V219),$V$2:$V$1001,0),MATCH(COLUMNS($AC$1006:AK1006),$AC$1006:$AS$1006,0)), HYPERLINK("#",""), HYPERLINK(CONCATENATE("#metadata!", ADDRESS(INDEX($X$2:$X$1001,MATCH(ROWS($V$2:V219),$V$2:$V$1001,0),0), INDEX($AC$1004:$AS$1004,1,MATCH(COLUMNS($AC$1006:AK1006),$AC$1006:$AS$1006,0)))),"Fix")))</f>
        <v xml:space="preserve"> </v>
      </c>
      <c r="K219" s="4" t="str">
        <f ca="1">IF(OR(INDEX($W$2:$W$1001,MATCH(ROWS($V$2:V219),$V$2:$V$1001,0),1)&gt;=100000,INDEX($AC$1005:$AS$1005,1,MATCH(COLUMNS($AC$1006:AL1006),$AC$1006:$AS$1006,0))&gt;=100000), " ",IF(INDEX($AC$2:$AS$1001,MATCH(ROWS($V$2:V219),$V$2:$V$1001,0),MATCH(COLUMNS($AC$1006:AL1006),$AC$1006:$AS$1006,0)), HYPERLINK("#",""), HYPERLINK(CONCATENATE("#metadata!", ADDRESS(INDEX($X$2:$X$1001,MATCH(ROWS($V$2:V219),$V$2:$V$1001,0),0), INDEX($AC$1004:$AS$1004,1,MATCH(COLUMNS($AC$1006:AL1006),$AC$1006:$AS$1006,0)))),"Fix")))</f>
        <v xml:space="preserve"> </v>
      </c>
      <c r="L219" s="4" t="str">
        <f ca="1">IF(OR(INDEX($W$2:$W$1001,MATCH(ROWS($V$2:V219),$V$2:$V$1001,0),1)&gt;=100000,INDEX($AC$1005:$AS$1005,1,MATCH(COLUMNS($AC$1006:AM1006),$AC$1006:$AS$1006,0))&gt;=100000), " ",IF(INDEX($AC$2:$AS$1001,MATCH(ROWS($V$2:V219),$V$2:$V$1001,0),MATCH(COLUMNS($AC$1006:AM1006),$AC$1006:$AS$1006,0)), HYPERLINK("#",""), HYPERLINK(CONCATENATE("#metadata!", ADDRESS(INDEX($X$2:$X$1001,MATCH(ROWS($V$2:V219),$V$2:$V$1001,0),0), INDEX($AC$1004:$AS$1004,1,MATCH(COLUMNS($AC$1006:AM1006),$AC$1006:$AS$1006,0)))),"Fix")))</f>
        <v xml:space="preserve"> </v>
      </c>
      <c r="M219" s="4" t="str">
        <f ca="1">IF(OR(INDEX($W$2:$W$1001,MATCH(ROWS($V$2:V219),$V$2:$V$1001,0),1)&gt;=100000,INDEX($AC$1005:$AS$1005,1,MATCH(COLUMNS($AC$1006:AN1006),$AC$1006:$AS$1006,0))&gt;=100000), " ",IF(INDEX($AC$2:$AS$1001,MATCH(ROWS($V$2:V219),$V$2:$V$1001,0),MATCH(COLUMNS($AC$1006:AN1006),$AC$1006:$AS$1006,0)), HYPERLINK("#",""), HYPERLINK(CONCATENATE("#metadata!", ADDRESS(INDEX($X$2:$X$1001,MATCH(ROWS($V$2:V219),$V$2:$V$1001,0),0), INDEX($AC$1004:$AS$1004,1,MATCH(COLUMNS($AC$1006:AN1006),$AC$1006:$AS$1006,0)))),"Fix")))</f>
        <v xml:space="preserve"> </v>
      </c>
      <c r="N219" s="4" t="str">
        <f ca="1">IF(OR(INDEX($W$2:$W$1001,MATCH(ROWS($V$2:V219),$V$2:$V$1001,0),1)&gt;=100000,INDEX($AC$1005:$AS$1005,1,MATCH(COLUMNS($AC$1006:AO1006),$AC$1006:$AS$1006,0))&gt;=100000), " ",IF(INDEX($AC$2:$AS$1001,MATCH(ROWS($V$2:V219),$V$2:$V$1001,0),MATCH(COLUMNS($AC$1006:AO1006),$AC$1006:$AS$1006,0)), HYPERLINK("#",""), HYPERLINK(CONCATENATE("#metadata!", ADDRESS(INDEX($X$2:$X$1001,MATCH(ROWS($V$2:V219),$V$2:$V$1001,0),0), INDEX($AC$1004:$AS$1004,1,MATCH(COLUMNS($AC$1006:AO1006),$AC$1006:$AS$1006,0)))),"Fix")))</f>
        <v xml:space="preserve"> </v>
      </c>
      <c r="O219" s="4" t="str">
        <f ca="1">IF(OR(INDEX($W$2:$W$1001,MATCH(ROWS($V$2:V219),$V$2:$V$1001,0),1)&gt;=100000,INDEX($AC$1005:$AS$1005,1,MATCH(COLUMNS($AC$1006:AP1006),$AC$1006:$AS$1006,0))&gt;=100000), " ",IF(INDEX($AC$2:$AS$1001,MATCH(ROWS($V$2:V219),$V$2:$V$1001,0),MATCH(COLUMNS($AC$1006:AP1006),$AC$1006:$AS$1006,0)), HYPERLINK("#",""), HYPERLINK(CONCATENATE("#metadata!", ADDRESS(INDEX($X$2:$X$1001,MATCH(ROWS($V$2:V219),$V$2:$V$1001,0),0), INDEX($AC$1004:$AS$1004,1,MATCH(COLUMNS($AC$1006:AP1006),$AC$1006:$AS$1006,0)))),"Fix")))</f>
        <v xml:space="preserve"> </v>
      </c>
      <c r="P219" s="4" t="str">
        <f ca="1">IF(OR(INDEX($W$2:$W$1001,MATCH(ROWS($V$2:V219),$V$2:$V$1001,0),1)&gt;=100000,INDEX($AC$1005:$AS$1005,1,MATCH(COLUMNS($AC$1006:AQ1006),$AC$1006:$AS$1006,0))&gt;=100000), " ",IF(INDEX($AC$2:$AS$1001,MATCH(ROWS($V$2:V219),$V$2:$V$1001,0),MATCH(COLUMNS($AC$1006:AQ1006),$AC$1006:$AS$1006,0)), HYPERLINK("#",""), HYPERLINK(CONCATENATE("#metadata!", ADDRESS(INDEX($X$2:$X$1001,MATCH(ROWS($V$2:V219),$V$2:$V$1001,0),0), INDEX($AC$1004:$AS$1004,1,MATCH(COLUMNS($AC$1006:AQ1006),$AC$1006:$AS$1006,0)))),"Fix")))</f>
        <v xml:space="preserve"> </v>
      </c>
      <c r="Q219" s="4" t="str">
        <f ca="1">IF(OR(INDEX($W$2:$W$1001,MATCH(ROWS($V$2:V219),$V$2:$V$1001,0),1)&gt;=100000,INDEX($AC$1005:$AS$1005,1,MATCH(COLUMNS($AC$1006:AR1006),$AC$1006:$AS$1006,0))&gt;=100000), " ",IF(INDEX($AC$2:$AS$1001,MATCH(ROWS($V$2:V219),$V$2:$V$1001,0),MATCH(COLUMNS($AC$1006:AR1006),$AC$1006:$AS$1006,0)), HYPERLINK("#",""), HYPERLINK(CONCATENATE("#metadata!", ADDRESS(INDEX($X$2:$X$1001,MATCH(ROWS($V$2:V219),$V$2:$V$1001,0),0), INDEX($AC$1004:$AS$1004,1,MATCH(COLUMNS($AC$1006:AR1006),$AC$1006:$AS$1006,0)))),"Fix")))</f>
        <v xml:space="preserve"> </v>
      </c>
      <c r="R219" s="4" t="str">
        <f ca="1">IF(OR(INDEX($W$2:$W$1001,MATCH(ROWS($V$2:V219),$V$2:$V$1001,0),1)&gt;=100000,INDEX($AC$1005:$AS$1005,1,MATCH(COLUMNS($AC$1006:AS1006),$AC$1006:$AS$1006,0))&gt;=100000), " ",IF(INDEX($AC$2:$AS$1001,MATCH(ROWS($V$2:V219),$V$2:$V$1001,0),MATCH(COLUMNS($AC$1006:AS1006),$AC$1006:$AS$1006,0)), HYPERLINK("#",""), HYPERLINK(CONCATENATE("#metadata!", ADDRESS(INDEX($X$2:$X$1001,MATCH(ROWS($V$2:V219),$V$2:$V$1001,0),0), INDEX($AC$1004:$AS$1004,1,MATCH(COLUMNS($AC$1006:AS1006),$AC$1006:$AS$1006,0)))),"Fix")))</f>
        <v xml:space="preserve"> </v>
      </c>
      <c r="V219">
        <v>218</v>
      </c>
      <c r="W219">
        <v>100219</v>
      </c>
      <c r="X219">
        <v>219</v>
      </c>
      <c r="Y219" t="b">
        <f t="shared" si="3"/>
        <v>1</v>
      </c>
      <c r="Z219" t="b">
        <f>COUNTBLANK(metadata!B219:R219)=COLUMNS(metadata!B219:R219)</f>
        <v>1</v>
      </c>
      <c r="AA219" t="str">
        <v/>
      </c>
      <c r="AC219" t="b">
        <f ca="1"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AD219" t="b">
        <f>IF(metadata!C219="",FALSE,ISNUMBER(VALUE(metadata!C219)))</f>
        <v>0</v>
      </c>
      <c r="AE219" t="b">
        <f>AND(IF(metadata!D219="",FALSE,TRUE),EXACT(metadata!D219,"years"))</f>
        <v>0</v>
      </c>
      <c r="AF219" t="b">
        <f>OR(AND(IF(metadata!E219="",FALSE,TRUE),OR(EXACT(metadata!E219,"not applicable"),EXACT(metadata!E219,"missing: not collected"),EXACT(metadata!E219,"missing: not provided"),EXACT(metadata!E219,"missing: restricted access"))),AND(IF(metadata!E219="",FALSE,ISNUMBER(VALUE(metadata!E219))),metadata!E219&gt;0))</f>
        <v>0</v>
      </c>
      <c r="AG219" t="b">
        <f>AND(IF(metadata!F219="",FALSE,TRUE),EXACT(metadata!F219,"Not applicable"))</f>
        <v>0</v>
      </c>
      <c r="AH219" t="b">
        <f>AND(IF(metadata!G219="",FALSE,TRUE),EXACT(metadata!G219,"urban biome"))</f>
        <v>0</v>
      </c>
      <c r="AI219" t="b">
        <f>AND(IF(metadata!H219="",FALSE,TRUE),EXACT(metadata!H219,"human-associated habitat"))</f>
        <v>0</v>
      </c>
      <c r="AJ219" t="b">
        <f>AND(IF(metadata!I219="",FALSE,TRUE),OR(EXACT(metadata!I219,"human-associated"),EXACT(metadata!I219,"human-skin"),EXACT(metadata!I219,"human-oral"),EXACT(metadata!I219,"human-gut"),EXACT(metadata!I219,"human-vaginal")))</f>
        <v>0</v>
      </c>
      <c r="AK219" t="b">
        <f>IF(metadata!J219="",FALSE,ISNUMBER(VALUE(metadata!J219)))</f>
        <v>0</v>
      </c>
      <c r="AL219" t="b">
        <f>AND(IF(metadata!K219="",FALSE,TRUE),EXACT(metadata!K219,"cm"))</f>
        <v>0</v>
      </c>
      <c r="AM219" t="b">
        <f>AND(IF(metadata!L219="",FALSE,TRUE),EXACT(metadata!L219,"human"))</f>
        <v>0</v>
      </c>
      <c r="AN219" t="b">
        <f>AND(IF(metadata!M219="",FALSE,TRUE),EXACT(metadata!M219,"Homo sapiens"))</f>
        <v>0</v>
      </c>
      <c r="AO219" t="b">
        <f>AND(IF(metadata!N219="",FALSE,TRUE),EXACT(metadata!N219,"9606"))</f>
        <v>0</v>
      </c>
      <c r="AP219" t="b">
        <f>IF(metadata!O219="",FALSE,TRUE)</f>
        <v>0</v>
      </c>
      <c r="AQ219" t="b">
        <f>IF(metadata!P219="",FALSE,TRUE)</f>
        <v>0</v>
      </c>
      <c r="AR219" t="b">
        <f>IF(metadata!Q219="",FALSE,ISNUMBER(VALUE(metadata!Q219)))</f>
        <v>0</v>
      </c>
      <c r="AS219" t="b">
        <f>AND(IF(metadata!R219="",FALSE,TRUE),EXACT(metadata!R219,"kg"))</f>
        <v>0</v>
      </c>
    </row>
    <row r="220" spans="1:45" x14ac:dyDescent="0.2">
      <c r="A220" s="5" t="str">
        <f ca="1">IF(B220=" "," ",HYPERLINK(CONCATENATE("#metadata!",ADDRESS(INDEX($X$2:$X$1001,MATCH(ROWS($V$2:V220),$V$2:$V$1001,0),0),1)),INDEX($AA$2:$AA$1001,MATCH(ROWS($V$2:V220),$V$2:$V$1001,0),0)))</f>
        <v xml:space="preserve"> </v>
      </c>
      <c r="B220" s="4" t="str">
        <f ca="1">IF(OR(INDEX($W$2:$W$1001,MATCH(ROWS($V$2:V220),$V$2:$V$1001,0),1)&gt;=100000,INDEX($AC$1005:$AS$1005,1,MATCH(COLUMNS($AC$1006:AC1006),$AC$1006:$AS$1006,0))&gt;=100000), " ",IF(INDEX($AC$2:$AS$1001,MATCH(ROWS($V$2:V220),$V$2:$V$1001,0),MATCH(COLUMNS($AC$1006:AC1006),$AC$1006:$AS$1006,0)), HYPERLINK("#",""), HYPERLINK(CONCATENATE("#metadata!", ADDRESS(INDEX($X$2:$X$1001,MATCH(ROWS($V$2:V220),$V$2:$V$1001,0),0), INDEX($AC$1004:$AS$1004,1,MATCH(COLUMNS($AC$1006:AC1006),$AC$1006:$AS$1006,0)))),"Fix")))</f>
        <v xml:space="preserve"> </v>
      </c>
      <c r="C220" s="4" t="str">
        <f ca="1">IF(OR(INDEX($W$2:$W$1001,MATCH(ROWS($V$2:V220),$V$2:$V$1001,0),1)&gt;=100000,INDEX($AC$1005:$AS$1005,1,MATCH(COLUMNS($AC$1006:AD1006),$AC$1006:$AS$1006,0))&gt;=100000), " ",IF(INDEX($AC$2:$AS$1001,MATCH(ROWS($V$2:V220),$V$2:$V$1001,0),MATCH(COLUMNS($AC$1006:AD1006),$AC$1006:$AS$1006,0)), HYPERLINK("#",""), HYPERLINK(CONCATENATE("#metadata!", ADDRESS(INDEX($X$2:$X$1001,MATCH(ROWS($V$2:V220),$V$2:$V$1001,0),0), INDEX($AC$1004:$AS$1004,1,MATCH(COLUMNS($AC$1006:AD1006),$AC$1006:$AS$1006,0)))),"Fix")))</f>
        <v xml:space="preserve"> </v>
      </c>
      <c r="D220" s="4" t="str">
        <f ca="1">IF(OR(INDEX($W$2:$W$1001,MATCH(ROWS($V$2:V220),$V$2:$V$1001,0),1)&gt;=100000,INDEX($AC$1005:$AS$1005,1,MATCH(COLUMNS($AC$1006:AE1006),$AC$1006:$AS$1006,0))&gt;=100000), " ",IF(INDEX($AC$2:$AS$1001,MATCH(ROWS($V$2:V220),$V$2:$V$1001,0),MATCH(COLUMNS($AC$1006:AE1006),$AC$1006:$AS$1006,0)), HYPERLINK("#",""), HYPERLINK(CONCATENATE("#metadata!", ADDRESS(INDEX($X$2:$X$1001,MATCH(ROWS($V$2:V220),$V$2:$V$1001,0),0), INDEX($AC$1004:$AS$1004,1,MATCH(COLUMNS($AC$1006:AE1006),$AC$1006:$AS$1006,0)))),"Fix")))</f>
        <v xml:space="preserve"> </v>
      </c>
      <c r="E220" s="4" t="str">
        <f ca="1">IF(OR(INDEX($W$2:$W$1001,MATCH(ROWS($V$2:V220),$V$2:$V$1001,0),1)&gt;=100000,INDEX($AC$1005:$AS$1005,1,MATCH(COLUMNS($AC$1006:AF1006),$AC$1006:$AS$1006,0))&gt;=100000), " ",IF(INDEX($AC$2:$AS$1001,MATCH(ROWS($V$2:V220),$V$2:$V$1001,0),MATCH(COLUMNS($AC$1006:AF1006),$AC$1006:$AS$1006,0)), HYPERLINK("#",""), HYPERLINK(CONCATENATE("#metadata!", ADDRESS(INDEX($X$2:$X$1001,MATCH(ROWS($V$2:V220),$V$2:$V$1001,0),0), INDEX($AC$1004:$AS$1004,1,MATCH(COLUMNS($AC$1006:AF1006),$AC$1006:$AS$1006,0)))),"Fix")))</f>
        <v xml:space="preserve"> </v>
      </c>
      <c r="F220" s="4" t="str">
        <f ca="1">IF(OR(INDEX($W$2:$W$1001,MATCH(ROWS($V$2:V220),$V$2:$V$1001,0),1)&gt;=100000,INDEX($AC$1005:$AS$1005,1,MATCH(COLUMNS($AC$1006:AG1006),$AC$1006:$AS$1006,0))&gt;=100000), " ",IF(INDEX($AC$2:$AS$1001,MATCH(ROWS($V$2:V220),$V$2:$V$1001,0),MATCH(COLUMNS($AC$1006:AG1006),$AC$1006:$AS$1006,0)), HYPERLINK("#",""), HYPERLINK(CONCATENATE("#metadata!", ADDRESS(INDEX($X$2:$X$1001,MATCH(ROWS($V$2:V220),$V$2:$V$1001,0),0), INDEX($AC$1004:$AS$1004,1,MATCH(COLUMNS($AC$1006:AG1006),$AC$1006:$AS$1006,0)))),"Fix")))</f>
        <v xml:space="preserve"> </v>
      </c>
      <c r="G220" s="4" t="str">
        <f ca="1">IF(OR(INDEX($W$2:$W$1001,MATCH(ROWS($V$2:V220),$V$2:$V$1001,0),1)&gt;=100000,INDEX($AC$1005:$AS$1005,1,MATCH(COLUMNS($AC$1006:AH1006),$AC$1006:$AS$1006,0))&gt;=100000), " ",IF(INDEX($AC$2:$AS$1001,MATCH(ROWS($V$2:V220),$V$2:$V$1001,0),MATCH(COLUMNS($AC$1006:AH1006),$AC$1006:$AS$1006,0)), HYPERLINK("#",""), HYPERLINK(CONCATENATE("#metadata!", ADDRESS(INDEX($X$2:$X$1001,MATCH(ROWS($V$2:V220),$V$2:$V$1001,0),0), INDEX($AC$1004:$AS$1004,1,MATCH(COLUMNS($AC$1006:AH1006),$AC$1006:$AS$1006,0)))),"Fix")))</f>
        <v xml:space="preserve"> </v>
      </c>
      <c r="H220" s="4" t="str">
        <f ca="1">IF(OR(INDEX($W$2:$W$1001,MATCH(ROWS($V$2:V220),$V$2:$V$1001,0),1)&gt;=100000,INDEX($AC$1005:$AS$1005,1,MATCH(COLUMNS($AC$1006:AI1006),$AC$1006:$AS$1006,0))&gt;=100000), " ",IF(INDEX($AC$2:$AS$1001,MATCH(ROWS($V$2:V220),$V$2:$V$1001,0),MATCH(COLUMNS($AC$1006:AI1006),$AC$1006:$AS$1006,0)), HYPERLINK("#",""), HYPERLINK(CONCATENATE("#metadata!", ADDRESS(INDEX($X$2:$X$1001,MATCH(ROWS($V$2:V220),$V$2:$V$1001,0),0), INDEX($AC$1004:$AS$1004,1,MATCH(COLUMNS($AC$1006:AI1006),$AC$1006:$AS$1006,0)))),"Fix")))</f>
        <v xml:space="preserve"> </v>
      </c>
      <c r="I220" s="4" t="str">
        <f ca="1">IF(OR(INDEX($W$2:$W$1001,MATCH(ROWS($V$2:V220),$V$2:$V$1001,0),1)&gt;=100000,INDEX($AC$1005:$AS$1005,1,MATCH(COLUMNS($AC$1006:AJ1006),$AC$1006:$AS$1006,0))&gt;=100000), " ",IF(INDEX($AC$2:$AS$1001,MATCH(ROWS($V$2:V220),$V$2:$V$1001,0),MATCH(COLUMNS($AC$1006:AJ1006),$AC$1006:$AS$1006,0)), HYPERLINK("#",""), HYPERLINK(CONCATENATE("#metadata!", ADDRESS(INDEX($X$2:$X$1001,MATCH(ROWS($V$2:V220),$V$2:$V$1001,0),0), INDEX($AC$1004:$AS$1004,1,MATCH(COLUMNS($AC$1006:AJ1006),$AC$1006:$AS$1006,0)))),"Fix")))</f>
        <v xml:space="preserve"> </v>
      </c>
      <c r="J220" s="4" t="str">
        <f ca="1">IF(OR(INDEX($W$2:$W$1001,MATCH(ROWS($V$2:V220),$V$2:$V$1001,0),1)&gt;=100000,INDEX($AC$1005:$AS$1005,1,MATCH(COLUMNS($AC$1006:AK1006),$AC$1006:$AS$1006,0))&gt;=100000), " ",IF(INDEX($AC$2:$AS$1001,MATCH(ROWS($V$2:V220),$V$2:$V$1001,0),MATCH(COLUMNS($AC$1006:AK1006),$AC$1006:$AS$1006,0)), HYPERLINK("#",""), HYPERLINK(CONCATENATE("#metadata!", ADDRESS(INDEX($X$2:$X$1001,MATCH(ROWS($V$2:V220),$V$2:$V$1001,0),0), INDEX($AC$1004:$AS$1004,1,MATCH(COLUMNS($AC$1006:AK1006),$AC$1006:$AS$1006,0)))),"Fix")))</f>
        <v xml:space="preserve"> </v>
      </c>
      <c r="K220" s="4" t="str">
        <f ca="1">IF(OR(INDEX($W$2:$W$1001,MATCH(ROWS($V$2:V220),$V$2:$V$1001,0),1)&gt;=100000,INDEX($AC$1005:$AS$1005,1,MATCH(COLUMNS($AC$1006:AL1006),$AC$1006:$AS$1006,0))&gt;=100000), " ",IF(INDEX($AC$2:$AS$1001,MATCH(ROWS($V$2:V220),$V$2:$V$1001,0),MATCH(COLUMNS($AC$1006:AL1006),$AC$1006:$AS$1006,0)), HYPERLINK("#",""), HYPERLINK(CONCATENATE("#metadata!", ADDRESS(INDEX($X$2:$X$1001,MATCH(ROWS($V$2:V220),$V$2:$V$1001,0),0), INDEX($AC$1004:$AS$1004,1,MATCH(COLUMNS($AC$1006:AL1006),$AC$1006:$AS$1006,0)))),"Fix")))</f>
        <v xml:space="preserve"> </v>
      </c>
      <c r="L220" s="4" t="str">
        <f ca="1">IF(OR(INDEX($W$2:$W$1001,MATCH(ROWS($V$2:V220),$V$2:$V$1001,0),1)&gt;=100000,INDEX($AC$1005:$AS$1005,1,MATCH(COLUMNS($AC$1006:AM1006),$AC$1006:$AS$1006,0))&gt;=100000), " ",IF(INDEX($AC$2:$AS$1001,MATCH(ROWS($V$2:V220),$V$2:$V$1001,0),MATCH(COLUMNS($AC$1006:AM1006),$AC$1006:$AS$1006,0)), HYPERLINK("#",""), HYPERLINK(CONCATENATE("#metadata!", ADDRESS(INDEX($X$2:$X$1001,MATCH(ROWS($V$2:V220),$V$2:$V$1001,0),0), INDEX($AC$1004:$AS$1004,1,MATCH(COLUMNS($AC$1006:AM1006),$AC$1006:$AS$1006,0)))),"Fix")))</f>
        <v xml:space="preserve"> </v>
      </c>
      <c r="M220" s="4" t="str">
        <f ca="1">IF(OR(INDEX($W$2:$W$1001,MATCH(ROWS($V$2:V220),$V$2:$V$1001,0),1)&gt;=100000,INDEX($AC$1005:$AS$1005,1,MATCH(COLUMNS($AC$1006:AN1006),$AC$1006:$AS$1006,0))&gt;=100000), " ",IF(INDEX($AC$2:$AS$1001,MATCH(ROWS($V$2:V220),$V$2:$V$1001,0),MATCH(COLUMNS($AC$1006:AN1006),$AC$1006:$AS$1006,0)), HYPERLINK("#",""), HYPERLINK(CONCATENATE("#metadata!", ADDRESS(INDEX($X$2:$X$1001,MATCH(ROWS($V$2:V220),$V$2:$V$1001,0),0), INDEX($AC$1004:$AS$1004,1,MATCH(COLUMNS($AC$1006:AN1006),$AC$1006:$AS$1006,0)))),"Fix")))</f>
        <v xml:space="preserve"> </v>
      </c>
      <c r="N220" s="4" t="str">
        <f ca="1">IF(OR(INDEX($W$2:$W$1001,MATCH(ROWS($V$2:V220),$V$2:$V$1001,0),1)&gt;=100000,INDEX($AC$1005:$AS$1005,1,MATCH(COLUMNS($AC$1006:AO1006),$AC$1006:$AS$1006,0))&gt;=100000), " ",IF(INDEX($AC$2:$AS$1001,MATCH(ROWS($V$2:V220),$V$2:$V$1001,0),MATCH(COLUMNS($AC$1006:AO1006),$AC$1006:$AS$1006,0)), HYPERLINK("#",""), HYPERLINK(CONCATENATE("#metadata!", ADDRESS(INDEX($X$2:$X$1001,MATCH(ROWS($V$2:V220),$V$2:$V$1001,0),0), INDEX($AC$1004:$AS$1004,1,MATCH(COLUMNS($AC$1006:AO1006),$AC$1006:$AS$1006,0)))),"Fix")))</f>
        <v xml:space="preserve"> </v>
      </c>
      <c r="O220" s="4" t="str">
        <f ca="1">IF(OR(INDEX($W$2:$W$1001,MATCH(ROWS($V$2:V220),$V$2:$V$1001,0),1)&gt;=100000,INDEX($AC$1005:$AS$1005,1,MATCH(COLUMNS($AC$1006:AP1006),$AC$1006:$AS$1006,0))&gt;=100000), " ",IF(INDEX($AC$2:$AS$1001,MATCH(ROWS($V$2:V220),$V$2:$V$1001,0),MATCH(COLUMNS($AC$1006:AP1006),$AC$1006:$AS$1006,0)), HYPERLINK("#",""), HYPERLINK(CONCATENATE("#metadata!", ADDRESS(INDEX($X$2:$X$1001,MATCH(ROWS($V$2:V220),$V$2:$V$1001,0),0), INDEX($AC$1004:$AS$1004,1,MATCH(COLUMNS($AC$1006:AP1006),$AC$1006:$AS$1006,0)))),"Fix")))</f>
        <v xml:space="preserve"> </v>
      </c>
      <c r="P220" s="4" t="str">
        <f ca="1">IF(OR(INDEX($W$2:$W$1001,MATCH(ROWS($V$2:V220),$V$2:$V$1001,0),1)&gt;=100000,INDEX($AC$1005:$AS$1005,1,MATCH(COLUMNS($AC$1006:AQ1006),$AC$1006:$AS$1006,0))&gt;=100000), " ",IF(INDEX($AC$2:$AS$1001,MATCH(ROWS($V$2:V220),$V$2:$V$1001,0),MATCH(COLUMNS($AC$1006:AQ1006),$AC$1006:$AS$1006,0)), HYPERLINK("#",""), HYPERLINK(CONCATENATE("#metadata!", ADDRESS(INDEX($X$2:$X$1001,MATCH(ROWS($V$2:V220),$V$2:$V$1001,0),0), INDEX($AC$1004:$AS$1004,1,MATCH(COLUMNS($AC$1006:AQ1006),$AC$1006:$AS$1006,0)))),"Fix")))</f>
        <v xml:space="preserve"> </v>
      </c>
      <c r="Q220" s="4" t="str">
        <f ca="1">IF(OR(INDEX($W$2:$W$1001,MATCH(ROWS($V$2:V220),$V$2:$V$1001,0),1)&gt;=100000,INDEX($AC$1005:$AS$1005,1,MATCH(COLUMNS($AC$1006:AR1006),$AC$1006:$AS$1006,0))&gt;=100000), " ",IF(INDEX($AC$2:$AS$1001,MATCH(ROWS($V$2:V220),$V$2:$V$1001,0),MATCH(COLUMNS($AC$1006:AR1006),$AC$1006:$AS$1006,0)), HYPERLINK("#",""), HYPERLINK(CONCATENATE("#metadata!", ADDRESS(INDEX($X$2:$X$1001,MATCH(ROWS($V$2:V220),$V$2:$V$1001,0),0), INDEX($AC$1004:$AS$1004,1,MATCH(COLUMNS($AC$1006:AR1006),$AC$1006:$AS$1006,0)))),"Fix")))</f>
        <v xml:space="preserve"> </v>
      </c>
      <c r="R220" s="4" t="str">
        <f ca="1">IF(OR(INDEX($W$2:$W$1001,MATCH(ROWS($V$2:V220),$V$2:$V$1001,0),1)&gt;=100000,INDEX($AC$1005:$AS$1005,1,MATCH(COLUMNS($AC$1006:AS1006),$AC$1006:$AS$1006,0))&gt;=100000), " ",IF(INDEX($AC$2:$AS$1001,MATCH(ROWS($V$2:V220),$V$2:$V$1001,0),MATCH(COLUMNS($AC$1006:AS1006),$AC$1006:$AS$1006,0)), HYPERLINK("#",""), HYPERLINK(CONCATENATE("#metadata!", ADDRESS(INDEX($X$2:$X$1001,MATCH(ROWS($V$2:V220),$V$2:$V$1001,0),0), INDEX($AC$1004:$AS$1004,1,MATCH(COLUMNS($AC$1006:AS1006),$AC$1006:$AS$1006,0)))),"Fix")))</f>
        <v xml:space="preserve"> </v>
      </c>
      <c r="V220">
        <v>219</v>
      </c>
      <c r="W220">
        <v>100220</v>
      </c>
      <c r="X220">
        <v>220</v>
      </c>
      <c r="Y220" t="b">
        <f t="shared" si="3"/>
        <v>1</v>
      </c>
      <c r="Z220" t="b">
        <f>COUNTBLANK(metadata!B220:R220)=COLUMNS(metadata!B220:R220)</f>
        <v>1</v>
      </c>
      <c r="AA220" t="str">
        <v/>
      </c>
      <c r="AC220" t="b">
        <f ca="1"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AD220" t="b">
        <f>IF(metadata!C220="",FALSE,ISNUMBER(VALUE(metadata!C220)))</f>
        <v>0</v>
      </c>
      <c r="AE220" t="b">
        <f>AND(IF(metadata!D220="",FALSE,TRUE),EXACT(metadata!D220,"years"))</f>
        <v>0</v>
      </c>
      <c r="AF220" t="b">
        <f>OR(AND(IF(metadata!E220="",FALSE,TRUE),OR(EXACT(metadata!E220,"not applicable"),EXACT(metadata!E220,"missing: not collected"),EXACT(metadata!E220,"missing: not provided"),EXACT(metadata!E220,"missing: restricted access"))),AND(IF(metadata!E220="",FALSE,ISNUMBER(VALUE(metadata!E220))),metadata!E220&gt;0))</f>
        <v>0</v>
      </c>
      <c r="AG220" t="b">
        <f>AND(IF(metadata!F220="",FALSE,TRUE),EXACT(metadata!F220,"Not applicable"))</f>
        <v>0</v>
      </c>
      <c r="AH220" t="b">
        <f>AND(IF(metadata!G220="",FALSE,TRUE),EXACT(metadata!G220,"urban biome"))</f>
        <v>0</v>
      </c>
      <c r="AI220" t="b">
        <f>AND(IF(metadata!H220="",FALSE,TRUE),EXACT(metadata!H220,"human-associated habitat"))</f>
        <v>0</v>
      </c>
      <c r="AJ220" t="b">
        <f>AND(IF(metadata!I220="",FALSE,TRUE),OR(EXACT(metadata!I220,"human-associated"),EXACT(metadata!I220,"human-skin"),EXACT(metadata!I220,"human-oral"),EXACT(metadata!I220,"human-gut"),EXACT(metadata!I220,"human-vaginal")))</f>
        <v>0</v>
      </c>
      <c r="AK220" t="b">
        <f>IF(metadata!J220="",FALSE,ISNUMBER(VALUE(metadata!J220)))</f>
        <v>0</v>
      </c>
      <c r="AL220" t="b">
        <f>AND(IF(metadata!K220="",FALSE,TRUE),EXACT(metadata!K220,"cm"))</f>
        <v>0</v>
      </c>
      <c r="AM220" t="b">
        <f>AND(IF(metadata!L220="",FALSE,TRUE),EXACT(metadata!L220,"human"))</f>
        <v>0</v>
      </c>
      <c r="AN220" t="b">
        <f>AND(IF(metadata!M220="",FALSE,TRUE),EXACT(metadata!M220,"Homo sapiens"))</f>
        <v>0</v>
      </c>
      <c r="AO220" t="b">
        <f>AND(IF(metadata!N220="",FALSE,TRUE),EXACT(metadata!N220,"9606"))</f>
        <v>0</v>
      </c>
      <c r="AP220" t="b">
        <f>IF(metadata!O220="",FALSE,TRUE)</f>
        <v>0</v>
      </c>
      <c r="AQ220" t="b">
        <f>IF(metadata!P220="",FALSE,TRUE)</f>
        <v>0</v>
      </c>
      <c r="AR220" t="b">
        <f>IF(metadata!Q220="",FALSE,ISNUMBER(VALUE(metadata!Q220)))</f>
        <v>0</v>
      </c>
      <c r="AS220" t="b">
        <f>AND(IF(metadata!R220="",FALSE,TRUE),EXACT(metadata!R220,"kg"))</f>
        <v>0</v>
      </c>
    </row>
    <row r="221" spans="1:45" x14ac:dyDescent="0.2">
      <c r="A221" s="5" t="str">
        <f ca="1">IF(B221=" "," ",HYPERLINK(CONCATENATE("#metadata!",ADDRESS(INDEX($X$2:$X$1001,MATCH(ROWS($V$2:V221),$V$2:$V$1001,0),0),1)),INDEX($AA$2:$AA$1001,MATCH(ROWS($V$2:V221),$V$2:$V$1001,0),0)))</f>
        <v xml:space="preserve"> </v>
      </c>
      <c r="B221" s="4" t="str">
        <f ca="1">IF(OR(INDEX($W$2:$W$1001,MATCH(ROWS($V$2:V221),$V$2:$V$1001,0),1)&gt;=100000,INDEX($AC$1005:$AS$1005,1,MATCH(COLUMNS($AC$1006:AC1006),$AC$1006:$AS$1006,0))&gt;=100000), " ",IF(INDEX($AC$2:$AS$1001,MATCH(ROWS($V$2:V221),$V$2:$V$1001,0),MATCH(COLUMNS($AC$1006:AC1006),$AC$1006:$AS$1006,0)), HYPERLINK("#",""), HYPERLINK(CONCATENATE("#metadata!", ADDRESS(INDEX($X$2:$X$1001,MATCH(ROWS($V$2:V221),$V$2:$V$1001,0),0), INDEX($AC$1004:$AS$1004,1,MATCH(COLUMNS($AC$1006:AC1006),$AC$1006:$AS$1006,0)))),"Fix")))</f>
        <v xml:space="preserve"> </v>
      </c>
      <c r="C221" s="4" t="str">
        <f ca="1">IF(OR(INDEX($W$2:$W$1001,MATCH(ROWS($V$2:V221),$V$2:$V$1001,0),1)&gt;=100000,INDEX($AC$1005:$AS$1005,1,MATCH(COLUMNS($AC$1006:AD1006),$AC$1006:$AS$1006,0))&gt;=100000), " ",IF(INDEX($AC$2:$AS$1001,MATCH(ROWS($V$2:V221),$V$2:$V$1001,0),MATCH(COLUMNS($AC$1006:AD1006),$AC$1006:$AS$1006,0)), HYPERLINK("#",""), HYPERLINK(CONCATENATE("#metadata!", ADDRESS(INDEX($X$2:$X$1001,MATCH(ROWS($V$2:V221),$V$2:$V$1001,0),0), INDEX($AC$1004:$AS$1004,1,MATCH(COLUMNS($AC$1006:AD1006),$AC$1006:$AS$1006,0)))),"Fix")))</f>
        <v xml:space="preserve"> </v>
      </c>
      <c r="D221" s="4" t="str">
        <f ca="1">IF(OR(INDEX($W$2:$W$1001,MATCH(ROWS($V$2:V221),$V$2:$V$1001,0),1)&gt;=100000,INDEX($AC$1005:$AS$1005,1,MATCH(COLUMNS($AC$1006:AE1006),$AC$1006:$AS$1006,0))&gt;=100000), " ",IF(INDEX($AC$2:$AS$1001,MATCH(ROWS($V$2:V221),$V$2:$V$1001,0),MATCH(COLUMNS($AC$1006:AE1006),$AC$1006:$AS$1006,0)), HYPERLINK("#",""), HYPERLINK(CONCATENATE("#metadata!", ADDRESS(INDEX($X$2:$X$1001,MATCH(ROWS($V$2:V221),$V$2:$V$1001,0),0), INDEX($AC$1004:$AS$1004,1,MATCH(COLUMNS($AC$1006:AE1006),$AC$1006:$AS$1006,0)))),"Fix")))</f>
        <v xml:space="preserve"> </v>
      </c>
      <c r="E221" s="4" t="str">
        <f ca="1">IF(OR(INDEX($W$2:$W$1001,MATCH(ROWS($V$2:V221),$V$2:$V$1001,0),1)&gt;=100000,INDEX($AC$1005:$AS$1005,1,MATCH(COLUMNS($AC$1006:AF1006),$AC$1006:$AS$1006,0))&gt;=100000), " ",IF(INDEX($AC$2:$AS$1001,MATCH(ROWS($V$2:V221),$V$2:$V$1001,0),MATCH(COLUMNS($AC$1006:AF1006),$AC$1006:$AS$1006,0)), HYPERLINK("#",""), HYPERLINK(CONCATENATE("#metadata!", ADDRESS(INDEX($X$2:$X$1001,MATCH(ROWS($V$2:V221),$V$2:$V$1001,0),0), INDEX($AC$1004:$AS$1004,1,MATCH(COLUMNS($AC$1006:AF1006),$AC$1006:$AS$1006,0)))),"Fix")))</f>
        <v xml:space="preserve"> </v>
      </c>
      <c r="F221" s="4" t="str">
        <f ca="1">IF(OR(INDEX($W$2:$W$1001,MATCH(ROWS($V$2:V221),$V$2:$V$1001,0),1)&gt;=100000,INDEX($AC$1005:$AS$1005,1,MATCH(COLUMNS($AC$1006:AG1006),$AC$1006:$AS$1006,0))&gt;=100000), " ",IF(INDEX($AC$2:$AS$1001,MATCH(ROWS($V$2:V221),$V$2:$V$1001,0),MATCH(COLUMNS($AC$1006:AG1006),$AC$1006:$AS$1006,0)), HYPERLINK("#",""), HYPERLINK(CONCATENATE("#metadata!", ADDRESS(INDEX($X$2:$X$1001,MATCH(ROWS($V$2:V221),$V$2:$V$1001,0),0), INDEX($AC$1004:$AS$1004,1,MATCH(COLUMNS($AC$1006:AG1006),$AC$1006:$AS$1006,0)))),"Fix")))</f>
        <v xml:space="preserve"> </v>
      </c>
      <c r="G221" s="4" t="str">
        <f ca="1">IF(OR(INDEX($W$2:$W$1001,MATCH(ROWS($V$2:V221),$V$2:$V$1001,0),1)&gt;=100000,INDEX($AC$1005:$AS$1005,1,MATCH(COLUMNS($AC$1006:AH1006),$AC$1006:$AS$1006,0))&gt;=100000), " ",IF(INDEX($AC$2:$AS$1001,MATCH(ROWS($V$2:V221),$V$2:$V$1001,0),MATCH(COLUMNS($AC$1006:AH1006),$AC$1006:$AS$1006,0)), HYPERLINK("#",""), HYPERLINK(CONCATENATE("#metadata!", ADDRESS(INDEX($X$2:$X$1001,MATCH(ROWS($V$2:V221),$V$2:$V$1001,0),0), INDEX($AC$1004:$AS$1004,1,MATCH(COLUMNS($AC$1006:AH1006),$AC$1006:$AS$1006,0)))),"Fix")))</f>
        <v xml:space="preserve"> </v>
      </c>
      <c r="H221" s="4" t="str">
        <f ca="1">IF(OR(INDEX($W$2:$W$1001,MATCH(ROWS($V$2:V221),$V$2:$V$1001,0),1)&gt;=100000,INDEX($AC$1005:$AS$1005,1,MATCH(COLUMNS($AC$1006:AI1006),$AC$1006:$AS$1006,0))&gt;=100000), " ",IF(INDEX($AC$2:$AS$1001,MATCH(ROWS($V$2:V221),$V$2:$V$1001,0),MATCH(COLUMNS($AC$1006:AI1006),$AC$1006:$AS$1006,0)), HYPERLINK("#",""), HYPERLINK(CONCATENATE("#metadata!", ADDRESS(INDEX($X$2:$X$1001,MATCH(ROWS($V$2:V221),$V$2:$V$1001,0),0), INDEX($AC$1004:$AS$1004,1,MATCH(COLUMNS($AC$1006:AI1006),$AC$1006:$AS$1006,0)))),"Fix")))</f>
        <v xml:space="preserve"> </v>
      </c>
      <c r="I221" s="4" t="str">
        <f ca="1">IF(OR(INDEX($W$2:$W$1001,MATCH(ROWS($V$2:V221),$V$2:$V$1001,0),1)&gt;=100000,INDEX($AC$1005:$AS$1005,1,MATCH(COLUMNS($AC$1006:AJ1006),$AC$1006:$AS$1006,0))&gt;=100000), " ",IF(INDEX($AC$2:$AS$1001,MATCH(ROWS($V$2:V221),$V$2:$V$1001,0),MATCH(COLUMNS($AC$1006:AJ1006),$AC$1006:$AS$1006,0)), HYPERLINK("#",""), HYPERLINK(CONCATENATE("#metadata!", ADDRESS(INDEX($X$2:$X$1001,MATCH(ROWS($V$2:V221),$V$2:$V$1001,0),0), INDEX($AC$1004:$AS$1004,1,MATCH(COLUMNS($AC$1006:AJ1006),$AC$1006:$AS$1006,0)))),"Fix")))</f>
        <v xml:space="preserve"> </v>
      </c>
      <c r="J221" s="4" t="str">
        <f ca="1">IF(OR(INDEX($W$2:$W$1001,MATCH(ROWS($V$2:V221),$V$2:$V$1001,0),1)&gt;=100000,INDEX($AC$1005:$AS$1005,1,MATCH(COLUMNS($AC$1006:AK1006),$AC$1006:$AS$1006,0))&gt;=100000), " ",IF(INDEX($AC$2:$AS$1001,MATCH(ROWS($V$2:V221),$V$2:$V$1001,0),MATCH(COLUMNS($AC$1006:AK1006),$AC$1006:$AS$1006,0)), HYPERLINK("#",""), HYPERLINK(CONCATENATE("#metadata!", ADDRESS(INDEX($X$2:$X$1001,MATCH(ROWS($V$2:V221),$V$2:$V$1001,0),0), INDEX($AC$1004:$AS$1004,1,MATCH(COLUMNS($AC$1006:AK1006),$AC$1006:$AS$1006,0)))),"Fix")))</f>
        <v xml:space="preserve"> </v>
      </c>
      <c r="K221" s="4" t="str">
        <f ca="1">IF(OR(INDEX($W$2:$W$1001,MATCH(ROWS($V$2:V221),$V$2:$V$1001,0),1)&gt;=100000,INDEX($AC$1005:$AS$1005,1,MATCH(COLUMNS($AC$1006:AL1006),$AC$1006:$AS$1006,0))&gt;=100000), " ",IF(INDEX($AC$2:$AS$1001,MATCH(ROWS($V$2:V221),$V$2:$V$1001,0),MATCH(COLUMNS($AC$1006:AL1006),$AC$1006:$AS$1006,0)), HYPERLINK("#",""), HYPERLINK(CONCATENATE("#metadata!", ADDRESS(INDEX($X$2:$X$1001,MATCH(ROWS($V$2:V221),$V$2:$V$1001,0),0), INDEX($AC$1004:$AS$1004,1,MATCH(COLUMNS($AC$1006:AL1006),$AC$1006:$AS$1006,0)))),"Fix")))</f>
        <v xml:space="preserve"> </v>
      </c>
      <c r="L221" s="4" t="str">
        <f ca="1">IF(OR(INDEX($W$2:$W$1001,MATCH(ROWS($V$2:V221),$V$2:$V$1001,0),1)&gt;=100000,INDEX($AC$1005:$AS$1005,1,MATCH(COLUMNS($AC$1006:AM1006),$AC$1006:$AS$1006,0))&gt;=100000), " ",IF(INDEX($AC$2:$AS$1001,MATCH(ROWS($V$2:V221),$V$2:$V$1001,0),MATCH(COLUMNS($AC$1006:AM1006),$AC$1006:$AS$1006,0)), HYPERLINK("#",""), HYPERLINK(CONCATENATE("#metadata!", ADDRESS(INDEX($X$2:$X$1001,MATCH(ROWS($V$2:V221),$V$2:$V$1001,0),0), INDEX($AC$1004:$AS$1004,1,MATCH(COLUMNS($AC$1006:AM1006),$AC$1006:$AS$1006,0)))),"Fix")))</f>
        <v xml:space="preserve"> </v>
      </c>
      <c r="M221" s="4" t="str">
        <f ca="1">IF(OR(INDEX($W$2:$W$1001,MATCH(ROWS($V$2:V221),$V$2:$V$1001,0),1)&gt;=100000,INDEX($AC$1005:$AS$1005,1,MATCH(COLUMNS($AC$1006:AN1006),$AC$1006:$AS$1006,0))&gt;=100000), " ",IF(INDEX($AC$2:$AS$1001,MATCH(ROWS($V$2:V221),$V$2:$V$1001,0),MATCH(COLUMNS($AC$1006:AN1006),$AC$1006:$AS$1006,0)), HYPERLINK("#",""), HYPERLINK(CONCATENATE("#metadata!", ADDRESS(INDEX($X$2:$X$1001,MATCH(ROWS($V$2:V221),$V$2:$V$1001,0),0), INDEX($AC$1004:$AS$1004,1,MATCH(COLUMNS($AC$1006:AN1006),$AC$1006:$AS$1006,0)))),"Fix")))</f>
        <v xml:space="preserve"> </v>
      </c>
      <c r="N221" s="4" t="str">
        <f ca="1">IF(OR(INDEX($W$2:$W$1001,MATCH(ROWS($V$2:V221),$V$2:$V$1001,0),1)&gt;=100000,INDEX($AC$1005:$AS$1005,1,MATCH(COLUMNS($AC$1006:AO1006),$AC$1006:$AS$1006,0))&gt;=100000), " ",IF(INDEX($AC$2:$AS$1001,MATCH(ROWS($V$2:V221),$V$2:$V$1001,0),MATCH(COLUMNS($AC$1006:AO1006),$AC$1006:$AS$1006,0)), HYPERLINK("#",""), HYPERLINK(CONCATENATE("#metadata!", ADDRESS(INDEX($X$2:$X$1001,MATCH(ROWS($V$2:V221),$V$2:$V$1001,0),0), INDEX($AC$1004:$AS$1004,1,MATCH(COLUMNS($AC$1006:AO1006),$AC$1006:$AS$1006,0)))),"Fix")))</f>
        <v xml:space="preserve"> </v>
      </c>
      <c r="O221" s="4" t="str">
        <f ca="1">IF(OR(INDEX($W$2:$W$1001,MATCH(ROWS($V$2:V221),$V$2:$V$1001,0),1)&gt;=100000,INDEX($AC$1005:$AS$1005,1,MATCH(COLUMNS($AC$1006:AP1006),$AC$1006:$AS$1006,0))&gt;=100000), " ",IF(INDEX($AC$2:$AS$1001,MATCH(ROWS($V$2:V221),$V$2:$V$1001,0),MATCH(COLUMNS($AC$1006:AP1006),$AC$1006:$AS$1006,0)), HYPERLINK("#",""), HYPERLINK(CONCATENATE("#metadata!", ADDRESS(INDEX($X$2:$X$1001,MATCH(ROWS($V$2:V221),$V$2:$V$1001,0),0), INDEX($AC$1004:$AS$1004,1,MATCH(COLUMNS($AC$1006:AP1006),$AC$1006:$AS$1006,0)))),"Fix")))</f>
        <v xml:space="preserve"> </v>
      </c>
      <c r="P221" s="4" t="str">
        <f ca="1">IF(OR(INDEX($W$2:$W$1001,MATCH(ROWS($V$2:V221),$V$2:$V$1001,0),1)&gt;=100000,INDEX($AC$1005:$AS$1005,1,MATCH(COLUMNS($AC$1006:AQ1006),$AC$1006:$AS$1006,0))&gt;=100000), " ",IF(INDEX($AC$2:$AS$1001,MATCH(ROWS($V$2:V221),$V$2:$V$1001,0),MATCH(COLUMNS($AC$1006:AQ1006),$AC$1006:$AS$1006,0)), HYPERLINK("#",""), HYPERLINK(CONCATENATE("#metadata!", ADDRESS(INDEX($X$2:$X$1001,MATCH(ROWS($V$2:V221),$V$2:$V$1001,0),0), INDEX($AC$1004:$AS$1004,1,MATCH(COLUMNS($AC$1006:AQ1006),$AC$1006:$AS$1006,0)))),"Fix")))</f>
        <v xml:space="preserve"> </v>
      </c>
      <c r="Q221" s="4" t="str">
        <f ca="1">IF(OR(INDEX($W$2:$W$1001,MATCH(ROWS($V$2:V221),$V$2:$V$1001,0),1)&gt;=100000,INDEX($AC$1005:$AS$1005,1,MATCH(COLUMNS($AC$1006:AR1006),$AC$1006:$AS$1006,0))&gt;=100000), " ",IF(INDEX($AC$2:$AS$1001,MATCH(ROWS($V$2:V221),$V$2:$V$1001,0),MATCH(COLUMNS($AC$1006:AR1006),$AC$1006:$AS$1006,0)), HYPERLINK("#",""), HYPERLINK(CONCATENATE("#metadata!", ADDRESS(INDEX($X$2:$X$1001,MATCH(ROWS($V$2:V221),$V$2:$V$1001,0),0), INDEX($AC$1004:$AS$1004,1,MATCH(COLUMNS($AC$1006:AR1006),$AC$1006:$AS$1006,0)))),"Fix")))</f>
        <v xml:space="preserve"> </v>
      </c>
      <c r="R221" s="4" t="str">
        <f ca="1">IF(OR(INDEX($W$2:$W$1001,MATCH(ROWS($V$2:V221),$V$2:$V$1001,0),1)&gt;=100000,INDEX($AC$1005:$AS$1005,1,MATCH(COLUMNS($AC$1006:AS1006),$AC$1006:$AS$1006,0))&gt;=100000), " ",IF(INDEX($AC$2:$AS$1001,MATCH(ROWS($V$2:V221),$V$2:$V$1001,0),MATCH(COLUMNS($AC$1006:AS1006),$AC$1006:$AS$1006,0)), HYPERLINK("#",""), HYPERLINK(CONCATENATE("#metadata!", ADDRESS(INDEX($X$2:$X$1001,MATCH(ROWS($V$2:V221),$V$2:$V$1001,0),0), INDEX($AC$1004:$AS$1004,1,MATCH(COLUMNS($AC$1006:AS1006),$AC$1006:$AS$1006,0)))),"Fix")))</f>
        <v xml:space="preserve"> </v>
      </c>
      <c r="V221">
        <v>220</v>
      </c>
      <c r="W221">
        <v>100221</v>
      </c>
      <c r="X221">
        <v>221</v>
      </c>
      <c r="Y221" t="b">
        <f t="shared" si="3"/>
        <v>1</v>
      </c>
      <c r="Z221" t="b">
        <f>COUNTBLANK(metadata!B221:R221)=COLUMNS(metadata!B221:R221)</f>
        <v>1</v>
      </c>
      <c r="AA221" t="str">
        <v/>
      </c>
      <c r="AC221" t="b">
        <f ca="1"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AD221" t="b">
        <f>IF(metadata!C221="",FALSE,ISNUMBER(VALUE(metadata!C221)))</f>
        <v>0</v>
      </c>
      <c r="AE221" t="b">
        <f>AND(IF(metadata!D221="",FALSE,TRUE),EXACT(metadata!D221,"years"))</f>
        <v>0</v>
      </c>
      <c r="AF221" t="b">
        <f>OR(AND(IF(metadata!E221="",FALSE,TRUE),OR(EXACT(metadata!E221,"not applicable"),EXACT(metadata!E221,"missing: not collected"),EXACT(metadata!E221,"missing: not provided"),EXACT(metadata!E221,"missing: restricted access"))),AND(IF(metadata!E221="",FALSE,ISNUMBER(VALUE(metadata!E221))),metadata!E221&gt;0))</f>
        <v>0</v>
      </c>
      <c r="AG221" t="b">
        <f>AND(IF(metadata!F221="",FALSE,TRUE),EXACT(metadata!F221,"Not applicable"))</f>
        <v>0</v>
      </c>
      <c r="AH221" t="b">
        <f>AND(IF(metadata!G221="",FALSE,TRUE),EXACT(metadata!G221,"urban biome"))</f>
        <v>0</v>
      </c>
      <c r="AI221" t="b">
        <f>AND(IF(metadata!H221="",FALSE,TRUE),EXACT(metadata!H221,"human-associated habitat"))</f>
        <v>0</v>
      </c>
      <c r="AJ221" t="b">
        <f>AND(IF(metadata!I221="",FALSE,TRUE),OR(EXACT(metadata!I221,"human-associated"),EXACT(metadata!I221,"human-skin"),EXACT(metadata!I221,"human-oral"),EXACT(metadata!I221,"human-gut"),EXACT(metadata!I221,"human-vaginal")))</f>
        <v>0</v>
      </c>
      <c r="AK221" t="b">
        <f>IF(metadata!J221="",FALSE,ISNUMBER(VALUE(metadata!J221)))</f>
        <v>0</v>
      </c>
      <c r="AL221" t="b">
        <f>AND(IF(metadata!K221="",FALSE,TRUE),EXACT(metadata!K221,"cm"))</f>
        <v>0</v>
      </c>
      <c r="AM221" t="b">
        <f>AND(IF(metadata!L221="",FALSE,TRUE),EXACT(metadata!L221,"human"))</f>
        <v>0</v>
      </c>
      <c r="AN221" t="b">
        <f>AND(IF(metadata!M221="",FALSE,TRUE),EXACT(metadata!M221,"Homo sapiens"))</f>
        <v>0</v>
      </c>
      <c r="AO221" t="b">
        <f>AND(IF(metadata!N221="",FALSE,TRUE),EXACT(metadata!N221,"9606"))</f>
        <v>0</v>
      </c>
      <c r="AP221" t="b">
        <f>IF(metadata!O221="",FALSE,TRUE)</f>
        <v>0</v>
      </c>
      <c r="AQ221" t="b">
        <f>IF(metadata!P221="",FALSE,TRUE)</f>
        <v>0</v>
      </c>
      <c r="AR221" t="b">
        <f>IF(metadata!Q221="",FALSE,ISNUMBER(VALUE(metadata!Q221)))</f>
        <v>0</v>
      </c>
      <c r="AS221" t="b">
        <f>AND(IF(metadata!R221="",FALSE,TRUE),EXACT(metadata!R221,"kg"))</f>
        <v>0</v>
      </c>
    </row>
    <row r="222" spans="1:45" x14ac:dyDescent="0.2">
      <c r="A222" s="5" t="str">
        <f ca="1">IF(B222=" "," ",HYPERLINK(CONCATENATE("#metadata!",ADDRESS(INDEX($X$2:$X$1001,MATCH(ROWS($V$2:V222),$V$2:$V$1001,0),0),1)),INDEX($AA$2:$AA$1001,MATCH(ROWS($V$2:V222),$V$2:$V$1001,0),0)))</f>
        <v xml:space="preserve"> </v>
      </c>
      <c r="B222" s="4" t="str">
        <f ca="1">IF(OR(INDEX($W$2:$W$1001,MATCH(ROWS($V$2:V222),$V$2:$V$1001,0),1)&gt;=100000,INDEX($AC$1005:$AS$1005,1,MATCH(COLUMNS($AC$1006:AC1006),$AC$1006:$AS$1006,0))&gt;=100000), " ",IF(INDEX($AC$2:$AS$1001,MATCH(ROWS($V$2:V222),$V$2:$V$1001,0),MATCH(COLUMNS($AC$1006:AC1006),$AC$1006:$AS$1006,0)), HYPERLINK("#",""), HYPERLINK(CONCATENATE("#metadata!", ADDRESS(INDEX($X$2:$X$1001,MATCH(ROWS($V$2:V222),$V$2:$V$1001,0),0), INDEX($AC$1004:$AS$1004,1,MATCH(COLUMNS($AC$1006:AC1006),$AC$1006:$AS$1006,0)))),"Fix")))</f>
        <v xml:space="preserve"> </v>
      </c>
      <c r="C222" s="4" t="str">
        <f ca="1">IF(OR(INDEX($W$2:$W$1001,MATCH(ROWS($V$2:V222),$V$2:$V$1001,0),1)&gt;=100000,INDEX($AC$1005:$AS$1005,1,MATCH(COLUMNS($AC$1006:AD1006),$AC$1006:$AS$1006,0))&gt;=100000), " ",IF(INDEX($AC$2:$AS$1001,MATCH(ROWS($V$2:V222),$V$2:$V$1001,0),MATCH(COLUMNS($AC$1006:AD1006),$AC$1006:$AS$1006,0)), HYPERLINK("#",""), HYPERLINK(CONCATENATE("#metadata!", ADDRESS(INDEX($X$2:$X$1001,MATCH(ROWS($V$2:V222),$V$2:$V$1001,0),0), INDEX($AC$1004:$AS$1004,1,MATCH(COLUMNS($AC$1006:AD1006),$AC$1006:$AS$1006,0)))),"Fix")))</f>
        <v xml:space="preserve"> </v>
      </c>
      <c r="D222" s="4" t="str">
        <f ca="1">IF(OR(INDEX($W$2:$W$1001,MATCH(ROWS($V$2:V222),$V$2:$V$1001,0),1)&gt;=100000,INDEX($AC$1005:$AS$1005,1,MATCH(COLUMNS($AC$1006:AE1006),$AC$1006:$AS$1006,0))&gt;=100000), " ",IF(INDEX($AC$2:$AS$1001,MATCH(ROWS($V$2:V222),$V$2:$V$1001,0),MATCH(COLUMNS($AC$1006:AE1006),$AC$1006:$AS$1006,0)), HYPERLINK("#",""), HYPERLINK(CONCATENATE("#metadata!", ADDRESS(INDEX($X$2:$X$1001,MATCH(ROWS($V$2:V222),$V$2:$V$1001,0),0), INDEX($AC$1004:$AS$1004,1,MATCH(COLUMNS($AC$1006:AE1006),$AC$1006:$AS$1006,0)))),"Fix")))</f>
        <v xml:space="preserve"> </v>
      </c>
      <c r="E222" s="4" t="str">
        <f ca="1">IF(OR(INDEX($W$2:$W$1001,MATCH(ROWS($V$2:V222),$V$2:$V$1001,0),1)&gt;=100000,INDEX($AC$1005:$AS$1005,1,MATCH(COLUMNS($AC$1006:AF1006),$AC$1006:$AS$1006,0))&gt;=100000), " ",IF(INDEX($AC$2:$AS$1001,MATCH(ROWS($V$2:V222),$V$2:$V$1001,0),MATCH(COLUMNS($AC$1006:AF1006),$AC$1006:$AS$1006,0)), HYPERLINK("#",""), HYPERLINK(CONCATENATE("#metadata!", ADDRESS(INDEX($X$2:$X$1001,MATCH(ROWS($V$2:V222),$V$2:$V$1001,0),0), INDEX($AC$1004:$AS$1004,1,MATCH(COLUMNS($AC$1006:AF1006),$AC$1006:$AS$1006,0)))),"Fix")))</f>
        <v xml:space="preserve"> </v>
      </c>
      <c r="F222" s="4" t="str">
        <f ca="1">IF(OR(INDEX($W$2:$W$1001,MATCH(ROWS($V$2:V222),$V$2:$V$1001,0),1)&gt;=100000,INDEX($AC$1005:$AS$1005,1,MATCH(COLUMNS($AC$1006:AG1006),$AC$1006:$AS$1006,0))&gt;=100000), " ",IF(INDEX($AC$2:$AS$1001,MATCH(ROWS($V$2:V222),$V$2:$V$1001,0),MATCH(COLUMNS($AC$1006:AG1006),$AC$1006:$AS$1006,0)), HYPERLINK("#",""), HYPERLINK(CONCATENATE("#metadata!", ADDRESS(INDEX($X$2:$X$1001,MATCH(ROWS($V$2:V222),$V$2:$V$1001,0),0), INDEX($AC$1004:$AS$1004,1,MATCH(COLUMNS($AC$1006:AG1006),$AC$1006:$AS$1006,0)))),"Fix")))</f>
        <v xml:space="preserve"> </v>
      </c>
      <c r="G222" s="4" t="str">
        <f ca="1">IF(OR(INDEX($W$2:$W$1001,MATCH(ROWS($V$2:V222),$V$2:$V$1001,0),1)&gt;=100000,INDEX($AC$1005:$AS$1005,1,MATCH(COLUMNS($AC$1006:AH1006),$AC$1006:$AS$1006,0))&gt;=100000), " ",IF(INDEX($AC$2:$AS$1001,MATCH(ROWS($V$2:V222),$V$2:$V$1001,0),MATCH(COLUMNS($AC$1006:AH1006),$AC$1006:$AS$1006,0)), HYPERLINK("#",""), HYPERLINK(CONCATENATE("#metadata!", ADDRESS(INDEX($X$2:$X$1001,MATCH(ROWS($V$2:V222),$V$2:$V$1001,0),0), INDEX($AC$1004:$AS$1004,1,MATCH(COLUMNS($AC$1006:AH1006),$AC$1006:$AS$1006,0)))),"Fix")))</f>
        <v xml:space="preserve"> </v>
      </c>
      <c r="H222" s="4" t="str">
        <f ca="1">IF(OR(INDEX($W$2:$W$1001,MATCH(ROWS($V$2:V222),$V$2:$V$1001,0),1)&gt;=100000,INDEX($AC$1005:$AS$1005,1,MATCH(COLUMNS($AC$1006:AI1006),$AC$1006:$AS$1006,0))&gt;=100000), " ",IF(INDEX($AC$2:$AS$1001,MATCH(ROWS($V$2:V222),$V$2:$V$1001,0),MATCH(COLUMNS($AC$1006:AI1006),$AC$1006:$AS$1006,0)), HYPERLINK("#",""), HYPERLINK(CONCATENATE("#metadata!", ADDRESS(INDEX($X$2:$X$1001,MATCH(ROWS($V$2:V222),$V$2:$V$1001,0),0), INDEX($AC$1004:$AS$1004,1,MATCH(COLUMNS($AC$1006:AI1006),$AC$1006:$AS$1006,0)))),"Fix")))</f>
        <v xml:space="preserve"> </v>
      </c>
      <c r="I222" s="4" t="str">
        <f ca="1">IF(OR(INDEX($W$2:$W$1001,MATCH(ROWS($V$2:V222),$V$2:$V$1001,0),1)&gt;=100000,INDEX($AC$1005:$AS$1005,1,MATCH(COLUMNS($AC$1006:AJ1006),$AC$1006:$AS$1006,0))&gt;=100000), " ",IF(INDEX($AC$2:$AS$1001,MATCH(ROWS($V$2:V222),$V$2:$V$1001,0),MATCH(COLUMNS($AC$1006:AJ1006),$AC$1006:$AS$1006,0)), HYPERLINK("#",""), HYPERLINK(CONCATENATE("#metadata!", ADDRESS(INDEX($X$2:$X$1001,MATCH(ROWS($V$2:V222),$V$2:$V$1001,0),0), INDEX($AC$1004:$AS$1004,1,MATCH(COLUMNS($AC$1006:AJ1006),$AC$1006:$AS$1006,0)))),"Fix")))</f>
        <v xml:space="preserve"> </v>
      </c>
      <c r="J222" s="4" t="str">
        <f ca="1">IF(OR(INDEX($W$2:$W$1001,MATCH(ROWS($V$2:V222),$V$2:$V$1001,0),1)&gt;=100000,INDEX($AC$1005:$AS$1005,1,MATCH(COLUMNS($AC$1006:AK1006),$AC$1006:$AS$1006,0))&gt;=100000), " ",IF(INDEX($AC$2:$AS$1001,MATCH(ROWS($V$2:V222),$V$2:$V$1001,0),MATCH(COLUMNS($AC$1006:AK1006),$AC$1006:$AS$1006,0)), HYPERLINK("#",""), HYPERLINK(CONCATENATE("#metadata!", ADDRESS(INDEX($X$2:$X$1001,MATCH(ROWS($V$2:V222),$V$2:$V$1001,0),0), INDEX($AC$1004:$AS$1004,1,MATCH(COLUMNS($AC$1006:AK1006),$AC$1006:$AS$1006,0)))),"Fix")))</f>
        <v xml:space="preserve"> </v>
      </c>
      <c r="K222" s="4" t="str">
        <f ca="1">IF(OR(INDEX($W$2:$W$1001,MATCH(ROWS($V$2:V222),$V$2:$V$1001,0),1)&gt;=100000,INDEX($AC$1005:$AS$1005,1,MATCH(COLUMNS($AC$1006:AL1006),$AC$1006:$AS$1006,0))&gt;=100000), " ",IF(INDEX($AC$2:$AS$1001,MATCH(ROWS($V$2:V222),$V$2:$V$1001,0),MATCH(COLUMNS($AC$1006:AL1006),$AC$1006:$AS$1006,0)), HYPERLINK("#",""), HYPERLINK(CONCATENATE("#metadata!", ADDRESS(INDEX($X$2:$X$1001,MATCH(ROWS($V$2:V222),$V$2:$V$1001,0),0), INDEX($AC$1004:$AS$1004,1,MATCH(COLUMNS($AC$1006:AL1006),$AC$1006:$AS$1006,0)))),"Fix")))</f>
        <v xml:space="preserve"> </v>
      </c>
      <c r="L222" s="4" t="str">
        <f ca="1">IF(OR(INDEX($W$2:$W$1001,MATCH(ROWS($V$2:V222),$V$2:$V$1001,0),1)&gt;=100000,INDEX($AC$1005:$AS$1005,1,MATCH(COLUMNS($AC$1006:AM1006),$AC$1006:$AS$1006,0))&gt;=100000), " ",IF(INDEX($AC$2:$AS$1001,MATCH(ROWS($V$2:V222),$V$2:$V$1001,0),MATCH(COLUMNS($AC$1006:AM1006),$AC$1006:$AS$1006,0)), HYPERLINK("#",""), HYPERLINK(CONCATENATE("#metadata!", ADDRESS(INDEX($X$2:$X$1001,MATCH(ROWS($V$2:V222),$V$2:$V$1001,0),0), INDEX($AC$1004:$AS$1004,1,MATCH(COLUMNS($AC$1006:AM1006),$AC$1006:$AS$1006,0)))),"Fix")))</f>
        <v xml:space="preserve"> </v>
      </c>
      <c r="M222" s="4" t="str">
        <f ca="1">IF(OR(INDEX($W$2:$W$1001,MATCH(ROWS($V$2:V222),$V$2:$V$1001,0),1)&gt;=100000,INDEX($AC$1005:$AS$1005,1,MATCH(COLUMNS($AC$1006:AN1006),$AC$1006:$AS$1006,0))&gt;=100000), " ",IF(INDEX($AC$2:$AS$1001,MATCH(ROWS($V$2:V222),$V$2:$V$1001,0),MATCH(COLUMNS($AC$1006:AN1006),$AC$1006:$AS$1006,0)), HYPERLINK("#",""), HYPERLINK(CONCATENATE("#metadata!", ADDRESS(INDEX($X$2:$X$1001,MATCH(ROWS($V$2:V222),$V$2:$V$1001,0),0), INDEX($AC$1004:$AS$1004,1,MATCH(COLUMNS($AC$1006:AN1006),$AC$1006:$AS$1006,0)))),"Fix")))</f>
        <v xml:space="preserve"> </v>
      </c>
      <c r="N222" s="4" t="str">
        <f ca="1">IF(OR(INDEX($W$2:$W$1001,MATCH(ROWS($V$2:V222),$V$2:$V$1001,0),1)&gt;=100000,INDEX($AC$1005:$AS$1005,1,MATCH(COLUMNS($AC$1006:AO1006),$AC$1006:$AS$1006,0))&gt;=100000), " ",IF(INDEX($AC$2:$AS$1001,MATCH(ROWS($V$2:V222),$V$2:$V$1001,0),MATCH(COLUMNS($AC$1006:AO1006),$AC$1006:$AS$1006,0)), HYPERLINK("#",""), HYPERLINK(CONCATENATE("#metadata!", ADDRESS(INDEX($X$2:$X$1001,MATCH(ROWS($V$2:V222),$V$2:$V$1001,0),0), INDEX($AC$1004:$AS$1004,1,MATCH(COLUMNS($AC$1006:AO1006),$AC$1006:$AS$1006,0)))),"Fix")))</f>
        <v xml:space="preserve"> </v>
      </c>
      <c r="O222" s="4" t="str">
        <f ca="1">IF(OR(INDEX($W$2:$W$1001,MATCH(ROWS($V$2:V222),$V$2:$V$1001,0),1)&gt;=100000,INDEX($AC$1005:$AS$1005,1,MATCH(COLUMNS($AC$1006:AP1006),$AC$1006:$AS$1006,0))&gt;=100000), " ",IF(INDEX($AC$2:$AS$1001,MATCH(ROWS($V$2:V222),$V$2:$V$1001,0),MATCH(COLUMNS($AC$1006:AP1006),$AC$1006:$AS$1006,0)), HYPERLINK("#",""), HYPERLINK(CONCATENATE("#metadata!", ADDRESS(INDEX($X$2:$X$1001,MATCH(ROWS($V$2:V222),$V$2:$V$1001,0),0), INDEX($AC$1004:$AS$1004,1,MATCH(COLUMNS($AC$1006:AP1006),$AC$1006:$AS$1006,0)))),"Fix")))</f>
        <v xml:space="preserve"> </v>
      </c>
      <c r="P222" s="4" t="str">
        <f ca="1">IF(OR(INDEX($W$2:$W$1001,MATCH(ROWS($V$2:V222),$V$2:$V$1001,0),1)&gt;=100000,INDEX($AC$1005:$AS$1005,1,MATCH(COLUMNS($AC$1006:AQ1006),$AC$1006:$AS$1006,0))&gt;=100000), " ",IF(INDEX($AC$2:$AS$1001,MATCH(ROWS($V$2:V222),$V$2:$V$1001,0),MATCH(COLUMNS($AC$1006:AQ1006),$AC$1006:$AS$1006,0)), HYPERLINK("#",""), HYPERLINK(CONCATENATE("#metadata!", ADDRESS(INDEX($X$2:$X$1001,MATCH(ROWS($V$2:V222),$V$2:$V$1001,0),0), INDEX($AC$1004:$AS$1004,1,MATCH(COLUMNS($AC$1006:AQ1006),$AC$1006:$AS$1006,0)))),"Fix")))</f>
        <v xml:space="preserve"> </v>
      </c>
      <c r="Q222" s="4" t="str">
        <f ca="1">IF(OR(INDEX($W$2:$W$1001,MATCH(ROWS($V$2:V222),$V$2:$V$1001,0),1)&gt;=100000,INDEX($AC$1005:$AS$1005,1,MATCH(COLUMNS($AC$1006:AR1006),$AC$1006:$AS$1006,0))&gt;=100000), " ",IF(INDEX($AC$2:$AS$1001,MATCH(ROWS($V$2:V222),$V$2:$V$1001,0),MATCH(COLUMNS($AC$1006:AR1006),$AC$1006:$AS$1006,0)), HYPERLINK("#",""), HYPERLINK(CONCATENATE("#metadata!", ADDRESS(INDEX($X$2:$X$1001,MATCH(ROWS($V$2:V222),$V$2:$V$1001,0),0), INDEX($AC$1004:$AS$1004,1,MATCH(COLUMNS($AC$1006:AR1006),$AC$1006:$AS$1006,0)))),"Fix")))</f>
        <v xml:space="preserve"> </v>
      </c>
      <c r="R222" s="4" t="str">
        <f ca="1">IF(OR(INDEX($W$2:$W$1001,MATCH(ROWS($V$2:V222),$V$2:$V$1001,0),1)&gt;=100000,INDEX($AC$1005:$AS$1005,1,MATCH(COLUMNS($AC$1006:AS1006),$AC$1006:$AS$1006,0))&gt;=100000), " ",IF(INDEX($AC$2:$AS$1001,MATCH(ROWS($V$2:V222),$V$2:$V$1001,0),MATCH(COLUMNS($AC$1006:AS1006),$AC$1006:$AS$1006,0)), HYPERLINK("#",""), HYPERLINK(CONCATENATE("#metadata!", ADDRESS(INDEX($X$2:$X$1001,MATCH(ROWS($V$2:V222),$V$2:$V$1001,0),0), INDEX($AC$1004:$AS$1004,1,MATCH(COLUMNS($AC$1006:AS1006),$AC$1006:$AS$1006,0)))),"Fix")))</f>
        <v xml:space="preserve"> </v>
      </c>
      <c r="V222">
        <v>221</v>
      </c>
      <c r="W222">
        <v>100222</v>
      </c>
      <c r="X222">
        <v>222</v>
      </c>
      <c r="Y222" t="b">
        <f t="shared" si="3"/>
        <v>1</v>
      </c>
      <c r="Z222" t="b">
        <f>COUNTBLANK(metadata!B222:R222)=COLUMNS(metadata!B222:R222)</f>
        <v>1</v>
      </c>
      <c r="AA222" t="str">
        <v/>
      </c>
      <c r="AC222" t="b">
        <f ca="1"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AD222" t="b">
        <f>IF(metadata!C222="",FALSE,ISNUMBER(VALUE(metadata!C222)))</f>
        <v>0</v>
      </c>
      <c r="AE222" t="b">
        <f>AND(IF(metadata!D222="",FALSE,TRUE),EXACT(metadata!D222,"years"))</f>
        <v>0</v>
      </c>
      <c r="AF222" t="b">
        <f>OR(AND(IF(metadata!E222="",FALSE,TRUE),OR(EXACT(metadata!E222,"not applicable"),EXACT(metadata!E222,"missing: not collected"),EXACT(metadata!E222,"missing: not provided"),EXACT(metadata!E222,"missing: restricted access"))),AND(IF(metadata!E222="",FALSE,ISNUMBER(VALUE(metadata!E222))),metadata!E222&gt;0))</f>
        <v>0</v>
      </c>
      <c r="AG222" t="b">
        <f>AND(IF(metadata!F222="",FALSE,TRUE),EXACT(metadata!F222,"Not applicable"))</f>
        <v>0</v>
      </c>
      <c r="AH222" t="b">
        <f>AND(IF(metadata!G222="",FALSE,TRUE),EXACT(metadata!G222,"urban biome"))</f>
        <v>0</v>
      </c>
      <c r="AI222" t="b">
        <f>AND(IF(metadata!H222="",FALSE,TRUE),EXACT(metadata!H222,"human-associated habitat"))</f>
        <v>0</v>
      </c>
      <c r="AJ222" t="b">
        <f>AND(IF(metadata!I222="",FALSE,TRUE),OR(EXACT(metadata!I222,"human-associated"),EXACT(metadata!I222,"human-skin"),EXACT(metadata!I222,"human-oral"),EXACT(metadata!I222,"human-gut"),EXACT(metadata!I222,"human-vaginal")))</f>
        <v>0</v>
      </c>
      <c r="AK222" t="b">
        <f>IF(metadata!J222="",FALSE,ISNUMBER(VALUE(metadata!J222)))</f>
        <v>0</v>
      </c>
      <c r="AL222" t="b">
        <f>AND(IF(metadata!K222="",FALSE,TRUE),EXACT(metadata!K222,"cm"))</f>
        <v>0</v>
      </c>
      <c r="AM222" t="b">
        <f>AND(IF(metadata!L222="",FALSE,TRUE),EXACT(metadata!L222,"human"))</f>
        <v>0</v>
      </c>
      <c r="AN222" t="b">
        <f>AND(IF(metadata!M222="",FALSE,TRUE),EXACT(metadata!M222,"Homo sapiens"))</f>
        <v>0</v>
      </c>
      <c r="AO222" t="b">
        <f>AND(IF(metadata!N222="",FALSE,TRUE),EXACT(metadata!N222,"9606"))</f>
        <v>0</v>
      </c>
      <c r="AP222" t="b">
        <f>IF(metadata!O222="",FALSE,TRUE)</f>
        <v>0</v>
      </c>
      <c r="AQ222" t="b">
        <f>IF(metadata!P222="",FALSE,TRUE)</f>
        <v>0</v>
      </c>
      <c r="AR222" t="b">
        <f>IF(metadata!Q222="",FALSE,ISNUMBER(VALUE(metadata!Q222)))</f>
        <v>0</v>
      </c>
      <c r="AS222" t="b">
        <f>AND(IF(metadata!R222="",FALSE,TRUE),EXACT(metadata!R222,"kg"))</f>
        <v>0</v>
      </c>
    </row>
    <row r="223" spans="1:45" x14ac:dyDescent="0.2">
      <c r="A223" s="5" t="str">
        <f ca="1">IF(B223=" "," ",HYPERLINK(CONCATENATE("#metadata!",ADDRESS(INDEX($X$2:$X$1001,MATCH(ROWS($V$2:V223),$V$2:$V$1001,0),0),1)),INDEX($AA$2:$AA$1001,MATCH(ROWS($V$2:V223),$V$2:$V$1001,0),0)))</f>
        <v xml:space="preserve"> </v>
      </c>
      <c r="B223" s="4" t="str">
        <f ca="1">IF(OR(INDEX($W$2:$W$1001,MATCH(ROWS($V$2:V223),$V$2:$V$1001,0),1)&gt;=100000,INDEX($AC$1005:$AS$1005,1,MATCH(COLUMNS($AC$1006:AC1006),$AC$1006:$AS$1006,0))&gt;=100000), " ",IF(INDEX($AC$2:$AS$1001,MATCH(ROWS($V$2:V223),$V$2:$V$1001,0),MATCH(COLUMNS($AC$1006:AC1006),$AC$1006:$AS$1006,0)), HYPERLINK("#",""), HYPERLINK(CONCATENATE("#metadata!", ADDRESS(INDEX($X$2:$X$1001,MATCH(ROWS($V$2:V223),$V$2:$V$1001,0),0), INDEX($AC$1004:$AS$1004,1,MATCH(COLUMNS($AC$1006:AC1006),$AC$1006:$AS$1006,0)))),"Fix")))</f>
        <v xml:space="preserve"> </v>
      </c>
      <c r="C223" s="4" t="str">
        <f ca="1">IF(OR(INDEX($W$2:$W$1001,MATCH(ROWS($V$2:V223),$V$2:$V$1001,0),1)&gt;=100000,INDEX($AC$1005:$AS$1005,1,MATCH(COLUMNS($AC$1006:AD1006),$AC$1006:$AS$1006,0))&gt;=100000), " ",IF(INDEX($AC$2:$AS$1001,MATCH(ROWS($V$2:V223),$V$2:$V$1001,0),MATCH(COLUMNS($AC$1006:AD1006),$AC$1006:$AS$1006,0)), HYPERLINK("#",""), HYPERLINK(CONCATENATE("#metadata!", ADDRESS(INDEX($X$2:$X$1001,MATCH(ROWS($V$2:V223),$V$2:$V$1001,0),0), INDEX($AC$1004:$AS$1004,1,MATCH(COLUMNS($AC$1006:AD1006),$AC$1006:$AS$1006,0)))),"Fix")))</f>
        <v xml:space="preserve"> </v>
      </c>
      <c r="D223" s="4" t="str">
        <f ca="1">IF(OR(INDEX($W$2:$W$1001,MATCH(ROWS($V$2:V223),$V$2:$V$1001,0),1)&gt;=100000,INDEX($AC$1005:$AS$1005,1,MATCH(COLUMNS($AC$1006:AE1006),$AC$1006:$AS$1006,0))&gt;=100000), " ",IF(INDEX($AC$2:$AS$1001,MATCH(ROWS($V$2:V223),$V$2:$V$1001,0),MATCH(COLUMNS($AC$1006:AE1006),$AC$1006:$AS$1006,0)), HYPERLINK("#",""), HYPERLINK(CONCATENATE("#metadata!", ADDRESS(INDEX($X$2:$X$1001,MATCH(ROWS($V$2:V223),$V$2:$V$1001,0),0), INDEX($AC$1004:$AS$1004,1,MATCH(COLUMNS($AC$1006:AE1006),$AC$1006:$AS$1006,0)))),"Fix")))</f>
        <v xml:space="preserve"> </v>
      </c>
      <c r="E223" s="4" t="str">
        <f ca="1">IF(OR(INDEX($W$2:$W$1001,MATCH(ROWS($V$2:V223),$V$2:$V$1001,0),1)&gt;=100000,INDEX($AC$1005:$AS$1005,1,MATCH(COLUMNS($AC$1006:AF1006),$AC$1006:$AS$1006,0))&gt;=100000), " ",IF(INDEX($AC$2:$AS$1001,MATCH(ROWS($V$2:V223),$V$2:$V$1001,0),MATCH(COLUMNS($AC$1006:AF1006),$AC$1006:$AS$1006,0)), HYPERLINK("#",""), HYPERLINK(CONCATENATE("#metadata!", ADDRESS(INDEX($X$2:$X$1001,MATCH(ROWS($V$2:V223),$V$2:$V$1001,0),0), INDEX($AC$1004:$AS$1004,1,MATCH(COLUMNS($AC$1006:AF1006),$AC$1006:$AS$1006,0)))),"Fix")))</f>
        <v xml:space="preserve"> </v>
      </c>
      <c r="F223" s="4" t="str">
        <f ca="1">IF(OR(INDEX($W$2:$W$1001,MATCH(ROWS($V$2:V223),$V$2:$V$1001,0),1)&gt;=100000,INDEX($AC$1005:$AS$1005,1,MATCH(COLUMNS($AC$1006:AG1006),$AC$1006:$AS$1006,0))&gt;=100000), " ",IF(INDEX($AC$2:$AS$1001,MATCH(ROWS($V$2:V223),$V$2:$V$1001,0),MATCH(COLUMNS($AC$1006:AG1006),$AC$1006:$AS$1006,0)), HYPERLINK("#",""), HYPERLINK(CONCATENATE("#metadata!", ADDRESS(INDEX($X$2:$X$1001,MATCH(ROWS($V$2:V223),$V$2:$V$1001,0),0), INDEX($AC$1004:$AS$1004,1,MATCH(COLUMNS($AC$1006:AG1006),$AC$1006:$AS$1006,0)))),"Fix")))</f>
        <v xml:space="preserve"> </v>
      </c>
      <c r="G223" s="4" t="str">
        <f ca="1">IF(OR(INDEX($W$2:$W$1001,MATCH(ROWS($V$2:V223),$V$2:$V$1001,0),1)&gt;=100000,INDEX($AC$1005:$AS$1005,1,MATCH(COLUMNS($AC$1006:AH1006),$AC$1006:$AS$1006,0))&gt;=100000), " ",IF(INDEX($AC$2:$AS$1001,MATCH(ROWS($V$2:V223),$V$2:$V$1001,0),MATCH(COLUMNS($AC$1006:AH1006),$AC$1006:$AS$1006,0)), HYPERLINK("#",""), HYPERLINK(CONCATENATE("#metadata!", ADDRESS(INDEX($X$2:$X$1001,MATCH(ROWS($V$2:V223),$V$2:$V$1001,0),0), INDEX($AC$1004:$AS$1004,1,MATCH(COLUMNS($AC$1006:AH1006),$AC$1006:$AS$1006,0)))),"Fix")))</f>
        <v xml:space="preserve"> </v>
      </c>
      <c r="H223" s="4" t="str">
        <f ca="1">IF(OR(INDEX($W$2:$W$1001,MATCH(ROWS($V$2:V223),$V$2:$V$1001,0),1)&gt;=100000,INDEX($AC$1005:$AS$1005,1,MATCH(COLUMNS($AC$1006:AI1006),$AC$1006:$AS$1006,0))&gt;=100000), " ",IF(INDEX($AC$2:$AS$1001,MATCH(ROWS($V$2:V223),$V$2:$V$1001,0),MATCH(COLUMNS($AC$1006:AI1006),$AC$1006:$AS$1006,0)), HYPERLINK("#",""), HYPERLINK(CONCATENATE("#metadata!", ADDRESS(INDEX($X$2:$X$1001,MATCH(ROWS($V$2:V223),$V$2:$V$1001,0),0), INDEX($AC$1004:$AS$1004,1,MATCH(COLUMNS($AC$1006:AI1006),$AC$1006:$AS$1006,0)))),"Fix")))</f>
        <v xml:space="preserve"> </v>
      </c>
      <c r="I223" s="4" t="str">
        <f ca="1">IF(OR(INDEX($W$2:$W$1001,MATCH(ROWS($V$2:V223),$V$2:$V$1001,0),1)&gt;=100000,INDEX($AC$1005:$AS$1005,1,MATCH(COLUMNS($AC$1006:AJ1006),$AC$1006:$AS$1006,0))&gt;=100000), " ",IF(INDEX($AC$2:$AS$1001,MATCH(ROWS($V$2:V223),$V$2:$V$1001,0),MATCH(COLUMNS($AC$1006:AJ1006),$AC$1006:$AS$1006,0)), HYPERLINK("#",""), HYPERLINK(CONCATENATE("#metadata!", ADDRESS(INDEX($X$2:$X$1001,MATCH(ROWS($V$2:V223),$V$2:$V$1001,0),0), INDEX($AC$1004:$AS$1004,1,MATCH(COLUMNS($AC$1006:AJ1006),$AC$1006:$AS$1006,0)))),"Fix")))</f>
        <v xml:space="preserve"> </v>
      </c>
      <c r="J223" s="4" t="str">
        <f ca="1">IF(OR(INDEX($W$2:$W$1001,MATCH(ROWS($V$2:V223),$V$2:$V$1001,0),1)&gt;=100000,INDEX($AC$1005:$AS$1005,1,MATCH(COLUMNS($AC$1006:AK1006),$AC$1006:$AS$1006,0))&gt;=100000), " ",IF(INDEX($AC$2:$AS$1001,MATCH(ROWS($V$2:V223),$V$2:$V$1001,0),MATCH(COLUMNS($AC$1006:AK1006),$AC$1006:$AS$1006,0)), HYPERLINK("#",""), HYPERLINK(CONCATENATE("#metadata!", ADDRESS(INDEX($X$2:$X$1001,MATCH(ROWS($V$2:V223),$V$2:$V$1001,0),0), INDEX($AC$1004:$AS$1004,1,MATCH(COLUMNS($AC$1006:AK1006),$AC$1006:$AS$1006,0)))),"Fix")))</f>
        <v xml:space="preserve"> </v>
      </c>
      <c r="K223" s="4" t="str">
        <f ca="1">IF(OR(INDEX($W$2:$W$1001,MATCH(ROWS($V$2:V223),$V$2:$V$1001,0),1)&gt;=100000,INDEX($AC$1005:$AS$1005,1,MATCH(COLUMNS($AC$1006:AL1006),$AC$1006:$AS$1006,0))&gt;=100000), " ",IF(INDEX($AC$2:$AS$1001,MATCH(ROWS($V$2:V223),$V$2:$V$1001,0),MATCH(COLUMNS($AC$1006:AL1006),$AC$1006:$AS$1006,0)), HYPERLINK("#",""), HYPERLINK(CONCATENATE("#metadata!", ADDRESS(INDEX($X$2:$X$1001,MATCH(ROWS($V$2:V223),$V$2:$V$1001,0),0), INDEX($AC$1004:$AS$1004,1,MATCH(COLUMNS($AC$1006:AL1006),$AC$1006:$AS$1006,0)))),"Fix")))</f>
        <v xml:space="preserve"> </v>
      </c>
      <c r="L223" s="4" t="str">
        <f ca="1">IF(OR(INDEX($W$2:$W$1001,MATCH(ROWS($V$2:V223),$V$2:$V$1001,0),1)&gt;=100000,INDEX($AC$1005:$AS$1005,1,MATCH(COLUMNS($AC$1006:AM1006),$AC$1006:$AS$1006,0))&gt;=100000), " ",IF(INDEX($AC$2:$AS$1001,MATCH(ROWS($V$2:V223),$V$2:$V$1001,0),MATCH(COLUMNS($AC$1006:AM1006),$AC$1006:$AS$1006,0)), HYPERLINK("#",""), HYPERLINK(CONCATENATE("#metadata!", ADDRESS(INDEX($X$2:$X$1001,MATCH(ROWS($V$2:V223),$V$2:$V$1001,0),0), INDEX($AC$1004:$AS$1004,1,MATCH(COLUMNS($AC$1006:AM1006),$AC$1006:$AS$1006,0)))),"Fix")))</f>
        <v xml:space="preserve"> </v>
      </c>
      <c r="M223" s="4" t="str">
        <f ca="1">IF(OR(INDEX($W$2:$W$1001,MATCH(ROWS($V$2:V223),$V$2:$V$1001,0),1)&gt;=100000,INDEX($AC$1005:$AS$1005,1,MATCH(COLUMNS($AC$1006:AN1006),$AC$1006:$AS$1006,0))&gt;=100000), " ",IF(INDEX($AC$2:$AS$1001,MATCH(ROWS($V$2:V223),$V$2:$V$1001,0),MATCH(COLUMNS($AC$1006:AN1006),$AC$1006:$AS$1006,0)), HYPERLINK("#",""), HYPERLINK(CONCATENATE("#metadata!", ADDRESS(INDEX($X$2:$X$1001,MATCH(ROWS($V$2:V223),$V$2:$V$1001,0),0), INDEX($AC$1004:$AS$1004,1,MATCH(COLUMNS($AC$1006:AN1006),$AC$1006:$AS$1006,0)))),"Fix")))</f>
        <v xml:space="preserve"> </v>
      </c>
      <c r="N223" s="4" t="str">
        <f ca="1">IF(OR(INDEX($W$2:$W$1001,MATCH(ROWS($V$2:V223),$V$2:$V$1001,0),1)&gt;=100000,INDEX($AC$1005:$AS$1005,1,MATCH(COLUMNS($AC$1006:AO1006),$AC$1006:$AS$1006,0))&gt;=100000), " ",IF(INDEX($AC$2:$AS$1001,MATCH(ROWS($V$2:V223),$V$2:$V$1001,0),MATCH(COLUMNS($AC$1006:AO1006),$AC$1006:$AS$1006,0)), HYPERLINK("#",""), HYPERLINK(CONCATENATE("#metadata!", ADDRESS(INDEX($X$2:$X$1001,MATCH(ROWS($V$2:V223),$V$2:$V$1001,0),0), INDEX($AC$1004:$AS$1004,1,MATCH(COLUMNS($AC$1006:AO1006),$AC$1006:$AS$1006,0)))),"Fix")))</f>
        <v xml:space="preserve"> </v>
      </c>
      <c r="O223" s="4" t="str">
        <f ca="1">IF(OR(INDEX($W$2:$W$1001,MATCH(ROWS($V$2:V223),$V$2:$V$1001,0),1)&gt;=100000,INDEX($AC$1005:$AS$1005,1,MATCH(COLUMNS($AC$1006:AP1006),$AC$1006:$AS$1006,0))&gt;=100000), " ",IF(INDEX($AC$2:$AS$1001,MATCH(ROWS($V$2:V223),$V$2:$V$1001,0),MATCH(COLUMNS($AC$1006:AP1006),$AC$1006:$AS$1006,0)), HYPERLINK("#",""), HYPERLINK(CONCATENATE("#metadata!", ADDRESS(INDEX($X$2:$X$1001,MATCH(ROWS($V$2:V223),$V$2:$V$1001,0),0), INDEX($AC$1004:$AS$1004,1,MATCH(COLUMNS($AC$1006:AP1006),$AC$1006:$AS$1006,0)))),"Fix")))</f>
        <v xml:space="preserve"> </v>
      </c>
      <c r="P223" s="4" t="str">
        <f ca="1">IF(OR(INDEX($W$2:$W$1001,MATCH(ROWS($V$2:V223),$V$2:$V$1001,0),1)&gt;=100000,INDEX($AC$1005:$AS$1005,1,MATCH(COLUMNS($AC$1006:AQ1006),$AC$1006:$AS$1006,0))&gt;=100000), " ",IF(INDEX($AC$2:$AS$1001,MATCH(ROWS($V$2:V223),$V$2:$V$1001,0),MATCH(COLUMNS($AC$1006:AQ1006),$AC$1006:$AS$1006,0)), HYPERLINK("#",""), HYPERLINK(CONCATENATE("#metadata!", ADDRESS(INDEX($X$2:$X$1001,MATCH(ROWS($V$2:V223),$V$2:$V$1001,0),0), INDEX($AC$1004:$AS$1004,1,MATCH(COLUMNS($AC$1006:AQ1006),$AC$1006:$AS$1006,0)))),"Fix")))</f>
        <v xml:space="preserve"> </v>
      </c>
      <c r="Q223" s="4" t="str">
        <f ca="1">IF(OR(INDEX($W$2:$W$1001,MATCH(ROWS($V$2:V223),$V$2:$V$1001,0),1)&gt;=100000,INDEX($AC$1005:$AS$1005,1,MATCH(COLUMNS($AC$1006:AR1006),$AC$1006:$AS$1006,0))&gt;=100000), " ",IF(INDEX($AC$2:$AS$1001,MATCH(ROWS($V$2:V223),$V$2:$V$1001,0),MATCH(COLUMNS($AC$1006:AR1006),$AC$1006:$AS$1006,0)), HYPERLINK("#",""), HYPERLINK(CONCATENATE("#metadata!", ADDRESS(INDEX($X$2:$X$1001,MATCH(ROWS($V$2:V223),$V$2:$V$1001,0),0), INDEX($AC$1004:$AS$1004,1,MATCH(COLUMNS($AC$1006:AR1006),$AC$1006:$AS$1006,0)))),"Fix")))</f>
        <v xml:space="preserve"> </v>
      </c>
      <c r="R223" s="4" t="str">
        <f ca="1">IF(OR(INDEX($W$2:$W$1001,MATCH(ROWS($V$2:V223),$V$2:$V$1001,0),1)&gt;=100000,INDEX($AC$1005:$AS$1005,1,MATCH(COLUMNS($AC$1006:AS1006),$AC$1006:$AS$1006,0))&gt;=100000), " ",IF(INDEX($AC$2:$AS$1001,MATCH(ROWS($V$2:V223),$V$2:$V$1001,0),MATCH(COLUMNS($AC$1006:AS1006),$AC$1006:$AS$1006,0)), HYPERLINK("#",""), HYPERLINK(CONCATENATE("#metadata!", ADDRESS(INDEX($X$2:$X$1001,MATCH(ROWS($V$2:V223),$V$2:$V$1001,0),0), INDEX($AC$1004:$AS$1004,1,MATCH(COLUMNS($AC$1006:AS1006),$AC$1006:$AS$1006,0)))),"Fix")))</f>
        <v xml:space="preserve"> </v>
      </c>
      <c r="V223">
        <v>222</v>
      </c>
      <c r="W223">
        <v>100223</v>
      </c>
      <c r="X223">
        <v>223</v>
      </c>
      <c r="Y223" t="b">
        <f t="shared" si="3"/>
        <v>1</v>
      </c>
      <c r="Z223" t="b">
        <f>COUNTBLANK(metadata!B223:R223)=COLUMNS(metadata!B223:R223)</f>
        <v>1</v>
      </c>
      <c r="AA223" t="str">
        <v/>
      </c>
      <c r="AC223" t="b">
        <f ca="1"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AD223" t="b">
        <f>IF(metadata!C223="",FALSE,ISNUMBER(VALUE(metadata!C223)))</f>
        <v>0</v>
      </c>
      <c r="AE223" t="b">
        <f>AND(IF(metadata!D223="",FALSE,TRUE),EXACT(metadata!D223,"years"))</f>
        <v>0</v>
      </c>
      <c r="AF223" t="b">
        <f>OR(AND(IF(metadata!E223="",FALSE,TRUE),OR(EXACT(metadata!E223,"not applicable"),EXACT(metadata!E223,"missing: not collected"),EXACT(metadata!E223,"missing: not provided"),EXACT(metadata!E223,"missing: restricted access"))),AND(IF(metadata!E223="",FALSE,ISNUMBER(VALUE(metadata!E223))),metadata!E223&gt;0))</f>
        <v>0</v>
      </c>
      <c r="AG223" t="b">
        <f>AND(IF(metadata!F223="",FALSE,TRUE),EXACT(metadata!F223,"Not applicable"))</f>
        <v>0</v>
      </c>
      <c r="AH223" t="b">
        <f>AND(IF(metadata!G223="",FALSE,TRUE),EXACT(metadata!G223,"urban biome"))</f>
        <v>0</v>
      </c>
      <c r="AI223" t="b">
        <f>AND(IF(metadata!H223="",FALSE,TRUE),EXACT(metadata!H223,"human-associated habitat"))</f>
        <v>0</v>
      </c>
      <c r="AJ223" t="b">
        <f>AND(IF(metadata!I223="",FALSE,TRUE),OR(EXACT(metadata!I223,"human-associated"),EXACT(metadata!I223,"human-skin"),EXACT(metadata!I223,"human-oral"),EXACT(metadata!I223,"human-gut"),EXACT(metadata!I223,"human-vaginal")))</f>
        <v>0</v>
      </c>
      <c r="AK223" t="b">
        <f>IF(metadata!J223="",FALSE,ISNUMBER(VALUE(metadata!J223)))</f>
        <v>0</v>
      </c>
      <c r="AL223" t="b">
        <f>AND(IF(metadata!K223="",FALSE,TRUE),EXACT(metadata!K223,"cm"))</f>
        <v>0</v>
      </c>
      <c r="AM223" t="b">
        <f>AND(IF(metadata!L223="",FALSE,TRUE),EXACT(metadata!L223,"human"))</f>
        <v>0</v>
      </c>
      <c r="AN223" t="b">
        <f>AND(IF(metadata!M223="",FALSE,TRUE),EXACT(metadata!M223,"Homo sapiens"))</f>
        <v>0</v>
      </c>
      <c r="AO223" t="b">
        <f>AND(IF(metadata!N223="",FALSE,TRUE),EXACT(metadata!N223,"9606"))</f>
        <v>0</v>
      </c>
      <c r="AP223" t="b">
        <f>IF(metadata!O223="",FALSE,TRUE)</f>
        <v>0</v>
      </c>
      <c r="AQ223" t="b">
        <f>IF(metadata!P223="",FALSE,TRUE)</f>
        <v>0</v>
      </c>
      <c r="AR223" t="b">
        <f>IF(metadata!Q223="",FALSE,ISNUMBER(VALUE(metadata!Q223)))</f>
        <v>0</v>
      </c>
      <c r="AS223" t="b">
        <f>AND(IF(metadata!R223="",FALSE,TRUE),EXACT(metadata!R223,"kg"))</f>
        <v>0</v>
      </c>
    </row>
    <row r="224" spans="1:45" x14ac:dyDescent="0.2">
      <c r="A224" s="5" t="str">
        <f ca="1">IF(B224=" "," ",HYPERLINK(CONCATENATE("#metadata!",ADDRESS(INDEX($X$2:$X$1001,MATCH(ROWS($V$2:V224),$V$2:$V$1001,0),0),1)),INDEX($AA$2:$AA$1001,MATCH(ROWS($V$2:V224),$V$2:$V$1001,0),0)))</f>
        <v xml:space="preserve"> </v>
      </c>
      <c r="B224" s="4" t="str">
        <f ca="1">IF(OR(INDEX($W$2:$W$1001,MATCH(ROWS($V$2:V224),$V$2:$V$1001,0),1)&gt;=100000,INDEX($AC$1005:$AS$1005,1,MATCH(COLUMNS($AC$1006:AC1006),$AC$1006:$AS$1006,0))&gt;=100000), " ",IF(INDEX($AC$2:$AS$1001,MATCH(ROWS($V$2:V224),$V$2:$V$1001,0),MATCH(COLUMNS($AC$1006:AC1006),$AC$1006:$AS$1006,0)), HYPERLINK("#",""), HYPERLINK(CONCATENATE("#metadata!", ADDRESS(INDEX($X$2:$X$1001,MATCH(ROWS($V$2:V224),$V$2:$V$1001,0),0), INDEX($AC$1004:$AS$1004,1,MATCH(COLUMNS($AC$1006:AC1006),$AC$1006:$AS$1006,0)))),"Fix")))</f>
        <v xml:space="preserve"> </v>
      </c>
      <c r="C224" s="4" t="str">
        <f ca="1">IF(OR(INDEX($W$2:$W$1001,MATCH(ROWS($V$2:V224),$V$2:$V$1001,0),1)&gt;=100000,INDEX($AC$1005:$AS$1005,1,MATCH(COLUMNS($AC$1006:AD1006),$AC$1006:$AS$1006,0))&gt;=100000), " ",IF(INDEX($AC$2:$AS$1001,MATCH(ROWS($V$2:V224),$V$2:$V$1001,0),MATCH(COLUMNS($AC$1006:AD1006),$AC$1006:$AS$1006,0)), HYPERLINK("#",""), HYPERLINK(CONCATENATE("#metadata!", ADDRESS(INDEX($X$2:$X$1001,MATCH(ROWS($V$2:V224),$V$2:$V$1001,0),0), INDEX($AC$1004:$AS$1004,1,MATCH(COLUMNS($AC$1006:AD1006),$AC$1006:$AS$1006,0)))),"Fix")))</f>
        <v xml:space="preserve"> </v>
      </c>
      <c r="D224" s="4" t="str">
        <f ca="1">IF(OR(INDEX($W$2:$W$1001,MATCH(ROWS($V$2:V224),$V$2:$V$1001,0),1)&gt;=100000,INDEX($AC$1005:$AS$1005,1,MATCH(COLUMNS($AC$1006:AE1006),$AC$1006:$AS$1006,0))&gt;=100000), " ",IF(INDEX($AC$2:$AS$1001,MATCH(ROWS($V$2:V224),$V$2:$V$1001,0),MATCH(COLUMNS($AC$1006:AE1006),$AC$1006:$AS$1006,0)), HYPERLINK("#",""), HYPERLINK(CONCATENATE("#metadata!", ADDRESS(INDEX($X$2:$X$1001,MATCH(ROWS($V$2:V224),$V$2:$V$1001,0),0), INDEX($AC$1004:$AS$1004,1,MATCH(COLUMNS($AC$1006:AE1006),$AC$1006:$AS$1006,0)))),"Fix")))</f>
        <v xml:space="preserve"> </v>
      </c>
      <c r="E224" s="4" t="str">
        <f ca="1">IF(OR(INDEX($W$2:$W$1001,MATCH(ROWS($V$2:V224),$V$2:$V$1001,0),1)&gt;=100000,INDEX($AC$1005:$AS$1005,1,MATCH(COLUMNS($AC$1006:AF1006),$AC$1006:$AS$1006,0))&gt;=100000), " ",IF(INDEX($AC$2:$AS$1001,MATCH(ROWS($V$2:V224),$V$2:$V$1001,0),MATCH(COLUMNS($AC$1006:AF1006),$AC$1006:$AS$1006,0)), HYPERLINK("#",""), HYPERLINK(CONCATENATE("#metadata!", ADDRESS(INDEX($X$2:$X$1001,MATCH(ROWS($V$2:V224),$V$2:$V$1001,0),0), INDEX($AC$1004:$AS$1004,1,MATCH(COLUMNS($AC$1006:AF1006),$AC$1006:$AS$1006,0)))),"Fix")))</f>
        <v xml:space="preserve"> </v>
      </c>
      <c r="F224" s="4" t="str">
        <f ca="1">IF(OR(INDEX($W$2:$W$1001,MATCH(ROWS($V$2:V224),$V$2:$V$1001,0),1)&gt;=100000,INDEX($AC$1005:$AS$1005,1,MATCH(COLUMNS($AC$1006:AG1006),$AC$1006:$AS$1006,0))&gt;=100000), " ",IF(INDEX($AC$2:$AS$1001,MATCH(ROWS($V$2:V224),$V$2:$V$1001,0),MATCH(COLUMNS($AC$1006:AG1006),$AC$1006:$AS$1006,0)), HYPERLINK("#",""), HYPERLINK(CONCATENATE("#metadata!", ADDRESS(INDEX($X$2:$X$1001,MATCH(ROWS($V$2:V224),$V$2:$V$1001,0),0), INDEX($AC$1004:$AS$1004,1,MATCH(COLUMNS($AC$1006:AG1006),$AC$1006:$AS$1006,0)))),"Fix")))</f>
        <v xml:space="preserve"> </v>
      </c>
      <c r="G224" s="4" t="str">
        <f ca="1">IF(OR(INDEX($W$2:$W$1001,MATCH(ROWS($V$2:V224),$V$2:$V$1001,0),1)&gt;=100000,INDEX($AC$1005:$AS$1005,1,MATCH(COLUMNS($AC$1006:AH1006),$AC$1006:$AS$1006,0))&gt;=100000), " ",IF(INDEX($AC$2:$AS$1001,MATCH(ROWS($V$2:V224),$V$2:$V$1001,0),MATCH(COLUMNS($AC$1006:AH1006),$AC$1006:$AS$1006,0)), HYPERLINK("#",""), HYPERLINK(CONCATENATE("#metadata!", ADDRESS(INDEX($X$2:$X$1001,MATCH(ROWS($V$2:V224),$V$2:$V$1001,0),0), INDEX($AC$1004:$AS$1004,1,MATCH(COLUMNS($AC$1006:AH1006),$AC$1006:$AS$1006,0)))),"Fix")))</f>
        <v xml:space="preserve"> </v>
      </c>
      <c r="H224" s="4" t="str">
        <f ca="1">IF(OR(INDEX($W$2:$W$1001,MATCH(ROWS($V$2:V224),$V$2:$V$1001,0),1)&gt;=100000,INDEX($AC$1005:$AS$1005,1,MATCH(COLUMNS($AC$1006:AI1006),$AC$1006:$AS$1006,0))&gt;=100000), " ",IF(INDEX($AC$2:$AS$1001,MATCH(ROWS($V$2:V224),$V$2:$V$1001,0),MATCH(COLUMNS($AC$1006:AI1006),$AC$1006:$AS$1006,0)), HYPERLINK("#",""), HYPERLINK(CONCATENATE("#metadata!", ADDRESS(INDEX($X$2:$X$1001,MATCH(ROWS($V$2:V224),$V$2:$V$1001,0),0), INDEX($AC$1004:$AS$1004,1,MATCH(COLUMNS($AC$1006:AI1006),$AC$1006:$AS$1006,0)))),"Fix")))</f>
        <v xml:space="preserve"> </v>
      </c>
      <c r="I224" s="4" t="str">
        <f ca="1">IF(OR(INDEX($W$2:$W$1001,MATCH(ROWS($V$2:V224),$V$2:$V$1001,0),1)&gt;=100000,INDEX($AC$1005:$AS$1005,1,MATCH(COLUMNS($AC$1006:AJ1006),$AC$1006:$AS$1006,0))&gt;=100000), " ",IF(INDEX($AC$2:$AS$1001,MATCH(ROWS($V$2:V224),$V$2:$V$1001,0),MATCH(COLUMNS($AC$1006:AJ1006),$AC$1006:$AS$1006,0)), HYPERLINK("#",""), HYPERLINK(CONCATENATE("#metadata!", ADDRESS(INDEX($X$2:$X$1001,MATCH(ROWS($V$2:V224),$V$2:$V$1001,0),0), INDEX($AC$1004:$AS$1004,1,MATCH(COLUMNS($AC$1006:AJ1006),$AC$1006:$AS$1006,0)))),"Fix")))</f>
        <v xml:space="preserve"> </v>
      </c>
      <c r="J224" s="4" t="str">
        <f ca="1">IF(OR(INDEX($W$2:$W$1001,MATCH(ROWS($V$2:V224),$V$2:$V$1001,0),1)&gt;=100000,INDEX($AC$1005:$AS$1005,1,MATCH(COLUMNS($AC$1006:AK1006),$AC$1006:$AS$1006,0))&gt;=100000), " ",IF(INDEX($AC$2:$AS$1001,MATCH(ROWS($V$2:V224),$V$2:$V$1001,0),MATCH(COLUMNS($AC$1006:AK1006),$AC$1006:$AS$1006,0)), HYPERLINK("#",""), HYPERLINK(CONCATENATE("#metadata!", ADDRESS(INDEX($X$2:$X$1001,MATCH(ROWS($V$2:V224),$V$2:$V$1001,0),0), INDEX($AC$1004:$AS$1004,1,MATCH(COLUMNS($AC$1006:AK1006),$AC$1006:$AS$1006,0)))),"Fix")))</f>
        <v xml:space="preserve"> </v>
      </c>
      <c r="K224" s="4" t="str">
        <f ca="1">IF(OR(INDEX($W$2:$W$1001,MATCH(ROWS($V$2:V224),$V$2:$V$1001,0),1)&gt;=100000,INDEX($AC$1005:$AS$1005,1,MATCH(COLUMNS($AC$1006:AL1006),$AC$1006:$AS$1006,0))&gt;=100000), " ",IF(INDEX($AC$2:$AS$1001,MATCH(ROWS($V$2:V224),$V$2:$V$1001,0),MATCH(COLUMNS($AC$1006:AL1006),$AC$1006:$AS$1006,0)), HYPERLINK("#",""), HYPERLINK(CONCATENATE("#metadata!", ADDRESS(INDEX($X$2:$X$1001,MATCH(ROWS($V$2:V224),$V$2:$V$1001,0),0), INDEX($AC$1004:$AS$1004,1,MATCH(COLUMNS($AC$1006:AL1006),$AC$1006:$AS$1006,0)))),"Fix")))</f>
        <v xml:space="preserve"> </v>
      </c>
      <c r="L224" s="4" t="str">
        <f ca="1">IF(OR(INDEX($W$2:$W$1001,MATCH(ROWS($V$2:V224),$V$2:$V$1001,0),1)&gt;=100000,INDEX($AC$1005:$AS$1005,1,MATCH(COLUMNS($AC$1006:AM1006),$AC$1006:$AS$1006,0))&gt;=100000), " ",IF(INDEX($AC$2:$AS$1001,MATCH(ROWS($V$2:V224),$V$2:$V$1001,0),MATCH(COLUMNS($AC$1006:AM1006),$AC$1006:$AS$1006,0)), HYPERLINK("#",""), HYPERLINK(CONCATENATE("#metadata!", ADDRESS(INDEX($X$2:$X$1001,MATCH(ROWS($V$2:V224),$V$2:$V$1001,0),0), INDEX($AC$1004:$AS$1004,1,MATCH(COLUMNS($AC$1006:AM1006),$AC$1006:$AS$1006,0)))),"Fix")))</f>
        <v xml:space="preserve"> </v>
      </c>
      <c r="M224" s="4" t="str">
        <f ca="1">IF(OR(INDEX($W$2:$W$1001,MATCH(ROWS($V$2:V224),$V$2:$V$1001,0),1)&gt;=100000,INDEX($AC$1005:$AS$1005,1,MATCH(COLUMNS($AC$1006:AN1006),$AC$1006:$AS$1006,0))&gt;=100000), " ",IF(INDEX($AC$2:$AS$1001,MATCH(ROWS($V$2:V224),$V$2:$V$1001,0),MATCH(COLUMNS($AC$1006:AN1006),$AC$1006:$AS$1006,0)), HYPERLINK("#",""), HYPERLINK(CONCATENATE("#metadata!", ADDRESS(INDEX($X$2:$X$1001,MATCH(ROWS($V$2:V224),$V$2:$V$1001,0),0), INDEX($AC$1004:$AS$1004,1,MATCH(COLUMNS($AC$1006:AN1006),$AC$1006:$AS$1006,0)))),"Fix")))</f>
        <v xml:space="preserve"> </v>
      </c>
      <c r="N224" s="4" t="str">
        <f ca="1">IF(OR(INDEX($W$2:$W$1001,MATCH(ROWS($V$2:V224),$V$2:$V$1001,0),1)&gt;=100000,INDEX($AC$1005:$AS$1005,1,MATCH(COLUMNS($AC$1006:AO1006),$AC$1006:$AS$1006,0))&gt;=100000), " ",IF(INDEX($AC$2:$AS$1001,MATCH(ROWS($V$2:V224),$V$2:$V$1001,0),MATCH(COLUMNS($AC$1006:AO1006),$AC$1006:$AS$1006,0)), HYPERLINK("#",""), HYPERLINK(CONCATENATE("#metadata!", ADDRESS(INDEX($X$2:$X$1001,MATCH(ROWS($V$2:V224),$V$2:$V$1001,0),0), INDEX($AC$1004:$AS$1004,1,MATCH(COLUMNS($AC$1006:AO1006),$AC$1006:$AS$1006,0)))),"Fix")))</f>
        <v xml:space="preserve"> </v>
      </c>
      <c r="O224" s="4" t="str">
        <f ca="1">IF(OR(INDEX($W$2:$W$1001,MATCH(ROWS($V$2:V224),$V$2:$V$1001,0),1)&gt;=100000,INDEX($AC$1005:$AS$1005,1,MATCH(COLUMNS($AC$1006:AP1006),$AC$1006:$AS$1006,0))&gt;=100000), " ",IF(INDEX($AC$2:$AS$1001,MATCH(ROWS($V$2:V224),$V$2:$V$1001,0),MATCH(COLUMNS($AC$1006:AP1006),$AC$1006:$AS$1006,0)), HYPERLINK("#",""), HYPERLINK(CONCATENATE("#metadata!", ADDRESS(INDEX($X$2:$X$1001,MATCH(ROWS($V$2:V224),$V$2:$V$1001,0),0), INDEX($AC$1004:$AS$1004,1,MATCH(COLUMNS($AC$1006:AP1006),$AC$1006:$AS$1006,0)))),"Fix")))</f>
        <v xml:space="preserve"> </v>
      </c>
      <c r="P224" s="4" t="str">
        <f ca="1">IF(OR(INDEX($W$2:$W$1001,MATCH(ROWS($V$2:V224),$V$2:$V$1001,0),1)&gt;=100000,INDEX($AC$1005:$AS$1005,1,MATCH(COLUMNS($AC$1006:AQ1006),$AC$1006:$AS$1006,0))&gt;=100000), " ",IF(INDEX($AC$2:$AS$1001,MATCH(ROWS($V$2:V224),$V$2:$V$1001,0),MATCH(COLUMNS($AC$1006:AQ1006),$AC$1006:$AS$1006,0)), HYPERLINK("#",""), HYPERLINK(CONCATENATE("#metadata!", ADDRESS(INDEX($X$2:$X$1001,MATCH(ROWS($V$2:V224),$V$2:$V$1001,0),0), INDEX($AC$1004:$AS$1004,1,MATCH(COLUMNS($AC$1006:AQ1006),$AC$1006:$AS$1006,0)))),"Fix")))</f>
        <v xml:space="preserve"> </v>
      </c>
      <c r="Q224" s="4" t="str">
        <f ca="1">IF(OR(INDEX($W$2:$W$1001,MATCH(ROWS($V$2:V224),$V$2:$V$1001,0),1)&gt;=100000,INDEX($AC$1005:$AS$1005,1,MATCH(COLUMNS($AC$1006:AR1006),$AC$1006:$AS$1006,0))&gt;=100000), " ",IF(INDEX($AC$2:$AS$1001,MATCH(ROWS($V$2:V224),$V$2:$V$1001,0),MATCH(COLUMNS($AC$1006:AR1006),$AC$1006:$AS$1006,0)), HYPERLINK("#",""), HYPERLINK(CONCATENATE("#metadata!", ADDRESS(INDEX($X$2:$X$1001,MATCH(ROWS($V$2:V224),$V$2:$V$1001,0),0), INDEX($AC$1004:$AS$1004,1,MATCH(COLUMNS($AC$1006:AR1006),$AC$1006:$AS$1006,0)))),"Fix")))</f>
        <v xml:space="preserve"> </v>
      </c>
      <c r="R224" s="4" t="str">
        <f ca="1">IF(OR(INDEX($W$2:$W$1001,MATCH(ROWS($V$2:V224),$V$2:$V$1001,0),1)&gt;=100000,INDEX($AC$1005:$AS$1005,1,MATCH(COLUMNS($AC$1006:AS1006),$AC$1006:$AS$1006,0))&gt;=100000), " ",IF(INDEX($AC$2:$AS$1001,MATCH(ROWS($V$2:V224),$V$2:$V$1001,0),MATCH(COLUMNS($AC$1006:AS1006),$AC$1006:$AS$1006,0)), HYPERLINK("#",""), HYPERLINK(CONCATENATE("#metadata!", ADDRESS(INDEX($X$2:$X$1001,MATCH(ROWS($V$2:V224),$V$2:$V$1001,0),0), INDEX($AC$1004:$AS$1004,1,MATCH(COLUMNS($AC$1006:AS1006),$AC$1006:$AS$1006,0)))),"Fix")))</f>
        <v xml:space="preserve"> </v>
      </c>
      <c r="V224">
        <v>223</v>
      </c>
      <c r="W224">
        <v>100224</v>
      </c>
      <c r="X224">
        <v>224</v>
      </c>
      <c r="Y224" t="b">
        <f t="shared" si="3"/>
        <v>1</v>
      </c>
      <c r="Z224" t="b">
        <f>COUNTBLANK(metadata!B224:R224)=COLUMNS(metadata!B224:R224)</f>
        <v>1</v>
      </c>
      <c r="AA224" t="str">
        <v/>
      </c>
      <c r="AC224" t="b">
        <f ca="1"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AD224" t="b">
        <f>IF(metadata!C224="",FALSE,ISNUMBER(VALUE(metadata!C224)))</f>
        <v>0</v>
      </c>
      <c r="AE224" t="b">
        <f>AND(IF(metadata!D224="",FALSE,TRUE),EXACT(metadata!D224,"years"))</f>
        <v>0</v>
      </c>
      <c r="AF224" t="b">
        <f>OR(AND(IF(metadata!E224="",FALSE,TRUE),OR(EXACT(metadata!E224,"not applicable"),EXACT(metadata!E224,"missing: not collected"),EXACT(metadata!E224,"missing: not provided"),EXACT(metadata!E224,"missing: restricted access"))),AND(IF(metadata!E224="",FALSE,ISNUMBER(VALUE(metadata!E224))),metadata!E224&gt;0))</f>
        <v>0</v>
      </c>
      <c r="AG224" t="b">
        <f>AND(IF(metadata!F224="",FALSE,TRUE),EXACT(metadata!F224,"Not applicable"))</f>
        <v>0</v>
      </c>
      <c r="AH224" t="b">
        <f>AND(IF(metadata!G224="",FALSE,TRUE),EXACT(metadata!G224,"urban biome"))</f>
        <v>0</v>
      </c>
      <c r="AI224" t="b">
        <f>AND(IF(metadata!H224="",FALSE,TRUE),EXACT(metadata!H224,"human-associated habitat"))</f>
        <v>0</v>
      </c>
      <c r="AJ224" t="b">
        <f>AND(IF(metadata!I224="",FALSE,TRUE),OR(EXACT(metadata!I224,"human-associated"),EXACT(metadata!I224,"human-skin"),EXACT(metadata!I224,"human-oral"),EXACT(metadata!I224,"human-gut"),EXACT(metadata!I224,"human-vaginal")))</f>
        <v>0</v>
      </c>
      <c r="AK224" t="b">
        <f>IF(metadata!J224="",FALSE,ISNUMBER(VALUE(metadata!J224)))</f>
        <v>0</v>
      </c>
      <c r="AL224" t="b">
        <f>AND(IF(metadata!K224="",FALSE,TRUE),EXACT(metadata!K224,"cm"))</f>
        <v>0</v>
      </c>
      <c r="AM224" t="b">
        <f>AND(IF(metadata!L224="",FALSE,TRUE),EXACT(metadata!L224,"human"))</f>
        <v>0</v>
      </c>
      <c r="AN224" t="b">
        <f>AND(IF(metadata!M224="",FALSE,TRUE),EXACT(metadata!M224,"Homo sapiens"))</f>
        <v>0</v>
      </c>
      <c r="AO224" t="b">
        <f>AND(IF(metadata!N224="",FALSE,TRUE),EXACT(metadata!N224,"9606"))</f>
        <v>0</v>
      </c>
      <c r="AP224" t="b">
        <f>IF(metadata!O224="",FALSE,TRUE)</f>
        <v>0</v>
      </c>
      <c r="AQ224" t="b">
        <f>IF(metadata!P224="",FALSE,TRUE)</f>
        <v>0</v>
      </c>
      <c r="AR224" t="b">
        <f>IF(metadata!Q224="",FALSE,ISNUMBER(VALUE(metadata!Q224)))</f>
        <v>0</v>
      </c>
      <c r="AS224" t="b">
        <f>AND(IF(metadata!R224="",FALSE,TRUE),EXACT(metadata!R224,"kg"))</f>
        <v>0</v>
      </c>
    </row>
    <row r="225" spans="1:45" x14ac:dyDescent="0.2">
      <c r="A225" s="5" t="str">
        <f ca="1">IF(B225=" "," ",HYPERLINK(CONCATENATE("#metadata!",ADDRESS(INDEX($X$2:$X$1001,MATCH(ROWS($V$2:V225),$V$2:$V$1001,0),0),1)),INDEX($AA$2:$AA$1001,MATCH(ROWS($V$2:V225),$V$2:$V$1001,0),0)))</f>
        <v xml:space="preserve"> </v>
      </c>
      <c r="B225" s="4" t="str">
        <f ca="1">IF(OR(INDEX($W$2:$W$1001,MATCH(ROWS($V$2:V225),$V$2:$V$1001,0),1)&gt;=100000,INDEX($AC$1005:$AS$1005,1,MATCH(COLUMNS($AC$1006:AC1006),$AC$1006:$AS$1006,0))&gt;=100000), " ",IF(INDEX($AC$2:$AS$1001,MATCH(ROWS($V$2:V225),$V$2:$V$1001,0),MATCH(COLUMNS($AC$1006:AC1006),$AC$1006:$AS$1006,0)), HYPERLINK("#",""), HYPERLINK(CONCATENATE("#metadata!", ADDRESS(INDEX($X$2:$X$1001,MATCH(ROWS($V$2:V225),$V$2:$V$1001,0),0), INDEX($AC$1004:$AS$1004,1,MATCH(COLUMNS($AC$1006:AC1006),$AC$1006:$AS$1006,0)))),"Fix")))</f>
        <v xml:space="preserve"> </v>
      </c>
      <c r="C225" s="4" t="str">
        <f ca="1">IF(OR(INDEX($W$2:$W$1001,MATCH(ROWS($V$2:V225),$V$2:$V$1001,0),1)&gt;=100000,INDEX($AC$1005:$AS$1005,1,MATCH(COLUMNS($AC$1006:AD1006),$AC$1006:$AS$1006,0))&gt;=100000), " ",IF(INDEX($AC$2:$AS$1001,MATCH(ROWS($V$2:V225),$V$2:$V$1001,0),MATCH(COLUMNS($AC$1006:AD1006),$AC$1006:$AS$1006,0)), HYPERLINK("#",""), HYPERLINK(CONCATENATE("#metadata!", ADDRESS(INDEX($X$2:$X$1001,MATCH(ROWS($V$2:V225),$V$2:$V$1001,0),0), INDEX($AC$1004:$AS$1004,1,MATCH(COLUMNS($AC$1006:AD1006),$AC$1006:$AS$1006,0)))),"Fix")))</f>
        <v xml:space="preserve"> </v>
      </c>
      <c r="D225" s="4" t="str">
        <f ca="1">IF(OR(INDEX($W$2:$W$1001,MATCH(ROWS($V$2:V225),$V$2:$V$1001,0),1)&gt;=100000,INDEX($AC$1005:$AS$1005,1,MATCH(COLUMNS($AC$1006:AE1006),$AC$1006:$AS$1006,0))&gt;=100000), " ",IF(INDEX($AC$2:$AS$1001,MATCH(ROWS($V$2:V225),$V$2:$V$1001,0),MATCH(COLUMNS($AC$1006:AE1006),$AC$1006:$AS$1006,0)), HYPERLINK("#",""), HYPERLINK(CONCATENATE("#metadata!", ADDRESS(INDEX($X$2:$X$1001,MATCH(ROWS($V$2:V225),$V$2:$V$1001,0),0), INDEX($AC$1004:$AS$1004,1,MATCH(COLUMNS($AC$1006:AE1006),$AC$1006:$AS$1006,0)))),"Fix")))</f>
        <v xml:space="preserve"> </v>
      </c>
      <c r="E225" s="4" t="str">
        <f ca="1">IF(OR(INDEX($W$2:$W$1001,MATCH(ROWS($V$2:V225),$V$2:$V$1001,0),1)&gt;=100000,INDEX($AC$1005:$AS$1005,1,MATCH(COLUMNS($AC$1006:AF1006),$AC$1006:$AS$1006,0))&gt;=100000), " ",IF(INDEX($AC$2:$AS$1001,MATCH(ROWS($V$2:V225),$V$2:$V$1001,0),MATCH(COLUMNS($AC$1006:AF1006),$AC$1006:$AS$1006,0)), HYPERLINK("#",""), HYPERLINK(CONCATENATE("#metadata!", ADDRESS(INDEX($X$2:$X$1001,MATCH(ROWS($V$2:V225),$V$2:$V$1001,0),0), INDEX($AC$1004:$AS$1004,1,MATCH(COLUMNS($AC$1006:AF1006),$AC$1006:$AS$1006,0)))),"Fix")))</f>
        <v xml:space="preserve"> </v>
      </c>
      <c r="F225" s="4" t="str">
        <f ca="1">IF(OR(INDEX($W$2:$W$1001,MATCH(ROWS($V$2:V225),$V$2:$V$1001,0),1)&gt;=100000,INDEX($AC$1005:$AS$1005,1,MATCH(COLUMNS($AC$1006:AG1006),$AC$1006:$AS$1006,0))&gt;=100000), " ",IF(INDEX($AC$2:$AS$1001,MATCH(ROWS($V$2:V225),$V$2:$V$1001,0),MATCH(COLUMNS($AC$1006:AG1006),$AC$1006:$AS$1006,0)), HYPERLINK("#",""), HYPERLINK(CONCATENATE("#metadata!", ADDRESS(INDEX($X$2:$X$1001,MATCH(ROWS($V$2:V225),$V$2:$V$1001,0),0), INDEX($AC$1004:$AS$1004,1,MATCH(COLUMNS($AC$1006:AG1006),$AC$1006:$AS$1006,0)))),"Fix")))</f>
        <v xml:space="preserve"> </v>
      </c>
      <c r="G225" s="4" t="str">
        <f ca="1">IF(OR(INDEX($W$2:$W$1001,MATCH(ROWS($V$2:V225),$V$2:$V$1001,0),1)&gt;=100000,INDEX($AC$1005:$AS$1005,1,MATCH(COLUMNS($AC$1006:AH1006),$AC$1006:$AS$1006,0))&gt;=100000), " ",IF(INDEX($AC$2:$AS$1001,MATCH(ROWS($V$2:V225),$V$2:$V$1001,0),MATCH(COLUMNS($AC$1006:AH1006),$AC$1006:$AS$1006,0)), HYPERLINK("#",""), HYPERLINK(CONCATENATE("#metadata!", ADDRESS(INDEX($X$2:$X$1001,MATCH(ROWS($V$2:V225),$V$2:$V$1001,0),0), INDEX($AC$1004:$AS$1004,1,MATCH(COLUMNS($AC$1006:AH1006),$AC$1006:$AS$1006,0)))),"Fix")))</f>
        <v xml:space="preserve"> </v>
      </c>
      <c r="H225" s="4" t="str">
        <f ca="1">IF(OR(INDEX($W$2:$W$1001,MATCH(ROWS($V$2:V225),$V$2:$V$1001,0),1)&gt;=100000,INDEX($AC$1005:$AS$1005,1,MATCH(COLUMNS($AC$1006:AI1006),$AC$1006:$AS$1006,0))&gt;=100000), " ",IF(INDEX($AC$2:$AS$1001,MATCH(ROWS($V$2:V225),$V$2:$V$1001,0),MATCH(COLUMNS($AC$1006:AI1006),$AC$1006:$AS$1006,0)), HYPERLINK("#",""), HYPERLINK(CONCATENATE("#metadata!", ADDRESS(INDEX($X$2:$X$1001,MATCH(ROWS($V$2:V225),$V$2:$V$1001,0),0), INDEX($AC$1004:$AS$1004,1,MATCH(COLUMNS($AC$1006:AI1006),$AC$1006:$AS$1006,0)))),"Fix")))</f>
        <v xml:space="preserve"> </v>
      </c>
      <c r="I225" s="4" t="str">
        <f ca="1">IF(OR(INDEX($W$2:$W$1001,MATCH(ROWS($V$2:V225),$V$2:$V$1001,0),1)&gt;=100000,INDEX($AC$1005:$AS$1005,1,MATCH(COLUMNS($AC$1006:AJ1006),$AC$1006:$AS$1006,0))&gt;=100000), " ",IF(INDEX($AC$2:$AS$1001,MATCH(ROWS($V$2:V225),$V$2:$V$1001,0),MATCH(COLUMNS($AC$1006:AJ1006),$AC$1006:$AS$1006,0)), HYPERLINK("#",""), HYPERLINK(CONCATENATE("#metadata!", ADDRESS(INDEX($X$2:$X$1001,MATCH(ROWS($V$2:V225),$V$2:$V$1001,0),0), INDEX($AC$1004:$AS$1004,1,MATCH(COLUMNS($AC$1006:AJ1006),$AC$1006:$AS$1006,0)))),"Fix")))</f>
        <v xml:space="preserve"> </v>
      </c>
      <c r="J225" s="4" t="str">
        <f ca="1">IF(OR(INDEX($W$2:$W$1001,MATCH(ROWS($V$2:V225),$V$2:$V$1001,0),1)&gt;=100000,INDEX($AC$1005:$AS$1005,1,MATCH(COLUMNS($AC$1006:AK1006),$AC$1006:$AS$1006,0))&gt;=100000), " ",IF(INDEX($AC$2:$AS$1001,MATCH(ROWS($V$2:V225),$V$2:$V$1001,0),MATCH(COLUMNS($AC$1006:AK1006),$AC$1006:$AS$1006,0)), HYPERLINK("#",""), HYPERLINK(CONCATENATE("#metadata!", ADDRESS(INDEX($X$2:$X$1001,MATCH(ROWS($V$2:V225),$V$2:$V$1001,0),0), INDEX($AC$1004:$AS$1004,1,MATCH(COLUMNS($AC$1006:AK1006),$AC$1006:$AS$1006,0)))),"Fix")))</f>
        <v xml:space="preserve"> </v>
      </c>
      <c r="K225" s="4" t="str">
        <f ca="1">IF(OR(INDEX($W$2:$W$1001,MATCH(ROWS($V$2:V225),$V$2:$V$1001,0),1)&gt;=100000,INDEX($AC$1005:$AS$1005,1,MATCH(COLUMNS($AC$1006:AL1006),$AC$1006:$AS$1006,0))&gt;=100000), " ",IF(INDEX($AC$2:$AS$1001,MATCH(ROWS($V$2:V225),$V$2:$V$1001,0),MATCH(COLUMNS($AC$1006:AL1006),$AC$1006:$AS$1006,0)), HYPERLINK("#",""), HYPERLINK(CONCATENATE("#metadata!", ADDRESS(INDEX($X$2:$X$1001,MATCH(ROWS($V$2:V225),$V$2:$V$1001,0),0), INDEX($AC$1004:$AS$1004,1,MATCH(COLUMNS($AC$1006:AL1006),$AC$1006:$AS$1006,0)))),"Fix")))</f>
        <v xml:space="preserve"> </v>
      </c>
      <c r="L225" s="4" t="str">
        <f ca="1">IF(OR(INDEX($W$2:$W$1001,MATCH(ROWS($V$2:V225),$V$2:$V$1001,0),1)&gt;=100000,INDEX($AC$1005:$AS$1005,1,MATCH(COLUMNS($AC$1006:AM1006),$AC$1006:$AS$1006,0))&gt;=100000), " ",IF(INDEX($AC$2:$AS$1001,MATCH(ROWS($V$2:V225),$V$2:$V$1001,0),MATCH(COLUMNS($AC$1006:AM1006),$AC$1006:$AS$1006,0)), HYPERLINK("#",""), HYPERLINK(CONCATENATE("#metadata!", ADDRESS(INDEX($X$2:$X$1001,MATCH(ROWS($V$2:V225),$V$2:$V$1001,0),0), INDEX($AC$1004:$AS$1004,1,MATCH(COLUMNS($AC$1006:AM1006),$AC$1006:$AS$1006,0)))),"Fix")))</f>
        <v xml:space="preserve"> </v>
      </c>
      <c r="M225" s="4" t="str">
        <f ca="1">IF(OR(INDEX($W$2:$W$1001,MATCH(ROWS($V$2:V225),$V$2:$V$1001,0),1)&gt;=100000,INDEX($AC$1005:$AS$1005,1,MATCH(COLUMNS($AC$1006:AN1006),$AC$1006:$AS$1006,0))&gt;=100000), " ",IF(INDEX($AC$2:$AS$1001,MATCH(ROWS($V$2:V225),$V$2:$V$1001,0),MATCH(COLUMNS($AC$1006:AN1006),$AC$1006:$AS$1006,0)), HYPERLINK("#",""), HYPERLINK(CONCATENATE("#metadata!", ADDRESS(INDEX($X$2:$X$1001,MATCH(ROWS($V$2:V225),$V$2:$V$1001,0),0), INDEX($AC$1004:$AS$1004,1,MATCH(COLUMNS($AC$1006:AN1006),$AC$1006:$AS$1006,0)))),"Fix")))</f>
        <v xml:space="preserve"> </v>
      </c>
      <c r="N225" s="4" t="str">
        <f ca="1">IF(OR(INDEX($W$2:$W$1001,MATCH(ROWS($V$2:V225),$V$2:$V$1001,0),1)&gt;=100000,INDEX($AC$1005:$AS$1005,1,MATCH(COLUMNS($AC$1006:AO1006),$AC$1006:$AS$1006,0))&gt;=100000), " ",IF(INDEX($AC$2:$AS$1001,MATCH(ROWS($V$2:V225),$V$2:$V$1001,0),MATCH(COLUMNS($AC$1006:AO1006),$AC$1006:$AS$1006,0)), HYPERLINK("#",""), HYPERLINK(CONCATENATE("#metadata!", ADDRESS(INDEX($X$2:$X$1001,MATCH(ROWS($V$2:V225),$V$2:$V$1001,0),0), INDEX($AC$1004:$AS$1004,1,MATCH(COLUMNS($AC$1006:AO1006),$AC$1006:$AS$1006,0)))),"Fix")))</f>
        <v xml:space="preserve"> </v>
      </c>
      <c r="O225" s="4" t="str">
        <f ca="1">IF(OR(INDEX($W$2:$W$1001,MATCH(ROWS($V$2:V225),$V$2:$V$1001,0),1)&gt;=100000,INDEX($AC$1005:$AS$1005,1,MATCH(COLUMNS($AC$1006:AP1006),$AC$1006:$AS$1006,0))&gt;=100000), " ",IF(INDEX($AC$2:$AS$1001,MATCH(ROWS($V$2:V225),$V$2:$V$1001,0),MATCH(COLUMNS($AC$1006:AP1006),$AC$1006:$AS$1006,0)), HYPERLINK("#",""), HYPERLINK(CONCATENATE("#metadata!", ADDRESS(INDEX($X$2:$X$1001,MATCH(ROWS($V$2:V225),$V$2:$V$1001,0),0), INDEX($AC$1004:$AS$1004,1,MATCH(COLUMNS($AC$1006:AP1006),$AC$1006:$AS$1006,0)))),"Fix")))</f>
        <v xml:space="preserve"> </v>
      </c>
      <c r="P225" s="4" t="str">
        <f ca="1">IF(OR(INDEX($W$2:$W$1001,MATCH(ROWS($V$2:V225),$V$2:$V$1001,0),1)&gt;=100000,INDEX($AC$1005:$AS$1005,1,MATCH(COLUMNS($AC$1006:AQ1006),$AC$1006:$AS$1006,0))&gt;=100000), " ",IF(INDEX($AC$2:$AS$1001,MATCH(ROWS($V$2:V225),$V$2:$V$1001,0),MATCH(COLUMNS($AC$1006:AQ1006),$AC$1006:$AS$1006,0)), HYPERLINK("#",""), HYPERLINK(CONCATENATE("#metadata!", ADDRESS(INDEX($X$2:$X$1001,MATCH(ROWS($V$2:V225),$V$2:$V$1001,0),0), INDEX($AC$1004:$AS$1004,1,MATCH(COLUMNS($AC$1006:AQ1006),$AC$1006:$AS$1006,0)))),"Fix")))</f>
        <v xml:space="preserve"> </v>
      </c>
      <c r="Q225" s="4" t="str">
        <f ca="1">IF(OR(INDEX($W$2:$W$1001,MATCH(ROWS($V$2:V225),$V$2:$V$1001,0),1)&gt;=100000,INDEX($AC$1005:$AS$1005,1,MATCH(COLUMNS($AC$1006:AR1006),$AC$1006:$AS$1006,0))&gt;=100000), " ",IF(INDEX($AC$2:$AS$1001,MATCH(ROWS($V$2:V225),$V$2:$V$1001,0),MATCH(COLUMNS($AC$1006:AR1006),$AC$1006:$AS$1006,0)), HYPERLINK("#",""), HYPERLINK(CONCATENATE("#metadata!", ADDRESS(INDEX($X$2:$X$1001,MATCH(ROWS($V$2:V225),$V$2:$V$1001,0),0), INDEX($AC$1004:$AS$1004,1,MATCH(COLUMNS($AC$1006:AR1006),$AC$1006:$AS$1006,0)))),"Fix")))</f>
        <v xml:space="preserve"> </v>
      </c>
      <c r="R225" s="4" t="str">
        <f ca="1">IF(OR(INDEX($W$2:$W$1001,MATCH(ROWS($V$2:V225),$V$2:$V$1001,0),1)&gt;=100000,INDEX($AC$1005:$AS$1005,1,MATCH(COLUMNS($AC$1006:AS1006),$AC$1006:$AS$1006,0))&gt;=100000), " ",IF(INDEX($AC$2:$AS$1001,MATCH(ROWS($V$2:V225),$V$2:$V$1001,0),MATCH(COLUMNS($AC$1006:AS1006),$AC$1006:$AS$1006,0)), HYPERLINK("#",""), HYPERLINK(CONCATENATE("#metadata!", ADDRESS(INDEX($X$2:$X$1001,MATCH(ROWS($V$2:V225),$V$2:$V$1001,0),0), INDEX($AC$1004:$AS$1004,1,MATCH(COLUMNS($AC$1006:AS1006),$AC$1006:$AS$1006,0)))),"Fix")))</f>
        <v xml:space="preserve"> </v>
      </c>
      <c r="V225">
        <v>224</v>
      </c>
      <c r="W225">
        <v>100225</v>
      </c>
      <c r="X225">
        <v>225</v>
      </c>
      <c r="Y225" t="b">
        <f t="shared" si="3"/>
        <v>1</v>
      </c>
      <c r="Z225" t="b">
        <f>COUNTBLANK(metadata!B225:R225)=COLUMNS(metadata!B225:R225)</f>
        <v>1</v>
      </c>
      <c r="AA225" t="str">
        <v/>
      </c>
      <c r="AC225" t="b">
        <f ca="1"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AD225" t="b">
        <f>IF(metadata!C225="",FALSE,ISNUMBER(VALUE(metadata!C225)))</f>
        <v>0</v>
      </c>
      <c r="AE225" t="b">
        <f>AND(IF(metadata!D225="",FALSE,TRUE),EXACT(metadata!D225,"years"))</f>
        <v>0</v>
      </c>
      <c r="AF225" t="b">
        <f>OR(AND(IF(metadata!E225="",FALSE,TRUE),OR(EXACT(metadata!E225,"not applicable"),EXACT(metadata!E225,"missing: not collected"),EXACT(metadata!E225,"missing: not provided"),EXACT(metadata!E225,"missing: restricted access"))),AND(IF(metadata!E225="",FALSE,ISNUMBER(VALUE(metadata!E225))),metadata!E225&gt;0))</f>
        <v>0</v>
      </c>
      <c r="AG225" t="b">
        <f>AND(IF(metadata!F225="",FALSE,TRUE),EXACT(metadata!F225,"Not applicable"))</f>
        <v>0</v>
      </c>
      <c r="AH225" t="b">
        <f>AND(IF(metadata!G225="",FALSE,TRUE),EXACT(metadata!G225,"urban biome"))</f>
        <v>0</v>
      </c>
      <c r="AI225" t="b">
        <f>AND(IF(metadata!H225="",FALSE,TRUE),EXACT(metadata!H225,"human-associated habitat"))</f>
        <v>0</v>
      </c>
      <c r="AJ225" t="b">
        <f>AND(IF(metadata!I225="",FALSE,TRUE),OR(EXACT(metadata!I225,"human-associated"),EXACT(metadata!I225,"human-skin"),EXACT(metadata!I225,"human-oral"),EXACT(metadata!I225,"human-gut"),EXACT(metadata!I225,"human-vaginal")))</f>
        <v>0</v>
      </c>
      <c r="AK225" t="b">
        <f>IF(metadata!J225="",FALSE,ISNUMBER(VALUE(metadata!J225)))</f>
        <v>0</v>
      </c>
      <c r="AL225" t="b">
        <f>AND(IF(metadata!K225="",FALSE,TRUE),EXACT(metadata!K225,"cm"))</f>
        <v>0</v>
      </c>
      <c r="AM225" t="b">
        <f>AND(IF(metadata!L225="",FALSE,TRUE),EXACT(metadata!L225,"human"))</f>
        <v>0</v>
      </c>
      <c r="AN225" t="b">
        <f>AND(IF(metadata!M225="",FALSE,TRUE),EXACT(metadata!M225,"Homo sapiens"))</f>
        <v>0</v>
      </c>
      <c r="AO225" t="b">
        <f>AND(IF(metadata!N225="",FALSE,TRUE),EXACT(metadata!N225,"9606"))</f>
        <v>0</v>
      </c>
      <c r="AP225" t="b">
        <f>IF(metadata!O225="",FALSE,TRUE)</f>
        <v>0</v>
      </c>
      <c r="AQ225" t="b">
        <f>IF(metadata!P225="",FALSE,TRUE)</f>
        <v>0</v>
      </c>
      <c r="AR225" t="b">
        <f>IF(metadata!Q225="",FALSE,ISNUMBER(VALUE(metadata!Q225)))</f>
        <v>0</v>
      </c>
      <c r="AS225" t="b">
        <f>AND(IF(metadata!R225="",FALSE,TRUE),EXACT(metadata!R225,"kg"))</f>
        <v>0</v>
      </c>
    </row>
    <row r="226" spans="1:45" x14ac:dyDescent="0.2">
      <c r="A226" s="5" t="str">
        <f ca="1">IF(B226=" "," ",HYPERLINK(CONCATENATE("#metadata!",ADDRESS(INDEX($X$2:$X$1001,MATCH(ROWS($V$2:V226),$V$2:$V$1001,0),0),1)),INDEX($AA$2:$AA$1001,MATCH(ROWS($V$2:V226),$V$2:$V$1001,0),0)))</f>
        <v xml:space="preserve"> </v>
      </c>
      <c r="B226" s="4" t="str">
        <f ca="1">IF(OR(INDEX($W$2:$W$1001,MATCH(ROWS($V$2:V226),$V$2:$V$1001,0),1)&gt;=100000,INDEX($AC$1005:$AS$1005,1,MATCH(COLUMNS($AC$1006:AC1006),$AC$1006:$AS$1006,0))&gt;=100000), " ",IF(INDEX($AC$2:$AS$1001,MATCH(ROWS($V$2:V226),$V$2:$V$1001,0),MATCH(COLUMNS($AC$1006:AC1006),$AC$1006:$AS$1006,0)), HYPERLINK("#",""), HYPERLINK(CONCATENATE("#metadata!", ADDRESS(INDEX($X$2:$X$1001,MATCH(ROWS($V$2:V226),$V$2:$V$1001,0),0), INDEX($AC$1004:$AS$1004,1,MATCH(COLUMNS($AC$1006:AC1006),$AC$1006:$AS$1006,0)))),"Fix")))</f>
        <v xml:space="preserve"> </v>
      </c>
      <c r="C226" s="4" t="str">
        <f ca="1">IF(OR(INDEX($W$2:$W$1001,MATCH(ROWS($V$2:V226),$V$2:$V$1001,0),1)&gt;=100000,INDEX($AC$1005:$AS$1005,1,MATCH(COLUMNS($AC$1006:AD1006),$AC$1006:$AS$1006,0))&gt;=100000), " ",IF(INDEX($AC$2:$AS$1001,MATCH(ROWS($V$2:V226),$V$2:$V$1001,0),MATCH(COLUMNS($AC$1006:AD1006),$AC$1006:$AS$1006,0)), HYPERLINK("#",""), HYPERLINK(CONCATENATE("#metadata!", ADDRESS(INDEX($X$2:$X$1001,MATCH(ROWS($V$2:V226),$V$2:$V$1001,0),0), INDEX($AC$1004:$AS$1004,1,MATCH(COLUMNS($AC$1006:AD1006),$AC$1006:$AS$1006,0)))),"Fix")))</f>
        <v xml:space="preserve"> </v>
      </c>
      <c r="D226" s="4" t="str">
        <f ca="1">IF(OR(INDEX($W$2:$W$1001,MATCH(ROWS($V$2:V226),$V$2:$V$1001,0),1)&gt;=100000,INDEX($AC$1005:$AS$1005,1,MATCH(COLUMNS($AC$1006:AE1006),$AC$1006:$AS$1006,0))&gt;=100000), " ",IF(INDEX($AC$2:$AS$1001,MATCH(ROWS($V$2:V226),$V$2:$V$1001,0),MATCH(COLUMNS($AC$1006:AE1006),$AC$1006:$AS$1006,0)), HYPERLINK("#",""), HYPERLINK(CONCATENATE("#metadata!", ADDRESS(INDEX($X$2:$X$1001,MATCH(ROWS($V$2:V226),$V$2:$V$1001,0),0), INDEX($AC$1004:$AS$1004,1,MATCH(COLUMNS($AC$1006:AE1006),$AC$1006:$AS$1006,0)))),"Fix")))</f>
        <v xml:space="preserve"> </v>
      </c>
      <c r="E226" s="4" t="str">
        <f ca="1">IF(OR(INDEX($W$2:$W$1001,MATCH(ROWS($V$2:V226),$V$2:$V$1001,0),1)&gt;=100000,INDEX($AC$1005:$AS$1005,1,MATCH(COLUMNS($AC$1006:AF1006),$AC$1006:$AS$1006,0))&gt;=100000), " ",IF(INDEX($AC$2:$AS$1001,MATCH(ROWS($V$2:V226),$V$2:$V$1001,0),MATCH(COLUMNS($AC$1006:AF1006),$AC$1006:$AS$1006,0)), HYPERLINK("#",""), HYPERLINK(CONCATENATE("#metadata!", ADDRESS(INDEX($X$2:$X$1001,MATCH(ROWS($V$2:V226),$V$2:$V$1001,0),0), INDEX($AC$1004:$AS$1004,1,MATCH(COLUMNS($AC$1006:AF1006),$AC$1006:$AS$1006,0)))),"Fix")))</f>
        <v xml:space="preserve"> </v>
      </c>
      <c r="F226" s="4" t="str">
        <f ca="1">IF(OR(INDEX($W$2:$W$1001,MATCH(ROWS($V$2:V226),$V$2:$V$1001,0),1)&gt;=100000,INDEX($AC$1005:$AS$1005,1,MATCH(COLUMNS($AC$1006:AG1006),$AC$1006:$AS$1006,0))&gt;=100000), " ",IF(INDEX($AC$2:$AS$1001,MATCH(ROWS($V$2:V226),$V$2:$V$1001,0),MATCH(COLUMNS($AC$1006:AG1006),$AC$1006:$AS$1006,0)), HYPERLINK("#",""), HYPERLINK(CONCATENATE("#metadata!", ADDRESS(INDEX($X$2:$X$1001,MATCH(ROWS($V$2:V226),$V$2:$V$1001,0),0), INDEX($AC$1004:$AS$1004,1,MATCH(COLUMNS($AC$1006:AG1006),$AC$1006:$AS$1006,0)))),"Fix")))</f>
        <v xml:space="preserve"> </v>
      </c>
      <c r="G226" s="4" t="str">
        <f ca="1">IF(OR(INDEX($W$2:$W$1001,MATCH(ROWS($V$2:V226),$V$2:$V$1001,0),1)&gt;=100000,INDEX($AC$1005:$AS$1005,1,MATCH(COLUMNS($AC$1006:AH1006),$AC$1006:$AS$1006,0))&gt;=100000), " ",IF(INDEX($AC$2:$AS$1001,MATCH(ROWS($V$2:V226),$V$2:$V$1001,0),MATCH(COLUMNS($AC$1006:AH1006),$AC$1006:$AS$1006,0)), HYPERLINK("#",""), HYPERLINK(CONCATENATE("#metadata!", ADDRESS(INDEX($X$2:$X$1001,MATCH(ROWS($V$2:V226),$V$2:$V$1001,0),0), INDEX($AC$1004:$AS$1004,1,MATCH(COLUMNS($AC$1006:AH1006),$AC$1006:$AS$1006,0)))),"Fix")))</f>
        <v xml:space="preserve"> </v>
      </c>
      <c r="H226" s="4" t="str">
        <f ca="1">IF(OR(INDEX($W$2:$W$1001,MATCH(ROWS($V$2:V226),$V$2:$V$1001,0),1)&gt;=100000,INDEX($AC$1005:$AS$1005,1,MATCH(COLUMNS($AC$1006:AI1006),$AC$1006:$AS$1006,0))&gt;=100000), " ",IF(INDEX($AC$2:$AS$1001,MATCH(ROWS($V$2:V226),$V$2:$V$1001,0),MATCH(COLUMNS($AC$1006:AI1006),$AC$1006:$AS$1006,0)), HYPERLINK("#",""), HYPERLINK(CONCATENATE("#metadata!", ADDRESS(INDEX($X$2:$X$1001,MATCH(ROWS($V$2:V226),$V$2:$V$1001,0),0), INDEX($AC$1004:$AS$1004,1,MATCH(COLUMNS($AC$1006:AI1006),$AC$1006:$AS$1006,0)))),"Fix")))</f>
        <v xml:space="preserve"> </v>
      </c>
      <c r="I226" s="4" t="str">
        <f ca="1">IF(OR(INDEX($W$2:$W$1001,MATCH(ROWS($V$2:V226),$V$2:$V$1001,0),1)&gt;=100000,INDEX($AC$1005:$AS$1005,1,MATCH(COLUMNS($AC$1006:AJ1006),$AC$1006:$AS$1006,0))&gt;=100000), " ",IF(INDEX($AC$2:$AS$1001,MATCH(ROWS($V$2:V226),$V$2:$V$1001,0),MATCH(COLUMNS($AC$1006:AJ1006),$AC$1006:$AS$1006,0)), HYPERLINK("#",""), HYPERLINK(CONCATENATE("#metadata!", ADDRESS(INDEX($X$2:$X$1001,MATCH(ROWS($V$2:V226),$V$2:$V$1001,0),0), INDEX($AC$1004:$AS$1004,1,MATCH(COLUMNS($AC$1006:AJ1006),$AC$1006:$AS$1006,0)))),"Fix")))</f>
        <v xml:space="preserve"> </v>
      </c>
      <c r="J226" s="4" t="str">
        <f ca="1">IF(OR(INDEX($W$2:$W$1001,MATCH(ROWS($V$2:V226),$V$2:$V$1001,0),1)&gt;=100000,INDEX($AC$1005:$AS$1005,1,MATCH(COLUMNS($AC$1006:AK1006),$AC$1006:$AS$1006,0))&gt;=100000), " ",IF(INDEX($AC$2:$AS$1001,MATCH(ROWS($V$2:V226),$V$2:$V$1001,0),MATCH(COLUMNS($AC$1006:AK1006),$AC$1006:$AS$1006,0)), HYPERLINK("#",""), HYPERLINK(CONCATENATE("#metadata!", ADDRESS(INDEX($X$2:$X$1001,MATCH(ROWS($V$2:V226),$V$2:$V$1001,0),0), INDEX($AC$1004:$AS$1004,1,MATCH(COLUMNS($AC$1006:AK1006),$AC$1006:$AS$1006,0)))),"Fix")))</f>
        <v xml:space="preserve"> </v>
      </c>
      <c r="K226" s="4" t="str">
        <f ca="1">IF(OR(INDEX($W$2:$W$1001,MATCH(ROWS($V$2:V226),$V$2:$V$1001,0),1)&gt;=100000,INDEX($AC$1005:$AS$1005,1,MATCH(COLUMNS($AC$1006:AL1006),$AC$1006:$AS$1006,0))&gt;=100000), " ",IF(INDEX($AC$2:$AS$1001,MATCH(ROWS($V$2:V226),$V$2:$V$1001,0),MATCH(COLUMNS($AC$1006:AL1006),$AC$1006:$AS$1006,0)), HYPERLINK("#",""), HYPERLINK(CONCATENATE("#metadata!", ADDRESS(INDEX($X$2:$X$1001,MATCH(ROWS($V$2:V226),$V$2:$V$1001,0),0), INDEX($AC$1004:$AS$1004,1,MATCH(COLUMNS($AC$1006:AL1006),$AC$1006:$AS$1006,0)))),"Fix")))</f>
        <v xml:space="preserve"> </v>
      </c>
      <c r="L226" s="4" t="str">
        <f ca="1">IF(OR(INDEX($W$2:$W$1001,MATCH(ROWS($V$2:V226),$V$2:$V$1001,0),1)&gt;=100000,INDEX($AC$1005:$AS$1005,1,MATCH(COLUMNS($AC$1006:AM1006),$AC$1006:$AS$1006,0))&gt;=100000), " ",IF(INDEX($AC$2:$AS$1001,MATCH(ROWS($V$2:V226),$V$2:$V$1001,0),MATCH(COLUMNS($AC$1006:AM1006),$AC$1006:$AS$1006,0)), HYPERLINK("#",""), HYPERLINK(CONCATENATE("#metadata!", ADDRESS(INDEX($X$2:$X$1001,MATCH(ROWS($V$2:V226),$V$2:$V$1001,0),0), INDEX($AC$1004:$AS$1004,1,MATCH(COLUMNS($AC$1006:AM1006),$AC$1006:$AS$1006,0)))),"Fix")))</f>
        <v xml:space="preserve"> </v>
      </c>
      <c r="M226" s="4" t="str">
        <f ca="1">IF(OR(INDEX($W$2:$W$1001,MATCH(ROWS($V$2:V226),$V$2:$V$1001,0),1)&gt;=100000,INDEX($AC$1005:$AS$1005,1,MATCH(COLUMNS($AC$1006:AN1006),$AC$1006:$AS$1006,0))&gt;=100000), " ",IF(INDEX($AC$2:$AS$1001,MATCH(ROWS($V$2:V226),$V$2:$V$1001,0),MATCH(COLUMNS($AC$1006:AN1006),$AC$1006:$AS$1006,0)), HYPERLINK("#",""), HYPERLINK(CONCATENATE("#metadata!", ADDRESS(INDEX($X$2:$X$1001,MATCH(ROWS($V$2:V226),$V$2:$V$1001,0),0), INDEX($AC$1004:$AS$1004,1,MATCH(COLUMNS($AC$1006:AN1006),$AC$1006:$AS$1006,0)))),"Fix")))</f>
        <v xml:space="preserve"> </v>
      </c>
      <c r="N226" s="4" t="str">
        <f ca="1">IF(OR(INDEX($W$2:$W$1001,MATCH(ROWS($V$2:V226),$V$2:$V$1001,0),1)&gt;=100000,INDEX($AC$1005:$AS$1005,1,MATCH(COLUMNS($AC$1006:AO1006),$AC$1006:$AS$1006,0))&gt;=100000), " ",IF(INDEX($AC$2:$AS$1001,MATCH(ROWS($V$2:V226),$V$2:$V$1001,0),MATCH(COLUMNS($AC$1006:AO1006),$AC$1006:$AS$1006,0)), HYPERLINK("#",""), HYPERLINK(CONCATENATE("#metadata!", ADDRESS(INDEX($X$2:$X$1001,MATCH(ROWS($V$2:V226),$V$2:$V$1001,0),0), INDEX($AC$1004:$AS$1004,1,MATCH(COLUMNS($AC$1006:AO1006),$AC$1006:$AS$1006,0)))),"Fix")))</f>
        <v xml:space="preserve"> </v>
      </c>
      <c r="O226" s="4" t="str">
        <f ca="1">IF(OR(INDEX($W$2:$W$1001,MATCH(ROWS($V$2:V226),$V$2:$V$1001,0),1)&gt;=100000,INDEX($AC$1005:$AS$1005,1,MATCH(COLUMNS($AC$1006:AP1006),$AC$1006:$AS$1006,0))&gt;=100000), " ",IF(INDEX($AC$2:$AS$1001,MATCH(ROWS($V$2:V226),$V$2:$V$1001,0),MATCH(COLUMNS($AC$1006:AP1006),$AC$1006:$AS$1006,0)), HYPERLINK("#",""), HYPERLINK(CONCATENATE("#metadata!", ADDRESS(INDEX($X$2:$X$1001,MATCH(ROWS($V$2:V226),$V$2:$V$1001,0),0), INDEX($AC$1004:$AS$1004,1,MATCH(COLUMNS($AC$1006:AP1006),$AC$1006:$AS$1006,0)))),"Fix")))</f>
        <v xml:space="preserve"> </v>
      </c>
      <c r="P226" s="4" t="str">
        <f ca="1">IF(OR(INDEX($W$2:$W$1001,MATCH(ROWS($V$2:V226),$V$2:$V$1001,0),1)&gt;=100000,INDEX($AC$1005:$AS$1005,1,MATCH(COLUMNS($AC$1006:AQ1006),$AC$1006:$AS$1006,0))&gt;=100000), " ",IF(INDEX($AC$2:$AS$1001,MATCH(ROWS($V$2:V226),$V$2:$V$1001,0),MATCH(COLUMNS($AC$1006:AQ1006),$AC$1006:$AS$1006,0)), HYPERLINK("#",""), HYPERLINK(CONCATENATE("#metadata!", ADDRESS(INDEX($X$2:$X$1001,MATCH(ROWS($V$2:V226),$V$2:$V$1001,0),0), INDEX($AC$1004:$AS$1004,1,MATCH(COLUMNS($AC$1006:AQ1006),$AC$1006:$AS$1006,0)))),"Fix")))</f>
        <v xml:space="preserve"> </v>
      </c>
      <c r="Q226" s="4" t="str">
        <f ca="1">IF(OR(INDEX($W$2:$W$1001,MATCH(ROWS($V$2:V226),$V$2:$V$1001,0),1)&gt;=100000,INDEX($AC$1005:$AS$1005,1,MATCH(COLUMNS($AC$1006:AR1006),$AC$1006:$AS$1006,0))&gt;=100000), " ",IF(INDEX($AC$2:$AS$1001,MATCH(ROWS($V$2:V226),$V$2:$V$1001,0),MATCH(COLUMNS($AC$1006:AR1006),$AC$1006:$AS$1006,0)), HYPERLINK("#",""), HYPERLINK(CONCATENATE("#metadata!", ADDRESS(INDEX($X$2:$X$1001,MATCH(ROWS($V$2:V226),$V$2:$V$1001,0),0), INDEX($AC$1004:$AS$1004,1,MATCH(COLUMNS($AC$1006:AR1006),$AC$1006:$AS$1006,0)))),"Fix")))</f>
        <v xml:space="preserve"> </v>
      </c>
      <c r="R226" s="4" t="str">
        <f ca="1">IF(OR(INDEX($W$2:$W$1001,MATCH(ROWS($V$2:V226),$V$2:$V$1001,0),1)&gt;=100000,INDEX($AC$1005:$AS$1005,1,MATCH(COLUMNS($AC$1006:AS1006),$AC$1006:$AS$1006,0))&gt;=100000), " ",IF(INDEX($AC$2:$AS$1001,MATCH(ROWS($V$2:V226),$V$2:$V$1001,0),MATCH(COLUMNS($AC$1006:AS1006),$AC$1006:$AS$1006,0)), HYPERLINK("#",""), HYPERLINK(CONCATENATE("#metadata!", ADDRESS(INDEX($X$2:$X$1001,MATCH(ROWS($V$2:V226),$V$2:$V$1001,0),0), INDEX($AC$1004:$AS$1004,1,MATCH(COLUMNS($AC$1006:AS1006),$AC$1006:$AS$1006,0)))),"Fix")))</f>
        <v xml:space="preserve"> </v>
      </c>
      <c r="V226">
        <v>225</v>
      </c>
      <c r="W226">
        <v>100226</v>
      </c>
      <c r="X226">
        <v>226</v>
      </c>
      <c r="Y226" t="b">
        <f t="shared" si="3"/>
        <v>1</v>
      </c>
      <c r="Z226" t="b">
        <f>COUNTBLANK(metadata!B226:R226)=COLUMNS(metadata!B226:R226)</f>
        <v>1</v>
      </c>
      <c r="AA226" t="str">
        <v/>
      </c>
      <c r="AC226" t="b">
        <f ca="1"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AD226" t="b">
        <f>IF(metadata!C226="",FALSE,ISNUMBER(VALUE(metadata!C226)))</f>
        <v>0</v>
      </c>
      <c r="AE226" t="b">
        <f>AND(IF(metadata!D226="",FALSE,TRUE),EXACT(metadata!D226,"years"))</f>
        <v>0</v>
      </c>
      <c r="AF226" t="b">
        <f>OR(AND(IF(metadata!E226="",FALSE,TRUE),OR(EXACT(metadata!E226,"not applicable"),EXACT(metadata!E226,"missing: not collected"),EXACT(metadata!E226,"missing: not provided"),EXACT(metadata!E226,"missing: restricted access"))),AND(IF(metadata!E226="",FALSE,ISNUMBER(VALUE(metadata!E226))),metadata!E226&gt;0))</f>
        <v>0</v>
      </c>
      <c r="AG226" t="b">
        <f>AND(IF(metadata!F226="",FALSE,TRUE),EXACT(metadata!F226,"Not applicable"))</f>
        <v>0</v>
      </c>
      <c r="AH226" t="b">
        <f>AND(IF(metadata!G226="",FALSE,TRUE),EXACT(metadata!G226,"urban biome"))</f>
        <v>0</v>
      </c>
      <c r="AI226" t="b">
        <f>AND(IF(metadata!H226="",FALSE,TRUE),EXACT(metadata!H226,"human-associated habitat"))</f>
        <v>0</v>
      </c>
      <c r="AJ226" t="b">
        <f>AND(IF(metadata!I226="",FALSE,TRUE),OR(EXACT(metadata!I226,"human-associated"),EXACT(metadata!I226,"human-skin"),EXACT(metadata!I226,"human-oral"),EXACT(metadata!I226,"human-gut"),EXACT(metadata!I226,"human-vaginal")))</f>
        <v>0</v>
      </c>
      <c r="AK226" t="b">
        <f>IF(metadata!J226="",FALSE,ISNUMBER(VALUE(metadata!J226)))</f>
        <v>0</v>
      </c>
      <c r="AL226" t="b">
        <f>AND(IF(metadata!K226="",FALSE,TRUE),EXACT(metadata!K226,"cm"))</f>
        <v>0</v>
      </c>
      <c r="AM226" t="b">
        <f>AND(IF(metadata!L226="",FALSE,TRUE),EXACT(metadata!L226,"human"))</f>
        <v>0</v>
      </c>
      <c r="AN226" t="b">
        <f>AND(IF(metadata!M226="",FALSE,TRUE),EXACT(metadata!M226,"Homo sapiens"))</f>
        <v>0</v>
      </c>
      <c r="AO226" t="b">
        <f>AND(IF(metadata!N226="",FALSE,TRUE),EXACT(metadata!N226,"9606"))</f>
        <v>0</v>
      </c>
      <c r="AP226" t="b">
        <f>IF(metadata!O226="",FALSE,TRUE)</f>
        <v>0</v>
      </c>
      <c r="AQ226" t="b">
        <f>IF(metadata!P226="",FALSE,TRUE)</f>
        <v>0</v>
      </c>
      <c r="AR226" t="b">
        <f>IF(metadata!Q226="",FALSE,ISNUMBER(VALUE(metadata!Q226)))</f>
        <v>0</v>
      </c>
      <c r="AS226" t="b">
        <f>AND(IF(metadata!R226="",FALSE,TRUE),EXACT(metadata!R226,"kg"))</f>
        <v>0</v>
      </c>
    </row>
    <row r="227" spans="1:45" x14ac:dyDescent="0.2">
      <c r="A227" s="5" t="str">
        <f ca="1">IF(B227=" "," ",HYPERLINK(CONCATENATE("#metadata!",ADDRESS(INDEX($X$2:$X$1001,MATCH(ROWS($V$2:V227),$V$2:$V$1001,0),0),1)),INDEX($AA$2:$AA$1001,MATCH(ROWS($V$2:V227),$V$2:$V$1001,0),0)))</f>
        <v xml:space="preserve"> </v>
      </c>
      <c r="B227" s="4" t="str">
        <f ca="1">IF(OR(INDEX($W$2:$W$1001,MATCH(ROWS($V$2:V227),$V$2:$V$1001,0),1)&gt;=100000,INDEX($AC$1005:$AS$1005,1,MATCH(COLUMNS($AC$1006:AC1006),$AC$1006:$AS$1006,0))&gt;=100000), " ",IF(INDEX($AC$2:$AS$1001,MATCH(ROWS($V$2:V227),$V$2:$V$1001,0),MATCH(COLUMNS($AC$1006:AC1006),$AC$1006:$AS$1006,0)), HYPERLINK("#",""), HYPERLINK(CONCATENATE("#metadata!", ADDRESS(INDEX($X$2:$X$1001,MATCH(ROWS($V$2:V227),$V$2:$V$1001,0),0), INDEX($AC$1004:$AS$1004,1,MATCH(COLUMNS($AC$1006:AC1006),$AC$1006:$AS$1006,0)))),"Fix")))</f>
        <v xml:space="preserve"> </v>
      </c>
      <c r="C227" s="4" t="str">
        <f ca="1">IF(OR(INDEX($W$2:$W$1001,MATCH(ROWS($V$2:V227),$V$2:$V$1001,0),1)&gt;=100000,INDEX($AC$1005:$AS$1005,1,MATCH(COLUMNS($AC$1006:AD1006),$AC$1006:$AS$1006,0))&gt;=100000), " ",IF(INDEX($AC$2:$AS$1001,MATCH(ROWS($V$2:V227),$V$2:$V$1001,0),MATCH(COLUMNS($AC$1006:AD1006),$AC$1006:$AS$1006,0)), HYPERLINK("#",""), HYPERLINK(CONCATENATE("#metadata!", ADDRESS(INDEX($X$2:$X$1001,MATCH(ROWS($V$2:V227),$V$2:$V$1001,0),0), INDEX($AC$1004:$AS$1004,1,MATCH(COLUMNS($AC$1006:AD1006),$AC$1006:$AS$1006,0)))),"Fix")))</f>
        <v xml:space="preserve"> </v>
      </c>
      <c r="D227" s="4" t="str">
        <f ca="1">IF(OR(INDEX($W$2:$W$1001,MATCH(ROWS($V$2:V227),$V$2:$V$1001,0),1)&gt;=100000,INDEX($AC$1005:$AS$1005,1,MATCH(COLUMNS($AC$1006:AE1006),$AC$1006:$AS$1006,0))&gt;=100000), " ",IF(INDEX($AC$2:$AS$1001,MATCH(ROWS($V$2:V227),$V$2:$V$1001,0),MATCH(COLUMNS($AC$1006:AE1006),$AC$1006:$AS$1006,0)), HYPERLINK("#",""), HYPERLINK(CONCATENATE("#metadata!", ADDRESS(INDEX($X$2:$X$1001,MATCH(ROWS($V$2:V227),$V$2:$V$1001,0),0), INDEX($AC$1004:$AS$1004,1,MATCH(COLUMNS($AC$1006:AE1006),$AC$1006:$AS$1006,0)))),"Fix")))</f>
        <v xml:space="preserve"> </v>
      </c>
      <c r="E227" s="4" t="str">
        <f ca="1">IF(OR(INDEX($W$2:$W$1001,MATCH(ROWS($V$2:V227),$V$2:$V$1001,0),1)&gt;=100000,INDEX($AC$1005:$AS$1005,1,MATCH(COLUMNS($AC$1006:AF1006),$AC$1006:$AS$1006,0))&gt;=100000), " ",IF(INDEX($AC$2:$AS$1001,MATCH(ROWS($V$2:V227),$V$2:$V$1001,0),MATCH(COLUMNS($AC$1006:AF1006),$AC$1006:$AS$1006,0)), HYPERLINK("#",""), HYPERLINK(CONCATENATE("#metadata!", ADDRESS(INDEX($X$2:$X$1001,MATCH(ROWS($V$2:V227),$V$2:$V$1001,0),0), INDEX($AC$1004:$AS$1004,1,MATCH(COLUMNS($AC$1006:AF1006),$AC$1006:$AS$1006,0)))),"Fix")))</f>
        <v xml:space="preserve"> </v>
      </c>
      <c r="F227" s="4" t="str">
        <f ca="1">IF(OR(INDEX($W$2:$W$1001,MATCH(ROWS($V$2:V227),$V$2:$V$1001,0),1)&gt;=100000,INDEX($AC$1005:$AS$1005,1,MATCH(COLUMNS($AC$1006:AG1006),$AC$1006:$AS$1006,0))&gt;=100000), " ",IF(INDEX($AC$2:$AS$1001,MATCH(ROWS($V$2:V227),$V$2:$V$1001,0),MATCH(COLUMNS($AC$1006:AG1006),$AC$1006:$AS$1006,0)), HYPERLINK("#",""), HYPERLINK(CONCATENATE("#metadata!", ADDRESS(INDEX($X$2:$X$1001,MATCH(ROWS($V$2:V227),$V$2:$V$1001,0),0), INDEX($AC$1004:$AS$1004,1,MATCH(COLUMNS($AC$1006:AG1006),$AC$1006:$AS$1006,0)))),"Fix")))</f>
        <v xml:space="preserve"> </v>
      </c>
      <c r="G227" s="4" t="str">
        <f ca="1">IF(OR(INDEX($W$2:$W$1001,MATCH(ROWS($V$2:V227),$V$2:$V$1001,0),1)&gt;=100000,INDEX($AC$1005:$AS$1005,1,MATCH(COLUMNS($AC$1006:AH1006),$AC$1006:$AS$1006,0))&gt;=100000), " ",IF(INDEX($AC$2:$AS$1001,MATCH(ROWS($V$2:V227),$V$2:$V$1001,0),MATCH(COLUMNS($AC$1006:AH1006),$AC$1006:$AS$1006,0)), HYPERLINK("#",""), HYPERLINK(CONCATENATE("#metadata!", ADDRESS(INDEX($X$2:$X$1001,MATCH(ROWS($V$2:V227),$V$2:$V$1001,0),0), INDEX($AC$1004:$AS$1004,1,MATCH(COLUMNS($AC$1006:AH1006),$AC$1006:$AS$1006,0)))),"Fix")))</f>
        <v xml:space="preserve"> </v>
      </c>
      <c r="H227" s="4" t="str">
        <f ca="1">IF(OR(INDEX($W$2:$W$1001,MATCH(ROWS($V$2:V227),$V$2:$V$1001,0),1)&gt;=100000,INDEX($AC$1005:$AS$1005,1,MATCH(COLUMNS($AC$1006:AI1006),$AC$1006:$AS$1006,0))&gt;=100000), " ",IF(INDEX($AC$2:$AS$1001,MATCH(ROWS($V$2:V227),$V$2:$V$1001,0),MATCH(COLUMNS($AC$1006:AI1006),$AC$1006:$AS$1006,0)), HYPERLINK("#",""), HYPERLINK(CONCATENATE("#metadata!", ADDRESS(INDEX($X$2:$X$1001,MATCH(ROWS($V$2:V227),$V$2:$V$1001,0),0), INDEX($AC$1004:$AS$1004,1,MATCH(COLUMNS($AC$1006:AI1006),$AC$1006:$AS$1006,0)))),"Fix")))</f>
        <v xml:space="preserve"> </v>
      </c>
      <c r="I227" s="4" t="str">
        <f ca="1">IF(OR(INDEX($W$2:$W$1001,MATCH(ROWS($V$2:V227),$V$2:$V$1001,0),1)&gt;=100000,INDEX($AC$1005:$AS$1005,1,MATCH(COLUMNS($AC$1006:AJ1006),$AC$1006:$AS$1006,0))&gt;=100000), " ",IF(INDEX($AC$2:$AS$1001,MATCH(ROWS($V$2:V227),$V$2:$V$1001,0),MATCH(COLUMNS($AC$1006:AJ1006),$AC$1006:$AS$1006,0)), HYPERLINK("#",""), HYPERLINK(CONCATENATE("#metadata!", ADDRESS(INDEX($X$2:$X$1001,MATCH(ROWS($V$2:V227),$V$2:$V$1001,0),0), INDEX($AC$1004:$AS$1004,1,MATCH(COLUMNS($AC$1006:AJ1006),$AC$1006:$AS$1006,0)))),"Fix")))</f>
        <v xml:space="preserve"> </v>
      </c>
      <c r="J227" s="4" t="str">
        <f ca="1">IF(OR(INDEX($W$2:$W$1001,MATCH(ROWS($V$2:V227),$V$2:$V$1001,0),1)&gt;=100000,INDEX($AC$1005:$AS$1005,1,MATCH(COLUMNS($AC$1006:AK1006),$AC$1006:$AS$1006,0))&gt;=100000), " ",IF(INDEX($AC$2:$AS$1001,MATCH(ROWS($V$2:V227),$V$2:$V$1001,0),MATCH(COLUMNS($AC$1006:AK1006),$AC$1006:$AS$1006,0)), HYPERLINK("#",""), HYPERLINK(CONCATENATE("#metadata!", ADDRESS(INDEX($X$2:$X$1001,MATCH(ROWS($V$2:V227),$V$2:$V$1001,0),0), INDEX($AC$1004:$AS$1004,1,MATCH(COLUMNS($AC$1006:AK1006),$AC$1006:$AS$1006,0)))),"Fix")))</f>
        <v xml:space="preserve"> </v>
      </c>
      <c r="K227" s="4" t="str">
        <f ca="1">IF(OR(INDEX($W$2:$W$1001,MATCH(ROWS($V$2:V227),$V$2:$V$1001,0),1)&gt;=100000,INDEX($AC$1005:$AS$1005,1,MATCH(COLUMNS($AC$1006:AL1006),$AC$1006:$AS$1006,0))&gt;=100000), " ",IF(INDEX($AC$2:$AS$1001,MATCH(ROWS($V$2:V227),$V$2:$V$1001,0),MATCH(COLUMNS($AC$1006:AL1006),$AC$1006:$AS$1006,0)), HYPERLINK("#",""), HYPERLINK(CONCATENATE("#metadata!", ADDRESS(INDEX($X$2:$X$1001,MATCH(ROWS($V$2:V227),$V$2:$V$1001,0),0), INDEX($AC$1004:$AS$1004,1,MATCH(COLUMNS($AC$1006:AL1006),$AC$1006:$AS$1006,0)))),"Fix")))</f>
        <v xml:space="preserve"> </v>
      </c>
      <c r="L227" s="4" t="str">
        <f ca="1">IF(OR(INDEX($W$2:$W$1001,MATCH(ROWS($V$2:V227),$V$2:$V$1001,0),1)&gt;=100000,INDEX($AC$1005:$AS$1005,1,MATCH(COLUMNS($AC$1006:AM1006),$AC$1006:$AS$1006,0))&gt;=100000), " ",IF(INDEX($AC$2:$AS$1001,MATCH(ROWS($V$2:V227),$V$2:$V$1001,0),MATCH(COLUMNS($AC$1006:AM1006),$AC$1006:$AS$1006,0)), HYPERLINK("#",""), HYPERLINK(CONCATENATE("#metadata!", ADDRESS(INDEX($X$2:$X$1001,MATCH(ROWS($V$2:V227),$V$2:$V$1001,0),0), INDEX($AC$1004:$AS$1004,1,MATCH(COLUMNS($AC$1006:AM1006),$AC$1006:$AS$1006,0)))),"Fix")))</f>
        <v xml:space="preserve"> </v>
      </c>
      <c r="M227" s="4" t="str">
        <f ca="1">IF(OR(INDEX($W$2:$W$1001,MATCH(ROWS($V$2:V227),$V$2:$V$1001,0),1)&gt;=100000,INDEX($AC$1005:$AS$1005,1,MATCH(COLUMNS($AC$1006:AN1006),$AC$1006:$AS$1006,0))&gt;=100000), " ",IF(INDEX($AC$2:$AS$1001,MATCH(ROWS($V$2:V227),$V$2:$V$1001,0),MATCH(COLUMNS($AC$1006:AN1006),$AC$1006:$AS$1006,0)), HYPERLINK("#",""), HYPERLINK(CONCATENATE("#metadata!", ADDRESS(INDEX($X$2:$X$1001,MATCH(ROWS($V$2:V227),$V$2:$V$1001,0),0), INDEX($AC$1004:$AS$1004,1,MATCH(COLUMNS($AC$1006:AN1006),$AC$1006:$AS$1006,0)))),"Fix")))</f>
        <v xml:space="preserve"> </v>
      </c>
      <c r="N227" s="4" t="str">
        <f ca="1">IF(OR(INDEX($W$2:$W$1001,MATCH(ROWS($V$2:V227),$V$2:$V$1001,0),1)&gt;=100000,INDEX($AC$1005:$AS$1005,1,MATCH(COLUMNS($AC$1006:AO1006),$AC$1006:$AS$1006,0))&gt;=100000), " ",IF(INDEX($AC$2:$AS$1001,MATCH(ROWS($V$2:V227),$V$2:$V$1001,0),MATCH(COLUMNS($AC$1006:AO1006),$AC$1006:$AS$1006,0)), HYPERLINK("#",""), HYPERLINK(CONCATENATE("#metadata!", ADDRESS(INDEX($X$2:$X$1001,MATCH(ROWS($V$2:V227),$V$2:$V$1001,0),0), INDEX($AC$1004:$AS$1004,1,MATCH(COLUMNS($AC$1006:AO1006),$AC$1006:$AS$1006,0)))),"Fix")))</f>
        <v xml:space="preserve"> </v>
      </c>
      <c r="O227" s="4" t="str">
        <f ca="1">IF(OR(INDEX($W$2:$W$1001,MATCH(ROWS($V$2:V227),$V$2:$V$1001,0),1)&gt;=100000,INDEX($AC$1005:$AS$1005,1,MATCH(COLUMNS($AC$1006:AP1006),$AC$1006:$AS$1006,0))&gt;=100000), " ",IF(INDEX($AC$2:$AS$1001,MATCH(ROWS($V$2:V227),$V$2:$V$1001,0),MATCH(COLUMNS($AC$1006:AP1006),$AC$1006:$AS$1006,0)), HYPERLINK("#",""), HYPERLINK(CONCATENATE("#metadata!", ADDRESS(INDEX($X$2:$X$1001,MATCH(ROWS($V$2:V227),$V$2:$V$1001,0),0), INDEX($AC$1004:$AS$1004,1,MATCH(COLUMNS($AC$1006:AP1006),$AC$1006:$AS$1006,0)))),"Fix")))</f>
        <v xml:space="preserve"> </v>
      </c>
      <c r="P227" s="4" t="str">
        <f ca="1">IF(OR(INDEX($W$2:$W$1001,MATCH(ROWS($V$2:V227),$V$2:$V$1001,0),1)&gt;=100000,INDEX($AC$1005:$AS$1005,1,MATCH(COLUMNS($AC$1006:AQ1006),$AC$1006:$AS$1006,0))&gt;=100000), " ",IF(INDEX($AC$2:$AS$1001,MATCH(ROWS($V$2:V227),$V$2:$V$1001,0),MATCH(COLUMNS($AC$1006:AQ1006),$AC$1006:$AS$1006,0)), HYPERLINK("#",""), HYPERLINK(CONCATENATE("#metadata!", ADDRESS(INDEX($X$2:$X$1001,MATCH(ROWS($V$2:V227),$V$2:$V$1001,0),0), INDEX($AC$1004:$AS$1004,1,MATCH(COLUMNS($AC$1006:AQ1006),$AC$1006:$AS$1006,0)))),"Fix")))</f>
        <v xml:space="preserve"> </v>
      </c>
      <c r="Q227" s="4" t="str">
        <f ca="1">IF(OR(INDEX($W$2:$W$1001,MATCH(ROWS($V$2:V227),$V$2:$V$1001,0),1)&gt;=100000,INDEX($AC$1005:$AS$1005,1,MATCH(COLUMNS($AC$1006:AR1006),$AC$1006:$AS$1006,0))&gt;=100000), " ",IF(INDEX($AC$2:$AS$1001,MATCH(ROWS($V$2:V227),$V$2:$V$1001,0),MATCH(COLUMNS($AC$1006:AR1006),$AC$1006:$AS$1006,0)), HYPERLINK("#",""), HYPERLINK(CONCATENATE("#metadata!", ADDRESS(INDEX($X$2:$X$1001,MATCH(ROWS($V$2:V227),$V$2:$V$1001,0),0), INDEX($AC$1004:$AS$1004,1,MATCH(COLUMNS($AC$1006:AR1006),$AC$1006:$AS$1006,0)))),"Fix")))</f>
        <v xml:space="preserve"> </v>
      </c>
      <c r="R227" s="4" t="str">
        <f ca="1">IF(OR(INDEX($W$2:$W$1001,MATCH(ROWS($V$2:V227),$V$2:$V$1001,0),1)&gt;=100000,INDEX($AC$1005:$AS$1005,1,MATCH(COLUMNS($AC$1006:AS1006),$AC$1006:$AS$1006,0))&gt;=100000), " ",IF(INDEX($AC$2:$AS$1001,MATCH(ROWS($V$2:V227),$V$2:$V$1001,0),MATCH(COLUMNS($AC$1006:AS1006),$AC$1006:$AS$1006,0)), HYPERLINK("#",""), HYPERLINK(CONCATENATE("#metadata!", ADDRESS(INDEX($X$2:$X$1001,MATCH(ROWS($V$2:V227),$V$2:$V$1001,0),0), INDEX($AC$1004:$AS$1004,1,MATCH(COLUMNS($AC$1006:AS1006),$AC$1006:$AS$1006,0)))),"Fix")))</f>
        <v xml:space="preserve"> </v>
      </c>
      <c r="V227">
        <v>226</v>
      </c>
      <c r="W227">
        <v>100227</v>
      </c>
      <c r="X227">
        <v>227</v>
      </c>
      <c r="Y227" t="b">
        <f t="shared" si="3"/>
        <v>1</v>
      </c>
      <c r="Z227" t="b">
        <f>COUNTBLANK(metadata!B227:R227)=COLUMNS(metadata!B227:R227)</f>
        <v>1</v>
      </c>
      <c r="AA227" t="str">
        <v/>
      </c>
      <c r="AC227" t="b">
        <f ca="1"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AD227" t="b">
        <f>IF(metadata!C227="",FALSE,ISNUMBER(VALUE(metadata!C227)))</f>
        <v>0</v>
      </c>
      <c r="AE227" t="b">
        <f>AND(IF(metadata!D227="",FALSE,TRUE),EXACT(metadata!D227,"years"))</f>
        <v>0</v>
      </c>
      <c r="AF227" t="b">
        <f>OR(AND(IF(metadata!E227="",FALSE,TRUE),OR(EXACT(metadata!E227,"not applicable"),EXACT(metadata!E227,"missing: not collected"),EXACT(metadata!E227,"missing: not provided"),EXACT(metadata!E227,"missing: restricted access"))),AND(IF(metadata!E227="",FALSE,ISNUMBER(VALUE(metadata!E227))),metadata!E227&gt;0))</f>
        <v>0</v>
      </c>
      <c r="AG227" t="b">
        <f>AND(IF(metadata!F227="",FALSE,TRUE),EXACT(metadata!F227,"Not applicable"))</f>
        <v>0</v>
      </c>
      <c r="AH227" t="b">
        <f>AND(IF(metadata!G227="",FALSE,TRUE),EXACT(metadata!G227,"urban biome"))</f>
        <v>0</v>
      </c>
      <c r="AI227" t="b">
        <f>AND(IF(metadata!H227="",FALSE,TRUE),EXACT(metadata!H227,"human-associated habitat"))</f>
        <v>0</v>
      </c>
      <c r="AJ227" t="b">
        <f>AND(IF(metadata!I227="",FALSE,TRUE),OR(EXACT(metadata!I227,"human-associated"),EXACT(metadata!I227,"human-skin"),EXACT(metadata!I227,"human-oral"),EXACT(metadata!I227,"human-gut"),EXACT(metadata!I227,"human-vaginal")))</f>
        <v>0</v>
      </c>
      <c r="AK227" t="b">
        <f>IF(metadata!J227="",FALSE,ISNUMBER(VALUE(metadata!J227)))</f>
        <v>0</v>
      </c>
      <c r="AL227" t="b">
        <f>AND(IF(metadata!K227="",FALSE,TRUE),EXACT(metadata!K227,"cm"))</f>
        <v>0</v>
      </c>
      <c r="AM227" t="b">
        <f>AND(IF(metadata!L227="",FALSE,TRUE),EXACT(metadata!L227,"human"))</f>
        <v>0</v>
      </c>
      <c r="AN227" t="b">
        <f>AND(IF(metadata!M227="",FALSE,TRUE),EXACT(metadata!M227,"Homo sapiens"))</f>
        <v>0</v>
      </c>
      <c r="AO227" t="b">
        <f>AND(IF(metadata!N227="",FALSE,TRUE),EXACT(metadata!N227,"9606"))</f>
        <v>0</v>
      </c>
      <c r="AP227" t="b">
        <f>IF(metadata!O227="",FALSE,TRUE)</f>
        <v>0</v>
      </c>
      <c r="AQ227" t="b">
        <f>IF(metadata!P227="",FALSE,TRUE)</f>
        <v>0</v>
      </c>
      <c r="AR227" t="b">
        <f>IF(metadata!Q227="",FALSE,ISNUMBER(VALUE(metadata!Q227)))</f>
        <v>0</v>
      </c>
      <c r="AS227" t="b">
        <f>AND(IF(metadata!R227="",FALSE,TRUE),EXACT(metadata!R227,"kg"))</f>
        <v>0</v>
      </c>
    </row>
    <row r="228" spans="1:45" x14ac:dyDescent="0.2">
      <c r="A228" s="5" t="str">
        <f ca="1">IF(B228=" "," ",HYPERLINK(CONCATENATE("#metadata!",ADDRESS(INDEX($X$2:$X$1001,MATCH(ROWS($V$2:V228),$V$2:$V$1001,0),0),1)),INDEX($AA$2:$AA$1001,MATCH(ROWS($V$2:V228),$V$2:$V$1001,0),0)))</f>
        <v xml:space="preserve"> </v>
      </c>
      <c r="B228" s="4" t="str">
        <f ca="1">IF(OR(INDEX($W$2:$W$1001,MATCH(ROWS($V$2:V228),$V$2:$V$1001,0),1)&gt;=100000,INDEX($AC$1005:$AS$1005,1,MATCH(COLUMNS($AC$1006:AC1006),$AC$1006:$AS$1006,0))&gt;=100000), " ",IF(INDEX($AC$2:$AS$1001,MATCH(ROWS($V$2:V228),$V$2:$V$1001,0),MATCH(COLUMNS($AC$1006:AC1006),$AC$1006:$AS$1006,0)), HYPERLINK("#",""), HYPERLINK(CONCATENATE("#metadata!", ADDRESS(INDEX($X$2:$X$1001,MATCH(ROWS($V$2:V228),$V$2:$V$1001,0),0), INDEX($AC$1004:$AS$1004,1,MATCH(COLUMNS($AC$1006:AC1006),$AC$1006:$AS$1006,0)))),"Fix")))</f>
        <v xml:space="preserve"> </v>
      </c>
      <c r="C228" s="4" t="str">
        <f ca="1">IF(OR(INDEX($W$2:$W$1001,MATCH(ROWS($V$2:V228),$V$2:$V$1001,0),1)&gt;=100000,INDEX($AC$1005:$AS$1005,1,MATCH(COLUMNS($AC$1006:AD1006),$AC$1006:$AS$1006,0))&gt;=100000), " ",IF(INDEX($AC$2:$AS$1001,MATCH(ROWS($V$2:V228),$V$2:$V$1001,0),MATCH(COLUMNS($AC$1006:AD1006),$AC$1006:$AS$1006,0)), HYPERLINK("#",""), HYPERLINK(CONCATENATE("#metadata!", ADDRESS(INDEX($X$2:$X$1001,MATCH(ROWS($V$2:V228),$V$2:$V$1001,0),0), INDEX($AC$1004:$AS$1004,1,MATCH(COLUMNS($AC$1006:AD1006),$AC$1006:$AS$1006,0)))),"Fix")))</f>
        <v xml:space="preserve"> </v>
      </c>
      <c r="D228" s="4" t="str">
        <f ca="1">IF(OR(INDEX($W$2:$W$1001,MATCH(ROWS($V$2:V228),$V$2:$V$1001,0),1)&gt;=100000,INDEX($AC$1005:$AS$1005,1,MATCH(COLUMNS($AC$1006:AE1006),$AC$1006:$AS$1006,0))&gt;=100000), " ",IF(INDEX($AC$2:$AS$1001,MATCH(ROWS($V$2:V228),$V$2:$V$1001,0),MATCH(COLUMNS($AC$1006:AE1006),$AC$1006:$AS$1006,0)), HYPERLINK("#",""), HYPERLINK(CONCATENATE("#metadata!", ADDRESS(INDEX($X$2:$X$1001,MATCH(ROWS($V$2:V228),$V$2:$V$1001,0),0), INDEX($AC$1004:$AS$1004,1,MATCH(COLUMNS($AC$1006:AE1006),$AC$1006:$AS$1006,0)))),"Fix")))</f>
        <v xml:space="preserve"> </v>
      </c>
      <c r="E228" s="4" t="str">
        <f ca="1">IF(OR(INDEX($W$2:$W$1001,MATCH(ROWS($V$2:V228),$V$2:$V$1001,0),1)&gt;=100000,INDEX($AC$1005:$AS$1005,1,MATCH(COLUMNS($AC$1006:AF1006),$AC$1006:$AS$1006,0))&gt;=100000), " ",IF(INDEX($AC$2:$AS$1001,MATCH(ROWS($V$2:V228),$V$2:$V$1001,0),MATCH(COLUMNS($AC$1006:AF1006),$AC$1006:$AS$1006,0)), HYPERLINK("#",""), HYPERLINK(CONCATENATE("#metadata!", ADDRESS(INDEX($X$2:$X$1001,MATCH(ROWS($V$2:V228),$V$2:$V$1001,0),0), INDEX($AC$1004:$AS$1004,1,MATCH(COLUMNS($AC$1006:AF1006),$AC$1006:$AS$1006,0)))),"Fix")))</f>
        <v xml:space="preserve"> </v>
      </c>
      <c r="F228" s="4" t="str">
        <f ca="1">IF(OR(INDEX($W$2:$W$1001,MATCH(ROWS($V$2:V228),$V$2:$V$1001,0),1)&gt;=100000,INDEX($AC$1005:$AS$1005,1,MATCH(COLUMNS($AC$1006:AG1006),$AC$1006:$AS$1006,0))&gt;=100000), " ",IF(INDEX($AC$2:$AS$1001,MATCH(ROWS($V$2:V228),$V$2:$V$1001,0),MATCH(COLUMNS($AC$1006:AG1006),$AC$1006:$AS$1006,0)), HYPERLINK("#",""), HYPERLINK(CONCATENATE("#metadata!", ADDRESS(INDEX($X$2:$X$1001,MATCH(ROWS($V$2:V228),$V$2:$V$1001,0),0), INDEX($AC$1004:$AS$1004,1,MATCH(COLUMNS($AC$1006:AG1006),$AC$1006:$AS$1006,0)))),"Fix")))</f>
        <v xml:space="preserve"> </v>
      </c>
      <c r="G228" s="4" t="str">
        <f ca="1">IF(OR(INDEX($W$2:$W$1001,MATCH(ROWS($V$2:V228),$V$2:$V$1001,0),1)&gt;=100000,INDEX($AC$1005:$AS$1005,1,MATCH(COLUMNS($AC$1006:AH1006),$AC$1006:$AS$1006,0))&gt;=100000), " ",IF(INDEX($AC$2:$AS$1001,MATCH(ROWS($V$2:V228),$V$2:$V$1001,0),MATCH(COLUMNS($AC$1006:AH1006),$AC$1006:$AS$1006,0)), HYPERLINK("#",""), HYPERLINK(CONCATENATE("#metadata!", ADDRESS(INDEX($X$2:$X$1001,MATCH(ROWS($V$2:V228),$V$2:$V$1001,0),0), INDEX($AC$1004:$AS$1004,1,MATCH(COLUMNS($AC$1006:AH1006),$AC$1006:$AS$1006,0)))),"Fix")))</f>
        <v xml:space="preserve"> </v>
      </c>
      <c r="H228" s="4" t="str">
        <f ca="1">IF(OR(INDEX($W$2:$W$1001,MATCH(ROWS($V$2:V228),$V$2:$V$1001,0),1)&gt;=100000,INDEX($AC$1005:$AS$1005,1,MATCH(COLUMNS($AC$1006:AI1006),$AC$1006:$AS$1006,0))&gt;=100000), " ",IF(INDEX($AC$2:$AS$1001,MATCH(ROWS($V$2:V228),$V$2:$V$1001,0),MATCH(COLUMNS($AC$1006:AI1006),$AC$1006:$AS$1006,0)), HYPERLINK("#",""), HYPERLINK(CONCATENATE("#metadata!", ADDRESS(INDEX($X$2:$X$1001,MATCH(ROWS($V$2:V228),$V$2:$V$1001,0),0), INDEX($AC$1004:$AS$1004,1,MATCH(COLUMNS($AC$1006:AI1006),$AC$1006:$AS$1006,0)))),"Fix")))</f>
        <v xml:space="preserve"> </v>
      </c>
      <c r="I228" s="4" t="str">
        <f ca="1">IF(OR(INDEX($W$2:$W$1001,MATCH(ROWS($V$2:V228),$V$2:$V$1001,0),1)&gt;=100000,INDEX($AC$1005:$AS$1005,1,MATCH(COLUMNS($AC$1006:AJ1006),$AC$1006:$AS$1006,0))&gt;=100000), " ",IF(INDEX($AC$2:$AS$1001,MATCH(ROWS($V$2:V228),$V$2:$V$1001,0),MATCH(COLUMNS($AC$1006:AJ1006),$AC$1006:$AS$1006,0)), HYPERLINK("#",""), HYPERLINK(CONCATENATE("#metadata!", ADDRESS(INDEX($X$2:$X$1001,MATCH(ROWS($V$2:V228),$V$2:$V$1001,0),0), INDEX($AC$1004:$AS$1004,1,MATCH(COLUMNS($AC$1006:AJ1006),$AC$1006:$AS$1006,0)))),"Fix")))</f>
        <v xml:space="preserve"> </v>
      </c>
      <c r="J228" s="4" t="str">
        <f ca="1">IF(OR(INDEX($W$2:$W$1001,MATCH(ROWS($V$2:V228),$V$2:$V$1001,0),1)&gt;=100000,INDEX($AC$1005:$AS$1005,1,MATCH(COLUMNS($AC$1006:AK1006),$AC$1006:$AS$1006,0))&gt;=100000), " ",IF(INDEX($AC$2:$AS$1001,MATCH(ROWS($V$2:V228),$V$2:$V$1001,0),MATCH(COLUMNS($AC$1006:AK1006),$AC$1006:$AS$1006,0)), HYPERLINK("#",""), HYPERLINK(CONCATENATE("#metadata!", ADDRESS(INDEX($X$2:$X$1001,MATCH(ROWS($V$2:V228),$V$2:$V$1001,0),0), INDEX($AC$1004:$AS$1004,1,MATCH(COLUMNS($AC$1006:AK1006),$AC$1006:$AS$1006,0)))),"Fix")))</f>
        <v xml:space="preserve"> </v>
      </c>
      <c r="K228" s="4" t="str">
        <f ca="1">IF(OR(INDEX($W$2:$W$1001,MATCH(ROWS($V$2:V228),$V$2:$V$1001,0),1)&gt;=100000,INDEX($AC$1005:$AS$1005,1,MATCH(COLUMNS($AC$1006:AL1006),$AC$1006:$AS$1006,0))&gt;=100000), " ",IF(INDEX($AC$2:$AS$1001,MATCH(ROWS($V$2:V228),$V$2:$V$1001,0),MATCH(COLUMNS($AC$1006:AL1006),$AC$1006:$AS$1006,0)), HYPERLINK("#",""), HYPERLINK(CONCATENATE("#metadata!", ADDRESS(INDEX($X$2:$X$1001,MATCH(ROWS($V$2:V228),$V$2:$V$1001,0),0), INDEX($AC$1004:$AS$1004,1,MATCH(COLUMNS($AC$1006:AL1006),$AC$1006:$AS$1006,0)))),"Fix")))</f>
        <v xml:space="preserve"> </v>
      </c>
      <c r="L228" s="4" t="str">
        <f ca="1">IF(OR(INDEX($W$2:$W$1001,MATCH(ROWS($V$2:V228),$V$2:$V$1001,0),1)&gt;=100000,INDEX($AC$1005:$AS$1005,1,MATCH(COLUMNS($AC$1006:AM1006),$AC$1006:$AS$1006,0))&gt;=100000), " ",IF(INDEX($AC$2:$AS$1001,MATCH(ROWS($V$2:V228),$V$2:$V$1001,0),MATCH(COLUMNS($AC$1006:AM1006),$AC$1006:$AS$1006,0)), HYPERLINK("#",""), HYPERLINK(CONCATENATE("#metadata!", ADDRESS(INDEX($X$2:$X$1001,MATCH(ROWS($V$2:V228),$V$2:$V$1001,0),0), INDEX($AC$1004:$AS$1004,1,MATCH(COLUMNS($AC$1006:AM1006),$AC$1006:$AS$1006,0)))),"Fix")))</f>
        <v xml:space="preserve"> </v>
      </c>
      <c r="M228" s="4" t="str">
        <f ca="1">IF(OR(INDEX($W$2:$W$1001,MATCH(ROWS($V$2:V228),$V$2:$V$1001,0),1)&gt;=100000,INDEX($AC$1005:$AS$1005,1,MATCH(COLUMNS($AC$1006:AN1006),$AC$1006:$AS$1006,0))&gt;=100000), " ",IF(INDEX($AC$2:$AS$1001,MATCH(ROWS($V$2:V228),$V$2:$V$1001,0),MATCH(COLUMNS($AC$1006:AN1006),$AC$1006:$AS$1006,0)), HYPERLINK("#",""), HYPERLINK(CONCATENATE("#metadata!", ADDRESS(INDEX($X$2:$X$1001,MATCH(ROWS($V$2:V228),$V$2:$V$1001,0),0), INDEX($AC$1004:$AS$1004,1,MATCH(COLUMNS($AC$1006:AN1006),$AC$1006:$AS$1006,0)))),"Fix")))</f>
        <v xml:space="preserve"> </v>
      </c>
      <c r="N228" s="4" t="str">
        <f ca="1">IF(OR(INDEX($W$2:$W$1001,MATCH(ROWS($V$2:V228),$V$2:$V$1001,0),1)&gt;=100000,INDEX($AC$1005:$AS$1005,1,MATCH(COLUMNS($AC$1006:AO1006),$AC$1006:$AS$1006,0))&gt;=100000), " ",IF(INDEX($AC$2:$AS$1001,MATCH(ROWS($V$2:V228),$V$2:$V$1001,0),MATCH(COLUMNS($AC$1006:AO1006),$AC$1006:$AS$1006,0)), HYPERLINK("#",""), HYPERLINK(CONCATENATE("#metadata!", ADDRESS(INDEX($X$2:$X$1001,MATCH(ROWS($V$2:V228),$V$2:$V$1001,0),0), INDEX($AC$1004:$AS$1004,1,MATCH(COLUMNS($AC$1006:AO1006),$AC$1006:$AS$1006,0)))),"Fix")))</f>
        <v xml:space="preserve"> </v>
      </c>
      <c r="O228" s="4" t="str">
        <f ca="1">IF(OR(INDEX($W$2:$W$1001,MATCH(ROWS($V$2:V228),$V$2:$V$1001,0),1)&gt;=100000,INDEX($AC$1005:$AS$1005,1,MATCH(COLUMNS($AC$1006:AP1006),$AC$1006:$AS$1006,0))&gt;=100000), " ",IF(INDEX($AC$2:$AS$1001,MATCH(ROWS($V$2:V228),$V$2:$V$1001,0),MATCH(COLUMNS($AC$1006:AP1006),$AC$1006:$AS$1006,0)), HYPERLINK("#",""), HYPERLINK(CONCATENATE("#metadata!", ADDRESS(INDEX($X$2:$X$1001,MATCH(ROWS($V$2:V228),$V$2:$V$1001,0),0), INDEX($AC$1004:$AS$1004,1,MATCH(COLUMNS($AC$1006:AP1006),$AC$1006:$AS$1006,0)))),"Fix")))</f>
        <v xml:space="preserve"> </v>
      </c>
      <c r="P228" s="4" t="str">
        <f ca="1">IF(OR(INDEX($W$2:$W$1001,MATCH(ROWS($V$2:V228),$V$2:$V$1001,0),1)&gt;=100000,INDEX($AC$1005:$AS$1005,1,MATCH(COLUMNS($AC$1006:AQ1006),$AC$1006:$AS$1006,0))&gt;=100000), " ",IF(INDEX($AC$2:$AS$1001,MATCH(ROWS($V$2:V228),$V$2:$V$1001,0),MATCH(COLUMNS($AC$1006:AQ1006),$AC$1006:$AS$1006,0)), HYPERLINK("#",""), HYPERLINK(CONCATENATE("#metadata!", ADDRESS(INDEX($X$2:$X$1001,MATCH(ROWS($V$2:V228),$V$2:$V$1001,0),0), INDEX($AC$1004:$AS$1004,1,MATCH(COLUMNS($AC$1006:AQ1006),$AC$1006:$AS$1006,0)))),"Fix")))</f>
        <v xml:space="preserve"> </v>
      </c>
      <c r="Q228" s="4" t="str">
        <f ca="1">IF(OR(INDEX($W$2:$W$1001,MATCH(ROWS($V$2:V228),$V$2:$V$1001,0),1)&gt;=100000,INDEX($AC$1005:$AS$1005,1,MATCH(COLUMNS($AC$1006:AR1006),$AC$1006:$AS$1006,0))&gt;=100000), " ",IF(INDEX($AC$2:$AS$1001,MATCH(ROWS($V$2:V228),$V$2:$V$1001,0),MATCH(COLUMNS($AC$1006:AR1006),$AC$1006:$AS$1006,0)), HYPERLINK("#",""), HYPERLINK(CONCATENATE("#metadata!", ADDRESS(INDEX($X$2:$X$1001,MATCH(ROWS($V$2:V228),$V$2:$V$1001,0),0), INDEX($AC$1004:$AS$1004,1,MATCH(COLUMNS($AC$1006:AR1006),$AC$1006:$AS$1006,0)))),"Fix")))</f>
        <v xml:space="preserve"> </v>
      </c>
      <c r="R228" s="4" t="str">
        <f ca="1">IF(OR(INDEX($W$2:$W$1001,MATCH(ROWS($V$2:V228),$V$2:$V$1001,0),1)&gt;=100000,INDEX($AC$1005:$AS$1005,1,MATCH(COLUMNS($AC$1006:AS1006),$AC$1006:$AS$1006,0))&gt;=100000), " ",IF(INDEX($AC$2:$AS$1001,MATCH(ROWS($V$2:V228),$V$2:$V$1001,0),MATCH(COLUMNS($AC$1006:AS1006),$AC$1006:$AS$1006,0)), HYPERLINK("#",""), HYPERLINK(CONCATENATE("#metadata!", ADDRESS(INDEX($X$2:$X$1001,MATCH(ROWS($V$2:V228),$V$2:$V$1001,0),0), INDEX($AC$1004:$AS$1004,1,MATCH(COLUMNS($AC$1006:AS1006),$AC$1006:$AS$1006,0)))),"Fix")))</f>
        <v xml:space="preserve"> </v>
      </c>
      <c r="V228">
        <v>227</v>
      </c>
      <c r="W228">
        <v>100228</v>
      </c>
      <c r="X228">
        <v>228</v>
      </c>
      <c r="Y228" t="b">
        <f t="shared" si="3"/>
        <v>1</v>
      </c>
      <c r="Z228" t="b">
        <f>COUNTBLANK(metadata!B228:R228)=COLUMNS(metadata!B228:R228)</f>
        <v>1</v>
      </c>
      <c r="AA228" t="str">
        <v/>
      </c>
      <c r="AC228" t="b">
        <f ca="1"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AD228" t="b">
        <f>IF(metadata!C228="",FALSE,ISNUMBER(VALUE(metadata!C228)))</f>
        <v>0</v>
      </c>
      <c r="AE228" t="b">
        <f>AND(IF(metadata!D228="",FALSE,TRUE),EXACT(metadata!D228,"years"))</f>
        <v>0</v>
      </c>
      <c r="AF228" t="b">
        <f>OR(AND(IF(metadata!E228="",FALSE,TRUE),OR(EXACT(metadata!E228,"not applicable"),EXACT(metadata!E228,"missing: not collected"),EXACT(metadata!E228,"missing: not provided"),EXACT(metadata!E228,"missing: restricted access"))),AND(IF(metadata!E228="",FALSE,ISNUMBER(VALUE(metadata!E228))),metadata!E228&gt;0))</f>
        <v>0</v>
      </c>
      <c r="AG228" t="b">
        <f>AND(IF(metadata!F228="",FALSE,TRUE),EXACT(metadata!F228,"Not applicable"))</f>
        <v>0</v>
      </c>
      <c r="AH228" t="b">
        <f>AND(IF(metadata!G228="",FALSE,TRUE),EXACT(metadata!G228,"urban biome"))</f>
        <v>0</v>
      </c>
      <c r="AI228" t="b">
        <f>AND(IF(metadata!H228="",FALSE,TRUE),EXACT(metadata!H228,"human-associated habitat"))</f>
        <v>0</v>
      </c>
      <c r="AJ228" t="b">
        <f>AND(IF(metadata!I228="",FALSE,TRUE),OR(EXACT(metadata!I228,"human-associated"),EXACT(metadata!I228,"human-skin"),EXACT(metadata!I228,"human-oral"),EXACT(metadata!I228,"human-gut"),EXACT(metadata!I228,"human-vaginal")))</f>
        <v>0</v>
      </c>
      <c r="AK228" t="b">
        <f>IF(metadata!J228="",FALSE,ISNUMBER(VALUE(metadata!J228)))</f>
        <v>0</v>
      </c>
      <c r="AL228" t="b">
        <f>AND(IF(metadata!K228="",FALSE,TRUE),EXACT(metadata!K228,"cm"))</f>
        <v>0</v>
      </c>
      <c r="AM228" t="b">
        <f>AND(IF(metadata!L228="",FALSE,TRUE),EXACT(metadata!L228,"human"))</f>
        <v>0</v>
      </c>
      <c r="AN228" t="b">
        <f>AND(IF(metadata!M228="",FALSE,TRUE),EXACT(metadata!M228,"Homo sapiens"))</f>
        <v>0</v>
      </c>
      <c r="AO228" t="b">
        <f>AND(IF(metadata!N228="",FALSE,TRUE),EXACT(metadata!N228,"9606"))</f>
        <v>0</v>
      </c>
      <c r="AP228" t="b">
        <f>IF(metadata!O228="",FALSE,TRUE)</f>
        <v>0</v>
      </c>
      <c r="AQ228" t="b">
        <f>IF(metadata!P228="",FALSE,TRUE)</f>
        <v>0</v>
      </c>
      <c r="AR228" t="b">
        <f>IF(metadata!Q228="",FALSE,ISNUMBER(VALUE(metadata!Q228)))</f>
        <v>0</v>
      </c>
      <c r="AS228" t="b">
        <f>AND(IF(metadata!R228="",FALSE,TRUE),EXACT(metadata!R228,"kg"))</f>
        <v>0</v>
      </c>
    </row>
    <row r="229" spans="1:45" x14ac:dyDescent="0.2">
      <c r="A229" s="5" t="str">
        <f ca="1">IF(B229=" "," ",HYPERLINK(CONCATENATE("#metadata!",ADDRESS(INDEX($X$2:$X$1001,MATCH(ROWS($V$2:V229),$V$2:$V$1001,0),0),1)),INDEX($AA$2:$AA$1001,MATCH(ROWS($V$2:V229),$V$2:$V$1001,0),0)))</f>
        <v xml:space="preserve"> </v>
      </c>
      <c r="B229" s="4" t="str">
        <f ca="1">IF(OR(INDEX($W$2:$W$1001,MATCH(ROWS($V$2:V229),$V$2:$V$1001,0),1)&gt;=100000,INDEX($AC$1005:$AS$1005,1,MATCH(COLUMNS($AC$1006:AC1006),$AC$1006:$AS$1006,0))&gt;=100000), " ",IF(INDEX($AC$2:$AS$1001,MATCH(ROWS($V$2:V229),$V$2:$V$1001,0),MATCH(COLUMNS($AC$1006:AC1006),$AC$1006:$AS$1006,0)), HYPERLINK("#",""), HYPERLINK(CONCATENATE("#metadata!", ADDRESS(INDEX($X$2:$X$1001,MATCH(ROWS($V$2:V229),$V$2:$V$1001,0),0), INDEX($AC$1004:$AS$1004,1,MATCH(COLUMNS($AC$1006:AC1006),$AC$1006:$AS$1006,0)))),"Fix")))</f>
        <v xml:space="preserve"> </v>
      </c>
      <c r="C229" s="4" t="str">
        <f ca="1">IF(OR(INDEX($W$2:$W$1001,MATCH(ROWS($V$2:V229),$V$2:$V$1001,0),1)&gt;=100000,INDEX($AC$1005:$AS$1005,1,MATCH(COLUMNS($AC$1006:AD1006),$AC$1006:$AS$1006,0))&gt;=100000), " ",IF(INDEX($AC$2:$AS$1001,MATCH(ROWS($V$2:V229),$V$2:$V$1001,0),MATCH(COLUMNS($AC$1006:AD1006),$AC$1006:$AS$1006,0)), HYPERLINK("#",""), HYPERLINK(CONCATENATE("#metadata!", ADDRESS(INDEX($X$2:$X$1001,MATCH(ROWS($V$2:V229),$V$2:$V$1001,0),0), INDEX($AC$1004:$AS$1004,1,MATCH(COLUMNS($AC$1006:AD1006),$AC$1006:$AS$1006,0)))),"Fix")))</f>
        <v xml:space="preserve"> </v>
      </c>
      <c r="D229" s="4" t="str">
        <f ca="1">IF(OR(INDEX($W$2:$W$1001,MATCH(ROWS($V$2:V229),$V$2:$V$1001,0),1)&gt;=100000,INDEX($AC$1005:$AS$1005,1,MATCH(COLUMNS($AC$1006:AE1006),$AC$1006:$AS$1006,0))&gt;=100000), " ",IF(INDEX($AC$2:$AS$1001,MATCH(ROWS($V$2:V229),$V$2:$V$1001,0),MATCH(COLUMNS($AC$1006:AE1006),$AC$1006:$AS$1006,0)), HYPERLINK("#",""), HYPERLINK(CONCATENATE("#metadata!", ADDRESS(INDEX($X$2:$X$1001,MATCH(ROWS($V$2:V229),$V$2:$V$1001,0),0), INDEX($AC$1004:$AS$1004,1,MATCH(COLUMNS($AC$1006:AE1006),$AC$1006:$AS$1006,0)))),"Fix")))</f>
        <v xml:space="preserve"> </v>
      </c>
      <c r="E229" s="4" t="str">
        <f ca="1">IF(OR(INDEX($W$2:$W$1001,MATCH(ROWS($V$2:V229),$V$2:$V$1001,0),1)&gt;=100000,INDEX($AC$1005:$AS$1005,1,MATCH(COLUMNS($AC$1006:AF1006),$AC$1006:$AS$1006,0))&gt;=100000), " ",IF(INDEX($AC$2:$AS$1001,MATCH(ROWS($V$2:V229),$V$2:$V$1001,0),MATCH(COLUMNS($AC$1006:AF1006),$AC$1006:$AS$1006,0)), HYPERLINK("#",""), HYPERLINK(CONCATENATE("#metadata!", ADDRESS(INDEX($X$2:$X$1001,MATCH(ROWS($V$2:V229),$V$2:$V$1001,0),0), INDEX($AC$1004:$AS$1004,1,MATCH(COLUMNS($AC$1006:AF1006),$AC$1006:$AS$1006,0)))),"Fix")))</f>
        <v xml:space="preserve"> </v>
      </c>
      <c r="F229" s="4" t="str">
        <f ca="1">IF(OR(INDEX($W$2:$W$1001,MATCH(ROWS($V$2:V229),$V$2:$V$1001,0),1)&gt;=100000,INDEX($AC$1005:$AS$1005,1,MATCH(COLUMNS($AC$1006:AG1006),$AC$1006:$AS$1006,0))&gt;=100000), " ",IF(INDEX($AC$2:$AS$1001,MATCH(ROWS($V$2:V229),$V$2:$V$1001,0),MATCH(COLUMNS($AC$1006:AG1006),$AC$1006:$AS$1006,0)), HYPERLINK("#",""), HYPERLINK(CONCATENATE("#metadata!", ADDRESS(INDEX($X$2:$X$1001,MATCH(ROWS($V$2:V229),$V$2:$V$1001,0),0), INDEX($AC$1004:$AS$1004,1,MATCH(COLUMNS($AC$1006:AG1006),$AC$1006:$AS$1006,0)))),"Fix")))</f>
        <v xml:space="preserve"> </v>
      </c>
      <c r="G229" s="4" t="str">
        <f ca="1">IF(OR(INDEX($W$2:$W$1001,MATCH(ROWS($V$2:V229),$V$2:$V$1001,0),1)&gt;=100000,INDEX($AC$1005:$AS$1005,1,MATCH(COLUMNS($AC$1006:AH1006),$AC$1006:$AS$1006,0))&gt;=100000), " ",IF(INDEX($AC$2:$AS$1001,MATCH(ROWS($V$2:V229),$V$2:$V$1001,0),MATCH(COLUMNS($AC$1006:AH1006),$AC$1006:$AS$1006,0)), HYPERLINK("#",""), HYPERLINK(CONCATENATE("#metadata!", ADDRESS(INDEX($X$2:$X$1001,MATCH(ROWS($V$2:V229),$V$2:$V$1001,0),0), INDEX($AC$1004:$AS$1004,1,MATCH(COLUMNS($AC$1006:AH1006),$AC$1006:$AS$1006,0)))),"Fix")))</f>
        <v xml:space="preserve"> </v>
      </c>
      <c r="H229" s="4" t="str">
        <f ca="1">IF(OR(INDEX($W$2:$W$1001,MATCH(ROWS($V$2:V229),$V$2:$V$1001,0),1)&gt;=100000,INDEX($AC$1005:$AS$1005,1,MATCH(COLUMNS($AC$1006:AI1006),$AC$1006:$AS$1006,0))&gt;=100000), " ",IF(INDEX($AC$2:$AS$1001,MATCH(ROWS($V$2:V229),$V$2:$V$1001,0),MATCH(COLUMNS($AC$1006:AI1006),$AC$1006:$AS$1006,0)), HYPERLINK("#",""), HYPERLINK(CONCATENATE("#metadata!", ADDRESS(INDEX($X$2:$X$1001,MATCH(ROWS($V$2:V229),$V$2:$V$1001,0),0), INDEX($AC$1004:$AS$1004,1,MATCH(COLUMNS($AC$1006:AI1006),$AC$1006:$AS$1006,0)))),"Fix")))</f>
        <v xml:space="preserve"> </v>
      </c>
      <c r="I229" s="4" t="str">
        <f ca="1">IF(OR(INDEX($W$2:$W$1001,MATCH(ROWS($V$2:V229),$V$2:$V$1001,0),1)&gt;=100000,INDEX($AC$1005:$AS$1005,1,MATCH(COLUMNS($AC$1006:AJ1006),$AC$1006:$AS$1006,0))&gt;=100000), " ",IF(INDEX($AC$2:$AS$1001,MATCH(ROWS($V$2:V229),$V$2:$V$1001,0),MATCH(COLUMNS($AC$1006:AJ1006),$AC$1006:$AS$1006,0)), HYPERLINK("#",""), HYPERLINK(CONCATENATE("#metadata!", ADDRESS(INDEX($X$2:$X$1001,MATCH(ROWS($V$2:V229),$V$2:$V$1001,0),0), INDEX($AC$1004:$AS$1004,1,MATCH(COLUMNS($AC$1006:AJ1006),$AC$1006:$AS$1006,0)))),"Fix")))</f>
        <v xml:space="preserve"> </v>
      </c>
      <c r="J229" s="4" t="str">
        <f ca="1">IF(OR(INDEX($W$2:$W$1001,MATCH(ROWS($V$2:V229),$V$2:$V$1001,0),1)&gt;=100000,INDEX($AC$1005:$AS$1005,1,MATCH(COLUMNS($AC$1006:AK1006),$AC$1006:$AS$1006,0))&gt;=100000), " ",IF(INDEX($AC$2:$AS$1001,MATCH(ROWS($V$2:V229),$V$2:$V$1001,0),MATCH(COLUMNS($AC$1006:AK1006),$AC$1006:$AS$1006,0)), HYPERLINK("#",""), HYPERLINK(CONCATENATE("#metadata!", ADDRESS(INDEX($X$2:$X$1001,MATCH(ROWS($V$2:V229),$V$2:$V$1001,0),0), INDEX($AC$1004:$AS$1004,1,MATCH(COLUMNS($AC$1006:AK1006),$AC$1006:$AS$1006,0)))),"Fix")))</f>
        <v xml:space="preserve"> </v>
      </c>
      <c r="K229" s="4" t="str">
        <f ca="1">IF(OR(INDEX($W$2:$W$1001,MATCH(ROWS($V$2:V229),$V$2:$V$1001,0),1)&gt;=100000,INDEX($AC$1005:$AS$1005,1,MATCH(COLUMNS($AC$1006:AL1006),$AC$1006:$AS$1006,0))&gt;=100000), " ",IF(INDEX($AC$2:$AS$1001,MATCH(ROWS($V$2:V229),$V$2:$V$1001,0),MATCH(COLUMNS($AC$1006:AL1006),$AC$1006:$AS$1006,0)), HYPERLINK("#",""), HYPERLINK(CONCATENATE("#metadata!", ADDRESS(INDEX($X$2:$X$1001,MATCH(ROWS($V$2:V229),$V$2:$V$1001,0),0), INDEX($AC$1004:$AS$1004,1,MATCH(COLUMNS($AC$1006:AL1006),$AC$1006:$AS$1006,0)))),"Fix")))</f>
        <v xml:space="preserve"> </v>
      </c>
      <c r="L229" s="4" t="str">
        <f ca="1">IF(OR(INDEX($W$2:$W$1001,MATCH(ROWS($V$2:V229),$V$2:$V$1001,0),1)&gt;=100000,INDEX($AC$1005:$AS$1005,1,MATCH(COLUMNS($AC$1006:AM1006),$AC$1006:$AS$1006,0))&gt;=100000), " ",IF(INDEX($AC$2:$AS$1001,MATCH(ROWS($V$2:V229),$V$2:$V$1001,0),MATCH(COLUMNS($AC$1006:AM1006),$AC$1006:$AS$1006,0)), HYPERLINK("#",""), HYPERLINK(CONCATENATE("#metadata!", ADDRESS(INDEX($X$2:$X$1001,MATCH(ROWS($V$2:V229),$V$2:$V$1001,0),0), INDEX($AC$1004:$AS$1004,1,MATCH(COLUMNS($AC$1006:AM1006),$AC$1006:$AS$1006,0)))),"Fix")))</f>
        <v xml:space="preserve"> </v>
      </c>
      <c r="M229" s="4" t="str">
        <f ca="1">IF(OR(INDEX($W$2:$W$1001,MATCH(ROWS($V$2:V229),$V$2:$V$1001,0),1)&gt;=100000,INDEX($AC$1005:$AS$1005,1,MATCH(COLUMNS($AC$1006:AN1006),$AC$1006:$AS$1006,0))&gt;=100000), " ",IF(INDEX($AC$2:$AS$1001,MATCH(ROWS($V$2:V229),$V$2:$V$1001,0),MATCH(COLUMNS($AC$1006:AN1006),$AC$1006:$AS$1006,0)), HYPERLINK("#",""), HYPERLINK(CONCATENATE("#metadata!", ADDRESS(INDEX($X$2:$X$1001,MATCH(ROWS($V$2:V229),$V$2:$V$1001,0),0), INDEX($AC$1004:$AS$1004,1,MATCH(COLUMNS($AC$1006:AN1006),$AC$1006:$AS$1006,0)))),"Fix")))</f>
        <v xml:space="preserve"> </v>
      </c>
      <c r="N229" s="4" t="str">
        <f ca="1">IF(OR(INDEX($W$2:$W$1001,MATCH(ROWS($V$2:V229),$V$2:$V$1001,0),1)&gt;=100000,INDEX($AC$1005:$AS$1005,1,MATCH(COLUMNS($AC$1006:AO1006),$AC$1006:$AS$1006,0))&gt;=100000), " ",IF(INDEX($AC$2:$AS$1001,MATCH(ROWS($V$2:V229),$V$2:$V$1001,0),MATCH(COLUMNS($AC$1006:AO1006),$AC$1006:$AS$1006,0)), HYPERLINK("#",""), HYPERLINK(CONCATENATE("#metadata!", ADDRESS(INDEX($X$2:$X$1001,MATCH(ROWS($V$2:V229),$V$2:$V$1001,0),0), INDEX($AC$1004:$AS$1004,1,MATCH(COLUMNS($AC$1006:AO1006),$AC$1006:$AS$1006,0)))),"Fix")))</f>
        <v xml:space="preserve"> </v>
      </c>
      <c r="O229" s="4" t="str">
        <f ca="1">IF(OR(INDEX($W$2:$W$1001,MATCH(ROWS($V$2:V229),$V$2:$V$1001,0),1)&gt;=100000,INDEX($AC$1005:$AS$1005,1,MATCH(COLUMNS($AC$1006:AP1006),$AC$1006:$AS$1006,0))&gt;=100000), " ",IF(INDEX($AC$2:$AS$1001,MATCH(ROWS($V$2:V229),$V$2:$V$1001,0),MATCH(COLUMNS($AC$1006:AP1006),$AC$1006:$AS$1006,0)), HYPERLINK("#",""), HYPERLINK(CONCATENATE("#metadata!", ADDRESS(INDEX($X$2:$X$1001,MATCH(ROWS($V$2:V229),$V$2:$V$1001,0),0), INDEX($AC$1004:$AS$1004,1,MATCH(COLUMNS($AC$1006:AP1006),$AC$1006:$AS$1006,0)))),"Fix")))</f>
        <v xml:space="preserve"> </v>
      </c>
      <c r="P229" s="4" t="str">
        <f ca="1">IF(OR(INDEX($W$2:$W$1001,MATCH(ROWS($V$2:V229),$V$2:$V$1001,0),1)&gt;=100000,INDEX($AC$1005:$AS$1005,1,MATCH(COLUMNS($AC$1006:AQ1006),$AC$1006:$AS$1006,0))&gt;=100000), " ",IF(INDEX($AC$2:$AS$1001,MATCH(ROWS($V$2:V229),$V$2:$V$1001,0),MATCH(COLUMNS($AC$1006:AQ1006),$AC$1006:$AS$1006,0)), HYPERLINK("#",""), HYPERLINK(CONCATENATE("#metadata!", ADDRESS(INDEX($X$2:$X$1001,MATCH(ROWS($V$2:V229),$V$2:$V$1001,0),0), INDEX($AC$1004:$AS$1004,1,MATCH(COLUMNS($AC$1006:AQ1006),$AC$1006:$AS$1006,0)))),"Fix")))</f>
        <v xml:space="preserve"> </v>
      </c>
      <c r="Q229" s="4" t="str">
        <f ca="1">IF(OR(INDEX($W$2:$W$1001,MATCH(ROWS($V$2:V229),$V$2:$V$1001,0),1)&gt;=100000,INDEX($AC$1005:$AS$1005,1,MATCH(COLUMNS($AC$1006:AR1006),$AC$1006:$AS$1006,0))&gt;=100000), " ",IF(INDEX($AC$2:$AS$1001,MATCH(ROWS($V$2:V229),$V$2:$V$1001,0),MATCH(COLUMNS($AC$1006:AR1006),$AC$1006:$AS$1006,0)), HYPERLINK("#",""), HYPERLINK(CONCATENATE("#metadata!", ADDRESS(INDEX($X$2:$X$1001,MATCH(ROWS($V$2:V229),$V$2:$V$1001,0),0), INDEX($AC$1004:$AS$1004,1,MATCH(COLUMNS($AC$1006:AR1006),$AC$1006:$AS$1006,0)))),"Fix")))</f>
        <v xml:space="preserve"> </v>
      </c>
      <c r="R229" s="4" t="str">
        <f ca="1">IF(OR(INDEX($W$2:$W$1001,MATCH(ROWS($V$2:V229),$V$2:$V$1001,0),1)&gt;=100000,INDEX($AC$1005:$AS$1005,1,MATCH(COLUMNS($AC$1006:AS1006),$AC$1006:$AS$1006,0))&gt;=100000), " ",IF(INDEX($AC$2:$AS$1001,MATCH(ROWS($V$2:V229),$V$2:$V$1001,0),MATCH(COLUMNS($AC$1006:AS1006),$AC$1006:$AS$1006,0)), HYPERLINK("#",""), HYPERLINK(CONCATENATE("#metadata!", ADDRESS(INDEX($X$2:$X$1001,MATCH(ROWS($V$2:V229),$V$2:$V$1001,0),0), INDEX($AC$1004:$AS$1004,1,MATCH(COLUMNS($AC$1006:AS1006),$AC$1006:$AS$1006,0)))),"Fix")))</f>
        <v xml:space="preserve"> </v>
      </c>
      <c r="V229">
        <v>228</v>
      </c>
      <c r="W229">
        <v>100229</v>
      </c>
      <c r="X229">
        <v>229</v>
      </c>
      <c r="Y229" t="b">
        <f t="shared" si="3"/>
        <v>1</v>
      </c>
      <c r="Z229" t="b">
        <f>COUNTBLANK(metadata!B229:R229)=COLUMNS(metadata!B229:R229)</f>
        <v>1</v>
      </c>
      <c r="AA229" t="str">
        <v/>
      </c>
      <c r="AC229" t="b">
        <f ca="1"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AD229" t="b">
        <f>IF(metadata!C229="",FALSE,ISNUMBER(VALUE(metadata!C229)))</f>
        <v>0</v>
      </c>
      <c r="AE229" t="b">
        <f>AND(IF(metadata!D229="",FALSE,TRUE),EXACT(metadata!D229,"years"))</f>
        <v>0</v>
      </c>
      <c r="AF229" t="b">
        <f>OR(AND(IF(metadata!E229="",FALSE,TRUE),OR(EXACT(metadata!E229,"not applicable"),EXACT(metadata!E229,"missing: not collected"),EXACT(metadata!E229,"missing: not provided"),EXACT(metadata!E229,"missing: restricted access"))),AND(IF(metadata!E229="",FALSE,ISNUMBER(VALUE(metadata!E229))),metadata!E229&gt;0))</f>
        <v>0</v>
      </c>
      <c r="AG229" t="b">
        <f>AND(IF(metadata!F229="",FALSE,TRUE),EXACT(metadata!F229,"Not applicable"))</f>
        <v>0</v>
      </c>
      <c r="AH229" t="b">
        <f>AND(IF(metadata!G229="",FALSE,TRUE),EXACT(metadata!G229,"urban biome"))</f>
        <v>0</v>
      </c>
      <c r="AI229" t="b">
        <f>AND(IF(metadata!H229="",FALSE,TRUE),EXACT(metadata!H229,"human-associated habitat"))</f>
        <v>0</v>
      </c>
      <c r="AJ229" t="b">
        <f>AND(IF(metadata!I229="",FALSE,TRUE),OR(EXACT(metadata!I229,"human-associated"),EXACT(metadata!I229,"human-skin"),EXACT(metadata!I229,"human-oral"),EXACT(metadata!I229,"human-gut"),EXACT(metadata!I229,"human-vaginal")))</f>
        <v>0</v>
      </c>
      <c r="AK229" t="b">
        <f>IF(metadata!J229="",FALSE,ISNUMBER(VALUE(metadata!J229)))</f>
        <v>0</v>
      </c>
      <c r="AL229" t="b">
        <f>AND(IF(metadata!K229="",FALSE,TRUE),EXACT(metadata!K229,"cm"))</f>
        <v>0</v>
      </c>
      <c r="AM229" t="b">
        <f>AND(IF(metadata!L229="",FALSE,TRUE),EXACT(metadata!L229,"human"))</f>
        <v>0</v>
      </c>
      <c r="AN229" t="b">
        <f>AND(IF(metadata!M229="",FALSE,TRUE),EXACT(metadata!M229,"Homo sapiens"))</f>
        <v>0</v>
      </c>
      <c r="AO229" t="b">
        <f>AND(IF(metadata!N229="",FALSE,TRUE),EXACT(metadata!N229,"9606"))</f>
        <v>0</v>
      </c>
      <c r="AP229" t="b">
        <f>IF(metadata!O229="",FALSE,TRUE)</f>
        <v>0</v>
      </c>
      <c r="AQ229" t="b">
        <f>IF(metadata!P229="",FALSE,TRUE)</f>
        <v>0</v>
      </c>
      <c r="AR229" t="b">
        <f>IF(metadata!Q229="",FALSE,ISNUMBER(VALUE(metadata!Q229)))</f>
        <v>0</v>
      </c>
      <c r="AS229" t="b">
        <f>AND(IF(metadata!R229="",FALSE,TRUE),EXACT(metadata!R229,"kg"))</f>
        <v>0</v>
      </c>
    </row>
    <row r="230" spans="1:45" x14ac:dyDescent="0.2">
      <c r="A230" s="5" t="str">
        <f ca="1">IF(B230=" "," ",HYPERLINK(CONCATENATE("#metadata!",ADDRESS(INDEX($X$2:$X$1001,MATCH(ROWS($V$2:V230),$V$2:$V$1001,0),0),1)),INDEX($AA$2:$AA$1001,MATCH(ROWS($V$2:V230),$V$2:$V$1001,0),0)))</f>
        <v xml:space="preserve"> </v>
      </c>
      <c r="B230" s="4" t="str">
        <f ca="1">IF(OR(INDEX($W$2:$W$1001,MATCH(ROWS($V$2:V230),$V$2:$V$1001,0),1)&gt;=100000,INDEX($AC$1005:$AS$1005,1,MATCH(COLUMNS($AC$1006:AC1006),$AC$1006:$AS$1006,0))&gt;=100000), " ",IF(INDEX($AC$2:$AS$1001,MATCH(ROWS($V$2:V230),$V$2:$V$1001,0),MATCH(COLUMNS($AC$1006:AC1006),$AC$1006:$AS$1006,0)), HYPERLINK("#",""), HYPERLINK(CONCATENATE("#metadata!", ADDRESS(INDEX($X$2:$X$1001,MATCH(ROWS($V$2:V230),$V$2:$V$1001,0),0), INDEX($AC$1004:$AS$1004,1,MATCH(COLUMNS($AC$1006:AC1006),$AC$1006:$AS$1006,0)))),"Fix")))</f>
        <v xml:space="preserve"> </v>
      </c>
      <c r="C230" s="4" t="str">
        <f ca="1">IF(OR(INDEX($W$2:$W$1001,MATCH(ROWS($V$2:V230),$V$2:$V$1001,0),1)&gt;=100000,INDEX($AC$1005:$AS$1005,1,MATCH(COLUMNS($AC$1006:AD1006),$AC$1006:$AS$1006,0))&gt;=100000), " ",IF(INDEX($AC$2:$AS$1001,MATCH(ROWS($V$2:V230),$V$2:$V$1001,0),MATCH(COLUMNS($AC$1006:AD1006),$AC$1006:$AS$1006,0)), HYPERLINK("#",""), HYPERLINK(CONCATENATE("#metadata!", ADDRESS(INDEX($X$2:$X$1001,MATCH(ROWS($V$2:V230),$V$2:$V$1001,0),0), INDEX($AC$1004:$AS$1004,1,MATCH(COLUMNS($AC$1006:AD1006),$AC$1006:$AS$1006,0)))),"Fix")))</f>
        <v xml:space="preserve"> </v>
      </c>
      <c r="D230" s="4" t="str">
        <f ca="1">IF(OR(INDEX($W$2:$W$1001,MATCH(ROWS($V$2:V230),$V$2:$V$1001,0),1)&gt;=100000,INDEX($AC$1005:$AS$1005,1,MATCH(COLUMNS($AC$1006:AE1006),$AC$1006:$AS$1006,0))&gt;=100000), " ",IF(INDEX($AC$2:$AS$1001,MATCH(ROWS($V$2:V230),$V$2:$V$1001,0),MATCH(COLUMNS($AC$1006:AE1006),$AC$1006:$AS$1006,0)), HYPERLINK("#",""), HYPERLINK(CONCATENATE("#metadata!", ADDRESS(INDEX($X$2:$X$1001,MATCH(ROWS($V$2:V230),$V$2:$V$1001,0),0), INDEX($AC$1004:$AS$1004,1,MATCH(COLUMNS($AC$1006:AE1006),$AC$1006:$AS$1006,0)))),"Fix")))</f>
        <v xml:space="preserve"> </v>
      </c>
      <c r="E230" s="4" t="str">
        <f ca="1">IF(OR(INDEX($W$2:$W$1001,MATCH(ROWS($V$2:V230),$V$2:$V$1001,0),1)&gt;=100000,INDEX($AC$1005:$AS$1005,1,MATCH(COLUMNS($AC$1006:AF1006),$AC$1006:$AS$1006,0))&gt;=100000), " ",IF(INDEX($AC$2:$AS$1001,MATCH(ROWS($V$2:V230),$V$2:$V$1001,0),MATCH(COLUMNS($AC$1006:AF1006),$AC$1006:$AS$1006,0)), HYPERLINK("#",""), HYPERLINK(CONCATENATE("#metadata!", ADDRESS(INDEX($X$2:$X$1001,MATCH(ROWS($V$2:V230),$V$2:$V$1001,0),0), INDEX($AC$1004:$AS$1004,1,MATCH(COLUMNS($AC$1006:AF1006),$AC$1006:$AS$1006,0)))),"Fix")))</f>
        <v xml:space="preserve"> </v>
      </c>
      <c r="F230" s="4" t="str">
        <f ca="1">IF(OR(INDEX($W$2:$W$1001,MATCH(ROWS($V$2:V230),$V$2:$V$1001,0),1)&gt;=100000,INDEX($AC$1005:$AS$1005,1,MATCH(COLUMNS($AC$1006:AG1006),$AC$1006:$AS$1006,0))&gt;=100000), " ",IF(INDEX($AC$2:$AS$1001,MATCH(ROWS($V$2:V230),$V$2:$V$1001,0),MATCH(COLUMNS($AC$1006:AG1006),$AC$1006:$AS$1006,0)), HYPERLINK("#",""), HYPERLINK(CONCATENATE("#metadata!", ADDRESS(INDEX($X$2:$X$1001,MATCH(ROWS($V$2:V230),$V$2:$V$1001,0),0), INDEX($AC$1004:$AS$1004,1,MATCH(COLUMNS($AC$1006:AG1006),$AC$1006:$AS$1006,0)))),"Fix")))</f>
        <v xml:space="preserve"> </v>
      </c>
      <c r="G230" s="4" t="str">
        <f ca="1">IF(OR(INDEX($W$2:$W$1001,MATCH(ROWS($V$2:V230),$V$2:$V$1001,0),1)&gt;=100000,INDEX($AC$1005:$AS$1005,1,MATCH(COLUMNS($AC$1006:AH1006),$AC$1006:$AS$1006,0))&gt;=100000), " ",IF(INDEX($AC$2:$AS$1001,MATCH(ROWS($V$2:V230),$V$2:$V$1001,0),MATCH(COLUMNS($AC$1006:AH1006),$AC$1006:$AS$1006,0)), HYPERLINK("#",""), HYPERLINK(CONCATENATE("#metadata!", ADDRESS(INDEX($X$2:$X$1001,MATCH(ROWS($V$2:V230),$V$2:$V$1001,0),0), INDEX($AC$1004:$AS$1004,1,MATCH(COLUMNS($AC$1006:AH1006),$AC$1006:$AS$1006,0)))),"Fix")))</f>
        <v xml:space="preserve"> </v>
      </c>
      <c r="H230" s="4" t="str">
        <f ca="1">IF(OR(INDEX($W$2:$W$1001,MATCH(ROWS($V$2:V230),$V$2:$V$1001,0),1)&gt;=100000,INDEX($AC$1005:$AS$1005,1,MATCH(COLUMNS($AC$1006:AI1006),$AC$1006:$AS$1006,0))&gt;=100000), " ",IF(INDEX($AC$2:$AS$1001,MATCH(ROWS($V$2:V230),$V$2:$V$1001,0),MATCH(COLUMNS($AC$1006:AI1006),$AC$1006:$AS$1006,0)), HYPERLINK("#",""), HYPERLINK(CONCATENATE("#metadata!", ADDRESS(INDEX($X$2:$X$1001,MATCH(ROWS($V$2:V230),$V$2:$V$1001,0),0), INDEX($AC$1004:$AS$1004,1,MATCH(COLUMNS($AC$1006:AI1006),$AC$1006:$AS$1006,0)))),"Fix")))</f>
        <v xml:space="preserve"> </v>
      </c>
      <c r="I230" s="4" t="str">
        <f ca="1">IF(OR(INDEX($W$2:$W$1001,MATCH(ROWS($V$2:V230),$V$2:$V$1001,0),1)&gt;=100000,INDEX($AC$1005:$AS$1005,1,MATCH(COLUMNS($AC$1006:AJ1006),$AC$1006:$AS$1006,0))&gt;=100000), " ",IF(INDEX($AC$2:$AS$1001,MATCH(ROWS($V$2:V230),$V$2:$V$1001,0),MATCH(COLUMNS($AC$1006:AJ1006),$AC$1006:$AS$1006,0)), HYPERLINK("#",""), HYPERLINK(CONCATENATE("#metadata!", ADDRESS(INDEX($X$2:$X$1001,MATCH(ROWS($V$2:V230),$V$2:$V$1001,0),0), INDEX($AC$1004:$AS$1004,1,MATCH(COLUMNS($AC$1006:AJ1006),$AC$1006:$AS$1006,0)))),"Fix")))</f>
        <v xml:space="preserve"> </v>
      </c>
      <c r="J230" s="4" t="str">
        <f ca="1">IF(OR(INDEX($W$2:$W$1001,MATCH(ROWS($V$2:V230),$V$2:$V$1001,0),1)&gt;=100000,INDEX($AC$1005:$AS$1005,1,MATCH(COLUMNS($AC$1006:AK1006),$AC$1006:$AS$1006,0))&gt;=100000), " ",IF(INDEX($AC$2:$AS$1001,MATCH(ROWS($V$2:V230),$V$2:$V$1001,0),MATCH(COLUMNS($AC$1006:AK1006),$AC$1006:$AS$1006,0)), HYPERLINK("#",""), HYPERLINK(CONCATENATE("#metadata!", ADDRESS(INDEX($X$2:$X$1001,MATCH(ROWS($V$2:V230),$V$2:$V$1001,0),0), INDEX($AC$1004:$AS$1004,1,MATCH(COLUMNS($AC$1006:AK1006),$AC$1006:$AS$1006,0)))),"Fix")))</f>
        <v xml:space="preserve"> </v>
      </c>
      <c r="K230" s="4" t="str">
        <f ca="1">IF(OR(INDEX($W$2:$W$1001,MATCH(ROWS($V$2:V230),$V$2:$V$1001,0),1)&gt;=100000,INDEX($AC$1005:$AS$1005,1,MATCH(COLUMNS($AC$1006:AL1006),$AC$1006:$AS$1006,0))&gt;=100000), " ",IF(INDEX($AC$2:$AS$1001,MATCH(ROWS($V$2:V230),$V$2:$V$1001,0),MATCH(COLUMNS($AC$1006:AL1006),$AC$1006:$AS$1006,0)), HYPERLINK("#",""), HYPERLINK(CONCATENATE("#metadata!", ADDRESS(INDEX($X$2:$X$1001,MATCH(ROWS($V$2:V230),$V$2:$V$1001,0),0), INDEX($AC$1004:$AS$1004,1,MATCH(COLUMNS($AC$1006:AL1006),$AC$1006:$AS$1006,0)))),"Fix")))</f>
        <v xml:space="preserve"> </v>
      </c>
      <c r="L230" s="4" t="str">
        <f ca="1">IF(OR(INDEX($W$2:$W$1001,MATCH(ROWS($V$2:V230),$V$2:$V$1001,0),1)&gt;=100000,INDEX($AC$1005:$AS$1005,1,MATCH(COLUMNS($AC$1006:AM1006),$AC$1006:$AS$1006,0))&gt;=100000), " ",IF(INDEX($AC$2:$AS$1001,MATCH(ROWS($V$2:V230),$V$2:$V$1001,0),MATCH(COLUMNS($AC$1006:AM1006),$AC$1006:$AS$1006,0)), HYPERLINK("#",""), HYPERLINK(CONCATENATE("#metadata!", ADDRESS(INDEX($X$2:$X$1001,MATCH(ROWS($V$2:V230),$V$2:$V$1001,0),0), INDEX($AC$1004:$AS$1004,1,MATCH(COLUMNS($AC$1006:AM1006),$AC$1006:$AS$1006,0)))),"Fix")))</f>
        <v xml:space="preserve"> </v>
      </c>
      <c r="M230" s="4" t="str">
        <f ca="1">IF(OR(INDEX($W$2:$W$1001,MATCH(ROWS($V$2:V230),$V$2:$V$1001,0),1)&gt;=100000,INDEX($AC$1005:$AS$1005,1,MATCH(COLUMNS($AC$1006:AN1006),$AC$1006:$AS$1006,0))&gt;=100000), " ",IF(INDEX($AC$2:$AS$1001,MATCH(ROWS($V$2:V230),$V$2:$V$1001,0),MATCH(COLUMNS($AC$1006:AN1006),$AC$1006:$AS$1006,0)), HYPERLINK("#",""), HYPERLINK(CONCATENATE("#metadata!", ADDRESS(INDEX($X$2:$X$1001,MATCH(ROWS($V$2:V230),$V$2:$V$1001,0),0), INDEX($AC$1004:$AS$1004,1,MATCH(COLUMNS($AC$1006:AN1006),$AC$1006:$AS$1006,0)))),"Fix")))</f>
        <v xml:space="preserve"> </v>
      </c>
      <c r="N230" s="4" t="str">
        <f ca="1">IF(OR(INDEX($W$2:$W$1001,MATCH(ROWS($V$2:V230),$V$2:$V$1001,0),1)&gt;=100000,INDEX($AC$1005:$AS$1005,1,MATCH(COLUMNS($AC$1006:AO1006),$AC$1006:$AS$1006,0))&gt;=100000), " ",IF(INDEX($AC$2:$AS$1001,MATCH(ROWS($V$2:V230),$V$2:$V$1001,0),MATCH(COLUMNS($AC$1006:AO1006),$AC$1006:$AS$1006,0)), HYPERLINK("#",""), HYPERLINK(CONCATENATE("#metadata!", ADDRESS(INDEX($X$2:$X$1001,MATCH(ROWS($V$2:V230),$V$2:$V$1001,0),0), INDEX($AC$1004:$AS$1004,1,MATCH(COLUMNS($AC$1006:AO1006),$AC$1006:$AS$1006,0)))),"Fix")))</f>
        <v xml:space="preserve"> </v>
      </c>
      <c r="O230" s="4" t="str">
        <f ca="1">IF(OR(INDEX($W$2:$W$1001,MATCH(ROWS($V$2:V230),$V$2:$V$1001,0),1)&gt;=100000,INDEX($AC$1005:$AS$1005,1,MATCH(COLUMNS($AC$1006:AP1006),$AC$1006:$AS$1006,0))&gt;=100000), " ",IF(INDEX($AC$2:$AS$1001,MATCH(ROWS($V$2:V230),$V$2:$V$1001,0),MATCH(COLUMNS($AC$1006:AP1006),$AC$1006:$AS$1006,0)), HYPERLINK("#",""), HYPERLINK(CONCATENATE("#metadata!", ADDRESS(INDEX($X$2:$X$1001,MATCH(ROWS($V$2:V230),$V$2:$V$1001,0),0), INDEX($AC$1004:$AS$1004,1,MATCH(COLUMNS($AC$1006:AP1006),$AC$1006:$AS$1006,0)))),"Fix")))</f>
        <v xml:space="preserve"> </v>
      </c>
      <c r="P230" s="4" t="str">
        <f ca="1">IF(OR(INDEX($W$2:$W$1001,MATCH(ROWS($V$2:V230),$V$2:$V$1001,0),1)&gt;=100000,INDEX($AC$1005:$AS$1005,1,MATCH(COLUMNS($AC$1006:AQ1006),$AC$1006:$AS$1006,0))&gt;=100000), " ",IF(INDEX($AC$2:$AS$1001,MATCH(ROWS($V$2:V230),$V$2:$V$1001,0),MATCH(COLUMNS($AC$1006:AQ1006),$AC$1006:$AS$1006,0)), HYPERLINK("#",""), HYPERLINK(CONCATENATE("#metadata!", ADDRESS(INDEX($X$2:$X$1001,MATCH(ROWS($V$2:V230),$V$2:$V$1001,0),0), INDEX($AC$1004:$AS$1004,1,MATCH(COLUMNS($AC$1006:AQ1006),$AC$1006:$AS$1006,0)))),"Fix")))</f>
        <v xml:space="preserve"> </v>
      </c>
      <c r="Q230" s="4" t="str">
        <f ca="1">IF(OR(INDEX($W$2:$W$1001,MATCH(ROWS($V$2:V230),$V$2:$V$1001,0),1)&gt;=100000,INDEX($AC$1005:$AS$1005,1,MATCH(COLUMNS($AC$1006:AR1006),$AC$1006:$AS$1006,0))&gt;=100000), " ",IF(INDEX($AC$2:$AS$1001,MATCH(ROWS($V$2:V230),$V$2:$V$1001,0),MATCH(COLUMNS($AC$1006:AR1006),$AC$1006:$AS$1006,0)), HYPERLINK("#",""), HYPERLINK(CONCATENATE("#metadata!", ADDRESS(INDEX($X$2:$X$1001,MATCH(ROWS($V$2:V230),$V$2:$V$1001,0),0), INDEX($AC$1004:$AS$1004,1,MATCH(COLUMNS($AC$1006:AR1006),$AC$1006:$AS$1006,0)))),"Fix")))</f>
        <v xml:space="preserve"> </v>
      </c>
      <c r="R230" s="4" t="str">
        <f ca="1">IF(OR(INDEX($W$2:$W$1001,MATCH(ROWS($V$2:V230),$V$2:$V$1001,0),1)&gt;=100000,INDEX($AC$1005:$AS$1005,1,MATCH(COLUMNS($AC$1006:AS1006),$AC$1006:$AS$1006,0))&gt;=100000), " ",IF(INDEX($AC$2:$AS$1001,MATCH(ROWS($V$2:V230),$V$2:$V$1001,0),MATCH(COLUMNS($AC$1006:AS1006),$AC$1006:$AS$1006,0)), HYPERLINK("#",""), HYPERLINK(CONCATENATE("#metadata!", ADDRESS(INDEX($X$2:$X$1001,MATCH(ROWS($V$2:V230),$V$2:$V$1001,0),0), INDEX($AC$1004:$AS$1004,1,MATCH(COLUMNS($AC$1006:AS1006),$AC$1006:$AS$1006,0)))),"Fix")))</f>
        <v xml:space="preserve"> </v>
      </c>
      <c r="V230">
        <v>229</v>
      </c>
      <c r="W230">
        <v>100230</v>
      </c>
      <c r="X230">
        <v>230</v>
      </c>
      <c r="Y230" t="b">
        <f t="shared" si="3"/>
        <v>1</v>
      </c>
      <c r="Z230" t="b">
        <f>COUNTBLANK(metadata!B230:R230)=COLUMNS(metadata!B230:R230)</f>
        <v>1</v>
      </c>
      <c r="AA230" t="str">
        <v/>
      </c>
      <c r="AC230" t="b">
        <f ca="1"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AD230" t="b">
        <f>IF(metadata!C230="",FALSE,ISNUMBER(VALUE(metadata!C230)))</f>
        <v>0</v>
      </c>
      <c r="AE230" t="b">
        <f>AND(IF(metadata!D230="",FALSE,TRUE),EXACT(metadata!D230,"years"))</f>
        <v>0</v>
      </c>
      <c r="AF230" t="b">
        <f>OR(AND(IF(metadata!E230="",FALSE,TRUE),OR(EXACT(metadata!E230,"not applicable"),EXACT(metadata!E230,"missing: not collected"),EXACT(metadata!E230,"missing: not provided"),EXACT(metadata!E230,"missing: restricted access"))),AND(IF(metadata!E230="",FALSE,ISNUMBER(VALUE(metadata!E230))),metadata!E230&gt;0))</f>
        <v>0</v>
      </c>
      <c r="AG230" t="b">
        <f>AND(IF(metadata!F230="",FALSE,TRUE),EXACT(metadata!F230,"Not applicable"))</f>
        <v>0</v>
      </c>
      <c r="AH230" t="b">
        <f>AND(IF(metadata!G230="",FALSE,TRUE),EXACT(metadata!G230,"urban biome"))</f>
        <v>0</v>
      </c>
      <c r="AI230" t="b">
        <f>AND(IF(metadata!H230="",FALSE,TRUE),EXACT(metadata!H230,"human-associated habitat"))</f>
        <v>0</v>
      </c>
      <c r="AJ230" t="b">
        <f>AND(IF(metadata!I230="",FALSE,TRUE),OR(EXACT(metadata!I230,"human-associated"),EXACT(metadata!I230,"human-skin"),EXACT(metadata!I230,"human-oral"),EXACT(metadata!I230,"human-gut"),EXACT(metadata!I230,"human-vaginal")))</f>
        <v>0</v>
      </c>
      <c r="AK230" t="b">
        <f>IF(metadata!J230="",FALSE,ISNUMBER(VALUE(metadata!J230)))</f>
        <v>0</v>
      </c>
      <c r="AL230" t="b">
        <f>AND(IF(metadata!K230="",FALSE,TRUE),EXACT(metadata!K230,"cm"))</f>
        <v>0</v>
      </c>
      <c r="AM230" t="b">
        <f>AND(IF(metadata!L230="",FALSE,TRUE),EXACT(metadata!L230,"human"))</f>
        <v>0</v>
      </c>
      <c r="AN230" t="b">
        <f>AND(IF(metadata!M230="",FALSE,TRUE),EXACT(metadata!M230,"Homo sapiens"))</f>
        <v>0</v>
      </c>
      <c r="AO230" t="b">
        <f>AND(IF(metadata!N230="",FALSE,TRUE),EXACT(metadata!N230,"9606"))</f>
        <v>0</v>
      </c>
      <c r="AP230" t="b">
        <f>IF(metadata!O230="",FALSE,TRUE)</f>
        <v>0</v>
      </c>
      <c r="AQ230" t="b">
        <f>IF(metadata!P230="",FALSE,TRUE)</f>
        <v>0</v>
      </c>
      <c r="AR230" t="b">
        <f>IF(metadata!Q230="",FALSE,ISNUMBER(VALUE(metadata!Q230)))</f>
        <v>0</v>
      </c>
      <c r="AS230" t="b">
        <f>AND(IF(metadata!R230="",FALSE,TRUE),EXACT(metadata!R230,"kg"))</f>
        <v>0</v>
      </c>
    </row>
    <row r="231" spans="1:45" x14ac:dyDescent="0.2">
      <c r="A231" s="5" t="str">
        <f ca="1">IF(B231=" "," ",HYPERLINK(CONCATENATE("#metadata!",ADDRESS(INDEX($X$2:$X$1001,MATCH(ROWS($V$2:V231),$V$2:$V$1001,0),0),1)),INDEX($AA$2:$AA$1001,MATCH(ROWS($V$2:V231),$V$2:$V$1001,0),0)))</f>
        <v xml:space="preserve"> </v>
      </c>
      <c r="B231" s="4" t="str">
        <f ca="1">IF(OR(INDEX($W$2:$W$1001,MATCH(ROWS($V$2:V231),$V$2:$V$1001,0),1)&gt;=100000,INDEX($AC$1005:$AS$1005,1,MATCH(COLUMNS($AC$1006:AC1006),$AC$1006:$AS$1006,0))&gt;=100000), " ",IF(INDEX($AC$2:$AS$1001,MATCH(ROWS($V$2:V231),$V$2:$V$1001,0),MATCH(COLUMNS($AC$1006:AC1006),$AC$1006:$AS$1006,0)), HYPERLINK("#",""), HYPERLINK(CONCATENATE("#metadata!", ADDRESS(INDEX($X$2:$X$1001,MATCH(ROWS($V$2:V231),$V$2:$V$1001,0),0), INDEX($AC$1004:$AS$1004,1,MATCH(COLUMNS($AC$1006:AC1006),$AC$1006:$AS$1006,0)))),"Fix")))</f>
        <v xml:space="preserve"> </v>
      </c>
      <c r="C231" s="4" t="str">
        <f ca="1">IF(OR(INDEX($W$2:$W$1001,MATCH(ROWS($V$2:V231),$V$2:$V$1001,0),1)&gt;=100000,INDEX($AC$1005:$AS$1005,1,MATCH(COLUMNS($AC$1006:AD1006),$AC$1006:$AS$1006,0))&gt;=100000), " ",IF(INDEX($AC$2:$AS$1001,MATCH(ROWS($V$2:V231),$V$2:$V$1001,0),MATCH(COLUMNS($AC$1006:AD1006),$AC$1006:$AS$1006,0)), HYPERLINK("#",""), HYPERLINK(CONCATENATE("#metadata!", ADDRESS(INDEX($X$2:$X$1001,MATCH(ROWS($V$2:V231),$V$2:$V$1001,0),0), INDEX($AC$1004:$AS$1004,1,MATCH(COLUMNS($AC$1006:AD1006),$AC$1006:$AS$1006,0)))),"Fix")))</f>
        <v xml:space="preserve"> </v>
      </c>
      <c r="D231" s="4" t="str">
        <f ca="1">IF(OR(INDEX($W$2:$W$1001,MATCH(ROWS($V$2:V231),$V$2:$V$1001,0),1)&gt;=100000,INDEX($AC$1005:$AS$1005,1,MATCH(COLUMNS($AC$1006:AE1006),$AC$1006:$AS$1006,0))&gt;=100000), " ",IF(INDEX($AC$2:$AS$1001,MATCH(ROWS($V$2:V231),$V$2:$V$1001,0),MATCH(COLUMNS($AC$1006:AE1006),$AC$1006:$AS$1006,0)), HYPERLINK("#",""), HYPERLINK(CONCATENATE("#metadata!", ADDRESS(INDEX($X$2:$X$1001,MATCH(ROWS($V$2:V231),$V$2:$V$1001,0),0), INDEX($AC$1004:$AS$1004,1,MATCH(COLUMNS($AC$1006:AE1006),$AC$1006:$AS$1006,0)))),"Fix")))</f>
        <v xml:space="preserve"> </v>
      </c>
      <c r="E231" s="4" t="str">
        <f ca="1">IF(OR(INDEX($W$2:$W$1001,MATCH(ROWS($V$2:V231),$V$2:$V$1001,0),1)&gt;=100000,INDEX($AC$1005:$AS$1005,1,MATCH(COLUMNS($AC$1006:AF1006),$AC$1006:$AS$1006,0))&gt;=100000), " ",IF(INDEX($AC$2:$AS$1001,MATCH(ROWS($V$2:V231),$V$2:$V$1001,0),MATCH(COLUMNS($AC$1006:AF1006),$AC$1006:$AS$1006,0)), HYPERLINK("#",""), HYPERLINK(CONCATENATE("#metadata!", ADDRESS(INDEX($X$2:$X$1001,MATCH(ROWS($V$2:V231),$V$2:$V$1001,0),0), INDEX($AC$1004:$AS$1004,1,MATCH(COLUMNS($AC$1006:AF1006),$AC$1006:$AS$1006,0)))),"Fix")))</f>
        <v xml:space="preserve"> </v>
      </c>
      <c r="F231" s="4" t="str">
        <f ca="1">IF(OR(INDEX($W$2:$W$1001,MATCH(ROWS($V$2:V231),$V$2:$V$1001,0),1)&gt;=100000,INDEX($AC$1005:$AS$1005,1,MATCH(COLUMNS($AC$1006:AG1006),$AC$1006:$AS$1006,0))&gt;=100000), " ",IF(INDEX($AC$2:$AS$1001,MATCH(ROWS($V$2:V231),$V$2:$V$1001,0),MATCH(COLUMNS($AC$1006:AG1006),$AC$1006:$AS$1006,0)), HYPERLINK("#",""), HYPERLINK(CONCATENATE("#metadata!", ADDRESS(INDEX($X$2:$X$1001,MATCH(ROWS($V$2:V231),$V$2:$V$1001,0),0), INDEX($AC$1004:$AS$1004,1,MATCH(COLUMNS($AC$1006:AG1006),$AC$1006:$AS$1006,0)))),"Fix")))</f>
        <v xml:space="preserve"> </v>
      </c>
      <c r="G231" s="4" t="str">
        <f ca="1">IF(OR(INDEX($W$2:$W$1001,MATCH(ROWS($V$2:V231),$V$2:$V$1001,0),1)&gt;=100000,INDEX($AC$1005:$AS$1005,1,MATCH(COLUMNS($AC$1006:AH1006),$AC$1006:$AS$1006,0))&gt;=100000), " ",IF(INDEX($AC$2:$AS$1001,MATCH(ROWS($V$2:V231),$V$2:$V$1001,0),MATCH(COLUMNS($AC$1006:AH1006),$AC$1006:$AS$1006,0)), HYPERLINK("#",""), HYPERLINK(CONCATENATE("#metadata!", ADDRESS(INDEX($X$2:$X$1001,MATCH(ROWS($V$2:V231),$V$2:$V$1001,0),0), INDEX($AC$1004:$AS$1004,1,MATCH(COLUMNS($AC$1006:AH1006),$AC$1006:$AS$1006,0)))),"Fix")))</f>
        <v xml:space="preserve"> </v>
      </c>
      <c r="H231" s="4" t="str">
        <f ca="1">IF(OR(INDEX($W$2:$W$1001,MATCH(ROWS($V$2:V231),$V$2:$V$1001,0),1)&gt;=100000,INDEX($AC$1005:$AS$1005,1,MATCH(COLUMNS($AC$1006:AI1006),$AC$1006:$AS$1006,0))&gt;=100000), " ",IF(INDEX($AC$2:$AS$1001,MATCH(ROWS($V$2:V231),$V$2:$V$1001,0),MATCH(COLUMNS($AC$1006:AI1006),$AC$1006:$AS$1006,0)), HYPERLINK("#",""), HYPERLINK(CONCATENATE("#metadata!", ADDRESS(INDEX($X$2:$X$1001,MATCH(ROWS($V$2:V231),$V$2:$V$1001,0),0), INDEX($AC$1004:$AS$1004,1,MATCH(COLUMNS($AC$1006:AI1006),$AC$1006:$AS$1006,0)))),"Fix")))</f>
        <v xml:space="preserve"> </v>
      </c>
      <c r="I231" s="4" t="str">
        <f ca="1">IF(OR(INDEX($W$2:$W$1001,MATCH(ROWS($V$2:V231),$V$2:$V$1001,0),1)&gt;=100000,INDEX($AC$1005:$AS$1005,1,MATCH(COLUMNS($AC$1006:AJ1006),$AC$1006:$AS$1006,0))&gt;=100000), " ",IF(INDEX($AC$2:$AS$1001,MATCH(ROWS($V$2:V231),$V$2:$V$1001,0),MATCH(COLUMNS($AC$1006:AJ1006),$AC$1006:$AS$1006,0)), HYPERLINK("#",""), HYPERLINK(CONCATENATE("#metadata!", ADDRESS(INDEX($X$2:$X$1001,MATCH(ROWS($V$2:V231),$V$2:$V$1001,0),0), INDEX($AC$1004:$AS$1004,1,MATCH(COLUMNS($AC$1006:AJ1006),$AC$1006:$AS$1006,0)))),"Fix")))</f>
        <v xml:space="preserve"> </v>
      </c>
      <c r="J231" s="4" t="str">
        <f ca="1">IF(OR(INDEX($W$2:$W$1001,MATCH(ROWS($V$2:V231),$V$2:$V$1001,0),1)&gt;=100000,INDEX($AC$1005:$AS$1005,1,MATCH(COLUMNS($AC$1006:AK1006),$AC$1006:$AS$1006,0))&gt;=100000), " ",IF(INDEX($AC$2:$AS$1001,MATCH(ROWS($V$2:V231),$V$2:$V$1001,0),MATCH(COLUMNS($AC$1006:AK1006),$AC$1006:$AS$1006,0)), HYPERLINK("#",""), HYPERLINK(CONCATENATE("#metadata!", ADDRESS(INDEX($X$2:$X$1001,MATCH(ROWS($V$2:V231),$V$2:$V$1001,0),0), INDEX($AC$1004:$AS$1004,1,MATCH(COLUMNS($AC$1006:AK1006),$AC$1006:$AS$1006,0)))),"Fix")))</f>
        <v xml:space="preserve"> </v>
      </c>
      <c r="K231" s="4" t="str">
        <f ca="1">IF(OR(INDEX($W$2:$W$1001,MATCH(ROWS($V$2:V231),$V$2:$V$1001,0),1)&gt;=100000,INDEX($AC$1005:$AS$1005,1,MATCH(COLUMNS($AC$1006:AL1006),$AC$1006:$AS$1006,0))&gt;=100000), " ",IF(INDEX($AC$2:$AS$1001,MATCH(ROWS($V$2:V231),$V$2:$V$1001,0),MATCH(COLUMNS($AC$1006:AL1006),$AC$1006:$AS$1006,0)), HYPERLINK("#",""), HYPERLINK(CONCATENATE("#metadata!", ADDRESS(INDEX($X$2:$X$1001,MATCH(ROWS($V$2:V231),$V$2:$V$1001,0),0), INDEX($AC$1004:$AS$1004,1,MATCH(COLUMNS($AC$1006:AL1006),$AC$1006:$AS$1006,0)))),"Fix")))</f>
        <v xml:space="preserve"> </v>
      </c>
      <c r="L231" s="4" t="str">
        <f ca="1">IF(OR(INDEX($W$2:$W$1001,MATCH(ROWS($V$2:V231),$V$2:$V$1001,0),1)&gt;=100000,INDEX($AC$1005:$AS$1005,1,MATCH(COLUMNS($AC$1006:AM1006),$AC$1006:$AS$1006,0))&gt;=100000), " ",IF(INDEX($AC$2:$AS$1001,MATCH(ROWS($V$2:V231),$V$2:$V$1001,0),MATCH(COLUMNS($AC$1006:AM1006),$AC$1006:$AS$1006,0)), HYPERLINK("#",""), HYPERLINK(CONCATENATE("#metadata!", ADDRESS(INDEX($X$2:$X$1001,MATCH(ROWS($V$2:V231),$V$2:$V$1001,0),0), INDEX($AC$1004:$AS$1004,1,MATCH(COLUMNS($AC$1006:AM1006),$AC$1006:$AS$1006,0)))),"Fix")))</f>
        <v xml:space="preserve"> </v>
      </c>
      <c r="M231" s="4" t="str">
        <f ca="1">IF(OR(INDEX($W$2:$W$1001,MATCH(ROWS($V$2:V231),$V$2:$V$1001,0),1)&gt;=100000,INDEX($AC$1005:$AS$1005,1,MATCH(COLUMNS($AC$1006:AN1006),$AC$1006:$AS$1006,0))&gt;=100000), " ",IF(INDEX($AC$2:$AS$1001,MATCH(ROWS($V$2:V231),$V$2:$V$1001,0),MATCH(COLUMNS($AC$1006:AN1006),$AC$1006:$AS$1006,0)), HYPERLINK("#",""), HYPERLINK(CONCATENATE("#metadata!", ADDRESS(INDEX($X$2:$X$1001,MATCH(ROWS($V$2:V231),$V$2:$V$1001,0),0), INDEX($AC$1004:$AS$1004,1,MATCH(COLUMNS($AC$1006:AN1006),$AC$1006:$AS$1006,0)))),"Fix")))</f>
        <v xml:space="preserve"> </v>
      </c>
      <c r="N231" s="4" t="str">
        <f ca="1">IF(OR(INDEX($W$2:$W$1001,MATCH(ROWS($V$2:V231),$V$2:$V$1001,0),1)&gt;=100000,INDEX($AC$1005:$AS$1005,1,MATCH(COLUMNS($AC$1006:AO1006),$AC$1006:$AS$1006,0))&gt;=100000), " ",IF(INDEX($AC$2:$AS$1001,MATCH(ROWS($V$2:V231),$V$2:$V$1001,0),MATCH(COLUMNS($AC$1006:AO1006),$AC$1006:$AS$1006,0)), HYPERLINK("#",""), HYPERLINK(CONCATENATE("#metadata!", ADDRESS(INDEX($X$2:$X$1001,MATCH(ROWS($V$2:V231),$V$2:$V$1001,0),0), INDEX($AC$1004:$AS$1004,1,MATCH(COLUMNS($AC$1006:AO1006),$AC$1006:$AS$1006,0)))),"Fix")))</f>
        <v xml:space="preserve"> </v>
      </c>
      <c r="O231" s="4" t="str">
        <f ca="1">IF(OR(INDEX($W$2:$W$1001,MATCH(ROWS($V$2:V231),$V$2:$V$1001,0),1)&gt;=100000,INDEX($AC$1005:$AS$1005,1,MATCH(COLUMNS($AC$1006:AP1006),$AC$1006:$AS$1006,0))&gt;=100000), " ",IF(INDEX($AC$2:$AS$1001,MATCH(ROWS($V$2:V231),$V$2:$V$1001,0),MATCH(COLUMNS($AC$1006:AP1006),$AC$1006:$AS$1006,0)), HYPERLINK("#",""), HYPERLINK(CONCATENATE("#metadata!", ADDRESS(INDEX($X$2:$X$1001,MATCH(ROWS($V$2:V231),$V$2:$V$1001,0),0), INDEX($AC$1004:$AS$1004,1,MATCH(COLUMNS($AC$1006:AP1006),$AC$1006:$AS$1006,0)))),"Fix")))</f>
        <v xml:space="preserve"> </v>
      </c>
      <c r="P231" s="4" t="str">
        <f ca="1">IF(OR(INDEX($W$2:$W$1001,MATCH(ROWS($V$2:V231),$V$2:$V$1001,0),1)&gt;=100000,INDEX($AC$1005:$AS$1005,1,MATCH(COLUMNS($AC$1006:AQ1006),$AC$1006:$AS$1006,0))&gt;=100000), " ",IF(INDEX($AC$2:$AS$1001,MATCH(ROWS($V$2:V231),$V$2:$V$1001,0),MATCH(COLUMNS($AC$1006:AQ1006),$AC$1006:$AS$1006,0)), HYPERLINK("#",""), HYPERLINK(CONCATENATE("#metadata!", ADDRESS(INDEX($X$2:$X$1001,MATCH(ROWS($V$2:V231),$V$2:$V$1001,0),0), INDEX($AC$1004:$AS$1004,1,MATCH(COLUMNS($AC$1006:AQ1006),$AC$1006:$AS$1006,0)))),"Fix")))</f>
        <v xml:space="preserve"> </v>
      </c>
      <c r="Q231" s="4" t="str">
        <f ca="1">IF(OR(INDEX($W$2:$W$1001,MATCH(ROWS($V$2:V231),$V$2:$V$1001,0),1)&gt;=100000,INDEX($AC$1005:$AS$1005,1,MATCH(COLUMNS($AC$1006:AR1006),$AC$1006:$AS$1006,0))&gt;=100000), " ",IF(INDEX($AC$2:$AS$1001,MATCH(ROWS($V$2:V231),$V$2:$V$1001,0),MATCH(COLUMNS($AC$1006:AR1006),$AC$1006:$AS$1006,0)), HYPERLINK("#",""), HYPERLINK(CONCATENATE("#metadata!", ADDRESS(INDEX($X$2:$X$1001,MATCH(ROWS($V$2:V231),$V$2:$V$1001,0),0), INDEX($AC$1004:$AS$1004,1,MATCH(COLUMNS($AC$1006:AR1006),$AC$1006:$AS$1006,0)))),"Fix")))</f>
        <v xml:space="preserve"> </v>
      </c>
      <c r="R231" s="4" t="str">
        <f ca="1">IF(OR(INDEX($W$2:$W$1001,MATCH(ROWS($V$2:V231),$V$2:$V$1001,0),1)&gt;=100000,INDEX($AC$1005:$AS$1005,1,MATCH(COLUMNS($AC$1006:AS1006),$AC$1006:$AS$1006,0))&gt;=100000), " ",IF(INDEX($AC$2:$AS$1001,MATCH(ROWS($V$2:V231),$V$2:$V$1001,0),MATCH(COLUMNS($AC$1006:AS1006),$AC$1006:$AS$1006,0)), HYPERLINK("#",""), HYPERLINK(CONCATENATE("#metadata!", ADDRESS(INDEX($X$2:$X$1001,MATCH(ROWS($V$2:V231),$V$2:$V$1001,0),0), INDEX($AC$1004:$AS$1004,1,MATCH(COLUMNS($AC$1006:AS1006),$AC$1006:$AS$1006,0)))),"Fix")))</f>
        <v xml:space="preserve"> </v>
      </c>
      <c r="V231">
        <v>230</v>
      </c>
      <c r="W231">
        <v>100231</v>
      </c>
      <c r="X231">
        <v>231</v>
      </c>
      <c r="Y231" t="b">
        <f t="shared" si="3"/>
        <v>1</v>
      </c>
      <c r="Z231" t="b">
        <f>COUNTBLANK(metadata!B231:R231)=COLUMNS(metadata!B231:R231)</f>
        <v>1</v>
      </c>
      <c r="AA231" t="str">
        <v/>
      </c>
      <c r="AC231" t="b">
        <f ca="1"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AD231" t="b">
        <f>IF(metadata!C231="",FALSE,ISNUMBER(VALUE(metadata!C231)))</f>
        <v>0</v>
      </c>
      <c r="AE231" t="b">
        <f>AND(IF(metadata!D231="",FALSE,TRUE),EXACT(metadata!D231,"years"))</f>
        <v>0</v>
      </c>
      <c r="AF231" t="b">
        <f>OR(AND(IF(metadata!E231="",FALSE,TRUE),OR(EXACT(metadata!E231,"not applicable"),EXACT(metadata!E231,"missing: not collected"),EXACT(metadata!E231,"missing: not provided"),EXACT(metadata!E231,"missing: restricted access"))),AND(IF(metadata!E231="",FALSE,ISNUMBER(VALUE(metadata!E231))),metadata!E231&gt;0))</f>
        <v>0</v>
      </c>
      <c r="AG231" t="b">
        <f>AND(IF(metadata!F231="",FALSE,TRUE),EXACT(metadata!F231,"Not applicable"))</f>
        <v>0</v>
      </c>
      <c r="AH231" t="b">
        <f>AND(IF(metadata!G231="",FALSE,TRUE),EXACT(metadata!G231,"urban biome"))</f>
        <v>0</v>
      </c>
      <c r="AI231" t="b">
        <f>AND(IF(metadata!H231="",FALSE,TRUE),EXACT(metadata!H231,"human-associated habitat"))</f>
        <v>0</v>
      </c>
      <c r="AJ231" t="b">
        <f>AND(IF(metadata!I231="",FALSE,TRUE),OR(EXACT(metadata!I231,"human-associated"),EXACT(metadata!I231,"human-skin"),EXACT(metadata!I231,"human-oral"),EXACT(metadata!I231,"human-gut"),EXACT(metadata!I231,"human-vaginal")))</f>
        <v>0</v>
      </c>
      <c r="AK231" t="b">
        <f>IF(metadata!J231="",FALSE,ISNUMBER(VALUE(metadata!J231)))</f>
        <v>0</v>
      </c>
      <c r="AL231" t="b">
        <f>AND(IF(metadata!K231="",FALSE,TRUE),EXACT(metadata!K231,"cm"))</f>
        <v>0</v>
      </c>
      <c r="AM231" t="b">
        <f>AND(IF(metadata!L231="",FALSE,TRUE),EXACT(metadata!L231,"human"))</f>
        <v>0</v>
      </c>
      <c r="AN231" t="b">
        <f>AND(IF(metadata!M231="",FALSE,TRUE),EXACT(metadata!M231,"Homo sapiens"))</f>
        <v>0</v>
      </c>
      <c r="AO231" t="b">
        <f>AND(IF(metadata!N231="",FALSE,TRUE),EXACT(metadata!N231,"9606"))</f>
        <v>0</v>
      </c>
      <c r="AP231" t="b">
        <f>IF(metadata!O231="",FALSE,TRUE)</f>
        <v>0</v>
      </c>
      <c r="AQ231" t="b">
        <f>IF(metadata!P231="",FALSE,TRUE)</f>
        <v>0</v>
      </c>
      <c r="AR231" t="b">
        <f>IF(metadata!Q231="",FALSE,ISNUMBER(VALUE(metadata!Q231)))</f>
        <v>0</v>
      </c>
      <c r="AS231" t="b">
        <f>AND(IF(metadata!R231="",FALSE,TRUE),EXACT(metadata!R231,"kg"))</f>
        <v>0</v>
      </c>
    </row>
    <row r="232" spans="1:45" x14ac:dyDescent="0.2">
      <c r="A232" s="5" t="str">
        <f ca="1">IF(B232=" "," ",HYPERLINK(CONCATENATE("#metadata!",ADDRESS(INDEX($X$2:$X$1001,MATCH(ROWS($V$2:V232),$V$2:$V$1001,0),0),1)),INDEX($AA$2:$AA$1001,MATCH(ROWS($V$2:V232),$V$2:$V$1001,0),0)))</f>
        <v xml:space="preserve"> </v>
      </c>
      <c r="B232" s="4" t="str">
        <f ca="1">IF(OR(INDEX($W$2:$W$1001,MATCH(ROWS($V$2:V232),$V$2:$V$1001,0),1)&gt;=100000,INDEX($AC$1005:$AS$1005,1,MATCH(COLUMNS($AC$1006:AC1006),$AC$1006:$AS$1006,0))&gt;=100000), " ",IF(INDEX($AC$2:$AS$1001,MATCH(ROWS($V$2:V232),$V$2:$V$1001,0),MATCH(COLUMNS($AC$1006:AC1006),$AC$1006:$AS$1006,0)), HYPERLINK("#",""), HYPERLINK(CONCATENATE("#metadata!", ADDRESS(INDEX($X$2:$X$1001,MATCH(ROWS($V$2:V232),$V$2:$V$1001,0),0), INDEX($AC$1004:$AS$1004,1,MATCH(COLUMNS($AC$1006:AC1006),$AC$1006:$AS$1006,0)))),"Fix")))</f>
        <v xml:space="preserve"> </v>
      </c>
      <c r="C232" s="4" t="str">
        <f ca="1">IF(OR(INDEX($W$2:$W$1001,MATCH(ROWS($V$2:V232),$V$2:$V$1001,0),1)&gt;=100000,INDEX($AC$1005:$AS$1005,1,MATCH(COLUMNS($AC$1006:AD1006),$AC$1006:$AS$1006,0))&gt;=100000), " ",IF(INDEX($AC$2:$AS$1001,MATCH(ROWS($V$2:V232),$V$2:$V$1001,0),MATCH(COLUMNS($AC$1006:AD1006),$AC$1006:$AS$1006,0)), HYPERLINK("#",""), HYPERLINK(CONCATENATE("#metadata!", ADDRESS(INDEX($X$2:$X$1001,MATCH(ROWS($V$2:V232),$V$2:$V$1001,0),0), INDEX($AC$1004:$AS$1004,1,MATCH(COLUMNS($AC$1006:AD1006),$AC$1006:$AS$1006,0)))),"Fix")))</f>
        <v xml:space="preserve"> </v>
      </c>
      <c r="D232" s="4" t="str">
        <f ca="1">IF(OR(INDEX($W$2:$W$1001,MATCH(ROWS($V$2:V232),$V$2:$V$1001,0),1)&gt;=100000,INDEX($AC$1005:$AS$1005,1,MATCH(COLUMNS($AC$1006:AE1006),$AC$1006:$AS$1006,0))&gt;=100000), " ",IF(INDEX($AC$2:$AS$1001,MATCH(ROWS($V$2:V232),$V$2:$V$1001,0),MATCH(COLUMNS($AC$1006:AE1006),$AC$1006:$AS$1006,0)), HYPERLINK("#",""), HYPERLINK(CONCATENATE("#metadata!", ADDRESS(INDEX($X$2:$X$1001,MATCH(ROWS($V$2:V232),$V$2:$V$1001,0),0), INDEX($AC$1004:$AS$1004,1,MATCH(COLUMNS($AC$1006:AE1006),$AC$1006:$AS$1006,0)))),"Fix")))</f>
        <v xml:space="preserve"> </v>
      </c>
      <c r="E232" s="4" t="str">
        <f ca="1">IF(OR(INDEX($W$2:$W$1001,MATCH(ROWS($V$2:V232),$V$2:$V$1001,0),1)&gt;=100000,INDEX($AC$1005:$AS$1005,1,MATCH(COLUMNS($AC$1006:AF1006),$AC$1006:$AS$1006,0))&gt;=100000), " ",IF(INDEX($AC$2:$AS$1001,MATCH(ROWS($V$2:V232),$V$2:$V$1001,0),MATCH(COLUMNS($AC$1006:AF1006),$AC$1006:$AS$1006,0)), HYPERLINK("#",""), HYPERLINK(CONCATENATE("#metadata!", ADDRESS(INDEX($X$2:$X$1001,MATCH(ROWS($V$2:V232),$V$2:$V$1001,0),0), INDEX($AC$1004:$AS$1004,1,MATCH(COLUMNS($AC$1006:AF1006),$AC$1006:$AS$1006,0)))),"Fix")))</f>
        <v xml:space="preserve"> </v>
      </c>
      <c r="F232" s="4" t="str">
        <f ca="1">IF(OR(INDEX($W$2:$W$1001,MATCH(ROWS($V$2:V232),$V$2:$V$1001,0),1)&gt;=100000,INDEX($AC$1005:$AS$1005,1,MATCH(COLUMNS($AC$1006:AG1006),$AC$1006:$AS$1006,0))&gt;=100000), " ",IF(INDEX($AC$2:$AS$1001,MATCH(ROWS($V$2:V232),$V$2:$V$1001,0),MATCH(COLUMNS($AC$1006:AG1006),$AC$1006:$AS$1006,0)), HYPERLINK("#",""), HYPERLINK(CONCATENATE("#metadata!", ADDRESS(INDEX($X$2:$X$1001,MATCH(ROWS($V$2:V232),$V$2:$V$1001,0),0), INDEX($AC$1004:$AS$1004,1,MATCH(COLUMNS($AC$1006:AG1006),$AC$1006:$AS$1006,0)))),"Fix")))</f>
        <v xml:space="preserve"> </v>
      </c>
      <c r="G232" s="4" t="str">
        <f ca="1">IF(OR(INDEX($W$2:$W$1001,MATCH(ROWS($V$2:V232),$V$2:$V$1001,0),1)&gt;=100000,INDEX($AC$1005:$AS$1005,1,MATCH(COLUMNS($AC$1006:AH1006),$AC$1006:$AS$1006,0))&gt;=100000), " ",IF(INDEX($AC$2:$AS$1001,MATCH(ROWS($V$2:V232),$V$2:$V$1001,0),MATCH(COLUMNS($AC$1006:AH1006),$AC$1006:$AS$1006,0)), HYPERLINK("#",""), HYPERLINK(CONCATENATE("#metadata!", ADDRESS(INDEX($X$2:$X$1001,MATCH(ROWS($V$2:V232),$V$2:$V$1001,0),0), INDEX($AC$1004:$AS$1004,1,MATCH(COLUMNS($AC$1006:AH1006),$AC$1006:$AS$1006,0)))),"Fix")))</f>
        <v xml:space="preserve"> </v>
      </c>
      <c r="H232" s="4" t="str">
        <f ca="1">IF(OR(INDEX($W$2:$W$1001,MATCH(ROWS($V$2:V232),$V$2:$V$1001,0),1)&gt;=100000,INDEX($AC$1005:$AS$1005,1,MATCH(COLUMNS($AC$1006:AI1006),$AC$1006:$AS$1006,0))&gt;=100000), " ",IF(INDEX($AC$2:$AS$1001,MATCH(ROWS($V$2:V232),$V$2:$V$1001,0),MATCH(COLUMNS($AC$1006:AI1006),$AC$1006:$AS$1006,0)), HYPERLINK("#",""), HYPERLINK(CONCATENATE("#metadata!", ADDRESS(INDEX($X$2:$X$1001,MATCH(ROWS($V$2:V232),$V$2:$V$1001,0),0), INDEX($AC$1004:$AS$1004,1,MATCH(COLUMNS($AC$1006:AI1006),$AC$1006:$AS$1006,0)))),"Fix")))</f>
        <v xml:space="preserve"> </v>
      </c>
      <c r="I232" s="4" t="str">
        <f ca="1">IF(OR(INDEX($W$2:$W$1001,MATCH(ROWS($V$2:V232),$V$2:$V$1001,0),1)&gt;=100000,INDEX($AC$1005:$AS$1005,1,MATCH(COLUMNS($AC$1006:AJ1006),$AC$1006:$AS$1006,0))&gt;=100000), " ",IF(INDEX($AC$2:$AS$1001,MATCH(ROWS($V$2:V232),$V$2:$V$1001,0),MATCH(COLUMNS($AC$1006:AJ1006),$AC$1006:$AS$1006,0)), HYPERLINK("#",""), HYPERLINK(CONCATENATE("#metadata!", ADDRESS(INDEX($X$2:$X$1001,MATCH(ROWS($V$2:V232),$V$2:$V$1001,0),0), INDEX($AC$1004:$AS$1004,1,MATCH(COLUMNS($AC$1006:AJ1006),$AC$1006:$AS$1006,0)))),"Fix")))</f>
        <v xml:space="preserve"> </v>
      </c>
      <c r="J232" s="4" t="str">
        <f ca="1">IF(OR(INDEX($W$2:$W$1001,MATCH(ROWS($V$2:V232),$V$2:$V$1001,0),1)&gt;=100000,INDEX($AC$1005:$AS$1005,1,MATCH(COLUMNS($AC$1006:AK1006),$AC$1006:$AS$1006,0))&gt;=100000), " ",IF(INDEX($AC$2:$AS$1001,MATCH(ROWS($V$2:V232),$V$2:$V$1001,0),MATCH(COLUMNS($AC$1006:AK1006),$AC$1006:$AS$1006,0)), HYPERLINK("#",""), HYPERLINK(CONCATENATE("#metadata!", ADDRESS(INDEX($X$2:$X$1001,MATCH(ROWS($V$2:V232),$V$2:$V$1001,0),0), INDEX($AC$1004:$AS$1004,1,MATCH(COLUMNS($AC$1006:AK1006),$AC$1006:$AS$1006,0)))),"Fix")))</f>
        <v xml:space="preserve"> </v>
      </c>
      <c r="K232" s="4" t="str">
        <f ca="1">IF(OR(INDEX($W$2:$W$1001,MATCH(ROWS($V$2:V232),$V$2:$V$1001,0),1)&gt;=100000,INDEX($AC$1005:$AS$1005,1,MATCH(COLUMNS($AC$1006:AL1006),$AC$1006:$AS$1006,0))&gt;=100000), " ",IF(INDEX($AC$2:$AS$1001,MATCH(ROWS($V$2:V232),$V$2:$V$1001,0),MATCH(COLUMNS($AC$1006:AL1006),$AC$1006:$AS$1006,0)), HYPERLINK("#",""), HYPERLINK(CONCATENATE("#metadata!", ADDRESS(INDEX($X$2:$X$1001,MATCH(ROWS($V$2:V232),$V$2:$V$1001,0),0), INDEX($AC$1004:$AS$1004,1,MATCH(COLUMNS($AC$1006:AL1006),$AC$1006:$AS$1006,0)))),"Fix")))</f>
        <v xml:space="preserve"> </v>
      </c>
      <c r="L232" s="4" t="str">
        <f ca="1">IF(OR(INDEX($W$2:$W$1001,MATCH(ROWS($V$2:V232),$V$2:$V$1001,0),1)&gt;=100000,INDEX($AC$1005:$AS$1005,1,MATCH(COLUMNS($AC$1006:AM1006),$AC$1006:$AS$1006,0))&gt;=100000), " ",IF(INDEX($AC$2:$AS$1001,MATCH(ROWS($V$2:V232),$V$2:$V$1001,0),MATCH(COLUMNS($AC$1006:AM1006),$AC$1006:$AS$1006,0)), HYPERLINK("#",""), HYPERLINK(CONCATENATE("#metadata!", ADDRESS(INDEX($X$2:$X$1001,MATCH(ROWS($V$2:V232),$V$2:$V$1001,0),0), INDEX($AC$1004:$AS$1004,1,MATCH(COLUMNS($AC$1006:AM1006),$AC$1006:$AS$1006,0)))),"Fix")))</f>
        <v xml:space="preserve"> </v>
      </c>
      <c r="M232" s="4" t="str">
        <f ca="1">IF(OR(INDEX($W$2:$W$1001,MATCH(ROWS($V$2:V232),$V$2:$V$1001,0),1)&gt;=100000,INDEX($AC$1005:$AS$1005,1,MATCH(COLUMNS($AC$1006:AN1006),$AC$1006:$AS$1006,0))&gt;=100000), " ",IF(INDEX($AC$2:$AS$1001,MATCH(ROWS($V$2:V232),$V$2:$V$1001,0),MATCH(COLUMNS($AC$1006:AN1006),$AC$1006:$AS$1006,0)), HYPERLINK("#",""), HYPERLINK(CONCATENATE("#metadata!", ADDRESS(INDEX($X$2:$X$1001,MATCH(ROWS($V$2:V232),$V$2:$V$1001,0),0), INDEX($AC$1004:$AS$1004,1,MATCH(COLUMNS($AC$1006:AN1006),$AC$1006:$AS$1006,0)))),"Fix")))</f>
        <v xml:space="preserve"> </v>
      </c>
      <c r="N232" s="4" t="str">
        <f ca="1">IF(OR(INDEX($W$2:$W$1001,MATCH(ROWS($V$2:V232),$V$2:$V$1001,0),1)&gt;=100000,INDEX($AC$1005:$AS$1005,1,MATCH(COLUMNS($AC$1006:AO1006),$AC$1006:$AS$1006,0))&gt;=100000), " ",IF(INDEX($AC$2:$AS$1001,MATCH(ROWS($V$2:V232),$V$2:$V$1001,0),MATCH(COLUMNS($AC$1006:AO1006),$AC$1006:$AS$1006,0)), HYPERLINK("#",""), HYPERLINK(CONCATENATE("#metadata!", ADDRESS(INDEX($X$2:$X$1001,MATCH(ROWS($V$2:V232),$V$2:$V$1001,0),0), INDEX($AC$1004:$AS$1004,1,MATCH(COLUMNS($AC$1006:AO1006),$AC$1006:$AS$1006,0)))),"Fix")))</f>
        <v xml:space="preserve"> </v>
      </c>
      <c r="O232" s="4" t="str">
        <f ca="1">IF(OR(INDEX($W$2:$W$1001,MATCH(ROWS($V$2:V232),$V$2:$V$1001,0),1)&gt;=100000,INDEX($AC$1005:$AS$1005,1,MATCH(COLUMNS($AC$1006:AP1006),$AC$1006:$AS$1006,0))&gt;=100000), " ",IF(INDEX($AC$2:$AS$1001,MATCH(ROWS($V$2:V232),$V$2:$V$1001,0),MATCH(COLUMNS($AC$1006:AP1006),$AC$1006:$AS$1006,0)), HYPERLINK("#",""), HYPERLINK(CONCATENATE("#metadata!", ADDRESS(INDEX($X$2:$X$1001,MATCH(ROWS($V$2:V232),$V$2:$V$1001,0),0), INDEX($AC$1004:$AS$1004,1,MATCH(COLUMNS($AC$1006:AP1006),$AC$1006:$AS$1006,0)))),"Fix")))</f>
        <v xml:space="preserve"> </v>
      </c>
      <c r="P232" s="4" t="str">
        <f ca="1">IF(OR(INDEX($W$2:$W$1001,MATCH(ROWS($V$2:V232),$V$2:$V$1001,0),1)&gt;=100000,INDEX($AC$1005:$AS$1005,1,MATCH(COLUMNS($AC$1006:AQ1006),$AC$1006:$AS$1006,0))&gt;=100000), " ",IF(INDEX($AC$2:$AS$1001,MATCH(ROWS($V$2:V232),$V$2:$V$1001,0),MATCH(COLUMNS($AC$1006:AQ1006),$AC$1006:$AS$1006,0)), HYPERLINK("#",""), HYPERLINK(CONCATENATE("#metadata!", ADDRESS(INDEX($X$2:$X$1001,MATCH(ROWS($V$2:V232),$V$2:$V$1001,0),0), INDEX($AC$1004:$AS$1004,1,MATCH(COLUMNS($AC$1006:AQ1006),$AC$1006:$AS$1006,0)))),"Fix")))</f>
        <v xml:space="preserve"> </v>
      </c>
      <c r="Q232" s="4" t="str">
        <f ca="1">IF(OR(INDEX($W$2:$W$1001,MATCH(ROWS($V$2:V232),$V$2:$V$1001,0),1)&gt;=100000,INDEX($AC$1005:$AS$1005,1,MATCH(COLUMNS($AC$1006:AR1006),$AC$1006:$AS$1006,0))&gt;=100000), " ",IF(INDEX($AC$2:$AS$1001,MATCH(ROWS($V$2:V232),$V$2:$V$1001,0),MATCH(COLUMNS($AC$1006:AR1006),$AC$1006:$AS$1006,0)), HYPERLINK("#",""), HYPERLINK(CONCATENATE("#metadata!", ADDRESS(INDEX($X$2:$X$1001,MATCH(ROWS($V$2:V232),$V$2:$V$1001,0),0), INDEX($AC$1004:$AS$1004,1,MATCH(COLUMNS($AC$1006:AR1006),$AC$1006:$AS$1006,0)))),"Fix")))</f>
        <v xml:space="preserve"> </v>
      </c>
      <c r="R232" s="4" t="str">
        <f ca="1">IF(OR(INDEX($W$2:$W$1001,MATCH(ROWS($V$2:V232),$V$2:$V$1001,0),1)&gt;=100000,INDEX($AC$1005:$AS$1005,1,MATCH(COLUMNS($AC$1006:AS1006),$AC$1006:$AS$1006,0))&gt;=100000), " ",IF(INDEX($AC$2:$AS$1001,MATCH(ROWS($V$2:V232),$V$2:$V$1001,0),MATCH(COLUMNS($AC$1006:AS1006),$AC$1006:$AS$1006,0)), HYPERLINK("#",""), HYPERLINK(CONCATENATE("#metadata!", ADDRESS(INDEX($X$2:$X$1001,MATCH(ROWS($V$2:V232),$V$2:$V$1001,0),0), INDEX($AC$1004:$AS$1004,1,MATCH(COLUMNS($AC$1006:AS1006),$AC$1006:$AS$1006,0)))),"Fix")))</f>
        <v xml:space="preserve"> </v>
      </c>
      <c r="V232">
        <v>231</v>
      </c>
      <c r="W232">
        <v>100232</v>
      </c>
      <c r="X232">
        <v>232</v>
      </c>
      <c r="Y232" t="b">
        <f t="shared" si="3"/>
        <v>1</v>
      </c>
      <c r="Z232" t="b">
        <f>COUNTBLANK(metadata!B232:R232)=COLUMNS(metadata!B232:R232)</f>
        <v>1</v>
      </c>
      <c r="AA232" t="str">
        <v/>
      </c>
      <c r="AC232" t="b">
        <f ca="1"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AD232" t="b">
        <f>IF(metadata!C232="",FALSE,ISNUMBER(VALUE(metadata!C232)))</f>
        <v>0</v>
      </c>
      <c r="AE232" t="b">
        <f>AND(IF(metadata!D232="",FALSE,TRUE),EXACT(metadata!D232,"years"))</f>
        <v>0</v>
      </c>
      <c r="AF232" t="b">
        <f>OR(AND(IF(metadata!E232="",FALSE,TRUE),OR(EXACT(metadata!E232,"not applicable"),EXACT(metadata!E232,"missing: not collected"),EXACT(metadata!E232,"missing: not provided"),EXACT(metadata!E232,"missing: restricted access"))),AND(IF(metadata!E232="",FALSE,ISNUMBER(VALUE(metadata!E232))),metadata!E232&gt;0))</f>
        <v>0</v>
      </c>
      <c r="AG232" t="b">
        <f>AND(IF(metadata!F232="",FALSE,TRUE),EXACT(metadata!F232,"Not applicable"))</f>
        <v>0</v>
      </c>
      <c r="AH232" t="b">
        <f>AND(IF(metadata!G232="",FALSE,TRUE),EXACT(metadata!G232,"urban biome"))</f>
        <v>0</v>
      </c>
      <c r="AI232" t="b">
        <f>AND(IF(metadata!H232="",FALSE,TRUE),EXACT(metadata!H232,"human-associated habitat"))</f>
        <v>0</v>
      </c>
      <c r="AJ232" t="b">
        <f>AND(IF(metadata!I232="",FALSE,TRUE),OR(EXACT(metadata!I232,"human-associated"),EXACT(metadata!I232,"human-skin"),EXACT(metadata!I232,"human-oral"),EXACT(metadata!I232,"human-gut"),EXACT(metadata!I232,"human-vaginal")))</f>
        <v>0</v>
      </c>
      <c r="AK232" t="b">
        <f>IF(metadata!J232="",FALSE,ISNUMBER(VALUE(metadata!J232)))</f>
        <v>0</v>
      </c>
      <c r="AL232" t="b">
        <f>AND(IF(metadata!K232="",FALSE,TRUE),EXACT(metadata!K232,"cm"))</f>
        <v>0</v>
      </c>
      <c r="AM232" t="b">
        <f>AND(IF(metadata!L232="",FALSE,TRUE),EXACT(metadata!L232,"human"))</f>
        <v>0</v>
      </c>
      <c r="AN232" t="b">
        <f>AND(IF(metadata!M232="",FALSE,TRUE),EXACT(metadata!M232,"Homo sapiens"))</f>
        <v>0</v>
      </c>
      <c r="AO232" t="b">
        <f>AND(IF(metadata!N232="",FALSE,TRUE),EXACT(metadata!N232,"9606"))</f>
        <v>0</v>
      </c>
      <c r="AP232" t="b">
        <f>IF(metadata!O232="",FALSE,TRUE)</f>
        <v>0</v>
      </c>
      <c r="AQ232" t="b">
        <f>IF(metadata!P232="",FALSE,TRUE)</f>
        <v>0</v>
      </c>
      <c r="AR232" t="b">
        <f>IF(metadata!Q232="",FALSE,ISNUMBER(VALUE(metadata!Q232)))</f>
        <v>0</v>
      </c>
      <c r="AS232" t="b">
        <f>AND(IF(metadata!R232="",FALSE,TRUE),EXACT(metadata!R232,"kg"))</f>
        <v>0</v>
      </c>
    </row>
    <row r="233" spans="1:45" x14ac:dyDescent="0.2">
      <c r="A233" s="5" t="str">
        <f ca="1">IF(B233=" "," ",HYPERLINK(CONCATENATE("#metadata!",ADDRESS(INDEX($X$2:$X$1001,MATCH(ROWS($V$2:V233),$V$2:$V$1001,0),0),1)),INDEX($AA$2:$AA$1001,MATCH(ROWS($V$2:V233),$V$2:$V$1001,0),0)))</f>
        <v xml:space="preserve"> </v>
      </c>
      <c r="B233" s="4" t="str">
        <f ca="1">IF(OR(INDEX($W$2:$W$1001,MATCH(ROWS($V$2:V233),$V$2:$V$1001,0),1)&gt;=100000,INDEX($AC$1005:$AS$1005,1,MATCH(COLUMNS($AC$1006:AC1006),$AC$1006:$AS$1006,0))&gt;=100000), " ",IF(INDEX($AC$2:$AS$1001,MATCH(ROWS($V$2:V233),$V$2:$V$1001,0),MATCH(COLUMNS($AC$1006:AC1006),$AC$1006:$AS$1006,0)), HYPERLINK("#",""), HYPERLINK(CONCATENATE("#metadata!", ADDRESS(INDEX($X$2:$X$1001,MATCH(ROWS($V$2:V233),$V$2:$V$1001,0),0), INDEX($AC$1004:$AS$1004,1,MATCH(COLUMNS($AC$1006:AC1006),$AC$1006:$AS$1006,0)))),"Fix")))</f>
        <v xml:space="preserve"> </v>
      </c>
      <c r="C233" s="4" t="str">
        <f ca="1">IF(OR(INDEX($W$2:$W$1001,MATCH(ROWS($V$2:V233),$V$2:$V$1001,0),1)&gt;=100000,INDEX($AC$1005:$AS$1005,1,MATCH(COLUMNS($AC$1006:AD1006),$AC$1006:$AS$1006,0))&gt;=100000), " ",IF(INDEX($AC$2:$AS$1001,MATCH(ROWS($V$2:V233),$V$2:$V$1001,0),MATCH(COLUMNS($AC$1006:AD1006),$AC$1006:$AS$1006,0)), HYPERLINK("#",""), HYPERLINK(CONCATENATE("#metadata!", ADDRESS(INDEX($X$2:$X$1001,MATCH(ROWS($V$2:V233),$V$2:$V$1001,0),0), INDEX($AC$1004:$AS$1004,1,MATCH(COLUMNS($AC$1006:AD1006),$AC$1006:$AS$1006,0)))),"Fix")))</f>
        <v xml:space="preserve"> </v>
      </c>
      <c r="D233" s="4" t="str">
        <f ca="1">IF(OR(INDEX($W$2:$W$1001,MATCH(ROWS($V$2:V233),$V$2:$V$1001,0),1)&gt;=100000,INDEX($AC$1005:$AS$1005,1,MATCH(COLUMNS($AC$1006:AE1006),$AC$1006:$AS$1006,0))&gt;=100000), " ",IF(INDEX($AC$2:$AS$1001,MATCH(ROWS($V$2:V233),$V$2:$V$1001,0),MATCH(COLUMNS($AC$1006:AE1006),$AC$1006:$AS$1006,0)), HYPERLINK("#",""), HYPERLINK(CONCATENATE("#metadata!", ADDRESS(INDEX($X$2:$X$1001,MATCH(ROWS($V$2:V233),$V$2:$V$1001,0),0), INDEX($AC$1004:$AS$1004,1,MATCH(COLUMNS($AC$1006:AE1006),$AC$1006:$AS$1006,0)))),"Fix")))</f>
        <v xml:space="preserve"> </v>
      </c>
      <c r="E233" s="4" t="str">
        <f ca="1">IF(OR(INDEX($W$2:$W$1001,MATCH(ROWS($V$2:V233),$V$2:$V$1001,0),1)&gt;=100000,INDEX($AC$1005:$AS$1005,1,MATCH(COLUMNS($AC$1006:AF1006),$AC$1006:$AS$1006,0))&gt;=100000), " ",IF(INDEX($AC$2:$AS$1001,MATCH(ROWS($V$2:V233),$V$2:$V$1001,0),MATCH(COLUMNS($AC$1006:AF1006),$AC$1006:$AS$1006,0)), HYPERLINK("#",""), HYPERLINK(CONCATENATE("#metadata!", ADDRESS(INDEX($X$2:$X$1001,MATCH(ROWS($V$2:V233),$V$2:$V$1001,0),0), INDEX($AC$1004:$AS$1004,1,MATCH(COLUMNS($AC$1006:AF1006),$AC$1006:$AS$1006,0)))),"Fix")))</f>
        <v xml:space="preserve"> </v>
      </c>
      <c r="F233" s="4" t="str">
        <f ca="1">IF(OR(INDEX($W$2:$W$1001,MATCH(ROWS($V$2:V233),$V$2:$V$1001,0),1)&gt;=100000,INDEX($AC$1005:$AS$1005,1,MATCH(COLUMNS($AC$1006:AG1006),$AC$1006:$AS$1006,0))&gt;=100000), " ",IF(INDEX($AC$2:$AS$1001,MATCH(ROWS($V$2:V233),$V$2:$V$1001,0),MATCH(COLUMNS($AC$1006:AG1006),$AC$1006:$AS$1006,0)), HYPERLINK("#",""), HYPERLINK(CONCATENATE("#metadata!", ADDRESS(INDEX($X$2:$X$1001,MATCH(ROWS($V$2:V233),$V$2:$V$1001,0),0), INDEX($AC$1004:$AS$1004,1,MATCH(COLUMNS($AC$1006:AG1006),$AC$1006:$AS$1006,0)))),"Fix")))</f>
        <v xml:space="preserve"> </v>
      </c>
      <c r="G233" s="4" t="str">
        <f ca="1">IF(OR(INDEX($W$2:$W$1001,MATCH(ROWS($V$2:V233),$V$2:$V$1001,0),1)&gt;=100000,INDEX($AC$1005:$AS$1005,1,MATCH(COLUMNS($AC$1006:AH1006),$AC$1006:$AS$1006,0))&gt;=100000), " ",IF(INDEX($AC$2:$AS$1001,MATCH(ROWS($V$2:V233),$V$2:$V$1001,0),MATCH(COLUMNS($AC$1006:AH1006),$AC$1006:$AS$1006,0)), HYPERLINK("#",""), HYPERLINK(CONCATENATE("#metadata!", ADDRESS(INDEX($X$2:$X$1001,MATCH(ROWS($V$2:V233),$V$2:$V$1001,0),0), INDEX($AC$1004:$AS$1004,1,MATCH(COLUMNS($AC$1006:AH1006),$AC$1006:$AS$1006,0)))),"Fix")))</f>
        <v xml:space="preserve"> </v>
      </c>
      <c r="H233" s="4" t="str">
        <f ca="1">IF(OR(INDEX($W$2:$W$1001,MATCH(ROWS($V$2:V233),$V$2:$V$1001,0),1)&gt;=100000,INDEX($AC$1005:$AS$1005,1,MATCH(COLUMNS($AC$1006:AI1006),$AC$1006:$AS$1006,0))&gt;=100000), " ",IF(INDEX($AC$2:$AS$1001,MATCH(ROWS($V$2:V233),$V$2:$V$1001,0),MATCH(COLUMNS($AC$1006:AI1006),$AC$1006:$AS$1006,0)), HYPERLINK("#",""), HYPERLINK(CONCATENATE("#metadata!", ADDRESS(INDEX($X$2:$X$1001,MATCH(ROWS($V$2:V233),$V$2:$V$1001,0),0), INDEX($AC$1004:$AS$1004,1,MATCH(COLUMNS($AC$1006:AI1006),$AC$1006:$AS$1006,0)))),"Fix")))</f>
        <v xml:space="preserve"> </v>
      </c>
      <c r="I233" s="4" t="str">
        <f ca="1">IF(OR(INDEX($W$2:$W$1001,MATCH(ROWS($V$2:V233),$V$2:$V$1001,0),1)&gt;=100000,INDEX($AC$1005:$AS$1005,1,MATCH(COLUMNS($AC$1006:AJ1006),$AC$1006:$AS$1006,0))&gt;=100000), " ",IF(INDEX($AC$2:$AS$1001,MATCH(ROWS($V$2:V233),$V$2:$V$1001,0),MATCH(COLUMNS($AC$1006:AJ1006),$AC$1006:$AS$1006,0)), HYPERLINK("#",""), HYPERLINK(CONCATENATE("#metadata!", ADDRESS(INDEX($X$2:$X$1001,MATCH(ROWS($V$2:V233),$V$2:$V$1001,0),0), INDEX($AC$1004:$AS$1004,1,MATCH(COLUMNS($AC$1006:AJ1006),$AC$1006:$AS$1006,0)))),"Fix")))</f>
        <v xml:space="preserve"> </v>
      </c>
      <c r="J233" s="4" t="str">
        <f ca="1">IF(OR(INDEX($W$2:$W$1001,MATCH(ROWS($V$2:V233),$V$2:$V$1001,0),1)&gt;=100000,INDEX($AC$1005:$AS$1005,1,MATCH(COLUMNS($AC$1006:AK1006),$AC$1006:$AS$1006,0))&gt;=100000), " ",IF(INDEX($AC$2:$AS$1001,MATCH(ROWS($V$2:V233),$V$2:$V$1001,0),MATCH(COLUMNS($AC$1006:AK1006),$AC$1006:$AS$1006,0)), HYPERLINK("#",""), HYPERLINK(CONCATENATE("#metadata!", ADDRESS(INDEX($X$2:$X$1001,MATCH(ROWS($V$2:V233),$V$2:$V$1001,0),0), INDEX($AC$1004:$AS$1004,1,MATCH(COLUMNS($AC$1006:AK1006),$AC$1006:$AS$1006,0)))),"Fix")))</f>
        <v xml:space="preserve"> </v>
      </c>
      <c r="K233" s="4" t="str">
        <f ca="1">IF(OR(INDEX($W$2:$W$1001,MATCH(ROWS($V$2:V233),$V$2:$V$1001,0),1)&gt;=100000,INDEX($AC$1005:$AS$1005,1,MATCH(COLUMNS($AC$1006:AL1006),$AC$1006:$AS$1006,0))&gt;=100000), " ",IF(INDEX($AC$2:$AS$1001,MATCH(ROWS($V$2:V233),$V$2:$V$1001,0),MATCH(COLUMNS($AC$1006:AL1006),$AC$1006:$AS$1006,0)), HYPERLINK("#",""), HYPERLINK(CONCATENATE("#metadata!", ADDRESS(INDEX($X$2:$X$1001,MATCH(ROWS($V$2:V233),$V$2:$V$1001,0),0), INDEX($AC$1004:$AS$1004,1,MATCH(COLUMNS($AC$1006:AL1006),$AC$1006:$AS$1006,0)))),"Fix")))</f>
        <v xml:space="preserve"> </v>
      </c>
      <c r="L233" s="4" t="str">
        <f ca="1">IF(OR(INDEX($W$2:$W$1001,MATCH(ROWS($V$2:V233),$V$2:$V$1001,0),1)&gt;=100000,INDEX($AC$1005:$AS$1005,1,MATCH(COLUMNS($AC$1006:AM1006),$AC$1006:$AS$1006,0))&gt;=100000), " ",IF(INDEX($AC$2:$AS$1001,MATCH(ROWS($V$2:V233),$V$2:$V$1001,0),MATCH(COLUMNS($AC$1006:AM1006),$AC$1006:$AS$1006,0)), HYPERLINK("#",""), HYPERLINK(CONCATENATE("#metadata!", ADDRESS(INDEX($X$2:$X$1001,MATCH(ROWS($V$2:V233),$V$2:$V$1001,0),0), INDEX($AC$1004:$AS$1004,1,MATCH(COLUMNS($AC$1006:AM1006),$AC$1006:$AS$1006,0)))),"Fix")))</f>
        <v xml:space="preserve"> </v>
      </c>
      <c r="M233" s="4" t="str">
        <f ca="1">IF(OR(INDEX($W$2:$W$1001,MATCH(ROWS($V$2:V233),$V$2:$V$1001,0),1)&gt;=100000,INDEX($AC$1005:$AS$1005,1,MATCH(COLUMNS($AC$1006:AN1006),$AC$1006:$AS$1006,0))&gt;=100000), " ",IF(INDEX($AC$2:$AS$1001,MATCH(ROWS($V$2:V233),$V$2:$V$1001,0),MATCH(COLUMNS($AC$1006:AN1006),$AC$1006:$AS$1006,0)), HYPERLINK("#",""), HYPERLINK(CONCATENATE("#metadata!", ADDRESS(INDEX($X$2:$X$1001,MATCH(ROWS($V$2:V233),$V$2:$V$1001,0),0), INDEX($AC$1004:$AS$1004,1,MATCH(COLUMNS($AC$1006:AN1006),$AC$1006:$AS$1006,0)))),"Fix")))</f>
        <v xml:space="preserve"> </v>
      </c>
      <c r="N233" s="4" t="str">
        <f ca="1">IF(OR(INDEX($W$2:$W$1001,MATCH(ROWS($V$2:V233),$V$2:$V$1001,0),1)&gt;=100000,INDEX($AC$1005:$AS$1005,1,MATCH(COLUMNS($AC$1006:AO1006),$AC$1006:$AS$1006,0))&gt;=100000), " ",IF(INDEX($AC$2:$AS$1001,MATCH(ROWS($V$2:V233),$V$2:$V$1001,0),MATCH(COLUMNS($AC$1006:AO1006),$AC$1006:$AS$1006,0)), HYPERLINK("#",""), HYPERLINK(CONCATENATE("#metadata!", ADDRESS(INDEX($X$2:$X$1001,MATCH(ROWS($V$2:V233),$V$2:$V$1001,0),0), INDEX($AC$1004:$AS$1004,1,MATCH(COLUMNS($AC$1006:AO1006),$AC$1006:$AS$1006,0)))),"Fix")))</f>
        <v xml:space="preserve"> </v>
      </c>
      <c r="O233" s="4" t="str">
        <f ca="1">IF(OR(INDEX($W$2:$W$1001,MATCH(ROWS($V$2:V233),$V$2:$V$1001,0),1)&gt;=100000,INDEX($AC$1005:$AS$1005,1,MATCH(COLUMNS($AC$1006:AP1006),$AC$1006:$AS$1006,0))&gt;=100000), " ",IF(INDEX($AC$2:$AS$1001,MATCH(ROWS($V$2:V233),$V$2:$V$1001,0),MATCH(COLUMNS($AC$1006:AP1006),$AC$1006:$AS$1006,0)), HYPERLINK("#",""), HYPERLINK(CONCATENATE("#metadata!", ADDRESS(INDEX($X$2:$X$1001,MATCH(ROWS($V$2:V233),$V$2:$V$1001,0),0), INDEX($AC$1004:$AS$1004,1,MATCH(COLUMNS($AC$1006:AP1006),$AC$1006:$AS$1006,0)))),"Fix")))</f>
        <v xml:space="preserve"> </v>
      </c>
      <c r="P233" s="4" t="str">
        <f ca="1">IF(OR(INDEX($W$2:$W$1001,MATCH(ROWS($V$2:V233),$V$2:$V$1001,0),1)&gt;=100000,INDEX($AC$1005:$AS$1005,1,MATCH(COLUMNS($AC$1006:AQ1006),$AC$1006:$AS$1006,0))&gt;=100000), " ",IF(INDEX($AC$2:$AS$1001,MATCH(ROWS($V$2:V233),$V$2:$V$1001,0),MATCH(COLUMNS($AC$1006:AQ1006),$AC$1006:$AS$1006,0)), HYPERLINK("#",""), HYPERLINK(CONCATENATE("#metadata!", ADDRESS(INDEX($X$2:$X$1001,MATCH(ROWS($V$2:V233),$V$2:$V$1001,0),0), INDEX($AC$1004:$AS$1004,1,MATCH(COLUMNS($AC$1006:AQ1006),$AC$1006:$AS$1006,0)))),"Fix")))</f>
        <v xml:space="preserve"> </v>
      </c>
      <c r="Q233" s="4" t="str">
        <f ca="1">IF(OR(INDEX($W$2:$W$1001,MATCH(ROWS($V$2:V233),$V$2:$V$1001,0),1)&gt;=100000,INDEX($AC$1005:$AS$1005,1,MATCH(COLUMNS($AC$1006:AR1006),$AC$1006:$AS$1006,0))&gt;=100000), " ",IF(INDEX($AC$2:$AS$1001,MATCH(ROWS($V$2:V233),$V$2:$V$1001,0),MATCH(COLUMNS($AC$1006:AR1006),$AC$1006:$AS$1006,0)), HYPERLINK("#",""), HYPERLINK(CONCATENATE("#metadata!", ADDRESS(INDEX($X$2:$X$1001,MATCH(ROWS($V$2:V233),$V$2:$V$1001,0),0), INDEX($AC$1004:$AS$1004,1,MATCH(COLUMNS($AC$1006:AR1006),$AC$1006:$AS$1006,0)))),"Fix")))</f>
        <v xml:space="preserve"> </v>
      </c>
      <c r="R233" s="4" t="str">
        <f ca="1">IF(OR(INDEX($W$2:$W$1001,MATCH(ROWS($V$2:V233),$V$2:$V$1001,0),1)&gt;=100000,INDEX($AC$1005:$AS$1005,1,MATCH(COLUMNS($AC$1006:AS1006),$AC$1006:$AS$1006,0))&gt;=100000), " ",IF(INDEX($AC$2:$AS$1001,MATCH(ROWS($V$2:V233),$V$2:$V$1001,0),MATCH(COLUMNS($AC$1006:AS1006),$AC$1006:$AS$1006,0)), HYPERLINK("#",""), HYPERLINK(CONCATENATE("#metadata!", ADDRESS(INDEX($X$2:$X$1001,MATCH(ROWS($V$2:V233),$V$2:$V$1001,0),0), INDEX($AC$1004:$AS$1004,1,MATCH(COLUMNS($AC$1006:AS1006),$AC$1006:$AS$1006,0)))),"Fix")))</f>
        <v xml:space="preserve"> </v>
      </c>
      <c r="V233">
        <v>232</v>
      </c>
      <c r="W233">
        <v>100233</v>
      </c>
      <c r="X233">
        <v>233</v>
      </c>
      <c r="Y233" t="b">
        <f t="shared" si="3"/>
        <v>1</v>
      </c>
      <c r="Z233" t="b">
        <f>COUNTBLANK(metadata!B233:R233)=COLUMNS(metadata!B233:R233)</f>
        <v>1</v>
      </c>
      <c r="AA233" t="str">
        <v/>
      </c>
      <c r="AC233" t="b">
        <f ca="1"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AD233" t="b">
        <f>IF(metadata!C233="",FALSE,ISNUMBER(VALUE(metadata!C233)))</f>
        <v>0</v>
      </c>
      <c r="AE233" t="b">
        <f>AND(IF(metadata!D233="",FALSE,TRUE),EXACT(metadata!D233,"years"))</f>
        <v>0</v>
      </c>
      <c r="AF233" t="b">
        <f>OR(AND(IF(metadata!E233="",FALSE,TRUE),OR(EXACT(metadata!E233,"not applicable"),EXACT(metadata!E233,"missing: not collected"),EXACT(metadata!E233,"missing: not provided"),EXACT(metadata!E233,"missing: restricted access"))),AND(IF(metadata!E233="",FALSE,ISNUMBER(VALUE(metadata!E233))),metadata!E233&gt;0))</f>
        <v>0</v>
      </c>
      <c r="AG233" t="b">
        <f>AND(IF(metadata!F233="",FALSE,TRUE),EXACT(metadata!F233,"Not applicable"))</f>
        <v>0</v>
      </c>
      <c r="AH233" t="b">
        <f>AND(IF(metadata!G233="",FALSE,TRUE),EXACT(metadata!G233,"urban biome"))</f>
        <v>0</v>
      </c>
      <c r="AI233" t="b">
        <f>AND(IF(metadata!H233="",FALSE,TRUE),EXACT(metadata!H233,"human-associated habitat"))</f>
        <v>0</v>
      </c>
      <c r="AJ233" t="b">
        <f>AND(IF(metadata!I233="",FALSE,TRUE),OR(EXACT(metadata!I233,"human-associated"),EXACT(metadata!I233,"human-skin"),EXACT(metadata!I233,"human-oral"),EXACT(metadata!I233,"human-gut"),EXACT(metadata!I233,"human-vaginal")))</f>
        <v>0</v>
      </c>
      <c r="AK233" t="b">
        <f>IF(metadata!J233="",FALSE,ISNUMBER(VALUE(metadata!J233)))</f>
        <v>0</v>
      </c>
      <c r="AL233" t="b">
        <f>AND(IF(metadata!K233="",FALSE,TRUE),EXACT(metadata!K233,"cm"))</f>
        <v>0</v>
      </c>
      <c r="AM233" t="b">
        <f>AND(IF(metadata!L233="",FALSE,TRUE),EXACT(metadata!L233,"human"))</f>
        <v>0</v>
      </c>
      <c r="AN233" t="b">
        <f>AND(IF(metadata!M233="",FALSE,TRUE),EXACT(metadata!M233,"Homo sapiens"))</f>
        <v>0</v>
      </c>
      <c r="AO233" t="b">
        <f>AND(IF(metadata!N233="",FALSE,TRUE),EXACT(metadata!N233,"9606"))</f>
        <v>0</v>
      </c>
      <c r="AP233" t="b">
        <f>IF(metadata!O233="",FALSE,TRUE)</f>
        <v>0</v>
      </c>
      <c r="AQ233" t="b">
        <f>IF(metadata!P233="",FALSE,TRUE)</f>
        <v>0</v>
      </c>
      <c r="AR233" t="b">
        <f>IF(metadata!Q233="",FALSE,ISNUMBER(VALUE(metadata!Q233)))</f>
        <v>0</v>
      </c>
      <c r="AS233" t="b">
        <f>AND(IF(metadata!R233="",FALSE,TRUE),EXACT(metadata!R233,"kg"))</f>
        <v>0</v>
      </c>
    </row>
    <row r="234" spans="1:45" x14ac:dyDescent="0.2">
      <c r="A234" s="5" t="str">
        <f ca="1">IF(B234=" "," ",HYPERLINK(CONCATENATE("#metadata!",ADDRESS(INDEX($X$2:$X$1001,MATCH(ROWS($V$2:V234),$V$2:$V$1001,0),0),1)),INDEX($AA$2:$AA$1001,MATCH(ROWS($V$2:V234),$V$2:$V$1001,0),0)))</f>
        <v xml:space="preserve"> </v>
      </c>
      <c r="B234" s="4" t="str">
        <f ca="1">IF(OR(INDEX($W$2:$W$1001,MATCH(ROWS($V$2:V234),$V$2:$V$1001,0),1)&gt;=100000,INDEX($AC$1005:$AS$1005,1,MATCH(COLUMNS($AC$1006:AC1006),$AC$1006:$AS$1006,0))&gt;=100000), " ",IF(INDEX($AC$2:$AS$1001,MATCH(ROWS($V$2:V234),$V$2:$V$1001,0),MATCH(COLUMNS($AC$1006:AC1006),$AC$1006:$AS$1006,0)), HYPERLINK("#",""), HYPERLINK(CONCATENATE("#metadata!", ADDRESS(INDEX($X$2:$X$1001,MATCH(ROWS($V$2:V234),$V$2:$V$1001,0),0), INDEX($AC$1004:$AS$1004,1,MATCH(COLUMNS($AC$1006:AC1006),$AC$1006:$AS$1006,0)))),"Fix")))</f>
        <v xml:space="preserve"> </v>
      </c>
      <c r="C234" s="4" t="str">
        <f ca="1">IF(OR(INDEX($W$2:$W$1001,MATCH(ROWS($V$2:V234),$V$2:$V$1001,0),1)&gt;=100000,INDEX($AC$1005:$AS$1005,1,MATCH(COLUMNS($AC$1006:AD1006),$AC$1006:$AS$1006,0))&gt;=100000), " ",IF(INDEX($AC$2:$AS$1001,MATCH(ROWS($V$2:V234),$V$2:$V$1001,0),MATCH(COLUMNS($AC$1006:AD1006),$AC$1006:$AS$1006,0)), HYPERLINK("#",""), HYPERLINK(CONCATENATE("#metadata!", ADDRESS(INDEX($X$2:$X$1001,MATCH(ROWS($V$2:V234),$V$2:$V$1001,0),0), INDEX($AC$1004:$AS$1004,1,MATCH(COLUMNS($AC$1006:AD1006),$AC$1006:$AS$1006,0)))),"Fix")))</f>
        <v xml:space="preserve"> </v>
      </c>
      <c r="D234" s="4" t="str">
        <f ca="1">IF(OR(INDEX($W$2:$W$1001,MATCH(ROWS($V$2:V234),$V$2:$V$1001,0),1)&gt;=100000,INDEX($AC$1005:$AS$1005,1,MATCH(COLUMNS($AC$1006:AE1006),$AC$1006:$AS$1006,0))&gt;=100000), " ",IF(INDEX($AC$2:$AS$1001,MATCH(ROWS($V$2:V234),$V$2:$V$1001,0),MATCH(COLUMNS($AC$1006:AE1006),$AC$1006:$AS$1006,0)), HYPERLINK("#",""), HYPERLINK(CONCATENATE("#metadata!", ADDRESS(INDEX($X$2:$X$1001,MATCH(ROWS($V$2:V234),$V$2:$V$1001,0),0), INDEX($AC$1004:$AS$1004,1,MATCH(COLUMNS($AC$1006:AE1006),$AC$1006:$AS$1006,0)))),"Fix")))</f>
        <v xml:space="preserve"> </v>
      </c>
      <c r="E234" s="4" t="str">
        <f ca="1">IF(OR(INDEX($W$2:$W$1001,MATCH(ROWS($V$2:V234),$V$2:$V$1001,0),1)&gt;=100000,INDEX($AC$1005:$AS$1005,1,MATCH(COLUMNS($AC$1006:AF1006),$AC$1006:$AS$1006,0))&gt;=100000), " ",IF(INDEX($AC$2:$AS$1001,MATCH(ROWS($V$2:V234),$V$2:$V$1001,0),MATCH(COLUMNS($AC$1006:AF1006),$AC$1006:$AS$1006,0)), HYPERLINK("#",""), HYPERLINK(CONCATENATE("#metadata!", ADDRESS(INDEX($X$2:$X$1001,MATCH(ROWS($V$2:V234),$V$2:$V$1001,0),0), INDEX($AC$1004:$AS$1004,1,MATCH(COLUMNS($AC$1006:AF1006),$AC$1006:$AS$1006,0)))),"Fix")))</f>
        <v xml:space="preserve"> </v>
      </c>
      <c r="F234" s="4" t="str">
        <f ca="1">IF(OR(INDEX($W$2:$W$1001,MATCH(ROWS($V$2:V234),$V$2:$V$1001,0),1)&gt;=100000,INDEX($AC$1005:$AS$1005,1,MATCH(COLUMNS($AC$1006:AG1006),$AC$1006:$AS$1006,0))&gt;=100000), " ",IF(INDEX($AC$2:$AS$1001,MATCH(ROWS($V$2:V234),$V$2:$V$1001,0),MATCH(COLUMNS($AC$1006:AG1006),$AC$1006:$AS$1006,0)), HYPERLINK("#",""), HYPERLINK(CONCATENATE("#metadata!", ADDRESS(INDEX($X$2:$X$1001,MATCH(ROWS($V$2:V234),$V$2:$V$1001,0),0), INDEX($AC$1004:$AS$1004,1,MATCH(COLUMNS($AC$1006:AG1006),$AC$1006:$AS$1006,0)))),"Fix")))</f>
        <v xml:space="preserve"> </v>
      </c>
      <c r="G234" s="4" t="str">
        <f ca="1">IF(OR(INDEX($W$2:$W$1001,MATCH(ROWS($V$2:V234),$V$2:$V$1001,0),1)&gt;=100000,INDEX($AC$1005:$AS$1005,1,MATCH(COLUMNS($AC$1006:AH1006),$AC$1006:$AS$1006,0))&gt;=100000), " ",IF(INDEX($AC$2:$AS$1001,MATCH(ROWS($V$2:V234),$V$2:$V$1001,0),MATCH(COLUMNS($AC$1006:AH1006),$AC$1006:$AS$1006,0)), HYPERLINK("#",""), HYPERLINK(CONCATENATE("#metadata!", ADDRESS(INDEX($X$2:$X$1001,MATCH(ROWS($V$2:V234),$V$2:$V$1001,0),0), INDEX($AC$1004:$AS$1004,1,MATCH(COLUMNS($AC$1006:AH1006),$AC$1006:$AS$1006,0)))),"Fix")))</f>
        <v xml:space="preserve"> </v>
      </c>
      <c r="H234" s="4" t="str">
        <f ca="1">IF(OR(INDEX($W$2:$W$1001,MATCH(ROWS($V$2:V234),$V$2:$V$1001,0),1)&gt;=100000,INDEX($AC$1005:$AS$1005,1,MATCH(COLUMNS($AC$1006:AI1006),$AC$1006:$AS$1006,0))&gt;=100000), " ",IF(INDEX($AC$2:$AS$1001,MATCH(ROWS($V$2:V234),$V$2:$V$1001,0),MATCH(COLUMNS($AC$1006:AI1006),$AC$1006:$AS$1006,0)), HYPERLINK("#",""), HYPERLINK(CONCATENATE("#metadata!", ADDRESS(INDEX($X$2:$X$1001,MATCH(ROWS($V$2:V234),$V$2:$V$1001,0),0), INDEX($AC$1004:$AS$1004,1,MATCH(COLUMNS($AC$1006:AI1006),$AC$1006:$AS$1006,0)))),"Fix")))</f>
        <v xml:space="preserve"> </v>
      </c>
      <c r="I234" s="4" t="str">
        <f ca="1">IF(OR(INDEX($W$2:$W$1001,MATCH(ROWS($V$2:V234),$V$2:$V$1001,0),1)&gt;=100000,INDEX($AC$1005:$AS$1005,1,MATCH(COLUMNS($AC$1006:AJ1006),$AC$1006:$AS$1006,0))&gt;=100000), " ",IF(INDEX($AC$2:$AS$1001,MATCH(ROWS($V$2:V234),$V$2:$V$1001,0),MATCH(COLUMNS($AC$1006:AJ1006),$AC$1006:$AS$1006,0)), HYPERLINK("#",""), HYPERLINK(CONCATENATE("#metadata!", ADDRESS(INDEX($X$2:$X$1001,MATCH(ROWS($V$2:V234),$V$2:$V$1001,0),0), INDEX($AC$1004:$AS$1004,1,MATCH(COLUMNS($AC$1006:AJ1006),$AC$1006:$AS$1006,0)))),"Fix")))</f>
        <v xml:space="preserve"> </v>
      </c>
      <c r="J234" s="4" t="str">
        <f ca="1">IF(OR(INDEX($W$2:$W$1001,MATCH(ROWS($V$2:V234),$V$2:$V$1001,0),1)&gt;=100000,INDEX($AC$1005:$AS$1005,1,MATCH(COLUMNS($AC$1006:AK1006),$AC$1006:$AS$1006,0))&gt;=100000), " ",IF(INDEX($AC$2:$AS$1001,MATCH(ROWS($V$2:V234),$V$2:$V$1001,0),MATCH(COLUMNS($AC$1006:AK1006),$AC$1006:$AS$1006,0)), HYPERLINK("#",""), HYPERLINK(CONCATENATE("#metadata!", ADDRESS(INDEX($X$2:$X$1001,MATCH(ROWS($V$2:V234),$V$2:$V$1001,0),0), INDEX($AC$1004:$AS$1004,1,MATCH(COLUMNS($AC$1006:AK1006),$AC$1006:$AS$1006,0)))),"Fix")))</f>
        <v xml:space="preserve"> </v>
      </c>
      <c r="K234" s="4" t="str">
        <f ca="1">IF(OR(INDEX($W$2:$W$1001,MATCH(ROWS($V$2:V234),$V$2:$V$1001,0),1)&gt;=100000,INDEX($AC$1005:$AS$1005,1,MATCH(COLUMNS($AC$1006:AL1006),$AC$1006:$AS$1006,0))&gt;=100000), " ",IF(INDEX($AC$2:$AS$1001,MATCH(ROWS($V$2:V234),$V$2:$V$1001,0),MATCH(COLUMNS($AC$1006:AL1006),$AC$1006:$AS$1006,0)), HYPERLINK("#",""), HYPERLINK(CONCATENATE("#metadata!", ADDRESS(INDEX($X$2:$X$1001,MATCH(ROWS($V$2:V234),$V$2:$V$1001,0),0), INDEX($AC$1004:$AS$1004,1,MATCH(COLUMNS($AC$1006:AL1006),$AC$1006:$AS$1006,0)))),"Fix")))</f>
        <v xml:space="preserve"> </v>
      </c>
      <c r="L234" s="4" t="str">
        <f ca="1">IF(OR(INDEX($W$2:$W$1001,MATCH(ROWS($V$2:V234),$V$2:$V$1001,0),1)&gt;=100000,INDEX($AC$1005:$AS$1005,1,MATCH(COLUMNS($AC$1006:AM1006),$AC$1006:$AS$1006,0))&gt;=100000), " ",IF(INDEX($AC$2:$AS$1001,MATCH(ROWS($V$2:V234),$V$2:$V$1001,0),MATCH(COLUMNS($AC$1006:AM1006),$AC$1006:$AS$1006,0)), HYPERLINK("#",""), HYPERLINK(CONCATENATE("#metadata!", ADDRESS(INDEX($X$2:$X$1001,MATCH(ROWS($V$2:V234),$V$2:$V$1001,0),0), INDEX($AC$1004:$AS$1004,1,MATCH(COLUMNS($AC$1006:AM1006),$AC$1006:$AS$1006,0)))),"Fix")))</f>
        <v xml:space="preserve"> </v>
      </c>
      <c r="M234" s="4" t="str">
        <f ca="1">IF(OR(INDEX($W$2:$W$1001,MATCH(ROWS($V$2:V234),$V$2:$V$1001,0),1)&gt;=100000,INDEX($AC$1005:$AS$1005,1,MATCH(COLUMNS($AC$1006:AN1006),$AC$1006:$AS$1006,0))&gt;=100000), " ",IF(INDEX($AC$2:$AS$1001,MATCH(ROWS($V$2:V234),$V$2:$V$1001,0),MATCH(COLUMNS($AC$1006:AN1006),$AC$1006:$AS$1006,0)), HYPERLINK("#",""), HYPERLINK(CONCATENATE("#metadata!", ADDRESS(INDEX($X$2:$X$1001,MATCH(ROWS($V$2:V234),$V$2:$V$1001,0),0), INDEX($AC$1004:$AS$1004,1,MATCH(COLUMNS($AC$1006:AN1006),$AC$1006:$AS$1006,0)))),"Fix")))</f>
        <v xml:space="preserve"> </v>
      </c>
      <c r="N234" s="4" t="str">
        <f ca="1">IF(OR(INDEX($W$2:$W$1001,MATCH(ROWS($V$2:V234),$V$2:$V$1001,0),1)&gt;=100000,INDEX($AC$1005:$AS$1005,1,MATCH(COLUMNS($AC$1006:AO1006),$AC$1006:$AS$1006,0))&gt;=100000), " ",IF(INDEX($AC$2:$AS$1001,MATCH(ROWS($V$2:V234),$V$2:$V$1001,0),MATCH(COLUMNS($AC$1006:AO1006),$AC$1006:$AS$1006,0)), HYPERLINK("#",""), HYPERLINK(CONCATENATE("#metadata!", ADDRESS(INDEX($X$2:$X$1001,MATCH(ROWS($V$2:V234),$V$2:$V$1001,0),0), INDEX($AC$1004:$AS$1004,1,MATCH(COLUMNS($AC$1006:AO1006),$AC$1006:$AS$1006,0)))),"Fix")))</f>
        <v xml:space="preserve"> </v>
      </c>
      <c r="O234" s="4" t="str">
        <f ca="1">IF(OR(INDEX($W$2:$W$1001,MATCH(ROWS($V$2:V234),$V$2:$V$1001,0),1)&gt;=100000,INDEX($AC$1005:$AS$1005,1,MATCH(COLUMNS($AC$1006:AP1006),$AC$1006:$AS$1006,0))&gt;=100000), " ",IF(INDEX($AC$2:$AS$1001,MATCH(ROWS($V$2:V234),$V$2:$V$1001,0),MATCH(COLUMNS($AC$1006:AP1006),$AC$1006:$AS$1006,0)), HYPERLINK("#",""), HYPERLINK(CONCATENATE("#metadata!", ADDRESS(INDEX($X$2:$X$1001,MATCH(ROWS($V$2:V234),$V$2:$V$1001,0),0), INDEX($AC$1004:$AS$1004,1,MATCH(COLUMNS($AC$1006:AP1006),$AC$1006:$AS$1006,0)))),"Fix")))</f>
        <v xml:space="preserve"> </v>
      </c>
      <c r="P234" s="4" t="str">
        <f ca="1">IF(OR(INDEX($W$2:$W$1001,MATCH(ROWS($V$2:V234),$V$2:$V$1001,0),1)&gt;=100000,INDEX($AC$1005:$AS$1005,1,MATCH(COLUMNS($AC$1006:AQ1006),$AC$1006:$AS$1006,0))&gt;=100000), " ",IF(INDEX($AC$2:$AS$1001,MATCH(ROWS($V$2:V234),$V$2:$V$1001,0),MATCH(COLUMNS($AC$1006:AQ1006),$AC$1006:$AS$1006,0)), HYPERLINK("#",""), HYPERLINK(CONCATENATE("#metadata!", ADDRESS(INDEX($X$2:$X$1001,MATCH(ROWS($V$2:V234),$V$2:$V$1001,0),0), INDEX($AC$1004:$AS$1004,1,MATCH(COLUMNS($AC$1006:AQ1006),$AC$1006:$AS$1006,0)))),"Fix")))</f>
        <v xml:space="preserve"> </v>
      </c>
      <c r="Q234" s="4" t="str">
        <f ca="1">IF(OR(INDEX($W$2:$W$1001,MATCH(ROWS($V$2:V234),$V$2:$V$1001,0),1)&gt;=100000,INDEX($AC$1005:$AS$1005,1,MATCH(COLUMNS($AC$1006:AR1006),$AC$1006:$AS$1006,0))&gt;=100000), " ",IF(INDEX($AC$2:$AS$1001,MATCH(ROWS($V$2:V234),$V$2:$V$1001,0),MATCH(COLUMNS($AC$1006:AR1006),$AC$1006:$AS$1006,0)), HYPERLINK("#",""), HYPERLINK(CONCATENATE("#metadata!", ADDRESS(INDEX($X$2:$X$1001,MATCH(ROWS($V$2:V234),$V$2:$V$1001,0),0), INDEX($AC$1004:$AS$1004,1,MATCH(COLUMNS($AC$1006:AR1006),$AC$1006:$AS$1006,0)))),"Fix")))</f>
        <v xml:space="preserve"> </v>
      </c>
      <c r="R234" s="4" t="str">
        <f ca="1">IF(OR(INDEX($W$2:$W$1001,MATCH(ROWS($V$2:V234),$V$2:$V$1001,0),1)&gt;=100000,INDEX($AC$1005:$AS$1005,1,MATCH(COLUMNS($AC$1006:AS1006),$AC$1006:$AS$1006,0))&gt;=100000), " ",IF(INDEX($AC$2:$AS$1001,MATCH(ROWS($V$2:V234),$V$2:$V$1001,0),MATCH(COLUMNS($AC$1006:AS1006),$AC$1006:$AS$1006,0)), HYPERLINK("#",""), HYPERLINK(CONCATENATE("#metadata!", ADDRESS(INDEX($X$2:$X$1001,MATCH(ROWS($V$2:V234),$V$2:$V$1001,0),0), INDEX($AC$1004:$AS$1004,1,MATCH(COLUMNS($AC$1006:AS1006),$AC$1006:$AS$1006,0)))),"Fix")))</f>
        <v xml:space="preserve"> </v>
      </c>
      <c r="V234">
        <v>233</v>
      </c>
      <c r="W234">
        <v>100234</v>
      </c>
      <c r="X234">
        <v>234</v>
      </c>
      <c r="Y234" t="b">
        <f t="shared" si="3"/>
        <v>1</v>
      </c>
      <c r="Z234" t="b">
        <f>COUNTBLANK(metadata!B234:R234)=COLUMNS(metadata!B234:R234)</f>
        <v>1</v>
      </c>
      <c r="AA234" t="str">
        <v/>
      </c>
      <c r="AC234" t="b">
        <f ca="1"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AD234" t="b">
        <f>IF(metadata!C234="",FALSE,ISNUMBER(VALUE(metadata!C234)))</f>
        <v>0</v>
      </c>
      <c r="AE234" t="b">
        <f>AND(IF(metadata!D234="",FALSE,TRUE),EXACT(metadata!D234,"years"))</f>
        <v>0</v>
      </c>
      <c r="AF234" t="b">
        <f>OR(AND(IF(metadata!E234="",FALSE,TRUE),OR(EXACT(metadata!E234,"not applicable"),EXACT(metadata!E234,"missing: not collected"),EXACT(metadata!E234,"missing: not provided"),EXACT(metadata!E234,"missing: restricted access"))),AND(IF(metadata!E234="",FALSE,ISNUMBER(VALUE(metadata!E234))),metadata!E234&gt;0))</f>
        <v>0</v>
      </c>
      <c r="AG234" t="b">
        <f>AND(IF(metadata!F234="",FALSE,TRUE),EXACT(metadata!F234,"Not applicable"))</f>
        <v>0</v>
      </c>
      <c r="AH234" t="b">
        <f>AND(IF(metadata!G234="",FALSE,TRUE),EXACT(metadata!G234,"urban biome"))</f>
        <v>0</v>
      </c>
      <c r="AI234" t="b">
        <f>AND(IF(metadata!H234="",FALSE,TRUE),EXACT(metadata!H234,"human-associated habitat"))</f>
        <v>0</v>
      </c>
      <c r="AJ234" t="b">
        <f>AND(IF(metadata!I234="",FALSE,TRUE),OR(EXACT(metadata!I234,"human-associated"),EXACT(metadata!I234,"human-skin"),EXACT(metadata!I234,"human-oral"),EXACT(metadata!I234,"human-gut"),EXACT(metadata!I234,"human-vaginal")))</f>
        <v>0</v>
      </c>
      <c r="AK234" t="b">
        <f>IF(metadata!J234="",FALSE,ISNUMBER(VALUE(metadata!J234)))</f>
        <v>0</v>
      </c>
      <c r="AL234" t="b">
        <f>AND(IF(metadata!K234="",FALSE,TRUE),EXACT(metadata!K234,"cm"))</f>
        <v>0</v>
      </c>
      <c r="AM234" t="b">
        <f>AND(IF(metadata!L234="",FALSE,TRUE),EXACT(metadata!L234,"human"))</f>
        <v>0</v>
      </c>
      <c r="AN234" t="b">
        <f>AND(IF(metadata!M234="",FALSE,TRUE),EXACT(metadata!M234,"Homo sapiens"))</f>
        <v>0</v>
      </c>
      <c r="AO234" t="b">
        <f>AND(IF(metadata!N234="",FALSE,TRUE),EXACT(metadata!N234,"9606"))</f>
        <v>0</v>
      </c>
      <c r="AP234" t="b">
        <f>IF(metadata!O234="",FALSE,TRUE)</f>
        <v>0</v>
      </c>
      <c r="AQ234" t="b">
        <f>IF(metadata!P234="",FALSE,TRUE)</f>
        <v>0</v>
      </c>
      <c r="AR234" t="b">
        <f>IF(metadata!Q234="",FALSE,ISNUMBER(VALUE(metadata!Q234)))</f>
        <v>0</v>
      </c>
      <c r="AS234" t="b">
        <f>AND(IF(metadata!R234="",FALSE,TRUE),EXACT(metadata!R234,"kg"))</f>
        <v>0</v>
      </c>
    </row>
    <row r="235" spans="1:45" x14ac:dyDescent="0.2">
      <c r="A235" s="5" t="str">
        <f ca="1">IF(B235=" "," ",HYPERLINK(CONCATENATE("#metadata!",ADDRESS(INDEX($X$2:$X$1001,MATCH(ROWS($V$2:V235),$V$2:$V$1001,0),0),1)),INDEX($AA$2:$AA$1001,MATCH(ROWS($V$2:V235),$V$2:$V$1001,0),0)))</f>
        <v xml:space="preserve"> </v>
      </c>
      <c r="B235" s="4" t="str">
        <f ca="1">IF(OR(INDEX($W$2:$W$1001,MATCH(ROWS($V$2:V235),$V$2:$V$1001,0),1)&gt;=100000,INDEX($AC$1005:$AS$1005,1,MATCH(COLUMNS($AC$1006:AC1006),$AC$1006:$AS$1006,0))&gt;=100000), " ",IF(INDEX($AC$2:$AS$1001,MATCH(ROWS($V$2:V235),$V$2:$V$1001,0),MATCH(COLUMNS($AC$1006:AC1006),$AC$1006:$AS$1006,0)), HYPERLINK("#",""), HYPERLINK(CONCATENATE("#metadata!", ADDRESS(INDEX($X$2:$X$1001,MATCH(ROWS($V$2:V235),$V$2:$V$1001,0),0), INDEX($AC$1004:$AS$1004,1,MATCH(COLUMNS($AC$1006:AC1006),$AC$1006:$AS$1006,0)))),"Fix")))</f>
        <v xml:space="preserve"> </v>
      </c>
      <c r="C235" s="4" t="str">
        <f ca="1">IF(OR(INDEX($W$2:$W$1001,MATCH(ROWS($V$2:V235),$V$2:$V$1001,0),1)&gt;=100000,INDEX($AC$1005:$AS$1005,1,MATCH(COLUMNS($AC$1006:AD1006),$AC$1006:$AS$1006,0))&gt;=100000), " ",IF(INDEX($AC$2:$AS$1001,MATCH(ROWS($V$2:V235),$V$2:$V$1001,0),MATCH(COLUMNS($AC$1006:AD1006),$AC$1006:$AS$1006,0)), HYPERLINK("#",""), HYPERLINK(CONCATENATE("#metadata!", ADDRESS(INDEX($X$2:$X$1001,MATCH(ROWS($V$2:V235),$V$2:$V$1001,0),0), INDEX($AC$1004:$AS$1004,1,MATCH(COLUMNS($AC$1006:AD1006),$AC$1006:$AS$1006,0)))),"Fix")))</f>
        <v xml:space="preserve"> </v>
      </c>
      <c r="D235" s="4" t="str">
        <f ca="1">IF(OR(INDEX($W$2:$W$1001,MATCH(ROWS($V$2:V235),$V$2:$V$1001,0),1)&gt;=100000,INDEX($AC$1005:$AS$1005,1,MATCH(COLUMNS($AC$1006:AE1006),$AC$1006:$AS$1006,0))&gt;=100000), " ",IF(INDEX($AC$2:$AS$1001,MATCH(ROWS($V$2:V235),$V$2:$V$1001,0),MATCH(COLUMNS($AC$1006:AE1006),$AC$1006:$AS$1006,0)), HYPERLINK("#",""), HYPERLINK(CONCATENATE("#metadata!", ADDRESS(INDEX($X$2:$X$1001,MATCH(ROWS($V$2:V235),$V$2:$V$1001,0),0), INDEX($AC$1004:$AS$1004,1,MATCH(COLUMNS($AC$1006:AE1006),$AC$1006:$AS$1006,0)))),"Fix")))</f>
        <v xml:space="preserve"> </v>
      </c>
      <c r="E235" s="4" t="str">
        <f ca="1">IF(OR(INDEX($W$2:$W$1001,MATCH(ROWS($V$2:V235),$V$2:$V$1001,0),1)&gt;=100000,INDEX($AC$1005:$AS$1005,1,MATCH(COLUMNS($AC$1006:AF1006),$AC$1006:$AS$1006,0))&gt;=100000), " ",IF(INDEX($AC$2:$AS$1001,MATCH(ROWS($V$2:V235),$V$2:$V$1001,0),MATCH(COLUMNS($AC$1006:AF1006),$AC$1006:$AS$1006,0)), HYPERLINK("#",""), HYPERLINK(CONCATENATE("#metadata!", ADDRESS(INDEX($X$2:$X$1001,MATCH(ROWS($V$2:V235),$V$2:$V$1001,0),0), INDEX($AC$1004:$AS$1004,1,MATCH(COLUMNS($AC$1006:AF1006),$AC$1006:$AS$1006,0)))),"Fix")))</f>
        <v xml:space="preserve"> </v>
      </c>
      <c r="F235" s="4" t="str">
        <f ca="1">IF(OR(INDEX($W$2:$W$1001,MATCH(ROWS($V$2:V235),$V$2:$V$1001,0),1)&gt;=100000,INDEX($AC$1005:$AS$1005,1,MATCH(COLUMNS($AC$1006:AG1006),$AC$1006:$AS$1006,0))&gt;=100000), " ",IF(INDEX($AC$2:$AS$1001,MATCH(ROWS($V$2:V235),$V$2:$V$1001,0),MATCH(COLUMNS($AC$1006:AG1006),$AC$1006:$AS$1006,0)), HYPERLINK("#",""), HYPERLINK(CONCATENATE("#metadata!", ADDRESS(INDEX($X$2:$X$1001,MATCH(ROWS($V$2:V235),$V$2:$V$1001,0),0), INDEX($AC$1004:$AS$1004,1,MATCH(COLUMNS($AC$1006:AG1006),$AC$1006:$AS$1006,0)))),"Fix")))</f>
        <v xml:space="preserve"> </v>
      </c>
      <c r="G235" s="4" t="str">
        <f ca="1">IF(OR(INDEX($W$2:$W$1001,MATCH(ROWS($V$2:V235),$V$2:$V$1001,0),1)&gt;=100000,INDEX($AC$1005:$AS$1005,1,MATCH(COLUMNS($AC$1006:AH1006),$AC$1006:$AS$1006,0))&gt;=100000), " ",IF(INDEX($AC$2:$AS$1001,MATCH(ROWS($V$2:V235),$V$2:$V$1001,0),MATCH(COLUMNS($AC$1006:AH1006),$AC$1006:$AS$1006,0)), HYPERLINK("#",""), HYPERLINK(CONCATENATE("#metadata!", ADDRESS(INDEX($X$2:$X$1001,MATCH(ROWS($V$2:V235),$V$2:$V$1001,0),0), INDEX($AC$1004:$AS$1004,1,MATCH(COLUMNS($AC$1006:AH1006),$AC$1006:$AS$1006,0)))),"Fix")))</f>
        <v xml:space="preserve"> </v>
      </c>
      <c r="H235" s="4" t="str">
        <f ca="1">IF(OR(INDEX($W$2:$W$1001,MATCH(ROWS($V$2:V235),$V$2:$V$1001,0),1)&gt;=100000,INDEX($AC$1005:$AS$1005,1,MATCH(COLUMNS($AC$1006:AI1006),$AC$1006:$AS$1006,0))&gt;=100000), " ",IF(INDEX($AC$2:$AS$1001,MATCH(ROWS($V$2:V235),$V$2:$V$1001,0),MATCH(COLUMNS($AC$1006:AI1006),$AC$1006:$AS$1006,0)), HYPERLINK("#",""), HYPERLINK(CONCATENATE("#metadata!", ADDRESS(INDEX($X$2:$X$1001,MATCH(ROWS($V$2:V235),$V$2:$V$1001,0),0), INDEX($AC$1004:$AS$1004,1,MATCH(COLUMNS($AC$1006:AI1006),$AC$1006:$AS$1006,0)))),"Fix")))</f>
        <v xml:space="preserve"> </v>
      </c>
      <c r="I235" s="4" t="str">
        <f ca="1">IF(OR(INDEX($W$2:$W$1001,MATCH(ROWS($V$2:V235),$V$2:$V$1001,0),1)&gt;=100000,INDEX($AC$1005:$AS$1005,1,MATCH(COLUMNS($AC$1006:AJ1006),$AC$1006:$AS$1006,0))&gt;=100000), " ",IF(INDEX($AC$2:$AS$1001,MATCH(ROWS($V$2:V235),$V$2:$V$1001,0),MATCH(COLUMNS($AC$1006:AJ1006),$AC$1006:$AS$1006,0)), HYPERLINK("#",""), HYPERLINK(CONCATENATE("#metadata!", ADDRESS(INDEX($X$2:$X$1001,MATCH(ROWS($V$2:V235),$V$2:$V$1001,0),0), INDEX($AC$1004:$AS$1004,1,MATCH(COLUMNS($AC$1006:AJ1006),$AC$1006:$AS$1006,0)))),"Fix")))</f>
        <v xml:space="preserve"> </v>
      </c>
      <c r="J235" s="4" t="str">
        <f ca="1">IF(OR(INDEX($W$2:$W$1001,MATCH(ROWS($V$2:V235),$V$2:$V$1001,0),1)&gt;=100000,INDEX($AC$1005:$AS$1005,1,MATCH(COLUMNS($AC$1006:AK1006),$AC$1006:$AS$1006,0))&gt;=100000), " ",IF(INDEX($AC$2:$AS$1001,MATCH(ROWS($V$2:V235),$V$2:$V$1001,0),MATCH(COLUMNS($AC$1006:AK1006),$AC$1006:$AS$1006,0)), HYPERLINK("#",""), HYPERLINK(CONCATENATE("#metadata!", ADDRESS(INDEX($X$2:$X$1001,MATCH(ROWS($V$2:V235),$V$2:$V$1001,0),0), INDEX($AC$1004:$AS$1004,1,MATCH(COLUMNS($AC$1006:AK1006),$AC$1006:$AS$1006,0)))),"Fix")))</f>
        <v xml:space="preserve"> </v>
      </c>
      <c r="K235" s="4" t="str">
        <f ca="1">IF(OR(INDEX($W$2:$W$1001,MATCH(ROWS($V$2:V235),$V$2:$V$1001,0),1)&gt;=100000,INDEX($AC$1005:$AS$1005,1,MATCH(COLUMNS($AC$1006:AL1006),$AC$1006:$AS$1006,0))&gt;=100000), " ",IF(INDEX($AC$2:$AS$1001,MATCH(ROWS($V$2:V235),$V$2:$V$1001,0),MATCH(COLUMNS($AC$1006:AL1006),$AC$1006:$AS$1006,0)), HYPERLINK("#",""), HYPERLINK(CONCATENATE("#metadata!", ADDRESS(INDEX($X$2:$X$1001,MATCH(ROWS($V$2:V235),$V$2:$V$1001,0),0), INDEX($AC$1004:$AS$1004,1,MATCH(COLUMNS($AC$1006:AL1006),$AC$1006:$AS$1006,0)))),"Fix")))</f>
        <v xml:space="preserve"> </v>
      </c>
      <c r="L235" s="4" t="str">
        <f ca="1">IF(OR(INDEX($W$2:$W$1001,MATCH(ROWS($V$2:V235),$V$2:$V$1001,0),1)&gt;=100000,INDEX($AC$1005:$AS$1005,1,MATCH(COLUMNS($AC$1006:AM1006),$AC$1006:$AS$1006,0))&gt;=100000), " ",IF(INDEX($AC$2:$AS$1001,MATCH(ROWS($V$2:V235),$V$2:$V$1001,0),MATCH(COLUMNS($AC$1006:AM1006),$AC$1006:$AS$1006,0)), HYPERLINK("#",""), HYPERLINK(CONCATENATE("#metadata!", ADDRESS(INDEX($X$2:$X$1001,MATCH(ROWS($V$2:V235),$V$2:$V$1001,0),0), INDEX($AC$1004:$AS$1004,1,MATCH(COLUMNS($AC$1006:AM1006),$AC$1006:$AS$1006,0)))),"Fix")))</f>
        <v xml:space="preserve"> </v>
      </c>
      <c r="M235" s="4" t="str">
        <f ca="1">IF(OR(INDEX($W$2:$W$1001,MATCH(ROWS($V$2:V235),$V$2:$V$1001,0),1)&gt;=100000,INDEX($AC$1005:$AS$1005,1,MATCH(COLUMNS($AC$1006:AN1006),$AC$1006:$AS$1006,0))&gt;=100000), " ",IF(INDEX($AC$2:$AS$1001,MATCH(ROWS($V$2:V235),$V$2:$V$1001,0),MATCH(COLUMNS($AC$1006:AN1006),$AC$1006:$AS$1006,0)), HYPERLINK("#",""), HYPERLINK(CONCATENATE("#metadata!", ADDRESS(INDEX($X$2:$X$1001,MATCH(ROWS($V$2:V235),$V$2:$V$1001,0),0), INDEX($AC$1004:$AS$1004,1,MATCH(COLUMNS($AC$1006:AN1006),$AC$1006:$AS$1006,0)))),"Fix")))</f>
        <v xml:space="preserve"> </v>
      </c>
      <c r="N235" s="4" t="str">
        <f ca="1">IF(OR(INDEX($W$2:$W$1001,MATCH(ROWS($V$2:V235),$V$2:$V$1001,0),1)&gt;=100000,INDEX($AC$1005:$AS$1005,1,MATCH(COLUMNS($AC$1006:AO1006),$AC$1006:$AS$1006,0))&gt;=100000), " ",IF(INDEX($AC$2:$AS$1001,MATCH(ROWS($V$2:V235),$V$2:$V$1001,0),MATCH(COLUMNS($AC$1006:AO1006),$AC$1006:$AS$1006,0)), HYPERLINK("#",""), HYPERLINK(CONCATENATE("#metadata!", ADDRESS(INDEX($X$2:$X$1001,MATCH(ROWS($V$2:V235),$V$2:$V$1001,0),0), INDEX($AC$1004:$AS$1004,1,MATCH(COLUMNS($AC$1006:AO1006),$AC$1006:$AS$1006,0)))),"Fix")))</f>
        <v xml:space="preserve"> </v>
      </c>
      <c r="O235" s="4" t="str">
        <f ca="1">IF(OR(INDEX($W$2:$W$1001,MATCH(ROWS($V$2:V235),$V$2:$V$1001,0),1)&gt;=100000,INDEX($AC$1005:$AS$1005,1,MATCH(COLUMNS($AC$1006:AP1006),$AC$1006:$AS$1006,0))&gt;=100000), " ",IF(INDEX($AC$2:$AS$1001,MATCH(ROWS($V$2:V235),$V$2:$V$1001,0),MATCH(COLUMNS($AC$1006:AP1006),$AC$1006:$AS$1006,0)), HYPERLINK("#",""), HYPERLINK(CONCATENATE("#metadata!", ADDRESS(INDEX($X$2:$X$1001,MATCH(ROWS($V$2:V235),$V$2:$V$1001,0),0), INDEX($AC$1004:$AS$1004,1,MATCH(COLUMNS($AC$1006:AP1006),$AC$1006:$AS$1006,0)))),"Fix")))</f>
        <v xml:space="preserve"> </v>
      </c>
      <c r="P235" s="4" t="str">
        <f ca="1">IF(OR(INDEX($W$2:$W$1001,MATCH(ROWS($V$2:V235),$V$2:$V$1001,0),1)&gt;=100000,INDEX($AC$1005:$AS$1005,1,MATCH(COLUMNS($AC$1006:AQ1006),$AC$1006:$AS$1006,0))&gt;=100000), " ",IF(INDEX($AC$2:$AS$1001,MATCH(ROWS($V$2:V235),$V$2:$V$1001,0),MATCH(COLUMNS($AC$1006:AQ1006),$AC$1006:$AS$1006,0)), HYPERLINK("#",""), HYPERLINK(CONCATENATE("#metadata!", ADDRESS(INDEX($X$2:$X$1001,MATCH(ROWS($V$2:V235),$V$2:$V$1001,0),0), INDEX($AC$1004:$AS$1004,1,MATCH(COLUMNS($AC$1006:AQ1006),$AC$1006:$AS$1006,0)))),"Fix")))</f>
        <v xml:space="preserve"> </v>
      </c>
      <c r="Q235" s="4" t="str">
        <f ca="1">IF(OR(INDEX($W$2:$W$1001,MATCH(ROWS($V$2:V235),$V$2:$V$1001,0),1)&gt;=100000,INDEX($AC$1005:$AS$1005,1,MATCH(COLUMNS($AC$1006:AR1006),$AC$1006:$AS$1006,0))&gt;=100000), " ",IF(INDEX($AC$2:$AS$1001,MATCH(ROWS($V$2:V235),$V$2:$V$1001,0),MATCH(COLUMNS($AC$1006:AR1006),$AC$1006:$AS$1006,0)), HYPERLINK("#",""), HYPERLINK(CONCATENATE("#metadata!", ADDRESS(INDEX($X$2:$X$1001,MATCH(ROWS($V$2:V235),$V$2:$V$1001,0),0), INDEX($AC$1004:$AS$1004,1,MATCH(COLUMNS($AC$1006:AR1006),$AC$1006:$AS$1006,0)))),"Fix")))</f>
        <v xml:space="preserve"> </v>
      </c>
      <c r="R235" s="4" t="str">
        <f ca="1">IF(OR(INDEX($W$2:$W$1001,MATCH(ROWS($V$2:V235),$V$2:$V$1001,0),1)&gt;=100000,INDEX($AC$1005:$AS$1005,1,MATCH(COLUMNS($AC$1006:AS1006),$AC$1006:$AS$1006,0))&gt;=100000), " ",IF(INDEX($AC$2:$AS$1001,MATCH(ROWS($V$2:V235),$V$2:$V$1001,0),MATCH(COLUMNS($AC$1006:AS1006),$AC$1006:$AS$1006,0)), HYPERLINK("#",""), HYPERLINK(CONCATENATE("#metadata!", ADDRESS(INDEX($X$2:$X$1001,MATCH(ROWS($V$2:V235),$V$2:$V$1001,0),0), INDEX($AC$1004:$AS$1004,1,MATCH(COLUMNS($AC$1006:AS1006),$AC$1006:$AS$1006,0)))),"Fix")))</f>
        <v xml:space="preserve"> </v>
      </c>
      <c r="V235">
        <v>234</v>
      </c>
      <c r="W235">
        <v>100235</v>
      </c>
      <c r="X235">
        <v>235</v>
      </c>
      <c r="Y235" t="b">
        <f t="shared" si="3"/>
        <v>1</v>
      </c>
      <c r="Z235" t="b">
        <f>COUNTBLANK(metadata!B235:R235)=COLUMNS(metadata!B235:R235)</f>
        <v>1</v>
      </c>
      <c r="AA235" t="str">
        <v/>
      </c>
      <c r="AC235" t="b">
        <f ca="1"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AD235" t="b">
        <f>IF(metadata!C235="",FALSE,ISNUMBER(VALUE(metadata!C235)))</f>
        <v>0</v>
      </c>
      <c r="AE235" t="b">
        <f>AND(IF(metadata!D235="",FALSE,TRUE),EXACT(metadata!D235,"years"))</f>
        <v>0</v>
      </c>
      <c r="AF235" t="b">
        <f>OR(AND(IF(metadata!E235="",FALSE,TRUE),OR(EXACT(metadata!E235,"not applicable"),EXACT(metadata!E235,"missing: not collected"),EXACT(metadata!E235,"missing: not provided"),EXACT(metadata!E235,"missing: restricted access"))),AND(IF(metadata!E235="",FALSE,ISNUMBER(VALUE(metadata!E235))),metadata!E235&gt;0))</f>
        <v>0</v>
      </c>
      <c r="AG235" t="b">
        <f>AND(IF(metadata!F235="",FALSE,TRUE),EXACT(metadata!F235,"Not applicable"))</f>
        <v>0</v>
      </c>
      <c r="AH235" t="b">
        <f>AND(IF(metadata!G235="",FALSE,TRUE),EXACT(metadata!G235,"urban biome"))</f>
        <v>0</v>
      </c>
      <c r="AI235" t="b">
        <f>AND(IF(metadata!H235="",FALSE,TRUE),EXACT(metadata!H235,"human-associated habitat"))</f>
        <v>0</v>
      </c>
      <c r="AJ235" t="b">
        <f>AND(IF(metadata!I235="",FALSE,TRUE),OR(EXACT(metadata!I235,"human-associated"),EXACT(metadata!I235,"human-skin"),EXACT(metadata!I235,"human-oral"),EXACT(metadata!I235,"human-gut"),EXACT(metadata!I235,"human-vaginal")))</f>
        <v>0</v>
      </c>
      <c r="AK235" t="b">
        <f>IF(metadata!J235="",FALSE,ISNUMBER(VALUE(metadata!J235)))</f>
        <v>0</v>
      </c>
      <c r="AL235" t="b">
        <f>AND(IF(metadata!K235="",FALSE,TRUE),EXACT(metadata!K235,"cm"))</f>
        <v>0</v>
      </c>
      <c r="AM235" t="b">
        <f>AND(IF(metadata!L235="",FALSE,TRUE),EXACT(metadata!L235,"human"))</f>
        <v>0</v>
      </c>
      <c r="AN235" t="b">
        <f>AND(IF(metadata!M235="",FALSE,TRUE),EXACT(metadata!M235,"Homo sapiens"))</f>
        <v>0</v>
      </c>
      <c r="AO235" t="b">
        <f>AND(IF(metadata!N235="",FALSE,TRUE),EXACT(metadata!N235,"9606"))</f>
        <v>0</v>
      </c>
      <c r="AP235" t="b">
        <f>IF(metadata!O235="",FALSE,TRUE)</f>
        <v>0</v>
      </c>
      <c r="AQ235" t="b">
        <f>IF(metadata!P235="",FALSE,TRUE)</f>
        <v>0</v>
      </c>
      <c r="AR235" t="b">
        <f>IF(metadata!Q235="",FALSE,ISNUMBER(VALUE(metadata!Q235)))</f>
        <v>0</v>
      </c>
      <c r="AS235" t="b">
        <f>AND(IF(metadata!R235="",FALSE,TRUE),EXACT(metadata!R235,"kg"))</f>
        <v>0</v>
      </c>
    </row>
    <row r="236" spans="1:45" x14ac:dyDescent="0.2">
      <c r="A236" s="5" t="str">
        <f ca="1">IF(B236=" "," ",HYPERLINK(CONCATENATE("#metadata!",ADDRESS(INDEX($X$2:$X$1001,MATCH(ROWS($V$2:V236),$V$2:$V$1001,0),0),1)),INDEX($AA$2:$AA$1001,MATCH(ROWS($V$2:V236),$V$2:$V$1001,0),0)))</f>
        <v xml:space="preserve"> </v>
      </c>
      <c r="B236" s="4" t="str">
        <f ca="1">IF(OR(INDEX($W$2:$W$1001,MATCH(ROWS($V$2:V236),$V$2:$V$1001,0),1)&gt;=100000,INDEX($AC$1005:$AS$1005,1,MATCH(COLUMNS($AC$1006:AC1006),$AC$1006:$AS$1006,0))&gt;=100000), " ",IF(INDEX($AC$2:$AS$1001,MATCH(ROWS($V$2:V236),$V$2:$V$1001,0),MATCH(COLUMNS($AC$1006:AC1006),$AC$1006:$AS$1006,0)), HYPERLINK("#",""), HYPERLINK(CONCATENATE("#metadata!", ADDRESS(INDEX($X$2:$X$1001,MATCH(ROWS($V$2:V236),$V$2:$V$1001,0),0), INDEX($AC$1004:$AS$1004,1,MATCH(COLUMNS($AC$1006:AC1006),$AC$1006:$AS$1006,0)))),"Fix")))</f>
        <v xml:space="preserve"> </v>
      </c>
      <c r="C236" s="4" t="str">
        <f ca="1">IF(OR(INDEX($W$2:$W$1001,MATCH(ROWS($V$2:V236),$V$2:$V$1001,0),1)&gt;=100000,INDEX($AC$1005:$AS$1005,1,MATCH(COLUMNS($AC$1006:AD1006),$AC$1006:$AS$1006,0))&gt;=100000), " ",IF(INDEX($AC$2:$AS$1001,MATCH(ROWS($V$2:V236),$V$2:$V$1001,0),MATCH(COLUMNS($AC$1006:AD1006),$AC$1006:$AS$1006,0)), HYPERLINK("#",""), HYPERLINK(CONCATENATE("#metadata!", ADDRESS(INDEX($X$2:$X$1001,MATCH(ROWS($V$2:V236),$V$2:$V$1001,0),0), INDEX($AC$1004:$AS$1004,1,MATCH(COLUMNS($AC$1006:AD1006),$AC$1006:$AS$1006,0)))),"Fix")))</f>
        <v xml:space="preserve"> </v>
      </c>
      <c r="D236" s="4" t="str">
        <f ca="1">IF(OR(INDEX($W$2:$W$1001,MATCH(ROWS($V$2:V236),$V$2:$V$1001,0),1)&gt;=100000,INDEX($AC$1005:$AS$1005,1,MATCH(COLUMNS($AC$1006:AE1006),$AC$1006:$AS$1006,0))&gt;=100000), " ",IF(INDEX($AC$2:$AS$1001,MATCH(ROWS($V$2:V236),$V$2:$V$1001,0),MATCH(COLUMNS($AC$1006:AE1006),$AC$1006:$AS$1006,0)), HYPERLINK("#",""), HYPERLINK(CONCATENATE("#metadata!", ADDRESS(INDEX($X$2:$X$1001,MATCH(ROWS($V$2:V236),$V$2:$V$1001,0),0), INDEX($AC$1004:$AS$1004,1,MATCH(COLUMNS($AC$1006:AE1006),$AC$1006:$AS$1006,0)))),"Fix")))</f>
        <v xml:space="preserve"> </v>
      </c>
      <c r="E236" s="4" t="str">
        <f ca="1">IF(OR(INDEX($W$2:$W$1001,MATCH(ROWS($V$2:V236),$V$2:$V$1001,0),1)&gt;=100000,INDEX($AC$1005:$AS$1005,1,MATCH(COLUMNS($AC$1006:AF1006),$AC$1006:$AS$1006,0))&gt;=100000), " ",IF(INDEX($AC$2:$AS$1001,MATCH(ROWS($V$2:V236),$V$2:$V$1001,0),MATCH(COLUMNS($AC$1006:AF1006),$AC$1006:$AS$1006,0)), HYPERLINK("#",""), HYPERLINK(CONCATENATE("#metadata!", ADDRESS(INDEX($X$2:$X$1001,MATCH(ROWS($V$2:V236),$V$2:$V$1001,0),0), INDEX($AC$1004:$AS$1004,1,MATCH(COLUMNS($AC$1006:AF1006),$AC$1006:$AS$1006,0)))),"Fix")))</f>
        <v xml:space="preserve"> </v>
      </c>
      <c r="F236" s="4" t="str">
        <f ca="1">IF(OR(INDEX($W$2:$W$1001,MATCH(ROWS($V$2:V236),$V$2:$V$1001,0),1)&gt;=100000,INDEX($AC$1005:$AS$1005,1,MATCH(COLUMNS($AC$1006:AG1006),$AC$1006:$AS$1006,0))&gt;=100000), " ",IF(INDEX($AC$2:$AS$1001,MATCH(ROWS($V$2:V236),$V$2:$V$1001,0),MATCH(COLUMNS($AC$1006:AG1006),$AC$1006:$AS$1006,0)), HYPERLINK("#",""), HYPERLINK(CONCATENATE("#metadata!", ADDRESS(INDEX($X$2:$X$1001,MATCH(ROWS($V$2:V236),$V$2:$V$1001,0),0), INDEX($AC$1004:$AS$1004,1,MATCH(COLUMNS($AC$1006:AG1006),$AC$1006:$AS$1006,0)))),"Fix")))</f>
        <v xml:space="preserve"> </v>
      </c>
      <c r="G236" s="4" t="str">
        <f ca="1">IF(OR(INDEX($W$2:$W$1001,MATCH(ROWS($V$2:V236),$V$2:$V$1001,0),1)&gt;=100000,INDEX($AC$1005:$AS$1005,1,MATCH(COLUMNS($AC$1006:AH1006),$AC$1006:$AS$1006,0))&gt;=100000), " ",IF(INDEX($AC$2:$AS$1001,MATCH(ROWS($V$2:V236),$V$2:$V$1001,0),MATCH(COLUMNS($AC$1006:AH1006),$AC$1006:$AS$1006,0)), HYPERLINK("#",""), HYPERLINK(CONCATENATE("#metadata!", ADDRESS(INDEX($X$2:$X$1001,MATCH(ROWS($V$2:V236),$V$2:$V$1001,0),0), INDEX($AC$1004:$AS$1004,1,MATCH(COLUMNS($AC$1006:AH1006),$AC$1006:$AS$1006,0)))),"Fix")))</f>
        <v xml:space="preserve"> </v>
      </c>
      <c r="H236" s="4" t="str">
        <f ca="1">IF(OR(INDEX($W$2:$W$1001,MATCH(ROWS($V$2:V236),$V$2:$V$1001,0),1)&gt;=100000,INDEX($AC$1005:$AS$1005,1,MATCH(COLUMNS($AC$1006:AI1006),$AC$1006:$AS$1006,0))&gt;=100000), " ",IF(INDEX($AC$2:$AS$1001,MATCH(ROWS($V$2:V236),$V$2:$V$1001,0),MATCH(COLUMNS($AC$1006:AI1006),$AC$1006:$AS$1006,0)), HYPERLINK("#",""), HYPERLINK(CONCATENATE("#metadata!", ADDRESS(INDEX($X$2:$X$1001,MATCH(ROWS($V$2:V236),$V$2:$V$1001,0),0), INDEX($AC$1004:$AS$1004,1,MATCH(COLUMNS($AC$1006:AI1006),$AC$1006:$AS$1006,0)))),"Fix")))</f>
        <v xml:space="preserve"> </v>
      </c>
      <c r="I236" s="4" t="str">
        <f ca="1">IF(OR(INDEX($W$2:$W$1001,MATCH(ROWS($V$2:V236),$V$2:$V$1001,0),1)&gt;=100000,INDEX($AC$1005:$AS$1005,1,MATCH(COLUMNS($AC$1006:AJ1006),$AC$1006:$AS$1006,0))&gt;=100000), " ",IF(INDEX($AC$2:$AS$1001,MATCH(ROWS($V$2:V236),$V$2:$V$1001,0),MATCH(COLUMNS($AC$1006:AJ1006),$AC$1006:$AS$1006,0)), HYPERLINK("#",""), HYPERLINK(CONCATENATE("#metadata!", ADDRESS(INDEX($X$2:$X$1001,MATCH(ROWS($V$2:V236),$V$2:$V$1001,0),0), INDEX($AC$1004:$AS$1004,1,MATCH(COLUMNS($AC$1006:AJ1006),$AC$1006:$AS$1006,0)))),"Fix")))</f>
        <v xml:space="preserve"> </v>
      </c>
      <c r="J236" s="4" t="str">
        <f ca="1">IF(OR(INDEX($W$2:$W$1001,MATCH(ROWS($V$2:V236),$V$2:$V$1001,0),1)&gt;=100000,INDEX($AC$1005:$AS$1005,1,MATCH(COLUMNS($AC$1006:AK1006),$AC$1006:$AS$1006,0))&gt;=100000), " ",IF(INDEX($AC$2:$AS$1001,MATCH(ROWS($V$2:V236),$V$2:$V$1001,0),MATCH(COLUMNS($AC$1006:AK1006),$AC$1006:$AS$1006,0)), HYPERLINK("#",""), HYPERLINK(CONCATENATE("#metadata!", ADDRESS(INDEX($X$2:$X$1001,MATCH(ROWS($V$2:V236),$V$2:$V$1001,0),0), INDEX($AC$1004:$AS$1004,1,MATCH(COLUMNS($AC$1006:AK1006),$AC$1006:$AS$1006,0)))),"Fix")))</f>
        <v xml:space="preserve"> </v>
      </c>
      <c r="K236" s="4" t="str">
        <f ca="1">IF(OR(INDEX($W$2:$W$1001,MATCH(ROWS($V$2:V236),$V$2:$V$1001,0),1)&gt;=100000,INDEX($AC$1005:$AS$1005,1,MATCH(COLUMNS($AC$1006:AL1006),$AC$1006:$AS$1006,0))&gt;=100000), " ",IF(INDEX($AC$2:$AS$1001,MATCH(ROWS($V$2:V236),$V$2:$V$1001,0),MATCH(COLUMNS($AC$1006:AL1006),$AC$1006:$AS$1006,0)), HYPERLINK("#",""), HYPERLINK(CONCATENATE("#metadata!", ADDRESS(INDEX($X$2:$X$1001,MATCH(ROWS($V$2:V236),$V$2:$V$1001,0),0), INDEX($AC$1004:$AS$1004,1,MATCH(COLUMNS($AC$1006:AL1006),$AC$1006:$AS$1006,0)))),"Fix")))</f>
        <v xml:space="preserve"> </v>
      </c>
      <c r="L236" s="4" t="str">
        <f ca="1">IF(OR(INDEX($W$2:$W$1001,MATCH(ROWS($V$2:V236),$V$2:$V$1001,0),1)&gt;=100000,INDEX($AC$1005:$AS$1005,1,MATCH(COLUMNS($AC$1006:AM1006),$AC$1006:$AS$1006,0))&gt;=100000), " ",IF(INDEX($AC$2:$AS$1001,MATCH(ROWS($V$2:V236),$V$2:$V$1001,0),MATCH(COLUMNS($AC$1006:AM1006),$AC$1006:$AS$1006,0)), HYPERLINK("#",""), HYPERLINK(CONCATENATE("#metadata!", ADDRESS(INDEX($X$2:$X$1001,MATCH(ROWS($V$2:V236),$V$2:$V$1001,0),0), INDEX($AC$1004:$AS$1004,1,MATCH(COLUMNS($AC$1006:AM1006),$AC$1006:$AS$1006,0)))),"Fix")))</f>
        <v xml:space="preserve"> </v>
      </c>
      <c r="M236" s="4" t="str">
        <f ca="1">IF(OR(INDEX($W$2:$W$1001,MATCH(ROWS($V$2:V236),$V$2:$V$1001,0),1)&gt;=100000,INDEX($AC$1005:$AS$1005,1,MATCH(COLUMNS($AC$1006:AN1006),$AC$1006:$AS$1006,0))&gt;=100000), " ",IF(INDEX($AC$2:$AS$1001,MATCH(ROWS($V$2:V236),$V$2:$V$1001,0),MATCH(COLUMNS($AC$1006:AN1006),$AC$1006:$AS$1006,0)), HYPERLINK("#",""), HYPERLINK(CONCATENATE("#metadata!", ADDRESS(INDEX($X$2:$X$1001,MATCH(ROWS($V$2:V236),$V$2:$V$1001,0),0), INDEX($AC$1004:$AS$1004,1,MATCH(COLUMNS($AC$1006:AN1006),$AC$1006:$AS$1006,0)))),"Fix")))</f>
        <v xml:space="preserve"> </v>
      </c>
      <c r="N236" s="4" t="str">
        <f ca="1">IF(OR(INDEX($W$2:$W$1001,MATCH(ROWS($V$2:V236),$V$2:$V$1001,0),1)&gt;=100000,INDEX($AC$1005:$AS$1005,1,MATCH(COLUMNS($AC$1006:AO1006),$AC$1006:$AS$1006,0))&gt;=100000), " ",IF(INDEX($AC$2:$AS$1001,MATCH(ROWS($V$2:V236),$V$2:$V$1001,0),MATCH(COLUMNS($AC$1006:AO1006),$AC$1006:$AS$1006,0)), HYPERLINK("#",""), HYPERLINK(CONCATENATE("#metadata!", ADDRESS(INDEX($X$2:$X$1001,MATCH(ROWS($V$2:V236),$V$2:$V$1001,0),0), INDEX($AC$1004:$AS$1004,1,MATCH(COLUMNS($AC$1006:AO1006),$AC$1006:$AS$1006,0)))),"Fix")))</f>
        <v xml:space="preserve"> </v>
      </c>
      <c r="O236" s="4" t="str">
        <f ca="1">IF(OR(INDEX($W$2:$W$1001,MATCH(ROWS($V$2:V236),$V$2:$V$1001,0),1)&gt;=100000,INDEX($AC$1005:$AS$1005,1,MATCH(COLUMNS($AC$1006:AP1006),$AC$1006:$AS$1006,0))&gt;=100000), " ",IF(INDEX($AC$2:$AS$1001,MATCH(ROWS($V$2:V236),$V$2:$V$1001,0),MATCH(COLUMNS($AC$1006:AP1006),$AC$1006:$AS$1006,0)), HYPERLINK("#",""), HYPERLINK(CONCATENATE("#metadata!", ADDRESS(INDEX($X$2:$X$1001,MATCH(ROWS($V$2:V236),$V$2:$V$1001,0),0), INDEX($AC$1004:$AS$1004,1,MATCH(COLUMNS($AC$1006:AP1006),$AC$1006:$AS$1006,0)))),"Fix")))</f>
        <v xml:space="preserve"> </v>
      </c>
      <c r="P236" s="4" t="str">
        <f ca="1">IF(OR(INDEX($W$2:$W$1001,MATCH(ROWS($V$2:V236),$V$2:$V$1001,0),1)&gt;=100000,INDEX($AC$1005:$AS$1005,1,MATCH(COLUMNS($AC$1006:AQ1006),$AC$1006:$AS$1006,0))&gt;=100000), " ",IF(INDEX($AC$2:$AS$1001,MATCH(ROWS($V$2:V236),$V$2:$V$1001,0),MATCH(COLUMNS($AC$1006:AQ1006),$AC$1006:$AS$1006,0)), HYPERLINK("#",""), HYPERLINK(CONCATENATE("#metadata!", ADDRESS(INDEX($X$2:$X$1001,MATCH(ROWS($V$2:V236),$V$2:$V$1001,0),0), INDEX($AC$1004:$AS$1004,1,MATCH(COLUMNS($AC$1006:AQ1006),$AC$1006:$AS$1006,0)))),"Fix")))</f>
        <v xml:space="preserve"> </v>
      </c>
      <c r="Q236" s="4" t="str">
        <f ca="1">IF(OR(INDEX($W$2:$W$1001,MATCH(ROWS($V$2:V236),$V$2:$V$1001,0),1)&gt;=100000,INDEX($AC$1005:$AS$1005,1,MATCH(COLUMNS($AC$1006:AR1006),$AC$1006:$AS$1006,0))&gt;=100000), " ",IF(INDEX($AC$2:$AS$1001,MATCH(ROWS($V$2:V236),$V$2:$V$1001,0),MATCH(COLUMNS($AC$1006:AR1006),$AC$1006:$AS$1006,0)), HYPERLINK("#",""), HYPERLINK(CONCATENATE("#metadata!", ADDRESS(INDEX($X$2:$X$1001,MATCH(ROWS($V$2:V236),$V$2:$V$1001,0),0), INDEX($AC$1004:$AS$1004,1,MATCH(COLUMNS($AC$1006:AR1006),$AC$1006:$AS$1006,0)))),"Fix")))</f>
        <v xml:space="preserve"> </v>
      </c>
      <c r="R236" s="4" t="str">
        <f ca="1">IF(OR(INDEX($W$2:$W$1001,MATCH(ROWS($V$2:V236),$V$2:$V$1001,0),1)&gt;=100000,INDEX($AC$1005:$AS$1005,1,MATCH(COLUMNS($AC$1006:AS1006),$AC$1006:$AS$1006,0))&gt;=100000), " ",IF(INDEX($AC$2:$AS$1001,MATCH(ROWS($V$2:V236),$V$2:$V$1001,0),MATCH(COLUMNS($AC$1006:AS1006),$AC$1006:$AS$1006,0)), HYPERLINK("#",""), HYPERLINK(CONCATENATE("#metadata!", ADDRESS(INDEX($X$2:$X$1001,MATCH(ROWS($V$2:V236),$V$2:$V$1001,0),0), INDEX($AC$1004:$AS$1004,1,MATCH(COLUMNS($AC$1006:AS1006),$AC$1006:$AS$1006,0)))),"Fix")))</f>
        <v xml:space="preserve"> </v>
      </c>
      <c r="V236">
        <v>235</v>
      </c>
      <c r="W236">
        <v>100236</v>
      </c>
      <c r="X236">
        <v>236</v>
      </c>
      <c r="Y236" t="b">
        <f t="shared" si="3"/>
        <v>1</v>
      </c>
      <c r="Z236" t="b">
        <f>COUNTBLANK(metadata!B236:R236)=COLUMNS(metadata!B236:R236)</f>
        <v>1</v>
      </c>
      <c r="AA236" t="str">
        <v/>
      </c>
      <c r="AC236" t="b">
        <f ca="1"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AD236" t="b">
        <f>IF(metadata!C236="",FALSE,ISNUMBER(VALUE(metadata!C236)))</f>
        <v>0</v>
      </c>
      <c r="AE236" t="b">
        <f>AND(IF(metadata!D236="",FALSE,TRUE),EXACT(metadata!D236,"years"))</f>
        <v>0</v>
      </c>
      <c r="AF236" t="b">
        <f>OR(AND(IF(metadata!E236="",FALSE,TRUE),OR(EXACT(metadata!E236,"not applicable"),EXACT(metadata!E236,"missing: not collected"),EXACT(metadata!E236,"missing: not provided"),EXACT(metadata!E236,"missing: restricted access"))),AND(IF(metadata!E236="",FALSE,ISNUMBER(VALUE(metadata!E236))),metadata!E236&gt;0))</f>
        <v>0</v>
      </c>
      <c r="AG236" t="b">
        <f>AND(IF(metadata!F236="",FALSE,TRUE),EXACT(metadata!F236,"Not applicable"))</f>
        <v>0</v>
      </c>
      <c r="AH236" t="b">
        <f>AND(IF(metadata!G236="",FALSE,TRUE),EXACT(metadata!G236,"urban biome"))</f>
        <v>0</v>
      </c>
      <c r="AI236" t="b">
        <f>AND(IF(metadata!H236="",FALSE,TRUE),EXACT(metadata!H236,"human-associated habitat"))</f>
        <v>0</v>
      </c>
      <c r="AJ236" t="b">
        <f>AND(IF(metadata!I236="",FALSE,TRUE),OR(EXACT(metadata!I236,"human-associated"),EXACT(metadata!I236,"human-skin"),EXACT(metadata!I236,"human-oral"),EXACT(metadata!I236,"human-gut"),EXACT(metadata!I236,"human-vaginal")))</f>
        <v>0</v>
      </c>
      <c r="AK236" t="b">
        <f>IF(metadata!J236="",FALSE,ISNUMBER(VALUE(metadata!J236)))</f>
        <v>0</v>
      </c>
      <c r="AL236" t="b">
        <f>AND(IF(metadata!K236="",FALSE,TRUE),EXACT(metadata!K236,"cm"))</f>
        <v>0</v>
      </c>
      <c r="AM236" t="b">
        <f>AND(IF(metadata!L236="",FALSE,TRUE),EXACT(metadata!L236,"human"))</f>
        <v>0</v>
      </c>
      <c r="AN236" t="b">
        <f>AND(IF(metadata!M236="",FALSE,TRUE),EXACT(metadata!M236,"Homo sapiens"))</f>
        <v>0</v>
      </c>
      <c r="AO236" t="b">
        <f>AND(IF(metadata!N236="",FALSE,TRUE),EXACT(metadata!N236,"9606"))</f>
        <v>0</v>
      </c>
      <c r="AP236" t="b">
        <f>IF(metadata!O236="",FALSE,TRUE)</f>
        <v>0</v>
      </c>
      <c r="AQ236" t="b">
        <f>IF(metadata!P236="",FALSE,TRUE)</f>
        <v>0</v>
      </c>
      <c r="AR236" t="b">
        <f>IF(metadata!Q236="",FALSE,ISNUMBER(VALUE(metadata!Q236)))</f>
        <v>0</v>
      </c>
      <c r="AS236" t="b">
        <f>AND(IF(metadata!R236="",FALSE,TRUE),EXACT(metadata!R236,"kg"))</f>
        <v>0</v>
      </c>
    </row>
    <row r="237" spans="1:45" x14ac:dyDescent="0.2">
      <c r="A237" s="5" t="str">
        <f ca="1">IF(B237=" "," ",HYPERLINK(CONCATENATE("#metadata!",ADDRESS(INDEX($X$2:$X$1001,MATCH(ROWS($V$2:V237),$V$2:$V$1001,0),0),1)),INDEX($AA$2:$AA$1001,MATCH(ROWS($V$2:V237),$V$2:$V$1001,0),0)))</f>
        <v xml:space="preserve"> </v>
      </c>
      <c r="B237" s="4" t="str">
        <f ca="1">IF(OR(INDEX($W$2:$W$1001,MATCH(ROWS($V$2:V237),$V$2:$V$1001,0),1)&gt;=100000,INDEX($AC$1005:$AS$1005,1,MATCH(COLUMNS($AC$1006:AC1006),$AC$1006:$AS$1006,0))&gt;=100000), " ",IF(INDEX($AC$2:$AS$1001,MATCH(ROWS($V$2:V237),$V$2:$V$1001,0),MATCH(COLUMNS($AC$1006:AC1006),$AC$1006:$AS$1006,0)), HYPERLINK("#",""), HYPERLINK(CONCATENATE("#metadata!", ADDRESS(INDEX($X$2:$X$1001,MATCH(ROWS($V$2:V237),$V$2:$V$1001,0),0), INDEX($AC$1004:$AS$1004,1,MATCH(COLUMNS($AC$1006:AC1006),$AC$1006:$AS$1006,0)))),"Fix")))</f>
        <v xml:space="preserve"> </v>
      </c>
      <c r="C237" s="4" t="str">
        <f ca="1">IF(OR(INDEX($W$2:$W$1001,MATCH(ROWS($V$2:V237),$V$2:$V$1001,0),1)&gt;=100000,INDEX($AC$1005:$AS$1005,1,MATCH(COLUMNS($AC$1006:AD1006),$AC$1006:$AS$1006,0))&gt;=100000), " ",IF(INDEX($AC$2:$AS$1001,MATCH(ROWS($V$2:V237),$V$2:$V$1001,0),MATCH(COLUMNS($AC$1006:AD1006),$AC$1006:$AS$1006,0)), HYPERLINK("#",""), HYPERLINK(CONCATENATE("#metadata!", ADDRESS(INDEX($X$2:$X$1001,MATCH(ROWS($V$2:V237),$V$2:$V$1001,0),0), INDEX($AC$1004:$AS$1004,1,MATCH(COLUMNS($AC$1006:AD1006),$AC$1006:$AS$1006,0)))),"Fix")))</f>
        <v xml:space="preserve"> </v>
      </c>
      <c r="D237" s="4" t="str">
        <f ca="1">IF(OR(INDEX($W$2:$W$1001,MATCH(ROWS($V$2:V237),$V$2:$V$1001,0),1)&gt;=100000,INDEX($AC$1005:$AS$1005,1,MATCH(COLUMNS($AC$1006:AE1006),$AC$1006:$AS$1006,0))&gt;=100000), " ",IF(INDEX($AC$2:$AS$1001,MATCH(ROWS($V$2:V237),$V$2:$V$1001,0),MATCH(COLUMNS($AC$1006:AE1006),$AC$1006:$AS$1006,0)), HYPERLINK("#",""), HYPERLINK(CONCATENATE("#metadata!", ADDRESS(INDEX($X$2:$X$1001,MATCH(ROWS($V$2:V237),$V$2:$V$1001,0),0), INDEX($AC$1004:$AS$1004,1,MATCH(COLUMNS($AC$1006:AE1006),$AC$1006:$AS$1006,0)))),"Fix")))</f>
        <v xml:space="preserve"> </v>
      </c>
      <c r="E237" s="4" t="str">
        <f ca="1">IF(OR(INDEX($W$2:$W$1001,MATCH(ROWS($V$2:V237),$V$2:$V$1001,0),1)&gt;=100000,INDEX($AC$1005:$AS$1005,1,MATCH(COLUMNS($AC$1006:AF1006),$AC$1006:$AS$1006,0))&gt;=100000), " ",IF(INDEX($AC$2:$AS$1001,MATCH(ROWS($V$2:V237),$V$2:$V$1001,0),MATCH(COLUMNS($AC$1006:AF1006),$AC$1006:$AS$1006,0)), HYPERLINK("#",""), HYPERLINK(CONCATENATE("#metadata!", ADDRESS(INDEX($X$2:$X$1001,MATCH(ROWS($V$2:V237),$V$2:$V$1001,0),0), INDEX($AC$1004:$AS$1004,1,MATCH(COLUMNS($AC$1006:AF1006),$AC$1006:$AS$1006,0)))),"Fix")))</f>
        <v xml:space="preserve"> </v>
      </c>
      <c r="F237" s="4" t="str">
        <f ca="1">IF(OR(INDEX($W$2:$W$1001,MATCH(ROWS($V$2:V237),$V$2:$V$1001,0),1)&gt;=100000,INDEX($AC$1005:$AS$1005,1,MATCH(COLUMNS($AC$1006:AG1006),$AC$1006:$AS$1006,0))&gt;=100000), " ",IF(INDEX($AC$2:$AS$1001,MATCH(ROWS($V$2:V237),$V$2:$V$1001,0),MATCH(COLUMNS($AC$1006:AG1006),$AC$1006:$AS$1006,0)), HYPERLINK("#",""), HYPERLINK(CONCATENATE("#metadata!", ADDRESS(INDEX($X$2:$X$1001,MATCH(ROWS($V$2:V237),$V$2:$V$1001,0),0), INDEX($AC$1004:$AS$1004,1,MATCH(COLUMNS($AC$1006:AG1006),$AC$1006:$AS$1006,0)))),"Fix")))</f>
        <v xml:space="preserve"> </v>
      </c>
      <c r="G237" s="4" t="str">
        <f ca="1">IF(OR(INDEX($W$2:$W$1001,MATCH(ROWS($V$2:V237),$V$2:$V$1001,0),1)&gt;=100000,INDEX($AC$1005:$AS$1005,1,MATCH(COLUMNS($AC$1006:AH1006),$AC$1006:$AS$1006,0))&gt;=100000), " ",IF(INDEX($AC$2:$AS$1001,MATCH(ROWS($V$2:V237),$V$2:$V$1001,0),MATCH(COLUMNS($AC$1006:AH1006),$AC$1006:$AS$1006,0)), HYPERLINK("#",""), HYPERLINK(CONCATENATE("#metadata!", ADDRESS(INDEX($X$2:$X$1001,MATCH(ROWS($V$2:V237),$V$2:$V$1001,0),0), INDEX($AC$1004:$AS$1004,1,MATCH(COLUMNS($AC$1006:AH1006),$AC$1006:$AS$1006,0)))),"Fix")))</f>
        <v xml:space="preserve"> </v>
      </c>
      <c r="H237" s="4" t="str">
        <f ca="1">IF(OR(INDEX($W$2:$W$1001,MATCH(ROWS($V$2:V237),$V$2:$V$1001,0),1)&gt;=100000,INDEX($AC$1005:$AS$1005,1,MATCH(COLUMNS($AC$1006:AI1006),$AC$1006:$AS$1006,0))&gt;=100000), " ",IF(INDEX($AC$2:$AS$1001,MATCH(ROWS($V$2:V237),$V$2:$V$1001,0),MATCH(COLUMNS($AC$1006:AI1006),$AC$1006:$AS$1006,0)), HYPERLINK("#",""), HYPERLINK(CONCATENATE("#metadata!", ADDRESS(INDEX($X$2:$X$1001,MATCH(ROWS($V$2:V237),$V$2:$V$1001,0),0), INDEX($AC$1004:$AS$1004,1,MATCH(COLUMNS($AC$1006:AI1006),$AC$1006:$AS$1006,0)))),"Fix")))</f>
        <v xml:space="preserve"> </v>
      </c>
      <c r="I237" s="4" t="str">
        <f ca="1">IF(OR(INDEX($W$2:$W$1001,MATCH(ROWS($V$2:V237),$V$2:$V$1001,0),1)&gt;=100000,INDEX($AC$1005:$AS$1005,1,MATCH(COLUMNS($AC$1006:AJ1006),$AC$1006:$AS$1006,0))&gt;=100000), " ",IF(INDEX($AC$2:$AS$1001,MATCH(ROWS($V$2:V237),$V$2:$V$1001,0),MATCH(COLUMNS($AC$1006:AJ1006),$AC$1006:$AS$1006,0)), HYPERLINK("#",""), HYPERLINK(CONCATENATE("#metadata!", ADDRESS(INDEX($X$2:$X$1001,MATCH(ROWS($V$2:V237),$V$2:$V$1001,0),0), INDEX($AC$1004:$AS$1004,1,MATCH(COLUMNS($AC$1006:AJ1006),$AC$1006:$AS$1006,0)))),"Fix")))</f>
        <v xml:space="preserve"> </v>
      </c>
      <c r="J237" s="4" t="str">
        <f ca="1">IF(OR(INDEX($W$2:$W$1001,MATCH(ROWS($V$2:V237),$V$2:$V$1001,0),1)&gt;=100000,INDEX($AC$1005:$AS$1005,1,MATCH(COLUMNS($AC$1006:AK1006),$AC$1006:$AS$1006,0))&gt;=100000), " ",IF(INDEX($AC$2:$AS$1001,MATCH(ROWS($V$2:V237),$V$2:$V$1001,0),MATCH(COLUMNS($AC$1006:AK1006),$AC$1006:$AS$1006,0)), HYPERLINK("#",""), HYPERLINK(CONCATENATE("#metadata!", ADDRESS(INDEX($X$2:$X$1001,MATCH(ROWS($V$2:V237),$V$2:$V$1001,0),0), INDEX($AC$1004:$AS$1004,1,MATCH(COLUMNS($AC$1006:AK1006),$AC$1006:$AS$1006,0)))),"Fix")))</f>
        <v xml:space="preserve"> </v>
      </c>
      <c r="K237" s="4" t="str">
        <f ca="1">IF(OR(INDEX($W$2:$W$1001,MATCH(ROWS($V$2:V237),$V$2:$V$1001,0),1)&gt;=100000,INDEX($AC$1005:$AS$1005,1,MATCH(COLUMNS($AC$1006:AL1006),$AC$1006:$AS$1006,0))&gt;=100000), " ",IF(INDEX($AC$2:$AS$1001,MATCH(ROWS($V$2:V237),$V$2:$V$1001,0),MATCH(COLUMNS($AC$1006:AL1006),$AC$1006:$AS$1006,0)), HYPERLINK("#",""), HYPERLINK(CONCATENATE("#metadata!", ADDRESS(INDEX($X$2:$X$1001,MATCH(ROWS($V$2:V237),$V$2:$V$1001,0),0), INDEX($AC$1004:$AS$1004,1,MATCH(COLUMNS($AC$1006:AL1006),$AC$1006:$AS$1006,0)))),"Fix")))</f>
        <v xml:space="preserve"> </v>
      </c>
      <c r="L237" s="4" t="str">
        <f ca="1">IF(OR(INDEX($W$2:$W$1001,MATCH(ROWS($V$2:V237),$V$2:$V$1001,0),1)&gt;=100000,INDEX($AC$1005:$AS$1005,1,MATCH(COLUMNS($AC$1006:AM1006),$AC$1006:$AS$1006,0))&gt;=100000), " ",IF(INDEX($AC$2:$AS$1001,MATCH(ROWS($V$2:V237),$V$2:$V$1001,0),MATCH(COLUMNS($AC$1006:AM1006),$AC$1006:$AS$1006,0)), HYPERLINK("#",""), HYPERLINK(CONCATENATE("#metadata!", ADDRESS(INDEX($X$2:$X$1001,MATCH(ROWS($V$2:V237),$V$2:$V$1001,0),0), INDEX($AC$1004:$AS$1004,1,MATCH(COLUMNS($AC$1006:AM1006),$AC$1006:$AS$1006,0)))),"Fix")))</f>
        <v xml:space="preserve"> </v>
      </c>
      <c r="M237" s="4" t="str">
        <f ca="1">IF(OR(INDEX($W$2:$W$1001,MATCH(ROWS($V$2:V237),$V$2:$V$1001,0),1)&gt;=100000,INDEX($AC$1005:$AS$1005,1,MATCH(COLUMNS($AC$1006:AN1006),$AC$1006:$AS$1006,0))&gt;=100000), " ",IF(INDEX($AC$2:$AS$1001,MATCH(ROWS($V$2:V237),$V$2:$V$1001,0),MATCH(COLUMNS($AC$1006:AN1006),$AC$1006:$AS$1006,0)), HYPERLINK("#",""), HYPERLINK(CONCATENATE("#metadata!", ADDRESS(INDEX($X$2:$X$1001,MATCH(ROWS($V$2:V237),$V$2:$V$1001,0),0), INDEX($AC$1004:$AS$1004,1,MATCH(COLUMNS($AC$1006:AN1006),$AC$1006:$AS$1006,0)))),"Fix")))</f>
        <v xml:space="preserve"> </v>
      </c>
      <c r="N237" s="4" t="str">
        <f ca="1">IF(OR(INDEX($W$2:$W$1001,MATCH(ROWS($V$2:V237),$V$2:$V$1001,0),1)&gt;=100000,INDEX($AC$1005:$AS$1005,1,MATCH(COLUMNS($AC$1006:AO1006),$AC$1006:$AS$1006,0))&gt;=100000), " ",IF(INDEX($AC$2:$AS$1001,MATCH(ROWS($V$2:V237),$V$2:$V$1001,0),MATCH(COLUMNS($AC$1006:AO1006),$AC$1006:$AS$1006,0)), HYPERLINK("#",""), HYPERLINK(CONCATENATE("#metadata!", ADDRESS(INDEX($X$2:$X$1001,MATCH(ROWS($V$2:V237),$V$2:$V$1001,0),0), INDEX($AC$1004:$AS$1004,1,MATCH(COLUMNS($AC$1006:AO1006),$AC$1006:$AS$1006,0)))),"Fix")))</f>
        <v xml:space="preserve"> </v>
      </c>
      <c r="O237" s="4" t="str">
        <f ca="1">IF(OR(INDEX($W$2:$W$1001,MATCH(ROWS($V$2:V237),$V$2:$V$1001,0),1)&gt;=100000,INDEX($AC$1005:$AS$1005,1,MATCH(COLUMNS($AC$1006:AP1006),$AC$1006:$AS$1006,0))&gt;=100000), " ",IF(INDEX($AC$2:$AS$1001,MATCH(ROWS($V$2:V237),$V$2:$V$1001,0),MATCH(COLUMNS($AC$1006:AP1006),$AC$1006:$AS$1006,0)), HYPERLINK("#",""), HYPERLINK(CONCATENATE("#metadata!", ADDRESS(INDEX($X$2:$X$1001,MATCH(ROWS($V$2:V237),$V$2:$V$1001,0),0), INDEX($AC$1004:$AS$1004,1,MATCH(COLUMNS($AC$1006:AP1006),$AC$1006:$AS$1006,0)))),"Fix")))</f>
        <v xml:space="preserve"> </v>
      </c>
      <c r="P237" s="4" t="str">
        <f ca="1">IF(OR(INDEX($W$2:$W$1001,MATCH(ROWS($V$2:V237),$V$2:$V$1001,0),1)&gt;=100000,INDEX($AC$1005:$AS$1005,1,MATCH(COLUMNS($AC$1006:AQ1006),$AC$1006:$AS$1006,0))&gt;=100000), " ",IF(INDEX($AC$2:$AS$1001,MATCH(ROWS($V$2:V237),$V$2:$V$1001,0),MATCH(COLUMNS($AC$1006:AQ1006),$AC$1006:$AS$1006,0)), HYPERLINK("#",""), HYPERLINK(CONCATENATE("#metadata!", ADDRESS(INDEX($X$2:$X$1001,MATCH(ROWS($V$2:V237),$V$2:$V$1001,0),0), INDEX($AC$1004:$AS$1004,1,MATCH(COLUMNS($AC$1006:AQ1006),$AC$1006:$AS$1006,0)))),"Fix")))</f>
        <v xml:space="preserve"> </v>
      </c>
      <c r="Q237" s="4" t="str">
        <f ca="1">IF(OR(INDEX($W$2:$W$1001,MATCH(ROWS($V$2:V237),$V$2:$V$1001,0),1)&gt;=100000,INDEX($AC$1005:$AS$1005,1,MATCH(COLUMNS($AC$1006:AR1006),$AC$1006:$AS$1006,0))&gt;=100000), " ",IF(INDEX($AC$2:$AS$1001,MATCH(ROWS($V$2:V237),$V$2:$V$1001,0),MATCH(COLUMNS($AC$1006:AR1006),$AC$1006:$AS$1006,0)), HYPERLINK("#",""), HYPERLINK(CONCATENATE("#metadata!", ADDRESS(INDEX($X$2:$X$1001,MATCH(ROWS($V$2:V237),$V$2:$V$1001,0),0), INDEX($AC$1004:$AS$1004,1,MATCH(COLUMNS($AC$1006:AR1006),$AC$1006:$AS$1006,0)))),"Fix")))</f>
        <v xml:space="preserve"> </v>
      </c>
      <c r="R237" s="4" t="str">
        <f ca="1">IF(OR(INDEX($W$2:$W$1001,MATCH(ROWS($V$2:V237),$V$2:$V$1001,0),1)&gt;=100000,INDEX($AC$1005:$AS$1005,1,MATCH(COLUMNS($AC$1006:AS1006),$AC$1006:$AS$1006,0))&gt;=100000), " ",IF(INDEX($AC$2:$AS$1001,MATCH(ROWS($V$2:V237),$V$2:$V$1001,0),MATCH(COLUMNS($AC$1006:AS1006),$AC$1006:$AS$1006,0)), HYPERLINK("#",""), HYPERLINK(CONCATENATE("#metadata!", ADDRESS(INDEX($X$2:$X$1001,MATCH(ROWS($V$2:V237),$V$2:$V$1001,0),0), INDEX($AC$1004:$AS$1004,1,MATCH(COLUMNS($AC$1006:AS1006),$AC$1006:$AS$1006,0)))),"Fix")))</f>
        <v xml:space="preserve"> </v>
      </c>
      <c r="V237">
        <v>236</v>
      </c>
      <c r="W237">
        <v>100237</v>
      </c>
      <c r="X237">
        <v>237</v>
      </c>
      <c r="Y237" t="b">
        <f t="shared" si="3"/>
        <v>1</v>
      </c>
      <c r="Z237" t="b">
        <f>COUNTBLANK(metadata!B237:R237)=COLUMNS(metadata!B237:R237)</f>
        <v>1</v>
      </c>
      <c r="AA237" t="str">
        <v/>
      </c>
      <c r="AC237" t="b">
        <f ca="1"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AD237" t="b">
        <f>IF(metadata!C237="",FALSE,ISNUMBER(VALUE(metadata!C237)))</f>
        <v>0</v>
      </c>
      <c r="AE237" t="b">
        <f>AND(IF(metadata!D237="",FALSE,TRUE),EXACT(metadata!D237,"years"))</f>
        <v>0</v>
      </c>
      <c r="AF237" t="b">
        <f>OR(AND(IF(metadata!E237="",FALSE,TRUE),OR(EXACT(metadata!E237,"not applicable"),EXACT(metadata!E237,"missing: not collected"),EXACT(metadata!E237,"missing: not provided"),EXACT(metadata!E237,"missing: restricted access"))),AND(IF(metadata!E237="",FALSE,ISNUMBER(VALUE(metadata!E237))),metadata!E237&gt;0))</f>
        <v>0</v>
      </c>
      <c r="AG237" t="b">
        <f>AND(IF(metadata!F237="",FALSE,TRUE),EXACT(metadata!F237,"Not applicable"))</f>
        <v>0</v>
      </c>
      <c r="AH237" t="b">
        <f>AND(IF(metadata!G237="",FALSE,TRUE),EXACT(metadata!G237,"urban biome"))</f>
        <v>0</v>
      </c>
      <c r="AI237" t="b">
        <f>AND(IF(metadata!H237="",FALSE,TRUE),EXACT(metadata!H237,"human-associated habitat"))</f>
        <v>0</v>
      </c>
      <c r="AJ237" t="b">
        <f>AND(IF(metadata!I237="",FALSE,TRUE),OR(EXACT(metadata!I237,"human-associated"),EXACT(metadata!I237,"human-skin"),EXACT(metadata!I237,"human-oral"),EXACT(metadata!I237,"human-gut"),EXACT(metadata!I237,"human-vaginal")))</f>
        <v>0</v>
      </c>
      <c r="AK237" t="b">
        <f>IF(metadata!J237="",FALSE,ISNUMBER(VALUE(metadata!J237)))</f>
        <v>0</v>
      </c>
      <c r="AL237" t="b">
        <f>AND(IF(metadata!K237="",FALSE,TRUE),EXACT(metadata!K237,"cm"))</f>
        <v>0</v>
      </c>
      <c r="AM237" t="b">
        <f>AND(IF(metadata!L237="",FALSE,TRUE),EXACT(metadata!L237,"human"))</f>
        <v>0</v>
      </c>
      <c r="AN237" t="b">
        <f>AND(IF(metadata!M237="",FALSE,TRUE),EXACT(metadata!M237,"Homo sapiens"))</f>
        <v>0</v>
      </c>
      <c r="AO237" t="b">
        <f>AND(IF(metadata!N237="",FALSE,TRUE),EXACT(metadata!N237,"9606"))</f>
        <v>0</v>
      </c>
      <c r="AP237" t="b">
        <f>IF(metadata!O237="",FALSE,TRUE)</f>
        <v>0</v>
      </c>
      <c r="AQ237" t="b">
        <f>IF(metadata!P237="",FALSE,TRUE)</f>
        <v>0</v>
      </c>
      <c r="AR237" t="b">
        <f>IF(metadata!Q237="",FALSE,ISNUMBER(VALUE(metadata!Q237)))</f>
        <v>0</v>
      </c>
      <c r="AS237" t="b">
        <f>AND(IF(metadata!R237="",FALSE,TRUE),EXACT(metadata!R237,"kg"))</f>
        <v>0</v>
      </c>
    </row>
    <row r="238" spans="1:45" x14ac:dyDescent="0.2">
      <c r="A238" s="5" t="str">
        <f ca="1">IF(B238=" "," ",HYPERLINK(CONCATENATE("#metadata!",ADDRESS(INDEX($X$2:$X$1001,MATCH(ROWS($V$2:V238),$V$2:$V$1001,0),0),1)),INDEX($AA$2:$AA$1001,MATCH(ROWS($V$2:V238),$V$2:$V$1001,0),0)))</f>
        <v xml:space="preserve"> </v>
      </c>
      <c r="B238" s="4" t="str">
        <f ca="1">IF(OR(INDEX($W$2:$W$1001,MATCH(ROWS($V$2:V238),$V$2:$V$1001,0),1)&gt;=100000,INDEX($AC$1005:$AS$1005,1,MATCH(COLUMNS($AC$1006:AC1006),$AC$1006:$AS$1006,0))&gt;=100000), " ",IF(INDEX($AC$2:$AS$1001,MATCH(ROWS($V$2:V238),$V$2:$V$1001,0),MATCH(COLUMNS($AC$1006:AC1006),$AC$1006:$AS$1006,0)), HYPERLINK("#",""), HYPERLINK(CONCATENATE("#metadata!", ADDRESS(INDEX($X$2:$X$1001,MATCH(ROWS($V$2:V238),$V$2:$V$1001,0),0), INDEX($AC$1004:$AS$1004,1,MATCH(COLUMNS($AC$1006:AC1006),$AC$1006:$AS$1006,0)))),"Fix")))</f>
        <v xml:space="preserve"> </v>
      </c>
      <c r="C238" s="4" t="str">
        <f ca="1">IF(OR(INDEX($W$2:$W$1001,MATCH(ROWS($V$2:V238),$V$2:$V$1001,0),1)&gt;=100000,INDEX($AC$1005:$AS$1005,1,MATCH(COLUMNS($AC$1006:AD1006),$AC$1006:$AS$1006,0))&gt;=100000), " ",IF(INDEX($AC$2:$AS$1001,MATCH(ROWS($V$2:V238),$V$2:$V$1001,0),MATCH(COLUMNS($AC$1006:AD1006),$AC$1006:$AS$1006,0)), HYPERLINK("#",""), HYPERLINK(CONCATENATE("#metadata!", ADDRESS(INDEX($X$2:$X$1001,MATCH(ROWS($V$2:V238),$V$2:$V$1001,0),0), INDEX($AC$1004:$AS$1004,1,MATCH(COLUMNS($AC$1006:AD1006),$AC$1006:$AS$1006,0)))),"Fix")))</f>
        <v xml:space="preserve"> </v>
      </c>
      <c r="D238" s="4" t="str">
        <f ca="1">IF(OR(INDEX($W$2:$W$1001,MATCH(ROWS($V$2:V238),$V$2:$V$1001,0),1)&gt;=100000,INDEX($AC$1005:$AS$1005,1,MATCH(COLUMNS($AC$1006:AE1006),$AC$1006:$AS$1006,0))&gt;=100000), " ",IF(INDEX($AC$2:$AS$1001,MATCH(ROWS($V$2:V238),$V$2:$V$1001,0),MATCH(COLUMNS($AC$1006:AE1006),$AC$1006:$AS$1006,0)), HYPERLINK("#",""), HYPERLINK(CONCATENATE("#metadata!", ADDRESS(INDEX($X$2:$X$1001,MATCH(ROWS($V$2:V238),$V$2:$V$1001,0),0), INDEX($AC$1004:$AS$1004,1,MATCH(COLUMNS($AC$1006:AE1006),$AC$1006:$AS$1006,0)))),"Fix")))</f>
        <v xml:space="preserve"> </v>
      </c>
      <c r="E238" s="4" t="str">
        <f ca="1">IF(OR(INDEX($W$2:$W$1001,MATCH(ROWS($V$2:V238),$V$2:$V$1001,0),1)&gt;=100000,INDEX($AC$1005:$AS$1005,1,MATCH(COLUMNS($AC$1006:AF1006),$AC$1006:$AS$1006,0))&gt;=100000), " ",IF(INDEX($AC$2:$AS$1001,MATCH(ROWS($V$2:V238),$V$2:$V$1001,0),MATCH(COLUMNS($AC$1006:AF1006),$AC$1006:$AS$1006,0)), HYPERLINK("#",""), HYPERLINK(CONCATENATE("#metadata!", ADDRESS(INDEX($X$2:$X$1001,MATCH(ROWS($V$2:V238),$V$2:$V$1001,0),0), INDEX($AC$1004:$AS$1004,1,MATCH(COLUMNS($AC$1006:AF1006),$AC$1006:$AS$1006,0)))),"Fix")))</f>
        <v xml:space="preserve"> </v>
      </c>
      <c r="F238" s="4" t="str">
        <f ca="1">IF(OR(INDEX($W$2:$W$1001,MATCH(ROWS($V$2:V238),$V$2:$V$1001,0),1)&gt;=100000,INDEX($AC$1005:$AS$1005,1,MATCH(COLUMNS($AC$1006:AG1006),$AC$1006:$AS$1006,0))&gt;=100000), " ",IF(INDEX($AC$2:$AS$1001,MATCH(ROWS($V$2:V238),$V$2:$V$1001,0),MATCH(COLUMNS($AC$1006:AG1006),$AC$1006:$AS$1006,0)), HYPERLINK("#",""), HYPERLINK(CONCATENATE("#metadata!", ADDRESS(INDEX($X$2:$X$1001,MATCH(ROWS($V$2:V238),$V$2:$V$1001,0),0), INDEX($AC$1004:$AS$1004,1,MATCH(COLUMNS($AC$1006:AG1006),$AC$1006:$AS$1006,0)))),"Fix")))</f>
        <v xml:space="preserve"> </v>
      </c>
      <c r="G238" s="4" t="str">
        <f ca="1">IF(OR(INDEX($W$2:$W$1001,MATCH(ROWS($V$2:V238),$V$2:$V$1001,0),1)&gt;=100000,INDEX($AC$1005:$AS$1005,1,MATCH(COLUMNS($AC$1006:AH1006),$AC$1006:$AS$1006,0))&gt;=100000), " ",IF(INDEX($AC$2:$AS$1001,MATCH(ROWS($V$2:V238),$V$2:$V$1001,0),MATCH(COLUMNS($AC$1006:AH1006),$AC$1006:$AS$1006,0)), HYPERLINK("#",""), HYPERLINK(CONCATENATE("#metadata!", ADDRESS(INDEX($X$2:$X$1001,MATCH(ROWS($V$2:V238),$V$2:$V$1001,0),0), INDEX($AC$1004:$AS$1004,1,MATCH(COLUMNS($AC$1006:AH1006),$AC$1006:$AS$1006,0)))),"Fix")))</f>
        <v xml:space="preserve"> </v>
      </c>
      <c r="H238" s="4" t="str">
        <f ca="1">IF(OR(INDEX($W$2:$W$1001,MATCH(ROWS($V$2:V238),$V$2:$V$1001,0),1)&gt;=100000,INDEX($AC$1005:$AS$1005,1,MATCH(COLUMNS($AC$1006:AI1006),$AC$1006:$AS$1006,0))&gt;=100000), " ",IF(INDEX($AC$2:$AS$1001,MATCH(ROWS($V$2:V238),$V$2:$V$1001,0),MATCH(COLUMNS($AC$1006:AI1006),$AC$1006:$AS$1006,0)), HYPERLINK("#",""), HYPERLINK(CONCATENATE("#metadata!", ADDRESS(INDEX($X$2:$X$1001,MATCH(ROWS($V$2:V238),$V$2:$V$1001,0),0), INDEX($AC$1004:$AS$1004,1,MATCH(COLUMNS($AC$1006:AI1006),$AC$1006:$AS$1006,0)))),"Fix")))</f>
        <v xml:space="preserve"> </v>
      </c>
      <c r="I238" s="4" t="str">
        <f ca="1">IF(OR(INDEX($W$2:$W$1001,MATCH(ROWS($V$2:V238),$V$2:$V$1001,0),1)&gt;=100000,INDEX($AC$1005:$AS$1005,1,MATCH(COLUMNS($AC$1006:AJ1006),$AC$1006:$AS$1006,0))&gt;=100000), " ",IF(INDEX($AC$2:$AS$1001,MATCH(ROWS($V$2:V238),$V$2:$V$1001,0),MATCH(COLUMNS($AC$1006:AJ1006),$AC$1006:$AS$1006,0)), HYPERLINK("#",""), HYPERLINK(CONCATENATE("#metadata!", ADDRESS(INDEX($X$2:$X$1001,MATCH(ROWS($V$2:V238),$V$2:$V$1001,0),0), INDEX($AC$1004:$AS$1004,1,MATCH(COLUMNS($AC$1006:AJ1006),$AC$1006:$AS$1006,0)))),"Fix")))</f>
        <v xml:space="preserve"> </v>
      </c>
      <c r="J238" s="4" t="str">
        <f ca="1">IF(OR(INDEX($W$2:$W$1001,MATCH(ROWS($V$2:V238),$V$2:$V$1001,0),1)&gt;=100000,INDEX($AC$1005:$AS$1005,1,MATCH(COLUMNS($AC$1006:AK1006),$AC$1006:$AS$1006,0))&gt;=100000), " ",IF(INDEX($AC$2:$AS$1001,MATCH(ROWS($V$2:V238),$V$2:$V$1001,0),MATCH(COLUMNS($AC$1006:AK1006),$AC$1006:$AS$1006,0)), HYPERLINK("#",""), HYPERLINK(CONCATENATE("#metadata!", ADDRESS(INDEX($X$2:$X$1001,MATCH(ROWS($V$2:V238),$V$2:$V$1001,0),0), INDEX($AC$1004:$AS$1004,1,MATCH(COLUMNS($AC$1006:AK1006),$AC$1006:$AS$1006,0)))),"Fix")))</f>
        <v xml:space="preserve"> </v>
      </c>
      <c r="K238" s="4" t="str">
        <f ca="1">IF(OR(INDEX($W$2:$W$1001,MATCH(ROWS($V$2:V238),$V$2:$V$1001,0),1)&gt;=100000,INDEX($AC$1005:$AS$1005,1,MATCH(COLUMNS($AC$1006:AL1006),$AC$1006:$AS$1006,0))&gt;=100000), " ",IF(INDEX($AC$2:$AS$1001,MATCH(ROWS($V$2:V238),$V$2:$V$1001,0),MATCH(COLUMNS($AC$1006:AL1006),$AC$1006:$AS$1006,0)), HYPERLINK("#",""), HYPERLINK(CONCATENATE("#metadata!", ADDRESS(INDEX($X$2:$X$1001,MATCH(ROWS($V$2:V238),$V$2:$V$1001,0),0), INDEX($AC$1004:$AS$1004,1,MATCH(COLUMNS($AC$1006:AL1006),$AC$1006:$AS$1006,0)))),"Fix")))</f>
        <v xml:space="preserve"> </v>
      </c>
      <c r="L238" s="4" t="str">
        <f ca="1">IF(OR(INDEX($W$2:$W$1001,MATCH(ROWS($V$2:V238),$V$2:$V$1001,0),1)&gt;=100000,INDEX($AC$1005:$AS$1005,1,MATCH(COLUMNS($AC$1006:AM1006),$AC$1006:$AS$1006,0))&gt;=100000), " ",IF(INDEX($AC$2:$AS$1001,MATCH(ROWS($V$2:V238),$V$2:$V$1001,0),MATCH(COLUMNS($AC$1006:AM1006),$AC$1006:$AS$1006,0)), HYPERLINK("#",""), HYPERLINK(CONCATENATE("#metadata!", ADDRESS(INDEX($X$2:$X$1001,MATCH(ROWS($V$2:V238),$V$2:$V$1001,0),0), INDEX($AC$1004:$AS$1004,1,MATCH(COLUMNS($AC$1006:AM1006),$AC$1006:$AS$1006,0)))),"Fix")))</f>
        <v xml:space="preserve"> </v>
      </c>
      <c r="M238" s="4" t="str">
        <f ca="1">IF(OR(INDEX($W$2:$W$1001,MATCH(ROWS($V$2:V238),$V$2:$V$1001,0),1)&gt;=100000,INDEX($AC$1005:$AS$1005,1,MATCH(COLUMNS($AC$1006:AN1006),$AC$1006:$AS$1006,0))&gt;=100000), " ",IF(INDEX($AC$2:$AS$1001,MATCH(ROWS($V$2:V238),$V$2:$V$1001,0),MATCH(COLUMNS($AC$1006:AN1006),$AC$1006:$AS$1006,0)), HYPERLINK("#",""), HYPERLINK(CONCATENATE("#metadata!", ADDRESS(INDEX($X$2:$X$1001,MATCH(ROWS($V$2:V238),$V$2:$V$1001,0),0), INDEX($AC$1004:$AS$1004,1,MATCH(COLUMNS($AC$1006:AN1006),$AC$1006:$AS$1006,0)))),"Fix")))</f>
        <v xml:space="preserve"> </v>
      </c>
      <c r="N238" s="4" t="str">
        <f ca="1">IF(OR(INDEX($W$2:$W$1001,MATCH(ROWS($V$2:V238),$V$2:$V$1001,0),1)&gt;=100000,INDEX($AC$1005:$AS$1005,1,MATCH(COLUMNS($AC$1006:AO1006),$AC$1006:$AS$1006,0))&gt;=100000), " ",IF(INDEX($AC$2:$AS$1001,MATCH(ROWS($V$2:V238),$V$2:$V$1001,0),MATCH(COLUMNS($AC$1006:AO1006),$AC$1006:$AS$1006,0)), HYPERLINK("#",""), HYPERLINK(CONCATENATE("#metadata!", ADDRESS(INDEX($X$2:$X$1001,MATCH(ROWS($V$2:V238),$V$2:$V$1001,0),0), INDEX($AC$1004:$AS$1004,1,MATCH(COLUMNS($AC$1006:AO1006),$AC$1006:$AS$1006,0)))),"Fix")))</f>
        <v xml:space="preserve"> </v>
      </c>
      <c r="O238" s="4" t="str">
        <f ca="1">IF(OR(INDEX($W$2:$W$1001,MATCH(ROWS($V$2:V238),$V$2:$V$1001,0),1)&gt;=100000,INDEX($AC$1005:$AS$1005,1,MATCH(COLUMNS($AC$1006:AP1006),$AC$1006:$AS$1006,0))&gt;=100000), " ",IF(INDEX($AC$2:$AS$1001,MATCH(ROWS($V$2:V238),$V$2:$V$1001,0),MATCH(COLUMNS($AC$1006:AP1006),$AC$1006:$AS$1006,0)), HYPERLINK("#",""), HYPERLINK(CONCATENATE("#metadata!", ADDRESS(INDEX($X$2:$X$1001,MATCH(ROWS($V$2:V238),$V$2:$V$1001,0),0), INDEX($AC$1004:$AS$1004,1,MATCH(COLUMNS($AC$1006:AP1006),$AC$1006:$AS$1006,0)))),"Fix")))</f>
        <v xml:space="preserve"> </v>
      </c>
      <c r="P238" s="4" t="str">
        <f ca="1">IF(OR(INDEX($W$2:$W$1001,MATCH(ROWS($V$2:V238),$V$2:$V$1001,0),1)&gt;=100000,INDEX($AC$1005:$AS$1005,1,MATCH(COLUMNS($AC$1006:AQ1006),$AC$1006:$AS$1006,0))&gt;=100000), " ",IF(INDEX($AC$2:$AS$1001,MATCH(ROWS($V$2:V238),$V$2:$V$1001,0),MATCH(COLUMNS($AC$1006:AQ1006),$AC$1006:$AS$1006,0)), HYPERLINK("#",""), HYPERLINK(CONCATENATE("#metadata!", ADDRESS(INDEX($X$2:$X$1001,MATCH(ROWS($V$2:V238),$V$2:$V$1001,0),0), INDEX($AC$1004:$AS$1004,1,MATCH(COLUMNS($AC$1006:AQ1006),$AC$1006:$AS$1006,0)))),"Fix")))</f>
        <v xml:space="preserve"> </v>
      </c>
      <c r="Q238" s="4" t="str">
        <f ca="1">IF(OR(INDEX($W$2:$W$1001,MATCH(ROWS($V$2:V238),$V$2:$V$1001,0),1)&gt;=100000,INDEX($AC$1005:$AS$1005,1,MATCH(COLUMNS($AC$1006:AR1006),$AC$1006:$AS$1006,0))&gt;=100000), " ",IF(INDEX($AC$2:$AS$1001,MATCH(ROWS($V$2:V238),$V$2:$V$1001,0),MATCH(COLUMNS($AC$1006:AR1006),$AC$1006:$AS$1006,0)), HYPERLINK("#",""), HYPERLINK(CONCATENATE("#metadata!", ADDRESS(INDEX($X$2:$X$1001,MATCH(ROWS($V$2:V238),$V$2:$V$1001,0),0), INDEX($AC$1004:$AS$1004,1,MATCH(COLUMNS($AC$1006:AR1006),$AC$1006:$AS$1006,0)))),"Fix")))</f>
        <v xml:space="preserve"> </v>
      </c>
      <c r="R238" s="4" t="str">
        <f ca="1">IF(OR(INDEX($W$2:$W$1001,MATCH(ROWS($V$2:V238),$V$2:$V$1001,0),1)&gt;=100000,INDEX($AC$1005:$AS$1005,1,MATCH(COLUMNS($AC$1006:AS1006),$AC$1006:$AS$1006,0))&gt;=100000), " ",IF(INDEX($AC$2:$AS$1001,MATCH(ROWS($V$2:V238),$V$2:$V$1001,0),MATCH(COLUMNS($AC$1006:AS1006),$AC$1006:$AS$1006,0)), HYPERLINK("#",""), HYPERLINK(CONCATENATE("#metadata!", ADDRESS(INDEX($X$2:$X$1001,MATCH(ROWS($V$2:V238),$V$2:$V$1001,0),0), INDEX($AC$1004:$AS$1004,1,MATCH(COLUMNS($AC$1006:AS1006),$AC$1006:$AS$1006,0)))),"Fix")))</f>
        <v xml:space="preserve"> </v>
      </c>
      <c r="V238">
        <v>237</v>
      </c>
      <c r="W238">
        <v>100238</v>
      </c>
      <c r="X238">
        <v>238</v>
      </c>
      <c r="Y238" t="b">
        <f t="shared" si="3"/>
        <v>1</v>
      </c>
      <c r="Z238" t="b">
        <f>COUNTBLANK(metadata!B238:R238)=COLUMNS(metadata!B238:R238)</f>
        <v>1</v>
      </c>
      <c r="AA238" t="str">
        <v/>
      </c>
      <c r="AC238" t="b">
        <f ca="1"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AD238" t="b">
        <f>IF(metadata!C238="",FALSE,ISNUMBER(VALUE(metadata!C238)))</f>
        <v>0</v>
      </c>
      <c r="AE238" t="b">
        <f>AND(IF(metadata!D238="",FALSE,TRUE),EXACT(metadata!D238,"years"))</f>
        <v>0</v>
      </c>
      <c r="AF238" t="b">
        <f>OR(AND(IF(metadata!E238="",FALSE,TRUE),OR(EXACT(metadata!E238,"not applicable"),EXACT(metadata!E238,"missing: not collected"),EXACT(metadata!E238,"missing: not provided"),EXACT(metadata!E238,"missing: restricted access"))),AND(IF(metadata!E238="",FALSE,ISNUMBER(VALUE(metadata!E238))),metadata!E238&gt;0))</f>
        <v>0</v>
      </c>
      <c r="AG238" t="b">
        <f>AND(IF(metadata!F238="",FALSE,TRUE),EXACT(metadata!F238,"Not applicable"))</f>
        <v>0</v>
      </c>
      <c r="AH238" t="b">
        <f>AND(IF(metadata!G238="",FALSE,TRUE),EXACT(metadata!G238,"urban biome"))</f>
        <v>0</v>
      </c>
      <c r="AI238" t="b">
        <f>AND(IF(metadata!H238="",FALSE,TRUE),EXACT(metadata!H238,"human-associated habitat"))</f>
        <v>0</v>
      </c>
      <c r="AJ238" t="b">
        <f>AND(IF(metadata!I238="",FALSE,TRUE),OR(EXACT(metadata!I238,"human-associated"),EXACT(metadata!I238,"human-skin"),EXACT(metadata!I238,"human-oral"),EXACT(metadata!I238,"human-gut"),EXACT(metadata!I238,"human-vaginal")))</f>
        <v>0</v>
      </c>
      <c r="AK238" t="b">
        <f>IF(metadata!J238="",FALSE,ISNUMBER(VALUE(metadata!J238)))</f>
        <v>0</v>
      </c>
      <c r="AL238" t="b">
        <f>AND(IF(metadata!K238="",FALSE,TRUE),EXACT(metadata!K238,"cm"))</f>
        <v>0</v>
      </c>
      <c r="AM238" t="b">
        <f>AND(IF(metadata!L238="",FALSE,TRUE),EXACT(metadata!L238,"human"))</f>
        <v>0</v>
      </c>
      <c r="AN238" t="b">
        <f>AND(IF(metadata!M238="",FALSE,TRUE),EXACT(metadata!M238,"Homo sapiens"))</f>
        <v>0</v>
      </c>
      <c r="AO238" t="b">
        <f>AND(IF(metadata!N238="",FALSE,TRUE),EXACT(metadata!N238,"9606"))</f>
        <v>0</v>
      </c>
      <c r="AP238" t="b">
        <f>IF(metadata!O238="",FALSE,TRUE)</f>
        <v>0</v>
      </c>
      <c r="AQ238" t="b">
        <f>IF(metadata!P238="",FALSE,TRUE)</f>
        <v>0</v>
      </c>
      <c r="AR238" t="b">
        <f>IF(metadata!Q238="",FALSE,ISNUMBER(VALUE(metadata!Q238)))</f>
        <v>0</v>
      </c>
      <c r="AS238" t="b">
        <f>AND(IF(metadata!R238="",FALSE,TRUE),EXACT(metadata!R238,"kg"))</f>
        <v>0</v>
      </c>
    </row>
    <row r="239" spans="1:45" x14ac:dyDescent="0.2">
      <c r="A239" s="5" t="str">
        <f ca="1">IF(B239=" "," ",HYPERLINK(CONCATENATE("#metadata!",ADDRESS(INDEX($X$2:$X$1001,MATCH(ROWS($V$2:V239),$V$2:$V$1001,0),0),1)),INDEX($AA$2:$AA$1001,MATCH(ROWS($V$2:V239),$V$2:$V$1001,0),0)))</f>
        <v xml:space="preserve"> </v>
      </c>
      <c r="B239" s="4" t="str">
        <f ca="1">IF(OR(INDEX($W$2:$W$1001,MATCH(ROWS($V$2:V239),$V$2:$V$1001,0),1)&gt;=100000,INDEX($AC$1005:$AS$1005,1,MATCH(COLUMNS($AC$1006:AC1006),$AC$1006:$AS$1006,0))&gt;=100000), " ",IF(INDEX($AC$2:$AS$1001,MATCH(ROWS($V$2:V239),$V$2:$V$1001,0),MATCH(COLUMNS($AC$1006:AC1006),$AC$1006:$AS$1006,0)), HYPERLINK("#",""), HYPERLINK(CONCATENATE("#metadata!", ADDRESS(INDEX($X$2:$X$1001,MATCH(ROWS($V$2:V239),$V$2:$V$1001,0),0), INDEX($AC$1004:$AS$1004,1,MATCH(COLUMNS($AC$1006:AC1006),$AC$1006:$AS$1006,0)))),"Fix")))</f>
        <v xml:space="preserve"> </v>
      </c>
      <c r="C239" s="4" t="str">
        <f ca="1">IF(OR(INDEX($W$2:$W$1001,MATCH(ROWS($V$2:V239),$V$2:$V$1001,0),1)&gt;=100000,INDEX($AC$1005:$AS$1005,1,MATCH(COLUMNS($AC$1006:AD1006),$AC$1006:$AS$1006,0))&gt;=100000), " ",IF(INDEX($AC$2:$AS$1001,MATCH(ROWS($V$2:V239),$V$2:$V$1001,0),MATCH(COLUMNS($AC$1006:AD1006),$AC$1006:$AS$1006,0)), HYPERLINK("#",""), HYPERLINK(CONCATENATE("#metadata!", ADDRESS(INDEX($X$2:$X$1001,MATCH(ROWS($V$2:V239),$V$2:$V$1001,0),0), INDEX($AC$1004:$AS$1004,1,MATCH(COLUMNS($AC$1006:AD1006),$AC$1006:$AS$1006,0)))),"Fix")))</f>
        <v xml:space="preserve"> </v>
      </c>
      <c r="D239" s="4" t="str">
        <f ca="1">IF(OR(INDEX($W$2:$W$1001,MATCH(ROWS($V$2:V239),$V$2:$V$1001,0),1)&gt;=100000,INDEX($AC$1005:$AS$1005,1,MATCH(COLUMNS($AC$1006:AE1006),$AC$1006:$AS$1006,0))&gt;=100000), " ",IF(INDEX($AC$2:$AS$1001,MATCH(ROWS($V$2:V239),$V$2:$V$1001,0),MATCH(COLUMNS($AC$1006:AE1006),$AC$1006:$AS$1006,0)), HYPERLINK("#",""), HYPERLINK(CONCATENATE("#metadata!", ADDRESS(INDEX($X$2:$X$1001,MATCH(ROWS($V$2:V239),$V$2:$V$1001,0),0), INDEX($AC$1004:$AS$1004,1,MATCH(COLUMNS($AC$1006:AE1006),$AC$1006:$AS$1006,0)))),"Fix")))</f>
        <v xml:space="preserve"> </v>
      </c>
      <c r="E239" s="4" t="str">
        <f ca="1">IF(OR(INDEX($W$2:$W$1001,MATCH(ROWS($V$2:V239),$V$2:$V$1001,0),1)&gt;=100000,INDEX($AC$1005:$AS$1005,1,MATCH(COLUMNS($AC$1006:AF1006),$AC$1006:$AS$1006,0))&gt;=100000), " ",IF(INDEX($AC$2:$AS$1001,MATCH(ROWS($V$2:V239),$V$2:$V$1001,0),MATCH(COLUMNS($AC$1006:AF1006),$AC$1006:$AS$1006,0)), HYPERLINK("#",""), HYPERLINK(CONCATENATE("#metadata!", ADDRESS(INDEX($X$2:$X$1001,MATCH(ROWS($V$2:V239),$V$2:$V$1001,0),0), INDEX($AC$1004:$AS$1004,1,MATCH(COLUMNS($AC$1006:AF1006),$AC$1006:$AS$1006,0)))),"Fix")))</f>
        <v xml:space="preserve"> </v>
      </c>
      <c r="F239" s="4" t="str">
        <f ca="1">IF(OR(INDEX($W$2:$W$1001,MATCH(ROWS($V$2:V239),$V$2:$V$1001,0),1)&gt;=100000,INDEX($AC$1005:$AS$1005,1,MATCH(COLUMNS($AC$1006:AG1006),$AC$1006:$AS$1006,0))&gt;=100000), " ",IF(INDEX($AC$2:$AS$1001,MATCH(ROWS($V$2:V239),$V$2:$V$1001,0),MATCH(COLUMNS($AC$1006:AG1006),$AC$1006:$AS$1006,0)), HYPERLINK("#",""), HYPERLINK(CONCATENATE("#metadata!", ADDRESS(INDEX($X$2:$X$1001,MATCH(ROWS($V$2:V239),$V$2:$V$1001,0),0), INDEX($AC$1004:$AS$1004,1,MATCH(COLUMNS($AC$1006:AG1006),$AC$1006:$AS$1006,0)))),"Fix")))</f>
        <v xml:space="preserve"> </v>
      </c>
      <c r="G239" s="4" t="str">
        <f ca="1">IF(OR(INDEX($W$2:$W$1001,MATCH(ROWS($V$2:V239),$V$2:$V$1001,0),1)&gt;=100000,INDEX($AC$1005:$AS$1005,1,MATCH(COLUMNS($AC$1006:AH1006),$AC$1006:$AS$1006,0))&gt;=100000), " ",IF(INDEX($AC$2:$AS$1001,MATCH(ROWS($V$2:V239),$V$2:$V$1001,0),MATCH(COLUMNS($AC$1006:AH1006),$AC$1006:$AS$1006,0)), HYPERLINK("#",""), HYPERLINK(CONCATENATE("#metadata!", ADDRESS(INDEX($X$2:$X$1001,MATCH(ROWS($V$2:V239),$V$2:$V$1001,0),0), INDEX($AC$1004:$AS$1004,1,MATCH(COLUMNS($AC$1006:AH1006),$AC$1006:$AS$1006,0)))),"Fix")))</f>
        <v xml:space="preserve"> </v>
      </c>
      <c r="H239" s="4" t="str">
        <f ca="1">IF(OR(INDEX($W$2:$W$1001,MATCH(ROWS($V$2:V239),$V$2:$V$1001,0),1)&gt;=100000,INDEX($AC$1005:$AS$1005,1,MATCH(COLUMNS($AC$1006:AI1006),$AC$1006:$AS$1006,0))&gt;=100000), " ",IF(INDEX($AC$2:$AS$1001,MATCH(ROWS($V$2:V239),$V$2:$V$1001,0),MATCH(COLUMNS($AC$1006:AI1006),$AC$1006:$AS$1006,0)), HYPERLINK("#",""), HYPERLINK(CONCATENATE("#metadata!", ADDRESS(INDEX($X$2:$X$1001,MATCH(ROWS($V$2:V239),$V$2:$V$1001,0),0), INDEX($AC$1004:$AS$1004,1,MATCH(COLUMNS($AC$1006:AI1006),$AC$1006:$AS$1006,0)))),"Fix")))</f>
        <v xml:space="preserve"> </v>
      </c>
      <c r="I239" s="4" t="str">
        <f ca="1">IF(OR(INDEX($W$2:$W$1001,MATCH(ROWS($V$2:V239),$V$2:$V$1001,0),1)&gt;=100000,INDEX($AC$1005:$AS$1005,1,MATCH(COLUMNS($AC$1006:AJ1006),$AC$1006:$AS$1006,0))&gt;=100000), " ",IF(INDEX($AC$2:$AS$1001,MATCH(ROWS($V$2:V239),$V$2:$V$1001,0),MATCH(COLUMNS($AC$1006:AJ1006),$AC$1006:$AS$1006,0)), HYPERLINK("#",""), HYPERLINK(CONCATENATE("#metadata!", ADDRESS(INDEX($X$2:$X$1001,MATCH(ROWS($V$2:V239),$V$2:$V$1001,0),0), INDEX($AC$1004:$AS$1004,1,MATCH(COLUMNS($AC$1006:AJ1006),$AC$1006:$AS$1006,0)))),"Fix")))</f>
        <v xml:space="preserve"> </v>
      </c>
      <c r="J239" s="4" t="str">
        <f ca="1">IF(OR(INDEX($W$2:$W$1001,MATCH(ROWS($V$2:V239),$V$2:$V$1001,0),1)&gt;=100000,INDEX($AC$1005:$AS$1005,1,MATCH(COLUMNS($AC$1006:AK1006),$AC$1006:$AS$1006,0))&gt;=100000), " ",IF(INDEX($AC$2:$AS$1001,MATCH(ROWS($V$2:V239),$V$2:$V$1001,0),MATCH(COLUMNS($AC$1006:AK1006),$AC$1006:$AS$1006,0)), HYPERLINK("#",""), HYPERLINK(CONCATENATE("#metadata!", ADDRESS(INDEX($X$2:$X$1001,MATCH(ROWS($V$2:V239),$V$2:$V$1001,0),0), INDEX($AC$1004:$AS$1004,1,MATCH(COLUMNS($AC$1006:AK1006),$AC$1006:$AS$1006,0)))),"Fix")))</f>
        <v xml:space="preserve"> </v>
      </c>
      <c r="K239" s="4" t="str">
        <f ca="1">IF(OR(INDEX($W$2:$W$1001,MATCH(ROWS($V$2:V239),$V$2:$V$1001,0),1)&gt;=100000,INDEX($AC$1005:$AS$1005,1,MATCH(COLUMNS($AC$1006:AL1006),$AC$1006:$AS$1006,0))&gt;=100000), " ",IF(INDEX($AC$2:$AS$1001,MATCH(ROWS($V$2:V239),$V$2:$V$1001,0),MATCH(COLUMNS($AC$1006:AL1006),$AC$1006:$AS$1006,0)), HYPERLINK("#",""), HYPERLINK(CONCATENATE("#metadata!", ADDRESS(INDEX($X$2:$X$1001,MATCH(ROWS($V$2:V239),$V$2:$V$1001,0),0), INDEX($AC$1004:$AS$1004,1,MATCH(COLUMNS($AC$1006:AL1006),$AC$1006:$AS$1006,0)))),"Fix")))</f>
        <v xml:space="preserve"> </v>
      </c>
      <c r="L239" s="4" t="str">
        <f ca="1">IF(OR(INDEX($W$2:$W$1001,MATCH(ROWS($V$2:V239),$V$2:$V$1001,0),1)&gt;=100000,INDEX($AC$1005:$AS$1005,1,MATCH(COLUMNS($AC$1006:AM1006),$AC$1006:$AS$1006,0))&gt;=100000), " ",IF(INDEX($AC$2:$AS$1001,MATCH(ROWS($V$2:V239),$V$2:$V$1001,0),MATCH(COLUMNS($AC$1006:AM1006),$AC$1006:$AS$1006,0)), HYPERLINK("#",""), HYPERLINK(CONCATENATE("#metadata!", ADDRESS(INDEX($X$2:$X$1001,MATCH(ROWS($V$2:V239),$V$2:$V$1001,0),0), INDEX($AC$1004:$AS$1004,1,MATCH(COLUMNS($AC$1006:AM1006),$AC$1006:$AS$1006,0)))),"Fix")))</f>
        <v xml:space="preserve"> </v>
      </c>
      <c r="M239" s="4" t="str">
        <f ca="1">IF(OR(INDEX($W$2:$W$1001,MATCH(ROWS($V$2:V239),$V$2:$V$1001,0),1)&gt;=100000,INDEX($AC$1005:$AS$1005,1,MATCH(COLUMNS($AC$1006:AN1006),$AC$1006:$AS$1006,0))&gt;=100000), " ",IF(INDEX($AC$2:$AS$1001,MATCH(ROWS($V$2:V239),$V$2:$V$1001,0),MATCH(COLUMNS($AC$1006:AN1006),$AC$1006:$AS$1006,0)), HYPERLINK("#",""), HYPERLINK(CONCATENATE("#metadata!", ADDRESS(INDEX($X$2:$X$1001,MATCH(ROWS($V$2:V239),$V$2:$V$1001,0),0), INDEX($AC$1004:$AS$1004,1,MATCH(COLUMNS($AC$1006:AN1006),$AC$1006:$AS$1006,0)))),"Fix")))</f>
        <v xml:space="preserve"> </v>
      </c>
      <c r="N239" s="4" t="str">
        <f ca="1">IF(OR(INDEX($W$2:$W$1001,MATCH(ROWS($V$2:V239),$V$2:$V$1001,0),1)&gt;=100000,INDEX($AC$1005:$AS$1005,1,MATCH(COLUMNS($AC$1006:AO1006),$AC$1006:$AS$1006,0))&gt;=100000), " ",IF(INDEX($AC$2:$AS$1001,MATCH(ROWS($V$2:V239),$V$2:$V$1001,0),MATCH(COLUMNS($AC$1006:AO1006),$AC$1006:$AS$1006,0)), HYPERLINK("#",""), HYPERLINK(CONCATENATE("#metadata!", ADDRESS(INDEX($X$2:$X$1001,MATCH(ROWS($V$2:V239),$V$2:$V$1001,0),0), INDEX($AC$1004:$AS$1004,1,MATCH(COLUMNS($AC$1006:AO1006),$AC$1006:$AS$1006,0)))),"Fix")))</f>
        <v xml:space="preserve"> </v>
      </c>
      <c r="O239" s="4" t="str">
        <f ca="1">IF(OR(INDEX($W$2:$W$1001,MATCH(ROWS($V$2:V239),$V$2:$V$1001,0),1)&gt;=100000,INDEX($AC$1005:$AS$1005,1,MATCH(COLUMNS($AC$1006:AP1006),$AC$1006:$AS$1006,0))&gt;=100000), " ",IF(INDEX($AC$2:$AS$1001,MATCH(ROWS($V$2:V239),$V$2:$V$1001,0),MATCH(COLUMNS($AC$1006:AP1006),$AC$1006:$AS$1006,0)), HYPERLINK("#",""), HYPERLINK(CONCATENATE("#metadata!", ADDRESS(INDEX($X$2:$X$1001,MATCH(ROWS($V$2:V239),$V$2:$V$1001,0),0), INDEX($AC$1004:$AS$1004,1,MATCH(COLUMNS($AC$1006:AP1006),$AC$1006:$AS$1006,0)))),"Fix")))</f>
        <v xml:space="preserve"> </v>
      </c>
      <c r="P239" s="4" t="str">
        <f ca="1">IF(OR(INDEX($W$2:$W$1001,MATCH(ROWS($V$2:V239),$V$2:$V$1001,0),1)&gt;=100000,INDEX($AC$1005:$AS$1005,1,MATCH(COLUMNS($AC$1006:AQ1006),$AC$1006:$AS$1006,0))&gt;=100000), " ",IF(INDEX($AC$2:$AS$1001,MATCH(ROWS($V$2:V239),$V$2:$V$1001,0),MATCH(COLUMNS($AC$1006:AQ1006),$AC$1006:$AS$1006,0)), HYPERLINK("#",""), HYPERLINK(CONCATENATE("#metadata!", ADDRESS(INDEX($X$2:$X$1001,MATCH(ROWS($V$2:V239),$V$2:$V$1001,0),0), INDEX($AC$1004:$AS$1004,1,MATCH(COLUMNS($AC$1006:AQ1006),$AC$1006:$AS$1006,0)))),"Fix")))</f>
        <v xml:space="preserve"> </v>
      </c>
      <c r="Q239" s="4" t="str">
        <f ca="1">IF(OR(INDEX($W$2:$W$1001,MATCH(ROWS($V$2:V239),$V$2:$V$1001,0),1)&gt;=100000,INDEX($AC$1005:$AS$1005,1,MATCH(COLUMNS($AC$1006:AR1006),$AC$1006:$AS$1006,0))&gt;=100000), " ",IF(INDEX($AC$2:$AS$1001,MATCH(ROWS($V$2:V239),$V$2:$V$1001,0),MATCH(COLUMNS($AC$1006:AR1006),$AC$1006:$AS$1006,0)), HYPERLINK("#",""), HYPERLINK(CONCATENATE("#metadata!", ADDRESS(INDEX($X$2:$X$1001,MATCH(ROWS($V$2:V239),$V$2:$V$1001,0),0), INDEX($AC$1004:$AS$1004,1,MATCH(COLUMNS($AC$1006:AR1006),$AC$1006:$AS$1006,0)))),"Fix")))</f>
        <v xml:space="preserve"> </v>
      </c>
      <c r="R239" s="4" t="str">
        <f ca="1">IF(OR(INDEX($W$2:$W$1001,MATCH(ROWS($V$2:V239),$V$2:$V$1001,0),1)&gt;=100000,INDEX($AC$1005:$AS$1005,1,MATCH(COLUMNS($AC$1006:AS1006),$AC$1006:$AS$1006,0))&gt;=100000), " ",IF(INDEX($AC$2:$AS$1001,MATCH(ROWS($V$2:V239),$V$2:$V$1001,0),MATCH(COLUMNS($AC$1006:AS1006),$AC$1006:$AS$1006,0)), HYPERLINK("#",""), HYPERLINK(CONCATENATE("#metadata!", ADDRESS(INDEX($X$2:$X$1001,MATCH(ROWS($V$2:V239),$V$2:$V$1001,0),0), INDEX($AC$1004:$AS$1004,1,MATCH(COLUMNS($AC$1006:AS1006),$AC$1006:$AS$1006,0)))),"Fix")))</f>
        <v xml:space="preserve"> </v>
      </c>
      <c r="V239">
        <v>238</v>
      </c>
      <c r="W239">
        <v>100239</v>
      </c>
      <c r="X239">
        <v>239</v>
      </c>
      <c r="Y239" t="b">
        <f t="shared" si="3"/>
        <v>1</v>
      </c>
      <c r="Z239" t="b">
        <f>COUNTBLANK(metadata!B239:R239)=COLUMNS(metadata!B239:R239)</f>
        <v>1</v>
      </c>
      <c r="AA239" t="str">
        <v/>
      </c>
      <c r="AC239" t="b">
        <f ca="1"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AD239" t="b">
        <f>IF(metadata!C239="",FALSE,ISNUMBER(VALUE(metadata!C239)))</f>
        <v>0</v>
      </c>
      <c r="AE239" t="b">
        <f>AND(IF(metadata!D239="",FALSE,TRUE),EXACT(metadata!D239,"years"))</f>
        <v>0</v>
      </c>
      <c r="AF239" t="b">
        <f>OR(AND(IF(metadata!E239="",FALSE,TRUE),OR(EXACT(metadata!E239,"not applicable"),EXACT(metadata!E239,"missing: not collected"),EXACT(metadata!E239,"missing: not provided"),EXACT(metadata!E239,"missing: restricted access"))),AND(IF(metadata!E239="",FALSE,ISNUMBER(VALUE(metadata!E239))),metadata!E239&gt;0))</f>
        <v>0</v>
      </c>
      <c r="AG239" t="b">
        <f>AND(IF(metadata!F239="",FALSE,TRUE),EXACT(metadata!F239,"Not applicable"))</f>
        <v>0</v>
      </c>
      <c r="AH239" t="b">
        <f>AND(IF(metadata!G239="",FALSE,TRUE),EXACT(metadata!G239,"urban biome"))</f>
        <v>0</v>
      </c>
      <c r="AI239" t="b">
        <f>AND(IF(metadata!H239="",FALSE,TRUE),EXACT(metadata!H239,"human-associated habitat"))</f>
        <v>0</v>
      </c>
      <c r="AJ239" t="b">
        <f>AND(IF(metadata!I239="",FALSE,TRUE),OR(EXACT(metadata!I239,"human-associated"),EXACT(metadata!I239,"human-skin"),EXACT(metadata!I239,"human-oral"),EXACT(metadata!I239,"human-gut"),EXACT(metadata!I239,"human-vaginal")))</f>
        <v>0</v>
      </c>
      <c r="AK239" t="b">
        <f>IF(metadata!J239="",FALSE,ISNUMBER(VALUE(metadata!J239)))</f>
        <v>0</v>
      </c>
      <c r="AL239" t="b">
        <f>AND(IF(metadata!K239="",FALSE,TRUE),EXACT(metadata!K239,"cm"))</f>
        <v>0</v>
      </c>
      <c r="AM239" t="b">
        <f>AND(IF(metadata!L239="",FALSE,TRUE),EXACT(metadata!L239,"human"))</f>
        <v>0</v>
      </c>
      <c r="AN239" t="b">
        <f>AND(IF(metadata!M239="",FALSE,TRUE),EXACT(metadata!M239,"Homo sapiens"))</f>
        <v>0</v>
      </c>
      <c r="AO239" t="b">
        <f>AND(IF(metadata!N239="",FALSE,TRUE),EXACT(metadata!N239,"9606"))</f>
        <v>0</v>
      </c>
      <c r="AP239" t="b">
        <f>IF(metadata!O239="",FALSE,TRUE)</f>
        <v>0</v>
      </c>
      <c r="AQ239" t="b">
        <f>IF(metadata!P239="",FALSE,TRUE)</f>
        <v>0</v>
      </c>
      <c r="AR239" t="b">
        <f>IF(metadata!Q239="",FALSE,ISNUMBER(VALUE(metadata!Q239)))</f>
        <v>0</v>
      </c>
      <c r="AS239" t="b">
        <f>AND(IF(metadata!R239="",FALSE,TRUE),EXACT(metadata!R239,"kg"))</f>
        <v>0</v>
      </c>
    </row>
    <row r="240" spans="1:45" x14ac:dyDescent="0.2">
      <c r="A240" s="5" t="str">
        <f ca="1">IF(B240=" "," ",HYPERLINK(CONCATENATE("#metadata!",ADDRESS(INDEX($X$2:$X$1001,MATCH(ROWS($V$2:V240),$V$2:$V$1001,0),0),1)),INDEX($AA$2:$AA$1001,MATCH(ROWS($V$2:V240),$V$2:$V$1001,0),0)))</f>
        <v xml:space="preserve"> </v>
      </c>
      <c r="B240" s="4" t="str">
        <f ca="1">IF(OR(INDEX($W$2:$W$1001,MATCH(ROWS($V$2:V240),$V$2:$V$1001,0),1)&gt;=100000,INDEX($AC$1005:$AS$1005,1,MATCH(COLUMNS($AC$1006:AC1006),$AC$1006:$AS$1006,0))&gt;=100000), " ",IF(INDEX($AC$2:$AS$1001,MATCH(ROWS($V$2:V240),$V$2:$V$1001,0),MATCH(COLUMNS($AC$1006:AC1006),$AC$1006:$AS$1006,0)), HYPERLINK("#",""), HYPERLINK(CONCATENATE("#metadata!", ADDRESS(INDEX($X$2:$X$1001,MATCH(ROWS($V$2:V240),$V$2:$V$1001,0),0), INDEX($AC$1004:$AS$1004,1,MATCH(COLUMNS($AC$1006:AC1006),$AC$1006:$AS$1006,0)))),"Fix")))</f>
        <v xml:space="preserve"> </v>
      </c>
      <c r="C240" s="4" t="str">
        <f ca="1">IF(OR(INDEX($W$2:$W$1001,MATCH(ROWS($V$2:V240),$V$2:$V$1001,0),1)&gt;=100000,INDEX($AC$1005:$AS$1005,1,MATCH(COLUMNS($AC$1006:AD1006),$AC$1006:$AS$1006,0))&gt;=100000), " ",IF(INDEX($AC$2:$AS$1001,MATCH(ROWS($V$2:V240),$V$2:$V$1001,0),MATCH(COLUMNS($AC$1006:AD1006),$AC$1006:$AS$1006,0)), HYPERLINK("#",""), HYPERLINK(CONCATENATE("#metadata!", ADDRESS(INDEX($X$2:$X$1001,MATCH(ROWS($V$2:V240),$V$2:$V$1001,0),0), INDEX($AC$1004:$AS$1004,1,MATCH(COLUMNS($AC$1006:AD1006),$AC$1006:$AS$1006,0)))),"Fix")))</f>
        <v xml:space="preserve"> </v>
      </c>
      <c r="D240" s="4" t="str">
        <f ca="1">IF(OR(INDEX($W$2:$W$1001,MATCH(ROWS($V$2:V240),$V$2:$V$1001,0),1)&gt;=100000,INDEX($AC$1005:$AS$1005,1,MATCH(COLUMNS($AC$1006:AE1006),$AC$1006:$AS$1006,0))&gt;=100000), " ",IF(INDEX($AC$2:$AS$1001,MATCH(ROWS($V$2:V240),$V$2:$V$1001,0),MATCH(COLUMNS($AC$1006:AE1006),$AC$1006:$AS$1006,0)), HYPERLINK("#",""), HYPERLINK(CONCATENATE("#metadata!", ADDRESS(INDEX($X$2:$X$1001,MATCH(ROWS($V$2:V240),$V$2:$V$1001,0),0), INDEX($AC$1004:$AS$1004,1,MATCH(COLUMNS($AC$1006:AE1006),$AC$1006:$AS$1006,0)))),"Fix")))</f>
        <v xml:space="preserve"> </v>
      </c>
      <c r="E240" s="4" t="str">
        <f ca="1">IF(OR(INDEX($W$2:$W$1001,MATCH(ROWS($V$2:V240),$V$2:$V$1001,0),1)&gt;=100000,INDEX($AC$1005:$AS$1005,1,MATCH(COLUMNS($AC$1006:AF1006),$AC$1006:$AS$1006,0))&gt;=100000), " ",IF(INDEX($AC$2:$AS$1001,MATCH(ROWS($V$2:V240),$V$2:$V$1001,0),MATCH(COLUMNS($AC$1006:AF1006),$AC$1006:$AS$1006,0)), HYPERLINK("#",""), HYPERLINK(CONCATENATE("#metadata!", ADDRESS(INDEX($X$2:$X$1001,MATCH(ROWS($V$2:V240),$V$2:$V$1001,0),0), INDEX($AC$1004:$AS$1004,1,MATCH(COLUMNS($AC$1006:AF1006),$AC$1006:$AS$1006,0)))),"Fix")))</f>
        <v xml:space="preserve"> </v>
      </c>
      <c r="F240" s="4" t="str">
        <f ca="1">IF(OR(INDEX($W$2:$W$1001,MATCH(ROWS($V$2:V240),$V$2:$V$1001,0),1)&gt;=100000,INDEX($AC$1005:$AS$1005,1,MATCH(COLUMNS($AC$1006:AG1006),$AC$1006:$AS$1006,0))&gt;=100000), " ",IF(INDEX($AC$2:$AS$1001,MATCH(ROWS($V$2:V240),$V$2:$V$1001,0),MATCH(COLUMNS($AC$1006:AG1006),$AC$1006:$AS$1006,0)), HYPERLINK("#",""), HYPERLINK(CONCATENATE("#metadata!", ADDRESS(INDEX($X$2:$X$1001,MATCH(ROWS($V$2:V240),$V$2:$V$1001,0),0), INDEX($AC$1004:$AS$1004,1,MATCH(COLUMNS($AC$1006:AG1006),$AC$1006:$AS$1006,0)))),"Fix")))</f>
        <v xml:space="preserve"> </v>
      </c>
      <c r="G240" s="4" t="str">
        <f ca="1">IF(OR(INDEX($W$2:$W$1001,MATCH(ROWS($V$2:V240),$V$2:$V$1001,0),1)&gt;=100000,INDEX($AC$1005:$AS$1005,1,MATCH(COLUMNS($AC$1006:AH1006),$AC$1006:$AS$1006,0))&gt;=100000), " ",IF(INDEX($AC$2:$AS$1001,MATCH(ROWS($V$2:V240),$V$2:$V$1001,0),MATCH(COLUMNS($AC$1006:AH1006),$AC$1006:$AS$1006,0)), HYPERLINK("#",""), HYPERLINK(CONCATENATE("#metadata!", ADDRESS(INDEX($X$2:$X$1001,MATCH(ROWS($V$2:V240),$V$2:$V$1001,0),0), INDEX($AC$1004:$AS$1004,1,MATCH(COLUMNS($AC$1006:AH1006),$AC$1006:$AS$1006,0)))),"Fix")))</f>
        <v xml:space="preserve"> </v>
      </c>
      <c r="H240" s="4" t="str">
        <f ca="1">IF(OR(INDEX($W$2:$W$1001,MATCH(ROWS($V$2:V240),$V$2:$V$1001,0),1)&gt;=100000,INDEX($AC$1005:$AS$1005,1,MATCH(COLUMNS($AC$1006:AI1006),$AC$1006:$AS$1006,0))&gt;=100000), " ",IF(INDEX($AC$2:$AS$1001,MATCH(ROWS($V$2:V240),$V$2:$V$1001,0),MATCH(COLUMNS($AC$1006:AI1006),$AC$1006:$AS$1006,0)), HYPERLINK("#",""), HYPERLINK(CONCATENATE("#metadata!", ADDRESS(INDEX($X$2:$X$1001,MATCH(ROWS($V$2:V240),$V$2:$V$1001,0),0), INDEX($AC$1004:$AS$1004,1,MATCH(COLUMNS($AC$1006:AI1006),$AC$1006:$AS$1006,0)))),"Fix")))</f>
        <v xml:space="preserve"> </v>
      </c>
      <c r="I240" s="4" t="str">
        <f ca="1">IF(OR(INDEX($W$2:$W$1001,MATCH(ROWS($V$2:V240),$V$2:$V$1001,0),1)&gt;=100000,INDEX($AC$1005:$AS$1005,1,MATCH(COLUMNS($AC$1006:AJ1006),$AC$1006:$AS$1006,0))&gt;=100000), " ",IF(INDEX($AC$2:$AS$1001,MATCH(ROWS($V$2:V240),$V$2:$V$1001,0),MATCH(COLUMNS($AC$1006:AJ1006),$AC$1006:$AS$1006,0)), HYPERLINK("#",""), HYPERLINK(CONCATENATE("#metadata!", ADDRESS(INDEX($X$2:$X$1001,MATCH(ROWS($V$2:V240),$V$2:$V$1001,0),0), INDEX($AC$1004:$AS$1004,1,MATCH(COLUMNS($AC$1006:AJ1006),$AC$1006:$AS$1006,0)))),"Fix")))</f>
        <v xml:space="preserve"> </v>
      </c>
      <c r="J240" s="4" t="str">
        <f ca="1">IF(OR(INDEX($W$2:$W$1001,MATCH(ROWS($V$2:V240),$V$2:$V$1001,0),1)&gt;=100000,INDEX($AC$1005:$AS$1005,1,MATCH(COLUMNS($AC$1006:AK1006),$AC$1006:$AS$1006,0))&gt;=100000), " ",IF(INDEX($AC$2:$AS$1001,MATCH(ROWS($V$2:V240),$V$2:$V$1001,0),MATCH(COLUMNS($AC$1006:AK1006),$AC$1006:$AS$1006,0)), HYPERLINK("#",""), HYPERLINK(CONCATENATE("#metadata!", ADDRESS(INDEX($X$2:$X$1001,MATCH(ROWS($V$2:V240),$V$2:$V$1001,0),0), INDEX($AC$1004:$AS$1004,1,MATCH(COLUMNS($AC$1006:AK1006),$AC$1006:$AS$1006,0)))),"Fix")))</f>
        <v xml:space="preserve"> </v>
      </c>
      <c r="K240" s="4" t="str">
        <f ca="1">IF(OR(INDEX($W$2:$W$1001,MATCH(ROWS($V$2:V240),$V$2:$V$1001,0),1)&gt;=100000,INDEX($AC$1005:$AS$1005,1,MATCH(COLUMNS($AC$1006:AL1006),$AC$1006:$AS$1006,0))&gt;=100000), " ",IF(INDEX($AC$2:$AS$1001,MATCH(ROWS($V$2:V240),$V$2:$V$1001,0),MATCH(COLUMNS($AC$1006:AL1006),$AC$1006:$AS$1006,0)), HYPERLINK("#",""), HYPERLINK(CONCATENATE("#metadata!", ADDRESS(INDEX($X$2:$X$1001,MATCH(ROWS($V$2:V240),$V$2:$V$1001,0),0), INDEX($AC$1004:$AS$1004,1,MATCH(COLUMNS($AC$1006:AL1006),$AC$1006:$AS$1006,0)))),"Fix")))</f>
        <v xml:space="preserve"> </v>
      </c>
      <c r="L240" s="4" t="str">
        <f ca="1">IF(OR(INDEX($W$2:$W$1001,MATCH(ROWS($V$2:V240),$V$2:$V$1001,0),1)&gt;=100000,INDEX($AC$1005:$AS$1005,1,MATCH(COLUMNS($AC$1006:AM1006),$AC$1006:$AS$1006,0))&gt;=100000), " ",IF(INDEX($AC$2:$AS$1001,MATCH(ROWS($V$2:V240),$V$2:$V$1001,0),MATCH(COLUMNS($AC$1006:AM1006),$AC$1006:$AS$1006,0)), HYPERLINK("#",""), HYPERLINK(CONCATENATE("#metadata!", ADDRESS(INDEX($X$2:$X$1001,MATCH(ROWS($V$2:V240),$V$2:$V$1001,0),0), INDEX($AC$1004:$AS$1004,1,MATCH(COLUMNS($AC$1006:AM1006),$AC$1006:$AS$1006,0)))),"Fix")))</f>
        <v xml:space="preserve"> </v>
      </c>
      <c r="M240" s="4" t="str">
        <f ca="1">IF(OR(INDEX($W$2:$W$1001,MATCH(ROWS($V$2:V240),$V$2:$V$1001,0),1)&gt;=100000,INDEX($AC$1005:$AS$1005,1,MATCH(COLUMNS($AC$1006:AN1006),$AC$1006:$AS$1006,0))&gt;=100000), " ",IF(INDEX($AC$2:$AS$1001,MATCH(ROWS($V$2:V240),$V$2:$V$1001,0),MATCH(COLUMNS($AC$1006:AN1006),$AC$1006:$AS$1006,0)), HYPERLINK("#",""), HYPERLINK(CONCATENATE("#metadata!", ADDRESS(INDEX($X$2:$X$1001,MATCH(ROWS($V$2:V240),$V$2:$V$1001,0),0), INDEX($AC$1004:$AS$1004,1,MATCH(COLUMNS($AC$1006:AN1006),$AC$1006:$AS$1006,0)))),"Fix")))</f>
        <v xml:space="preserve"> </v>
      </c>
      <c r="N240" s="4" t="str">
        <f ca="1">IF(OR(INDEX($W$2:$W$1001,MATCH(ROWS($V$2:V240),$V$2:$V$1001,0),1)&gt;=100000,INDEX($AC$1005:$AS$1005,1,MATCH(COLUMNS($AC$1006:AO1006),$AC$1006:$AS$1006,0))&gt;=100000), " ",IF(INDEX($AC$2:$AS$1001,MATCH(ROWS($V$2:V240),$V$2:$V$1001,0),MATCH(COLUMNS($AC$1006:AO1006),$AC$1006:$AS$1006,0)), HYPERLINK("#",""), HYPERLINK(CONCATENATE("#metadata!", ADDRESS(INDEX($X$2:$X$1001,MATCH(ROWS($V$2:V240),$V$2:$V$1001,0),0), INDEX($AC$1004:$AS$1004,1,MATCH(COLUMNS($AC$1006:AO1006),$AC$1006:$AS$1006,0)))),"Fix")))</f>
        <v xml:space="preserve"> </v>
      </c>
      <c r="O240" s="4" t="str">
        <f ca="1">IF(OR(INDEX($W$2:$W$1001,MATCH(ROWS($V$2:V240),$V$2:$V$1001,0),1)&gt;=100000,INDEX($AC$1005:$AS$1005,1,MATCH(COLUMNS($AC$1006:AP1006),$AC$1006:$AS$1006,0))&gt;=100000), " ",IF(INDEX($AC$2:$AS$1001,MATCH(ROWS($V$2:V240),$V$2:$V$1001,0),MATCH(COLUMNS($AC$1006:AP1006),$AC$1006:$AS$1006,0)), HYPERLINK("#",""), HYPERLINK(CONCATENATE("#metadata!", ADDRESS(INDEX($X$2:$X$1001,MATCH(ROWS($V$2:V240),$V$2:$V$1001,0),0), INDEX($AC$1004:$AS$1004,1,MATCH(COLUMNS($AC$1006:AP1006),$AC$1006:$AS$1006,0)))),"Fix")))</f>
        <v xml:space="preserve"> </v>
      </c>
      <c r="P240" s="4" t="str">
        <f ca="1">IF(OR(INDEX($W$2:$W$1001,MATCH(ROWS($V$2:V240),$V$2:$V$1001,0),1)&gt;=100000,INDEX($AC$1005:$AS$1005,1,MATCH(COLUMNS($AC$1006:AQ1006),$AC$1006:$AS$1006,0))&gt;=100000), " ",IF(INDEX($AC$2:$AS$1001,MATCH(ROWS($V$2:V240),$V$2:$V$1001,0),MATCH(COLUMNS($AC$1006:AQ1006),$AC$1006:$AS$1006,0)), HYPERLINK("#",""), HYPERLINK(CONCATENATE("#metadata!", ADDRESS(INDEX($X$2:$X$1001,MATCH(ROWS($V$2:V240),$V$2:$V$1001,0),0), INDEX($AC$1004:$AS$1004,1,MATCH(COLUMNS($AC$1006:AQ1006),$AC$1006:$AS$1006,0)))),"Fix")))</f>
        <v xml:space="preserve"> </v>
      </c>
      <c r="Q240" s="4" t="str">
        <f ca="1">IF(OR(INDEX($W$2:$W$1001,MATCH(ROWS($V$2:V240),$V$2:$V$1001,0),1)&gt;=100000,INDEX($AC$1005:$AS$1005,1,MATCH(COLUMNS($AC$1006:AR1006),$AC$1006:$AS$1006,0))&gt;=100000), " ",IF(INDEX($AC$2:$AS$1001,MATCH(ROWS($V$2:V240),$V$2:$V$1001,0),MATCH(COLUMNS($AC$1006:AR1006),$AC$1006:$AS$1006,0)), HYPERLINK("#",""), HYPERLINK(CONCATENATE("#metadata!", ADDRESS(INDEX($X$2:$X$1001,MATCH(ROWS($V$2:V240),$V$2:$V$1001,0),0), INDEX($AC$1004:$AS$1004,1,MATCH(COLUMNS($AC$1006:AR1006),$AC$1006:$AS$1006,0)))),"Fix")))</f>
        <v xml:space="preserve"> </v>
      </c>
      <c r="R240" s="4" t="str">
        <f ca="1">IF(OR(INDEX($W$2:$W$1001,MATCH(ROWS($V$2:V240),$V$2:$V$1001,0),1)&gt;=100000,INDEX($AC$1005:$AS$1005,1,MATCH(COLUMNS($AC$1006:AS1006),$AC$1006:$AS$1006,0))&gt;=100000), " ",IF(INDEX($AC$2:$AS$1001,MATCH(ROWS($V$2:V240),$V$2:$V$1001,0),MATCH(COLUMNS($AC$1006:AS1006),$AC$1006:$AS$1006,0)), HYPERLINK("#",""), HYPERLINK(CONCATENATE("#metadata!", ADDRESS(INDEX($X$2:$X$1001,MATCH(ROWS($V$2:V240),$V$2:$V$1001,0),0), INDEX($AC$1004:$AS$1004,1,MATCH(COLUMNS($AC$1006:AS1006),$AC$1006:$AS$1006,0)))),"Fix")))</f>
        <v xml:space="preserve"> </v>
      </c>
      <c r="V240">
        <v>239</v>
      </c>
      <c r="W240">
        <v>100240</v>
      </c>
      <c r="X240">
        <v>240</v>
      </c>
      <c r="Y240" t="b">
        <f t="shared" si="3"/>
        <v>1</v>
      </c>
      <c r="Z240" t="b">
        <f>COUNTBLANK(metadata!B240:R240)=COLUMNS(metadata!B240:R240)</f>
        <v>1</v>
      </c>
      <c r="AA240" t="str">
        <v/>
      </c>
      <c r="AC240" t="b">
        <f ca="1"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AD240" t="b">
        <f>IF(metadata!C240="",FALSE,ISNUMBER(VALUE(metadata!C240)))</f>
        <v>0</v>
      </c>
      <c r="AE240" t="b">
        <f>AND(IF(metadata!D240="",FALSE,TRUE),EXACT(metadata!D240,"years"))</f>
        <v>0</v>
      </c>
      <c r="AF240" t="b">
        <f>OR(AND(IF(metadata!E240="",FALSE,TRUE),OR(EXACT(metadata!E240,"not applicable"),EXACT(metadata!E240,"missing: not collected"),EXACT(metadata!E240,"missing: not provided"),EXACT(metadata!E240,"missing: restricted access"))),AND(IF(metadata!E240="",FALSE,ISNUMBER(VALUE(metadata!E240))),metadata!E240&gt;0))</f>
        <v>0</v>
      </c>
      <c r="AG240" t="b">
        <f>AND(IF(metadata!F240="",FALSE,TRUE),EXACT(metadata!F240,"Not applicable"))</f>
        <v>0</v>
      </c>
      <c r="AH240" t="b">
        <f>AND(IF(metadata!G240="",FALSE,TRUE),EXACT(metadata!G240,"urban biome"))</f>
        <v>0</v>
      </c>
      <c r="AI240" t="b">
        <f>AND(IF(metadata!H240="",FALSE,TRUE),EXACT(metadata!H240,"human-associated habitat"))</f>
        <v>0</v>
      </c>
      <c r="AJ240" t="b">
        <f>AND(IF(metadata!I240="",FALSE,TRUE),OR(EXACT(metadata!I240,"human-associated"),EXACT(metadata!I240,"human-skin"),EXACT(metadata!I240,"human-oral"),EXACT(metadata!I240,"human-gut"),EXACT(metadata!I240,"human-vaginal")))</f>
        <v>0</v>
      </c>
      <c r="AK240" t="b">
        <f>IF(metadata!J240="",FALSE,ISNUMBER(VALUE(metadata!J240)))</f>
        <v>0</v>
      </c>
      <c r="AL240" t="b">
        <f>AND(IF(metadata!K240="",FALSE,TRUE),EXACT(metadata!K240,"cm"))</f>
        <v>0</v>
      </c>
      <c r="AM240" t="b">
        <f>AND(IF(metadata!L240="",FALSE,TRUE),EXACT(metadata!L240,"human"))</f>
        <v>0</v>
      </c>
      <c r="AN240" t="b">
        <f>AND(IF(metadata!M240="",FALSE,TRUE),EXACT(metadata!M240,"Homo sapiens"))</f>
        <v>0</v>
      </c>
      <c r="AO240" t="b">
        <f>AND(IF(metadata!N240="",FALSE,TRUE),EXACT(metadata!N240,"9606"))</f>
        <v>0</v>
      </c>
      <c r="AP240" t="b">
        <f>IF(metadata!O240="",FALSE,TRUE)</f>
        <v>0</v>
      </c>
      <c r="AQ240" t="b">
        <f>IF(metadata!P240="",FALSE,TRUE)</f>
        <v>0</v>
      </c>
      <c r="AR240" t="b">
        <f>IF(metadata!Q240="",FALSE,ISNUMBER(VALUE(metadata!Q240)))</f>
        <v>0</v>
      </c>
      <c r="AS240" t="b">
        <f>AND(IF(metadata!R240="",FALSE,TRUE),EXACT(metadata!R240,"kg"))</f>
        <v>0</v>
      </c>
    </row>
    <row r="241" spans="1:45" x14ac:dyDescent="0.2">
      <c r="A241" s="5" t="str">
        <f ca="1">IF(B241=" "," ",HYPERLINK(CONCATENATE("#metadata!",ADDRESS(INDEX($X$2:$X$1001,MATCH(ROWS($V$2:V241),$V$2:$V$1001,0),0),1)),INDEX($AA$2:$AA$1001,MATCH(ROWS($V$2:V241),$V$2:$V$1001,0),0)))</f>
        <v xml:space="preserve"> </v>
      </c>
      <c r="B241" s="4" t="str">
        <f ca="1">IF(OR(INDEX($W$2:$W$1001,MATCH(ROWS($V$2:V241),$V$2:$V$1001,0),1)&gt;=100000,INDEX($AC$1005:$AS$1005,1,MATCH(COLUMNS($AC$1006:AC1006),$AC$1006:$AS$1006,0))&gt;=100000), " ",IF(INDEX($AC$2:$AS$1001,MATCH(ROWS($V$2:V241),$V$2:$V$1001,0),MATCH(COLUMNS($AC$1006:AC1006),$AC$1006:$AS$1006,0)), HYPERLINK("#",""), HYPERLINK(CONCATENATE("#metadata!", ADDRESS(INDEX($X$2:$X$1001,MATCH(ROWS($V$2:V241),$V$2:$V$1001,0),0), INDEX($AC$1004:$AS$1004,1,MATCH(COLUMNS($AC$1006:AC1006),$AC$1006:$AS$1006,0)))),"Fix")))</f>
        <v xml:space="preserve"> </v>
      </c>
      <c r="C241" s="4" t="str">
        <f ca="1">IF(OR(INDEX($W$2:$W$1001,MATCH(ROWS($V$2:V241),$V$2:$V$1001,0),1)&gt;=100000,INDEX($AC$1005:$AS$1005,1,MATCH(COLUMNS($AC$1006:AD1006),$AC$1006:$AS$1006,0))&gt;=100000), " ",IF(INDEX($AC$2:$AS$1001,MATCH(ROWS($V$2:V241),$V$2:$V$1001,0),MATCH(COLUMNS($AC$1006:AD1006),$AC$1006:$AS$1006,0)), HYPERLINK("#",""), HYPERLINK(CONCATENATE("#metadata!", ADDRESS(INDEX($X$2:$X$1001,MATCH(ROWS($V$2:V241),$V$2:$V$1001,0),0), INDEX($AC$1004:$AS$1004,1,MATCH(COLUMNS($AC$1006:AD1006),$AC$1006:$AS$1006,0)))),"Fix")))</f>
        <v xml:space="preserve"> </v>
      </c>
      <c r="D241" s="4" t="str">
        <f ca="1">IF(OR(INDEX($W$2:$W$1001,MATCH(ROWS($V$2:V241),$V$2:$V$1001,0),1)&gt;=100000,INDEX($AC$1005:$AS$1005,1,MATCH(COLUMNS($AC$1006:AE1006),$AC$1006:$AS$1006,0))&gt;=100000), " ",IF(INDEX($AC$2:$AS$1001,MATCH(ROWS($V$2:V241),$V$2:$V$1001,0),MATCH(COLUMNS($AC$1006:AE1006),$AC$1006:$AS$1006,0)), HYPERLINK("#",""), HYPERLINK(CONCATENATE("#metadata!", ADDRESS(INDEX($X$2:$X$1001,MATCH(ROWS($V$2:V241),$V$2:$V$1001,0),0), INDEX($AC$1004:$AS$1004,1,MATCH(COLUMNS($AC$1006:AE1006),$AC$1006:$AS$1006,0)))),"Fix")))</f>
        <v xml:space="preserve"> </v>
      </c>
      <c r="E241" s="4" t="str">
        <f ca="1">IF(OR(INDEX($W$2:$W$1001,MATCH(ROWS($V$2:V241),$V$2:$V$1001,0),1)&gt;=100000,INDEX($AC$1005:$AS$1005,1,MATCH(COLUMNS($AC$1006:AF1006),$AC$1006:$AS$1006,0))&gt;=100000), " ",IF(INDEX($AC$2:$AS$1001,MATCH(ROWS($V$2:V241),$V$2:$V$1001,0),MATCH(COLUMNS($AC$1006:AF1006),$AC$1006:$AS$1006,0)), HYPERLINK("#",""), HYPERLINK(CONCATENATE("#metadata!", ADDRESS(INDEX($X$2:$X$1001,MATCH(ROWS($V$2:V241),$V$2:$V$1001,0),0), INDEX($AC$1004:$AS$1004,1,MATCH(COLUMNS($AC$1006:AF1006),$AC$1006:$AS$1006,0)))),"Fix")))</f>
        <v xml:space="preserve"> </v>
      </c>
      <c r="F241" s="4" t="str">
        <f ca="1">IF(OR(INDEX($W$2:$W$1001,MATCH(ROWS($V$2:V241),$V$2:$V$1001,0),1)&gt;=100000,INDEX($AC$1005:$AS$1005,1,MATCH(COLUMNS($AC$1006:AG1006),$AC$1006:$AS$1006,0))&gt;=100000), " ",IF(INDEX($AC$2:$AS$1001,MATCH(ROWS($V$2:V241),$V$2:$V$1001,0),MATCH(COLUMNS($AC$1006:AG1006),$AC$1006:$AS$1006,0)), HYPERLINK("#",""), HYPERLINK(CONCATENATE("#metadata!", ADDRESS(INDEX($X$2:$X$1001,MATCH(ROWS($V$2:V241),$V$2:$V$1001,0),0), INDEX($AC$1004:$AS$1004,1,MATCH(COLUMNS($AC$1006:AG1006),$AC$1006:$AS$1006,0)))),"Fix")))</f>
        <v xml:space="preserve"> </v>
      </c>
      <c r="G241" s="4" t="str">
        <f ca="1">IF(OR(INDEX($W$2:$W$1001,MATCH(ROWS($V$2:V241),$V$2:$V$1001,0),1)&gt;=100000,INDEX($AC$1005:$AS$1005,1,MATCH(COLUMNS($AC$1006:AH1006),$AC$1006:$AS$1006,0))&gt;=100000), " ",IF(INDEX($AC$2:$AS$1001,MATCH(ROWS($V$2:V241),$V$2:$V$1001,0),MATCH(COLUMNS($AC$1006:AH1006),$AC$1006:$AS$1006,0)), HYPERLINK("#",""), HYPERLINK(CONCATENATE("#metadata!", ADDRESS(INDEX($X$2:$X$1001,MATCH(ROWS($V$2:V241),$V$2:$V$1001,0),0), INDEX($AC$1004:$AS$1004,1,MATCH(COLUMNS($AC$1006:AH1006),$AC$1006:$AS$1006,0)))),"Fix")))</f>
        <v xml:space="preserve"> </v>
      </c>
      <c r="H241" s="4" t="str">
        <f ca="1">IF(OR(INDEX($W$2:$W$1001,MATCH(ROWS($V$2:V241),$V$2:$V$1001,0),1)&gt;=100000,INDEX($AC$1005:$AS$1005,1,MATCH(COLUMNS($AC$1006:AI1006),$AC$1006:$AS$1006,0))&gt;=100000), " ",IF(INDEX($AC$2:$AS$1001,MATCH(ROWS($V$2:V241),$V$2:$V$1001,0),MATCH(COLUMNS($AC$1006:AI1006),$AC$1006:$AS$1006,0)), HYPERLINK("#",""), HYPERLINK(CONCATENATE("#metadata!", ADDRESS(INDEX($X$2:$X$1001,MATCH(ROWS($V$2:V241),$V$2:$V$1001,0),0), INDEX($AC$1004:$AS$1004,1,MATCH(COLUMNS($AC$1006:AI1006),$AC$1006:$AS$1006,0)))),"Fix")))</f>
        <v xml:space="preserve"> </v>
      </c>
      <c r="I241" s="4" t="str">
        <f ca="1">IF(OR(INDEX($W$2:$W$1001,MATCH(ROWS($V$2:V241),$V$2:$V$1001,0),1)&gt;=100000,INDEX($AC$1005:$AS$1005,1,MATCH(COLUMNS($AC$1006:AJ1006),$AC$1006:$AS$1006,0))&gt;=100000), " ",IF(INDEX($AC$2:$AS$1001,MATCH(ROWS($V$2:V241),$V$2:$V$1001,0),MATCH(COLUMNS($AC$1006:AJ1006),$AC$1006:$AS$1006,0)), HYPERLINK("#",""), HYPERLINK(CONCATENATE("#metadata!", ADDRESS(INDEX($X$2:$X$1001,MATCH(ROWS($V$2:V241),$V$2:$V$1001,0),0), INDEX($AC$1004:$AS$1004,1,MATCH(COLUMNS($AC$1006:AJ1006),$AC$1006:$AS$1006,0)))),"Fix")))</f>
        <v xml:space="preserve"> </v>
      </c>
      <c r="J241" s="4" t="str">
        <f ca="1">IF(OR(INDEX($W$2:$W$1001,MATCH(ROWS($V$2:V241),$V$2:$V$1001,0),1)&gt;=100000,INDEX($AC$1005:$AS$1005,1,MATCH(COLUMNS($AC$1006:AK1006),$AC$1006:$AS$1006,0))&gt;=100000), " ",IF(INDEX($AC$2:$AS$1001,MATCH(ROWS($V$2:V241),$V$2:$V$1001,0),MATCH(COLUMNS($AC$1006:AK1006),$AC$1006:$AS$1006,0)), HYPERLINK("#",""), HYPERLINK(CONCATENATE("#metadata!", ADDRESS(INDEX($X$2:$X$1001,MATCH(ROWS($V$2:V241),$V$2:$V$1001,0),0), INDEX($AC$1004:$AS$1004,1,MATCH(COLUMNS($AC$1006:AK1006),$AC$1006:$AS$1006,0)))),"Fix")))</f>
        <v xml:space="preserve"> </v>
      </c>
      <c r="K241" s="4" t="str">
        <f ca="1">IF(OR(INDEX($W$2:$W$1001,MATCH(ROWS($V$2:V241),$V$2:$V$1001,0),1)&gt;=100000,INDEX($AC$1005:$AS$1005,1,MATCH(COLUMNS($AC$1006:AL1006),$AC$1006:$AS$1006,0))&gt;=100000), " ",IF(INDEX($AC$2:$AS$1001,MATCH(ROWS($V$2:V241),$V$2:$V$1001,0),MATCH(COLUMNS($AC$1006:AL1006),$AC$1006:$AS$1006,0)), HYPERLINK("#",""), HYPERLINK(CONCATENATE("#metadata!", ADDRESS(INDEX($X$2:$X$1001,MATCH(ROWS($V$2:V241),$V$2:$V$1001,0),0), INDEX($AC$1004:$AS$1004,1,MATCH(COLUMNS($AC$1006:AL1006),$AC$1006:$AS$1006,0)))),"Fix")))</f>
        <v xml:space="preserve"> </v>
      </c>
      <c r="L241" s="4" t="str">
        <f ca="1">IF(OR(INDEX($W$2:$W$1001,MATCH(ROWS($V$2:V241),$V$2:$V$1001,0),1)&gt;=100000,INDEX($AC$1005:$AS$1005,1,MATCH(COLUMNS($AC$1006:AM1006),$AC$1006:$AS$1006,0))&gt;=100000), " ",IF(INDEX($AC$2:$AS$1001,MATCH(ROWS($V$2:V241),$V$2:$V$1001,0),MATCH(COLUMNS($AC$1006:AM1006),$AC$1006:$AS$1006,0)), HYPERLINK("#",""), HYPERLINK(CONCATENATE("#metadata!", ADDRESS(INDEX($X$2:$X$1001,MATCH(ROWS($V$2:V241),$V$2:$V$1001,0),0), INDEX($AC$1004:$AS$1004,1,MATCH(COLUMNS($AC$1006:AM1006),$AC$1006:$AS$1006,0)))),"Fix")))</f>
        <v xml:space="preserve"> </v>
      </c>
      <c r="M241" s="4" t="str">
        <f ca="1">IF(OR(INDEX($W$2:$W$1001,MATCH(ROWS($V$2:V241),$V$2:$V$1001,0),1)&gt;=100000,INDEX($AC$1005:$AS$1005,1,MATCH(COLUMNS($AC$1006:AN1006),$AC$1006:$AS$1006,0))&gt;=100000), " ",IF(INDEX($AC$2:$AS$1001,MATCH(ROWS($V$2:V241),$V$2:$V$1001,0),MATCH(COLUMNS($AC$1006:AN1006),$AC$1006:$AS$1006,0)), HYPERLINK("#",""), HYPERLINK(CONCATENATE("#metadata!", ADDRESS(INDEX($X$2:$X$1001,MATCH(ROWS($V$2:V241),$V$2:$V$1001,0),0), INDEX($AC$1004:$AS$1004,1,MATCH(COLUMNS($AC$1006:AN1006),$AC$1006:$AS$1006,0)))),"Fix")))</f>
        <v xml:space="preserve"> </v>
      </c>
      <c r="N241" s="4" t="str">
        <f ca="1">IF(OR(INDEX($W$2:$W$1001,MATCH(ROWS($V$2:V241),$V$2:$V$1001,0),1)&gt;=100000,INDEX($AC$1005:$AS$1005,1,MATCH(COLUMNS($AC$1006:AO1006),$AC$1006:$AS$1006,0))&gt;=100000), " ",IF(INDEX($AC$2:$AS$1001,MATCH(ROWS($V$2:V241),$V$2:$V$1001,0),MATCH(COLUMNS($AC$1006:AO1006),$AC$1006:$AS$1006,0)), HYPERLINK("#",""), HYPERLINK(CONCATENATE("#metadata!", ADDRESS(INDEX($X$2:$X$1001,MATCH(ROWS($V$2:V241),$V$2:$V$1001,0),0), INDEX($AC$1004:$AS$1004,1,MATCH(COLUMNS($AC$1006:AO1006),$AC$1006:$AS$1006,0)))),"Fix")))</f>
        <v xml:space="preserve"> </v>
      </c>
      <c r="O241" s="4" t="str">
        <f ca="1">IF(OR(INDEX($W$2:$W$1001,MATCH(ROWS($V$2:V241),$V$2:$V$1001,0),1)&gt;=100000,INDEX($AC$1005:$AS$1005,1,MATCH(COLUMNS($AC$1006:AP1006),$AC$1006:$AS$1006,0))&gt;=100000), " ",IF(INDEX($AC$2:$AS$1001,MATCH(ROWS($V$2:V241),$V$2:$V$1001,0),MATCH(COLUMNS($AC$1006:AP1006),$AC$1006:$AS$1006,0)), HYPERLINK("#",""), HYPERLINK(CONCATENATE("#metadata!", ADDRESS(INDEX($X$2:$X$1001,MATCH(ROWS($V$2:V241),$V$2:$V$1001,0),0), INDEX($AC$1004:$AS$1004,1,MATCH(COLUMNS($AC$1006:AP1006),$AC$1006:$AS$1006,0)))),"Fix")))</f>
        <v xml:space="preserve"> </v>
      </c>
      <c r="P241" s="4" t="str">
        <f ca="1">IF(OR(INDEX($W$2:$W$1001,MATCH(ROWS($V$2:V241),$V$2:$V$1001,0),1)&gt;=100000,INDEX($AC$1005:$AS$1005,1,MATCH(COLUMNS($AC$1006:AQ1006),$AC$1006:$AS$1006,0))&gt;=100000), " ",IF(INDEX($AC$2:$AS$1001,MATCH(ROWS($V$2:V241),$V$2:$V$1001,0),MATCH(COLUMNS($AC$1006:AQ1006),$AC$1006:$AS$1006,0)), HYPERLINK("#",""), HYPERLINK(CONCATENATE("#metadata!", ADDRESS(INDEX($X$2:$X$1001,MATCH(ROWS($V$2:V241),$V$2:$V$1001,0),0), INDEX($AC$1004:$AS$1004,1,MATCH(COLUMNS($AC$1006:AQ1006),$AC$1006:$AS$1006,0)))),"Fix")))</f>
        <v xml:space="preserve"> </v>
      </c>
      <c r="Q241" s="4" t="str">
        <f ca="1">IF(OR(INDEX($W$2:$W$1001,MATCH(ROWS($V$2:V241),$V$2:$V$1001,0),1)&gt;=100000,INDEX($AC$1005:$AS$1005,1,MATCH(COLUMNS($AC$1006:AR1006),$AC$1006:$AS$1006,0))&gt;=100000), " ",IF(INDEX($AC$2:$AS$1001,MATCH(ROWS($V$2:V241),$V$2:$V$1001,0),MATCH(COLUMNS($AC$1006:AR1006),$AC$1006:$AS$1006,0)), HYPERLINK("#",""), HYPERLINK(CONCATENATE("#metadata!", ADDRESS(INDEX($X$2:$X$1001,MATCH(ROWS($V$2:V241),$V$2:$V$1001,0),0), INDEX($AC$1004:$AS$1004,1,MATCH(COLUMNS($AC$1006:AR1006),$AC$1006:$AS$1006,0)))),"Fix")))</f>
        <v xml:space="preserve"> </v>
      </c>
      <c r="R241" s="4" t="str">
        <f ca="1">IF(OR(INDEX($W$2:$W$1001,MATCH(ROWS($V$2:V241),$V$2:$V$1001,0),1)&gt;=100000,INDEX($AC$1005:$AS$1005,1,MATCH(COLUMNS($AC$1006:AS1006),$AC$1006:$AS$1006,0))&gt;=100000), " ",IF(INDEX($AC$2:$AS$1001,MATCH(ROWS($V$2:V241),$V$2:$V$1001,0),MATCH(COLUMNS($AC$1006:AS1006),$AC$1006:$AS$1006,0)), HYPERLINK("#",""), HYPERLINK(CONCATENATE("#metadata!", ADDRESS(INDEX($X$2:$X$1001,MATCH(ROWS($V$2:V241),$V$2:$V$1001,0),0), INDEX($AC$1004:$AS$1004,1,MATCH(COLUMNS($AC$1006:AS1006),$AC$1006:$AS$1006,0)))),"Fix")))</f>
        <v xml:space="preserve"> </v>
      </c>
      <c r="V241">
        <v>240</v>
      </c>
      <c r="W241">
        <v>100241</v>
      </c>
      <c r="X241">
        <v>241</v>
      </c>
      <c r="Y241" t="b">
        <f t="shared" si="3"/>
        <v>1</v>
      </c>
      <c r="Z241" t="b">
        <f>COUNTBLANK(metadata!B241:R241)=COLUMNS(metadata!B241:R241)</f>
        <v>1</v>
      </c>
      <c r="AA241" t="str">
        <v/>
      </c>
      <c r="AC241" t="b">
        <f ca="1"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AD241" t="b">
        <f>IF(metadata!C241="",FALSE,ISNUMBER(VALUE(metadata!C241)))</f>
        <v>0</v>
      </c>
      <c r="AE241" t="b">
        <f>AND(IF(metadata!D241="",FALSE,TRUE),EXACT(metadata!D241,"years"))</f>
        <v>0</v>
      </c>
      <c r="AF241" t="b">
        <f>OR(AND(IF(metadata!E241="",FALSE,TRUE),OR(EXACT(metadata!E241,"not applicable"),EXACT(metadata!E241,"missing: not collected"),EXACT(metadata!E241,"missing: not provided"),EXACT(metadata!E241,"missing: restricted access"))),AND(IF(metadata!E241="",FALSE,ISNUMBER(VALUE(metadata!E241))),metadata!E241&gt;0))</f>
        <v>0</v>
      </c>
      <c r="AG241" t="b">
        <f>AND(IF(metadata!F241="",FALSE,TRUE),EXACT(metadata!F241,"Not applicable"))</f>
        <v>0</v>
      </c>
      <c r="AH241" t="b">
        <f>AND(IF(metadata!G241="",FALSE,TRUE),EXACT(metadata!G241,"urban biome"))</f>
        <v>0</v>
      </c>
      <c r="AI241" t="b">
        <f>AND(IF(metadata!H241="",FALSE,TRUE),EXACT(metadata!H241,"human-associated habitat"))</f>
        <v>0</v>
      </c>
      <c r="AJ241" t="b">
        <f>AND(IF(metadata!I241="",FALSE,TRUE),OR(EXACT(metadata!I241,"human-associated"),EXACT(metadata!I241,"human-skin"),EXACT(metadata!I241,"human-oral"),EXACT(metadata!I241,"human-gut"),EXACT(metadata!I241,"human-vaginal")))</f>
        <v>0</v>
      </c>
      <c r="AK241" t="b">
        <f>IF(metadata!J241="",FALSE,ISNUMBER(VALUE(metadata!J241)))</f>
        <v>0</v>
      </c>
      <c r="AL241" t="b">
        <f>AND(IF(metadata!K241="",FALSE,TRUE),EXACT(metadata!K241,"cm"))</f>
        <v>0</v>
      </c>
      <c r="AM241" t="b">
        <f>AND(IF(metadata!L241="",FALSE,TRUE),EXACT(metadata!L241,"human"))</f>
        <v>0</v>
      </c>
      <c r="AN241" t="b">
        <f>AND(IF(metadata!M241="",FALSE,TRUE),EXACT(metadata!M241,"Homo sapiens"))</f>
        <v>0</v>
      </c>
      <c r="AO241" t="b">
        <f>AND(IF(metadata!N241="",FALSE,TRUE),EXACT(metadata!N241,"9606"))</f>
        <v>0</v>
      </c>
      <c r="AP241" t="b">
        <f>IF(metadata!O241="",FALSE,TRUE)</f>
        <v>0</v>
      </c>
      <c r="AQ241" t="b">
        <f>IF(metadata!P241="",FALSE,TRUE)</f>
        <v>0</v>
      </c>
      <c r="AR241" t="b">
        <f>IF(metadata!Q241="",FALSE,ISNUMBER(VALUE(metadata!Q241)))</f>
        <v>0</v>
      </c>
      <c r="AS241" t="b">
        <f>AND(IF(metadata!R241="",FALSE,TRUE),EXACT(metadata!R241,"kg"))</f>
        <v>0</v>
      </c>
    </row>
    <row r="242" spans="1:45" x14ac:dyDescent="0.2">
      <c r="A242" s="5" t="str">
        <f ca="1">IF(B242=" "," ",HYPERLINK(CONCATENATE("#metadata!",ADDRESS(INDEX($X$2:$X$1001,MATCH(ROWS($V$2:V242),$V$2:$V$1001,0),0),1)),INDEX($AA$2:$AA$1001,MATCH(ROWS($V$2:V242),$V$2:$V$1001,0),0)))</f>
        <v xml:space="preserve"> </v>
      </c>
      <c r="B242" s="4" t="str">
        <f ca="1">IF(OR(INDEX($W$2:$W$1001,MATCH(ROWS($V$2:V242),$V$2:$V$1001,0),1)&gt;=100000,INDEX($AC$1005:$AS$1005,1,MATCH(COLUMNS($AC$1006:AC1006),$AC$1006:$AS$1006,0))&gt;=100000), " ",IF(INDEX($AC$2:$AS$1001,MATCH(ROWS($V$2:V242),$V$2:$V$1001,0),MATCH(COLUMNS($AC$1006:AC1006),$AC$1006:$AS$1006,0)), HYPERLINK("#",""), HYPERLINK(CONCATENATE("#metadata!", ADDRESS(INDEX($X$2:$X$1001,MATCH(ROWS($V$2:V242),$V$2:$V$1001,0),0), INDEX($AC$1004:$AS$1004,1,MATCH(COLUMNS($AC$1006:AC1006),$AC$1006:$AS$1006,0)))),"Fix")))</f>
        <v xml:space="preserve"> </v>
      </c>
      <c r="C242" s="4" t="str">
        <f ca="1">IF(OR(INDEX($W$2:$W$1001,MATCH(ROWS($V$2:V242),$V$2:$V$1001,0),1)&gt;=100000,INDEX($AC$1005:$AS$1005,1,MATCH(COLUMNS($AC$1006:AD1006),$AC$1006:$AS$1006,0))&gt;=100000), " ",IF(INDEX($AC$2:$AS$1001,MATCH(ROWS($V$2:V242),$V$2:$V$1001,0),MATCH(COLUMNS($AC$1006:AD1006),$AC$1006:$AS$1006,0)), HYPERLINK("#",""), HYPERLINK(CONCATENATE("#metadata!", ADDRESS(INDEX($X$2:$X$1001,MATCH(ROWS($V$2:V242),$V$2:$V$1001,0),0), INDEX($AC$1004:$AS$1004,1,MATCH(COLUMNS($AC$1006:AD1006),$AC$1006:$AS$1006,0)))),"Fix")))</f>
        <v xml:space="preserve"> </v>
      </c>
      <c r="D242" s="4" t="str">
        <f ca="1">IF(OR(INDEX($W$2:$W$1001,MATCH(ROWS($V$2:V242),$V$2:$V$1001,0),1)&gt;=100000,INDEX($AC$1005:$AS$1005,1,MATCH(COLUMNS($AC$1006:AE1006),$AC$1006:$AS$1006,0))&gt;=100000), " ",IF(INDEX($AC$2:$AS$1001,MATCH(ROWS($V$2:V242),$V$2:$V$1001,0),MATCH(COLUMNS($AC$1006:AE1006),$AC$1006:$AS$1006,0)), HYPERLINK("#",""), HYPERLINK(CONCATENATE("#metadata!", ADDRESS(INDEX($X$2:$X$1001,MATCH(ROWS($V$2:V242),$V$2:$V$1001,0),0), INDEX($AC$1004:$AS$1004,1,MATCH(COLUMNS($AC$1006:AE1006),$AC$1006:$AS$1006,0)))),"Fix")))</f>
        <v xml:space="preserve"> </v>
      </c>
      <c r="E242" s="4" t="str">
        <f ca="1">IF(OR(INDEX($W$2:$W$1001,MATCH(ROWS($V$2:V242),$V$2:$V$1001,0),1)&gt;=100000,INDEX($AC$1005:$AS$1005,1,MATCH(COLUMNS($AC$1006:AF1006),$AC$1006:$AS$1006,0))&gt;=100000), " ",IF(INDEX($AC$2:$AS$1001,MATCH(ROWS($V$2:V242),$V$2:$V$1001,0),MATCH(COLUMNS($AC$1006:AF1006),$AC$1006:$AS$1006,0)), HYPERLINK("#",""), HYPERLINK(CONCATENATE("#metadata!", ADDRESS(INDEX($X$2:$X$1001,MATCH(ROWS($V$2:V242),$V$2:$V$1001,0),0), INDEX($AC$1004:$AS$1004,1,MATCH(COLUMNS($AC$1006:AF1006),$AC$1006:$AS$1006,0)))),"Fix")))</f>
        <v xml:space="preserve"> </v>
      </c>
      <c r="F242" s="4" t="str">
        <f ca="1">IF(OR(INDEX($W$2:$W$1001,MATCH(ROWS($V$2:V242),$V$2:$V$1001,0),1)&gt;=100000,INDEX($AC$1005:$AS$1005,1,MATCH(COLUMNS($AC$1006:AG1006),$AC$1006:$AS$1006,0))&gt;=100000), " ",IF(INDEX($AC$2:$AS$1001,MATCH(ROWS($V$2:V242),$V$2:$V$1001,0),MATCH(COLUMNS($AC$1006:AG1006),$AC$1006:$AS$1006,0)), HYPERLINK("#",""), HYPERLINK(CONCATENATE("#metadata!", ADDRESS(INDEX($X$2:$X$1001,MATCH(ROWS($V$2:V242),$V$2:$V$1001,0),0), INDEX($AC$1004:$AS$1004,1,MATCH(COLUMNS($AC$1006:AG1006),$AC$1006:$AS$1006,0)))),"Fix")))</f>
        <v xml:space="preserve"> </v>
      </c>
      <c r="G242" s="4" t="str">
        <f ca="1">IF(OR(INDEX($W$2:$W$1001,MATCH(ROWS($V$2:V242),$V$2:$V$1001,0),1)&gt;=100000,INDEX($AC$1005:$AS$1005,1,MATCH(COLUMNS($AC$1006:AH1006),$AC$1006:$AS$1006,0))&gt;=100000), " ",IF(INDEX($AC$2:$AS$1001,MATCH(ROWS($V$2:V242),$V$2:$V$1001,0),MATCH(COLUMNS($AC$1006:AH1006),$AC$1006:$AS$1006,0)), HYPERLINK("#",""), HYPERLINK(CONCATENATE("#metadata!", ADDRESS(INDEX($X$2:$X$1001,MATCH(ROWS($V$2:V242),$V$2:$V$1001,0),0), INDEX($AC$1004:$AS$1004,1,MATCH(COLUMNS($AC$1006:AH1006),$AC$1006:$AS$1006,0)))),"Fix")))</f>
        <v xml:space="preserve"> </v>
      </c>
      <c r="H242" s="4" t="str">
        <f ca="1">IF(OR(INDEX($W$2:$W$1001,MATCH(ROWS($V$2:V242),$V$2:$V$1001,0),1)&gt;=100000,INDEX($AC$1005:$AS$1005,1,MATCH(COLUMNS($AC$1006:AI1006),$AC$1006:$AS$1006,0))&gt;=100000), " ",IF(INDEX($AC$2:$AS$1001,MATCH(ROWS($V$2:V242),$V$2:$V$1001,0),MATCH(COLUMNS($AC$1006:AI1006),$AC$1006:$AS$1006,0)), HYPERLINK("#",""), HYPERLINK(CONCATENATE("#metadata!", ADDRESS(INDEX($X$2:$X$1001,MATCH(ROWS($V$2:V242),$V$2:$V$1001,0),0), INDEX($AC$1004:$AS$1004,1,MATCH(COLUMNS($AC$1006:AI1006),$AC$1006:$AS$1006,0)))),"Fix")))</f>
        <v xml:space="preserve"> </v>
      </c>
      <c r="I242" s="4" t="str">
        <f ca="1">IF(OR(INDEX($W$2:$W$1001,MATCH(ROWS($V$2:V242),$V$2:$V$1001,0),1)&gt;=100000,INDEX($AC$1005:$AS$1005,1,MATCH(COLUMNS($AC$1006:AJ1006),$AC$1006:$AS$1006,0))&gt;=100000), " ",IF(INDEX($AC$2:$AS$1001,MATCH(ROWS($V$2:V242),$V$2:$V$1001,0),MATCH(COLUMNS($AC$1006:AJ1006),$AC$1006:$AS$1006,0)), HYPERLINK("#",""), HYPERLINK(CONCATENATE("#metadata!", ADDRESS(INDEX($X$2:$X$1001,MATCH(ROWS($V$2:V242),$V$2:$V$1001,0),0), INDEX($AC$1004:$AS$1004,1,MATCH(COLUMNS($AC$1006:AJ1006),$AC$1006:$AS$1006,0)))),"Fix")))</f>
        <v xml:space="preserve"> </v>
      </c>
      <c r="J242" s="4" t="str">
        <f ca="1">IF(OR(INDEX($W$2:$W$1001,MATCH(ROWS($V$2:V242),$V$2:$V$1001,0),1)&gt;=100000,INDEX($AC$1005:$AS$1005,1,MATCH(COLUMNS($AC$1006:AK1006),$AC$1006:$AS$1006,0))&gt;=100000), " ",IF(INDEX($AC$2:$AS$1001,MATCH(ROWS($V$2:V242),$V$2:$V$1001,0),MATCH(COLUMNS($AC$1006:AK1006),$AC$1006:$AS$1006,0)), HYPERLINK("#",""), HYPERLINK(CONCATENATE("#metadata!", ADDRESS(INDEX($X$2:$X$1001,MATCH(ROWS($V$2:V242),$V$2:$V$1001,0),0), INDEX($AC$1004:$AS$1004,1,MATCH(COLUMNS($AC$1006:AK1006),$AC$1006:$AS$1006,0)))),"Fix")))</f>
        <v xml:space="preserve"> </v>
      </c>
      <c r="K242" s="4" t="str">
        <f ca="1">IF(OR(INDEX($W$2:$W$1001,MATCH(ROWS($V$2:V242),$V$2:$V$1001,0),1)&gt;=100000,INDEX($AC$1005:$AS$1005,1,MATCH(COLUMNS($AC$1006:AL1006),$AC$1006:$AS$1006,0))&gt;=100000), " ",IF(INDEX($AC$2:$AS$1001,MATCH(ROWS($V$2:V242),$V$2:$V$1001,0),MATCH(COLUMNS($AC$1006:AL1006),$AC$1006:$AS$1006,0)), HYPERLINK("#",""), HYPERLINK(CONCATENATE("#metadata!", ADDRESS(INDEX($X$2:$X$1001,MATCH(ROWS($V$2:V242),$V$2:$V$1001,0),0), INDEX($AC$1004:$AS$1004,1,MATCH(COLUMNS($AC$1006:AL1006),$AC$1006:$AS$1006,0)))),"Fix")))</f>
        <v xml:space="preserve"> </v>
      </c>
      <c r="L242" s="4" t="str">
        <f ca="1">IF(OR(INDEX($W$2:$W$1001,MATCH(ROWS($V$2:V242),$V$2:$V$1001,0),1)&gt;=100000,INDEX($AC$1005:$AS$1005,1,MATCH(COLUMNS($AC$1006:AM1006),$AC$1006:$AS$1006,0))&gt;=100000), " ",IF(INDEX($AC$2:$AS$1001,MATCH(ROWS($V$2:V242),$V$2:$V$1001,0),MATCH(COLUMNS($AC$1006:AM1006),$AC$1006:$AS$1006,0)), HYPERLINK("#",""), HYPERLINK(CONCATENATE("#metadata!", ADDRESS(INDEX($X$2:$X$1001,MATCH(ROWS($V$2:V242),$V$2:$V$1001,0),0), INDEX($AC$1004:$AS$1004,1,MATCH(COLUMNS($AC$1006:AM1006),$AC$1006:$AS$1006,0)))),"Fix")))</f>
        <v xml:space="preserve"> </v>
      </c>
      <c r="M242" s="4" t="str">
        <f ca="1">IF(OR(INDEX($W$2:$W$1001,MATCH(ROWS($V$2:V242),$V$2:$V$1001,0),1)&gt;=100000,INDEX($AC$1005:$AS$1005,1,MATCH(COLUMNS($AC$1006:AN1006),$AC$1006:$AS$1006,0))&gt;=100000), " ",IF(INDEX($AC$2:$AS$1001,MATCH(ROWS($V$2:V242),$V$2:$V$1001,0),MATCH(COLUMNS($AC$1006:AN1006),$AC$1006:$AS$1006,0)), HYPERLINK("#",""), HYPERLINK(CONCATENATE("#metadata!", ADDRESS(INDEX($X$2:$X$1001,MATCH(ROWS($V$2:V242),$V$2:$V$1001,0),0), INDEX($AC$1004:$AS$1004,1,MATCH(COLUMNS($AC$1006:AN1006),$AC$1006:$AS$1006,0)))),"Fix")))</f>
        <v xml:space="preserve"> </v>
      </c>
      <c r="N242" s="4" t="str">
        <f ca="1">IF(OR(INDEX($W$2:$W$1001,MATCH(ROWS($V$2:V242),$V$2:$V$1001,0),1)&gt;=100000,INDEX($AC$1005:$AS$1005,1,MATCH(COLUMNS($AC$1006:AO1006),$AC$1006:$AS$1006,0))&gt;=100000), " ",IF(INDEX($AC$2:$AS$1001,MATCH(ROWS($V$2:V242),$V$2:$V$1001,0),MATCH(COLUMNS($AC$1006:AO1006),$AC$1006:$AS$1006,0)), HYPERLINK("#",""), HYPERLINK(CONCATENATE("#metadata!", ADDRESS(INDEX($X$2:$X$1001,MATCH(ROWS($V$2:V242),$V$2:$V$1001,0),0), INDEX($AC$1004:$AS$1004,1,MATCH(COLUMNS($AC$1006:AO1006),$AC$1006:$AS$1006,0)))),"Fix")))</f>
        <v xml:space="preserve"> </v>
      </c>
      <c r="O242" s="4" t="str">
        <f ca="1">IF(OR(INDEX($W$2:$W$1001,MATCH(ROWS($V$2:V242),$V$2:$V$1001,0),1)&gt;=100000,INDEX($AC$1005:$AS$1005,1,MATCH(COLUMNS($AC$1006:AP1006),$AC$1006:$AS$1006,0))&gt;=100000), " ",IF(INDEX($AC$2:$AS$1001,MATCH(ROWS($V$2:V242),$V$2:$V$1001,0),MATCH(COLUMNS($AC$1006:AP1006),$AC$1006:$AS$1006,0)), HYPERLINK("#",""), HYPERLINK(CONCATENATE("#metadata!", ADDRESS(INDEX($X$2:$X$1001,MATCH(ROWS($V$2:V242),$V$2:$V$1001,0),0), INDEX($AC$1004:$AS$1004,1,MATCH(COLUMNS($AC$1006:AP1006),$AC$1006:$AS$1006,0)))),"Fix")))</f>
        <v xml:space="preserve"> </v>
      </c>
      <c r="P242" s="4" t="str">
        <f ca="1">IF(OR(INDEX($W$2:$W$1001,MATCH(ROWS($V$2:V242),$V$2:$V$1001,0),1)&gt;=100000,INDEX($AC$1005:$AS$1005,1,MATCH(COLUMNS($AC$1006:AQ1006),$AC$1006:$AS$1006,0))&gt;=100000), " ",IF(INDEX($AC$2:$AS$1001,MATCH(ROWS($V$2:V242),$V$2:$V$1001,0),MATCH(COLUMNS($AC$1006:AQ1006),$AC$1006:$AS$1006,0)), HYPERLINK("#",""), HYPERLINK(CONCATENATE("#metadata!", ADDRESS(INDEX($X$2:$X$1001,MATCH(ROWS($V$2:V242),$V$2:$V$1001,0),0), INDEX($AC$1004:$AS$1004,1,MATCH(COLUMNS($AC$1006:AQ1006),$AC$1006:$AS$1006,0)))),"Fix")))</f>
        <v xml:space="preserve"> </v>
      </c>
      <c r="Q242" s="4" t="str">
        <f ca="1">IF(OR(INDEX($W$2:$W$1001,MATCH(ROWS($V$2:V242),$V$2:$V$1001,0),1)&gt;=100000,INDEX($AC$1005:$AS$1005,1,MATCH(COLUMNS($AC$1006:AR1006),$AC$1006:$AS$1006,0))&gt;=100000), " ",IF(INDEX($AC$2:$AS$1001,MATCH(ROWS($V$2:V242),$V$2:$V$1001,0),MATCH(COLUMNS($AC$1006:AR1006),$AC$1006:$AS$1006,0)), HYPERLINK("#",""), HYPERLINK(CONCATENATE("#metadata!", ADDRESS(INDEX($X$2:$X$1001,MATCH(ROWS($V$2:V242),$V$2:$V$1001,0),0), INDEX($AC$1004:$AS$1004,1,MATCH(COLUMNS($AC$1006:AR1006),$AC$1006:$AS$1006,0)))),"Fix")))</f>
        <v xml:space="preserve"> </v>
      </c>
      <c r="R242" s="4" t="str">
        <f ca="1">IF(OR(INDEX($W$2:$W$1001,MATCH(ROWS($V$2:V242),$V$2:$V$1001,0),1)&gt;=100000,INDEX($AC$1005:$AS$1005,1,MATCH(COLUMNS($AC$1006:AS1006),$AC$1006:$AS$1006,0))&gt;=100000), " ",IF(INDEX($AC$2:$AS$1001,MATCH(ROWS($V$2:V242),$V$2:$V$1001,0),MATCH(COLUMNS($AC$1006:AS1006),$AC$1006:$AS$1006,0)), HYPERLINK("#",""), HYPERLINK(CONCATENATE("#metadata!", ADDRESS(INDEX($X$2:$X$1001,MATCH(ROWS($V$2:V242),$V$2:$V$1001,0),0), INDEX($AC$1004:$AS$1004,1,MATCH(COLUMNS($AC$1006:AS1006),$AC$1006:$AS$1006,0)))),"Fix")))</f>
        <v xml:space="preserve"> </v>
      </c>
      <c r="V242">
        <v>241</v>
      </c>
      <c r="W242">
        <v>100242</v>
      </c>
      <c r="X242">
        <v>242</v>
      </c>
      <c r="Y242" t="b">
        <f t="shared" si="3"/>
        <v>1</v>
      </c>
      <c r="Z242" t="b">
        <f>COUNTBLANK(metadata!B242:R242)=COLUMNS(metadata!B242:R242)</f>
        <v>1</v>
      </c>
      <c r="AA242" t="str">
        <v/>
      </c>
      <c r="AC242" t="b">
        <f ca="1"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AD242" t="b">
        <f>IF(metadata!C242="",FALSE,ISNUMBER(VALUE(metadata!C242)))</f>
        <v>0</v>
      </c>
      <c r="AE242" t="b">
        <f>AND(IF(metadata!D242="",FALSE,TRUE),EXACT(metadata!D242,"years"))</f>
        <v>0</v>
      </c>
      <c r="AF242" t="b">
        <f>OR(AND(IF(metadata!E242="",FALSE,TRUE),OR(EXACT(metadata!E242,"not applicable"),EXACT(metadata!E242,"missing: not collected"),EXACT(metadata!E242,"missing: not provided"),EXACT(metadata!E242,"missing: restricted access"))),AND(IF(metadata!E242="",FALSE,ISNUMBER(VALUE(metadata!E242))),metadata!E242&gt;0))</f>
        <v>0</v>
      </c>
      <c r="AG242" t="b">
        <f>AND(IF(metadata!F242="",FALSE,TRUE),EXACT(metadata!F242,"Not applicable"))</f>
        <v>0</v>
      </c>
      <c r="AH242" t="b">
        <f>AND(IF(metadata!G242="",FALSE,TRUE),EXACT(metadata!G242,"urban biome"))</f>
        <v>0</v>
      </c>
      <c r="AI242" t="b">
        <f>AND(IF(metadata!H242="",FALSE,TRUE),EXACT(metadata!H242,"human-associated habitat"))</f>
        <v>0</v>
      </c>
      <c r="AJ242" t="b">
        <f>AND(IF(metadata!I242="",FALSE,TRUE),OR(EXACT(metadata!I242,"human-associated"),EXACT(metadata!I242,"human-skin"),EXACT(metadata!I242,"human-oral"),EXACT(metadata!I242,"human-gut"),EXACT(metadata!I242,"human-vaginal")))</f>
        <v>0</v>
      </c>
      <c r="AK242" t="b">
        <f>IF(metadata!J242="",FALSE,ISNUMBER(VALUE(metadata!J242)))</f>
        <v>0</v>
      </c>
      <c r="AL242" t="b">
        <f>AND(IF(metadata!K242="",FALSE,TRUE),EXACT(metadata!K242,"cm"))</f>
        <v>0</v>
      </c>
      <c r="AM242" t="b">
        <f>AND(IF(metadata!L242="",FALSE,TRUE),EXACT(metadata!L242,"human"))</f>
        <v>0</v>
      </c>
      <c r="AN242" t="b">
        <f>AND(IF(metadata!M242="",FALSE,TRUE),EXACT(metadata!M242,"Homo sapiens"))</f>
        <v>0</v>
      </c>
      <c r="AO242" t="b">
        <f>AND(IF(metadata!N242="",FALSE,TRUE),EXACT(metadata!N242,"9606"))</f>
        <v>0</v>
      </c>
      <c r="AP242" t="b">
        <f>IF(metadata!O242="",FALSE,TRUE)</f>
        <v>0</v>
      </c>
      <c r="AQ242" t="b">
        <f>IF(metadata!P242="",FALSE,TRUE)</f>
        <v>0</v>
      </c>
      <c r="AR242" t="b">
        <f>IF(metadata!Q242="",FALSE,ISNUMBER(VALUE(metadata!Q242)))</f>
        <v>0</v>
      </c>
      <c r="AS242" t="b">
        <f>AND(IF(metadata!R242="",FALSE,TRUE),EXACT(metadata!R242,"kg"))</f>
        <v>0</v>
      </c>
    </row>
    <row r="243" spans="1:45" x14ac:dyDescent="0.2">
      <c r="A243" s="5" t="str">
        <f ca="1">IF(B243=" "," ",HYPERLINK(CONCATENATE("#metadata!",ADDRESS(INDEX($X$2:$X$1001,MATCH(ROWS($V$2:V243),$V$2:$V$1001,0),0),1)),INDEX($AA$2:$AA$1001,MATCH(ROWS($V$2:V243),$V$2:$V$1001,0),0)))</f>
        <v xml:space="preserve"> </v>
      </c>
      <c r="B243" s="4" t="str">
        <f ca="1">IF(OR(INDEX($W$2:$W$1001,MATCH(ROWS($V$2:V243),$V$2:$V$1001,0),1)&gt;=100000,INDEX($AC$1005:$AS$1005,1,MATCH(COLUMNS($AC$1006:AC1006),$AC$1006:$AS$1006,0))&gt;=100000), " ",IF(INDEX($AC$2:$AS$1001,MATCH(ROWS($V$2:V243),$V$2:$V$1001,0),MATCH(COLUMNS($AC$1006:AC1006),$AC$1006:$AS$1006,0)), HYPERLINK("#",""), HYPERLINK(CONCATENATE("#metadata!", ADDRESS(INDEX($X$2:$X$1001,MATCH(ROWS($V$2:V243),$V$2:$V$1001,0),0), INDEX($AC$1004:$AS$1004,1,MATCH(COLUMNS($AC$1006:AC1006),$AC$1006:$AS$1006,0)))),"Fix")))</f>
        <v xml:space="preserve"> </v>
      </c>
      <c r="C243" s="4" t="str">
        <f ca="1">IF(OR(INDEX($W$2:$W$1001,MATCH(ROWS($V$2:V243),$V$2:$V$1001,0),1)&gt;=100000,INDEX($AC$1005:$AS$1005,1,MATCH(COLUMNS($AC$1006:AD1006),$AC$1006:$AS$1006,0))&gt;=100000), " ",IF(INDEX($AC$2:$AS$1001,MATCH(ROWS($V$2:V243),$V$2:$V$1001,0),MATCH(COLUMNS($AC$1006:AD1006),$AC$1006:$AS$1006,0)), HYPERLINK("#",""), HYPERLINK(CONCATENATE("#metadata!", ADDRESS(INDEX($X$2:$X$1001,MATCH(ROWS($V$2:V243),$V$2:$V$1001,0),0), INDEX($AC$1004:$AS$1004,1,MATCH(COLUMNS($AC$1006:AD1006),$AC$1006:$AS$1006,0)))),"Fix")))</f>
        <v xml:space="preserve"> </v>
      </c>
      <c r="D243" s="4" t="str">
        <f ca="1">IF(OR(INDEX($W$2:$W$1001,MATCH(ROWS($V$2:V243),$V$2:$V$1001,0),1)&gt;=100000,INDEX($AC$1005:$AS$1005,1,MATCH(COLUMNS($AC$1006:AE1006),$AC$1006:$AS$1006,0))&gt;=100000), " ",IF(INDEX($AC$2:$AS$1001,MATCH(ROWS($V$2:V243),$V$2:$V$1001,0),MATCH(COLUMNS($AC$1006:AE1006),$AC$1006:$AS$1006,0)), HYPERLINK("#",""), HYPERLINK(CONCATENATE("#metadata!", ADDRESS(INDEX($X$2:$X$1001,MATCH(ROWS($V$2:V243),$V$2:$V$1001,0),0), INDEX($AC$1004:$AS$1004,1,MATCH(COLUMNS($AC$1006:AE1006),$AC$1006:$AS$1006,0)))),"Fix")))</f>
        <v xml:space="preserve"> </v>
      </c>
      <c r="E243" s="4" t="str">
        <f ca="1">IF(OR(INDEX($W$2:$W$1001,MATCH(ROWS($V$2:V243),$V$2:$V$1001,0),1)&gt;=100000,INDEX($AC$1005:$AS$1005,1,MATCH(COLUMNS($AC$1006:AF1006),$AC$1006:$AS$1006,0))&gt;=100000), " ",IF(INDEX($AC$2:$AS$1001,MATCH(ROWS($V$2:V243),$V$2:$V$1001,0),MATCH(COLUMNS($AC$1006:AF1006),$AC$1006:$AS$1006,0)), HYPERLINK("#",""), HYPERLINK(CONCATENATE("#metadata!", ADDRESS(INDEX($X$2:$X$1001,MATCH(ROWS($V$2:V243),$V$2:$V$1001,0),0), INDEX($AC$1004:$AS$1004,1,MATCH(COLUMNS($AC$1006:AF1006),$AC$1006:$AS$1006,0)))),"Fix")))</f>
        <v xml:space="preserve"> </v>
      </c>
      <c r="F243" s="4" t="str">
        <f ca="1">IF(OR(INDEX($W$2:$W$1001,MATCH(ROWS($V$2:V243),$V$2:$V$1001,0),1)&gt;=100000,INDEX($AC$1005:$AS$1005,1,MATCH(COLUMNS($AC$1006:AG1006),$AC$1006:$AS$1006,0))&gt;=100000), " ",IF(INDEX($AC$2:$AS$1001,MATCH(ROWS($V$2:V243),$V$2:$V$1001,0),MATCH(COLUMNS($AC$1006:AG1006),$AC$1006:$AS$1006,0)), HYPERLINK("#",""), HYPERLINK(CONCATENATE("#metadata!", ADDRESS(INDEX($X$2:$X$1001,MATCH(ROWS($V$2:V243),$V$2:$V$1001,0),0), INDEX($AC$1004:$AS$1004,1,MATCH(COLUMNS($AC$1006:AG1006),$AC$1006:$AS$1006,0)))),"Fix")))</f>
        <v xml:space="preserve"> </v>
      </c>
      <c r="G243" s="4" t="str">
        <f ca="1">IF(OR(INDEX($W$2:$W$1001,MATCH(ROWS($V$2:V243),$V$2:$V$1001,0),1)&gt;=100000,INDEX($AC$1005:$AS$1005,1,MATCH(COLUMNS($AC$1006:AH1006),$AC$1006:$AS$1006,0))&gt;=100000), " ",IF(INDEX($AC$2:$AS$1001,MATCH(ROWS($V$2:V243),$V$2:$V$1001,0),MATCH(COLUMNS($AC$1006:AH1006),$AC$1006:$AS$1006,0)), HYPERLINK("#",""), HYPERLINK(CONCATENATE("#metadata!", ADDRESS(INDEX($X$2:$X$1001,MATCH(ROWS($V$2:V243),$V$2:$V$1001,0),0), INDEX($AC$1004:$AS$1004,1,MATCH(COLUMNS($AC$1006:AH1006),$AC$1006:$AS$1006,0)))),"Fix")))</f>
        <v xml:space="preserve"> </v>
      </c>
      <c r="H243" s="4" t="str">
        <f ca="1">IF(OR(INDEX($W$2:$W$1001,MATCH(ROWS($V$2:V243),$V$2:$V$1001,0),1)&gt;=100000,INDEX($AC$1005:$AS$1005,1,MATCH(COLUMNS($AC$1006:AI1006),$AC$1006:$AS$1006,0))&gt;=100000), " ",IF(INDEX($AC$2:$AS$1001,MATCH(ROWS($V$2:V243),$V$2:$V$1001,0),MATCH(COLUMNS($AC$1006:AI1006),$AC$1006:$AS$1006,0)), HYPERLINK("#",""), HYPERLINK(CONCATENATE("#metadata!", ADDRESS(INDEX($X$2:$X$1001,MATCH(ROWS($V$2:V243),$V$2:$V$1001,0),0), INDEX($AC$1004:$AS$1004,1,MATCH(COLUMNS($AC$1006:AI1006),$AC$1006:$AS$1006,0)))),"Fix")))</f>
        <v xml:space="preserve"> </v>
      </c>
      <c r="I243" s="4" t="str">
        <f ca="1">IF(OR(INDEX($W$2:$W$1001,MATCH(ROWS($V$2:V243),$V$2:$V$1001,0),1)&gt;=100000,INDEX($AC$1005:$AS$1005,1,MATCH(COLUMNS($AC$1006:AJ1006),$AC$1006:$AS$1006,0))&gt;=100000), " ",IF(INDEX($AC$2:$AS$1001,MATCH(ROWS($V$2:V243),$V$2:$V$1001,0),MATCH(COLUMNS($AC$1006:AJ1006),$AC$1006:$AS$1006,0)), HYPERLINK("#",""), HYPERLINK(CONCATENATE("#metadata!", ADDRESS(INDEX($X$2:$X$1001,MATCH(ROWS($V$2:V243),$V$2:$V$1001,0),0), INDEX($AC$1004:$AS$1004,1,MATCH(COLUMNS($AC$1006:AJ1006),$AC$1006:$AS$1006,0)))),"Fix")))</f>
        <v xml:space="preserve"> </v>
      </c>
      <c r="J243" s="4" t="str">
        <f ca="1">IF(OR(INDEX($W$2:$W$1001,MATCH(ROWS($V$2:V243),$V$2:$V$1001,0),1)&gt;=100000,INDEX($AC$1005:$AS$1005,1,MATCH(COLUMNS($AC$1006:AK1006),$AC$1006:$AS$1006,0))&gt;=100000), " ",IF(INDEX($AC$2:$AS$1001,MATCH(ROWS($V$2:V243),$V$2:$V$1001,0),MATCH(COLUMNS($AC$1006:AK1006),$AC$1006:$AS$1006,0)), HYPERLINK("#",""), HYPERLINK(CONCATENATE("#metadata!", ADDRESS(INDEX($X$2:$X$1001,MATCH(ROWS($V$2:V243),$V$2:$V$1001,0),0), INDEX($AC$1004:$AS$1004,1,MATCH(COLUMNS($AC$1006:AK1006),$AC$1006:$AS$1006,0)))),"Fix")))</f>
        <v xml:space="preserve"> </v>
      </c>
      <c r="K243" s="4" t="str">
        <f ca="1">IF(OR(INDEX($W$2:$W$1001,MATCH(ROWS($V$2:V243),$V$2:$V$1001,0),1)&gt;=100000,INDEX($AC$1005:$AS$1005,1,MATCH(COLUMNS($AC$1006:AL1006),$AC$1006:$AS$1006,0))&gt;=100000), " ",IF(INDEX($AC$2:$AS$1001,MATCH(ROWS($V$2:V243),$V$2:$V$1001,0),MATCH(COLUMNS($AC$1006:AL1006),$AC$1006:$AS$1006,0)), HYPERLINK("#",""), HYPERLINK(CONCATENATE("#metadata!", ADDRESS(INDEX($X$2:$X$1001,MATCH(ROWS($V$2:V243),$V$2:$V$1001,0),0), INDEX($AC$1004:$AS$1004,1,MATCH(COLUMNS($AC$1006:AL1006),$AC$1006:$AS$1006,0)))),"Fix")))</f>
        <v xml:space="preserve"> </v>
      </c>
      <c r="L243" s="4" t="str">
        <f ca="1">IF(OR(INDEX($W$2:$W$1001,MATCH(ROWS($V$2:V243),$V$2:$V$1001,0),1)&gt;=100000,INDEX($AC$1005:$AS$1005,1,MATCH(COLUMNS($AC$1006:AM1006),$AC$1006:$AS$1006,0))&gt;=100000), " ",IF(INDEX($AC$2:$AS$1001,MATCH(ROWS($V$2:V243),$V$2:$V$1001,0),MATCH(COLUMNS($AC$1006:AM1006),$AC$1006:$AS$1006,0)), HYPERLINK("#",""), HYPERLINK(CONCATENATE("#metadata!", ADDRESS(INDEX($X$2:$X$1001,MATCH(ROWS($V$2:V243),$V$2:$V$1001,0),0), INDEX($AC$1004:$AS$1004,1,MATCH(COLUMNS($AC$1006:AM1006),$AC$1006:$AS$1006,0)))),"Fix")))</f>
        <v xml:space="preserve"> </v>
      </c>
      <c r="M243" s="4" t="str">
        <f ca="1">IF(OR(INDEX($W$2:$W$1001,MATCH(ROWS($V$2:V243),$V$2:$V$1001,0),1)&gt;=100000,INDEX($AC$1005:$AS$1005,1,MATCH(COLUMNS($AC$1006:AN1006),$AC$1006:$AS$1006,0))&gt;=100000), " ",IF(INDEX($AC$2:$AS$1001,MATCH(ROWS($V$2:V243),$V$2:$V$1001,0),MATCH(COLUMNS($AC$1006:AN1006),$AC$1006:$AS$1006,0)), HYPERLINK("#",""), HYPERLINK(CONCATENATE("#metadata!", ADDRESS(INDEX($X$2:$X$1001,MATCH(ROWS($V$2:V243),$V$2:$V$1001,0),0), INDEX($AC$1004:$AS$1004,1,MATCH(COLUMNS($AC$1006:AN1006),$AC$1006:$AS$1006,0)))),"Fix")))</f>
        <v xml:space="preserve"> </v>
      </c>
      <c r="N243" s="4" t="str">
        <f ca="1">IF(OR(INDEX($W$2:$W$1001,MATCH(ROWS($V$2:V243),$V$2:$V$1001,0),1)&gt;=100000,INDEX($AC$1005:$AS$1005,1,MATCH(COLUMNS($AC$1006:AO1006),$AC$1006:$AS$1006,0))&gt;=100000), " ",IF(INDEX($AC$2:$AS$1001,MATCH(ROWS($V$2:V243),$V$2:$V$1001,0),MATCH(COLUMNS($AC$1006:AO1006),$AC$1006:$AS$1006,0)), HYPERLINK("#",""), HYPERLINK(CONCATENATE("#metadata!", ADDRESS(INDEX($X$2:$X$1001,MATCH(ROWS($V$2:V243),$V$2:$V$1001,0),0), INDEX($AC$1004:$AS$1004,1,MATCH(COLUMNS($AC$1006:AO1006),$AC$1006:$AS$1006,0)))),"Fix")))</f>
        <v xml:space="preserve"> </v>
      </c>
      <c r="O243" s="4" t="str">
        <f ca="1">IF(OR(INDEX($W$2:$W$1001,MATCH(ROWS($V$2:V243),$V$2:$V$1001,0),1)&gt;=100000,INDEX($AC$1005:$AS$1005,1,MATCH(COLUMNS($AC$1006:AP1006),$AC$1006:$AS$1006,0))&gt;=100000), " ",IF(INDEX($AC$2:$AS$1001,MATCH(ROWS($V$2:V243),$V$2:$V$1001,0),MATCH(COLUMNS($AC$1006:AP1006),$AC$1006:$AS$1006,0)), HYPERLINK("#",""), HYPERLINK(CONCATENATE("#metadata!", ADDRESS(INDEX($X$2:$X$1001,MATCH(ROWS($V$2:V243),$V$2:$V$1001,0),0), INDEX($AC$1004:$AS$1004,1,MATCH(COLUMNS($AC$1006:AP1006),$AC$1006:$AS$1006,0)))),"Fix")))</f>
        <v xml:space="preserve"> </v>
      </c>
      <c r="P243" s="4" t="str">
        <f ca="1">IF(OR(INDEX($W$2:$W$1001,MATCH(ROWS($V$2:V243),$V$2:$V$1001,0),1)&gt;=100000,INDEX($AC$1005:$AS$1005,1,MATCH(COLUMNS($AC$1006:AQ1006),$AC$1006:$AS$1006,0))&gt;=100000), " ",IF(INDEX($AC$2:$AS$1001,MATCH(ROWS($V$2:V243),$V$2:$V$1001,0),MATCH(COLUMNS($AC$1006:AQ1006),$AC$1006:$AS$1006,0)), HYPERLINK("#",""), HYPERLINK(CONCATENATE("#metadata!", ADDRESS(INDEX($X$2:$X$1001,MATCH(ROWS($V$2:V243),$V$2:$V$1001,0),0), INDEX($AC$1004:$AS$1004,1,MATCH(COLUMNS($AC$1006:AQ1006),$AC$1006:$AS$1006,0)))),"Fix")))</f>
        <v xml:space="preserve"> </v>
      </c>
      <c r="Q243" s="4" t="str">
        <f ca="1">IF(OR(INDEX($W$2:$W$1001,MATCH(ROWS($V$2:V243),$V$2:$V$1001,0),1)&gt;=100000,INDEX($AC$1005:$AS$1005,1,MATCH(COLUMNS($AC$1006:AR1006),$AC$1006:$AS$1006,0))&gt;=100000), " ",IF(INDEX($AC$2:$AS$1001,MATCH(ROWS($V$2:V243),$V$2:$V$1001,0),MATCH(COLUMNS($AC$1006:AR1006),$AC$1006:$AS$1006,0)), HYPERLINK("#",""), HYPERLINK(CONCATENATE("#metadata!", ADDRESS(INDEX($X$2:$X$1001,MATCH(ROWS($V$2:V243),$V$2:$V$1001,0),0), INDEX($AC$1004:$AS$1004,1,MATCH(COLUMNS($AC$1006:AR1006),$AC$1006:$AS$1006,0)))),"Fix")))</f>
        <v xml:space="preserve"> </v>
      </c>
      <c r="R243" s="4" t="str">
        <f ca="1">IF(OR(INDEX($W$2:$W$1001,MATCH(ROWS($V$2:V243),$V$2:$V$1001,0),1)&gt;=100000,INDEX($AC$1005:$AS$1005,1,MATCH(COLUMNS($AC$1006:AS1006),$AC$1006:$AS$1006,0))&gt;=100000), " ",IF(INDEX($AC$2:$AS$1001,MATCH(ROWS($V$2:V243),$V$2:$V$1001,0),MATCH(COLUMNS($AC$1006:AS1006),$AC$1006:$AS$1006,0)), HYPERLINK("#",""), HYPERLINK(CONCATENATE("#metadata!", ADDRESS(INDEX($X$2:$X$1001,MATCH(ROWS($V$2:V243),$V$2:$V$1001,0),0), INDEX($AC$1004:$AS$1004,1,MATCH(COLUMNS($AC$1006:AS1006),$AC$1006:$AS$1006,0)))),"Fix")))</f>
        <v xml:space="preserve"> </v>
      </c>
      <c r="V243">
        <v>242</v>
      </c>
      <c r="W243">
        <v>100243</v>
      </c>
      <c r="X243">
        <v>243</v>
      </c>
      <c r="Y243" t="b">
        <f t="shared" si="3"/>
        <v>1</v>
      </c>
      <c r="Z243" t="b">
        <f>COUNTBLANK(metadata!B243:R243)=COLUMNS(metadata!B243:R243)</f>
        <v>1</v>
      </c>
      <c r="AA243" t="str">
        <v/>
      </c>
      <c r="AC243" t="b">
        <f ca="1"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AD243" t="b">
        <f>IF(metadata!C243="",FALSE,ISNUMBER(VALUE(metadata!C243)))</f>
        <v>0</v>
      </c>
      <c r="AE243" t="b">
        <f>AND(IF(metadata!D243="",FALSE,TRUE),EXACT(metadata!D243,"years"))</f>
        <v>0</v>
      </c>
      <c r="AF243" t="b">
        <f>OR(AND(IF(metadata!E243="",FALSE,TRUE),OR(EXACT(metadata!E243,"not applicable"),EXACT(metadata!E243,"missing: not collected"),EXACT(metadata!E243,"missing: not provided"),EXACT(metadata!E243,"missing: restricted access"))),AND(IF(metadata!E243="",FALSE,ISNUMBER(VALUE(metadata!E243))),metadata!E243&gt;0))</f>
        <v>0</v>
      </c>
      <c r="AG243" t="b">
        <f>AND(IF(metadata!F243="",FALSE,TRUE),EXACT(metadata!F243,"Not applicable"))</f>
        <v>0</v>
      </c>
      <c r="AH243" t="b">
        <f>AND(IF(metadata!G243="",FALSE,TRUE),EXACT(metadata!G243,"urban biome"))</f>
        <v>0</v>
      </c>
      <c r="AI243" t="b">
        <f>AND(IF(metadata!H243="",FALSE,TRUE),EXACT(metadata!H243,"human-associated habitat"))</f>
        <v>0</v>
      </c>
      <c r="AJ243" t="b">
        <f>AND(IF(metadata!I243="",FALSE,TRUE),OR(EXACT(metadata!I243,"human-associated"),EXACT(metadata!I243,"human-skin"),EXACT(metadata!I243,"human-oral"),EXACT(metadata!I243,"human-gut"),EXACT(metadata!I243,"human-vaginal")))</f>
        <v>0</v>
      </c>
      <c r="AK243" t="b">
        <f>IF(metadata!J243="",FALSE,ISNUMBER(VALUE(metadata!J243)))</f>
        <v>0</v>
      </c>
      <c r="AL243" t="b">
        <f>AND(IF(metadata!K243="",FALSE,TRUE),EXACT(metadata!K243,"cm"))</f>
        <v>0</v>
      </c>
      <c r="AM243" t="b">
        <f>AND(IF(metadata!L243="",FALSE,TRUE),EXACT(metadata!L243,"human"))</f>
        <v>0</v>
      </c>
      <c r="AN243" t="b">
        <f>AND(IF(metadata!M243="",FALSE,TRUE),EXACT(metadata!M243,"Homo sapiens"))</f>
        <v>0</v>
      </c>
      <c r="AO243" t="b">
        <f>AND(IF(metadata!N243="",FALSE,TRUE),EXACT(metadata!N243,"9606"))</f>
        <v>0</v>
      </c>
      <c r="AP243" t="b">
        <f>IF(metadata!O243="",FALSE,TRUE)</f>
        <v>0</v>
      </c>
      <c r="AQ243" t="b">
        <f>IF(metadata!P243="",FALSE,TRUE)</f>
        <v>0</v>
      </c>
      <c r="AR243" t="b">
        <f>IF(metadata!Q243="",FALSE,ISNUMBER(VALUE(metadata!Q243)))</f>
        <v>0</v>
      </c>
      <c r="AS243" t="b">
        <f>AND(IF(metadata!R243="",FALSE,TRUE),EXACT(metadata!R243,"kg"))</f>
        <v>0</v>
      </c>
    </row>
    <row r="244" spans="1:45" x14ac:dyDescent="0.2">
      <c r="A244" s="5" t="str">
        <f ca="1">IF(B244=" "," ",HYPERLINK(CONCATENATE("#metadata!",ADDRESS(INDEX($X$2:$X$1001,MATCH(ROWS($V$2:V244),$V$2:$V$1001,0),0),1)),INDEX($AA$2:$AA$1001,MATCH(ROWS($V$2:V244),$V$2:$V$1001,0),0)))</f>
        <v xml:space="preserve"> </v>
      </c>
      <c r="B244" s="4" t="str">
        <f ca="1">IF(OR(INDEX($W$2:$W$1001,MATCH(ROWS($V$2:V244),$V$2:$V$1001,0),1)&gt;=100000,INDEX($AC$1005:$AS$1005,1,MATCH(COLUMNS($AC$1006:AC1006),$AC$1006:$AS$1006,0))&gt;=100000), " ",IF(INDEX($AC$2:$AS$1001,MATCH(ROWS($V$2:V244),$V$2:$V$1001,0),MATCH(COLUMNS($AC$1006:AC1006),$AC$1006:$AS$1006,0)), HYPERLINK("#",""), HYPERLINK(CONCATENATE("#metadata!", ADDRESS(INDEX($X$2:$X$1001,MATCH(ROWS($V$2:V244),$V$2:$V$1001,0),0), INDEX($AC$1004:$AS$1004,1,MATCH(COLUMNS($AC$1006:AC1006),$AC$1006:$AS$1006,0)))),"Fix")))</f>
        <v xml:space="preserve"> </v>
      </c>
      <c r="C244" s="4" t="str">
        <f ca="1">IF(OR(INDEX($W$2:$W$1001,MATCH(ROWS($V$2:V244),$V$2:$V$1001,0),1)&gt;=100000,INDEX($AC$1005:$AS$1005,1,MATCH(COLUMNS($AC$1006:AD1006),$AC$1006:$AS$1006,0))&gt;=100000), " ",IF(INDEX($AC$2:$AS$1001,MATCH(ROWS($V$2:V244),$V$2:$V$1001,0),MATCH(COLUMNS($AC$1006:AD1006),$AC$1006:$AS$1006,0)), HYPERLINK("#",""), HYPERLINK(CONCATENATE("#metadata!", ADDRESS(INDEX($X$2:$X$1001,MATCH(ROWS($V$2:V244),$V$2:$V$1001,0),0), INDEX($AC$1004:$AS$1004,1,MATCH(COLUMNS($AC$1006:AD1006),$AC$1006:$AS$1006,0)))),"Fix")))</f>
        <v xml:space="preserve"> </v>
      </c>
      <c r="D244" s="4" t="str">
        <f ca="1">IF(OR(INDEX($W$2:$W$1001,MATCH(ROWS($V$2:V244),$V$2:$V$1001,0),1)&gt;=100000,INDEX($AC$1005:$AS$1005,1,MATCH(COLUMNS($AC$1006:AE1006),$AC$1006:$AS$1006,0))&gt;=100000), " ",IF(INDEX($AC$2:$AS$1001,MATCH(ROWS($V$2:V244),$V$2:$V$1001,0),MATCH(COLUMNS($AC$1006:AE1006),$AC$1006:$AS$1006,0)), HYPERLINK("#",""), HYPERLINK(CONCATENATE("#metadata!", ADDRESS(INDEX($X$2:$X$1001,MATCH(ROWS($V$2:V244),$V$2:$V$1001,0),0), INDEX($AC$1004:$AS$1004,1,MATCH(COLUMNS($AC$1006:AE1006),$AC$1006:$AS$1006,0)))),"Fix")))</f>
        <v xml:space="preserve"> </v>
      </c>
      <c r="E244" s="4" t="str">
        <f ca="1">IF(OR(INDEX($W$2:$W$1001,MATCH(ROWS($V$2:V244),$V$2:$V$1001,0),1)&gt;=100000,INDEX($AC$1005:$AS$1005,1,MATCH(COLUMNS($AC$1006:AF1006),$AC$1006:$AS$1006,0))&gt;=100000), " ",IF(INDEX($AC$2:$AS$1001,MATCH(ROWS($V$2:V244),$V$2:$V$1001,0),MATCH(COLUMNS($AC$1006:AF1006),$AC$1006:$AS$1006,0)), HYPERLINK("#",""), HYPERLINK(CONCATENATE("#metadata!", ADDRESS(INDEX($X$2:$X$1001,MATCH(ROWS($V$2:V244),$V$2:$V$1001,0),0), INDEX($AC$1004:$AS$1004,1,MATCH(COLUMNS($AC$1006:AF1006),$AC$1006:$AS$1006,0)))),"Fix")))</f>
        <v xml:space="preserve"> </v>
      </c>
      <c r="F244" s="4" t="str">
        <f ca="1">IF(OR(INDEX($W$2:$W$1001,MATCH(ROWS($V$2:V244),$V$2:$V$1001,0),1)&gt;=100000,INDEX($AC$1005:$AS$1005,1,MATCH(COLUMNS($AC$1006:AG1006),$AC$1006:$AS$1006,0))&gt;=100000), " ",IF(INDEX($AC$2:$AS$1001,MATCH(ROWS($V$2:V244),$V$2:$V$1001,0),MATCH(COLUMNS($AC$1006:AG1006),$AC$1006:$AS$1006,0)), HYPERLINK("#",""), HYPERLINK(CONCATENATE("#metadata!", ADDRESS(INDEX($X$2:$X$1001,MATCH(ROWS($V$2:V244),$V$2:$V$1001,0),0), INDEX($AC$1004:$AS$1004,1,MATCH(COLUMNS($AC$1006:AG1006),$AC$1006:$AS$1006,0)))),"Fix")))</f>
        <v xml:space="preserve"> </v>
      </c>
      <c r="G244" s="4" t="str">
        <f ca="1">IF(OR(INDEX($W$2:$W$1001,MATCH(ROWS($V$2:V244),$V$2:$V$1001,0),1)&gt;=100000,INDEX($AC$1005:$AS$1005,1,MATCH(COLUMNS($AC$1006:AH1006),$AC$1006:$AS$1006,0))&gt;=100000), " ",IF(INDEX($AC$2:$AS$1001,MATCH(ROWS($V$2:V244),$V$2:$V$1001,0),MATCH(COLUMNS($AC$1006:AH1006),$AC$1006:$AS$1006,0)), HYPERLINK("#",""), HYPERLINK(CONCATENATE("#metadata!", ADDRESS(INDEX($X$2:$X$1001,MATCH(ROWS($V$2:V244),$V$2:$V$1001,0),0), INDEX($AC$1004:$AS$1004,1,MATCH(COLUMNS($AC$1006:AH1006),$AC$1006:$AS$1006,0)))),"Fix")))</f>
        <v xml:space="preserve"> </v>
      </c>
      <c r="H244" s="4" t="str">
        <f ca="1">IF(OR(INDEX($W$2:$W$1001,MATCH(ROWS($V$2:V244),$V$2:$V$1001,0),1)&gt;=100000,INDEX($AC$1005:$AS$1005,1,MATCH(COLUMNS($AC$1006:AI1006),$AC$1006:$AS$1006,0))&gt;=100000), " ",IF(INDEX($AC$2:$AS$1001,MATCH(ROWS($V$2:V244),$V$2:$V$1001,0),MATCH(COLUMNS($AC$1006:AI1006),$AC$1006:$AS$1006,0)), HYPERLINK("#",""), HYPERLINK(CONCATENATE("#metadata!", ADDRESS(INDEX($X$2:$X$1001,MATCH(ROWS($V$2:V244),$V$2:$V$1001,0),0), INDEX($AC$1004:$AS$1004,1,MATCH(COLUMNS($AC$1006:AI1006),$AC$1006:$AS$1006,0)))),"Fix")))</f>
        <v xml:space="preserve"> </v>
      </c>
      <c r="I244" s="4" t="str">
        <f ca="1">IF(OR(INDEX($W$2:$W$1001,MATCH(ROWS($V$2:V244),$V$2:$V$1001,0),1)&gt;=100000,INDEX($AC$1005:$AS$1005,1,MATCH(COLUMNS($AC$1006:AJ1006),$AC$1006:$AS$1006,0))&gt;=100000), " ",IF(INDEX($AC$2:$AS$1001,MATCH(ROWS($V$2:V244),$V$2:$V$1001,0),MATCH(COLUMNS($AC$1006:AJ1006),$AC$1006:$AS$1006,0)), HYPERLINK("#",""), HYPERLINK(CONCATENATE("#metadata!", ADDRESS(INDEX($X$2:$X$1001,MATCH(ROWS($V$2:V244),$V$2:$V$1001,0),0), INDEX($AC$1004:$AS$1004,1,MATCH(COLUMNS($AC$1006:AJ1006),$AC$1006:$AS$1006,0)))),"Fix")))</f>
        <v xml:space="preserve"> </v>
      </c>
      <c r="J244" s="4" t="str">
        <f ca="1">IF(OR(INDEX($W$2:$W$1001,MATCH(ROWS($V$2:V244),$V$2:$V$1001,0),1)&gt;=100000,INDEX($AC$1005:$AS$1005,1,MATCH(COLUMNS($AC$1006:AK1006),$AC$1006:$AS$1006,0))&gt;=100000), " ",IF(INDEX($AC$2:$AS$1001,MATCH(ROWS($V$2:V244),$V$2:$V$1001,0),MATCH(COLUMNS($AC$1006:AK1006),$AC$1006:$AS$1006,0)), HYPERLINK("#",""), HYPERLINK(CONCATENATE("#metadata!", ADDRESS(INDEX($X$2:$X$1001,MATCH(ROWS($V$2:V244),$V$2:$V$1001,0),0), INDEX($AC$1004:$AS$1004,1,MATCH(COLUMNS($AC$1006:AK1006),$AC$1006:$AS$1006,0)))),"Fix")))</f>
        <v xml:space="preserve"> </v>
      </c>
      <c r="K244" s="4" t="str">
        <f ca="1">IF(OR(INDEX($W$2:$W$1001,MATCH(ROWS($V$2:V244),$V$2:$V$1001,0),1)&gt;=100000,INDEX($AC$1005:$AS$1005,1,MATCH(COLUMNS($AC$1006:AL1006),$AC$1006:$AS$1006,0))&gt;=100000), " ",IF(INDEX($AC$2:$AS$1001,MATCH(ROWS($V$2:V244),$V$2:$V$1001,0),MATCH(COLUMNS($AC$1006:AL1006),$AC$1006:$AS$1006,0)), HYPERLINK("#",""), HYPERLINK(CONCATENATE("#metadata!", ADDRESS(INDEX($X$2:$X$1001,MATCH(ROWS($V$2:V244),$V$2:$V$1001,0),0), INDEX($AC$1004:$AS$1004,1,MATCH(COLUMNS($AC$1006:AL1006),$AC$1006:$AS$1006,0)))),"Fix")))</f>
        <v xml:space="preserve"> </v>
      </c>
      <c r="L244" s="4" t="str">
        <f ca="1">IF(OR(INDEX($W$2:$W$1001,MATCH(ROWS($V$2:V244),$V$2:$V$1001,0),1)&gt;=100000,INDEX($AC$1005:$AS$1005,1,MATCH(COLUMNS($AC$1006:AM1006),$AC$1006:$AS$1006,0))&gt;=100000), " ",IF(INDEX($AC$2:$AS$1001,MATCH(ROWS($V$2:V244),$V$2:$V$1001,0),MATCH(COLUMNS($AC$1006:AM1006),$AC$1006:$AS$1006,0)), HYPERLINK("#",""), HYPERLINK(CONCATENATE("#metadata!", ADDRESS(INDEX($X$2:$X$1001,MATCH(ROWS($V$2:V244),$V$2:$V$1001,0),0), INDEX($AC$1004:$AS$1004,1,MATCH(COLUMNS($AC$1006:AM1006),$AC$1006:$AS$1006,0)))),"Fix")))</f>
        <v xml:space="preserve"> </v>
      </c>
      <c r="M244" s="4" t="str">
        <f ca="1">IF(OR(INDEX($W$2:$W$1001,MATCH(ROWS($V$2:V244),$V$2:$V$1001,0),1)&gt;=100000,INDEX($AC$1005:$AS$1005,1,MATCH(COLUMNS($AC$1006:AN1006),$AC$1006:$AS$1006,0))&gt;=100000), " ",IF(INDEX($AC$2:$AS$1001,MATCH(ROWS($V$2:V244),$V$2:$V$1001,0),MATCH(COLUMNS($AC$1006:AN1006),$AC$1006:$AS$1006,0)), HYPERLINK("#",""), HYPERLINK(CONCATENATE("#metadata!", ADDRESS(INDEX($X$2:$X$1001,MATCH(ROWS($V$2:V244),$V$2:$V$1001,0),0), INDEX($AC$1004:$AS$1004,1,MATCH(COLUMNS($AC$1006:AN1006),$AC$1006:$AS$1006,0)))),"Fix")))</f>
        <v xml:space="preserve"> </v>
      </c>
      <c r="N244" s="4" t="str">
        <f ca="1">IF(OR(INDEX($W$2:$W$1001,MATCH(ROWS($V$2:V244),$V$2:$V$1001,0),1)&gt;=100000,INDEX($AC$1005:$AS$1005,1,MATCH(COLUMNS($AC$1006:AO1006),$AC$1006:$AS$1006,0))&gt;=100000), " ",IF(INDEX($AC$2:$AS$1001,MATCH(ROWS($V$2:V244),$V$2:$V$1001,0),MATCH(COLUMNS($AC$1006:AO1006),$AC$1006:$AS$1006,0)), HYPERLINK("#",""), HYPERLINK(CONCATENATE("#metadata!", ADDRESS(INDEX($X$2:$X$1001,MATCH(ROWS($V$2:V244),$V$2:$V$1001,0),0), INDEX($AC$1004:$AS$1004,1,MATCH(COLUMNS($AC$1006:AO1006),$AC$1006:$AS$1006,0)))),"Fix")))</f>
        <v xml:space="preserve"> </v>
      </c>
      <c r="O244" s="4" t="str">
        <f ca="1">IF(OR(INDEX($W$2:$W$1001,MATCH(ROWS($V$2:V244),$V$2:$V$1001,0),1)&gt;=100000,INDEX($AC$1005:$AS$1005,1,MATCH(COLUMNS($AC$1006:AP1006),$AC$1006:$AS$1006,0))&gt;=100000), " ",IF(INDEX($AC$2:$AS$1001,MATCH(ROWS($V$2:V244),$V$2:$V$1001,0),MATCH(COLUMNS($AC$1006:AP1006),$AC$1006:$AS$1006,0)), HYPERLINK("#",""), HYPERLINK(CONCATENATE("#metadata!", ADDRESS(INDEX($X$2:$X$1001,MATCH(ROWS($V$2:V244),$V$2:$V$1001,0),0), INDEX($AC$1004:$AS$1004,1,MATCH(COLUMNS($AC$1006:AP1006),$AC$1006:$AS$1006,0)))),"Fix")))</f>
        <v xml:space="preserve"> </v>
      </c>
      <c r="P244" s="4" t="str">
        <f ca="1">IF(OR(INDEX($W$2:$W$1001,MATCH(ROWS($V$2:V244),$V$2:$V$1001,0),1)&gt;=100000,INDEX($AC$1005:$AS$1005,1,MATCH(COLUMNS($AC$1006:AQ1006),$AC$1006:$AS$1006,0))&gt;=100000), " ",IF(INDEX($AC$2:$AS$1001,MATCH(ROWS($V$2:V244),$V$2:$V$1001,0),MATCH(COLUMNS($AC$1006:AQ1006),$AC$1006:$AS$1006,0)), HYPERLINK("#",""), HYPERLINK(CONCATENATE("#metadata!", ADDRESS(INDEX($X$2:$X$1001,MATCH(ROWS($V$2:V244),$V$2:$V$1001,0),0), INDEX($AC$1004:$AS$1004,1,MATCH(COLUMNS($AC$1006:AQ1006),$AC$1006:$AS$1006,0)))),"Fix")))</f>
        <v xml:space="preserve"> </v>
      </c>
      <c r="Q244" s="4" t="str">
        <f ca="1">IF(OR(INDEX($W$2:$W$1001,MATCH(ROWS($V$2:V244),$V$2:$V$1001,0),1)&gt;=100000,INDEX($AC$1005:$AS$1005,1,MATCH(COLUMNS($AC$1006:AR1006),$AC$1006:$AS$1006,0))&gt;=100000), " ",IF(INDEX($AC$2:$AS$1001,MATCH(ROWS($V$2:V244),$V$2:$V$1001,0),MATCH(COLUMNS($AC$1006:AR1006),$AC$1006:$AS$1006,0)), HYPERLINK("#",""), HYPERLINK(CONCATENATE("#metadata!", ADDRESS(INDEX($X$2:$X$1001,MATCH(ROWS($V$2:V244),$V$2:$V$1001,0),0), INDEX($AC$1004:$AS$1004,1,MATCH(COLUMNS($AC$1006:AR1006),$AC$1006:$AS$1006,0)))),"Fix")))</f>
        <v xml:space="preserve"> </v>
      </c>
      <c r="R244" s="4" t="str">
        <f ca="1">IF(OR(INDEX($W$2:$W$1001,MATCH(ROWS($V$2:V244),$V$2:$V$1001,0),1)&gt;=100000,INDEX($AC$1005:$AS$1005,1,MATCH(COLUMNS($AC$1006:AS1006),$AC$1006:$AS$1006,0))&gt;=100000), " ",IF(INDEX($AC$2:$AS$1001,MATCH(ROWS($V$2:V244),$V$2:$V$1001,0),MATCH(COLUMNS($AC$1006:AS1006),$AC$1006:$AS$1006,0)), HYPERLINK("#",""), HYPERLINK(CONCATENATE("#metadata!", ADDRESS(INDEX($X$2:$X$1001,MATCH(ROWS($V$2:V244),$V$2:$V$1001,0),0), INDEX($AC$1004:$AS$1004,1,MATCH(COLUMNS($AC$1006:AS1006),$AC$1006:$AS$1006,0)))),"Fix")))</f>
        <v xml:space="preserve"> </v>
      </c>
      <c r="V244">
        <v>243</v>
      </c>
      <c r="W244">
        <v>100244</v>
      </c>
      <c r="X244">
        <v>244</v>
      </c>
      <c r="Y244" t="b">
        <f t="shared" si="3"/>
        <v>1</v>
      </c>
      <c r="Z244" t="b">
        <f>COUNTBLANK(metadata!B244:R244)=COLUMNS(metadata!B244:R244)</f>
        <v>1</v>
      </c>
      <c r="AA244" t="str">
        <v/>
      </c>
      <c r="AC244" t="b">
        <f ca="1"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AD244" t="b">
        <f>IF(metadata!C244="",FALSE,ISNUMBER(VALUE(metadata!C244)))</f>
        <v>0</v>
      </c>
      <c r="AE244" t="b">
        <f>AND(IF(metadata!D244="",FALSE,TRUE),EXACT(metadata!D244,"years"))</f>
        <v>0</v>
      </c>
      <c r="AF244" t="b">
        <f>OR(AND(IF(metadata!E244="",FALSE,TRUE),OR(EXACT(metadata!E244,"not applicable"),EXACT(metadata!E244,"missing: not collected"),EXACT(metadata!E244,"missing: not provided"),EXACT(metadata!E244,"missing: restricted access"))),AND(IF(metadata!E244="",FALSE,ISNUMBER(VALUE(metadata!E244))),metadata!E244&gt;0))</f>
        <v>0</v>
      </c>
      <c r="AG244" t="b">
        <f>AND(IF(metadata!F244="",FALSE,TRUE),EXACT(metadata!F244,"Not applicable"))</f>
        <v>0</v>
      </c>
      <c r="AH244" t="b">
        <f>AND(IF(metadata!G244="",FALSE,TRUE),EXACT(metadata!G244,"urban biome"))</f>
        <v>0</v>
      </c>
      <c r="AI244" t="b">
        <f>AND(IF(metadata!H244="",FALSE,TRUE),EXACT(metadata!H244,"human-associated habitat"))</f>
        <v>0</v>
      </c>
      <c r="AJ244" t="b">
        <f>AND(IF(metadata!I244="",FALSE,TRUE),OR(EXACT(metadata!I244,"human-associated"),EXACT(metadata!I244,"human-skin"),EXACT(metadata!I244,"human-oral"),EXACT(metadata!I244,"human-gut"),EXACT(metadata!I244,"human-vaginal")))</f>
        <v>0</v>
      </c>
      <c r="AK244" t="b">
        <f>IF(metadata!J244="",FALSE,ISNUMBER(VALUE(metadata!J244)))</f>
        <v>0</v>
      </c>
      <c r="AL244" t="b">
        <f>AND(IF(metadata!K244="",FALSE,TRUE),EXACT(metadata!K244,"cm"))</f>
        <v>0</v>
      </c>
      <c r="AM244" t="b">
        <f>AND(IF(metadata!L244="",FALSE,TRUE),EXACT(metadata!L244,"human"))</f>
        <v>0</v>
      </c>
      <c r="AN244" t="b">
        <f>AND(IF(metadata!M244="",FALSE,TRUE),EXACT(metadata!M244,"Homo sapiens"))</f>
        <v>0</v>
      </c>
      <c r="AO244" t="b">
        <f>AND(IF(metadata!N244="",FALSE,TRUE),EXACT(metadata!N244,"9606"))</f>
        <v>0</v>
      </c>
      <c r="AP244" t="b">
        <f>IF(metadata!O244="",FALSE,TRUE)</f>
        <v>0</v>
      </c>
      <c r="AQ244" t="b">
        <f>IF(metadata!P244="",FALSE,TRUE)</f>
        <v>0</v>
      </c>
      <c r="AR244" t="b">
        <f>IF(metadata!Q244="",FALSE,ISNUMBER(VALUE(metadata!Q244)))</f>
        <v>0</v>
      </c>
      <c r="AS244" t="b">
        <f>AND(IF(metadata!R244="",FALSE,TRUE),EXACT(metadata!R244,"kg"))</f>
        <v>0</v>
      </c>
    </row>
    <row r="245" spans="1:45" x14ac:dyDescent="0.2">
      <c r="A245" s="5" t="str">
        <f ca="1">IF(B245=" "," ",HYPERLINK(CONCATENATE("#metadata!",ADDRESS(INDEX($X$2:$X$1001,MATCH(ROWS($V$2:V245),$V$2:$V$1001,0),0),1)),INDEX($AA$2:$AA$1001,MATCH(ROWS($V$2:V245),$V$2:$V$1001,0),0)))</f>
        <v xml:space="preserve"> </v>
      </c>
      <c r="B245" s="4" t="str">
        <f ca="1">IF(OR(INDEX($W$2:$W$1001,MATCH(ROWS($V$2:V245),$V$2:$V$1001,0),1)&gt;=100000,INDEX($AC$1005:$AS$1005,1,MATCH(COLUMNS($AC$1006:AC1006),$AC$1006:$AS$1006,0))&gt;=100000), " ",IF(INDEX($AC$2:$AS$1001,MATCH(ROWS($V$2:V245),$V$2:$V$1001,0),MATCH(COLUMNS($AC$1006:AC1006),$AC$1006:$AS$1006,0)), HYPERLINK("#",""), HYPERLINK(CONCATENATE("#metadata!", ADDRESS(INDEX($X$2:$X$1001,MATCH(ROWS($V$2:V245),$V$2:$V$1001,0),0), INDEX($AC$1004:$AS$1004,1,MATCH(COLUMNS($AC$1006:AC1006),$AC$1006:$AS$1006,0)))),"Fix")))</f>
        <v xml:space="preserve"> </v>
      </c>
      <c r="C245" s="4" t="str">
        <f ca="1">IF(OR(INDEX($W$2:$W$1001,MATCH(ROWS($V$2:V245),$V$2:$V$1001,0),1)&gt;=100000,INDEX($AC$1005:$AS$1005,1,MATCH(COLUMNS($AC$1006:AD1006),$AC$1006:$AS$1006,0))&gt;=100000), " ",IF(INDEX($AC$2:$AS$1001,MATCH(ROWS($V$2:V245),$V$2:$V$1001,0),MATCH(COLUMNS($AC$1006:AD1006),$AC$1006:$AS$1006,0)), HYPERLINK("#",""), HYPERLINK(CONCATENATE("#metadata!", ADDRESS(INDEX($X$2:$X$1001,MATCH(ROWS($V$2:V245),$V$2:$V$1001,0),0), INDEX($AC$1004:$AS$1004,1,MATCH(COLUMNS($AC$1006:AD1006),$AC$1006:$AS$1006,0)))),"Fix")))</f>
        <v xml:space="preserve"> </v>
      </c>
      <c r="D245" s="4" t="str">
        <f ca="1">IF(OR(INDEX($W$2:$W$1001,MATCH(ROWS($V$2:V245),$V$2:$V$1001,0),1)&gt;=100000,INDEX($AC$1005:$AS$1005,1,MATCH(COLUMNS($AC$1006:AE1006),$AC$1006:$AS$1006,0))&gt;=100000), " ",IF(INDEX($AC$2:$AS$1001,MATCH(ROWS($V$2:V245),$V$2:$V$1001,0),MATCH(COLUMNS($AC$1006:AE1006),$AC$1006:$AS$1006,0)), HYPERLINK("#",""), HYPERLINK(CONCATENATE("#metadata!", ADDRESS(INDEX($X$2:$X$1001,MATCH(ROWS($V$2:V245),$V$2:$V$1001,0),0), INDEX($AC$1004:$AS$1004,1,MATCH(COLUMNS($AC$1006:AE1006),$AC$1006:$AS$1006,0)))),"Fix")))</f>
        <v xml:space="preserve"> </v>
      </c>
      <c r="E245" s="4" t="str">
        <f ca="1">IF(OR(INDEX($W$2:$W$1001,MATCH(ROWS($V$2:V245),$V$2:$V$1001,0),1)&gt;=100000,INDEX($AC$1005:$AS$1005,1,MATCH(COLUMNS($AC$1006:AF1006),$AC$1006:$AS$1006,0))&gt;=100000), " ",IF(INDEX($AC$2:$AS$1001,MATCH(ROWS($V$2:V245),$V$2:$V$1001,0),MATCH(COLUMNS($AC$1006:AF1006),$AC$1006:$AS$1006,0)), HYPERLINK("#",""), HYPERLINK(CONCATENATE("#metadata!", ADDRESS(INDEX($X$2:$X$1001,MATCH(ROWS($V$2:V245),$V$2:$V$1001,0),0), INDEX($AC$1004:$AS$1004,1,MATCH(COLUMNS($AC$1006:AF1006),$AC$1006:$AS$1006,0)))),"Fix")))</f>
        <v xml:space="preserve"> </v>
      </c>
      <c r="F245" s="4" t="str">
        <f ca="1">IF(OR(INDEX($W$2:$W$1001,MATCH(ROWS($V$2:V245),$V$2:$V$1001,0),1)&gt;=100000,INDEX($AC$1005:$AS$1005,1,MATCH(COLUMNS($AC$1006:AG1006),$AC$1006:$AS$1006,0))&gt;=100000), " ",IF(INDEX($AC$2:$AS$1001,MATCH(ROWS($V$2:V245),$V$2:$V$1001,0),MATCH(COLUMNS($AC$1006:AG1006),$AC$1006:$AS$1006,0)), HYPERLINK("#",""), HYPERLINK(CONCATENATE("#metadata!", ADDRESS(INDEX($X$2:$X$1001,MATCH(ROWS($V$2:V245),$V$2:$V$1001,0),0), INDEX($AC$1004:$AS$1004,1,MATCH(COLUMNS($AC$1006:AG1006),$AC$1006:$AS$1006,0)))),"Fix")))</f>
        <v xml:space="preserve"> </v>
      </c>
      <c r="G245" s="4" t="str">
        <f ca="1">IF(OR(INDEX($W$2:$W$1001,MATCH(ROWS($V$2:V245),$V$2:$V$1001,0),1)&gt;=100000,INDEX($AC$1005:$AS$1005,1,MATCH(COLUMNS($AC$1006:AH1006),$AC$1006:$AS$1006,0))&gt;=100000), " ",IF(INDEX($AC$2:$AS$1001,MATCH(ROWS($V$2:V245),$V$2:$V$1001,0),MATCH(COLUMNS($AC$1006:AH1006),$AC$1006:$AS$1006,0)), HYPERLINK("#",""), HYPERLINK(CONCATENATE("#metadata!", ADDRESS(INDEX($X$2:$X$1001,MATCH(ROWS($V$2:V245),$V$2:$V$1001,0),0), INDEX($AC$1004:$AS$1004,1,MATCH(COLUMNS($AC$1006:AH1006),$AC$1006:$AS$1006,0)))),"Fix")))</f>
        <v xml:space="preserve"> </v>
      </c>
      <c r="H245" s="4" t="str">
        <f ca="1">IF(OR(INDEX($W$2:$W$1001,MATCH(ROWS($V$2:V245),$V$2:$V$1001,0),1)&gt;=100000,INDEX($AC$1005:$AS$1005,1,MATCH(COLUMNS($AC$1006:AI1006),$AC$1006:$AS$1006,0))&gt;=100000), " ",IF(INDEX($AC$2:$AS$1001,MATCH(ROWS($V$2:V245),$V$2:$V$1001,0),MATCH(COLUMNS($AC$1006:AI1006),$AC$1006:$AS$1006,0)), HYPERLINK("#",""), HYPERLINK(CONCATENATE("#metadata!", ADDRESS(INDEX($X$2:$X$1001,MATCH(ROWS($V$2:V245),$V$2:$V$1001,0),0), INDEX($AC$1004:$AS$1004,1,MATCH(COLUMNS($AC$1006:AI1006),$AC$1006:$AS$1006,0)))),"Fix")))</f>
        <v xml:space="preserve"> </v>
      </c>
      <c r="I245" s="4" t="str">
        <f ca="1">IF(OR(INDEX($W$2:$W$1001,MATCH(ROWS($V$2:V245),$V$2:$V$1001,0),1)&gt;=100000,INDEX($AC$1005:$AS$1005,1,MATCH(COLUMNS($AC$1006:AJ1006),$AC$1006:$AS$1006,0))&gt;=100000), " ",IF(INDEX($AC$2:$AS$1001,MATCH(ROWS($V$2:V245),$V$2:$V$1001,0),MATCH(COLUMNS($AC$1006:AJ1006),$AC$1006:$AS$1006,0)), HYPERLINK("#",""), HYPERLINK(CONCATENATE("#metadata!", ADDRESS(INDEX($X$2:$X$1001,MATCH(ROWS($V$2:V245),$V$2:$V$1001,0),0), INDEX($AC$1004:$AS$1004,1,MATCH(COLUMNS($AC$1006:AJ1006),$AC$1006:$AS$1006,0)))),"Fix")))</f>
        <v xml:space="preserve"> </v>
      </c>
      <c r="J245" s="4" t="str">
        <f ca="1">IF(OR(INDEX($W$2:$W$1001,MATCH(ROWS($V$2:V245),$V$2:$V$1001,0),1)&gt;=100000,INDEX($AC$1005:$AS$1005,1,MATCH(COLUMNS($AC$1006:AK1006),$AC$1006:$AS$1006,0))&gt;=100000), " ",IF(INDEX($AC$2:$AS$1001,MATCH(ROWS($V$2:V245),$V$2:$V$1001,0),MATCH(COLUMNS($AC$1006:AK1006),$AC$1006:$AS$1006,0)), HYPERLINK("#",""), HYPERLINK(CONCATENATE("#metadata!", ADDRESS(INDEX($X$2:$X$1001,MATCH(ROWS($V$2:V245),$V$2:$V$1001,0),0), INDEX($AC$1004:$AS$1004,1,MATCH(COLUMNS($AC$1006:AK1006),$AC$1006:$AS$1006,0)))),"Fix")))</f>
        <v xml:space="preserve"> </v>
      </c>
      <c r="K245" s="4" t="str">
        <f ca="1">IF(OR(INDEX($W$2:$W$1001,MATCH(ROWS($V$2:V245),$V$2:$V$1001,0),1)&gt;=100000,INDEX($AC$1005:$AS$1005,1,MATCH(COLUMNS($AC$1006:AL1006),$AC$1006:$AS$1006,0))&gt;=100000), " ",IF(INDEX($AC$2:$AS$1001,MATCH(ROWS($V$2:V245),$V$2:$V$1001,0),MATCH(COLUMNS($AC$1006:AL1006),$AC$1006:$AS$1006,0)), HYPERLINK("#",""), HYPERLINK(CONCATENATE("#metadata!", ADDRESS(INDEX($X$2:$X$1001,MATCH(ROWS($V$2:V245),$V$2:$V$1001,0),0), INDEX($AC$1004:$AS$1004,1,MATCH(COLUMNS($AC$1006:AL1006),$AC$1006:$AS$1006,0)))),"Fix")))</f>
        <v xml:space="preserve"> </v>
      </c>
      <c r="L245" s="4" t="str">
        <f ca="1">IF(OR(INDEX($W$2:$W$1001,MATCH(ROWS($V$2:V245),$V$2:$V$1001,0),1)&gt;=100000,INDEX($AC$1005:$AS$1005,1,MATCH(COLUMNS($AC$1006:AM1006),$AC$1006:$AS$1006,0))&gt;=100000), " ",IF(INDEX($AC$2:$AS$1001,MATCH(ROWS($V$2:V245),$V$2:$V$1001,0),MATCH(COLUMNS($AC$1006:AM1006),$AC$1006:$AS$1006,0)), HYPERLINK("#",""), HYPERLINK(CONCATENATE("#metadata!", ADDRESS(INDEX($X$2:$X$1001,MATCH(ROWS($V$2:V245),$V$2:$V$1001,0),0), INDEX($AC$1004:$AS$1004,1,MATCH(COLUMNS($AC$1006:AM1006),$AC$1006:$AS$1006,0)))),"Fix")))</f>
        <v xml:space="preserve"> </v>
      </c>
      <c r="M245" s="4" t="str">
        <f ca="1">IF(OR(INDEX($W$2:$W$1001,MATCH(ROWS($V$2:V245),$V$2:$V$1001,0),1)&gt;=100000,INDEX($AC$1005:$AS$1005,1,MATCH(COLUMNS($AC$1006:AN1006),$AC$1006:$AS$1006,0))&gt;=100000), " ",IF(INDEX($AC$2:$AS$1001,MATCH(ROWS($V$2:V245),$V$2:$V$1001,0),MATCH(COLUMNS($AC$1006:AN1006),$AC$1006:$AS$1006,0)), HYPERLINK("#",""), HYPERLINK(CONCATENATE("#metadata!", ADDRESS(INDEX($X$2:$X$1001,MATCH(ROWS($V$2:V245),$V$2:$V$1001,0),0), INDEX($AC$1004:$AS$1004,1,MATCH(COLUMNS($AC$1006:AN1006),$AC$1006:$AS$1006,0)))),"Fix")))</f>
        <v xml:space="preserve"> </v>
      </c>
      <c r="N245" s="4" t="str">
        <f ca="1">IF(OR(INDEX($W$2:$W$1001,MATCH(ROWS($V$2:V245),$V$2:$V$1001,0),1)&gt;=100000,INDEX($AC$1005:$AS$1005,1,MATCH(COLUMNS($AC$1006:AO1006),$AC$1006:$AS$1006,0))&gt;=100000), " ",IF(INDEX($AC$2:$AS$1001,MATCH(ROWS($V$2:V245),$V$2:$V$1001,0),MATCH(COLUMNS($AC$1006:AO1006),$AC$1006:$AS$1006,0)), HYPERLINK("#",""), HYPERLINK(CONCATENATE("#metadata!", ADDRESS(INDEX($X$2:$X$1001,MATCH(ROWS($V$2:V245),$V$2:$V$1001,0),0), INDEX($AC$1004:$AS$1004,1,MATCH(COLUMNS($AC$1006:AO1006),$AC$1006:$AS$1006,0)))),"Fix")))</f>
        <v xml:space="preserve"> </v>
      </c>
      <c r="O245" s="4" t="str">
        <f ca="1">IF(OR(INDEX($W$2:$W$1001,MATCH(ROWS($V$2:V245),$V$2:$V$1001,0),1)&gt;=100000,INDEX($AC$1005:$AS$1005,1,MATCH(COLUMNS($AC$1006:AP1006),$AC$1006:$AS$1006,0))&gt;=100000), " ",IF(INDEX($AC$2:$AS$1001,MATCH(ROWS($V$2:V245),$V$2:$V$1001,0),MATCH(COLUMNS($AC$1006:AP1006),$AC$1006:$AS$1006,0)), HYPERLINK("#",""), HYPERLINK(CONCATENATE("#metadata!", ADDRESS(INDEX($X$2:$X$1001,MATCH(ROWS($V$2:V245),$V$2:$V$1001,0),0), INDEX($AC$1004:$AS$1004,1,MATCH(COLUMNS($AC$1006:AP1006),$AC$1006:$AS$1006,0)))),"Fix")))</f>
        <v xml:space="preserve"> </v>
      </c>
      <c r="P245" s="4" t="str">
        <f ca="1">IF(OR(INDEX($W$2:$W$1001,MATCH(ROWS($V$2:V245),$V$2:$V$1001,0),1)&gt;=100000,INDEX($AC$1005:$AS$1005,1,MATCH(COLUMNS($AC$1006:AQ1006),$AC$1006:$AS$1006,0))&gt;=100000), " ",IF(INDEX($AC$2:$AS$1001,MATCH(ROWS($V$2:V245),$V$2:$V$1001,0),MATCH(COLUMNS($AC$1006:AQ1006),$AC$1006:$AS$1006,0)), HYPERLINK("#",""), HYPERLINK(CONCATENATE("#metadata!", ADDRESS(INDEX($X$2:$X$1001,MATCH(ROWS($V$2:V245),$V$2:$V$1001,0),0), INDEX($AC$1004:$AS$1004,1,MATCH(COLUMNS($AC$1006:AQ1006),$AC$1006:$AS$1006,0)))),"Fix")))</f>
        <v xml:space="preserve"> </v>
      </c>
      <c r="Q245" s="4" t="str">
        <f ca="1">IF(OR(INDEX($W$2:$W$1001,MATCH(ROWS($V$2:V245),$V$2:$V$1001,0),1)&gt;=100000,INDEX($AC$1005:$AS$1005,1,MATCH(COLUMNS($AC$1006:AR1006),$AC$1006:$AS$1006,0))&gt;=100000), " ",IF(INDEX($AC$2:$AS$1001,MATCH(ROWS($V$2:V245),$V$2:$V$1001,0),MATCH(COLUMNS($AC$1006:AR1006),$AC$1006:$AS$1006,0)), HYPERLINK("#",""), HYPERLINK(CONCATENATE("#metadata!", ADDRESS(INDEX($X$2:$X$1001,MATCH(ROWS($V$2:V245),$V$2:$V$1001,0),0), INDEX($AC$1004:$AS$1004,1,MATCH(COLUMNS($AC$1006:AR1006),$AC$1006:$AS$1006,0)))),"Fix")))</f>
        <v xml:space="preserve"> </v>
      </c>
      <c r="R245" s="4" t="str">
        <f ca="1">IF(OR(INDEX($W$2:$W$1001,MATCH(ROWS($V$2:V245),$V$2:$V$1001,0),1)&gt;=100000,INDEX($AC$1005:$AS$1005,1,MATCH(COLUMNS($AC$1006:AS1006),$AC$1006:$AS$1006,0))&gt;=100000), " ",IF(INDEX($AC$2:$AS$1001,MATCH(ROWS($V$2:V245),$V$2:$V$1001,0),MATCH(COLUMNS($AC$1006:AS1006),$AC$1006:$AS$1006,0)), HYPERLINK("#",""), HYPERLINK(CONCATENATE("#metadata!", ADDRESS(INDEX($X$2:$X$1001,MATCH(ROWS($V$2:V245),$V$2:$V$1001,0),0), INDEX($AC$1004:$AS$1004,1,MATCH(COLUMNS($AC$1006:AS1006),$AC$1006:$AS$1006,0)))),"Fix")))</f>
        <v xml:space="preserve"> </v>
      </c>
      <c r="V245">
        <v>244</v>
      </c>
      <c r="W245">
        <v>100245</v>
      </c>
      <c r="X245">
        <v>245</v>
      </c>
      <c r="Y245" t="b">
        <f t="shared" si="3"/>
        <v>1</v>
      </c>
      <c r="Z245" t="b">
        <f>COUNTBLANK(metadata!B245:R245)=COLUMNS(metadata!B245:R245)</f>
        <v>1</v>
      </c>
      <c r="AA245" t="str">
        <v/>
      </c>
      <c r="AC245" t="b">
        <f ca="1"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AD245" t="b">
        <f>IF(metadata!C245="",FALSE,ISNUMBER(VALUE(metadata!C245)))</f>
        <v>0</v>
      </c>
      <c r="AE245" t="b">
        <f>AND(IF(metadata!D245="",FALSE,TRUE),EXACT(metadata!D245,"years"))</f>
        <v>0</v>
      </c>
      <c r="AF245" t="b">
        <f>OR(AND(IF(metadata!E245="",FALSE,TRUE),OR(EXACT(metadata!E245,"not applicable"),EXACT(metadata!E245,"missing: not collected"),EXACT(metadata!E245,"missing: not provided"),EXACT(metadata!E245,"missing: restricted access"))),AND(IF(metadata!E245="",FALSE,ISNUMBER(VALUE(metadata!E245))),metadata!E245&gt;0))</f>
        <v>0</v>
      </c>
      <c r="AG245" t="b">
        <f>AND(IF(metadata!F245="",FALSE,TRUE),EXACT(metadata!F245,"Not applicable"))</f>
        <v>0</v>
      </c>
      <c r="AH245" t="b">
        <f>AND(IF(metadata!G245="",FALSE,TRUE),EXACT(metadata!G245,"urban biome"))</f>
        <v>0</v>
      </c>
      <c r="AI245" t="b">
        <f>AND(IF(metadata!H245="",FALSE,TRUE),EXACT(metadata!H245,"human-associated habitat"))</f>
        <v>0</v>
      </c>
      <c r="AJ245" t="b">
        <f>AND(IF(metadata!I245="",FALSE,TRUE),OR(EXACT(metadata!I245,"human-associated"),EXACT(metadata!I245,"human-skin"),EXACT(metadata!I245,"human-oral"),EXACT(metadata!I245,"human-gut"),EXACT(metadata!I245,"human-vaginal")))</f>
        <v>0</v>
      </c>
      <c r="AK245" t="b">
        <f>IF(metadata!J245="",FALSE,ISNUMBER(VALUE(metadata!J245)))</f>
        <v>0</v>
      </c>
      <c r="AL245" t="b">
        <f>AND(IF(metadata!K245="",FALSE,TRUE),EXACT(metadata!K245,"cm"))</f>
        <v>0</v>
      </c>
      <c r="AM245" t="b">
        <f>AND(IF(metadata!L245="",FALSE,TRUE),EXACT(metadata!L245,"human"))</f>
        <v>0</v>
      </c>
      <c r="AN245" t="b">
        <f>AND(IF(metadata!M245="",FALSE,TRUE),EXACT(metadata!M245,"Homo sapiens"))</f>
        <v>0</v>
      </c>
      <c r="AO245" t="b">
        <f>AND(IF(metadata!N245="",FALSE,TRUE),EXACT(metadata!N245,"9606"))</f>
        <v>0</v>
      </c>
      <c r="AP245" t="b">
        <f>IF(metadata!O245="",FALSE,TRUE)</f>
        <v>0</v>
      </c>
      <c r="AQ245" t="b">
        <f>IF(metadata!P245="",FALSE,TRUE)</f>
        <v>0</v>
      </c>
      <c r="AR245" t="b">
        <f>IF(metadata!Q245="",FALSE,ISNUMBER(VALUE(metadata!Q245)))</f>
        <v>0</v>
      </c>
      <c r="AS245" t="b">
        <f>AND(IF(metadata!R245="",FALSE,TRUE),EXACT(metadata!R245,"kg"))</f>
        <v>0</v>
      </c>
    </row>
    <row r="246" spans="1:45" x14ac:dyDescent="0.2">
      <c r="A246" s="5" t="str">
        <f ca="1">IF(B246=" "," ",HYPERLINK(CONCATENATE("#metadata!",ADDRESS(INDEX($X$2:$X$1001,MATCH(ROWS($V$2:V246),$V$2:$V$1001,0),0),1)),INDEX($AA$2:$AA$1001,MATCH(ROWS($V$2:V246),$V$2:$V$1001,0),0)))</f>
        <v xml:space="preserve"> </v>
      </c>
      <c r="B246" s="4" t="str">
        <f ca="1">IF(OR(INDEX($W$2:$W$1001,MATCH(ROWS($V$2:V246),$V$2:$V$1001,0),1)&gt;=100000,INDEX($AC$1005:$AS$1005,1,MATCH(COLUMNS($AC$1006:AC1006),$AC$1006:$AS$1006,0))&gt;=100000), " ",IF(INDEX($AC$2:$AS$1001,MATCH(ROWS($V$2:V246),$V$2:$V$1001,0),MATCH(COLUMNS($AC$1006:AC1006),$AC$1006:$AS$1006,0)), HYPERLINK("#",""), HYPERLINK(CONCATENATE("#metadata!", ADDRESS(INDEX($X$2:$X$1001,MATCH(ROWS($V$2:V246),$V$2:$V$1001,0),0), INDEX($AC$1004:$AS$1004,1,MATCH(COLUMNS($AC$1006:AC1006),$AC$1006:$AS$1006,0)))),"Fix")))</f>
        <v xml:space="preserve"> </v>
      </c>
      <c r="C246" s="4" t="str">
        <f ca="1">IF(OR(INDEX($W$2:$W$1001,MATCH(ROWS($V$2:V246),$V$2:$V$1001,0),1)&gt;=100000,INDEX($AC$1005:$AS$1005,1,MATCH(COLUMNS($AC$1006:AD1006),$AC$1006:$AS$1006,0))&gt;=100000), " ",IF(INDEX($AC$2:$AS$1001,MATCH(ROWS($V$2:V246),$V$2:$V$1001,0),MATCH(COLUMNS($AC$1006:AD1006),$AC$1006:$AS$1006,0)), HYPERLINK("#",""), HYPERLINK(CONCATENATE("#metadata!", ADDRESS(INDEX($X$2:$X$1001,MATCH(ROWS($V$2:V246),$V$2:$V$1001,0),0), INDEX($AC$1004:$AS$1004,1,MATCH(COLUMNS($AC$1006:AD1006),$AC$1006:$AS$1006,0)))),"Fix")))</f>
        <v xml:space="preserve"> </v>
      </c>
      <c r="D246" s="4" t="str">
        <f ca="1">IF(OR(INDEX($W$2:$W$1001,MATCH(ROWS($V$2:V246),$V$2:$V$1001,0),1)&gt;=100000,INDEX($AC$1005:$AS$1005,1,MATCH(COLUMNS($AC$1006:AE1006),$AC$1006:$AS$1006,0))&gt;=100000), " ",IF(INDEX($AC$2:$AS$1001,MATCH(ROWS($V$2:V246),$V$2:$V$1001,0),MATCH(COLUMNS($AC$1006:AE1006),$AC$1006:$AS$1006,0)), HYPERLINK("#",""), HYPERLINK(CONCATENATE("#metadata!", ADDRESS(INDEX($X$2:$X$1001,MATCH(ROWS($V$2:V246),$V$2:$V$1001,0),0), INDEX($AC$1004:$AS$1004,1,MATCH(COLUMNS($AC$1006:AE1006),$AC$1006:$AS$1006,0)))),"Fix")))</f>
        <v xml:space="preserve"> </v>
      </c>
      <c r="E246" s="4" t="str">
        <f ca="1">IF(OR(INDEX($W$2:$W$1001,MATCH(ROWS($V$2:V246),$V$2:$V$1001,0),1)&gt;=100000,INDEX($AC$1005:$AS$1005,1,MATCH(COLUMNS($AC$1006:AF1006),$AC$1006:$AS$1006,0))&gt;=100000), " ",IF(INDEX($AC$2:$AS$1001,MATCH(ROWS($V$2:V246),$V$2:$V$1001,0),MATCH(COLUMNS($AC$1006:AF1006),$AC$1006:$AS$1006,0)), HYPERLINK("#",""), HYPERLINK(CONCATENATE("#metadata!", ADDRESS(INDEX($X$2:$X$1001,MATCH(ROWS($V$2:V246),$V$2:$V$1001,0),0), INDEX($AC$1004:$AS$1004,1,MATCH(COLUMNS($AC$1006:AF1006),$AC$1006:$AS$1006,0)))),"Fix")))</f>
        <v xml:space="preserve"> </v>
      </c>
      <c r="F246" s="4" t="str">
        <f ca="1">IF(OR(INDEX($W$2:$W$1001,MATCH(ROWS($V$2:V246),$V$2:$V$1001,0),1)&gt;=100000,INDEX($AC$1005:$AS$1005,1,MATCH(COLUMNS($AC$1006:AG1006),$AC$1006:$AS$1006,0))&gt;=100000), " ",IF(INDEX($AC$2:$AS$1001,MATCH(ROWS($V$2:V246),$V$2:$V$1001,0),MATCH(COLUMNS($AC$1006:AG1006),$AC$1006:$AS$1006,0)), HYPERLINK("#",""), HYPERLINK(CONCATENATE("#metadata!", ADDRESS(INDEX($X$2:$X$1001,MATCH(ROWS($V$2:V246),$V$2:$V$1001,0),0), INDEX($AC$1004:$AS$1004,1,MATCH(COLUMNS($AC$1006:AG1006),$AC$1006:$AS$1006,0)))),"Fix")))</f>
        <v xml:space="preserve"> </v>
      </c>
      <c r="G246" s="4" t="str">
        <f ca="1">IF(OR(INDEX($W$2:$W$1001,MATCH(ROWS($V$2:V246),$V$2:$V$1001,0),1)&gt;=100000,INDEX($AC$1005:$AS$1005,1,MATCH(COLUMNS($AC$1006:AH1006),$AC$1006:$AS$1006,0))&gt;=100000), " ",IF(INDEX($AC$2:$AS$1001,MATCH(ROWS($V$2:V246),$V$2:$V$1001,0),MATCH(COLUMNS($AC$1006:AH1006),$AC$1006:$AS$1006,0)), HYPERLINK("#",""), HYPERLINK(CONCATENATE("#metadata!", ADDRESS(INDEX($X$2:$X$1001,MATCH(ROWS($V$2:V246),$V$2:$V$1001,0),0), INDEX($AC$1004:$AS$1004,1,MATCH(COLUMNS($AC$1006:AH1006),$AC$1006:$AS$1006,0)))),"Fix")))</f>
        <v xml:space="preserve"> </v>
      </c>
      <c r="H246" s="4" t="str">
        <f ca="1">IF(OR(INDEX($W$2:$W$1001,MATCH(ROWS($V$2:V246),$V$2:$V$1001,0),1)&gt;=100000,INDEX($AC$1005:$AS$1005,1,MATCH(COLUMNS($AC$1006:AI1006),$AC$1006:$AS$1006,0))&gt;=100000), " ",IF(INDEX($AC$2:$AS$1001,MATCH(ROWS($V$2:V246),$V$2:$V$1001,0),MATCH(COLUMNS($AC$1006:AI1006),$AC$1006:$AS$1006,0)), HYPERLINK("#",""), HYPERLINK(CONCATENATE("#metadata!", ADDRESS(INDEX($X$2:$X$1001,MATCH(ROWS($V$2:V246),$V$2:$V$1001,0),0), INDEX($AC$1004:$AS$1004,1,MATCH(COLUMNS($AC$1006:AI1006),$AC$1006:$AS$1006,0)))),"Fix")))</f>
        <v xml:space="preserve"> </v>
      </c>
      <c r="I246" s="4" t="str">
        <f ca="1">IF(OR(INDEX($W$2:$W$1001,MATCH(ROWS($V$2:V246),$V$2:$V$1001,0),1)&gt;=100000,INDEX($AC$1005:$AS$1005,1,MATCH(COLUMNS($AC$1006:AJ1006),$AC$1006:$AS$1006,0))&gt;=100000), " ",IF(INDEX($AC$2:$AS$1001,MATCH(ROWS($V$2:V246),$V$2:$V$1001,0),MATCH(COLUMNS($AC$1006:AJ1006),$AC$1006:$AS$1006,0)), HYPERLINK("#",""), HYPERLINK(CONCATENATE("#metadata!", ADDRESS(INDEX($X$2:$X$1001,MATCH(ROWS($V$2:V246),$V$2:$V$1001,0),0), INDEX($AC$1004:$AS$1004,1,MATCH(COLUMNS($AC$1006:AJ1006),$AC$1006:$AS$1006,0)))),"Fix")))</f>
        <v xml:space="preserve"> </v>
      </c>
      <c r="J246" s="4" t="str">
        <f ca="1">IF(OR(INDEX($W$2:$W$1001,MATCH(ROWS($V$2:V246),$V$2:$V$1001,0),1)&gt;=100000,INDEX($AC$1005:$AS$1005,1,MATCH(COLUMNS($AC$1006:AK1006),$AC$1006:$AS$1006,0))&gt;=100000), " ",IF(INDEX($AC$2:$AS$1001,MATCH(ROWS($V$2:V246),$V$2:$V$1001,0),MATCH(COLUMNS($AC$1006:AK1006),$AC$1006:$AS$1006,0)), HYPERLINK("#",""), HYPERLINK(CONCATENATE("#metadata!", ADDRESS(INDEX($X$2:$X$1001,MATCH(ROWS($V$2:V246),$V$2:$V$1001,0),0), INDEX($AC$1004:$AS$1004,1,MATCH(COLUMNS($AC$1006:AK1006),$AC$1006:$AS$1006,0)))),"Fix")))</f>
        <v xml:space="preserve"> </v>
      </c>
      <c r="K246" s="4" t="str">
        <f ca="1">IF(OR(INDEX($W$2:$W$1001,MATCH(ROWS($V$2:V246),$V$2:$V$1001,0),1)&gt;=100000,INDEX($AC$1005:$AS$1005,1,MATCH(COLUMNS($AC$1006:AL1006),$AC$1006:$AS$1006,0))&gt;=100000), " ",IF(INDEX($AC$2:$AS$1001,MATCH(ROWS($V$2:V246),$V$2:$V$1001,0),MATCH(COLUMNS($AC$1006:AL1006),$AC$1006:$AS$1006,0)), HYPERLINK("#",""), HYPERLINK(CONCATENATE("#metadata!", ADDRESS(INDEX($X$2:$X$1001,MATCH(ROWS($V$2:V246),$V$2:$V$1001,0),0), INDEX($AC$1004:$AS$1004,1,MATCH(COLUMNS($AC$1006:AL1006),$AC$1006:$AS$1006,0)))),"Fix")))</f>
        <v xml:space="preserve"> </v>
      </c>
      <c r="L246" s="4" t="str">
        <f ca="1">IF(OR(INDEX($W$2:$W$1001,MATCH(ROWS($V$2:V246),$V$2:$V$1001,0),1)&gt;=100000,INDEX($AC$1005:$AS$1005,1,MATCH(COLUMNS($AC$1006:AM1006),$AC$1006:$AS$1006,0))&gt;=100000), " ",IF(INDEX($AC$2:$AS$1001,MATCH(ROWS($V$2:V246),$V$2:$V$1001,0),MATCH(COLUMNS($AC$1006:AM1006),$AC$1006:$AS$1006,0)), HYPERLINK("#",""), HYPERLINK(CONCATENATE("#metadata!", ADDRESS(INDEX($X$2:$X$1001,MATCH(ROWS($V$2:V246),$V$2:$V$1001,0),0), INDEX($AC$1004:$AS$1004,1,MATCH(COLUMNS($AC$1006:AM1006),$AC$1006:$AS$1006,0)))),"Fix")))</f>
        <v xml:space="preserve"> </v>
      </c>
      <c r="M246" s="4" t="str">
        <f ca="1">IF(OR(INDEX($W$2:$W$1001,MATCH(ROWS($V$2:V246),$V$2:$V$1001,0),1)&gt;=100000,INDEX($AC$1005:$AS$1005,1,MATCH(COLUMNS($AC$1006:AN1006),$AC$1006:$AS$1006,0))&gt;=100000), " ",IF(INDEX($AC$2:$AS$1001,MATCH(ROWS($V$2:V246),$V$2:$V$1001,0),MATCH(COLUMNS($AC$1006:AN1006),$AC$1006:$AS$1006,0)), HYPERLINK("#",""), HYPERLINK(CONCATENATE("#metadata!", ADDRESS(INDEX($X$2:$X$1001,MATCH(ROWS($V$2:V246),$V$2:$V$1001,0),0), INDEX($AC$1004:$AS$1004,1,MATCH(COLUMNS($AC$1006:AN1006),$AC$1006:$AS$1006,0)))),"Fix")))</f>
        <v xml:space="preserve"> </v>
      </c>
      <c r="N246" s="4" t="str">
        <f ca="1">IF(OR(INDEX($W$2:$W$1001,MATCH(ROWS($V$2:V246),$V$2:$V$1001,0),1)&gt;=100000,INDEX($AC$1005:$AS$1005,1,MATCH(COLUMNS($AC$1006:AO1006),$AC$1006:$AS$1006,0))&gt;=100000), " ",IF(INDEX($AC$2:$AS$1001,MATCH(ROWS($V$2:V246),$V$2:$V$1001,0),MATCH(COLUMNS($AC$1006:AO1006),$AC$1006:$AS$1006,0)), HYPERLINK("#",""), HYPERLINK(CONCATENATE("#metadata!", ADDRESS(INDEX($X$2:$X$1001,MATCH(ROWS($V$2:V246),$V$2:$V$1001,0),0), INDEX($AC$1004:$AS$1004,1,MATCH(COLUMNS($AC$1006:AO1006),$AC$1006:$AS$1006,0)))),"Fix")))</f>
        <v xml:space="preserve"> </v>
      </c>
      <c r="O246" s="4" t="str">
        <f ca="1">IF(OR(INDEX($W$2:$W$1001,MATCH(ROWS($V$2:V246),$V$2:$V$1001,0),1)&gt;=100000,INDEX($AC$1005:$AS$1005,1,MATCH(COLUMNS($AC$1006:AP1006),$AC$1006:$AS$1006,0))&gt;=100000), " ",IF(INDEX($AC$2:$AS$1001,MATCH(ROWS($V$2:V246),$V$2:$V$1001,0),MATCH(COLUMNS($AC$1006:AP1006),$AC$1006:$AS$1006,0)), HYPERLINK("#",""), HYPERLINK(CONCATENATE("#metadata!", ADDRESS(INDEX($X$2:$X$1001,MATCH(ROWS($V$2:V246),$V$2:$V$1001,0),0), INDEX($AC$1004:$AS$1004,1,MATCH(COLUMNS($AC$1006:AP1006),$AC$1006:$AS$1006,0)))),"Fix")))</f>
        <v xml:space="preserve"> </v>
      </c>
      <c r="P246" s="4" t="str">
        <f ca="1">IF(OR(INDEX($W$2:$W$1001,MATCH(ROWS($V$2:V246),$V$2:$V$1001,0),1)&gt;=100000,INDEX($AC$1005:$AS$1005,1,MATCH(COLUMNS($AC$1006:AQ1006),$AC$1006:$AS$1006,0))&gt;=100000), " ",IF(INDEX($AC$2:$AS$1001,MATCH(ROWS($V$2:V246),$V$2:$V$1001,0),MATCH(COLUMNS($AC$1006:AQ1006),$AC$1006:$AS$1006,0)), HYPERLINK("#",""), HYPERLINK(CONCATENATE("#metadata!", ADDRESS(INDEX($X$2:$X$1001,MATCH(ROWS($V$2:V246),$V$2:$V$1001,0),0), INDEX($AC$1004:$AS$1004,1,MATCH(COLUMNS($AC$1006:AQ1006),$AC$1006:$AS$1006,0)))),"Fix")))</f>
        <v xml:space="preserve"> </v>
      </c>
      <c r="Q246" s="4" t="str">
        <f ca="1">IF(OR(INDEX($W$2:$W$1001,MATCH(ROWS($V$2:V246),$V$2:$V$1001,0),1)&gt;=100000,INDEX($AC$1005:$AS$1005,1,MATCH(COLUMNS($AC$1006:AR1006),$AC$1006:$AS$1006,0))&gt;=100000), " ",IF(INDEX($AC$2:$AS$1001,MATCH(ROWS($V$2:V246),$V$2:$V$1001,0),MATCH(COLUMNS($AC$1006:AR1006),$AC$1006:$AS$1006,0)), HYPERLINK("#",""), HYPERLINK(CONCATENATE("#metadata!", ADDRESS(INDEX($X$2:$X$1001,MATCH(ROWS($V$2:V246),$V$2:$V$1001,0),0), INDEX($AC$1004:$AS$1004,1,MATCH(COLUMNS($AC$1006:AR1006),$AC$1006:$AS$1006,0)))),"Fix")))</f>
        <v xml:space="preserve"> </v>
      </c>
      <c r="R246" s="4" t="str">
        <f ca="1">IF(OR(INDEX($W$2:$W$1001,MATCH(ROWS($V$2:V246),$V$2:$V$1001,0),1)&gt;=100000,INDEX($AC$1005:$AS$1005,1,MATCH(COLUMNS($AC$1006:AS1006),$AC$1006:$AS$1006,0))&gt;=100000), " ",IF(INDEX($AC$2:$AS$1001,MATCH(ROWS($V$2:V246),$V$2:$V$1001,0),MATCH(COLUMNS($AC$1006:AS1006),$AC$1006:$AS$1006,0)), HYPERLINK("#",""), HYPERLINK(CONCATENATE("#metadata!", ADDRESS(INDEX($X$2:$X$1001,MATCH(ROWS($V$2:V246),$V$2:$V$1001,0),0), INDEX($AC$1004:$AS$1004,1,MATCH(COLUMNS($AC$1006:AS1006),$AC$1006:$AS$1006,0)))),"Fix")))</f>
        <v xml:space="preserve"> </v>
      </c>
      <c r="V246">
        <v>245</v>
      </c>
      <c r="W246">
        <v>100246</v>
      </c>
      <c r="X246">
        <v>246</v>
      </c>
      <c r="Y246" t="b">
        <f t="shared" si="3"/>
        <v>1</v>
      </c>
      <c r="Z246" t="b">
        <f>COUNTBLANK(metadata!B246:R246)=COLUMNS(metadata!B246:R246)</f>
        <v>1</v>
      </c>
      <c r="AA246" t="str">
        <v/>
      </c>
      <c r="AC246" t="b">
        <f ca="1"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AD246" t="b">
        <f>IF(metadata!C246="",FALSE,ISNUMBER(VALUE(metadata!C246)))</f>
        <v>0</v>
      </c>
      <c r="AE246" t="b">
        <f>AND(IF(metadata!D246="",FALSE,TRUE),EXACT(metadata!D246,"years"))</f>
        <v>0</v>
      </c>
      <c r="AF246" t="b">
        <f>OR(AND(IF(metadata!E246="",FALSE,TRUE),OR(EXACT(metadata!E246,"not applicable"),EXACT(metadata!E246,"missing: not collected"),EXACT(metadata!E246,"missing: not provided"),EXACT(metadata!E246,"missing: restricted access"))),AND(IF(metadata!E246="",FALSE,ISNUMBER(VALUE(metadata!E246))),metadata!E246&gt;0))</f>
        <v>0</v>
      </c>
      <c r="AG246" t="b">
        <f>AND(IF(metadata!F246="",FALSE,TRUE),EXACT(metadata!F246,"Not applicable"))</f>
        <v>0</v>
      </c>
      <c r="AH246" t="b">
        <f>AND(IF(metadata!G246="",FALSE,TRUE),EXACT(metadata!G246,"urban biome"))</f>
        <v>0</v>
      </c>
      <c r="AI246" t="b">
        <f>AND(IF(metadata!H246="",FALSE,TRUE),EXACT(metadata!H246,"human-associated habitat"))</f>
        <v>0</v>
      </c>
      <c r="AJ246" t="b">
        <f>AND(IF(metadata!I246="",FALSE,TRUE),OR(EXACT(metadata!I246,"human-associated"),EXACT(metadata!I246,"human-skin"),EXACT(metadata!I246,"human-oral"),EXACT(metadata!I246,"human-gut"),EXACT(metadata!I246,"human-vaginal")))</f>
        <v>0</v>
      </c>
      <c r="AK246" t="b">
        <f>IF(metadata!J246="",FALSE,ISNUMBER(VALUE(metadata!J246)))</f>
        <v>0</v>
      </c>
      <c r="AL246" t="b">
        <f>AND(IF(metadata!K246="",FALSE,TRUE),EXACT(metadata!K246,"cm"))</f>
        <v>0</v>
      </c>
      <c r="AM246" t="b">
        <f>AND(IF(metadata!L246="",FALSE,TRUE),EXACT(metadata!L246,"human"))</f>
        <v>0</v>
      </c>
      <c r="AN246" t="b">
        <f>AND(IF(metadata!M246="",FALSE,TRUE),EXACT(metadata!M246,"Homo sapiens"))</f>
        <v>0</v>
      </c>
      <c r="AO246" t="b">
        <f>AND(IF(metadata!N246="",FALSE,TRUE),EXACT(metadata!N246,"9606"))</f>
        <v>0</v>
      </c>
      <c r="AP246" t="b">
        <f>IF(metadata!O246="",FALSE,TRUE)</f>
        <v>0</v>
      </c>
      <c r="AQ246" t="b">
        <f>IF(metadata!P246="",FALSE,TRUE)</f>
        <v>0</v>
      </c>
      <c r="AR246" t="b">
        <f>IF(metadata!Q246="",FALSE,ISNUMBER(VALUE(metadata!Q246)))</f>
        <v>0</v>
      </c>
      <c r="AS246" t="b">
        <f>AND(IF(metadata!R246="",FALSE,TRUE),EXACT(metadata!R246,"kg"))</f>
        <v>0</v>
      </c>
    </row>
    <row r="247" spans="1:45" x14ac:dyDescent="0.2">
      <c r="A247" s="5" t="str">
        <f ca="1">IF(B247=" "," ",HYPERLINK(CONCATENATE("#metadata!",ADDRESS(INDEX($X$2:$X$1001,MATCH(ROWS($V$2:V247),$V$2:$V$1001,0),0),1)),INDEX($AA$2:$AA$1001,MATCH(ROWS($V$2:V247),$V$2:$V$1001,0),0)))</f>
        <v xml:space="preserve"> </v>
      </c>
      <c r="B247" s="4" t="str">
        <f ca="1">IF(OR(INDEX($W$2:$W$1001,MATCH(ROWS($V$2:V247),$V$2:$V$1001,0),1)&gt;=100000,INDEX($AC$1005:$AS$1005,1,MATCH(COLUMNS($AC$1006:AC1006),$AC$1006:$AS$1006,0))&gt;=100000), " ",IF(INDEX($AC$2:$AS$1001,MATCH(ROWS($V$2:V247),$V$2:$V$1001,0),MATCH(COLUMNS($AC$1006:AC1006),$AC$1006:$AS$1006,0)), HYPERLINK("#",""), HYPERLINK(CONCATENATE("#metadata!", ADDRESS(INDEX($X$2:$X$1001,MATCH(ROWS($V$2:V247),$V$2:$V$1001,0),0), INDEX($AC$1004:$AS$1004,1,MATCH(COLUMNS($AC$1006:AC1006),$AC$1006:$AS$1006,0)))),"Fix")))</f>
        <v xml:space="preserve"> </v>
      </c>
      <c r="C247" s="4" t="str">
        <f ca="1">IF(OR(INDEX($W$2:$W$1001,MATCH(ROWS($V$2:V247),$V$2:$V$1001,0),1)&gt;=100000,INDEX($AC$1005:$AS$1005,1,MATCH(COLUMNS($AC$1006:AD1006),$AC$1006:$AS$1006,0))&gt;=100000), " ",IF(INDEX($AC$2:$AS$1001,MATCH(ROWS($V$2:V247),$V$2:$V$1001,0),MATCH(COLUMNS($AC$1006:AD1006),$AC$1006:$AS$1006,0)), HYPERLINK("#",""), HYPERLINK(CONCATENATE("#metadata!", ADDRESS(INDEX($X$2:$X$1001,MATCH(ROWS($V$2:V247),$V$2:$V$1001,0),0), INDEX($AC$1004:$AS$1004,1,MATCH(COLUMNS($AC$1006:AD1006),$AC$1006:$AS$1006,0)))),"Fix")))</f>
        <v xml:space="preserve"> </v>
      </c>
      <c r="D247" s="4" t="str">
        <f ca="1">IF(OR(INDEX($W$2:$W$1001,MATCH(ROWS($V$2:V247),$V$2:$V$1001,0),1)&gt;=100000,INDEX($AC$1005:$AS$1005,1,MATCH(COLUMNS($AC$1006:AE1006),$AC$1006:$AS$1006,0))&gt;=100000), " ",IF(INDEX($AC$2:$AS$1001,MATCH(ROWS($V$2:V247),$V$2:$V$1001,0),MATCH(COLUMNS($AC$1006:AE1006),$AC$1006:$AS$1006,0)), HYPERLINK("#",""), HYPERLINK(CONCATENATE("#metadata!", ADDRESS(INDEX($X$2:$X$1001,MATCH(ROWS($V$2:V247),$V$2:$V$1001,0),0), INDEX($AC$1004:$AS$1004,1,MATCH(COLUMNS($AC$1006:AE1006),$AC$1006:$AS$1006,0)))),"Fix")))</f>
        <v xml:space="preserve"> </v>
      </c>
      <c r="E247" s="4" t="str">
        <f ca="1">IF(OR(INDEX($W$2:$W$1001,MATCH(ROWS($V$2:V247),$V$2:$V$1001,0),1)&gt;=100000,INDEX($AC$1005:$AS$1005,1,MATCH(COLUMNS($AC$1006:AF1006),$AC$1006:$AS$1006,0))&gt;=100000), " ",IF(INDEX($AC$2:$AS$1001,MATCH(ROWS($V$2:V247),$V$2:$V$1001,0),MATCH(COLUMNS($AC$1006:AF1006),$AC$1006:$AS$1006,0)), HYPERLINK("#",""), HYPERLINK(CONCATENATE("#metadata!", ADDRESS(INDEX($X$2:$X$1001,MATCH(ROWS($V$2:V247),$V$2:$V$1001,0),0), INDEX($AC$1004:$AS$1004,1,MATCH(COLUMNS($AC$1006:AF1006),$AC$1006:$AS$1006,0)))),"Fix")))</f>
        <v xml:space="preserve"> </v>
      </c>
      <c r="F247" s="4" t="str">
        <f ca="1">IF(OR(INDEX($W$2:$W$1001,MATCH(ROWS($V$2:V247),$V$2:$V$1001,0),1)&gt;=100000,INDEX($AC$1005:$AS$1005,1,MATCH(COLUMNS($AC$1006:AG1006),$AC$1006:$AS$1006,0))&gt;=100000), " ",IF(INDEX($AC$2:$AS$1001,MATCH(ROWS($V$2:V247),$V$2:$V$1001,0),MATCH(COLUMNS($AC$1006:AG1006),$AC$1006:$AS$1006,0)), HYPERLINK("#",""), HYPERLINK(CONCATENATE("#metadata!", ADDRESS(INDEX($X$2:$X$1001,MATCH(ROWS($V$2:V247),$V$2:$V$1001,0),0), INDEX($AC$1004:$AS$1004,1,MATCH(COLUMNS($AC$1006:AG1006),$AC$1006:$AS$1006,0)))),"Fix")))</f>
        <v xml:space="preserve"> </v>
      </c>
      <c r="G247" s="4" t="str">
        <f ca="1">IF(OR(INDEX($W$2:$W$1001,MATCH(ROWS($V$2:V247),$V$2:$V$1001,0),1)&gt;=100000,INDEX($AC$1005:$AS$1005,1,MATCH(COLUMNS($AC$1006:AH1006),$AC$1006:$AS$1006,0))&gt;=100000), " ",IF(INDEX($AC$2:$AS$1001,MATCH(ROWS($V$2:V247),$V$2:$V$1001,0),MATCH(COLUMNS($AC$1006:AH1006),$AC$1006:$AS$1006,0)), HYPERLINK("#",""), HYPERLINK(CONCATENATE("#metadata!", ADDRESS(INDEX($X$2:$X$1001,MATCH(ROWS($V$2:V247),$V$2:$V$1001,0),0), INDEX($AC$1004:$AS$1004,1,MATCH(COLUMNS($AC$1006:AH1006),$AC$1006:$AS$1006,0)))),"Fix")))</f>
        <v xml:space="preserve"> </v>
      </c>
      <c r="H247" s="4" t="str">
        <f ca="1">IF(OR(INDEX($W$2:$W$1001,MATCH(ROWS($V$2:V247),$V$2:$V$1001,0),1)&gt;=100000,INDEX($AC$1005:$AS$1005,1,MATCH(COLUMNS($AC$1006:AI1006),$AC$1006:$AS$1006,0))&gt;=100000), " ",IF(INDEX($AC$2:$AS$1001,MATCH(ROWS($V$2:V247),$V$2:$V$1001,0),MATCH(COLUMNS($AC$1006:AI1006),$AC$1006:$AS$1006,0)), HYPERLINK("#",""), HYPERLINK(CONCATENATE("#metadata!", ADDRESS(INDEX($X$2:$X$1001,MATCH(ROWS($V$2:V247),$V$2:$V$1001,0),0), INDEX($AC$1004:$AS$1004,1,MATCH(COLUMNS($AC$1006:AI1006),$AC$1006:$AS$1006,0)))),"Fix")))</f>
        <v xml:space="preserve"> </v>
      </c>
      <c r="I247" s="4" t="str">
        <f ca="1">IF(OR(INDEX($W$2:$W$1001,MATCH(ROWS($V$2:V247),$V$2:$V$1001,0),1)&gt;=100000,INDEX($AC$1005:$AS$1005,1,MATCH(COLUMNS($AC$1006:AJ1006),$AC$1006:$AS$1006,0))&gt;=100000), " ",IF(INDEX($AC$2:$AS$1001,MATCH(ROWS($V$2:V247),$V$2:$V$1001,0),MATCH(COLUMNS($AC$1006:AJ1006),$AC$1006:$AS$1006,0)), HYPERLINK("#",""), HYPERLINK(CONCATENATE("#metadata!", ADDRESS(INDEX($X$2:$X$1001,MATCH(ROWS($V$2:V247),$V$2:$V$1001,0),0), INDEX($AC$1004:$AS$1004,1,MATCH(COLUMNS($AC$1006:AJ1006),$AC$1006:$AS$1006,0)))),"Fix")))</f>
        <v xml:space="preserve"> </v>
      </c>
      <c r="J247" s="4" t="str">
        <f ca="1">IF(OR(INDEX($W$2:$W$1001,MATCH(ROWS($V$2:V247),$V$2:$V$1001,0),1)&gt;=100000,INDEX($AC$1005:$AS$1005,1,MATCH(COLUMNS($AC$1006:AK1006),$AC$1006:$AS$1006,0))&gt;=100000), " ",IF(INDEX($AC$2:$AS$1001,MATCH(ROWS($V$2:V247),$V$2:$V$1001,0),MATCH(COLUMNS($AC$1006:AK1006),$AC$1006:$AS$1006,0)), HYPERLINK("#",""), HYPERLINK(CONCATENATE("#metadata!", ADDRESS(INDEX($X$2:$X$1001,MATCH(ROWS($V$2:V247),$V$2:$V$1001,0),0), INDEX($AC$1004:$AS$1004,1,MATCH(COLUMNS($AC$1006:AK1006),$AC$1006:$AS$1006,0)))),"Fix")))</f>
        <v xml:space="preserve"> </v>
      </c>
      <c r="K247" s="4" t="str">
        <f ca="1">IF(OR(INDEX($W$2:$W$1001,MATCH(ROWS($V$2:V247),$V$2:$V$1001,0),1)&gt;=100000,INDEX($AC$1005:$AS$1005,1,MATCH(COLUMNS($AC$1006:AL1006),$AC$1006:$AS$1006,0))&gt;=100000), " ",IF(INDEX($AC$2:$AS$1001,MATCH(ROWS($V$2:V247),$V$2:$V$1001,0),MATCH(COLUMNS($AC$1006:AL1006),$AC$1006:$AS$1006,0)), HYPERLINK("#",""), HYPERLINK(CONCATENATE("#metadata!", ADDRESS(INDEX($X$2:$X$1001,MATCH(ROWS($V$2:V247),$V$2:$V$1001,0),0), INDEX($AC$1004:$AS$1004,1,MATCH(COLUMNS($AC$1006:AL1006),$AC$1006:$AS$1006,0)))),"Fix")))</f>
        <v xml:space="preserve"> </v>
      </c>
      <c r="L247" s="4" t="str">
        <f ca="1">IF(OR(INDEX($W$2:$W$1001,MATCH(ROWS($V$2:V247),$V$2:$V$1001,0),1)&gt;=100000,INDEX($AC$1005:$AS$1005,1,MATCH(COLUMNS($AC$1006:AM1006),$AC$1006:$AS$1006,0))&gt;=100000), " ",IF(INDEX($AC$2:$AS$1001,MATCH(ROWS($V$2:V247),$V$2:$V$1001,0),MATCH(COLUMNS($AC$1006:AM1006),$AC$1006:$AS$1006,0)), HYPERLINK("#",""), HYPERLINK(CONCATENATE("#metadata!", ADDRESS(INDEX($X$2:$X$1001,MATCH(ROWS($V$2:V247),$V$2:$V$1001,0),0), INDEX($AC$1004:$AS$1004,1,MATCH(COLUMNS($AC$1006:AM1006),$AC$1006:$AS$1006,0)))),"Fix")))</f>
        <v xml:space="preserve"> </v>
      </c>
      <c r="M247" s="4" t="str">
        <f ca="1">IF(OR(INDEX($W$2:$W$1001,MATCH(ROWS($V$2:V247),$V$2:$V$1001,0),1)&gt;=100000,INDEX($AC$1005:$AS$1005,1,MATCH(COLUMNS($AC$1006:AN1006),$AC$1006:$AS$1006,0))&gt;=100000), " ",IF(INDEX($AC$2:$AS$1001,MATCH(ROWS($V$2:V247),$V$2:$V$1001,0),MATCH(COLUMNS($AC$1006:AN1006),$AC$1006:$AS$1006,0)), HYPERLINK("#",""), HYPERLINK(CONCATENATE("#metadata!", ADDRESS(INDEX($X$2:$X$1001,MATCH(ROWS($V$2:V247),$V$2:$V$1001,0),0), INDEX($AC$1004:$AS$1004,1,MATCH(COLUMNS($AC$1006:AN1006),$AC$1006:$AS$1006,0)))),"Fix")))</f>
        <v xml:space="preserve"> </v>
      </c>
      <c r="N247" s="4" t="str">
        <f ca="1">IF(OR(INDEX($W$2:$W$1001,MATCH(ROWS($V$2:V247),$V$2:$V$1001,0),1)&gt;=100000,INDEX($AC$1005:$AS$1005,1,MATCH(COLUMNS($AC$1006:AO1006),$AC$1006:$AS$1006,0))&gt;=100000), " ",IF(INDEX($AC$2:$AS$1001,MATCH(ROWS($V$2:V247),$V$2:$V$1001,0),MATCH(COLUMNS($AC$1006:AO1006),$AC$1006:$AS$1006,0)), HYPERLINK("#",""), HYPERLINK(CONCATENATE("#metadata!", ADDRESS(INDEX($X$2:$X$1001,MATCH(ROWS($V$2:V247),$V$2:$V$1001,0),0), INDEX($AC$1004:$AS$1004,1,MATCH(COLUMNS($AC$1006:AO1006),$AC$1006:$AS$1006,0)))),"Fix")))</f>
        <v xml:space="preserve"> </v>
      </c>
      <c r="O247" s="4" t="str">
        <f ca="1">IF(OR(INDEX($W$2:$W$1001,MATCH(ROWS($V$2:V247),$V$2:$V$1001,0),1)&gt;=100000,INDEX($AC$1005:$AS$1005,1,MATCH(COLUMNS($AC$1006:AP1006),$AC$1006:$AS$1006,0))&gt;=100000), " ",IF(INDEX($AC$2:$AS$1001,MATCH(ROWS($V$2:V247),$V$2:$V$1001,0),MATCH(COLUMNS($AC$1006:AP1006),$AC$1006:$AS$1006,0)), HYPERLINK("#",""), HYPERLINK(CONCATENATE("#metadata!", ADDRESS(INDEX($X$2:$X$1001,MATCH(ROWS($V$2:V247),$V$2:$V$1001,0),0), INDEX($AC$1004:$AS$1004,1,MATCH(COLUMNS($AC$1006:AP1006),$AC$1006:$AS$1006,0)))),"Fix")))</f>
        <v xml:space="preserve"> </v>
      </c>
      <c r="P247" s="4" t="str">
        <f ca="1">IF(OR(INDEX($W$2:$W$1001,MATCH(ROWS($V$2:V247),$V$2:$V$1001,0),1)&gt;=100000,INDEX($AC$1005:$AS$1005,1,MATCH(COLUMNS($AC$1006:AQ1006),$AC$1006:$AS$1006,0))&gt;=100000), " ",IF(INDEX($AC$2:$AS$1001,MATCH(ROWS($V$2:V247),$V$2:$V$1001,0),MATCH(COLUMNS($AC$1006:AQ1006),$AC$1006:$AS$1006,0)), HYPERLINK("#",""), HYPERLINK(CONCATENATE("#metadata!", ADDRESS(INDEX($X$2:$X$1001,MATCH(ROWS($V$2:V247),$V$2:$V$1001,0),0), INDEX($AC$1004:$AS$1004,1,MATCH(COLUMNS($AC$1006:AQ1006),$AC$1006:$AS$1006,0)))),"Fix")))</f>
        <v xml:space="preserve"> </v>
      </c>
      <c r="Q247" s="4" t="str">
        <f ca="1">IF(OR(INDEX($W$2:$W$1001,MATCH(ROWS($V$2:V247),$V$2:$V$1001,0),1)&gt;=100000,INDEX($AC$1005:$AS$1005,1,MATCH(COLUMNS($AC$1006:AR1006),$AC$1006:$AS$1006,0))&gt;=100000), " ",IF(INDEX($AC$2:$AS$1001,MATCH(ROWS($V$2:V247),$V$2:$V$1001,0),MATCH(COLUMNS($AC$1006:AR1006),$AC$1006:$AS$1006,0)), HYPERLINK("#",""), HYPERLINK(CONCATENATE("#metadata!", ADDRESS(INDEX($X$2:$X$1001,MATCH(ROWS($V$2:V247),$V$2:$V$1001,0),0), INDEX($AC$1004:$AS$1004,1,MATCH(COLUMNS($AC$1006:AR1006),$AC$1006:$AS$1006,0)))),"Fix")))</f>
        <v xml:space="preserve"> </v>
      </c>
      <c r="R247" s="4" t="str">
        <f ca="1">IF(OR(INDEX($W$2:$W$1001,MATCH(ROWS($V$2:V247),$V$2:$V$1001,0),1)&gt;=100000,INDEX($AC$1005:$AS$1005,1,MATCH(COLUMNS($AC$1006:AS1006),$AC$1006:$AS$1006,0))&gt;=100000), " ",IF(INDEX($AC$2:$AS$1001,MATCH(ROWS($V$2:V247),$V$2:$V$1001,0),MATCH(COLUMNS($AC$1006:AS1006),$AC$1006:$AS$1006,0)), HYPERLINK("#",""), HYPERLINK(CONCATENATE("#metadata!", ADDRESS(INDEX($X$2:$X$1001,MATCH(ROWS($V$2:V247),$V$2:$V$1001,0),0), INDEX($AC$1004:$AS$1004,1,MATCH(COLUMNS($AC$1006:AS1006),$AC$1006:$AS$1006,0)))),"Fix")))</f>
        <v xml:space="preserve"> </v>
      </c>
      <c r="V247">
        <v>246</v>
      </c>
      <c r="W247">
        <v>100247</v>
      </c>
      <c r="X247">
        <v>247</v>
      </c>
      <c r="Y247" t="b">
        <f t="shared" si="3"/>
        <v>1</v>
      </c>
      <c r="Z247" t="b">
        <f>COUNTBLANK(metadata!B247:R247)=COLUMNS(metadata!B247:R247)</f>
        <v>1</v>
      </c>
      <c r="AA247" t="str">
        <v/>
      </c>
      <c r="AC247" t="b">
        <f ca="1"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AD247" t="b">
        <f>IF(metadata!C247="",FALSE,ISNUMBER(VALUE(metadata!C247)))</f>
        <v>0</v>
      </c>
      <c r="AE247" t="b">
        <f>AND(IF(metadata!D247="",FALSE,TRUE),EXACT(metadata!D247,"years"))</f>
        <v>0</v>
      </c>
      <c r="AF247" t="b">
        <f>OR(AND(IF(metadata!E247="",FALSE,TRUE),OR(EXACT(metadata!E247,"not applicable"),EXACT(metadata!E247,"missing: not collected"),EXACT(metadata!E247,"missing: not provided"),EXACT(metadata!E247,"missing: restricted access"))),AND(IF(metadata!E247="",FALSE,ISNUMBER(VALUE(metadata!E247))),metadata!E247&gt;0))</f>
        <v>0</v>
      </c>
      <c r="AG247" t="b">
        <f>AND(IF(metadata!F247="",FALSE,TRUE),EXACT(metadata!F247,"Not applicable"))</f>
        <v>0</v>
      </c>
      <c r="AH247" t="b">
        <f>AND(IF(metadata!G247="",FALSE,TRUE),EXACT(metadata!G247,"urban biome"))</f>
        <v>0</v>
      </c>
      <c r="AI247" t="b">
        <f>AND(IF(metadata!H247="",FALSE,TRUE),EXACT(metadata!H247,"human-associated habitat"))</f>
        <v>0</v>
      </c>
      <c r="AJ247" t="b">
        <f>AND(IF(metadata!I247="",FALSE,TRUE),OR(EXACT(metadata!I247,"human-associated"),EXACT(metadata!I247,"human-skin"),EXACT(metadata!I247,"human-oral"),EXACT(metadata!I247,"human-gut"),EXACT(metadata!I247,"human-vaginal")))</f>
        <v>0</v>
      </c>
      <c r="AK247" t="b">
        <f>IF(metadata!J247="",FALSE,ISNUMBER(VALUE(metadata!J247)))</f>
        <v>0</v>
      </c>
      <c r="AL247" t="b">
        <f>AND(IF(metadata!K247="",FALSE,TRUE),EXACT(metadata!K247,"cm"))</f>
        <v>0</v>
      </c>
      <c r="AM247" t="b">
        <f>AND(IF(metadata!L247="",FALSE,TRUE),EXACT(metadata!L247,"human"))</f>
        <v>0</v>
      </c>
      <c r="AN247" t="b">
        <f>AND(IF(metadata!M247="",FALSE,TRUE),EXACT(metadata!M247,"Homo sapiens"))</f>
        <v>0</v>
      </c>
      <c r="AO247" t="b">
        <f>AND(IF(metadata!N247="",FALSE,TRUE),EXACT(metadata!N247,"9606"))</f>
        <v>0</v>
      </c>
      <c r="AP247" t="b">
        <f>IF(metadata!O247="",FALSE,TRUE)</f>
        <v>0</v>
      </c>
      <c r="AQ247" t="b">
        <f>IF(metadata!P247="",FALSE,TRUE)</f>
        <v>0</v>
      </c>
      <c r="AR247" t="b">
        <f>IF(metadata!Q247="",FALSE,ISNUMBER(VALUE(metadata!Q247)))</f>
        <v>0</v>
      </c>
      <c r="AS247" t="b">
        <f>AND(IF(metadata!R247="",FALSE,TRUE),EXACT(metadata!R247,"kg"))</f>
        <v>0</v>
      </c>
    </row>
    <row r="248" spans="1:45" x14ac:dyDescent="0.2">
      <c r="A248" s="5" t="str">
        <f ca="1">IF(B248=" "," ",HYPERLINK(CONCATENATE("#metadata!",ADDRESS(INDEX($X$2:$X$1001,MATCH(ROWS($V$2:V248),$V$2:$V$1001,0),0),1)),INDEX($AA$2:$AA$1001,MATCH(ROWS($V$2:V248),$V$2:$V$1001,0),0)))</f>
        <v xml:space="preserve"> </v>
      </c>
      <c r="B248" s="4" t="str">
        <f ca="1">IF(OR(INDEX($W$2:$W$1001,MATCH(ROWS($V$2:V248),$V$2:$V$1001,0),1)&gt;=100000,INDEX($AC$1005:$AS$1005,1,MATCH(COLUMNS($AC$1006:AC1006),$AC$1006:$AS$1006,0))&gt;=100000), " ",IF(INDEX($AC$2:$AS$1001,MATCH(ROWS($V$2:V248),$V$2:$V$1001,0),MATCH(COLUMNS($AC$1006:AC1006),$AC$1006:$AS$1006,0)), HYPERLINK("#",""), HYPERLINK(CONCATENATE("#metadata!", ADDRESS(INDEX($X$2:$X$1001,MATCH(ROWS($V$2:V248),$V$2:$V$1001,0),0), INDEX($AC$1004:$AS$1004,1,MATCH(COLUMNS($AC$1006:AC1006),$AC$1006:$AS$1006,0)))),"Fix")))</f>
        <v xml:space="preserve"> </v>
      </c>
      <c r="C248" s="4" t="str">
        <f ca="1">IF(OR(INDEX($W$2:$W$1001,MATCH(ROWS($V$2:V248),$V$2:$V$1001,0),1)&gt;=100000,INDEX($AC$1005:$AS$1005,1,MATCH(COLUMNS($AC$1006:AD1006),$AC$1006:$AS$1006,0))&gt;=100000), " ",IF(INDEX($AC$2:$AS$1001,MATCH(ROWS($V$2:V248),$V$2:$V$1001,0),MATCH(COLUMNS($AC$1006:AD1006),$AC$1006:$AS$1006,0)), HYPERLINK("#",""), HYPERLINK(CONCATENATE("#metadata!", ADDRESS(INDEX($X$2:$X$1001,MATCH(ROWS($V$2:V248),$V$2:$V$1001,0),0), INDEX($AC$1004:$AS$1004,1,MATCH(COLUMNS($AC$1006:AD1006),$AC$1006:$AS$1006,0)))),"Fix")))</f>
        <v xml:space="preserve"> </v>
      </c>
      <c r="D248" s="4" t="str">
        <f ca="1">IF(OR(INDEX($W$2:$W$1001,MATCH(ROWS($V$2:V248),$V$2:$V$1001,0),1)&gt;=100000,INDEX($AC$1005:$AS$1005,1,MATCH(COLUMNS($AC$1006:AE1006),$AC$1006:$AS$1006,0))&gt;=100000), " ",IF(INDEX($AC$2:$AS$1001,MATCH(ROWS($V$2:V248),$V$2:$V$1001,0),MATCH(COLUMNS($AC$1006:AE1006),$AC$1006:$AS$1006,0)), HYPERLINK("#",""), HYPERLINK(CONCATENATE("#metadata!", ADDRESS(INDEX($X$2:$X$1001,MATCH(ROWS($V$2:V248),$V$2:$V$1001,0),0), INDEX($AC$1004:$AS$1004,1,MATCH(COLUMNS($AC$1006:AE1006),$AC$1006:$AS$1006,0)))),"Fix")))</f>
        <v xml:space="preserve"> </v>
      </c>
      <c r="E248" s="4" t="str">
        <f ca="1">IF(OR(INDEX($W$2:$W$1001,MATCH(ROWS($V$2:V248),$V$2:$V$1001,0),1)&gt;=100000,INDEX($AC$1005:$AS$1005,1,MATCH(COLUMNS($AC$1006:AF1006),$AC$1006:$AS$1006,0))&gt;=100000), " ",IF(INDEX($AC$2:$AS$1001,MATCH(ROWS($V$2:V248),$V$2:$V$1001,0),MATCH(COLUMNS($AC$1006:AF1006),$AC$1006:$AS$1006,0)), HYPERLINK("#",""), HYPERLINK(CONCATENATE("#metadata!", ADDRESS(INDEX($X$2:$X$1001,MATCH(ROWS($V$2:V248),$V$2:$V$1001,0),0), INDEX($AC$1004:$AS$1004,1,MATCH(COLUMNS($AC$1006:AF1006),$AC$1006:$AS$1006,0)))),"Fix")))</f>
        <v xml:space="preserve"> </v>
      </c>
      <c r="F248" s="4" t="str">
        <f ca="1">IF(OR(INDEX($W$2:$W$1001,MATCH(ROWS($V$2:V248),$V$2:$V$1001,0),1)&gt;=100000,INDEX($AC$1005:$AS$1005,1,MATCH(COLUMNS($AC$1006:AG1006),$AC$1006:$AS$1006,0))&gt;=100000), " ",IF(INDEX($AC$2:$AS$1001,MATCH(ROWS($V$2:V248),$V$2:$V$1001,0),MATCH(COLUMNS($AC$1006:AG1006),$AC$1006:$AS$1006,0)), HYPERLINK("#",""), HYPERLINK(CONCATENATE("#metadata!", ADDRESS(INDEX($X$2:$X$1001,MATCH(ROWS($V$2:V248),$V$2:$V$1001,0),0), INDEX($AC$1004:$AS$1004,1,MATCH(COLUMNS($AC$1006:AG1006),$AC$1006:$AS$1006,0)))),"Fix")))</f>
        <v xml:space="preserve"> </v>
      </c>
      <c r="G248" s="4" t="str">
        <f ca="1">IF(OR(INDEX($W$2:$W$1001,MATCH(ROWS($V$2:V248),$V$2:$V$1001,0),1)&gt;=100000,INDEX($AC$1005:$AS$1005,1,MATCH(COLUMNS($AC$1006:AH1006),$AC$1006:$AS$1006,0))&gt;=100000), " ",IF(INDEX($AC$2:$AS$1001,MATCH(ROWS($V$2:V248),$V$2:$V$1001,0),MATCH(COLUMNS($AC$1006:AH1006),$AC$1006:$AS$1006,0)), HYPERLINK("#",""), HYPERLINK(CONCATENATE("#metadata!", ADDRESS(INDEX($X$2:$X$1001,MATCH(ROWS($V$2:V248),$V$2:$V$1001,0),0), INDEX($AC$1004:$AS$1004,1,MATCH(COLUMNS($AC$1006:AH1006),$AC$1006:$AS$1006,0)))),"Fix")))</f>
        <v xml:space="preserve"> </v>
      </c>
      <c r="H248" s="4" t="str">
        <f ca="1">IF(OR(INDEX($W$2:$W$1001,MATCH(ROWS($V$2:V248),$V$2:$V$1001,0),1)&gt;=100000,INDEX($AC$1005:$AS$1005,1,MATCH(COLUMNS($AC$1006:AI1006),$AC$1006:$AS$1006,0))&gt;=100000), " ",IF(INDEX($AC$2:$AS$1001,MATCH(ROWS($V$2:V248),$V$2:$V$1001,0),MATCH(COLUMNS($AC$1006:AI1006),$AC$1006:$AS$1006,0)), HYPERLINK("#",""), HYPERLINK(CONCATENATE("#metadata!", ADDRESS(INDEX($X$2:$X$1001,MATCH(ROWS($V$2:V248),$V$2:$V$1001,0),0), INDEX($AC$1004:$AS$1004,1,MATCH(COLUMNS($AC$1006:AI1006),$AC$1006:$AS$1006,0)))),"Fix")))</f>
        <v xml:space="preserve"> </v>
      </c>
      <c r="I248" s="4" t="str">
        <f ca="1">IF(OR(INDEX($W$2:$W$1001,MATCH(ROWS($V$2:V248),$V$2:$V$1001,0),1)&gt;=100000,INDEX($AC$1005:$AS$1005,1,MATCH(COLUMNS($AC$1006:AJ1006),$AC$1006:$AS$1006,0))&gt;=100000), " ",IF(INDEX($AC$2:$AS$1001,MATCH(ROWS($V$2:V248),$V$2:$V$1001,0),MATCH(COLUMNS($AC$1006:AJ1006),$AC$1006:$AS$1006,0)), HYPERLINK("#",""), HYPERLINK(CONCATENATE("#metadata!", ADDRESS(INDEX($X$2:$X$1001,MATCH(ROWS($V$2:V248),$V$2:$V$1001,0),0), INDEX($AC$1004:$AS$1004,1,MATCH(COLUMNS($AC$1006:AJ1006),$AC$1006:$AS$1006,0)))),"Fix")))</f>
        <v xml:space="preserve"> </v>
      </c>
      <c r="J248" s="4" t="str">
        <f ca="1">IF(OR(INDEX($W$2:$W$1001,MATCH(ROWS($V$2:V248),$V$2:$V$1001,0),1)&gt;=100000,INDEX($AC$1005:$AS$1005,1,MATCH(COLUMNS($AC$1006:AK1006),$AC$1006:$AS$1006,0))&gt;=100000), " ",IF(INDEX($AC$2:$AS$1001,MATCH(ROWS($V$2:V248),$V$2:$V$1001,0),MATCH(COLUMNS($AC$1006:AK1006),$AC$1006:$AS$1006,0)), HYPERLINK("#",""), HYPERLINK(CONCATENATE("#metadata!", ADDRESS(INDEX($X$2:$X$1001,MATCH(ROWS($V$2:V248),$V$2:$V$1001,0),0), INDEX($AC$1004:$AS$1004,1,MATCH(COLUMNS($AC$1006:AK1006),$AC$1006:$AS$1006,0)))),"Fix")))</f>
        <v xml:space="preserve"> </v>
      </c>
      <c r="K248" s="4" t="str">
        <f ca="1">IF(OR(INDEX($W$2:$W$1001,MATCH(ROWS($V$2:V248),$V$2:$V$1001,0),1)&gt;=100000,INDEX($AC$1005:$AS$1005,1,MATCH(COLUMNS($AC$1006:AL1006),$AC$1006:$AS$1006,0))&gt;=100000), " ",IF(INDEX($AC$2:$AS$1001,MATCH(ROWS($V$2:V248),$V$2:$V$1001,0),MATCH(COLUMNS($AC$1006:AL1006),$AC$1006:$AS$1006,0)), HYPERLINK("#",""), HYPERLINK(CONCATENATE("#metadata!", ADDRESS(INDEX($X$2:$X$1001,MATCH(ROWS($V$2:V248),$V$2:$V$1001,0),0), INDEX($AC$1004:$AS$1004,1,MATCH(COLUMNS($AC$1006:AL1006),$AC$1006:$AS$1006,0)))),"Fix")))</f>
        <v xml:space="preserve"> </v>
      </c>
      <c r="L248" s="4" t="str">
        <f ca="1">IF(OR(INDEX($W$2:$W$1001,MATCH(ROWS($V$2:V248),$V$2:$V$1001,0),1)&gt;=100000,INDEX($AC$1005:$AS$1005,1,MATCH(COLUMNS($AC$1006:AM1006),$AC$1006:$AS$1006,0))&gt;=100000), " ",IF(INDEX($AC$2:$AS$1001,MATCH(ROWS($V$2:V248),$V$2:$V$1001,0),MATCH(COLUMNS($AC$1006:AM1006),$AC$1006:$AS$1006,0)), HYPERLINK("#",""), HYPERLINK(CONCATENATE("#metadata!", ADDRESS(INDEX($X$2:$X$1001,MATCH(ROWS($V$2:V248),$V$2:$V$1001,0),0), INDEX($AC$1004:$AS$1004,1,MATCH(COLUMNS($AC$1006:AM1006),$AC$1006:$AS$1006,0)))),"Fix")))</f>
        <v xml:space="preserve"> </v>
      </c>
      <c r="M248" s="4" t="str">
        <f ca="1">IF(OR(INDEX($W$2:$W$1001,MATCH(ROWS($V$2:V248),$V$2:$V$1001,0),1)&gt;=100000,INDEX($AC$1005:$AS$1005,1,MATCH(COLUMNS($AC$1006:AN1006),$AC$1006:$AS$1006,0))&gt;=100000), " ",IF(INDEX($AC$2:$AS$1001,MATCH(ROWS($V$2:V248),$V$2:$V$1001,0),MATCH(COLUMNS($AC$1006:AN1006),$AC$1006:$AS$1006,0)), HYPERLINK("#",""), HYPERLINK(CONCATENATE("#metadata!", ADDRESS(INDEX($X$2:$X$1001,MATCH(ROWS($V$2:V248),$V$2:$V$1001,0),0), INDEX($AC$1004:$AS$1004,1,MATCH(COLUMNS($AC$1006:AN1006),$AC$1006:$AS$1006,0)))),"Fix")))</f>
        <v xml:space="preserve"> </v>
      </c>
      <c r="N248" s="4" t="str">
        <f ca="1">IF(OR(INDEX($W$2:$W$1001,MATCH(ROWS($V$2:V248),$V$2:$V$1001,0),1)&gt;=100000,INDEX($AC$1005:$AS$1005,1,MATCH(COLUMNS($AC$1006:AO1006),$AC$1006:$AS$1006,0))&gt;=100000), " ",IF(INDEX($AC$2:$AS$1001,MATCH(ROWS($V$2:V248),$V$2:$V$1001,0),MATCH(COLUMNS($AC$1006:AO1006),$AC$1006:$AS$1006,0)), HYPERLINK("#",""), HYPERLINK(CONCATENATE("#metadata!", ADDRESS(INDEX($X$2:$X$1001,MATCH(ROWS($V$2:V248),$V$2:$V$1001,0),0), INDEX($AC$1004:$AS$1004,1,MATCH(COLUMNS($AC$1006:AO1006),$AC$1006:$AS$1006,0)))),"Fix")))</f>
        <v xml:space="preserve"> </v>
      </c>
      <c r="O248" s="4" t="str">
        <f ca="1">IF(OR(INDEX($W$2:$W$1001,MATCH(ROWS($V$2:V248),$V$2:$V$1001,0),1)&gt;=100000,INDEX($AC$1005:$AS$1005,1,MATCH(COLUMNS($AC$1006:AP1006),$AC$1006:$AS$1006,0))&gt;=100000), " ",IF(INDEX($AC$2:$AS$1001,MATCH(ROWS($V$2:V248),$V$2:$V$1001,0),MATCH(COLUMNS($AC$1006:AP1006),$AC$1006:$AS$1006,0)), HYPERLINK("#",""), HYPERLINK(CONCATENATE("#metadata!", ADDRESS(INDEX($X$2:$X$1001,MATCH(ROWS($V$2:V248),$V$2:$V$1001,0),0), INDEX($AC$1004:$AS$1004,1,MATCH(COLUMNS($AC$1006:AP1006),$AC$1006:$AS$1006,0)))),"Fix")))</f>
        <v xml:space="preserve"> </v>
      </c>
      <c r="P248" s="4" t="str">
        <f ca="1">IF(OR(INDEX($W$2:$W$1001,MATCH(ROWS($V$2:V248),$V$2:$V$1001,0),1)&gt;=100000,INDEX($AC$1005:$AS$1005,1,MATCH(COLUMNS($AC$1006:AQ1006),$AC$1006:$AS$1006,0))&gt;=100000), " ",IF(INDEX($AC$2:$AS$1001,MATCH(ROWS($V$2:V248),$V$2:$V$1001,0),MATCH(COLUMNS($AC$1006:AQ1006),$AC$1006:$AS$1006,0)), HYPERLINK("#",""), HYPERLINK(CONCATENATE("#metadata!", ADDRESS(INDEX($X$2:$X$1001,MATCH(ROWS($V$2:V248),$V$2:$V$1001,0),0), INDEX($AC$1004:$AS$1004,1,MATCH(COLUMNS($AC$1006:AQ1006),$AC$1006:$AS$1006,0)))),"Fix")))</f>
        <v xml:space="preserve"> </v>
      </c>
      <c r="Q248" s="4" t="str">
        <f ca="1">IF(OR(INDEX($W$2:$W$1001,MATCH(ROWS($V$2:V248),$V$2:$V$1001,0),1)&gt;=100000,INDEX($AC$1005:$AS$1005,1,MATCH(COLUMNS($AC$1006:AR1006),$AC$1006:$AS$1006,0))&gt;=100000), " ",IF(INDEX($AC$2:$AS$1001,MATCH(ROWS($V$2:V248),$V$2:$V$1001,0),MATCH(COLUMNS($AC$1006:AR1006),$AC$1006:$AS$1006,0)), HYPERLINK("#",""), HYPERLINK(CONCATENATE("#metadata!", ADDRESS(INDEX($X$2:$X$1001,MATCH(ROWS($V$2:V248),$V$2:$V$1001,0),0), INDEX($AC$1004:$AS$1004,1,MATCH(COLUMNS($AC$1006:AR1006),$AC$1006:$AS$1006,0)))),"Fix")))</f>
        <v xml:space="preserve"> </v>
      </c>
      <c r="R248" s="4" t="str">
        <f ca="1">IF(OR(INDEX($W$2:$W$1001,MATCH(ROWS($V$2:V248),$V$2:$V$1001,0),1)&gt;=100000,INDEX($AC$1005:$AS$1005,1,MATCH(COLUMNS($AC$1006:AS1006),$AC$1006:$AS$1006,0))&gt;=100000), " ",IF(INDEX($AC$2:$AS$1001,MATCH(ROWS($V$2:V248),$V$2:$V$1001,0),MATCH(COLUMNS($AC$1006:AS1006),$AC$1006:$AS$1006,0)), HYPERLINK("#",""), HYPERLINK(CONCATENATE("#metadata!", ADDRESS(INDEX($X$2:$X$1001,MATCH(ROWS($V$2:V248),$V$2:$V$1001,0),0), INDEX($AC$1004:$AS$1004,1,MATCH(COLUMNS($AC$1006:AS1006),$AC$1006:$AS$1006,0)))),"Fix")))</f>
        <v xml:space="preserve"> </v>
      </c>
      <c r="V248">
        <v>247</v>
      </c>
      <c r="W248">
        <v>100248</v>
      </c>
      <c r="X248">
        <v>248</v>
      </c>
      <c r="Y248" t="b">
        <f t="shared" si="3"/>
        <v>1</v>
      </c>
      <c r="Z248" t="b">
        <f>COUNTBLANK(metadata!B248:R248)=COLUMNS(metadata!B248:R248)</f>
        <v>1</v>
      </c>
      <c r="AA248" t="str">
        <v/>
      </c>
      <c r="AC248" t="b">
        <f ca="1"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AD248" t="b">
        <f>IF(metadata!C248="",FALSE,ISNUMBER(VALUE(metadata!C248)))</f>
        <v>0</v>
      </c>
      <c r="AE248" t="b">
        <f>AND(IF(metadata!D248="",FALSE,TRUE),EXACT(metadata!D248,"years"))</f>
        <v>0</v>
      </c>
      <c r="AF248" t="b">
        <f>OR(AND(IF(metadata!E248="",FALSE,TRUE),OR(EXACT(metadata!E248,"not applicable"),EXACT(metadata!E248,"missing: not collected"),EXACT(metadata!E248,"missing: not provided"),EXACT(metadata!E248,"missing: restricted access"))),AND(IF(metadata!E248="",FALSE,ISNUMBER(VALUE(metadata!E248))),metadata!E248&gt;0))</f>
        <v>0</v>
      </c>
      <c r="AG248" t="b">
        <f>AND(IF(metadata!F248="",FALSE,TRUE),EXACT(metadata!F248,"Not applicable"))</f>
        <v>0</v>
      </c>
      <c r="AH248" t="b">
        <f>AND(IF(metadata!G248="",FALSE,TRUE),EXACT(metadata!G248,"urban biome"))</f>
        <v>0</v>
      </c>
      <c r="AI248" t="b">
        <f>AND(IF(metadata!H248="",FALSE,TRUE),EXACT(metadata!H248,"human-associated habitat"))</f>
        <v>0</v>
      </c>
      <c r="AJ248" t="b">
        <f>AND(IF(metadata!I248="",FALSE,TRUE),OR(EXACT(metadata!I248,"human-associated"),EXACT(metadata!I248,"human-skin"),EXACT(metadata!I248,"human-oral"),EXACT(metadata!I248,"human-gut"),EXACT(metadata!I248,"human-vaginal")))</f>
        <v>0</v>
      </c>
      <c r="AK248" t="b">
        <f>IF(metadata!J248="",FALSE,ISNUMBER(VALUE(metadata!J248)))</f>
        <v>0</v>
      </c>
      <c r="AL248" t="b">
        <f>AND(IF(metadata!K248="",FALSE,TRUE),EXACT(metadata!K248,"cm"))</f>
        <v>0</v>
      </c>
      <c r="AM248" t="b">
        <f>AND(IF(metadata!L248="",FALSE,TRUE),EXACT(metadata!L248,"human"))</f>
        <v>0</v>
      </c>
      <c r="AN248" t="b">
        <f>AND(IF(metadata!M248="",FALSE,TRUE),EXACT(metadata!M248,"Homo sapiens"))</f>
        <v>0</v>
      </c>
      <c r="AO248" t="b">
        <f>AND(IF(metadata!N248="",FALSE,TRUE),EXACT(metadata!N248,"9606"))</f>
        <v>0</v>
      </c>
      <c r="AP248" t="b">
        <f>IF(metadata!O248="",FALSE,TRUE)</f>
        <v>0</v>
      </c>
      <c r="AQ248" t="b">
        <f>IF(metadata!P248="",FALSE,TRUE)</f>
        <v>0</v>
      </c>
      <c r="AR248" t="b">
        <f>IF(metadata!Q248="",FALSE,ISNUMBER(VALUE(metadata!Q248)))</f>
        <v>0</v>
      </c>
      <c r="AS248" t="b">
        <f>AND(IF(metadata!R248="",FALSE,TRUE),EXACT(metadata!R248,"kg"))</f>
        <v>0</v>
      </c>
    </row>
    <row r="249" spans="1:45" x14ac:dyDescent="0.2">
      <c r="A249" s="5" t="str">
        <f ca="1">IF(B249=" "," ",HYPERLINK(CONCATENATE("#metadata!",ADDRESS(INDEX($X$2:$X$1001,MATCH(ROWS($V$2:V249),$V$2:$V$1001,0),0),1)),INDEX($AA$2:$AA$1001,MATCH(ROWS($V$2:V249),$V$2:$V$1001,0),0)))</f>
        <v xml:space="preserve"> </v>
      </c>
      <c r="B249" s="4" t="str">
        <f ca="1">IF(OR(INDEX($W$2:$W$1001,MATCH(ROWS($V$2:V249),$V$2:$V$1001,0),1)&gt;=100000,INDEX($AC$1005:$AS$1005,1,MATCH(COLUMNS($AC$1006:AC1006),$AC$1006:$AS$1006,0))&gt;=100000), " ",IF(INDEX($AC$2:$AS$1001,MATCH(ROWS($V$2:V249),$V$2:$V$1001,0),MATCH(COLUMNS($AC$1006:AC1006),$AC$1006:$AS$1006,0)), HYPERLINK("#",""), HYPERLINK(CONCATENATE("#metadata!", ADDRESS(INDEX($X$2:$X$1001,MATCH(ROWS($V$2:V249),$V$2:$V$1001,0),0), INDEX($AC$1004:$AS$1004,1,MATCH(COLUMNS($AC$1006:AC1006),$AC$1006:$AS$1006,0)))),"Fix")))</f>
        <v xml:space="preserve"> </v>
      </c>
      <c r="C249" s="4" t="str">
        <f ca="1">IF(OR(INDEX($W$2:$W$1001,MATCH(ROWS($V$2:V249),$V$2:$V$1001,0),1)&gt;=100000,INDEX($AC$1005:$AS$1005,1,MATCH(COLUMNS($AC$1006:AD1006),$AC$1006:$AS$1006,0))&gt;=100000), " ",IF(INDEX($AC$2:$AS$1001,MATCH(ROWS($V$2:V249),$V$2:$V$1001,0),MATCH(COLUMNS($AC$1006:AD1006),$AC$1006:$AS$1006,0)), HYPERLINK("#",""), HYPERLINK(CONCATENATE("#metadata!", ADDRESS(INDEX($X$2:$X$1001,MATCH(ROWS($V$2:V249),$V$2:$V$1001,0),0), INDEX($AC$1004:$AS$1004,1,MATCH(COLUMNS($AC$1006:AD1006),$AC$1006:$AS$1006,0)))),"Fix")))</f>
        <v xml:space="preserve"> </v>
      </c>
      <c r="D249" s="4" t="str">
        <f ca="1">IF(OR(INDEX($W$2:$W$1001,MATCH(ROWS($V$2:V249),$V$2:$V$1001,0),1)&gt;=100000,INDEX($AC$1005:$AS$1005,1,MATCH(COLUMNS($AC$1006:AE1006),$AC$1006:$AS$1006,0))&gt;=100000), " ",IF(INDEX($AC$2:$AS$1001,MATCH(ROWS($V$2:V249),$V$2:$V$1001,0),MATCH(COLUMNS($AC$1006:AE1006),$AC$1006:$AS$1006,0)), HYPERLINK("#",""), HYPERLINK(CONCATENATE("#metadata!", ADDRESS(INDEX($X$2:$X$1001,MATCH(ROWS($V$2:V249),$V$2:$V$1001,0),0), INDEX($AC$1004:$AS$1004,1,MATCH(COLUMNS($AC$1006:AE1006),$AC$1006:$AS$1006,0)))),"Fix")))</f>
        <v xml:space="preserve"> </v>
      </c>
      <c r="E249" s="4" t="str">
        <f ca="1">IF(OR(INDEX($W$2:$W$1001,MATCH(ROWS($V$2:V249),$V$2:$V$1001,0),1)&gt;=100000,INDEX($AC$1005:$AS$1005,1,MATCH(COLUMNS($AC$1006:AF1006),$AC$1006:$AS$1006,0))&gt;=100000), " ",IF(INDEX($AC$2:$AS$1001,MATCH(ROWS($V$2:V249),$V$2:$V$1001,0),MATCH(COLUMNS($AC$1006:AF1006),$AC$1006:$AS$1006,0)), HYPERLINK("#",""), HYPERLINK(CONCATENATE("#metadata!", ADDRESS(INDEX($X$2:$X$1001,MATCH(ROWS($V$2:V249),$V$2:$V$1001,0),0), INDEX($AC$1004:$AS$1004,1,MATCH(COLUMNS($AC$1006:AF1006),$AC$1006:$AS$1006,0)))),"Fix")))</f>
        <v xml:space="preserve"> </v>
      </c>
      <c r="F249" s="4" t="str">
        <f ca="1">IF(OR(INDEX($W$2:$W$1001,MATCH(ROWS($V$2:V249),$V$2:$V$1001,0),1)&gt;=100000,INDEX($AC$1005:$AS$1005,1,MATCH(COLUMNS($AC$1006:AG1006),$AC$1006:$AS$1006,0))&gt;=100000), " ",IF(INDEX($AC$2:$AS$1001,MATCH(ROWS($V$2:V249),$V$2:$V$1001,0),MATCH(COLUMNS($AC$1006:AG1006),$AC$1006:$AS$1006,0)), HYPERLINK("#",""), HYPERLINK(CONCATENATE("#metadata!", ADDRESS(INDEX($X$2:$X$1001,MATCH(ROWS($V$2:V249),$V$2:$V$1001,0),0), INDEX($AC$1004:$AS$1004,1,MATCH(COLUMNS($AC$1006:AG1006),$AC$1006:$AS$1006,0)))),"Fix")))</f>
        <v xml:space="preserve"> </v>
      </c>
      <c r="G249" s="4" t="str">
        <f ca="1">IF(OR(INDEX($W$2:$W$1001,MATCH(ROWS($V$2:V249),$V$2:$V$1001,0),1)&gt;=100000,INDEX($AC$1005:$AS$1005,1,MATCH(COLUMNS($AC$1006:AH1006),$AC$1006:$AS$1006,0))&gt;=100000), " ",IF(INDEX($AC$2:$AS$1001,MATCH(ROWS($V$2:V249),$V$2:$V$1001,0),MATCH(COLUMNS($AC$1006:AH1006),$AC$1006:$AS$1006,0)), HYPERLINK("#",""), HYPERLINK(CONCATENATE("#metadata!", ADDRESS(INDEX($X$2:$X$1001,MATCH(ROWS($V$2:V249),$V$2:$V$1001,0),0), INDEX($AC$1004:$AS$1004,1,MATCH(COLUMNS($AC$1006:AH1006),$AC$1006:$AS$1006,0)))),"Fix")))</f>
        <v xml:space="preserve"> </v>
      </c>
      <c r="H249" s="4" t="str">
        <f ca="1">IF(OR(INDEX($W$2:$W$1001,MATCH(ROWS($V$2:V249),$V$2:$V$1001,0),1)&gt;=100000,INDEX($AC$1005:$AS$1005,1,MATCH(COLUMNS($AC$1006:AI1006),$AC$1006:$AS$1006,0))&gt;=100000), " ",IF(INDEX($AC$2:$AS$1001,MATCH(ROWS($V$2:V249),$V$2:$V$1001,0),MATCH(COLUMNS($AC$1006:AI1006),$AC$1006:$AS$1006,0)), HYPERLINK("#",""), HYPERLINK(CONCATENATE("#metadata!", ADDRESS(INDEX($X$2:$X$1001,MATCH(ROWS($V$2:V249),$V$2:$V$1001,0),0), INDEX($AC$1004:$AS$1004,1,MATCH(COLUMNS($AC$1006:AI1006),$AC$1006:$AS$1006,0)))),"Fix")))</f>
        <v xml:space="preserve"> </v>
      </c>
      <c r="I249" s="4" t="str">
        <f ca="1">IF(OR(INDEX($W$2:$W$1001,MATCH(ROWS($V$2:V249),$V$2:$V$1001,0),1)&gt;=100000,INDEX($AC$1005:$AS$1005,1,MATCH(COLUMNS($AC$1006:AJ1006),$AC$1006:$AS$1006,0))&gt;=100000), " ",IF(INDEX($AC$2:$AS$1001,MATCH(ROWS($V$2:V249),$V$2:$V$1001,0),MATCH(COLUMNS($AC$1006:AJ1006),$AC$1006:$AS$1006,0)), HYPERLINK("#",""), HYPERLINK(CONCATENATE("#metadata!", ADDRESS(INDEX($X$2:$X$1001,MATCH(ROWS($V$2:V249),$V$2:$V$1001,0),0), INDEX($AC$1004:$AS$1004,1,MATCH(COLUMNS($AC$1006:AJ1006),$AC$1006:$AS$1006,0)))),"Fix")))</f>
        <v xml:space="preserve"> </v>
      </c>
      <c r="J249" s="4" t="str">
        <f ca="1">IF(OR(INDEX($W$2:$W$1001,MATCH(ROWS($V$2:V249),$V$2:$V$1001,0),1)&gt;=100000,INDEX($AC$1005:$AS$1005,1,MATCH(COLUMNS($AC$1006:AK1006),$AC$1006:$AS$1006,0))&gt;=100000), " ",IF(INDEX($AC$2:$AS$1001,MATCH(ROWS($V$2:V249),$V$2:$V$1001,0),MATCH(COLUMNS($AC$1006:AK1006),$AC$1006:$AS$1006,0)), HYPERLINK("#",""), HYPERLINK(CONCATENATE("#metadata!", ADDRESS(INDEX($X$2:$X$1001,MATCH(ROWS($V$2:V249),$V$2:$V$1001,0),0), INDEX($AC$1004:$AS$1004,1,MATCH(COLUMNS($AC$1006:AK1006),$AC$1006:$AS$1006,0)))),"Fix")))</f>
        <v xml:space="preserve"> </v>
      </c>
      <c r="K249" s="4" t="str">
        <f ca="1">IF(OR(INDEX($W$2:$W$1001,MATCH(ROWS($V$2:V249),$V$2:$V$1001,0),1)&gt;=100000,INDEX($AC$1005:$AS$1005,1,MATCH(COLUMNS($AC$1006:AL1006),$AC$1006:$AS$1006,0))&gt;=100000), " ",IF(INDEX($AC$2:$AS$1001,MATCH(ROWS($V$2:V249),$V$2:$V$1001,0),MATCH(COLUMNS($AC$1006:AL1006),$AC$1006:$AS$1006,0)), HYPERLINK("#",""), HYPERLINK(CONCATENATE("#metadata!", ADDRESS(INDEX($X$2:$X$1001,MATCH(ROWS($V$2:V249),$V$2:$V$1001,0),0), INDEX($AC$1004:$AS$1004,1,MATCH(COLUMNS($AC$1006:AL1006),$AC$1006:$AS$1006,0)))),"Fix")))</f>
        <v xml:space="preserve"> </v>
      </c>
      <c r="L249" s="4" t="str">
        <f ca="1">IF(OR(INDEX($W$2:$W$1001,MATCH(ROWS($V$2:V249),$V$2:$V$1001,0),1)&gt;=100000,INDEX($AC$1005:$AS$1005,1,MATCH(COLUMNS($AC$1006:AM1006),$AC$1006:$AS$1006,0))&gt;=100000), " ",IF(INDEX($AC$2:$AS$1001,MATCH(ROWS($V$2:V249),$V$2:$V$1001,0),MATCH(COLUMNS($AC$1006:AM1006),$AC$1006:$AS$1006,0)), HYPERLINK("#",""), HYPERLINK(CONCATENATE("#metadata!", ADDRESS(INDEX($X$2:$X$1001,MATCH(ROWS($V$2:V249),$V$2:$V$1001,0),0), INDEX($AC$1004:$AS$1004,1,MATCH(COLUMNS($AC$1006:AM1006),$AC$1006:$AS$1006,0)))),"Fix")))</f>
        <v xml:space="preserve"> </v>
      </c>
      <c r="M249" s="4" t="str">
        <f ca="1">IF(OR(INDEX($W$2:$W$1001,MATCH(ROWS($V$2:V249),$V$2:$V$1001,0),1)&gt;=100000,INDEX($AC$1005:$AS$1005,1,MATCH(COLUMNS($AC$1006:AN1006),$AC$1006:$AS$1006,0))&gt;=100000), " ",IF(INDEX($AC$2:$AS$1001,MATCH(ROWS($V$2:V249),$V$2:$V$1001,0),MATCH(COLUMNS($AC$1006:AN1006),$AC$1006:$AS$1006,0)), HYPERLINK("#",""), HYPERLINK(CONCATENATE("#metadata!", ADDRESS(INDEX($X$2:$X$1001,MATCH(ROWS($V$2:V249),$V$2:$V$1001,0),0), INDEX($AC$1004:$AS$1004,1,MATCH(COLUMNS($AC$1006:AN1006),$AC$1006:$AS$1006,0)))),"Fix")))</f>
        <v xml:space="preserve"> </v>
      </c>
      <c r="N249" s="4" t="str">
        <f ca="1">IF(OR(INDEX($W$2:$W$1001,MATCH(ROWS($V$2:V249),$V$2:$V$1001,0),1)&gt;=100000,INDEX($AC$1005:$AS$1005,1,MATCH(COLUMNS($AC$1006:AO1006),$AC$1006:$AS$1006,0))&gt;=100000), " ",IF(INDEX($AC$2:$AS$1001,MATCH(ROWS($V$2:V249),$V$2:$V$1001,0),MATCH(COLUMNS($AC$1006:AO1006),$AC$1006:$AS$1006,0)), HYPERLINK("#",""), HYPERLINK(CONCATENATE("#metadata!", ADDRESS(INDEX($X$2:$X$1001,MATCH(ROWS($V$2:V249),$V$2:$V$1001,0),0), INDEX($AC$1004:$AS$1004,1,MATCH(COLUMNS($AC$1006:AO1006),$AC$1006:$AS$1006,0)))),"Fix")))</f>
        <v xml:space="preserve"> </v>
      </c>
      <c r="O249" s="4" t="str">
        <f ca="1">IF(OR(INDEX($W$2:$W$1001,MATCH(ROWS($V$2:V249),$V$2:$V$1001,0),1)&gt;=100000,INDEX($AC$1005:$AS$1005,1,MATCH(COLUMNS($AC$1006:AP1006),$AC$1006:$AS$1006,0))&gt;=100000), " ",IF(INDEX($AC$2:$AS$1001,MATCH(ROWS($V$2:V249),$V$2:$V$1001,0),MATCH(COLUMNS($AC$1006:AP1006),$AC$1006:$AS$1006,0)), HYPERLINK("#",""), HYPERLINK(CONCATENATE("#metadata!", ADDRESS(INDEX($X$2:$X$1001,MATCH(ROWS($V$2:V249),$V$2:$V$1001,0),0), INDEX($AC$1004:$AS$1004,1,MATCH(COLUMNS($AC$1006:AP1006),$AC$1006:$AS$1006,0)))),"Fix")))</f>
        <v xml:space="preserve"> </v>
      </c>
      <c r="P249" s="4" t="str">
        <f ca="1">IF(OR(INDEX($W$2:$W$1001,MATCH(ROWS($V$2:V249),$V$2:$V$1001,0),1)&gt;=100000,INDEX($AC$1005:$AS$1005,1,MATCH(COLUMNS($AC$1006:AQ1006),$AC$1006:$AS$1006,0))&gt;=100000), " ",IF(INDEX($AC$2:$AS$1001,MATCH(ROWS($V$2:V249),$V$2:$V$1001,0),MATCH(COLUMNS($AC$1006:AQ1006),$AC$1006:$AS$1006,0)), HYPERLINK("#",""), HYPERLINK(CONCATENATE("#metadata!", ADDRESS(INDEX($X$2:$X$1001,MATCH(ROWS($V$2:V249),$V$2:$V$1001,0),0), INDEX($AC$1004:$AS$1004,1,MATCH(COLUMNS($AC$1006:AQ1006),$AC$1006:$AS$1006,0)))),"Fix")))</f>
        <v xml:space="preserve"> </v>
      </c>
      <c r="Q249" s="4" t="str">
        <f ca="1">IF(OR(INDEX($W$2:$W$1001,MATCH(ROWS($V$2:V249),$V$2:$V$1001,0),1)&gt;=100000,INDEX($AC$1005:$AS$1005,1,MATCH(COLUMNS($AC$1006:AR1006),$AC$1006:$AS$1006,0))&gt;=100000), " ",IF(INDEX($AC$2:$AS$1001,MATCH(ROWS($V$2:V249),$V$2:$V$1001,0),MATCH(COLUMNS($AC$1006:AR1006),$AC$1006:$AS$1006,0)), HYPERLINK("#",""), HYPERLINK(CONCATENATE("#metadata!", ADDRESS(INDEX($X$2:$X$1001,MATCH(ROWS($V$2:V249),$V$2:$V$1001,0),0), INDEX($AC$1004:$AS$1004,1,MATCH(COLUMNS($AC$1006:AR1006),$AC$1006:$AS$1006,0)))),"Fix")))</f>
        <v xml:space="preserve"> </v>
      </c>
      <c r="R249" s="4" t="str">
        <f ca="1">IF(OR(INDEX($W$2:$W$1001,MATCH(ROWS($V$2:V249),$V$2:$V$1001,0),1)&gt;=100000,INDEX($AC$1005:$AS$1005,1,MATCH(COLUMNS($AC$1006:AS1006),$AC$1006:$AS$1006,0))&gt;=100000), " ",IF(INDEX($AC$2:$AS$1001,MATCH(ROWS($V$2:V249),$V$2:$V$1001,0),MATCH(COLUMNS($AC$1006:AS1006),$AC$1006:$AS$1006,0)), HYPERLINK("#",""), HYPERLINK(CONCATENATE("#metadata!", ADDRESS(INDEX($X$2:$X$1001,MATCH(ROWS($V$2:V249),$V$2:$V$1001,0),0), INDEX($AC$1004:$AS$1004,1,MATCH(COLUMNS($AC$1006:AS1006),$AC$1006:$AS$1006,0)))),"Fix")))</f>
        <v xml:space="preserve"> </v>
      </c>
      <c r="V249">
        <v>248</v>
      </c>
      <c r="W249">
        <v>100249</v>
      </c>
      <c r="X249">
        <v>249</v>
      </c>
      <c r="Y249" t="b">
        <f t="shared" si="3"/>
        <v>1</v>
      </c>
      <c r="Z249" t="b">
        <f>COUNTBLANK(metadata!B249:R249)=COLUMNS(metadata!B249:R249)</f>
        <v>1</v>
      </c>
      <c r="AA249" t="str">
        <v/>
      </c>
      <c r="AC249" t="b">
        <f ca="1"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AD249" t="b">
        <f>IF(metadata!C249="",FALSE,ISNUMBER(VALUE(metadata!C249)))</f>
        <v>0</v>
      </c>
      <c r="AE249" t="b">
        <f>AND(IF(metadata!D249="",FALSE,TRUE),EXACT(metadata!D249,"years"))</f>
        <v>0</v>
      </c>
      <c r="AF249" t="b">
        <f>OR(AND(IF(metadata!E249="",FALSE,TRUE),OR(EXACT(metadata!E249,"not applicable"),EXACT(metadata!E249,"missing: not collected"),EXACT(metadata!E249,"missing: not provided"),EXACT(metadata!E249,"missing: restricted access"))),AND(IF(metadata!E249="",FALSE,ISNUMBER(VALUE(metadata!E249))),metadata!E249&gt;0))</f>
        <v>0</v>
      </c>
      <c r="AG249" t="b">
        <f>AND(IF(metadata!F249="",FALSE,TRUE),EXACT(metadata!F249,"Not applicable"))</f>
        <v>0</v>
      </c>
      <c r="AH249" t="b">
        <f>AND(IF(metadata!G249="",FALSE,TRUE),EXACT(metadata!G249,"urban biome"))</f>
        <v>0</v>
      </c>
      <c r="AI249" t="b">
        <f>AND(IF(metadata!H249="",FALSE,TRUE),EXACT(metadata!H249,"human-associated habitat"))</f>
        <v>0</v>
      </c>
      <c r="AJ249" t="b">
        <f>AND(IF(metadata!I249="",FALSE,TRUE),OR(EXACT(metadata!I249,"human-associated"),EXACT(metadata!I249,"human-skin"),EXACT(metadata!I249,"human-oral"),EXACT(metadata!I249,"human-gut"),EXACT(metadata!I249,"human-vaginal")))</f>
        <v>0</v>
      </c>
      <c r="AK249" t="b">
        <f>IF(metadata!J249="",FALSE,ISNUMBER(VALUE(metadata!J249)))</f>
        <v>0</v>
      </c>
      <c r="AL249" t="b">
        <f>AND(IF(metadata!K249="",FALSE,TRUE),EXACT(metadata!K249,"cm"))</f>
        <v>0</v>
      </c>
      <c r="AM249" t="b">
        <f>AND(IF(metadata!L249="",FALSE,TRUE),EXACT(metadata!L249,"human"))</f>
        <v>0</v>
      </c>
      <c r="AN249" t="b">
        <f>AND(IF(metadata!M249="",FALSE,TRUE),EXACT(metadata!M249,"Homo sapiens"))</f>
        <v>0</v>
      </c>
      <c r="AO249" t="b">
        <f>AND(IF(metadata!N249="",FALSE,TRUE),EXACT(metadata!N249,"9606"))</f>
        <v>0</v>
      </c>
      <c r="AP249" t="b">
        <f>IF(metadata!O249="",FALSE,TRUE)</f>
        <v>0</v>
      </c>
      <c r="AQ249" t="b">
        <f>IF(metadata!P249="",FALSE,TRUE)</f>
        <v>0</v>
      </c>
      <c r="AR249" t="b">
        <f>IF(metadata!Q249="",FALSE,ISNUMBER(VALUE(metadata!Q249)))</f>
        <v>0</v>
      </c>
      <c r="AS249" t="b">
        <f>AND(IF(metadata!R249="",FALSE,TRUE),EXACT(metadata!R249,"kg"))</f>
        <v>0</v>
      </c>
    </row>
    <row r="250" spans="1:45" x14ac:dyDescent="0.2">
      <c r="A250" s="5" t="str">
        <f ca="1">IF(B250=" "," ",HYPERLINK(CONCATENATE("#metadata!",ADDRESS(INDEX($X$2:$X$1001,MATCH(ROWS($V$2:V250),$V$2:$V$1001,0),0),1)),INDEX($AA$2:$AA$1001,MATCH(ROWS($V$2:V250),$V$2:$V$1001,0),0)))</f>
        <v xml:space="preserve"> </v>
      </c>
      <c r="B250" s="4" t="str">
        <f ca="1">IF(OR(INDEX($W$2:$W$1001,MATCH(ROWS($V$2:V250),$V$2:$V$1001,0),1)&gt;=100000,INDEX($AC$1005:$AS$1005,1,MATCH(COLUMNS($AC$1006:AC1006),$AC$1006:$AS$1006,0))&gt;=100000), " ",IF(INDEX($AC$2:$AS$1001,MATCH(ROWS($V$2:V250),$V$2:$V$1001,0),MATCH(COLUMNS($AC$1006:AC1006),$AC$1006:$AS$1006,0)), HYPERLINK("#",""), HYPERLINK(CONCATENATE("#metadata!", ADDRESS(INDEX($X$2:$X$1001,MATCH(ROWS($V$2:V250),$V$2:$V$1001,0),0), INDEX($AC$1004:$AS$1004,1,MATCH(COLUMNS($AC$1006:AC1006),$AC$1006:$AS$1006,0)))),"Fix")))</f>
        <v xml:space="preserve"> </v>
      </c>
      <c r="C250" s="4" t="str">
        <f ca="1">IF(OR(INDEX($W$2:$W$1001,MATCH(ROWS($V$2:V250),$V$2:$V$1001,0),1)&gt;=100000,INDEX($AC$1005:$AS$1005,1,MATCH(COLUMNS($AC$1006:AD1006),$AC$1006:$AS$1006,0))&gt;=100000), " ",IF(INDEX($AC$2:$AS$1001,MATCH(ROWS($V$2:V250),$V$2:$V$1001,0),MATCH(COLUMNS($AC$1006:AD1006),$AC$1006:$AS$1006,0)), HYPERLINK("#",""), HYPERLINK(CONCATENATE("#metadata!", ADDRESS(INDEX($X$2:$X$1001,MATCH(ROWS($V$2:V250),$V$2:$V$1001,0),0), INDEX($AC$1004:$AS$1004,1,MATCH(COLUMNS($AC$1006:AD1006),$AC$1006:$AS$1006,0)))),"Fix")))</f>
        <v xml:space="preserve"> </v>
      </c>
      <c r="D250" s="4" t="str">
        <f ca="1">IF(OR(INDEX($W$2:$W$1001,MATCH(ROWS($V$2:V250),$V$2:$V$1001,0),1)&gt;=100000,INDEX($AC$1005:$AS$1005,1,MATCH(COLUMNS($AC$1006:AE1006),$AC$1006:$AS$1006,0))&gt;=100000), " ",IF(INDEX($AC$2:$AS$1001,MATCH(ROWS($V$2:V250),$V$2:$V$1001,0),MATCH(COLUMNS($AC$1006:AE1006),$AC$1006:$AS$1006,0)), HYPERLINK("#",""), HYPERLINK(CONCATENATE("#metadata!", ADDRESS(INDEX($X$2:$X$1001,MATCH(ROWS($V$2:V250),$V$2:$V$1001,0),0), INDEX($AC$1004:$AS$1004,1,MATCH(COLUMNS($AC$1006:AE1006),$AC$1006:$AS$1006,0)))),"Fix")))</f>
        <v xml:space="preserve"> </v>
      </c>
      <c r="E250" s="4" t="str">
        <f ca="1">IF(OR(INDEX($W$2:$W$1001,MATCH(ROWS($V$2:V250),$V$2:$V$1001,0),1)&gt;=100000,INDEX($AC$1005:$AS$1005,1,MATCH(COLUMNS($AC$1006:AF1006),$AC$1006:$AS$1006,0))&gt;=100000), " ",IF(INDEX($AC$2:$AS$1001,MATCH(ROWS($V$2:V250),$V$2:$V$1001,0),MATCH(COLUMNS($AC$1006:AF1006),$AC$1006:$AS$1006,0)), HYPERLINK("#",""), HYPERLINK(CONCATENATE("#metadata!", ADDRESS(INDEX($X$2:$X$1001,MATCH(ROWS($V$2:V250),$V$2:$V$1001,0),0), INDEX($AC$1004:$AS$1004,1,MATCH(COLUMNS($AC$1006:AF1006),$AC$1006:$AS$1006,0)))),"Fix")))</f>
        <v xml:space="preserve"> </v>
      </c>
      <c r="F250" s="4" t="str">
        <f ca="1">IF(OR(INDEX($W$2:$W$1001,MATCH(ROWS($V$2:V250),$V$2:$V$1001,0),1)&gt;=100000,INDEX($AC$1005:$AS$1005,1,MATCH(COLUMNS($AC$1006:AG1006),$AC$1006:$AS$1006,0))&gt;=100000), " ",IF(INDEX($AC$2:$AS$1001,MATCH(ROWS($V$2:V250),$V$2:$V$1001,0),MATCH(COLUMNS($AC$1006:AG1006),$AC$1006:$AS$1006,0)), HYPERLINK("#",""), HYPERLINK(CONCATENATE("#metadata!", ADDRESS(INDEX($X$2:$X$1001,MATCH(ROWS($V$2:V250),$V$2:$V$1001,0),0), INDEX($AC$1004:$AS$1004,1,MATCH(COLUMNS($AC$1006:AG1006),$AC$1006:$AS$1006,0)))),"Fix")))</f>
        <v xml:space="preserve"> </v>
      </c>
      <c r="G250" s="4" t="str">
        <f ca="1">IF(OR(INDEX($W$2:$W$1001,MATCH(ROWS($V$2:V250),$V$2:$V$1001,0),1)&gt;=100000,INDEX($AC$1005:$AS$1005,1,MATCH(COLUMNS($AC$1006:AH1006),$AC$1006:$AS$1006,0))&gt;=100000), " ",IF(INDEX($AC$2:$AS$1001,MATCH(ROWS($V$2:V250),$V$2:$V$1001,0),MATCH(COLUMNS($AC$1006:AH1006),$AC$1006:$AS$1006,0)), HYPERLINK("#",""), HYPERLINK(CONCATENATE("#metadata!", ADDRESS(INDEX($X$2:$X$1001,MATCH(ROWS($V$2:V250),$V$2:$V$1001,0),0), INDEX($AC$1004:$AS$1004,1,MATCH(COLUMNS($AC$1006:AH1006),$AC$1006:$AS$1006,0)))),"Fix")))</f>
        <v xml:space="preserve"> </v>
      </c>
      <c r="H250" s="4" t="str">
        <f ca="1">IF(OR(INDEX($W$2:$W$1001,MATCH(ROWS($V$2:V250),$V$2:$V$1001,0),1)&gt;=100000,INDEX($AC$1005:$AS$1005,1,MATCH(COLUMNS($AC$1006:AI1006),$AC$1006:$AS$1006,0))&gt;=100000), " ",IF(INDEX($AC$2:$AS$1001,MATCH(ROWS($V$2:V250),$V$2:$V$1001,0),MATCH(COLUMNS($AC$1006:AI1006),$AC$1006:$AS$1006,0)), HYPERLINK("#",""), HYPERLINK(CONCATENATE("#metadata!", ADDRESS(INDEX($X$2:$X$1001,MATCH(ROWS($V$2:V250),$V$2:$V$1001,0),0), INDEX($AC$1004:$AS$1004,1,MATCH(COLUMNS($AC$1006:AI1006),$AC$1006:$AS$1006,0)))),"Fix")))</f>
        <v xml:space="preserve"> </v>
      </c>
      <c r="I250" s="4" t="str">
        <f ca="1">IF(OR(INDEX($W$2:$W$1001,MATCH(ROWS($V$2:V250),$V$2:$V$1001,0),1)&gt;=100000,INDEX($AC$1005:$AS$1005,1,MATCH(COLUMNS($AC$1006:AJ1006),$AC$1006:$AS$1006,0))&gt;=100000), " ",IF(INDEX($AC$2:$AS$1001,MATCH(ROWS($V$2:V250),$V$2:$V$1001,0),MATCH(COLUMNS($AC$1006:AJ1006),$AC$1006:$AS$1006,0)), HYPERLINK("#",""), HYPERLINK(CONCATENATE("#metadata!", ADDRESS(INDEX($X$2:$X$1001,MATCH(ROWS($V$2:V250),$V$2:$V$1001,0),0), INDEX($AC$1004:$AS$1004,1,MATCH(COLUMNS($AC$1006:AJ1006),$AC$1006:$AS$1006,0)))),"Fix")))</f>
        <v xml:space="preserve"> </v>
      </c>
      <c r="J250" s="4" t="str">
        <f ca="1">IF(OR(INDEX($W$2:$W$1001,MATCH(ROWS($V$2:V250),$V$2:$V$1001,0),1)&gt;=100000,INDEX($AC$1005:$AS$1005,1,MATCH(COLUMNS($AC$1006:AK1006),$AC$1006:$AS$1006,0))&gt;=100000), " ",IF(INDEX($AC$2:$AS$1001,MATCH(ROWS($V$2:V250),$V$2:$V$1001,0),MATCH(COLUMNS($AC$1006:AK1006),$AC$1006:$AS$1006,0)), HYPERLINK("#",""), HYPERLINK(CONCATENATE("#metadata!", ADDRESS(INDEX($X$2:$X$1001,MATCH(ROWS($V$2:V250),$V$2:$V$1001,0),0), INDEX($AC$1004:$AS$1004,1,MATCH(COLUMNS($AC$1006:AK1006),$AC$1006:$AS$1006,0)))),"Fix")))</f>
        <v xml:space="preserve"> </v>
      </c>
      <c r="K250" s="4" t="str">
        <f ca="1">IF(OR(INDEX($W$2:$W$1001,MATCH(ROWS($V$2:V250),$V$2:$V$1001,0),1)&gt;=100000,INDEX($AC$1005:$AS$1005,1,MATCH(COLUMNS($AC$1006:AL1006),$AC$1006:$AS$1006,0))&gt;=100000), " ",IF(INDEX($AC$2:$AS$1001,MATCH(ROWS($V$2:V250),$V$2:$V$1001,0),MATCH(COLUMNS($AC$1006:AL1006),$AC$1006:$AS$1006,0)), HYPERLINK("#",""), HYPERLINK(CONCATENATE("#metadata!", ADDRESS(INDEX($X$2:$X$1001,MATCH(ROWS($V$2:V250),$V$2:$V$1001,0),0), INDEX($AC$1004:$AS$1004,1,MATCH(COLUMNS($AC$1006:AL1006),$AC$1006:$AS$1006,0)))),"Fix")))</f>
        <v xml:space="preserve"> </v>
      </c>
      <c r="L250" s="4" t="str">
        <f ca="1">IF(OR(INDEX($W$2:$W$1001,MATCH(ROWS($V$2:V250),$V$2:$V$1001,0),1)&gt;=100000,INDEX($AC$1005:$AS$1005,1,MATCH(COLUMNS($AC$1006:AM1006),$AC$1006:$AS$1006,0))&gt;=100000), " ",IF(INDEX($AC$2:$AS$1001,MATCH(ROWS($V$2:V250),$V$2:$V$1001,0),MATCH(COLUMNS($AC$1006:AM1006),$AC$1006:$AS$1006,0)), HYPERLINK("#",""), HYPERLINK(CONCATENATE("#metadata!", ADDRESS(INDEX($X$2:$X$1001,MATCH(ROWS($V$2:V250),$V$2:$V$1001,0),0), INDEX($AC$1004:$AS$1004,1,MATCH(COLUMNS($AC$1006:AM1006),$AC$1006:$AS$1006,0)))),"Fix")))</f>
        <v xml:space="preserve"> </v>
      </c>
      <c r="M250" s="4" t="str">
        <f ca="1">IF(OR(INDEX($W$2:$W$1001,MATCH(ROWS($V$2:V250),$V$2:$V$1001,0),1)&gt;=100000,INDEX($AC$1005:$AS$1005,1,MATCH(COLUMNS($AC$1006:AN1006),$AC$1006:$AS$1006,0))&gt;=100000), " ",IF(INDEX($AC$2:$AS$1001,MATCH(ROWS($V$2:V250),$V$2:$V$1001,0),MATCH(COLUMNS($AC$1006:AN1006),$AC$1006:$AS$1006,0)), HYPERLINK("#",""), HYPERLINK(CONCATENATE("#metadata!", ADDRESS(INDEX($X$2:$X$1001,MATCH(ROWS($V$2:V250),$V$2:$V$1001,0),0), INDEX($AC$1004:$AS$1004,1,MATCH(COLUMNS($AC$1006:AN1006),$AC$1006:$AS$1006,0)))),"Fix")))</f>
        <v xml:space="preserve"> </v>
      </c>
      <c r="N250" s="4" t="str">
        <f ca="1">IF(OR(INDEX($W$2:$W$1001,MATCH(ROWS($V$2:V250),$V$2:$V$1001,0),1)&gt;=100000,INDEX($AC$1005:$AS$1005,1,MATCH(COLUMNS($AC$1006:AO1006),$AC$1006:$AS$1006,0))&gt;=100000), " ",IF(INDEX($AC$2:$AS$1001,MATCH(ROWS($V$2:V250),$V$2:$V$1001,0),MATCH(COLUMNS($AC$1006:AO1006),$AC$1006:$AS$1006,0)), HYPERLINK("#",""), HYPERLINK(CONCATENATE("#metadata!", ADDRESS(INDEX($X$2:$X$1001,MATCH(ROWS($V$2:V250),$V$2:$V$1001,0),0), INDEX($AC$1004:$AS$1004,1,MATCH(COLUMNS($AC$1006:AO1006),$AC$1006:$AS$1006,0)))),"Fix")))</f>
        <v xml:space="preserve"> </v>
      </c>
      <c r="O250" s="4" t="str">
        <f ca="1">IF(OR(INDEX($W$2:$W$1001,MATCH(ROWS($V$2:V250),$V$2:$V$1001,0),1)&gt;=100000,INDEX($AC$1005:$AS$1005,1,MATCH(COLUMNS($AC$1006:AP1006),$AC$1006:$AS$1006,0))&gt;=100000), " ",IF(INDEX($AC$2:$AS$1001,MATCH(ROWS($V$2:V250),$V$2:$V$1001,0),MATCH(COLUMNS($AC$1006:AP1006),$AC$1006:$AS$1006,0)), HYPERLINK("#",""), HYPERLINK(CONCATENATE("#metadata!", ADDRESS(INDEX($X$2:$X$1001,MATCH(ROWS($V$2:V250),$V$2:$V$1001,0),0), INDEX($AC$1004:$AS$1004,1,MATCH(COLUMNS($AC$1006:AP1006),$AC$1006:$AS$1006,0)))),"Fix")))</f>
        <v xml:space="preserve"> </v>
      </c>
      <c r="P250" s="4" t="str">
        <f ca="1">IF(OR(INDEX($W$2:$W$1001,MATCH(ROWS($V$2:V250),$V$2:$V$1001,0),1)&gt;=100000,INDEX($AC$1005:$AS$1005,1,MATCH(COLUMNS($AC$1006:AQ1006),$AC$1006:$AS$1006,0))&gt;=100000), " ",IF(INDEX($AC$2:$AS$1001,MATCH(ROWS($V$2:V250),$V$2:$V$1001,0),MATCH(COLUMNS($AC$1006:AQ1006),$AC$1006:$AS$1006,0)), HYPERLINK("#",""), HYPERLINK(CONCATENATE("#metadata!", ADDRESS(INDEX($X$2:$X$1001,MATCH(ROWS($V$2:V250),$V$2:$V$1001,0),0), INDEX($AC$1004:$AS$1004,1,MATCH(COLUMNS($AC$1006:AQ1006),$AC$1006:$AS$1006,0)))),"Fix")))</f>
        <v xml:space="preserve"> </v>
      </c>
      <c r="Q250" s="4" t="str">
        <f ca="1">IF(OR(INDEX($W$2:$W$1001,MATCH(ROWS($V$2:V250),$V$2:$V$1001,0),1)&gt;=100000,INDEX($AC$1005:$AS$1005,1,MATCH(COLUMNS($AC$1006:AR1006),$AC$1006:$AS$1006,0))&gt;=100000), " ",IF(INDEX($AC$2:$AS$1001,MATCH(ROWS($V$2:V250),$V$2:$V$1001,0),MATCH(COLUMNS($AC$1006:AR1006),$AC$1006:$AS$1006,0)), HYPERLINK("#",""), HYPERLINK(CONCATENATE("#metadata!", ADDRESS(INDEX($X$2:$X$1001,MATCH(ROWS($V$2:V250),$V$2:$V$1001,0),0), INDEX($AC$1004:$AS$1004,1,MATCH(COLUMNS($AC$1006:AR1006),$AC$1006:$AS$1006,0)))),"Fix")))</f>
        <v xml:space="preserve"> </v>
      </c>
      <c r="R250" s="4" t="str">
        <f ca="1">IF(OR(INDEX($W$2:$W$1001,MATCH(ROWS($V$2:V250),$V$2:$V$1001,0),1)&gt;=100000,INDEX($AC$1005:$AS$1005,1,MATCH(COLUMNS($AC$1006:AS1006),$AC$1006:$AS$1006,0))&gt;=100000), " ",IF(INDEX($AC$2:$AS$1001,MATCH(ROWS($V$2:V250),$V$2:$V$1001,0),MATCH(COLUMNS($AC$1006:AS1006),$AC$1006:$AS$1006,0)), HYPERLINK("#",""), HYPERLINK(CONCATENATE("#metadata!", ADDRESS(INDEX($X$2:$X$1001,MATCH(ROWS($V$2:V250),$V$2:$V$1001,0),0), INDEX($AC$1004:$AS$1004,1,MATCH(COLUMNS($AC$1006:AS1006),$AC$1006:$AS$1006,0)))),"Fix")))</f>
        <v xml:space="preserve"> </v>
      </c>
      <c r="V250">
        <v>249</v>
      </c>
      <c r="W250">
        <v>100250</v>
      </c>
      <c r="X250">
        <v>250</v>
      </c>
      <c r="Y250" t="b">
        <f t="shared" si="3"/>
        <v>1</v>
      </c>
      <c r="Z250" t="b">
        <f>COUNTBLANK(metadata!B250:R250)=COLUMNS(metadata!B250:R250)</f>
        <v>1</v>
      </c>
      <c r="AA250" t="str">
        <v/>
      </c>
      <c r="AC250" t="b">
        <f ca="1"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AD250" t="b">
        <f>IF(metadata!C250="",FALSE,ISNUMBER(VALUE(metadata!C250)))</f>
        <v>0</v>
      </c>
      <c r="AE250" t="b">
        <f>AND(IF(metadata!D250="",FALSE,TRUE),EXACT(metadata!D250,"years"))</f>
        <v>0</v>
      </c>
      <c r="AF250" t="b">
        <f>OR(AND(IF(metadata!E250="",FALSE,TRUE),OR(EXACT(metadata!E250,"not applicable"),EXACT(metadata!E250,"missing: not collected"),EXACT(metadata!E250,"missing: not provided"),EXACT(metadata!E250,"missing: restricted access"))),AND(IF(metadata!E250="",FALSE,ISNUMBER(VALUE(metadata!E250))),metadata!E250&gt;0))</f>
        <v>0</v>
      </c>
      <c r="AG250" t="b">
        <f>AND(IF(metadata!F250="",FALSE,TRUE),EXACT(metadata!F250,"Not applicable"))</f>
        <v>0</v>
      </c>
      <c r="AH250" t="b">
        <f>AND(IF(metadata!G250="",FALSE,TRUE),EXACT(metadata!G250,"urban biome"))</f>
        <v>0</v>
      </c>
      <c r="AI250" t="b">
        <f>AND(IF(metadata!H250="",FALSE,TRUE),EXACT(metadata!H250,"human-associated habitat"))</f>
        <v>0</v>
      </c>
      <c r="AJ250" t="b">
        <f>AND(IF(metadata!I250="",FALSE,TRUE),OR(EXACT(metadata!I250,"human-associated"),EXACT(metadata!I250,"human-skin"),EXACT(metadata!I250,"human-oral"),EXACT(metadata!I250,"human-gut"),EXACT(metadata!I250,"human-vaginal")))</f>
        <v>0</v>
      </c>
      <c r="AK250" t="b">
        <f>IF(metadata!J250="",FALSE,ISNUMBER(VALUE(metadata!J250)))</f>
        <v>0</v>
      </c>
      <c r="AL250" t="b">
        <f>AND(IF(metadata!K250="",FALSE,TRUE),EXACT(metadata!K250,"cm"))</f>
        <v>0</v>
      </c>
      <c r="AM250" t="b">
        <f>AND(IF(metadata!L250="",FALSE,TRUE),EXACT(metadata!L250,"human"))</f>
        <v>0</v>
      </c>
      <c r="AN250" t="b">
        <f>AND(IF(metadata!M250="",FALSE,TRUE),EXACT(metadata!M250,"Homo sapiens"))</f>
        <v>0</v>
      </c>
      <c r="AO250" t="b">
        <f>AND(IF(metadata!N250="",FALSE,TRUE),EXACT(metadata!N250,"9606"))</f>
        <v>0</v>
      </c>
      <c r="AP250" t="b">
        <f>IF(metadata!O250="",FALSE,TRUE)</f>
        <v>0</v>
      </c>
      <c r="AQ250" t="b">
        <f>IF(metadata!P250="",FALSE,TRUE)</f>
        <v>0</v>
      </c>
      <c r="AR250" t="b">
        <f>IF(metadata!Q250="",FALSE,ISNUMBER(VALUE(metadata!Q250)))</f>
        <v>0</v>
      </c>
      <c r="AS250" t="b">
        <f>AND(IF(metadata!R250="",FALSE,TRUE),EXACT(metadata!R250,"kg"))</f>
        <v>0</v>
      </c>
    </row>
    <row r="251" spans="1:45" x14ac:dyDescent="0.2">
      <c r="A251" s="5" t="str">
        <f ca="1">IF(B251=" "," ",HYPERLINK(CONCATENATE("#metadata!",ADDRESS(INDEX($X$2:$X$1001,MATCH(ROWS($V$2:V251),$V$2:$V$1001,0),0),1)),INDEX($AA$2:$AA$1001,MATCH(ROWS($V$2:V251),$V$2:$V$1001,0),0)))</f>
        <v xml:space="preserve"> </v>
      </c>
      <c r="B251" s="4" t="str">
        <f ca="1">IF(OR(INDEX($W$2:$W$1001,MATCH(ROWS($V$2:V251),$V$2:$V$1001,0),1)&gt;=100000,INDEX($AC$1005:$AS$1005,1,MATCH(COLUMNS($AC$1006:AC1006),$AC$1006:$AS$1006,0))&gt;=100000), " ",IF(INDEX($AC$2:$AS$1001,MATCH(ROWS($V$2:V251),$V$2:$V$1001,0),MATCH(COLUMNS($AC$1006:AC1006),$AC$1006:$AS$1006,0)), HYPERLINK("#",""), HYPERLINK(CONCATENATE("#metadata!", ADDRESS(INDEX($X$2:$X$1001,MATCH(ROWS($V$2:V251),$V$2:$V$1001,0),0), INDEX($AC$1004:$AS$1004,1,MATCH(COLUMNS($AC$1006:AC1006),$AC$1006:$AS$1006,0)))),"Fix")))</f>
        <v xml:space="preserve"> </v>
      </c>
      <c r="C251" s="4" t="str">
        <f ca="1">IF(OR(INDEX($W$2:$W$1001,MATCH(ROWS($V$2:V251),$V$2:$V$1001,0),1)&gt;=100000,INDEX($AC$1005:$AS$1005,1,MATCH(COLUMNS($AC$1006:AD1006),$AC$1006:$AS$1006,0))&gt;=100000), " ",IF(INDEX($AC$2:$AS$1001,MATCH(ROWS($V$2:V251),$V$2:$V$1001,0),MATCH(COLUMNS($AC$1006:AD1006),$AC$1006:$AS$1006,0)), HYPERLINK("#",""), HYPERLINK(CONCATENATE("#metadata!", ADDRESS(INDEX($X$2:$X$1001,MATCH(ROWS($V$2:V251),$V$2:$V$1001,0),0), INDEX($AC$1004:$AS$1004,1,MATCH(COLUMNS($AC$1006:AD1006),$AC$1006:$AS$1006,0)))),"Fix")))</f>
        <v xml:space="preserve"> </v>
      </c>
      <c r="D251" s="4" t="str">
        <f ca="1">IF(OR(INDEX($W$2:$W$1001,MATCH(ROWS($V$2:V251),$V$2:$V$1001,0),1)&gt;=100000,INDEX($AC$1005:$AS$1005,1,MATCH(COLUMNS($AC$1006:AE1006),$AC$1006:$AS$1006,0))&gt;=100000), " ",IF(INDEX($AC$2:$AS$1001,MATCH(ROWS($V$2:V251),$V$2:$V$1001,0),MATCH(COLUMNS($AC$1006:AE1006),$AC$1006:$AS$1006,0)), HYPERLINK("#",""), HYPERLINK(CONCATENATE("#metadata!", ADDRESS(INDEX($X$2:$X$1001,MATCH(ROWS($V$2:V251),$V$2:$V$1001,0),0), INDEX($AC$1004:$AS$1004,1,MATCH(COLUMNS($AC$1006:AE1006),$AC$1006:$AS$1006,0)))),"Fix")))</f>
        <v xml:space="preserve"> </v>
      </c>
      <c r="E251" s="4" t="str">
        <f ca="1">IF(OR(INDEX($W$2:$W$1001,MATCH(ROWS($V$2:V251),$V$2:$V$1001,0),1)&gt;=100000,INDEX($AC$1005:$AS$1005,1,MATCH(COLUMNS($AC$1006:AF1006),$AC$1006:$AS$1006,0))&gt;=100000), " ",IF(INDEX($AC$2:$AS$1001,MATCH(ROWS($V$2:V251),$V$2:$V$1001,0),MATCH(COLUMNS($AC$1006:AF1006),$AC$1006:$AS$1006,0)), HYPERLINK("#",""), HYPERLINK(CONCATENATE("#metadata!", ADDRESS(INDEX($X$2:$X$1001,MATCH(ROWS($V$2:V251),$V$2:$V$1001,0),0), INDEX($AC$1004:$AS$1004,1,MATCH(COLUMNS($AC$1006:AF1006),$AC$1006:$AS$1006,0)))),"Fix")))</f>
        <v xml:space="preserve"> </v>
      </c>
      <c r="F251" s="4" t="str">
        <f ca="1">IF(OR(INDEX($W$2:$W$1001,MATCH(ROWS($V$2:V251),$V$2:$V$1001,0),1)&gt;=100000,INDEX($AC$1005:$AS$1005,1,MATCH(COLUMNS($AC$1006:AG1006),$AC$1006:$AS$1006,0))&gt;=100000), " ",IF(INDEX($AC$2:$AS$1001,MATCH(ROWS($V$2:V251),$V$2:$V$1001,0),MATCH(COLUMNS($AC$1006:AG1006),$AC$1006:$AS$1006,0)), HYPERLINK("#",""), HYPERLINK(CONCATENATE("#metadata!", ADDRESS(INDEX($X$2:$X$1001,MATCH(ROWS($V$2:V251),$V$2:$V$1001,0),0), INDEX($AC$1004:$AS$1004,1,MATCH(COLUMNS($AC$1006:AG1006),$AC$1006:$AS$1006,0)))),"Fix")))</f>
        <v xml:space="preserve"> </v>
      </c>
      <c r="G251" s="4" t="str">
        <f ca="1">IF(OR(INDEX($W$2:$W$1001,MATCH(ROWS($V$2:V251),$V$2:$V$1001,0),1)&gt;=100000,INDEX($AC$1005:$AS$1005,1,MATCH(COLUMNS($AC$1006:AH1006),$AC$1006:$AS$1006,0))&gt;=100000), " ",IF(INDEX($AC$2:$AS$1001,MATCH(ROWS($V$2:V251),$V$2:$V$1001,0),MATCH(COLUMNS($AC$1006:AH1006),$AC$1006:$AS$1006,0)), HYPERLINK("#",""), HYPERLINK(CONCATENATE("#metadata!", ADDRESS(INDEX($X$2:$X$1001,MATCH(ROWS($V$2:V251),$V$2:$V$1001,0),0), INDEX($AC$1004:$AS$1004,1,MATCH(COLUMNS($AC$1006:AH1006),$AC$1006:$AS$1006,0)))),"Fix")))</f>
        <v xml:space="preserve"> </v>
      </c>
      <c r="H251" s="4" t="str">
        <f ca="1">IF(OR(INDEX($W$2:$W$1001,MATCH(ROWS($V$2:V251),$V$2:$V$1001,0),1)&gt;=100000,INDEX($AC$1005:$AS$1005,1,MATCH(COLUMNS($AC$1006:AI1006),$AC$1006:$AS$1006,0))&gt;=100000), " ",IF(INDEX($AC$2:$AS$1001,MATCH(ROWS($V$2:V251),$V$2:$V$1001,0),MATCH(COLUMNS($AC$1006:AI1006),$AC$1006:$AS$1006,0)), HYPERLINK("#",""), HYPERLINK(CONCATENATE("#metadata!", ADDRESS(INDEX($X$2:$X$1001,MATCH(ROWS($V$2:V251),$V$2:$V$1001,0),0), INDEX($AC$1004:$AS$1004,1,MATCH(COLUMNS($AC$1006:AI1006),$AC$1006:$AS$1006,0)))),"Fix")))</f>
        <v xml:space="preserve"> </v>
      </c>
      <c r="I251" s="4" t="str">
        <f ca="1">IF(OR(INDEX($W$2:$W$1001,MATCH(ROWS($V$2:V251),$V$2:$V$1001,0),1)&gt;=100000,INDEX($AC$1005:$AS$1005,1,MATCH(COLUMNS($AC$1006:AJ1006),$AC$1006:$AS$1006,0))&gt;=100000), " ",IF(INDEX($AC$2:$AS$1001,MATCH(ROWS($V$2:V251),$V$2:$V$1001,0),MATCH(COLUMNS($AC$1006:AJ1006),$AC$1006:$AS$1006,0)), HYPERLINK("#",""), HYPERLINK(CONCATENATE("#metadata!", ADDRESS(INDEX($X$2:$X$1001,MATCH(ROWS($V$2:V251),$V$2:$V$1001,0),0), INDEX($AC$1004:$AS$1004,1,MATCH(COLUMNS($AC$1006:AJ1006),$AC$1006:$AS$1006,0)))),"Fix")))</f>
        <v xml:space="preserve"> </v>
      </c>
      <c r="J251" s="4" t="str">
        <f ca="1">IF(OR(INDEX($W$2:$W$1001,MATCH(ROWS($V$2:V251),$V$2:$V$1001,0),1)&gt;=100000,INDEX($AC$1005:$AS$1005,1,MATCH(COLUMNS($AC$1006:AK1006),$AC$1006:$AS$1006,0))&gt;=100000), " ",IF(INDEX($AC$2:$AS$1001,MATCH(ROWS($V$2:V251),$V$2:$V$1001,0),MATCH(COLUMNS($AC$1006:AK1006),$AC$1006:$AS$1006,0)), HYPERLINK("#",""), HYPERLINK(CONCATENATE("#metadata!", ADDRESS(INDEX($X$2:$X$1001,MATCH(ROWS($V$2:V251),$V$2:$V$1001,0),0), INDEX($AC$1004:$AS$1004,1,MATCH(COLUMNS($AC$1006:AK1006),$AC$1006:$AS$1006,0)))),"Fix")))</f>
        <v xml:space="preserve"> </v>
      </c>
      <c r="K251" s="4" t="str">
        <f ca="1">IF(OR(INDEX($W$2:$W$1001,MATCH(ROWS($V$2:V251),$V$2:$V$1001,0),1)&gt;=100000,INDEX($AC$1005:$AS$1005,1,MATCH(COLUMNS($AC$1006:AL1006),$AC$1006:$AS$1006,0))&gt;=100000), " ",IF(INDEX($AC$2:$AS$1001,MATCH(ROWS($V$2:V251),$V$2:$V$1001,0),MATCH(COLUMNS($AC$1006:AL1006),$AC$1006:$AS$1006,0)), HYPERLINK("#",""), HYPERLINK(CONCATENATE("#metadata!", ADDRESS(INDEX($X$2:$X$1001,MATCH(ROWS($V$2:V251),$V$2:$V$1001,0),0), INDEX($AC$1004:$AS$1004,1,MATCH(COLUMNS($AC$1006:AL1006),$AC$1006:$AS$1006,0)))),"Fix")))</f>
        <v xml:space="preserve"> </v>
      </c>
      <c r="L251" s="4" t="str">
        <f ca="1">IF(OR(INDEX($W$2:$W$1001,MATCH(ROWS($V$2:V251),$V$2:$V$1001,0),1)&gt;=100000,INDEX($AC$1005:$AS$1005,1,MATCH(COLUMNS($AC$1006:AM1006),$AC$1006:$AS$1006,0))&gt;=100000), " ",IF(INDEX($AC$2:$AS$1001,MATCH(ROWS($V$2:V251),$V$2:$V$1001,0),MATCH(COLUMNS($AC$1006:AM1006),$AC$1006:$AS$1006,0)), HYPERLINK("#",""), HYPERLINK(CONCATENATE("#metadata!", ADDRESS(INDEX($X$2:$X$1001,MATCH(ROWS($V$2:V251),$V$2:$V$1001,0),0), INDEX($AC$1004:$AS$1004,1,MATCH(COLUMNS($AC$1006:AM1006),$AC$1006:$AS$1006,0)))),"Fix")))</f>
        <v xml:space="preserve"> </v>
      </c>
      <c r="M251" s="4" t="str">
        <f ca="1">IF(OR(INDEX($W$2:$W$1001,MATCH(ROWS($V$2:V251),$V$2:$V$1001,0),1)&gt;=100000,INDEX($AC$1005:$AS$1005,1,MATCH(COLUMNS($AC$1006:AN1006),$AC$1006:$AS$1006,0))&gt;=100000), " ",IF(INDEX($AC$2:$AS$1001,MATCH(ROWS($V$2:V251),$V$2:$V$1001,0),MATCH(COLUMNS($AC$1006:AN1006),$AC$1006:$AS$1006,0)), HYPERLINK("#",""), HYPERLINK(CONCATENATE("#metadata!", ADDRESS(INDEX($X$2:$X$1001,MATCH(ROWS($V$2:V251),$V$2:$V$1001,0),0), INDEX($AC$1004:$AS$1004,1,MATCH(COLUMNS($AC$1006:AN1006),$AC$1006:$AS$1006,0)))),"Fix")))</f>
        <v xml:space="preserve"> </v>
      </c>
      <c r="N251" s="4" t="str">
        <f ca="1">IF(OR(INDEX($W$2:$W$1001,MATCH(ROWS($V$2:V251),$V$2:$V$1001,0),1)&gt;=100000,INDEX($AC$1005:$AS$1005,1,MATCH(COLUMNS($AC$1006:AO1006),$AC$1006:$AS$1006,0))&gt;=100000), " ",IF(INDEX($AC$2:$AS$1001,MATCH(ROWS($V$2:V251),$V$2:$V$1001,0),MATCH(COLUMNS($AC$1006:AO1006),$AC$1006:$AS$1006,0)), HYPERLINK("#",""), HYPERLINK(CONCATENATE("#metadata!", ADDRESS(INDEX($X$2:$X$1001,MATCH(ROWS($V$2:V251),$V$2:$V$1001,0),0), INDEX($AC$1004:$AS$1004,1,MATCH(COLUMNS($AC$1006:AO1006),$AC$1006:$AS$1006,0)))),"Fix")))</f>
        <v xml:space="preserve"> </v>
      </c>
      <c r="O251" s="4" t="str">
        <f ca="1">IF(OR(INDEX($W$2:$W$1001,MATCH(ROWS($V$2:V251),$V$2:$V$1001,0),1)&gt;=100000,INDEX($AC$1005:$AS$1005,1,MATCH(COLUMNS($AC$1006:AP1006),$AC$1006:$AS$1006,0))&gt;=100000), " ",IF(INDEX($AC$2:$AS$1001,MATCH(ROWS($V$2:V251),$V$2:$V$1001,0),MATCH(COLUMNS($AC$1006:AP1006),$AC$1006:$AS$1006,0)), HYPERLINK("#",""), HYPERLINK(CONCATENATE("#metadata!", ADDRESS(INDEX($X$2:$X$1001,MATCH(ROWS($V$2:V251),$V$2:$V$1001,0),0), INDEX($AC$1004:$AS$1004,1,MATCH(COLUMNS($AC$1006:AP1006),$AC$1006:$AS$1006,0)))),"Fix")))</f>
        <v xml:space="preserve"> </v>
      </c>
      <c r="P251" s="4" t="str">
        <f ca="1">IF(OR(INDEX($W$2:$W$1001,MATCH(ROWS($V$2:V251),$V$2:$V$1001,0),1)&gt;=100000,INDEX($AC$1005:$AS$1005,1,MATCH(COLUMNS($AC$1006:AQ1006),$AC$1006:$AS$1006,0))&gt;=100000), " ",IF(INDEX($AC$2:$AS$1001,MATCH(ROWS($V$2:V251),$V$2:$V$1001,0),MATCH(COLUMNS($AC$1006:AQ1006),$AC$1006:$AS$1006,0)), HYPERLINK("#",""), HYPERLINK(CONCATENATE("#metadata!", ADDRESS(INDEX($X$2:$X$1001,MATCH(ROWS($V$2:V251),$V$2:$V$1001,0),0), INDEX($AC$1004:$AS$1004,1,MATCH(COLUMNS($AC$1006:AQ1006),$AC$1006:$AS$1006,0)))),"Fix")))</f>
        <v xml:space="preserve"> </v>
      </c>
      <c r="Q251" s="4" t="str">
        <f ca="1">IF(OR(INDEX($W$2:$W$1001,MATCH(ROWS($V$2:V251),$V$2:$V$1001,0),1)&gt;=100000,INDEX($AC$1005:$AS$1005,1,MATCH(COLUMNS($AC$1006:AR1006),$AC$1006:$AS$1006,0))&gt;=100000), " ",IF(INDEX($AC$2:$AS$1001,MATCH(ROWS($V$2:V251),$V$2:$V$1001,0),MATCH(COLUMNS($AC$1006:AR1006),$AC$1006:$AS$1006,0)), HYPERLINK("#",""), HYPERLINK(CONCATENATE("#metadata!", ADDRESS(INDEX($X$2:$X$1001,MATCH(ROWS($V$2:V251),$V$2:$V$1001,0),0), INDEX($AC$1004:$AS$1004,1,MATCH(COLUMNS($AC$1006:AR1006),$AC$1006:$AS$1006,0)))),"Fix")))</f>
        <v xml:space="preserve"> </v>
      </c>
      <c r="R251" s="4" t="str">
        <f ca="1">IF(OR(INDEX($W$2:$W$1001,MATCH(ROWS($V$2:V251),$V$2:$V$1001,0),1)&gt;=100000,INDEX($AC$1005:$AS$1005,1,MATCH(COLUMNS($AC$1006:AS1006),$AC$1006:$AS$1006,0))&gt;=100000), " ",IF(INDEX($AC$2:$AS$1001,MATCH(ROWS($V$2:V251),$V$2:$V$1001,0),MATCH(COLUMNS($AC$1006:AS1006),$AC$1006:$AS$1006,0)), HYPERLINK("#",""), HYPERLINK(CONCATENATE("#metadata!", ADDRESS(INDEX($X$2:$X$1001,MATCH(ROWS($V$2:V251),$V$2:$V$1001,0),0), INDEX($AC$1004:$AS$1004,1,MATCH(COLUMNS($AC$1006:AS1006),$AC$1006:$AS$1006,0)))),"Fix")))</f>
        <v xml:space="preserve"> </v>
      </c>
      <c r="V251">
        <v>250</v>
      </c>
      <c r="W251">
        <v>100251</v>
      </c>
      <c r="X251">
        <v>251</v>
      </c>
      <c r="Y251" t="b">
        <f t="shared" si="3"/>
        <v>1</v>
      </c>
      <c r="Z251" t="b">
        <f>COUNTBLANK(metadata!B251:R251)=COLUMNS(metadata!B251:R251)</f>
        <v>1</v>
      </c>
      <c r="AA251" t="str">
        <v/>
      </c>
      <c r="AC251" t="b">
        <f ca="1"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AD251" t="b">
        <f>IF(metadata!C251="",FALSE,ISNUMBER(VALUE(metadata!C251)))</f>
        <v>0</v>
      </c>
      <c r="AE251" t="b">
        <f>AND(IF(metadata!D251="",FALSE,TRUE),EXACT(metadata!D251,"years"))</f>
        <v>0</v>
      </c>
      <c r="AF251" t="b">
        <f>OR(AND(IF(metadata!E251="",FALSE,TRUE),OR(EXACT(metadata!E251,"not applicable"),EXACT(metadata!E251,"missing: not collected"),EXACT(metadata!E251,"missing: not provided"),EXACT(metadata!E251,"missing: restricted access"))),AND(IF(metadata!E251="",FALSE,ISNUMBER(VALUE(metadata!E251))),metadata!E251&gt;0))</f>
        <v>0</v>
      </c>
      <c r="AG251" t="b">
        <f>AND(IF(metadata!F251="",FALSE,TRUE),EXACT(metadata!F251,"Not applicable"))</f>
        <v>0</v>
      </c>
      <c r="AH251" t="b">
        <f>AND(IF(metadata!G251="",FALSE,TRUE),EXACT(metadata!G251,"urban biome"))</f>
        <v>0</v>
      </c>
      <c r="AI251" t="b">
        <f>AND(IF(metadata!H251="",FALSE,TRUE),EXACT(metadata!H251,"human-associated habitat"))</f>
        <v>0</v>
      </c>
      <c r="AJ251" t="b">
        <f>AND(IF(metadata!I251="",FALSE,TRUE),OR(EXACT(metadata!I251,"human-associated"),EXACT(metadata!I251,"human-skin"),EXACT(metadata!I251,"human-oral"),EXACT(metadata!I251,"human-gut"),EXACT(metadata!I251,"human-vaginal")))</f>
        <v>0</v>
      </c>
      <c r="AK251" t="b">
        <f>IF(metadata!J251="",FALSE,ISNUMBER(VALUE(metadata!J251)))</f>
        <v>0</v>
      </c>
      <c r="AL251" t="b">
        <f>AND(IF(metadata!K251="",FALSE,TRUE),EXACT(metadata!K251,"cm"))</f>
        <v>0</v>
      </c>
      <c r="AM251" t="b">
        <f>AND(IF(metadata!L251="",FALSE,TRUE),EXACT(metadata!L251,"human"))</f>
        <v>0</v>
      </c>
      <c r="AN251" t="b">
        <f>AND(IF(metadata!M251="",FALSE,TRUE),EXACT(metadata!M251,"Homo sapiens"))</f>
        <v>0</v>
      </c>
      <c r="AO251" t="b">
        <f>AND(IF(metadata!N251="",FALSE,TRUE),EXACT(metadata!N251,"9606"))</f>
        <v>0</v>
      </c>
      <c r="AP251" t="b">
        <f>IF(metadata!O251="",FALSE,TRUE)</f>
        <v>0</v>
      </c>
      <c r="AQ251" t="b">
        <f>IF(metadata!P251="",FALSE,TRUE)</f>
        <v>0</v>
      </c>
      <c r="AR251" t="b">
        <f>IF(metadata!Q251="",FALSE,ISNUMBER(VALUE(metadata!Q251)))</f>
        <v>0</v>
      </c>
      <c r="AS251" t="b">
        <f>AND(IF(metadata!R251="",FALSE,TRUE),EXACT(metadata!R251,"kg"))</f>
        <v>0</v>
      </c>
    </row>
    <row r="252" spans="1:45" x14ac:dyDescent="0.2">
      <c r="A252" s="5" t="str">
        <f ca="1">IF(B252=" "," ",HYPERLINK(CONCATENATE("#metadata!",ADDRESS(INDEX($X$2:$X$1001,MATCH(ROWS($V$2:V252),$V$2:$V$1001,0),0),1)),INDEX($AA$2:$AA$1001,MATCH(ROWS($V$2:V252),$V$2:$V$1001,0),0)))</f>
        <v xml:space="preserve"> </v>
      </c>
      <c r="B252" s="4" t="str">
        <f ca="1">IF(OR(INDEX($W$2:$W$1001,MATCH(ROWS($V$2:V252),$V$2:$V$1001,0),1)&gt;=100000,INDEX($AC$1005:$AS$1005,1,MATCH(COLUMNS($AC$1006:AC1006),$AC$1006:$AS$1006,0))&gt;=100000), " ",IF(INDEX($AC$2:$AS$1001,MATCH(ROWS($V$2:V252),$V$2:$V$1001,0),MATCH(COLUMNS($AC$1006:AC1006),$AC$1006:$AS$1006,0)), HYPERLINK("#",""), HYPERLINK(CONCATENATE("#metadata!", ADDRESS(INDEX($X$2:$X$1001,MATCH(ROWS($V$2:V252),$V$2:$V$1001,0),0), INDEX($AC$1004:$AS$1004,1,MATCH(COLUMNS($AC$1006:AC1006),$AC$1006:$AS$1006,0)))),"Fix")))</f>
        <v xml:space="preserve"> </v>
      </c>
      <c r="C252" s="4" t="str">
        <f ca="1">IF(OR(INDEX($W$2:$W$1001,MATCH(ROWS($V$2:V252),$V$2:$V$1001,0),1)&gt;=100000,INDEX($AC$1005:$AS$1005,1,MATCH(COLUMNS($AC$1006:AD1006),$AC$1006:$AS$1006,0))&gt;=100000), " ",IF(INDEX($AC$2:$AS$1001,MATCH(ROWS($V$2:V252),$V$2:$V$1001,0),MATCH(COLUMNS($AC$1006:AD1006),$AC$1006:$AS$1006,0)), HYPERLINK("#",""), HYPERLINK(CONCATENATE("#metadata!", ADDRESS(INDEX($X$2:$X$1001,MATCH(ROWS($V$2:V252),$V$2:$V$1001,0),0), INDEX($AC$1004:$AS$1004,1,MATCH(COLUMNS($AC$1006:AD1006),$AC$1006:$AS$1006,0)))),"Fix")))</f>
        <v xml:space="preserve"> </v>
      </c>
      <c r="D252" s="4" t="str">
        <f ca="1">IF(OR(INDEX($W$2:$W$1001,MATCH(ROWS($V$2:V252),$V$2:$V$1001,0),1)&gt;=100000,INDEX($AC$1005:$AS$1005,1,MATCH(COLUMNS($AC$1006:AE1006),$AC$1006:$AS$1006,0))&gt;=100000), " ",IF(INDEX($AC$2:$AS$1001,MATCH(ROWS($V$2:V252),$V$2:$V$1001,0),MATCH(COLUMNS($AC$1006:AE1006),$AC$1006:$AS$1006,0)), HYPERLINK("#",""), HYPERLINK(CONCATENATE("#metadata!", ADDRESS(INDEX($X$2:$X$1001,MATCH(ROWS($V$2:V252),$V$2:$V$1001,0),0), INDEX($AC$1004:$AS$1004,1,MATCH(COLUMNS($AC$1006:AE1006),$AC$1006:$AS$1006,0)))),"Fix")))</f>
        <v xml:space="preserve"> </v>
      </c>
      <c r="E252" s="4" t="str">
        <f ca="1">IF(OR(INDEX($W$2:$W$1001,MATCH(ROWS($V$2:V252),$V$2:$V$1001,0),1)&gt;=100000,INDEX($AC$1005:$AS$1005,1,MATCH(COLUMNS($AC$1006:AF1006),$AC$1006:$AS$1006,0))&gt;=100000), " ",IF(INDEX($AC$2:$AS$1001,MATCH(ROWS($V$2:V252),$V$2:$V$1001,0),MATCH(COLUMNS($AC$1006:AF1006),$AC$1006:$AS$1006,0)), HYPERLINK("#",""), HYPERLINK(CONCATENATE("#metadata!", ADDRESS(INDEX($X$2:$X$1001,MATCH(ROWS($V$2:V252),$V$2:$V$1001,0),0), INDEX($AC$1004:$AS$1004,1,MATCH(COLUMNS($AC$1006:AF1006),$AC$1006:$AS$1006,0)))),"Fix")))</f>
        <v xml:space="preserve"> </v>
      </c>
      <c r="F252" s="4" t="str">
        <f ca="1">IF(OR(INDEX($W$2:$W$1001,MATCH(ROWS($V$2:V252),$V$2:$V$1001,0),1)&gt;=100000,INDEX($AC$1005:$AS$1005,1,MATCH(COLUMNS($AC$1006:AG1006),$AC$1006:$AS$1006,0))&gt;=100000), " ",IF(INDEX($AC$2:$AS$1001,MATCH(ROWS($V$2:V252),$V$2:$V$1001,0),MATCH(COLUMNS($AC$1006:AG1006),$AC$1006:$AS$1006,0)), HYPERLINK("#",""), HYPERLINK(CONCATENATE("#metadata!", ADDRESS(INDEX($X$2:$X$1001,MATCH(ROWS($V$2:V252),$V$2:$V$1001,0),0), INDEX($AC$1004:$AS$1004,1,MATCH(COLUMNS($AC$1006:AG1006),$AC$1006:$AS$1006,0)))),"Fix")))</f>
        <v xml:space="preserve"> </v>
      </c>
      <c r="G252" s="4" t="str">
        <f ca="1">IF(OR(INDEX($W$2:$W$1001,MATCH(ROWS($V$2:V252),$V$2:$V$1001,0),1)&gt;=100000,INDEX($AC$1005:$AS$1005,1,MATCH(COLUMNS($AC$1006:AH1006),$AC$1006:$AS$1006,0))&gt;=100000), " ",IF(INDEX($AC$2:$AS$1001,MATCH(ROWS($V$2:V252),$V$2:$V$1001,0),MATCH(COLUMNS($AC$1006:AH1006),$AC$1006:$AS$1006,0)), HYPERLINK("#",""), HYPERLINK(CONCATENATE("#metadata!", ADDRESS(INDEX($X$2:$X$1001,MATCH(ROWS($V$2:V252),$V$2:$V$1001,0),0), INDEX($AC$1004:$AS$1004,1,MATCH(COLUMNS($AC$1006:AH1006),$AC$1006:$AS$1006,0)))),"Fix")))</f>
        <v xml:space="preserve"> </v>
      </c>
      <c r="H252" s="4" t="str">
        <f ca="1">IF(OR(INDEX($W$2:$W$1001,MATCH(ROWS($V$2:V252),$V$2:$V$1001,0),1)&gt;=100000,INDEX($AC$1005:$AS$1005,1,MATCH(COLUMNS($AC$1006:AI1006),$AC$1006:$AS$1006,0))&gt;=100000), " ",IF(INDEX($AC$2:$AS$1001,MATCH(ROWS($V$2:V252),$V$2:$V$1001,0),MATCH(COLUMNS($AC$1006:AI1006),$AC$1006:$AS$1006,0)), HYPERLINK("#",""), HYPERLINK(CONCATENATE("#metadata!", ADDRESS(INDEX($X$2:$X$1001,MATCH(ROWS($V$2:V252),$V$2:$V$1001,0),0), INDEX($AC$1004:$AS$1004,1,MATCH(COLUMNS($AC$1006:AI1006),$AC$1006:$AS$1006,0)))),"Fix")))</f>
        <v xml:space="preserve"> </v>
      </c>
      <c r="I252" s="4" t="str">
        <f ca="1">IF(OR(INDEX($W$2:$W$1001,MATCH(ROWS($V$2:V252),$V$2:$V$1001,0),1)&gt;=100000,INDEX($AC$1005:$AS$1005,1,MATCH(COLUMNS($AC$1006:AJ1006),$AC$1006:$AS$1006,0))&gt;=100000), " ",IF(INDEX($AC$2:$AS$1001,MATCH(ROWS($V$2:V252),$V$2:$V$1001,0),MATCH(COLUMNS($AC$1006:AJ1006),$AC$1006:$AS$1006,0)), HYPERLINK("#",""), HYPERLINK(CONCATENATE("#metadata!", ADDRESS(INDEX($X$2:$X$1001,MATCH(ROWS($V$2:V252),$V$2:$V$1001,0),0), INDEX($AC$1004:$AS$1004,1,MATCH(COLUMNS($AC$1006:AJ1006),$AC$1006:$AS$1006,0)))),"Fix")))</f>
        <v xml:space="preserve"> </v>
      </c>
      <c r="J252" s="4" t="str">
        <f ca="1">IF(OR(INDEX($W$2:$W$1001,MATCH(ROWS($V$2:V252),$V$2:$V$1001,0),1)&gt;=100000,INDEX($AC$1005:$AS$1005,1,MATCH(COLUMNS($AC$1006:AK1006),$AC$1006:$AS$1006,0))&gt;=100000), " ",IF(INDEX($AC$2:$AS$1001,MATCH(ROWS($V$2:V252),$V$2:$V$1001,0),MATCH(COLUMNS($AC$1006:AK1006),$AC$1006:$AS$1006,0)), HYPERLINK("#",""), HYPERLINK(CONCATENATE("#metadata!", ADDRESS(INDEX($X$2:$X$1001,MATCH(ROWS($V$2:V252),$V$2:$V$1001,0),0), INDEX($AC$1004:$AS$1004,1,MATCH(COLUMNS($AC$1006:AK1006),$AC$1006:$AS$1006,0)))),"Fix")))</f>
        <v xml:space="preserve"> </v>
      </c>
      <c r="K252" s="4" t="str">
        <f ca="1">IF(OR(INDEX($W$2:$W$1001,MATCH(ROWS($V$2:V252),$V$2:$V$1001,0),1)&gt;=100000,INDEX($AC$1005:$AS$1005,1,MATCH(COLUMNS($AC$1006:AL1006),$AC$1006:$AS$1006,0))&gt;=100000), " ",IF(INDEX($AC$2:$AS$1001,MATCH(ROWS($V$2:V252),$V$2:$V$1001,0),MATCH(COLUMNS($AC$1006:AL1006),$AC$1006:$AS$1006,0)), HYPERLINK("#",""), HYPERLINK(CONCATENATE("#metadata!", ADDRESS(INDEX($X$2:$X$1001,MATCH(ROWS($V$2:V252),$V$2:$V$1001,0),0), INDEX($AC$1004:$AS$1004,1,MATCH(COLUMNS($AC$1006:AL1006),$AC$1006:$AS$1006,0)))),"Fix")))</f>
        <v xml:space="preserve"> </v>
      </c>
      <c r="L252" s="4" t="str">
        <f ca="1">IF(OR(INDEX($W$2:$W$1001,MATCH(ROWS($V$2:V252),$V$2:$V$1001,0),1)&gt;=100000,INDEX($AC$1005:$AS$1005,1,MATCH(COLUMNS($AC$1006:AM1006),$AC$1006:$AS$1006,0))&gt;=100000), " ",IF(INDEX($AC$2:$AS$1001,MATCH(ROWS($V$2:V252),$V$2:$V$1001,0),MATCH(COLUMNS($AC$1006:AM1006),$AC$1006:$AS$1006,0)), HYPERLINK("#",""), HYPERLINK(CONCATENATE("#metadata!", ADDRESS(INDEX($X$2:$X$1001,MATCH(ROWS($V$2:V252),$V$2:$V$1001,0),0), INDEX($AC$1004:$AS$1004,1,MATCH(COLUMNS($AC$1006:AM1006),$AC$1006:$AS$1006,0)))),"Fix")))</f>
        <v xml:space="preserve"> </v>
      </c>
      <c r="M252" s="4" t="str">
        <f ca="1">IF(OR(INDEX($W$2:$W$1001,MATCH(ROWS($V$2:V252),$V$2:$V$1001,0),1)&gt;=100000,INDEX($AC$1005:$AS$1005,1,MATCH(COLUMNS($AC$1006:AN1006),$AC$1006:$AS$1006,0))&gt;=100000), " ",IF(INDEX($AC$2:$AS$1001,MATCH(ROWS($V$2:V252),$V$2:$V$1001,0),MATCH(COLUMNS($AC$1006:AN1006),$AC$1006:$AS$1006,0)), HYPERLINK("#",""), HYPERLINK(CONCATENATE("#metadata!", ADDRESS(INDEX($X$2:$X$1001,MATCH(ROWS($V$2:V252),$V$2:$V$1001,0),0), INDEX($AC$1004:$AS$1004,1,MATCH(COLUMNS($AC$1006:AN1006),$AC$1006:$AS$1006,0)))),"Fix")))</f>
        <v xml:space="preserve"> </v>
      </c>
      <c r="N252" s="4" t="str">
        <f ca="1">IF(OR(INDEX($W$2:$W$1001,MATCH(ROWS($V$2:V252),$V$2:$V$1001,0),1)&gt;=100000,INDEX($AC$1005:$AS$1005,1,MATCH(COLUMNS($AC$1006:AO1006),$AC$1006:$AS$1006,0))&gt;=100000), " ",IF(INDEX($AC$2:$AS$1001,MATCH(ROWS($V$2:V252),$V$2:$V$1001,0),MATCH(COLUMNS($AC$1006:AO1006),$AC$1006:$AS$1006,0)), HYPERLINK("#",""), HYPERLINK(CONCATENATE("#metadata!", ADDRESS(INDEX($X$2:$X$1001,MATCH(ROWS($V$2:V252),$V$2:$V$1001,0),0), INDEX($AC$1004:$AS$1004,1,MATCH(COLUMNS($AC$1006:AO1006),$AC$1006:$AS$1006,0)))),"Fix")))</f>
        <v xml:space="preserve"> </v>
      </c>
      <c r="O252" s="4" t="str">
        <f ca="1">IF(OR(INDEX($W$2:$W$1001,MATCH(ROWS($V$2:V252),$V$2:$V$1001,0),1)&gt;=100000,INDEX($AC$1005:$AS$1005,1,MATCH(COLUMNS($AC$1006:AP1006),$AC$1006:$AS$1006,0))&gt;=100000), " ",IF(INDEX($AC$2:$AS$1001,MATCH(ROWS($V$2:V252),$V$2:$V$1001,0),MATCH(COLUMNS($AC$1006:AP1006),$AC$1006:$AS$1006,0)), HYPERLINK("#",""), HYPERLINK(CONCATENATE("#metadata!", ADDRESS(INDEX($X$2:$X$1001,MATCH(ROWS($V$2:V252),$V$2:$V$1001,0),0), INDEX($AC$1004:$AS$1004,1,MATCH(COLUMNS($AC$1006:AP1006),$AC$1006:$AS$1006,0)))),"Fix")))</f>
        <v xml:space="preserve"> </v>
      </c>
      <c r="P252" s="4" t="str">
        <f ca="1">IF(OR(INDEX($W$2:$W$1001,MATCH(ROWS($V$2:V252),$V$2:$V$1001,0),1)&gt;=100000,INDEX($AC$1005:$AS$1005,1,MATCH(COLUMNS($AC$1006:AQ1006),$AC$1006:$AS$1006,0))&gt;=100000), " ",IF(INDEX($AC$2:$AS$1001,MATCH(ROWS($V$2:V252),$V$2:$V$1001,0),MATCH(COLUMNS($AC$1006:AQ1006),$AC$1006:$AS$1006,0)), HYPERLINK("#",""), HYPERLINK(CONCATENATE("#metadata!", ADDRESS(INDEX($X$2:$X$1001,MATCH(ROWS($V$2:V252),$V$2:$V$1001,0),0), INDEX($AC$1004:$AS$1004,1,MATCH(COLUMNS($AC$1006:AQ1006),$AC$1006:$AS$1006,0)))),"Fix")))</f>
        <v xml:space="preserve"> </v>
      </c>
      <c r="Q252" s="4" t="str">
        <f ca="1">IF(OR(INDEX($W$2:$W$1001,MATCH(ROWS($V$2:V252),$V$2:$V$1001,0),1)&gt;=100000,INDEX($AC$1005:$AS$1005,1,MATCH(COLUMNS($AC$1006:AR1006),$AC$1006:$AS$1006,0))&gt;=100000), " ",IF(INDEX($AC$2:$AS$1001,MATCH(ROWS($V$2:V252),$V$2:$V$1001,0),MATCH(COLUMNS($AC$1006:AR1006),$AC$1006:$AS$1006,0)), HYPERLINK("#",""), HYPERLINK(CONCATENATE("#metadata!", ADDRESS(INDEX($X$2:$X$1001,MATCH(ROWS($V$2:V252),$V$2:$V$1001,0),0), INDEX($AC$1004:$AS$1004,1,MATCH(COLUMNS($AC$1006:AR1006),$AC$1006:$AS$1006,0)))),"Fix")))</f>
        <v xml:space="preserve"> </v>
      </c>
      <c r="R252" s="4" t="str">
        <f ca="1">IF(OR(INDEX($W$2:$W$1001,MATCH(ROWS($V$2:V252),$V$2:$V$1001,0),1)&gt;=100000,INDEX($AC$1005:$AS$1005,1,MATCH(COLUMNS($AC$1006:AS1006),$AC$1006:$AS$1006,0))&gt;=100000), " ",IF(INDEX($AC$2:$AS$1001,MATCH(ROWS($V$2:V252),$V$2:$V$1001,0),MATCH(COLUMNS($AC$1006:AS1006),$AC$1006:$AS$1006,0)), HYPERLINK("#",""), HYPERLINK(CONCATENATE("#metadata!", ADDRESS(INDEX($X$2:$X$1001,MATCH(ROWS($V$2:V252),$V$2:$V$1001,0),0), INDEX($AC$1004:$AS$1004,1,MATCH(COLUMNS($AC$1006:AS1006),$AC$1006:$AS$1006,0)))),"Fix")))</f>
        <v xml:space="preserve"> </v>
      </c>
      <c r="V252">
        <v>251</v>
      </c>
      <c r="W252">
        <v>100252</v>
      </c>
      <c r="X252">
        <v>252</v>
      </c>
      <c r="Y252" t="b">
        <f t="shared" si="3"/>
        <v>1</v>
      </c>
      <c r="Z252" t="b">
        <f>COUNTBLANK(metadata!B252:R252)=COLUMNS(metadata!B252:R252)</f>
        <v>1</v>
      </c>
      <c r="AA252" t="str">
        <v/>
      </c>
      <c r="AC252" t="b">
        <f ca="1"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AD252" t="b">
        <f>IF(metadata!C252="",FALSE,ISNUMBER(VALUE(metadata!C252)))</f>
        <v>0</v>
      </c>
      <c r="AE252" t="b">
        <f>AND(IF(metadata!D252="",FALSE,TRUE),EXACT(metadata!D252,"years"))</f>
        <v>0</v>
      </c>
      <c r="AF252" t="b">
        <f>OR(AND(IF(metadata!E252="",FALSE,TRUE),OR(EXACT(metadata!E252,"not applicable"),EXACT(metadata!E252,"missing: not collected"),EXACT(metadata!E252,"missing: not provided"),EXACT(metadata!E252,"missing: restricted access"))),AND(IF(metadata!E252="",FALSE,ISNUMBER(VALUE(metadata!E252))),metadata!E252&gt;0))</f>
        <v>0</v>
      </c>
      <c r="AG252" t="b">
        <f>AND(IF(metadata!F252="",FALSE,TRUE),EXACT(metadata!F252,"Not applicable"))</f>
        <v>0</v>
      </c>
      <c r="AH252" t="b">
        <f>AND(IF(metadata!G252="",FALSE,TRUE),EXACT(metadata!G252,"urban biome"))</f>
        <v>0</v>
      </c>
      <c r="AI252" t="b">
        <f>AND(IF(metadata!H252="",FALSE,TRUE),EXACT(metadata!H252,"human-associated habitat"))</f>
        <v>0</v>
      </c>
      <c r="AJ252" t="b">
        <f>AND(IF(metadata!I252="",FALSE,TRUE),OR(EXACT(metadata!I252,"human-associated"),EXACT(metadata!I252,"human-skin"),EXACT(metadata!I252,"human-oral"),EXACT(metadata!I252,"human-gut"),EXACT(metadata!I252,"human-vaginal")))</f>
        <v>0</v>
      </c>
      <c r="AK252" t="b">
        <f>IF(metadata!J252="",FALSE,ISNUMBER(VALUE(metadata!J252)))</f>
        <v>0</v>
      </c>
      <c r="AL252" t="b">
        <f>AND(IF(metadata!K252="",FALSE,TRUE),EXACT(metadata!K252,"cm"))</f>
        <v>0</v>
      </c>
      <c r="AM252" t="b">
        <f>AND(IF(metadata!L252="",FALSE,TRUE),EXACT(metadata!L252,"human"))</f>
        <v>0</v>
      </c>
      <c r="AN252" t="b">
        <f>AND(IF(metadata!M252="",FALSE,TRUE),EXACT(metadata!M252,"Homo sapiens"))</f>
        <v>0</v>
      </c>
      <c r="AO252" t="b">
        <f>AND(IF(metadata!N252="",FALSE,TRUE),EXACT(metadata!N252,"9606"))</f>
        <v>0</v>
      </c>
      <c r="AP252" t="b">
        <f>IF(metadata!O252="",FALSE,TRUE)</f>
        <v>0</v>
      </c>
      <c r="AQ252" t="b">
        <f>IF(metadata!P252="",FALSE,TRUE)</f>
        <v>0</v>
      </c>
      <c r="AR252" t="b">
        <f>IF(metadata!Q252="",FALSE,ISNUMBER(VALUE(metadata!Q252)))</f>
        <v>0</v>
      </c>
      <c r="AS252" t="b">
        <f>AND(IF(metadata!R252="",FALSE,TRUE),EXACT(metadata!R252,"kg"))</f>
        <v>0</v>
      </c>
    </row>
    <row r="253" spans="1:45" x14ac:dyDescent="0.2">
      <c r="A253" s="5" t="str">
        <f ca="1">IF(B253=" "," ",HYPERLINK(CONCATENATE("#metadata!",ADDRESS(INDEX($X$2:$X$1001,MATCH(ROWS($V$2:V253),$V$2:$V$1001,0),0),1)),INDEX($AA$2:$AA$1001,MATCH(ROWS($V$2:V253),$V$2:$V$1001,0),0)))</f>
        <v xml:space="preserve"> </v>
      </c>
      <c r="B253" s="4" t="str">
        <f ca="1">IF(OR(INDEX($W$2:$W$1001,MATCH(ROWS($V$2:V253),$V$2:$V$1001,0),1)&gt;=100000,INDEX($AC$1005:$AS$1005,1,MATCH(COLUMNS($AC$1006:AC1006),$AC$1006:$AS$1006,0))&gt;=100000), " ",IF(INDEX($AC$2:$AS$1001,MATCH(ROWS($V$2:V253),$V$2:$V$1001,0),MATCH(COLUMNS($AC$1006:AC1006),$AC$1006:$AS$1006,0)), HYPERLINK("#",""), HYPERLINK(CONCATENATE("#metadata!", ADDRESS(INDEX($X$2:$X$1001,MATCH(ROWS($V$2:V253),$V$2:$V$1001,0),0), INDEX($AC$1004:$AS$1004,1,MATCH(COLUMNS($AC$1006:AC1006),$AC$1006:$AS$1006,0)))),"Fix")))</f>
        <v xml:space="preserve"> </v>
      </c>
      <c r="C253" s="4" t="str">
        <f ca="1">IF(OR(INDEX($W$2:$W$1001,MATCH(ROWS($V$2:V253),$V$2:$V$1001,0),1)&gt;=100000,INDEX($AC$1005:$AS$1005,1,MATCH(COLUMNS($AC$1006:AD1006),$AC$1006:$AS$1006,0))&gt;=100000), " ",IF(INDEX($AC$2:$AS$1001,MATCH(ROWS($V$2:V253),$V$2:$V$1001,0),MATCH(COLUMNS($AC$1006:AD1006),$AC$1006:$AS$1006,0)), HYPERLINK("#",""), HYPERLINK(CONCATENATE("#metadata!", ADDRESS(INDEX($X$2:$X$1001,MATCH(ROWS($V$2:V253),$V$2:$V$1001,0),0), INDEX($AC$1004:$AS$1004,1,MATCH(COLUMNS($AC$1006:AD1006),$AC$1006:$AS$1006,0)))),"Fix")))</f>
        <v xml:space="preserve"> </v>
      </c>
      <c r="D253" s="4" t="str">
        <f ca="1">IF(OR(INDEX($W$2:$W$1001,MATCH(ROWS($V$2:V253),$V$2:$V$1001,0),1)&gt;=100000,INDEX($AC$1005:$AS$1005,1,MATCH(COLUMNS($AC$1006:AE1006),$AC$1006:$AS$1006,0))&gt;=100000), " ",IF(INDEX($AC$2:$AS$1001,MATCH(ROWS($V$2:V253),$V$2:$V$1001,0),MATCH(COLUMNS($AC$1006:AE1006),$AC$1006:$AS$1006,0)), HYPERLINK("#",""), HYPERLINK(CONCATENATE("#metadata!", ADDRESS(INDEX($X$2:$X$1001,MATCH(ROWS($V$2:V253),$V$2:$V$1001,0),0), INDEX($AC$1004:$AS$1004,1,MATCH(COLUMNS($AC$1006:AE1006),$AC$1006:$AS$1006,0)))),"Fix")))</f>
        <v xml:space="preserve"> </v>
      </c>
      <c r="E253" s="4" t="str">
        <f ca="1">IF(OR(INDEX($W$2:$W$1001,MATCH(ROWS($V$2:V253),$V$2:$V$1001,0),1)&gt;=100000,INDEX($AC$1005:$AS$1005,1,MATCH(COLUMNS($AC$1006:AF1006),$AC$1006:$AS$1006,0))&gt;=100000), " ",IF(INDEX($AC$2:$AS$1001,MATCH(ROWS($V$2:V253),$V$2:$V$1001,0),MATCH(COLUMNS($AC$1006:AF1006),$AC$1006:$AS$1006,0)), HYPERLINK("#",""), HYPERLINK(CONCATENATE("#metadata!", ADDRESS(INDEX($X$2:$X$1001,MATCH(ROWS($V$2:V253),$V$2:$V$1001,0),0), INDEX($AC$1004:$AS$1004,1,MATCH(COLUMNS($AC$1006:AF1006),$AC$1006:$AS$1006,0)))),"Fix")))</f>
        <v xml:space="preserve"> </v>
      </c>
      <c r="F253" s="4" t="str">
        <f ca="1">IF(OR(INDEX($W$2:$W$1001,MATCH(ROWS($V$2:V253),$V$2:$V$1001,0),1)&gt;=100000,INDEX($AC$1005:$AS$1005,1,MATCH(COLUMNS($AC$1006:AG1006),$AC$1006:$AS$1006,0))&gt;=100000), " ",IF(INDEX($AC$2:$AS$1001,MATCH(ROWS($V$2:V253),$V$2:$V$1001,0),MATCH(COLUMNS($AC$1006:AG1006),$AC$1006:$AS$1006,0)), HYPERLINK("#",""), HYPERLINK(CONCATENATE("#metadata!", ADDRESS(INDEX($X$2:$X$1001,MATCH(ROWS($V$2:V253),$V$2:$V$1001,0),0), INDEX($AC$1004:$AS$1004,1,MATCH(COLUMNS($AC$1006:AG1006),$AC$1006:$AS$1006,0)))),"Fix")))</f>
        <v xml:space="preserve"> </v>
      </c>
      <c r="G253" s="4" t="str">
        <f ca="1">IF(OR(INDEX($W$2:$W$1001,MATCH(ROWS($V$2:V253),$V$2:$V$1001,0),1)&gt;=100000,INDEX($AC$1005:$AS$1005,1,MATCH(COLUMNS($AC$1006:AH1006),$AC$1006:$AS$1006,0))&gt;=100000), " ",IF(INDEX($AC$2:$AS$1001,MATCH(ROWS($V$2:V253),$V$2:$V$1001,0),MATCH(COLUMNS($AC$1006:AH1006),$AC$1006:$AS$1006,0)), HYPERLINK("#",""), HYPERLINK(CONCATENATE("#metadata!", ADDRESS(INDEX($X$2:$X$1001,MATCH(ROWS($V$2:V253),$V$2:$V$1001,0),0), INDEX($AC$1004:$AS$1004,1,MATCH(COLUMNS($AC$1006:AH1006),$AC$1006:$AS$1006,0)))),"Fix")))</f>
        <v xml:space="preserve"> </v>
      </c>
      <c r="H253" s="4" t="str">
        <f ca="1">IF(OR(INDEX($W$2:$W$1001,MATCH(ROWS($V$2:V253),$V$2:$V$1001,0),1)&gt;=100000,INDEX($AC$1005:$AS$1005,1,MATCH(COLUMNS($AC$1006:AI1006),$AC$1006:$AS$1006,0))&gt;=100000), " ",IF(INDEX($AC$2:$AS$1001,MATCH(ROWS($V$2:V253),$V$2:$V$1001,0),MATCH(COLUMNS($AC$1006:AI1006),$AC$1006:$AS$1006,0)), HYPERLINK("#",""), HYPERLINK(CONCATENATE("#metadata!", ADDRESS(INDEX($X$2:$X$1001,MATCH(ROWS($V$2:V253),$V$2:$V$1001,0),0), INDEX($AC$1004:$AS$1004,1,MATCH(COLUMNS($AC$1006:AI1006),$AC$1006:$AS$1006,0)))),"Fix")))</f>
        <v xml:space="preserve"> </v>
      </c>
      <c r="I253" s="4" t="str">
        <f ca="1">IF(OR(INDEX($W$2:$W$1001,MATCH(ROWS($V$2:V253),$V$2:$V$1001,0),1)&gt;=100000,INDEX($AC$1005:$AS$1005,1,MATCH(COLUMNS($AC$1006:AJ1006),$AC$1006:$AS$1006,0))&gt;=100000), " ",IF(INDEX($AC$2:$AS$1001,MATCH(ROWS($V$2:V253),$V$2:$V$1001,0),MATCH(COLUMNS($AC$1006:AJ1006),$AC$1006:$AS$1006,0)), HYPERLINK("#",""), HYPERLINK(CONCATENATE("#metadata!", ADDRESS(INDEX($X$2:$X$1001,MATCH(ROWS($V$2:V253),$V$2:$V$1001,0),0), INDEX($AC$1004:$AS$1004,1,MATCH(COLUMNS($AC$1006:AJ1006),$AC$1006:$AS$1006,0)))),"Fix")))</f>
        <v xml:space="preserve"> </v>
      </c>
      <c r="J253" s="4" t="str">
        <f ca="1">IF(OR(INDEX($W$2:$W$1001,MATCH(ROWS($V$2:V253),$V$2:$V$1001,0),1)&gt;=100000,INDEX($AC$1005:$AS$1005,1,MATCH(COLUMNS($AC$1006:AK1006),$AC$1006:$AS$1006,0))&gt;=100000), " ",IF(INDEX($AC$2:$AS$1001,MATCH(ROWS($V$2:V253),$V$2:$V$1001,0),MATCH(COLUMNS($AC$1006:AK1006),$AC$1006:$AS$1006,0)), HYPERLINK("#",""), HYPERLINK(CONCATENATE("#metadata!", ADDRESS(INDEX($X$2:$X$1001,MATCH(ROWS($V$2:V253),$V$2:$V$1001,0),0), INDEX($AC$1004:$AS$1004,1,MATCH(COLUMNS($AC$1006:AK1006),$AC$1006:$AS$1006,0)))),"Fix")))</f>
        <v xml:space="preserve"> </v>
      </c>
      <c r="K253" s="4" t="str">
        <f ca="1">IF(OR(INDEX($W$2:$W$1001,MATCH(ROWS($V$2:V253),$V$2:$V$1001,0),1)&gt;=100000,INDEX($AC$1005:$AS$1005,1,MATCH(COLUMNS($AC$1006:AL1006),$AC$1006:$AS$1006,0))&gt;=100000), " ",IF(INDEX($AC$2:$AS$1001,MATCH(ROWS($V$2:V253),$V$2:$V$1001,0),MATCH(COLUMNS($AC$1006:AL1006),$AC$1006:$AS$1006,0)), HYPERLINK("#",""), HYPERLINK(CONCATENATE("#metadata!", ADDRESS(INDEX($X$2:$X$1001,MATCH(ROWS($V$2:V253),$V$2:$V$1001,0),0), INDEX($AC$1004:$AS$1004,1,MATCH(COLUMNS($AC$1006:AL1006),$AC$1006:$AS$1006,0)))),"Fix")))</f>
        <v xml:space="preserve"> </v>
      </c>
      <c r="L253" s="4" t="str">
        <f ca="1">IF(OR(INDEX($W$2:$W$1001,MATCH(ROWS($V$2:V253),$V$2:$V$1001,0),1)&gt;=100000,INDEX($AC$1005:$AS$1005,1,MATCH(COLUMNS($AC$1006:AM1006),$AC$1006:$AS$1006,0))&gt;=100000), " ",IF(INDEX($AC$2:$AS$1001,MATCH(ROWS($V$2:V253),$V$2:$V$1001,0),MATCH(COLUMNS($AC$1006:AM1006),$AC$1006:$AS$1006,0)), HYPERLINK("#",""), HYPERLINK(CONCATENATE("#metadata!", ADDRESS(INDEX($X$2:$X$1001,MATCH(ROWS($V$2:V253),$V$2:$V$1001,0),0), INDEX($AC$1004:$AS$1004,1,MATCH(COLUMNS($AC$1006:AM1006),$AC$1006:$AS$1006,0)))),"Fix")))</f>
        <v xml:space="preserve"> </v>
      </c>
      <c r="M253" s="4" t="str">
        <f ca="1">IF(OR(INDEX($W$2:$W$1001,MATCH(ROWS($V$2:V253),$V$2:$V$1001,0),1)&gt;=100000,INDEX($AC$1005:$AS$1005,1,MATCH(COLUMNS($AC$1006:AN1006),$AC$1006:$AS$1006,0))&gt;=100000), " ",IF(INDEX($AC$2:$AS$1001,MATCH(ROWS($V$2:V253),$V$2:$V$1001,0),MATCH(COLUMNS($AC$1006:AN1006),$AC$1006:$AS$1006,0)), HYPERLINK("#",""), HYPERLINK(CONCATENATE("#metadata!", ADDRESS(INDEX($X$2:$X$1001,MATCH(ROWS($V$2:V253),$V$2:$V$1001,0),0), INDEX($AC$1004:$AS$1004,1,MATCH(COLUMNS($AC$1006:AN1006),$AC$1006:$AS$1006,0)))),"Fix")))</f>
        <v xml:space="preserve"> </v>
      </c>
      <c r="N253" s="4" t="str">
        <f ca="1">IF(OR(INDEX($W$2:$W$1001,MATCH(ROWS($V$2:V253),$V$2:$V$1001,0),1)&gt;=100000,INDEX($AC$1005:$AS$1005,1,MATCH(COLUMNS($AC$1006:AO1006),$AC$1006:$AS$1006,0))&gt;=100000), " ",IF(INDEX($AC$2:$AS$1001,MATCH(ROWS($V$2:V253),$V$2:$V$1001,0),MATCH(COLUMNS($AC$1006:AO1006),$AC$1006:$AS$1006,0)), HYPERLINK("#",""), HYPERLINK(CONCATENATE("#metadata!", ADDRESS(INDEX($X$2:$X$1001,MATCH(ROWS($V$2:V253),$V$2:$V$1001,0),0), INDEX($AC$1004:$AS$1004,1,MATCH(COLUMNS($AC$1006:AO1006),$AC$1006:$AS$1006,0)))),"Fix")))</f>
        <v xml:space="preserve"> </v>
      </c>
      <c r="O253" s="4" t="str">
        <f ca="1">IF(OR(INDEX($W$2:$W$1001,MATCH(ROWS($V$2:V253),$V$2:$V$1001,0),1)&gt;=100000,INDEX($AC$1005:$AS$1005,1,MATCH(COLUMNS($AC$1006:AP1006),$AC$1006:$AS$1006,0))&gt;=100000), " ",IF(INDEX($AC$2:$AS$1001,MATCH(ROWS($V$2:V253),$V$2:$V$1001,0),MATCH(COLUMNS($AC$1006:AP1006),$AC$1006:$AS$1006,0)), HYPERLINK("#",""), HYPERLINK(CONCATENATE("#metadata!", ADDRESS(INDEX($X$2:$X$1001,MATCH(ROWS($V$2:V253),$V$2:$V$1001,0),0), INDEX($AC$1004:$AS$1004,1,MATCH(COLUMNS($AC$1006:AP1006),$AC$1006:$AS$1006,0)))),"Fix")))</f>
        <v xml:space="preserve"> </v>
      </c>
      <c r="P253" s="4" t="str">
        <f ca="1">IF(OR(INDEX($W$2:$W$1001,MATCH(ROWS($V$2:V253),$V$2:$V$1001,0),1)&gt;=100000,INDEX($AC$1005:$AS$1005,1,MATCH(COLUMNS($AC$1006:AQ1006),$AC$1006:$AS$1006,0))&gt;=100000), " ",IF(INDEX($AC$2:$AS$1001,MATCH(ROWS($V$2:V253),$V$2:$V$1001,0),MATCH(COLUMNS($AC$1006:AQ1006),$AC$1006:$AS$1006,0)), HYPERLINK("#",""), HYPERLINK(CONCATENATE("#metadata!", ADDRESS(INDEX($X$2:$X$1001,MATCH(ROWS($V$2:V253),$V$2:$V$1001,0),0), INDEX($AC$1004:$AS$1004,1,MATCH(COLUMNS($AC$1006:AQ1006),$AC$1006:$AS$1006,0)))),"Fix")))</f>
        <v xml:space="preserve"> </v>
      </c>
      <c r="Q253" s="4" t="str">
        <f ca="1">IF(OR(INDEX($W$2:$W$1001,MATCH(ROWS($V$2:V253),$V$2:$V$1001,0),1)&gt;=100000,INDEX($AC$1005:$AS$1005,1,MATCH(COLUMNS($AC$1006:AR1006),$AC$1006:$AS$1006,0))&gt;=100000), " ",IF(INDEX($AC$2:$AS$1001,MATCH(ROWS($V$2:V253),$V$2:$V$1001,0),MATCH(COLUMNS($AC$1006:AR1006),$AC$1006:$AS$1006,0)), HYPERLINK("#",""), HYPERLINK(CONCATENATE("#metadata!", ADDRESS(INDEX($X$2:$X$1001,MATCH(ROWS($V$2:V253),$V$2:$V$1001,0),0), INDEX($AC$1004:$AS$1004,1,MATCH(COLUMNS($AC$1006:AR1006),$AC$1006:$AS$1006,0)))),"Fix")))</f>
        <v xml:space="preserve"> </v>
      </c>
      <c r="R253" s="4" t="str">
        <f ca="1">IF(OR(INDEX($W$2:$W$1001,MATCH(ROWS($V$2:V253),$V$2:$V$1001,0),1)&gt;=100000,INDEX($AC$1005:$AS$1005,1,MATCH(COLUMNS($AC$1006:AS1006),$AC$1006:$AS$1006,0))&gt;=100000), " ",IF(INDEX($AC$2:$AS$1001,MATCH(ROWS($V$2:V253),$V$2:$V$1001,0),MATCH(COLUMNS($AC$1006:AS1006),$AC$1006:$AS$1006,0)), HYPERLINK("#",""), HYPERLINK(CONCATENATE("#metadata!", ADDRESS(INDEX($X$2:$X$1001,MATCH(ROWS($V$2:V253),$V$2:$V$1001,0),0), INDEX($AC$1004:$AS$1004,1,MATCH(COLUMNS($AC$1006:AS1006),$AC$1006:$AS$1006,0)))),"Fix")))</f>
        <v xml:space="preserve"> </v>
      </c>
      <c r="V253">
        <v>252</v>
      </c>
      <c r="W253">
        <v>100253</v>
      </c>
      <c r="X253">
        <v>253</v>
      </c>
      <c r="Y253" t="b">
        <f t="shared" si="3"/>
        <v>1</v>
      </c>
      <c r="Z253" t="b">
        <f>COUNTBLANK(metadata!B253:R253)=COLUMNS(metadata!B253:R253)</f>
        <v>1</v>
      </c>
      <c r="AA253" t="str">
        <v/>
      </c>
      <c r="AC253" t="b">
        <f ca="1"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AD253" t="b">
        <f>IF(metadata!C253="",FALSE,ISNUMBER(VALUE(metadata!C253)))</f>
        <v>0</v>
      </c>
      <c r="AE253" t="b">
        <f>AND(IF(metadata!D253="",FALSE,TRUE),EXACT(metadata!D253,"years"))</f>
        <v>0</v>
      </c>
      <c r="AF253" t="b">
        <f>OR(AND(IF(metadata!E253="",FALSE,TRUE),OR(EXACT(metadata!E253,"not applicable"),EXACT(metadata!E253,"missing: not collected"),EXACT(metadata!E253,"missing: not provided"),EXACT(metadata!E253,"missing: restricted access"))),AND(IF(metadata!E253="",FALSE,ISNUMBER(VALUE(metadata!E253))),metadata!E253&gt;0))</f>
        <v>0</v>
      </c>
      <c r="AG253" t="b">
        <f>AND(IF(metadata!F253="",FALSE,TRUE),EXACT(metadata!F253,"Not applicable"))</f>
        <v>0</v>
      </c>
      <c r="AH253" t="b">
        <f>AND(IF(metadata!G253="",FALSE,TRUE),EXACT(metadata!G253,"urban biome"))</f>
        <v>0</v>
      </c>
      <c r="AI253" t="b">
        <f>AND(IF(metadata!H253="",FALSE,TRUE),EXACT(metadata!H253,"human-associated habitat"))</f>
        <v>0</v>
      </c>
      <c r="AJ253" t="b">
        <f>AND(IF(metadata!I253="",FALSE,TRUE),OR(EXACT(metadata!I253,"human-associated"),EXACT(metadata!I253,"human-skin"),EXACT(metadata!I253,"human-oral"),EXACT(metadata!I253,"human-gut"),EXACT(metadata!I253,"human-vaginal")))</f>
        <v>0</v>
      </c>
      <c r="AK253" t="b">
        <f>IF(metadata!J253="",FALSE,ISNUMBER(VALUE(metadata!J253)))</f>
        <v>0</v>
      </c>
      <c r="AL253" t="b">
        <f>AND(IF(metadata!K253="",FALSE,TRUE),EXACT(metadata!K253,"cm"))</f>
        <v>0</v>
      </c>
      <c r="AM253" t="b">
        <f>AND(IF(metadata!L253="",FALSE,TRUE),EXACT(metadata!L253,"human"))</f>
        <v>0</v>
      </c>
      <c r="AN253" t="b">
        <f>AND(IF(metadata!M253="",FALSE,TRUE),EXACT(metadata!M253,"Homo sapiens"))</f>
        <v>0</v>
      </c>
      <c r="AO253" t="b">
        <f>AND(IF(metadata!N253="",FALSE,TRUE),EXACT(metadata!N253,"9606"))</f>
        <v>0</v>
      </c>
      <c r="AP253" t="b">
        <f>IF(metadata!O253="",FALSE,TRUE)</f>
        <v>0</v>
      </c>
      <c r="AQ253" t="b">
        <f>IF(metadata!P253="",FALSE,TRUE)</f>
        <v>0</v>
      </c>
      <c r="AR253" t="b">
        <f>IF(metadata!Q253="",FALSE,ISNUMBER(VALUE(metadata!Q253)))</f>
        <v>0</v>
      </c>
      <c r="AS253" t="b">
        <f>AND(IF(metadata!R253="",FALSE,TRUE),EXACT(metadata!R253,"kg"))</f>
        <v>0</v>
      </c>
    </row>
    <row r="254" spans="1:45" x14ac:dyDescent="0.2">
      <c r="A254" s="5" t="str">
        <f ca="1">IF(B254=" "," ",HYPERLINK(CONCATENATE("#metadata!",ADDRESS(INDEX($X$2:$X$1001,MATCH(ROWS($V$2:V254),$V$2:$V$1001,0),0),1)),INDEX($AA$2:$AA$1001,MATCH(ROWS($V$2:V254),$V$2:$V$1001,0),0)))</f>
        <v xml:space="preserve"> </v>
      </c>
      <c r="B254" s="4" t="str">
        <f ca="1">IF(OR(INDEX($W$2:$W$1001,MATCH(ROWS($V$2:V254),$V$2:$V$1001,0),1)&gt;=100000,INDEX($AC$1005:$AS$1005,1,MATCH(COLUMNS($AC$1006:AC1006),$AC$1006:$AS$1006,0))&gt;=100000), " ",IF(INDEX($AC$2:$AS$1001,MATCH(ROWS($V$2:V254),$V$2:$V$1001,0),MATCH(COLUMNS($AC$1006:AC1006),$AC$1006:$AS$1006,0)), HYPERLINK("#",""), HYPERLINK(CONCATENATE("#metadata!", ADDRESS(INDEX($X$2:$X$1001,MATCH(ROWS($V$2:V254),$V$2:$V$1001,0),0), INDEX($AC$1004:$AS$1004,1,MATCH(COLUMNS($AC$1006:AC1006),$AC$1006:$AS$1006,0)))),"Fix")))</f>
        <v xml:space="preserve"> </v>
      </c>
      <c r="C254" s="4" t="str">
        <f ca="1">IF(OR(INDEX($W$2:$W$1001,MATCH(ROWS($V$2:V254),$V$2:$V$1001,0),1)&gt;=100000,INDEX($AC$1005:$AS$1005,1,MATCH(COLUMNS($AC$1006:AD1006),$AC$1006:$AS$1006,0))&gt;=100000), " ",IF(INDEX($AC$2:$AS$1001,MATCH(ROWS($V$2:V254),$V$2:$V$1001,0),MATCH(COLUMNS($AC$1006:AD1006),$AC$1006:$AS$1006,0)), HYPERLINK("#",""), HYPERLINK(CONCATENATE("#metadata!", ADDRESS(INDEX($X$2:$X$1001,MATCH(ROWS($V$2:V254),$V$2:$V$1001,0),0), INDEX($AC$1004:$AS$1004,1,MATCH(COLUMNS($AC$1006:AD1006),$AC$1006:$AS$1006,0)))),"Fix")))</f>
        <v xml:space="preserve"> </v>
      </c>
      <c r="D254" s="4" t="str">
        <f ca="1">IF(OR(INDEX($W$2:$W$1001,MATCH(ROWS($V$2:V254),$V$2:$V$1001,0),1)&gt;=100000,INDEX($AC$1005:$AS$1005,1,MATCH(COLUMNS($AC$1006:AE1006),$AC$1006:$AS$1006,0))&gt;=100000), " ",IF(INDEX($AC$2:$AS$1001,MATCH(ROWS($V$2:V254),$V$2:$V$1001,0),MATCH(COLUMNS($AC$1006:AE1006),$AC$1006:$AS$1006,0)), HYPERLINK("#",""), HYPERLINK(CONCATENATE("#metadata!", ADDRESS(INDEX($X$2:$X$1001,MATCH(ROWS($V$2:V254),$V$2:$V$1001,0),0), INDEX($AC$1004:$AS$1004,1,MATCH(COLUMNS($AC$1006:AE1006),$AC$1006:$AS$1006,0)))),"Fix")))</f>
        <v xml:space="preserve"> </v>
      </c>
      <c r="E254" s="4" t="str">
        <f ca="1">IF(OR(INDEX($W$2:$W$1001,MATCH(ROWS($V$2:V254),$V$2:$V$1001,0),1)&gt;=100000,INDEX($AC$1005:$AS$1005,1,MATCH(COLUMNS($AC$1006:AF1006),$AC$1006:$AS$1006,0))&gt;=100000), " ",IF(INDEX($AC$2:$AS$1001,MATCH(ROWS($V$2:V254),$V$2:$V$1001,0),MATCH(COLUMNS($AC$1006:AF1006),$AC$1006:$AS$1006,0)), HYPERLINK("#",""), HYPERLINK(CONCATENATE("#metadata!", ADDRESS(INDEX($X$2:$X$1001,MATCH(ROWS($V$2:V254),$V$2:$V$1001,0),0), INDEX($AC$1004:$AS$1004,1,MATCH(COLUMNS($AC$1006:AF1006),$AC$1006:$AS$1006,0)))),"Fix")))</f>
        <v xml:space="preserve"> </v>
      </c>
      <c r="F254" s="4" t="str">
        <f ca="1">IF(OR(INDEX($W$2:$W$1001,MATCH(ROWS($V$2:V254),$V$2:$V$1001,0),1)&gt;=100000,INDEX($AC$1005:$AS$1005,1,MATCH(COLUMNS($AC$1006:AG1006),$AC$1006:$AS$1006,0))&gt;=100000), " ",IF(INDEX($AC$2:$AS$1001,MATCH(ROWS($V$2:V254),$V$2:$V$1001,0),MATCH(COLUMNS($AC$1006:AG1006),$AC$1006:$AS$1006,0)), HYPERLINK("#",""), HYPERLINK(CONCATENATE("#metadata!", ADDRESS(INDEX($X$2:$X$1001,MATCH(ROWS($V$2:V254),$V$2:$V$1001,0),0), INDEX($AC$1004:$AS$1004,1,MATCH(COLUMNS($AC$1006:AG1006),$AC$1006:$AS$1006,0)))),"Fix")))</f>
        <v xml:space="preserve"> </v>
      </c>
      <c r="G254" s="4" t="str">
        <f ca="1">IF(OR(INDEX($W$2:$W$1001,MATCH(ROWS($V$2:V254),$V$2:$V$1001,0),1)&gt;=100000,INDEX($AC$1005:$AS$1005,1,MATCH(COLUMNS($AC$1006:AH1006),$AC$1006:$AS$1006,0))&gt;=100000), " ",IF(INDEX($AC$2:$AS$1001,MATCH(ROWS($V$2:V254),$V$2:$V$1001,0),MATCH(COLUMNS($AC$1006:AH1006),$AC$1006:$AS$1006,0)), HYPERLINK("#",""), HYPERLINK(CONCATENATE("#metadata!", ADDRESS(INDEX($X$2:$X$1001,MATCH(ROWS($V$2:V254),$V$2:$V$1001,0),0), INDEX($AC$1004:$AS$1004,1,MATCH(COLUMNS($AC$1006:AH1006),$AC$1006:$AS$1006,0)))),"Fix")))</f>
        <v xml:space="preserve"> </v>
      </c>
      <c r="H254" s="4" t="str">
        <f ca="1">IF(OR(INDEX($W$2:$W$1001,MATCH(ROWS($V$2:V254),$V$2:$V$1001,0),1)&gt;=100000,INDEX($AC$1005:$AS$1005,1,MATCH(COLUMNS($AC$1006:AI1006),$AC$1006:$AS$1006,0))&gt;=100000), " ",IF(INDEX($AC$2:$AS$1001,MATCH(ROWS($V$2:V254),$V$2:$V$1001,0),MATCH(COLUMNS($AC$1006:AI1006),$AC$1006:$AS$1006,0)), HYPERLINK("#",""), HYPERLINK(CONCATENATE("#metadata!", ADDRESS(INDEX($X$2:$X$1001,MATCH(ROWS($V$2:V254),$V$2:$V$1001,0),0), INDEX($AC$1004:$AS$1004,1,MATCH(COLUMNS($AC$1006:AI1006),$AC$1006:$AS$1006,0)))),"Fix")))</f>
        <v xml:space="preserve"> </v>
      </c>
      <c r="I254" s="4" t="str">
        <f ca="1">IF(OR(INDEX($W$2:$W$1001,MATCH(ROWS($V$2:V254),$V$2:$V$1001,0),1)&gt;=100000,INDEX($AC$1005:$AS$1005,1,MATCH(COLUMNS($AC$1006:AJ1006),$AC$1006:$AS$1006,0))&gt;=100000), " ",IF(INDEX($AC$2:$AS$1001,MATCH(ROWS($V$2:V254),$V$2:$V$1001,0),MATCH(COLUMNS($AC$1006:AJ1006),$AC$1006:$AS$1006,0)), HYPERLINK("#",""), HYPERLINK(CONCATENATE("#metadata!", ADDRESS(INDEX($X$2:$X$1001,MATCH(ROWS($V$2:V254),$V$2:$V$1001,0),0), INDEX($AC$1004:$AS$1004,1,MATCH(COLUMNS($AC$1006:AJ1006),$AC$1006:$AS$1006,0)))),"Fix")))</f>
        <v xml:space="preserve"> </v>
      </c>
      <c r="J254" s="4" t="str">
        <f ca="1">IF(OR(INDEX($W$2:$W$1001,MATCH(ROWS($V$2:V254),$V$2:$V$1001,0),1)&gt;=100000,INDEX($AC$1005:$AS$1005,1,MATCH(COLUMNS($AC$1006:AK1006),$AC$1006:$AS$1006,0))&gt;=100000), " ",IF(INDEX($AC$2:$AS$1001,MATCH(ROWS($V$2:V254),$V$2:$V$1001,0),MATCH(COLUMNS($AC$1006:AK1006),$AC$1006:$AS$1006,0)), HYPERLINK("#",""), HYPERLINK(CONCATENATE("#metadata!", ADDRESS(INDEX($X$2:$X$1001,MATCH(ROWS($V$2:V254),$V$2:$V$1001,0),0), INDEX($AC$1004:$AS$1004,1,MATCH(COLUMNS($AC$1006:AK1006),$AC$1006:$AS$1006,0)))),"Fix")))</f>
        <v xml:space="preserve"> </v>
      </c>
      <c r="K254" s="4" t="str">
        <f ca="1">IF(OR(INDEX($W$2:$W$1001,MATCH(ROWS($V$2:V254),$V$2:$V$1001,0),1)&gt;=100000,INDEX($AC$1005:$AS$1005,1,MATCH(COLUMNS($AC$1006:AL1006),$AC$1006:$AS$1006,0))&gt;=100000), " ",IF(INDEX($AC$2:$AS$1001,MATCH(ROWS($V$2:V254),$V$2:$V$1001,0),MATCH(COLUMNS($AC$1006:AL1006),$AC$1006:$AS$1006,0)), HYPERLINK("#",""), HYPERLINK(CONCATENATE("#metadata!", ADDRESS(INDEX($X$2:$X$1001,MATCH(ROWS($V$2:V254),$V$2:$V$1001,0),0), INDEX($AC$1004:$AS$1004,1,MATCH(COLUMNS($AC$1006:AL1006),$AC$1006:$AS$1006,0)))),"Fix")))</f>
        <v xml:space="preserve"> </v>
      </c>
      <c r="L254" s="4" t="str">
        <f ca="1">IF(OR(INDEX($W$2:$W$1001,MATCH(ROWS($V$2:V254),$V$2:$V$1001,0),1)&gt;=100000,INDEX($AC$1005:$AS$1005,1,MATCH(COLUMNS($AC$1006:AM1006),$AC$1006:$AS$1006,0))&gt;=100000), " ",IF(INDEX($AC$2:$AS$1001,MATCH(ROWS($V$2:V254),$V$2:$V$1001,0),MATCH(COLUMNS($AC$1006:AM1006),$AC$1006:$AS$1006,0)), HYPERLINK("#",""), HYPERLINK(CONCATENATE("#metadata!", ADDRESS(INDEX($X$2:$X$1001,MATCH(ROWS($V$2:V254),$V$2:$V$1001,0),0), INDEX($AC$1004:$AS$1004,1,MATCH(COLUMNS($AC$1006:AM1006),$AC$1006:$AS$1006,0)))),"Fix")))</f>
        <v xml:space="preserve"> </v>
      </c>
      <c r="M254" s="4" t="str">
        <f ca="1">IF(OR(INDEX($W$2:$W$1001,MATCH(ROWS($V$2:V254),$V$2:$V$1001,0),1)&gt;=100000,INDEX($AC$1005:$AS$1005,1,MATCH(COLUMNS($AC$1006:AN1006),$AC$1006:$AS$1006,0))&gt;=100000), " ",IF(INDEX($AC$2:$AS$1001,MATCH(ROWS($V$2:V254),$V$2:$V$1001,0),MATCH(COLUMNS($AC$1006:AN1006),$AC$1006:$AS$1006,0)), HYPERLINK("#",""), HYPERLINK(CONCATENATE("#metadata!", ADDRESS(INDEX($X$2:$X$1001,MATCH(ROWS($V$2:V254),$V$2:$V$1001,0),0), INDEX($AC$1004:$AS$1004,1,MATCH(COLUMNS($AC$1006:AN1006),$AC$1006:$AS$1006,0)))),"Fix")))</f>
        <v xml:space="preserve"> </v>
      </c>
      <c r="N254" s="4" t="str">
        <f ca="1">IF(OR(INDEX($W$2:$W$1001,MATCH(ROWS($V$2:V254),$V$2:$V$1001,0),1)&gt;=100000,INDEX($AC$1005:$AS$1005,1,MATCH(COLUMNS($AC$1006:AO1006),$AC$1006:$AS$1006,0))&gt;=100000), " ",IF(INDEX($AC$2:$AS$1001,MATCH(ROWS($V$2:V254),$V$2:$V$1001,0),MATCH(COLUMNS($AC$1006:AO1006),$AC$1006:$AS$1006,0)), HYPERLINK("#",""), HYPERLINK(CONCATENATE("#metadata!", ADDRESS(INDEX($X$2:$X$1001,MATCH(ROWS($V$2:V254),$V$2:$V$1001,0),0), INDEX($AC$1004:$AS$1004,1,MATCH(COLUMNS($AC$1006:AO1006),$AC$1006:$AS$1006,0)))),"Fix")))</f>
        <v xml:space="preserve"> </v>
      </c>
      <c r="O254" s="4" t="str">
        <f ca="1">IF(OR(INDEX($W$2:$W$1001,MATCH(ROWS($V$2:V254),$V$2:$V$1001,0),1)&gt;=100000,INDEX($AC$1005:$AS$1005,1,MATCH(COLUMNS($AC$1006:AP1006),$AC$1006:$AS$1006,0))&gt;=100000), " ",IF(INDEX($AC$2:$AS$1001,MATCH(ROWS($V$2:V254),$V$2:$V$1001,0),MATCH(COLUMNS($AC$1006:AP1006),$AC$1006:$AS$1006,0)), HYPERLINK("#",""), HYPERLINK(CONCATENATE("#metadata!", ADDRESS(INDEX($X$2:$X$1001,MATCH(ROWS($V$2:V254),$V$2:$V$1001,0),0), INDEX($AC$1004:$AS$1004,1,MATCH(COLUMNS($AC$1006:AP1006),$AC$1006:$AS$1006,0)))),"Fix")))</f>
        <v xml:space="preserve"> </v>
      </c>
      <c r="P254" s="4" t="str">
        <f ca="1">IF(OR(INDEX($W$2:$W$1001,MATCH(ROWS($V$2:V254),$V$2:$V$1001,0),1)&gt;=100000,INDEX($AC$1005:$AS$1005,1,MATCH(COLUMNS($AC$1006:AQ1006),$AC$1006:$AS$1006,0))&gt;=100000), " ",IF(INDEX($AC$2:$AS$1001,MATCH(ROWS($V$2:V254),$V$2:$V$1001,0),MATCH(COLUMNS($AC$1006:AQ1006),$AC$1006:$AS$1006,0)), HYPERLINK("#",""), HYPERLINK(CONCATENATE("#metadata!", ADDRESS(INDEX($X$2:$X$1001,MATCH(ROWS($V$2:V254),$V$2:$V$1001,0),0), INDEX($AC$1004:$AS$1004,1,MATCH(COLUMNS($AC$1006:AQ1006),$AC$1006:$AS$1006,0)))),"Fix")))</f>
        <v xml:space="preserve"> </v>
      </c>
      <c r="Q254" s="4" t="str">
        <f ca="1">IF(OR(INDEX($W$2:$W$1001,MATCH(ROWS($V$2:V254),$V$2:$V$1001,0),1)&gt;=100000,INDEX($AC$1005:$AS$1005,1,MATCH(COLUMNS($AC$1006:AR1006),$AC$1006:$AS$1006,0))&gt;=100000), " ",IF(INDEX($AC$2:$AS$1001,MATCH(ROWS($V$2:V254),$V$2:$V$1001,0),MATCH(COLUMNS($AC$1006:AR1006),$AC$1006:$AS$1006,0)), HYPERLINK("#",""), HYPERLINK(CONCATENATE("#metadata!", ADDRESS(INDEX($X$2:$X$1001,MATCH(ROWS($V$2:V254),$V$2:$V$1001,0),0), INDEX($AC$1004:$AS$1004,1,MATCH(COLUMNS($AC$1006:AR1006),$AC$1006:$AS$1006,0)))),"Fix")))</f>
        <v xml:space="preserve"> </v>
      </c>
      <c r="R254" s="4" t="str">
        <f ca="1">IF(OR(INDEX($W$2:$W$1001,MATCH(ROWS($V$2:V254),$V$2:$V$1001,0),1)&gt;=100000,INDEX($AC$1005:$AS$1005,1,MATCH(COLUMNS($AC$1006:AS1006),$AC$1006:$AS$1006,0))&gt;=100000), " ",IF(INDEX($AC$2:$AS$1001,MATCH(ROWS($V$2:V254),$V$2:$V$1001,0),MATCH(COLUMNS($AC$1006:AS1006),$AC$1006:$AS$1006,0)), HYPERLINK("#",""), HYPERLINK(CONCATENATE("#metadata!", ADDRESS(INDEX($X$2:$X$1001,MATCH(ROWS($V$2:V254),$V$2:$V$1001,0),0), INDEX($AC$1004:$AS$1004,1,MATCH(COLUMNS($AC$1006:AS1006),$AC$1006:$AS$1006,0)))),"Fix")))</f>
        <v xml:space="preserve"> </v>
      </c>
      <c r="V254">
        <v>253</v>
      </c>
      <c r="W254">
        <v>100254</v>
      </c>
      <c r="X254">
        <v>254</v>
      </c>
      <c r="Y254" t="b">
        <f t="shared" si="3"/>
        <v>1</v>
      </c>
      <c r="Z254" t="b">
        <f>COUNTBLANK(metadata!B254:R254)=COLUMNS(metadata!B254:R254)</f>
        <v>1</v>
      </c>
      <c r="AA254" t="str">
        <v/>
      </c>
      <c r="AC254" t="b">
        <f ca="1"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AD254" t="b">
        <f>IF(metadata!C254="",FALSE,ISNUMBER(VALUE(metadata!C254)))</f>
        <v>0</v>
      </c>
      <c r="AE254" t="b">
        <f>AND(IF(metadata!D254="",FALSE,TRUE),EXACT(metadata!D254,"years"))</f>
        <v>0</v>
      </c>
      <c r="AF254" t="b">
        <f>OR(AND(IF(metadata!E254="",FALSE,TRUE),OR(EXACT(metadata!E254,"not applicable"),EXACT(metadata!E254,"missing: not collected"),EXACT(metadata!E254,"missing: not provided"),EXACT(metadata!E254,"missing: restricted access"))),AND(IF(metadata!E254="",FALSE,ISNUMBER(VALUE(metadata!E254))),metadata!E254&gt;0))</f>
        <v>0</v>
      </c>
      <c r="AG254" t="b">
        <f>AND(IF(metadata!F254="",FALSE,TRUE),EXACT(metadata!F254,"Not applicable"))</f>
        <v>0</v>
      </c>
      <c r="AH254" t="b">
        <f>AND(IF(metadata!G254="",FALSE,TRUE),EXACT(metadata!G254,"urban biome"))</f>
        <v>0</v>
      </c>
      <c r="AI254" t="b">
        <f>AND(IF(metadata!H254="",FALSE,TRUE),EXACT(metadata!H254,"human-associated habitat"))</f>
        <v>0</v>
      </c>
      <c r="AJ254" t="b">
        <f>AND(IF(metadata!I254="",FALSE,TRUE),OR(EXACT(metadata!I254,"human-associated"),EXACT(metadata!I254,"human-skin"),EXACT(metadata!I254,"human-oral"),EXACT(metadata!I254,"human-gut"),EXACT(metadata!I254,"human-vaginal")))</f>
        <v>0</v>
      </c>
      <c r="AK254" t="b">
        <f>IF(metadata!J254="",FALSE,ISNUMBER(VALUE(metadata!J254)))</f>
        <v>0</v>
      </c>
      <c r="AL254" t="b">
        <f>AND(IF(metadata!K254="",FALSE,TRUE),EXACT(metadata!K254,"cm"))</f>
        <v>0</v>
      </c>
      <c r="AM254" t="b">
        <f>AND(IF(metadata!L254="",FALSE,TRUE),EXACT(metadata!L254,"human"))</f>
        <v>0</v>
      </c>
      <c r="AN254" t="b">
        <f>AND(IF(metadata!M254="",FALSE,TRUE),EXACT(metadata!M254,"Homo sapiens"))</f>
        <v>0</v>
      </c>
      <c r="AO254" t="b">
        <f>AND(IF(metadata!N254="",FALSE,TRUE),EXACT(metadata!N254,"9606"))</f>
        <v>0</v>
      </c>
      <c r="AP254" t="b">
        <f>IF(metadata!O254="",FALSE,TRUE)</f>
        <v>0</v>
      </c>
      <c r="AQ254" t="b">
        <f>IF(metadata!P254="",FALSE,TRUE)</f>
        <v>0</v>
      </c>
      <c r="AR254" t="b">
        <f>IF(metadata!Q254="",FALSE,ISNUMBER(VALUE(metadata!Q254)))</f>
        <v>0</v>
      </c>
      <c r="AS254" t="b">
        <f>AND(IF(metadata!R254="",FALSE,TRUE),EXACT(metadata!R254,"kg"))</f>
        <v>0</v>
      </c>
    </row>
    <row r="255" spans="1:45" x14ac:dyDescent="0.2">
      <c r="A255" s="5" t="str">
        <f ca="1">IF(B255=" "," ",HYPERLINK(CONCATENATE("#metadata!",ADDRESS(INDEX($X$2:$X$1001,MATCH(ROWS($V$2:V255),$V$2:$V$1001,0),0),1)),INDEX($AA$2:$AA$1001,MATCH(ROWS($V$2:V255),$V$2:$V$1001,0),0)))</f>
        <v xml:space="preserve"> </v>
      </c>
      <c r="B255" s="4" t="str">
        <f ca="1">IF(OR(INDEX($W$2:$W$1001,MATCH(ROWS($V$2:V255),$V$2:$V$1001,0),1)&gt;=100000,INDEX($AC$1005:$AS$1005,1,MATCH(COLUMNS($AC$1006:AC1006),$AC$1006:$AS$1006,0))&gt;=100000), " ",IF(INDEX($AC$2:$AS$1001,MATCH(ROWS($V$2:V255),$V$2:$V$1001,0),MATCH(COLUMNS($AC$1006:AC1006),$AC$1006:$AS$1006,0)), HYPERLINK("#",""), HYPERLINK(CONCATENATE("#metadata!", ADDRESS(INDEX($X$2:$X$1001,MATCH(ROWS($V$2:V255),$V$2:$V$1001,0),0), INDEX($AC$1004:$AS$1004,1,MATCH(COLUMNS($AC$1006:AC1006),$AC$1006:$AS$1006,0)))),"Fix")))</f>
        <v xml:space="preserve"> </v>
      </c>
      <c r="C255" s="4" t="str">
        <f ca="1">IF(OR(INDEX($W$2:$W$1001,MATCH(ROWS($V$2:V255),$V$2:$V$1001,0),1)&gt;=100000,INDEX($AC$1005:$AS$1005,1,MATCH(COLUMNS($AC$1006:AD1006),$AC$1006:$AS$1006,0))&gt;=100000), " ",IF(INDEX($AC$2:$AS$1001,MATCH(ROWS($V$2:V255),$V$2:$V$1001,0),MATCH(COLUMNS($AC$1006:AD1006),$AC$1006:$AS$1006,0)), HYPERLINK("#",""), HYPERLINK(CONCATENATE("#metadata!", ADDRESS(INDEX($X$2:$X$1001,MATCH(ROWS($V$2:V255),$V$2:$V$1001,0),0), INDEX($AC$1004:$AS$1004,1,MATCH(COLUMNS($AC$1006:AD1006),$AC$1006:$AS$1006,0)))),"Fix")))</f>
        <v xml:space="preserve"> </v>
      </c>
      <c r="D255" s="4" t="str">
        <f ca="1">IF(OR(INDEX($W$2:$W$1001,MATCH(ROWS($V$2:V255),$V$2:$V$1001,0),1)&gt;=100000,INDEX($AC$1005:$AS$1005,1,MATCH(COLUMNS($AC$1006:AE1006),$AC$1006:$AS$1006,0))&gt;=100000), " ",IF(INDEX($AC$2:$AS$1001,MATCH(ROWS($V$2:V255),$V$2:$V$1001,0),MATCH(COLUMNS($AC$1006:AE1006),$AC$1006:$AS$1006,0)), HYPERLINK("#",""), HYPERLINK(CONCATENATE("#metadata!", ADDRESS(INDEX($X$2:$X$1001,MATCH(ROWS($V$2:V255),$V$2:$V$1001,0),0), INDEX($AC$1004:$AS$1004,1,MATCH(COLUMNS($AC$1006:AE1006),$AC$1006:$AS$1006,0)))),"Fix")))</f>
        <v xml:space="preserve"> </v>
      </c>
      <c r="E255" s="4" t="str">
        <f ca="1">IF(OR(INDEX($W$2:$W$1001,MATCH(ROWS($V$2:V255),$V$2:$V$1001,0),1)&gt;=100000,INDEX($AC$1005:$AS$1005,1,MATCH(COLUMNS($AC$1006:AF1006),$AC$1006:$AS$1006,0))&gt;=100000), " ",IF(INDEX($AC$2:$AS$1001,MATCH(ROWS($V$2:V255),$V$2:$V$1001,0),MATCH(COLUMNS($AC$1006:AF1006),$AC$1006:$AS$1006,0)), HYPERLINK("#",""), HYPERLINK(CONCATENATE("#metadata!", ADDRESS(INDEX($X$2:$X$1001,MATCH(ROWS($V$2:V255),$V$2:$V$1001,0),0), INDEX($AC$1004:$AS$1004,1,MATCH(COLUMNS($AC$1006:AF1006),$AC$1006:$AS$1006,0)))),"Fix")))</f>
        <v xml:space="preserve"> </v>
      </c>
      <c r="F255" s="4" t="str">
        <f ca="1">IF(OR(INDEX($W$2:$W$1001,MATCH(ROWS($V$2:V255),$V$2:$V$1001,0),1)&gt;=100000,INDEX($AC$1005:$AS$1005,1,MATCH(COLUMNS($AC$1006:AG1006),$AC$1006:$AS$1006,0))&gt;=100000), " ",IF(INDEX($AC$2:$AS$1001,MATCH(ROWS($V$2:V255),$V$2:$V$1001,0),MATCH(COLUMNS($AC$1006:AG1006),$AC$1006:$AS$1006,0)), HYPERLINK("#",""), HYPERLINK(CONCATENATE("#metadata!", ADDRESS(INDEX($X$2:$X$1001,MATCH(ROWS($V$2:V255),$V$2:$V$1001,0),0), INDEX($AC$1004:$AS$1004,1,MATCH(COLUMNS($AC$1006:AG1006),$AC$1006:$AS$1006,0)))),"Fix")))</f>
        <v xml:space="preserve"> </v>
      </c>
      <c r="G255" s="4" t="str">
        <f ca="1">IF(OR(INDEX($W$2:$W$1001,MATCH(ROWS($V$2:V255),$V$2:$V$1001,0),1)&gt;=100000,INDEX($AC$1005:$AS$1005,1,MATCH(COLUMNS($AC$1006:AH1006),$AC$1006:$AS$1006,0))&gt;=100000), " ",IF(INDEX($AC$2:$AS$1001,MATCH(ROWS($V$2:V255),$V$2:$V$1001,0),MATCH(COLUMNS($AC$1006:AH1006),$AC$1006:$AS$1006,0)), HYPERLINK("#",""), HYPERLINK(CONCATENATE("#metadata!", ADDRESS(INDEX($X$2:$X$1001,MATCH(ROWS($V$2:V255),$V$2:$V$1001,0),0), INDEX($AC$1004:$AS$1004,1,MATCH(COLUMNS($AC$1006:AH1006),$AC$1006:$AS$1006,0)))),"Fix")))</f>
        <v xml:space="preserve"> </v>
      </c>
      <c r="H255" s="4" t="str">
        <f ca="1">IF(OR(INDEX($W$2:$W$1001,MATCH(ROWS($V$2:V255),$V$2:$V$1001,0),1)&gt;=100000,INDEX($AC$1005:$AS$1005,1,MATCH(COLUMNS($AC$1006:AI1006),$AC$1006:$AS$1006,0))&gt;=100000), " ",IF(INDEX($AC$2:$AS$1001,MATCH(ROWS($V$2:V255),$V$2:$V$1001,0),MATCH(COLUMNS($AC$1006:AI1006),$AC$1006:$AS$1006,0)), HYPERLINK("#",""), HYPERLINK(CONCATENATE("#metadata!", ADDRESS(INDEX($X$2:$X$1001,MATCH(ROWS($V$2:V255),$V$2:$V$1001,0),0), INDEX($AC$1004:$AS$1004,1,MATCH(COLUMNS($AC$1006:AI1006),$AC$1006:$AS$1006,0)))),"Fix")))</f>
        <v xml:space="preserve"> </v>
      </c>
      <c r="I255" s="4" t="str">
        <f ca="1">IF(OR(INDEX($W$2:$W$1001,MATCH(ROWS($V$2:V255),$V$2:$V$1001,0),1)&gt;=100000,INDEX($AC$1005:$AS$1005,1,MATCH(COLUMNS($AC$1006:AJ1006),$AC$1006:$AS$1006,0))&gt;=100000), " ",IF(INDEX($AC$2:$AS$1001,MATCH(ROWS($V$2:V255),$V$2:$V$1001,0),MATCH(COLUMNS($AC$1006:AJ1006),$AC$1006:$AS$1006,0)), HYPERLINK("#",""), HYPERLINK(CONCATENATE("#metadata!", ADDRESS(INDEX($X$2:$X$1001,MATCH(ROWS($V$2:V255),$V$2:$V$1001,0),0), INDEX($AC$1004:$AS$1004,1,MATCH(COLUMNS($AC$1006:AJ1006),$AC$1006:$AS$1006,0)))),"Fix")))</f>
        <v xml:space="preserve"> </v>
      </c>
      <c r="J255" s="4" t="str">
        <f ca="1">IF(OR(INDEX($W$2:$W$1001,MATCH(ROWS($V$2:V255),$V$2:$V$1001,0),1)&gt;=100000,INDEX($AC$1005:$AS$1005,1,MATCH(COLUMNS($AC$1006:AK1006),$AC$1006:$AS$1006,0))&gt;=100000), " ",IF(INDEX($AC$2:$AS$1001,MATCH(ROWS($V$2:V255),$V$2:$V$1001,0),MATCH(COLUMNS($AC$1006:AK1006),$AC$1006:$AS$1006,0)), HYPERLINK("#",""), HYPERLINK(CONCATENATE("#metadata!", ADDRESS(INDEX($X$2:$X$1001,MATCH(ROWS($V$2:V255),$V$2:$V$1001,0),0), INDEX($AC$1004:$AS$1004,1,MATCH(COLUMNS($AC$1006:AK1006),$AC$1006:$AS$1006,0)))),"Fix")))</f>
        <v xml:space="preserve"> </v>
      </c>
      <c r="K255" s="4" t="str">
        <f ca="1">IF(OR(INDEX($W$2:$W$1001,MATCH(ROWS($V$2:V255),$V$2:$V$1001,0),1)&gt;=100000,INDEX($AC$1005:$AS$1005,1,MATCH(COLUMNS($AC$1006:AL1006),$AC$1006:$AS$1006,0))&gt;=100000), " ",IF(INDEX($AC$2:$AS$1001,MATCH(ROWS($V$2:V255),$V$2:$V$1001,0),MATCH(COLUMNS($AC$1006:AL1006),$AC$1006:$AS$1006,0)), HYPERLINK("#",""), HYPERLINK(CONCATENATE("#metadata!", ADDRESS(INDEX($X$2:$X$1001,MATCH(ROWS($V$2:V255),$V$2:$V$1001,0),0), INDEX($AC$1004:$AS$1004,1,MATCH(COLUMNS($AC$1006:AL1006),$AC$1006:$AS$1006,0)))),"Fix")))</f>
        <v xml:space="preserve"> </v>
      </c>
      <c r="L255" s="4" t="str">
        <f ca="1">IF(OR(INDEX($W$2:$W$1001,MATCH(ROWS($V$2:V255),$V$2:$V$1001,0),1)&gt;=100000,INDEX($AC$1005:$AS$1005,1,MATCH(COLUMNS($AC$1006:AM1006),$AC$1006:$AS$1006,0))&gt;=100000), " ",IF(INDEX($AC$2:$AS$1001,MATCH(ROWS($V$2:V255),$V$2:$V$1001,0),MATCH(COLUMNS($AC$1006:AM1006),$AC$1006:$AS$1006,0)), HYPERLINK("#",""), HYPERLINK(CONCATENATE("#metadata!", ADDRESS(INDEX($X$2:$X$1001,MATCH(ROWS($V$2:V255),$V$2:$V$1001,0),0), INDEX($AC$1004:$AS$1004,1,MATCH(COLUMNS($AC$1006:AM1006),$AC$1006:$AS$1006,0)))),"Fix")))</f>
        <v xml:space="preserve"> </v>
      </c>
      <c r="M255" s="4" t="str">
        <f ca="1">IF(OR(INDEX($W$2:$W$1001,MATCH(ROWS($V$2:V255),$V$2:$V$1001,0),1)&gt;=100000,INDEX($AC$1005:$AS$1005,1,MATCH(COLUMNS($AC$1006:AN1006),$AC$1006:$AS$1006,0))&gt;=100000), " ",IF(INDEX($AC$2:$AS$1001,MATCH(ROWS($V$2:V255),$V$2:$V$1001,0),MATCH(COLUMNS($AC$1006:AN1006),$AC$1006:$AS$1006,0)), HYPERLINK("#",""), HYPERLINK(CONCATENATE("#metadata!", ADDRESS(INDEX($X$2:$X$1001,MATCH(ROWS($V$2:V255),$V$2:$V$1001,0),0), INDEX($AC$1004:$AS$1004,1,MATCH(COLUMNS($AC$1006:AN1006),$AC$1006:$AS$1006,0)))),"Fix")))</f>
        <v xml:space="preserve"> </v>
      </c>
      <c r="N255" s="4" t="str">
        <f ca="1">IF(OR(INDEX($W$2:$W$1001,MATCH(ROWS($V$2:V255),$V$2:$V$1001,0),1)&gt;=100000,INDEX($AC$1005:$AS$1005,1,MATCH(COLUMNS($AC$1006:AO1006),$AC$1006:$AS$1006,0))&gt;=100000), " ",IF(INDEX($AC$2:$AS$1001,MATCH(ROWS($V$2:V255),$V$2:$V$1001,0),MATCH(COLUMNS($AC$1006:AO1006),$AC$1006:$AS$1006,0)), HYPERLINK("#",""), HYPERLINK(CONCATENATE("#metadata!", ADDRESS(INDEX($X$2:$X$1001,MATCH(ROWS($V$2:V255),$V$2:$V$1001,0),0), INDEX($AC$1004:$AS$1004,1,MATCH(COLUMNS($AC$1006:AO1006),$AC$1006:$AS$1006,0)))),"Fix")))</f>
        <v xml:space="preserve"> </v>
      </c>
      <c r="O255" s="4" t="str">
        <f ca="1">IF(OR(INDEX($W$2:$W$1001,MATCH(ROWS($V$2:V255),$V$2:$V$1001,0),1)&gt;=100000,INDEX($AC$1005:$AS$1005,1,MATCH(COLUMNS($AC$1006:AP1006),$AC$1006:$AS$1006,0))&gt;=100000), " ",IF(INDEX($AC$2:$AS$1001,MATCH(ROWS($V$2:V255),$V$2:$V$1001,0),MATCH(COLUMNS($AC$1006:AP1006),$AC$1006:$AS$1006,0)), HYPERLINK("#",""), HYPERLINK(CONCATENATE("#metadata!", ADDRESS(INDEX($X$2:$X$1001,MATCH(ROWS($V$2:V255),$V$2:$V$1001,0),0), INDEX($AC$1004:$AS$1004,1,MATCH(COLUMNS($AC$1006:AP1006),$AC$1006:$AS$1006,0)))),"Fix")))</f>
        <v xml:space="preserve"> </v>
      </c>
      <c r="P255" s="4" t="str">
        <f ca="1">IF(OR(INDEX($W$2:$W$1001,MATCH(ROWS($V$2:V255),$V$2:$V$1001,0),1)&gt;=100000,INDEX($AC$1005:$AS$1005,1,MATCH(COLUMNS($AC$1006:AQ1006),$AC$1006:$AS$1006,0))&gt;=100000), " ",IF(INDEX($AC$2:$AS$1001,MATCH(ROWS($V$2:V255),$V$2:$V$1001,0),MATCH(COLUMNS($AC$1006:AQ1006),$AC$1006:$AS$1006,0)), HYPERLINK("#",""), HYPERLINK(CONCATENATE("#metadata!", ADDRESS(INDEX($X$2:$X$1001,MATCH(ROWS($V$2:V255),$V$2:$V$1001,0),0), INDEX($AC$1004:$AS$1004,1,MATCH(COLUMNS($AC$1006:AQ1006),$AC$1006:$AS$1006,0)))),"Fix")))</f>
        <v xml:space="preserve"> </v>
      </c>
      <c r="Q255" s="4" t="str">
        <f ca="1">IF(OR(INDEX($W$2:$W$1001,MATCH(ROWS($V$2:V255),$V$2:$V$1001,0),1)&gt;=100000,INDEX($AC$1005:$AS$1005,1,MATCH(COLUMNS($AC$1006:AR1006),$AC$1006:$AS$1006,0))&gt;=100000), " ",IF(INDEX($AC$2:$AS$1001,MATCH(ROWS($V$2:V255),$V$2:$V$1001,0),MATCH(COLUMNS($AC$1006:AR1006),$AC$1006:$AS$1006,0)), HYPERLINK("#",""), HYPERLINK(CONCATENATE("#metadata!", ADDRESS(INDEX($X$2:$X$1001,MATCH(ROWS($V$2:V255),$V$2:$V$1001,0),0), INDEX($AC$1004:$AS$1004,1,MATCH(COLUMNS($AC$1006:AR1006),$AC$1006:$AS$1006,0)))),"Fix")))</f>
        <v xml:space="preserve"> </v>
      </c>
      <c r="R255" s="4" t="str">
        <f ca="1">IF(OR(INDEX($W$2:$W$1001,MATCH(ROWS($V$2:V255),$V$2:$V$1001,0),1)&gt;=100000,INDEX($AC$1005:$AS$1005,1,MATCH(COLUMNS($AC$1006:AS1006),$AC$1006:$AS$1006,0))&gt;=100000), " ",IF(INDEX($AC$2:$AS$1001,MATCH(ROWS($V$2:V255),$V$2:$V$1001,0),MATCH(COLUMNS($AC$1006:AS1006),$AC$1006:$AS$1006,0)), HYPERLINK("#",""), HYPERLINK(CONCATENATE("#metadata!", ADDRESS(INDEX($X$2:$X$1001,MATCH(ROWS($V$2:V255),$V$2:$V$1001,0),0), INDEX($AC$1004:$AS$1004,1,MATCH(COLUMNS($AC$1006:AS1006),$AC$1006:$AS$1006,0)))),"Fix")))</f>
        <v xml:space="preserve"> </v>
      </c>
      <c r="V255">
        <v>254</v>
      </c>
      <c r="W255">
        <v>100255</v>
      </c>
      <c r="X255">
        <v>255</v>
      </c>
      <c r="Y255" t="b">
        <f t="shared" si="3"/>
        <v>1</v>
      </c>
      <c r="Z255" t="b">
        <f>COUNTBLANK(metadata!B255:R255)=COLUMNS(metadata!B255:R255)</f>
        <v>1</v>
      </c>
      <c r="AA255" t="str">
        <v/>
      </c>
      <c r="AC255" t="b">
        <f ca="1"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AD255" t="b">
        <f>IF(metadata!C255="",FALSE,ISNUMBER(VALUE(metadata!C255)))</f>
        <v>0</v>
      </c>
      <c r="AE255" t="b">
        <f>AND(IF(metadata!D255="",FALSE,TRUE),EXACT(metadata!D255,"years"))</f>
        <v>0</v>
      </c>
      <c r="AF255" t="b">
        <f>OR(AND(IF(metadata!E255="",FALSE,TRUE),OR(EXACT(metadata!E255,"not applicable"),EXACT(metadata!E255,"missing: not collected"),EXACT(metadata!E255,"missing: not provided"),EXACT(metadata!E255,"missing: restricted access"))),AND(IF(metadata!E255="",FALSE,ISNUMBER(VALUE(metadata!E255))),metadata!E255&gt;0))</f>
        <v>0</v>
      </c>
      <c r="AG255" t="b">
        <f>AND(IF(metadata!F255="",FALSE,TRUE),EXACT(metadata!F255,"Not applicable"))</f>
        <v>0</v>
      </c>
      <c r="AH255" t="b">
        <f>AND(IF(metadata!G255="",FALSE,TRUE),EXACT(metadata!G255,"urban biome"))</f>
        <v>0</v>
      </c>
      <c r="AI255" t="b">
        <f>AND(IF(metadata!H255="",FALSE,TRUE),EXACT(metadata!H255,"human-associated habitat"))</f>
        <v>0</v>
      </c>
      <c r="AJ255" t="b">
        <f>AND(IF(metadata!I255="",FALSE,TRUE),OR(EXACT(metadata!I255,"human-associated"),EXACT(metadata!I255,"human-skin"),EXACT(metadata!I255,"human-oral"),EXACT(metadata!I255,"human-gut"),EXACT(metadata!I255,"human-vaginal")))</f>
        <v>0</v>
      </c>
      <c r="AK255" t="b">
        <f>IF(metadata!J255="",FALSE,ISNUMBER(VALUE(metadata!J255)))</f>
        <v>0</v>
      </c>
      <c r="AL255" t="b">
        <f>AND(IF(metadata!K255="",FALSE,TRUE),EXACT(metadata!K255,"cm"))</f>
        <v>0</v>
      </c>
      <c r="AM255" t="b">
        <f>AND(IF(metadata!L255="",FALSE,TRUE),EXACT(metadata!L255,"human"))</f>
        <v>0</v>
      </c>
      <c r="AN255" t="b">
        <f>AND(IF(metadata!M255="",FALSE,TRUE),EXACT(metadata!M255,"Homo sapiens"))</f>
        <v>0</v>
      </c>
      <c r="AO255" t="b">
        <f>AND(IF(metadata!N255="",FALSE,TRUE),EXACT(metadata!N255,"9606"))</f>
        <v>0</v>
      </c>
      <c r="AP255" t="b">
        <f>IF(metadata!O255="",FALSE,TRUE)</f>
        <v>0</v>
      </c>
      <c r="AQ255" t="b">
        <f>IF(metadata!P255="",FALSE,TRUE)</f>
        <v>0</v>
      </c>
      <c r="AR255" t="b">
        <f>IF(metadata!Q255="",FALSE,ISNUMBER(VALUE(metadata!Q255)))</f>
        <v>0</v>
      </c>
      <c r="AS255" t="b">
        <f>AND(IF(metadata!R255="",FALSE,TRUE),EXACT(metadata!R255,"kg"))</f>
        <v>0</v>
      </c>
    </row>
    <row r="256" spans="1:45" x14ac:dyDescent="0.2">
      <c r="A256" s="5" t="str">
        <f ca="1">IF(B256=" "," ",HYPERLINK(CONCATENATE("#metadata!",ADDRESS(INDEX($X$2:$X$1001,MATCH(ROWS($V$2:V256),$V$2:$V$1001,0),0),1)),INDEX($AA$2:$AA$1001,MATCH(ROWS($V$2:V256),$V$2:$V$1001,0),0)))</f>
        <v xml:space="preserve"> </v>
      </c>
      <c r="B256" s="4" t="str">
        <f ca="1">IF(OR(INDEX($W$2:$W$1001,MATCH(ROWS($V$2:V256),$V$2:$V$1001,0),1)&gt;=100000,INDEX($AC$1005:$AS$1005,1,MATCH(COLUMNS($AC$1006:AC1006),$AC$1006:$AS$1006,0))&gt;=100000), " ",IF(INDEX($AC$2:$AS$1001,MATCH(ROWS($V$2:V256),$V$2:$V$1001,0),MATCH(COLUMNS($AC$1006:AC1006),$AC$1006:$AS$1006,0)), HYPERLINK("#",""), HYPERLINK(CONCATENATE("#metadata!", ADDRESS(INDEX($X$2:$X$1001,MATCH(ROWS($V$2:V256),$V$2:$V$1001,0),0), INDEX($AC$1004:$AS$1004,1,MATCH(COLUMNS($AC$1006:AC1006),$AC$1006:$AS$1006,0)))),"Fix")))</f>
        <v xml:space="preserve"> </v>
      </c>
      <c r="C256" s="4" t="str">
        <f ca="1">IF(OR(INDEX($W$2:$W$1001,MATCH(ROWS($V$2:V256),$V$2:$V$1001,0),1)&gt;=100000,INDEX($AC$1005:$AS$1005,1,MATCH(COLUMNS($AC$1006:AD1006),$AC$1006:$AS$1006,0))&gt;=100000), " ",IF(INDEX($AC$2:$AS$1001,MATCH(ROWS($V$2:V256),$V$2:$V$1001,0),MATCH(COLUMNS($AC$1006:AD1006),$AC$1006:$AS$1006,0)), HYPERLINK("#",""), HYPERLINK(CONCATENATE("#metadata!", ADDRESS(INDEX($X$2:$X$1001,MATCH(ROWS($V$2:V256),$V$2:$V$1001,0),0), INDEX($AC$1004:$AS$1004,1,MATCH(COLUMNS($AC$1006:AD1006),$AC$1006:$AS$1006,0)))),"Fix")))</f>
        <v xml:space="preserve"> </v>
      </c>
      <c r="D256" s="4" t="str">
        <f ca="1">IF(OR(INDEX($W$2:$W$1001,MATCH(ROWS($V$2:V256),$V$2:$V$1001,0),1)&gt;=100000,INDEX($AC$1005:$AS$1005,1,MATCH(COLUMNS($AC$1006:AE1006),$AC$1006:$AS$1006,0))&gt;=100000), " ",IF(INDEX($AC$2:$AS$1001,MATCH(ROWS($V$2:V256),$V$2:$V$1001,0),MATCH(COLUMNS($AC$1006:AE1006),$AC$1006:$AS$1006,0)), HYPERLINK("#",""), HYPERLINK(CONCATENATE("#metadata!", ADDRESS(INDEX($X$2:$X$1001,MATCH(ROWS($V$2:V256),$V$2:$V$1001,0),0), INDEX($AC$1004:$AS$1004,1,MATCH(COLUMNS($AC$1006:AE1006),$AC$1006:$AS$1006,0)))),"Fix")))</f>
        <v xml:space="preserve"> </v>
      </c>
      <c r="E256" s="4" t="str">
        <f ca="1">IF(OR(INDEX($W$2:$W$1001,MATCH(ROWS($V$2:V256),$V$2:$V$1001,0),1)&gt;=100000,INDEX($AC$1005:$AS$1005,1,MATCH(COLUMNS($AC$1006:AF1006),$AC$1006:$AS$1006,0))&gt;=100000), " ",IF(INDEX($AC$2:$AS$1001,MATCH(ROWS($V$2:V256),$V$2:$V$1001,0),MATCH(COLUMNS($AC$1006:AF1006),$AC$1006:$AS$1006,0)), HYPERLINK("#",""), HYPERLINK(CONCATENATE("#metadata!", ADDRESS(INDEX($X$2:$X$1001,MATCH(ROWS($V$2:V256),$V$2:$V$1001,0),0), INDEX($AC$1004:$AS$1004,1,MATCH(COLUMNS($AC$1006:AF1006),$AC$1006:$AS$1006,0)))),"Fix")))</f>
        <v xml:space="preserve"> </v>
      </c>
      <c r="F256" s="4" t="str">
        <f ca="1">IF(OR(INDEX($W$2:$W$1001,MATCH(ROWS($V$2:V256),$V$2:$V$1001,0),1)&gt;=100000,INDEX($AC$1005:$AS$1005,1,MATCH(COLUMNS($AC$1006:AG1006),$AC$1006:$AS$1006,0))&gt;=100000), " ",IF(INDEX($AC$2:$AS$1001,MATCH(ROWS($V$2:V256),$V$2:$V$1001,0),MATCH(COLUMNS($AC$1006:AG1006),$AC$1006:$AS$1006,0)), HYPERLINK("#",""), HYPERLINK(CONCATENATE("#metadata!", ADDRESS(INDEX($X$2:$X$1001,MATCH(ROWS($V$2:V256),$V$2:$V$1001,0),0), INDEX($AC$1004:$AS$1004,1,MATCH(COLUMNS($AC$1006:AG1006),$AC$1006:$AS$1006,0)))),"Fix")))</f>
        <v xml:space="preserve"> </v>
      </c>
      <c r="G256" s="4" t="str">
        <f ca="1">IF(OR(INDEX($W$2:$W$1001,MATCH(ROWS($V$2:V256),$V$2:$V$1001,0),1)&gt;=100000,INDEX($AC$1005:$AS$1005,1,MATCH(COLUMNS($AC$1006:AH1006),$AC$1006:$AS$1006,0))&gt;=100000), " ",IF(INDEX($AC$2:$AS$1001,MATCH(ROWS($V$2:V256),$V$2:$V$1001,0),MATCH(COLUMNS($AC$1006:AH1006),$AC$1006:$AS$1006,0)), HYPERLINK("#",""), HYPERLINK(CONCATENATE("#metadata!", ADDRESS(INDEX($X$2:$X$1001,MATCH(ROWS($V$2:V256),$V$2:$V$1001,0),0), INDEX($AC$1004:$AS$1004,1,MATCH(COLUMNS($AC$1006:AH1006),$AC$1006:$AS$1006,0)))),"Fix")))</f>
        <v xml:space="preserve"> </v>
      </c>
      <c r="H256" s="4" t="str">
        <f ca="1">IF(OR(INDEX($W$2:$W$1001,MATCH(ROWS($V$2:V256),$V$2:$V$1001,0),1)&gt;=100000,INDEX($AC$1005:$AS$1005,1,MATCH(COLUMNS($AC$1006:AI1006),$AC$1006:$AS$1006,0))&gt;=100000), " ",IF(INDEX($AC$2:$AS$1001,MATCH(ROWS($V$2:V256),$V$2:$V$1001,0),MATCH(COLUMNS($AC$1006:AI1006),$AC$1006:$AS$1006,0)), HYPERLINK("#",""), HYPERLINK(CONCATENATE("#metadata!", ADDRESS(INDEX($X$2:$X$1001,MATCH(ROWS($V$2:V256),$V$2:$V$1001,0),0), INDEX($AC$1004:$AS$1004,1,MATCH(COLUMNS($AC$1006:AI1006),$AC$1006:$AS$1006,0)))),"Fix")))</f>
        <v xml:space="preserve"> </v>
      </c>
      <c r="I256" s="4" t="str">
        <f ca="1">IF(OR(INDEX($W$2:$W$1001,MATCH(ROWS($V$2:V256),$V$2:$V$1001,0),1)&gt;=100000,INDEX($AC$1005:$AS$1005,1,MATCH(COLUMNS($AC$1006:AJ1006),$AC$1006:$AS$1006,0))&gt;=100000), " ",IF(INDEX($AC$2:$AS$1001,MATCH(ROWS($V$2:V256),$V$2:$V$1001,0),MATCH(COLUMNS($AC$1006:AJ1006),$AC$1006:$AS$1006,0)), HYPERLINK("#",""), HYPERLINK(CONCATENATE("#metadata!", ADDRESS(INDEX($X$2:$X$1001,MATCH(ROWS($V$2:V256),$V$2:$V$1001,0),0), INDEX($AC$1004:$AS$1004,1,MATCH(COLUMNS($AC$1006:AJ1006),$AC$1006:$AS$1006,0)))),"Fix")))</f>
        <v xml:space="preserve"> </v>
      </c>
      <c r="J256" s="4" t="str">
        <f ca="1">IF(OR(INDEX($W$2:$W$1001,MATCH(ROWS($V$2:V256),$V$2:$V$1001,0),1)&gt;=100000,INDEX($AC$1005:$AS$1005,1,MATCH(COLUMNS($AC$1006:AK1006),$AC$1006:$AS$1006,0))&gt;=100000), " ",IF(INDEX($AC$2:$AS$1001,MATCH(ROWS($V$2:V256),$V$2:$V$1001,0),MATCH(COLUMNS($AC$1006:AK1006),$AC$1006:$AS$1006,0)), HYPERLINK("#",""), HYPERLINK(CONCATENATE("#metadata!", ADDRESS(INDEX($X$2:$X$1001,MATCH(ROWS($V$2:V256),$V$2:$V$1001,0),0), INDEX($AC$1004:$AS$1004,1,MATCH(COLUMNS($AC$1006:AK1006),$AC$1006:$AS$1006,0)))),"Fix")))</f>
        <v xml:space="preserve"> </v>
      </c>
      <c r="K256" s="4" t="str">
        <f ca="1">IF(OR(INDEX($W$2:$W$1001,MATCH(ROWS($V$2:V256),$V$2:$V$1001,0),1)&gt;=100000,INDEX($AC$1005:$AS$1005,1,MATCH(COLUMNS($AC$1006:AL1006),$AC$1006:$AS$1006,0))&gt;=100000), " ",IF(INDEX($AC$2:$AS$1001,MATCH(ROWS($V$2:V256),$V$2:$V$1001,0),MATCH(COLUMNS($AC$1006:AL1006),$AC$1006:$AS$1006,0)), HYPERLINK("#",""), HYPERLINK(CONCATENATE("#metadata!", ADDRESS(INDEX($X$2:$X$1001,MATCH(ROWS($V$2:V256),$V$2:$V$1001,0),0), INDEX($AC$1004:$AS$1004,1,MATCH(COLUMNS($AC$1006:AL1006),$AC$1006:$AS$1006,0)))),"Fix")))</f>
        <v xml:space="preserve"> </v>
      </c>
      <c r="L256" s="4" t="str">
        <f ca="1">IF(OR(INDEX($W$2:$W$1001,MATCH(ROWS($V$2:V256),$V$2:$V$1001,0),1)&gt;=100000,INDEX($AC$1005:$AS$1005,1,MATCH(COLUMNS($AC$1006:AM1006),$AC$1006:$AS$1006,0))&gt;=100000), " ",IF(INDEX($AC$2:$AS$1001,MATCH(ROWS($V$2:V256),$V$2:$V$1001,0),MATCH(COLUMNS($AC$1006:AM1006),$AC$1006:$AS$1006,0)), HYPERLINK("#",""), HYPERLINK(CONCATENATE("#metadata!", ADDRESS(INDEX($X$2:$X$1001,MATCH(ROWS($V$2:V256),$V$2:$V$1001,0),0), INDEX($AC$1004:$AS$1004,1,MATCH(COLUMNS($AC$1006:AM1006),$AC$1006:$AS$1006,0)))),"Fix")))</f>
        <v xml:space="preserve"> </v>
      </c>
      <c r="M256" s="4" t="str">
        <f ca="1">IF(OR(INDEX($W$2:$W$1001,MATCH(ROWS($V$2:V256),$V$2:$V$1001,0),1)&gt;=100000,INDEX($AC$1005:$AS$1005,1,MATCH(COLUMNS($AC$1006:AN1006),$AC$1006:$AS$1006,0))&gt;=100000), " ",IF(INDEX($AC$2:$AS$1001,MATCH(ROWS($V$2:V256),$V$2:$V$1001,0),MATCH(COLUMNS($AC$1006:AN1006),$AC$1006:$AS$1006,0)), HYPERLINK("#",""), HYPERLINK(CONCATENATE("#metadata!", ADDRESS(INDEX($X$2:$X$1001,MATCH(ROWS($V$2:V256),$V$2:$V$1001,0),0), INDEX($AC$1004:$AS$1004,1,MATCH(COLUMNS($AC$1006:AN1006),$AC$1006:$AS$1006,0)))),"Fix")))</f>
        <v xml:space="preserve"> </v>
      </c>
      <c r="N256" s="4" t="str">
        <f ca="1">IF(OR(INDEX($W$2:$W$1001,MATCH(ROWS($V$2:V256),$V$2:$V$1001,0),1)&gt;=100000,INDEX($AC$1005:$AS$1005,1,MATCH(COLUMNS($AC$1006:AO1006),$AC$1006:$AS$1006,0))&gt;=100000), " ",IF(INDEX($AC$2:$AS$1001,MATCH(ROWS($V$2:V256),$V$2:$V$1001,0),MATCH(COLUMNS($AC$1006:AO1006),$AC$1006:$AS$1006,0)), HYPERLINK("#",""), HYPERLINK(CONCATENATE("#metadata!", ADDRESS(INDEX($X$2:$X$1001,MATCH(ROWS($V$2:V256),$V$2:$V$1001,0),0), INDEX($AC$1004:$AS$1004,1,MATCH(COLUMNS($AC$1006:AO1006),$AC$1006:$AS$1006,0)))),"Fix")))</f>
        <v xml:space="preserve"> </v>
      </c>
      <c r="O256" s="4" t="str">
        <f ca="1">IF(OR(INDEX($W$2:$W$1001,MATCH(ROWS($V$2:V256),$V$2:$V$1001,0),1)&gt;=100000,INDEX($AC$1005:$AS$1005,1,MATCH(COLUMNS($AC$1006:AP1006),$AC$1006:$AS$1006,0))&gt;=100000), " ",IF(INDEX($AC$2:$AS$1001,MATCH(ROWS($V$2:V256),$V$2:$V$1001,0),MATCH(COLUMNS($AC$1006:AP1006),$AC$1006:$AS$1006,0)), HYPERLINK("#",""), HYPERLINK(CONCATENATE("#metadata!", ADDRESS(INDEX($X$2:$X$1001,MATCH(ROWS($V$2:V256),$V$2:$V$1001,0),0), INDEX($AC$1004:$AS$1004,1,MATCH(COLUMNS($AC$1006:AP1006),$AC$1006:$AS$1006,0)))),"Fix")))</f>
        <v xml:space="preserve"> </v>
      </c>
      <c r="P256" s="4" t="str">
        <f ca="1">IF(OR(INDEX($W$2:$W$1001,MATCH(ROWS($V$2:V256),$V$2:$V$1001,0),1)&gt;=100000,INDEX($AC$1005:$AS$1005,1,MATCH(COLUMNS($AC$1006:AQ1006),$AC$1006:$AS$1006,0))&gt;=100000), " ",IF(INDEX($AC$2:$AS$1001,MATCH(ROWS($V$2:V256),$V$2:$V$1001,0),MATCH(COLUMNS($AC$1006:AQ1006),$AC$1006:$AS$1006,0)), HYPERLINK("#",""), HYPERLINK(CONCATENATE("#metadata!", ADDRESS(INDEX($X$2:$X$1001,MATCH(ROWS($V$2:V256),$V$2:$V$1001,0),0), INDEX($AC$1004:$AS$1004,1,MATCH(COLUMNS($AC$1006:AQ1006),$AC$1006:$AS$1006,0)))),"Fix")))</f>
        <v xml:space="preserve"> </v>
      </c>
      <c r="Q256" s="4" t="str">
        <f ca="1">IF(OR(INDEX($W$2:$W$1001,MATCH(ROWS($V$2:V256),$V$2:$V$1001,0),1)&gt;=100000,INDEX($AC$1005:$AS$1005,1,MATCH(COLUMNS($AC$1006:AR1006),$AC$1006:$AS$1006,0))&gt;=100000), " ",IF(INDEX($AC$2:$AS$1001,MATCH(ROWS($V$2:V256),$V$2:$V$1001,0),MATCH(COLUMNS($AC$1006:AR1006),$AC$1006:$AS$1006,0)), HYPERLINK("#",""), HYPERLINK(CONCATENATE("#metadata!", ADDRESS(INDEX($X$2:$X$1001,MATCH(ROWS($V$2:V256),$V$2:$V$1001,0),0), INDEX($AC$1004:$AS$1004,1,MATCH(COLUMNS($AC$1006:AR1006),$AC$1006:$AS$1006,0)))),"Fix")))</f>
        <v xml:space="preserve"> </v>
      </c>
      <c r="R256" s="4" t="str">
        <f ca="1">IF(OR(INDEX($W$2:$W$1001,MATCH(ROWS($V$2:V256),$V$2:$V$1001,0),1)&gt;=100000,INDEX($AC$1005:$AS$1005,1,MATCH(COLUMNS($AC$1006:AS1006),$AC$1006:$AS$1006,0))&gt;=100000), " ",IF(INDEX($AC$2:$AS$1001,MATCH(ROWS($V$2:V256),$V$2:$V$1001,0),MATCH(COLUMNS($AC$1006:AS1006),$AC$1006:$AS$1006,0)), HYPERLINK("#",""), HYPERLINK(CONCATENATE("#metadata!", ADDRESS(INDEX($X$2:$X$1001,MATCH(ROWS($V$2:V256),$V$2:$V$1001,0),0), INDEX($AC$1004:$AS$1004,1,MATCH(COLUMNS($AC$1006:AS1006),$AC$1006:$AS$1006,0)))),"Fix")))</f>
        <v xml:space="preserve"> </v>
      </c>
      <c r="V256">
        <v>255</v>
      </c>
      <c r="W256">
        <v>100256</v>
      </c>
      <c r="X256">
        <v>256</v>
      </c>
      <c r="Y256" t="b">
        <f t="shared" si="3"/>
        <v>1</v>
      </c>
      <c r="Z256" t="b">
        <f>COUNTBLANK(metadata!B256:R256)=COLUMNS(metadata!B256:R256)</f>
        <v>1</v>
      </c>
      <c r="AA256" t="str">
        <v/>
      </c>
      <c r="AC256" t="b">
        <f ca="1"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AD256" t="b">
        <f>IF(metadata!C256="",FALSE,ISNUMBER(VALUE(metadata!C256)))</f>
        <v>0</v>
      </c>
      <c r="AE256" t="b">
        <f>AND(IF(metadata!D256="",FALSE,TRUE),EXACT(metadata!D256,"years"))</f>
        <v>0</v>
      </c>
      <c r="AF256" t="b">
        <f>OR(AND(IF(metadata!E256="",FALSE,TRUE),OR(EXACT(metadata!E256,"not applicable"),EXACT(metadata!E256,"missing: not collected"),EXACT(metadata!E256,"missing: not provided"),EXACT(metadata!E256,"missing: restricted access"))),AND(IF(metadata!E256="",FALSE,ISNUMBER(VALUE(metadata!E256))),metadata!E256&gt;0))</f>
        <v>0</v>
      </c>
      <c r="AG256" t="b">
        <f>AND(IF(metadata!F256="",FALSE,TRUE),EXACT(metadata!F256,"Not applicable"))</f>
        <v>0</v>
      </c>
      <c r="AH256" t="b">
        <f>AND(IF(metadata!G256="",FALSE,TRUE),EXACT(metadata!G256,"urban biome"))</f>
        <v>0</v>
      </c>
      <c r="AI256" t="b">
        <f>AND(IF(metadata!H256="",FALSE,TRUE),EXACT(metadata!H256,"human-associated habitat"))</f>
        <v>0</v>
      </c>
      <c r="AJ256" t="b">
        <f>AND(IF(metadata!I256="",FALSE,TRUE),OR(EXACT(metadata!I256,"human-associated"),EXACT(metadata!I256,"human-skin"),EXACT(metadata!I256,"human-oral"),EXACT(metadata!I256,"human-gut"),EXACT(metadata!I256,"human-vaginal")))</f>
        <v>0</v>
      </c>
      <c r="AK256" t="b">
        <f>IF(metadata!J256="",FALSE,ISNUMBER(VALUE(metadata!J256)))</f>
        <v>0</v>
      </c>
      <c r="AL256" t="b">
        <f>AND(IF(metadata!K256="",FALSE,TRUE),EXACT(metadata!K256,"cm"))</f>
        <v>0</v>
      </c>
      <c r="AM256" t="b">
        <f>AND(IF(metadata!L256="",FALSE,TRUE),EXACT(metadata!L256,"human"))</f>
        <v>0</v>
      </c>
      <c r="AN256" t="b">
        <f>AND(IF(metadata!M256="",FALSE,TRUE),EXACT(metadata!M256,"Homo sapiens"))</f>
        <v>0</v>
      </c>
      <c r="AO256" t="b">
        <f>AND(IF(metadata!N256="",FALSE,TRUE),EXACT(metadata!N256,"9606"))</f>
        <v>0</v>
      </c>
      <c r="AP256" t="b">
        <f>IF(metadata!O256="",FALSE,TRUE)</f>
        <v>0</v>
      </c>
      <c r="AQ256" t="b">
        <f>IF(metadata!P256="",FALSE,TRUE)</f>
        <v>0</v>
      </c>
      <c r="AR256" t="b">
        <f>IF(metadata!Q256="",FALSE,ISNUMBER(VALUE(metadata!Q256)))</f>
        <v>0</v>
      </c>
      <c r="AS256" t="b">
        <f>AND(IF(metadata!R256="",FALSE,TRUE),EXACT(metadata!R256,"kg"))</f>
        <v>0</v>
      </c>
    </row>
    <row r="257" spans="1:45" x14ac:dyDescent="0.2">
      <c r="A257" s="5" t="str">
        <f ca="1">IF(B257=" "," ",HYPERLINK(CONCATENATE("#metadata!",ADDRESS(INDEX($X$2:$X$1001,MATCH(ROWS($V$2:V257),$V$2:$V$1001,0),0),1)),INDEX($AA$2:$AA$1001,MATCH(ROWS($V$2:V257),$V$2:$V$1001,0),0)))</f>
        <v xml:space="preserve"> </v>
      </c>
      <c r="B257" s="4" t="str">
        <f ca="1">IF(OR(INDEX($W$2:$W$1001,MATCH(ROWS($V$2:V257),$V$2:$V$1001,0),1)&gt;=100000,INDEX($AC$1005:$AS$1005,1,MATCH(COLUMNS($AC$1006:AC1006),$AC$1006:$AS$1006,0))&gt;=100000), " ",IF(INDEX($AC$2:$AS$1001,MATCH(ROWS($V$2:V257),$V$2:$V$1001,0),MATCH(COLUMNS($AC$1006:AC1006),$AC$1006:$AS$1006,0)), HYPERLINK("#",""), HYPERLINK(CONCATENATE("#metadata!", ADDRESS(INDEX($X$2:$X$1001,MATCH(ROWS($V$2:V257),$V$2:$V$1001,0),0), INDEX($AC$1004:$AS$1004,1,MATCH(COLUMNS($AC$1006:AC1006),$AC$1006:$AS$1006,0)))),"Fix")))</f>
        <v xml:space="preserve"> </v>
      </c>
      <c r="C257" s="4" t="str">
        <f ca="1">IF(OR(INDEX($W$2:$W$1001,MATCH(ROWS($V$2:V257),$V$2:$V$1001,0),1)&gt;=100000,INDEX($AC$1005:$AS$1005,1,MATCH(COLUMNS($AC$1006:AD1006),$AC$1006:$AS$1006,0))&gt;=100000), " ",IF(INDEX($AC$2:$AS$1001,MATCH(ROWS($V$2:V257),$V$2:$V$1001,0),MATCH(COLUMNS($AC$1006:AD1006),$AC$1006:$AS$1006,0)), HYPERLINK("#",""), HYPERLINK(CONCATENATE("#metadata!", ADDRESS(INDEX($X$2:$X$1001,MATCH(ROWS($V$2:V257),$V$2:$V$1001,0),0), INDEX($AC$1004:$AS$1004,1,MATCH(COLUMNS($AC$1006:AD1006),$AC$1006:$AS$1006,0)))),"Fix")))</f>
        <v xml:space="preserve"> </v>
      </c>
      <c r="D257" s="4" t="str">
        <f ca="1">IF(OR(INDEX($W$2:$W$1001,MATCH(ROWS($V$2:V257),$V$2:$V$1001,0),1)&gt;=100000,INDEX($AC$1005:$AS$1005,1,MATCH(COLUMNS($AC$1006:AE1006),$AC$1006:$AS$1006,0))&gt;=100000), " ",IF(INDEX($AC$2:$AS$1001,MATCH(ROWS($V$2:V257),$V$2:$V$1001,0),MATCH(COLUMNS($AC$1006:AE1006),$AC$1006:$AS$1006,0)), HYPERLINK("#",""), HYPERLINK(CONCATENATE("#metadata!", ADDRESS(INDEX($X$2:$X$1001,MATCH(ROWS($V$2:V257),$V$2:$V$1001,0),0), INDEX($AC$1004:$AS$1004,1,MATCH(COLUMNS($AC$1006:AE1006),$AC$1006:$AS$1006,0)))),"Fix")))</f>
        <v xml:space="preserve"> </v>
      </c>
      <c r="E257" s="4" t="str">
        <f ca="1">IF(OR(INDEX($W$2:$W$1001,MATCH(ROWS($V$2:V257),$V$2:$V$1001,0),1)&gt;=100000,INDEX($AC$1005:$AS$1005,1,MATCH(COLUMNS($AC$1006:AF1006),$AC$1006:$AS$1006,0))&gt;=100000), " ",IF(INDEX($AC$2:$AS$1001,MATCH(ROWS($V$2:V257),$V$2:$V$1001,0),MATCH(COLUMNS($AC$1006:AF1006),$AC$1006:$AS$1006,0)), HYPERLINK("#",""), HYPERLINK(CONCATENATE("#metadata!", ADDRESS(INDEX($X$2:$X$1001,MATCH(ROWS($V$2:V257),$V$2:$V$1001,0),0), INDEX($AC$1004:$AS$1004,1,MATCH(COLUMNS($AC$1006:AF1006),$AC$1006:$AS$1006,0)))),"Fix")))</f>
        <v xml:space="preserve"> </v>
      </c>
      <c r="F257" s="4" t="str">
        <f ca="1">IF(OR(INDEX($W$2:$W$1001,MATCH(ROWS($V$2:V257),$V$2:$V$1001,0),1)&gt;=100000,INDEX($AC$1005:$AS$1005,1,MATCH(COLUMNS($AC$1006:AG1006),$AC$1006:$AS$1006,0))&gt;=100000), " ",IF(INDEX($AC$2:$AS$1001,MATCH(ROWS($V$2:V257),$V$2:$V$1001,0),MATCH(COLUMNS($AC$1006:AG1006),$AC$1006:$AS$1006,0)), HYPERLINK("#",""), HYPERLINK(CONCATENATE("#metadata!", ADDRESS(INDEX($X$2:$X$1001,MATCH(ROWS($V$2:V257),$V$2:$V$1001,0),0), INDEX($AC$1004:$AS$1004,1,MATCH(COLUMNS($AC$1006:AG1006),$AC$1006:$AS$1006,0)))),"Fix")))</f>
        <v xml:space="preserve"> </v>
      </c>
      <c r="G257" s="4" t="str">
        <f ca="1">IF(OR(INDEX($W$2:$W$1001,MATCH(ROWS($V$2:V257),$V$2:$V$1001,0),1)&gt;=100000,INDEX($AC$1005:$AS$1005,1,MATCH(COLUMNS($AC$1006:AH1006),$AC$1006:$AS$1006,0))&gt;=100000), " ",IF(INDEX($AC$2:$AS$1001,MATCH(ROWS($V$2:V257),$V$2:$V$1001,0),MATCH(COLUMNS($AC$1006:AH1006),$AC$1006:$AS$1006,0)), HYPERLINK("#",""), HYPERLINK(CONCATENATE("#metadata!", ADDRESS(INDEX($X$2:$X$1001,MATCH(ROWS($V$2:V257),$V$2:$V$1001,0),0), INDEX($AC$1004:$AS$1004,1,MATCH(COLUMNS($AC$1006:AH1006),$AC$1006:$AS$1006,0)))),"Fix")))</f>
        <v xml:space="preserve"> </v>
      </c>
      <c r="H257" s="4" t="str">
        <f ca="1">IF(OR(INDEX($W$2:$W$1001,MATCH(ROWS($V$2:V257),$V$2:$V$1001,0),1)&gt;=100000,INDEX($AC$1005:$AS$1005,1,MATCH(COLUMNS($AC$1006:AI1006),$AC$1006:$AS$1006,0))&gt;=100000), " ",IF(INDEX($AC$2:$AS$1001,MATCH(ROWS($V$2:V257),$V$2:$V$1001,0),MATCH(COLUMNS($AC$1006:AI1006),$AC$1006:$AS$1006,0)), HYPERLINK("#",""), HYPERLINK(CONCATENATE("#metadata!", ADDRESS(INDEX($X$2:$X$1001,MATCH(ROWS($V$2:V257),$V$2:$V$1001,0),0), INDEX($AC$1004:$AS$1004,1,MATCH(COLUMNS($AC$1006:AI1006),$AC$1006:$AS$1006,0)))),"Fix")))</f>
        <v xml:space="preserve"> </v>
      </c>
      <c r="I257" s="4" t="str">
        <f ca="1">IF(OR(INDEX($W$2:$W$1001,MATCH(ROWS($V$2:V257),$V$2:$V$1001,0),1)&gt;=100000,INDEX($AC$1005:$AS$1005,1,MATCH(COLUMNS($AC$1006:AJ1006),$AC$1006:$AS$1006,0))&gt;=100000), " ",IF(INDEX($AC$2:$AS$1001,MATCH(ROWS($V$2:V257),$V$2:$V$1001,0),MATCH(COLUMNS($AC$1006:AJ1006),$AC$1006:$AS$1006,0)), HYPERLINK("#",""), HYPERLINK(CONCATENATE("#metadata!", ADDRESS(INDEX($X$2:$X$1001,MATCH(ROWS($V$2:V257),$V$2:$V$1001,0),0), INDEX($AC$1004:$AS$1004,1,MATCH(COLUMNS($AC$1006:AJ1006),$AC$1006:$AS$1006,0)))),"Fix")))</f>
        <v xml:space="preserve"> </v>
      </c>
      <c r="J257" s="4" t="str">
        <f ca="1">IF(OR(INDEX($W$2:$W$1001,MATCH(ROWS($V$2:V257),$V$2:$V$1001,0),1)&gt;=100000,INDEX($AC$1005:$AS$1005,1,MATCH(COLUMNS($AC$1006:AK1006),$AC$1006:$AS$1006,0))&gt;=100000), " ",IF(INDEX($AC$2:$AS$1001,MATCH(ROWS($V$2:V257),$V$2:$V$1001,0),MATCH(COLUMNS($AC$1006:AK1006),$AC$1006:$AS$1006,0)), HYPERLINK("#",""), HYPERLINK(CONCATENATE("#metadata!", ADDRESS(INDEX($X$2:$X$1001,MATCH(ROWS($V$2:V257),$V$2:$V$1001,0),0), INDEX($AC$1004:$AS$1004,1,MATCH(COLUMNS($AC$1006:AK1006),$AC$1006:$AS$1006,0)))),"Fix")))</f>
        <v xml:space="preserve"> </v>
      </c>
      <c r="K257" s="4" t="str">
        <f ca="1">IF(OR(INDEX($W$2:$W$1001,MATCH(ROWS($V$2:V257),$V$2:$V$1001,0),1)&gt;=100000,INDEX($AC$1005:$AS$1005,1,MATCH(COLUMNS($AC$1006:AL1006),$AC$1006:$AS$1006,0))&gt;=100000), " ",IF(INDEX($AC$2:$AS$1001,MATCH(ROWS($V$2:V257),$V$2:$V$1001,0),MATCH(COLUMNS($AC$1006:AL1006),$AC$1006:$AS$1006,0)), HYPERLINK("#",""), HYPERLINK(CONCATENATE("#metadata!", ADDRESS(INDEX($X$2:$X$1001,MATCH(ROWS($V$2:V257),$V$2:$V$1001,0),0), INDEX($AC$1004:$AS$1004,1,MATCH(COLUMNS($AC$1006:AL1006),$AC$1006:$AS$1006,0)))),"Fix")))</f>
        <v xml:space="preserve"> </v>
      </c>
      <c r="L257" s="4" t="str">
        <f ca="1">IF(OR(INDEX($W$2:$W$1001,MATCH(ROWS($V$2:V257),$V$2:$V$1001,0),1)&gt;=100000,INDEX($AC$1005:$AS$1005,1,MATCH(COLUMNS($AC$1006:AM1006),$AC$1006:$AS$1006,0))&gt;=100000), " ",IF(INDEX($AC$2:$AS$1001,MATCH(ROWS($V$2:V257),$V$2:$V$1001,0),MATCH(COLUMNS($AC$1006:AM1006),$AC$1006:$AS$1006,0)), HYPERLINK("#",""), HYPERLINK(CONCATENATE("#metadata!", ADDRESS(INDEX($X$2:$X$1001,MATCH(ROWS($V$2:V257),$V$2:$V$1001,0),0), INDEX($AC$1004:$AS$1004,1,MATCH(COLUMNS($AC$1006:AM1006),$AC$1006:$AS$1006,0)))),"Fix")))</f>
        <v xml:space="preserve"> </v>
      </c>
      <c r="M257" s="4" t="str">
        <f ca="1">IF(OR(INDEX($W$2:$W$1001,MATCH(ROWS($V$2:V257),$V$2:$V$1001,0),1)&gt;=100000,INDEX($AC$1005:$AS$1005,1,MATCH(COLUMNS($AC$1006:AN1006),$AC$1006:$AS$1006,0))&gt;=100000), " ",IF(INDEX($AC$2:$AS$1001,MATCH(ROWS($V$2:V257),$V$2:$V$1001,0),MATCH(COLUMNS($AC$1006:AN1006),$AC$1006:$AS$1006,0)), HYPERLINK("#",""), HYPERLINK(CONCATENATE("#metadata!", ADDRESS(INDEX($X$2:$X$1001,MATCH(ROWS($V$2:V257),$V$2:$V$1001,0),0), INDEX($AC$1004:$AS$1004,1,MATCH(COLUMNS($AC$1006:AN1006),$AC$1006:$AS$1006,0)))),"Fix")))</f>
        <v xml:space="preserve"> </v>
      </c>
      <c r="N257" s="4" t="str">
        <f ca="1">IF(OR(INDEX($W$2:$W$1001,MATCH(ROWS($V$2:V257),$V$2:$V$1001,0),1)&gt;=100000,INDEX($AC$1005:$AS$1005,1,MATCH(COLUMNS($AC$1006:AO1006),$AC$1006:$AS$1006,0))&gt;=100000), " ",IF(INDEX($AC$2:$AS$1001,MATCH(ROWS($V$2:V257),$V$2:$V$1001,0),MATCH(COLUMNS($AC$1006:AO1006),$AC$1006:$AS$1006,0)), HYPERLINK("#",""), HYPERLINK(CONCATENATE("#metadata!", ADDRESS(INDEX($X$2:$X$1001,MATCH(ROWS($V$2:V257),$V$2:$V$1001,0),0), INDEX($AC$1004:$AS$1004,1,MATCH(COLUMNS($AC$1006:AO1006),$AC$1006:$AS$1006,0)))),"Fix")))</f>
        <v xml:space="preserve"> </v>
      </c>
      <c r="O257" s="4" t="str">
        <f ca="1">IF(OR(INDEX($W$2:$W$1001,MATCH(ROWS($V$2:V257),$V$2:$V$1001,0),1)&gt;=100000,INDEX($AC$1005:$AS$1005,1,MATCH(COLUMNS($AC$1006:AP1006),$AC$1006:$AS$1006,0))&gt;=100000), " ",IF(INDEX($AC$2:$AS$1001,MATCH(ROWS($V$2:V257),$V$2:$V$1001,0),MATCH(COLUMNS($AC$1006:AP1006),$AC$1006:$AS$1006,0)), HYPERLINK("#",""), HYPERLINK(CONCATENATE("#metadata!", ADDRESS(INDEX($X$2:$X$1001,MATCH(ROWS($V$2:V257),$V$2:$V$1001,0),0), INDEX($AC$1004:$AS$1004,1,MATCH(COLUMNS($AC$1006:AP1006),$AC$1006:$AS$1006,0)))),"Fix")))</f>
        <v xml:space="preserve"> </v>
      </c>
      <c r="P257" s="4" t="str">
        <f ca="1">IF(OR(INDEX($W$2:$W$1001,MATCH(ROWS($V$2:V257),$V$2:$V$1001,0),1)&gt;=100000,INDEX($AC$1005:$AS$1005,1,MATCH(COLUMNS($AC$1006:AQ1006),$AC$1006:$AS$1006,0))&gt;=100000), " ",IF(INDEX($AC$2:$AS$1001,MATCH(ROWS($V$2:V257),$V$2:$V$1001,0),MATCH(COLUMNS($AC$1006:AQ1006),$AC$1006:$AS$1006,0)), HYPERLINK("#",""), HYPERLINK(CONCATENATE("#metadata!", ADDRESS(INDEX($X$2:$X$1001,MATCH(ROWS($V$2:V257),$V$2:$V$1001,0),0), INDEX($AC$1004:$AS$1004,1,MATCH(COLUMNS($AC$1006:AQ1006),$AC$1006:$AS$1006,0)))),"Fix")))</f>
        <v xml:space="preserve"> </v>
      </c>
      <c r="Q257" s="4" t="str">
        <f ca="1">IF(OR(INDEX($W$2:$W$1001,MATCH(ROWS($V$2:V257),$V$2:$V$1001,0),1)&gt;=100000,INDEX($AC$1005:$AS$1005,1,MATCH(COLUMNS($AC$1006:AR1006),$AC$1006:$AS$1006,0))&gt;=100000), " ",IF(INDEX($AC$2:$AS$1001,MATCH(ROWS($V$2:V257),$V$2:$V$1001,0),MATCH(COLUMNS($AC$1006:AR1006),$AC$1006:$AS$1006,0)), HYPERLINK("#",""), HYPERLINK(CONCATENATE("#metadata!", ADDRESS(INDEX($X$2:$X$1001,MATCH(ROWS($V$2:V257),$V$2:$V$1001,0),0), INDEX($AC$1004:$AS$1004,1,MATCH(COLUMNS($AC$1006:AR1006),$AC$1006:$AS$1006,0)))),"Fix")))</f>
        <v xml:space="preserve"> </v>
      </c>
      <c r="R257" s="4" t="str">
        <f ca="1">IF(OR(INDEX($W$2:$W$1001,MATCH(ROWS($V$2:V257),$V$2:$V$1001,0),1)&gt;=100000,INDEX($AC$1005:$AS$1005,1,MATCH(COLUMNS($AC$1006:AS1006),$AC$1006:$AS$1006,0))&gt;=100000), " ",IF(INDEX($AC$2:$AS$1001,MATCH(ROWS($V$2:V257),$V$2:$V$1001,0),MATCH(COLUMNS($AC$1006:AS1006),$AC$1006:$AS$1006,0)), HYPERLINK("#",""), HYPERLINK(CONCATENATE("#metadata!", ADDRESS(INDEX($X$2:$X$1001,MATCH(ROWS($V$2:V257),$V$2:$V$1001,0),0), INDEX($AC$1004:$AS$1004,1,MATCH(COLUMNS($AC$1006:AS1006),$AC$1006:$AS$1006,0)))),"Fix")))</f>
        <v xml:space="preserve"> </v>
      </c>
      <c r="V257">
        <v>256</v>
      </c>
      <c r="W257">
        <v>100257</v>
      </c>
      <c r="X257">
        <v>257</v>
      </c>
      <c r="Y257" t="b">
        <f t="shared" si="3"/>
        <v>1</v>
      </c>
      <c r="Z257" t="b">
        <f>COUNTBLANK(metadata!B257:R257)=COLUMNS(metadata!B257:R257)</f>
        <v>1</v>
      </c>
      <c r="AA257" t="str">
        <v/>
      </c>
      <c r="AC257" t="b">
        <f ca="1"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AD257" t="b">
        <f>IF(metadata!C257="",FALSE,ISNUMBER(VALUE(metadata!C257)))</f>
        <v>0</v>
      </c>
      <c r="AE257" t="b">
        <f>AND(IF(metadata!D257="",FALSE,TRUE),EXACT(metadata!D257,"years"))</f>
        <v>0</v>
      </c>
      <c r="AF257" t="b">
        <f>OR(AND(IF(metadata!E257="",FALSE,TRUE),OR(EXACT(metadata!E257,"not applicable"),EXACT(metadata!E257,"missing: not collected"),EXACT(metadata!E257,"missing: not provided"),EXACT(metadata!E257,"missing: restricted access"))),AND(IF(metadata!E257="",FALSE,ISNUMBER(VALUE(metadata!E257))),metadata!E257&gt;0))</f>
        <v>0</v>
      </c>
      <c r="AG257" t="b">
        <f>AND(IF(metadata!F257="",FALSE,TRUE),EXACT(metadata!F257,"Not applicable"))</f>
        <v>0</v>
      </c>
      <c r="AH257" t="b">
        <f>AND(IF(metadata!G257="",FALSE,TRUE),EXACT(metadata!G257,"urban biome"))</f>
        <v>0</v>
      </c>
      <c r="AI257" t="b">
        <f>AND(IF(metadata!H257="",FALSE,TRUE),EXACT(metadata!H257,"human-associated habitat"))</f>
        <v>0</v>
      </c>
      <c r="AJ257" t="b">
        <f>AND(IF(metadata!I257="",FALSE,TRUE),OR(EXACT(metadata!I257,"human-associated"),EXACT(metadata!I257,"human-skin"),EXACT(metadata!I257,"human-oral"),EXACT(metadata!I257,"human-gut"),EXACT(metadata!I257,"human-vaginal")))</f>
        <v>0</v>
      </c>
      <c r="AK257" t="b">
        <f>IF(metadata!J257="",FALSE,ISNUMBER(VALUE(metadata!J257)))</f>
        <v>0</v>
      </c>
      <c r="AL257" t="b">
        <f>AND(IF(metadata!K257="",FALSE,TRUE),EXACT(metadata!K257,"cm"))</f>
        <v>0</v>
      </c>
      <c r="AM257" t="b">
        <f>AND(IF(metadata!L257="",FALSE,TRUE),EXACT(metadata!L257,"human"))</f>
        <v>0</v>
      </c>
      <c r="AN257" t="b">
        <f>AND(IF(metadata!M257="",FALSE,TRUE),EXACT(metadata!M257,"Homo sapiens"))</f>
        <v>0</v>
      </c>
      <c r="AO257" t="b">
        <f>AND(IF(metadata!N257="",FALSE,TRUE),EXACT(metadata!N257,"9606"))</f>
        <v>0</v>
      </c>
      <c r="AP257" t="b">
        <f>IF(metadata!O257="",FALSE,TRUE)</f>
        <v>0</v>
      </c>
      <c r="AQ257" t="b">
        <f>IF(metadata!P257="",FALSE,TRUE)</f>
        <v>0</v>
      </c>
      <c r="AR257" t="b">
        <f>IF(metadata!Q257="",FALSE,ISNUMBER(VALUE(metadata!Q257)))</f>
        <v>0</v>
      </c>
      <c r="AS257" t="b">
        <f>AND(IF(metadata!R257="",FALSE,TRUE),EXACT(metadata!R257,"kg"))</f>
        <v>0</v>
      </c>
    </row>
    <row r="258" spans="1:45" x14ac:dyDescent="0.2">
      <c r="A258" s="5" t="str">
        <f ca="1">IF(B258=" "," ",HYPERLINK(CONCATENATE("#metadata!",ADDRESS(INDEX($X$2:$X$1001,MATCH(ROWS($V$2:V258),$V$2:$V$1001,0),0),1)),INDEX($AA$2:$AA$1001,MATCH(ROWS($V$2:V258),$V$2:$V$1001,0),0)))</f>
        <v xml:space="preserve"> </v>
      </c>
      <c r="B258" s="4" t="str">
        <f ca="1">IF(OR(INDEX($W$2:$W$1001,MATCH(ROWS($V$2:V258),$V$2:$V$1001,0),1)&gt;=100000,INDEX($AC$1005:$AS$1005,1,MATCH(COLUMNS($AC$1006:AC1006),$AC$1006:$AS$1006,0))&gt;=100000), " ",IF(INDEX($AC$2:$AS$1001,MATCH(ROWS($V$2:V258),$V$2:$V$1001,0),MATCH(COLUMNS($AC$1006:AC1006),$AC$1006:$AS$1006,0)), HYPERLINK("#",""), HYPERLINK(CONCATENATE("#metadata!", ADDRESS(INDEX($X$2:$X$1001,MATCH(ROWS($V$2:V258),$V$2:$V$1001,0),0), INDEX($AC$1004:$AS$1004,1,MATCH(COLUMNS($AC$1006:AC1006),$AC$1006:$AS$1006,0)))),"Fix")))</f>
        <v xml:space="preserve"> </v>
      </c>
      <c r="C258" s="4" t="str">
        <f ca="1">IF(OR(INDEX($W$2:$W$1001,MATCH(ROWS($V$2:V258),$V$2:$V$1001,0),1)&gt;=100000,INDEX($AC$1005:$AS$1005,1,MATCH(COLUMNS($AC$1006:AD1006),$AC$1006:$AS$1006,0))&gt;=100000), " ",IF(INDEX($AC$2:$AS$1001,MATCH(ROWS($V$2:V258),$V$2:$V$1001,0),MATCH(COLUMNS($AC$1006:AD1006),$AC$1006:$AS$1006,0)), HYPERLINK("#",""), HYPERLINK(CONCATENATE("#metadata!", ADDRESS(INDEX($X$2:$X$1001,MATCH(ROWS($V$2:V258),$V$2:$V$1001,0),0), INDEX($AC$1004:$AS$1004,1,MATCH(COLUMNS($AC$1006:AD1006),$AC$1006:$AS$1006,0)))),"Fix")))</f>
        <v xml:space="preserve"> </v>
      </c>
      <c r="D258" s="4" t="str">
        <f ca="1">IF(OR(INDEX($W$2:$W$1001,MATCH(ROWS($V$2:V258),$V$2:$V$1001,0),1)&gt;=100000,INDEX($AC$1005:$AS$1005,1,MATCH(COLUMNS($AC$1006:AE1006),$AC$1006:$AS$1006,0))&gt;=100000), " ",IF(INDEX($AC$2:$AS$1001,MATCH(ROWS($V$2:V258),$V$2:$V$1001,0),MATCH(COLUMNS($AC$1006:AE1006),$AC$1006:$AS$1006,0)), HYPERLINK("#",""), HYPERLINK(CONCATENATE("#metadata!", ADDRESS(INDEX($X$2:$X$1001,MATCH(ROWS($V$2:V258),$V$2:$V$1001,0),0), INDEX($AC$1004:$AS$1004,1,MATCH(COLUMNS($AC$1006:AE1006),$AC$1006:$AS$1006,0)))),"Fix")))</f>
        <v xml:space="preserve"> </v>
      </c>
      <c r="E258" s="4" t="str">
        <f ca="1">IF(OR(INDEX($W$2:$W$1001,MATCH(ROWS($V$2:V258),$V$2:$V$1001,0),1)&gt;=100000,INDEX($AC$1005:$AS$1005,1,MATCH(COLUMNS($AC$1006:AF1006),$AC$1006:$AS$1006,0))&gt;=100000), " ",IF(INDEX($AC$2:$AS$1001,MATCH(ROWS($V$2:V258),$V$2:$V$1001,0),MATCH(COLUMNS($AC$1006:AF1006),$AC$1006:$AS$1006,0)), HYPERLINK("#",""), HYPERLINK(CONCATENATE("#metadata!", ADDRESS(INDEX($X$2:$X$1001,MATCH(ROWS($V$2:V258),$V$2:$V$1001,0),0), INDEX($AC$1004:$AS$1004,1,MATCH(COLUMNS($AC$1006:AF1006),$AC$1006:$AS$1006,0)))),"Fix")))</f>
        <v xml:space="preserve"> </v>
      </c>
      <c r="F258" s="4" t="str">
        <f ca="1">IF(OR(INDEX($W$2:$W$1001,MATCH(ROWS($V$2:V258),$V$2:$V$1001,0),1)&gt;=100000,INDEX($AC$1005:$AS$1005,1,MATCH(COLUMNS($AC$1006:AG1006),$AC$1006:$AS$1006,0))&gt;=100000), " ",IF(INDEX($AC$2:$AS$1001,MATCH(ROWS($V$2:V258),$V$2:$V$1001,0),MATCH(COLUMNS($AC$1006:AG1006),$AC$1006:$AS$1006,0)), HYPERLINK("#",""), HYPERLINK(CONCATENATE("#metadata!", ADDRESS(INDEX($X$2:$X$1001,MATCH(ROWS($V$2:V258),$V$2:$V$1001,0),0), INDEX($AC$1004:$AS$1004,1,MATCH(COLUMNS($AC$1006:AG1006),$AC$1006:$AS$1006,0)))),"Fix")))</f>
        <v xml:space="preserve"> </v>
      </c>
      <c r="G258" s="4" t="str">
        <f ca="1">IF(OR(INDEX($W$2:$W$1001,MATCH(ROWS($V$2:V258),$V$2:$V$1001,0),1)&gt;=100000,INDEX($AC$1005:$AS$1005,1,MATCH(COLUMNS($AC$1006:AH1006),$AC$1006:$AS$1006,0))&gt;=100000), " ",IF(INDEX($AC$2:$AS$1001,MATCH(ROWS($V$2:V258),$V$2:$V$1001,0),MATCH(COLUMNS($AC$1006:AH1006),$AC$1006:$AS$1006,0)), HYPERLINK("#",""), HYPERLINK(CONCATENATE("#metadata!", ADDRESS(INDEX($X$2:$X$1001,MATCH(ROWS($V$2:V258),$V$2:$V$1001,0),0), INDEX($AC$1004:$AS$1004,1,MATCH(COLUMNS($AC$1006:AH1006),$AC$1006:$AS$1006,0)))),"Fix")))</f>
        <v xml:space="preserve"> </v>
      </c>
      <c r="H258" s="4" t="str">
        <f ca="1">IF(OR(INDEX($W$2:$W$1001,MATCH(ROWS($V$2:V258),$V$2:$V$1001,0),1)&gt;=100000,INDEX($AC$1005:$AS$1005,1,MATCH(COLUMNS($AC$1006:AI1006),$AC$1006:$AS$1006,0))&gt;=100000), " ",IF(INDEX($AC$2:$AS$1001,MATCH(ROWS($V$2:V258),$V$2:$V$1001,0),MATCH(COLUMNS($AC$1006:AI1006),$AC$1006:$AS$1006,0)), HYPERLINK("#",""), HYPERLINK(CONCATENATE("#metadata!", ADDRESS(INDEX($X$2:$X$1001,MATCH(ROWS($V$2:V258),$V$2:$V$1001,0),0), INDEX($AC$1004:$AS$1004,1,MATCH(COLUMNS($AC$1006:AI1006),$AC$1006:$AS$1006,0)))),"Fix")))</f>
        <v xml:space="preserve"> </v>
      </c>
      <c r="I258" s="4" t="str">
        <f ca="1">IF(OR(INDEX($W$2:$W$1001,MATCH(ROWS($V$2:V258),$V$2:$V$1001,0),1)&gt;=100000,INDEX($AC$1005:$AS$1005,1,MATCH(COLUMNS($AC$1006:AJ1006),$AC$1006:$AS$1006,0))&gt;=100000), " ",IF(INDEX($AC$2:$AS$1001,MATCH(ROWS($V$2:V258),$V$2:$V$1001,0),MATCH(COLUMNS($AC$1006:AJ1006),$AC$1006:$AS$1006,0)), HYPERLINK("#",""), HYPERLINK(CONCATENATE("#metadata!", ADDRESS(INDEX($X$2:$X$1001,MATCH(ROWS($V$2:V258),$V$2:$V$1001,0),0), INDEX($AC$1004:$AS$1004,1,MATCH(COLUMNS($AC$1006:AJ1006),$AC$1006:$AS$1006,0)))),"Fix")))</f>
        <v xml:space="preserve"> </v>
      </c>
      <c r="J258" s="4" t="str">
        <f ca="1">IF(OR(INDEX($W$2:$W$1001,MATCH(ROWS($V$2:V258),$V$2:$V$1001,0),1)&gt;=100000,INDEX($AC$1005:$AS$1005,1,MATCH(COLUMNS($AC$1006:AK1006),$AC$1006:$AS$1006,0))&gt;=100000), " ",IF(INDEX($AC$2:$AS$1001,MATCH(ROWS($V$2:V258),$V$2:$V$1001,0),MATCH(COLUMNS($AC$1006:AK1006),$AC$1006:$AS$1006,0)), HYPERLINK("#",""), HYPERLINK(CONCATENATE("#metadata!", ADDRESS(INDEX($X$2:$X$1001,MATCH(ROWS($V$2:V258),$V$2:$V$1001,0),0), INDEX($AC$1004:$AS$1004,1,MATCH(COLUMNS($AC$1006:AK1006),$AC$1006:$AS$1006,0)))),"Fix")))</f>
        <v xml:space="preserve"> </v>
      </c>
      <c r="K258" s="4" t="str">
        <f ca="1">IF(OR(INDEX($W$2:$W$1001,MATCH(ROWS($V$2:V258),$V$2:$V$1001,0),1)&gt;=100000,INDEX($AC$1005:$AS$1005,1,MATCH(COLUMNS($AC$1006:AL1006),$AC$1006:$AS$1006,0))&gt;=100000), " ",IF(INDEX($AC$2:$AS$1001,MATCH(ROWS($V$2:V258),$V$2:$V$1001,0),MATCH(COLUMNS($AC$1006:AL1006),$AC$1006:$AS$1006,0)), HYPERLINK("#",""), HYPERLINK(CONCATENATE("#metadata!", ADDRESS(INDEX($X$2:$X$1001,MATCH(ROWS($V$2:V258),$V$2:$V$1001,0),0), INDEX($AC$1004:$AS$1004,1,MATCH(COLUMNS($AC$1006:AL1006),$AC$1006:$AS$1006,0)))),"Fix")))</f>
        <v xml:space="preserve"> </v>
      </c>
      <c r="L258" s="4" t="str">
        <f ca="1">IF(OR(INDEX($W$2:$W$1001,MATCH(ROWS($V$2:V258),$V$2:$V$1001,0),1)&gt;=100000,INDEX($AC$1005:$AS$1005,1,MATCH(COLUMNS($AC$1006:AM1006),$AC$1006:$AS$1006,0))&gt;=100000), " ",IF(INDEX($AC$2:$AS$1001,MATCH(ROWS($V$2:V258),$V$2:$V$1001,0),MATCH(COLUMNS($AC$1006:AM1006),$AC$1006:$AS$1006,0)), HYPERLINK("#",""), HYPERLINK(CONCATENATE("#metadata!", ADDRESS(INDEX($X$2:$X$1001,MATCH(ROWS($V$2:V258),$V$2:$V$1001,0),0), INDEX($AC$1004:$AS$1004,1,MATCH(COLUMNS($AC$1006:AM1006),$AC$1006:$AS$1006,0)))),"Fix")))</f>
        <v xml:space="preserve"> </v>
      </c>
      <c r="M258" s="4" t="str">
        <f ca="1">IF(OR(INDEX($W$2:$W$1001,MATCH(ROWS($V$2:V258),$V$2:$V$1001,0),1)&gt;=100000,INDEX($AC$1005:$AS$1005,1,MATCH(COLUMNS($AC$1006:AN1006),$AC$1006:$AS$1006,0))&gt;=100000), " ",IF(INDEX($AC$2:$AS$1001,MATCH(ROWS($V$2:V258),$V$2:$V$1001,0),MATCH(COLUMNS($AC$1006:AN1006),$AC$1006:$AS$1006,0)), HYPERLINK("#",""), HYPERLINK(CONCATENATE("#metadata!", ADDRESS(INDEX($X$2:$X$1001,MATCH(ROWS($V$2:V258),$V$2:$V$1001,0),0), INDEX($AC$1004:$AS$1004,1,MATCH(COLUMNS($AC$1006:AN1006),$AC$1006:$AS$1006,0)))),"Fix")))</f>
        <v xml:space="preserve"> </v>
      </c>
      <c r="N258" s="4" t="str">
        <f ca="1">IF(OR(INDEX($W$2:$W$1001,MATCH(ROWS($V$2:V258),$V$2:$V$1001,0),1)&gt;=100000,INDEX($AC$1005:$AS$1005,1,MATCH(COLUMNS($AC$1006:AO1006),$AC$1006:$AS$1006,0))&gt;=100000), " ",IF(INDEX($AC$2:$AS$1001,MATCH(ROWS($V$2:V258),$V$2:$V$1001,0),MATCH(COLUMNS($AC$1006:AO1006),$AC$1006:$AS$1006,0)), HYPERLINK("#",""), HYPERLINK(CONCATENATE("#metadata!", ADDRESS(INDEX($X$2:$X$1001,MATCH(ROWS($V$2:V258),$V$2:$V$1001,0),0), INDEX($AC$1004:$AS$1004,1,MATCH(COLUMNS($AC$1006:AO1006),$AC$1006:$AS$1006,0)))),"Fix")))</f>
        <v xml:space="preserve"> </v>
      </c>
      <c r="O258" s="4" t="str">
        <f ca="1">IF(OR(INDEX($W$2:$W$1001,MATCH(ROWS($V$2:V258),$V$2:$V$1001,0),1)&gt;=100000,INDEX($AC$1005:$AS$1005,1,MATCH(COLUMNS($AC$1006:AP1006),$AC$1006:$AS$1006,0))&gt;=100000), " ",IF(INDEX($AC$2:$AS$1001,MATCH(ROWS($V$2:V258),$V$2:$V$1001,0),MATCH(COLUMNS($AC$1006:AP1006),$AC$1006:$AS$1006,0)), HYPERLINK("#",""), HYPERLINK(CONCATENATE("#metadata!", ADDRESS(INDEX($X$2:$X$1001,MATCH(ROWS($V$2:V258),$V$2:$V$1001,0),0), INDEX($AC$1004:$AS$1004,1,MATCH(COLUMNS($AC$1006:AP1006),$AC$1006:$AS$1006,0)))),"Fix")))</f>
        <v xml:space="preserve"> </v>
      </c>
      <c r="P258" s="4" t="str">
        <f ca="1">IF(OR(INDEX($W$2:$W$1001,MATCH(ROWS($V$2:V258),$V$2:$V$1001,0),1)&gt;=100000,INDEX($AC$1005:$AS$1005,1,MATCH(COLUMNS($AC$1006:AQ1006),$AC$1006:$AS$1006,0))&gt;=100000), " ",IF(INDEX($AC$2:$AS$1001,MATCH(ROWS($V$2:V258),$V$2:$V$1001,0),MATCH(COLUMNS($AC$1006:AQ1006),$AC$1006:$AS$1006,0)), HYPERLINK("#",""), HYPERLINK(CONCATENATE("#metadata!", ADDRESS(INDEX($X$2:$X$1001,MATCH(ROWS($V$2:V258),$V$2:$V$1001,0),0), INDEX($AC$1004:$AS$1004,1,MATCH(COLUMNS($AC$1006:AQ1006),$AC$1006:$AS$1006,0)))),"Fix")))</f>
        <v xml:space="preserve"> </v>
      </c>
      <c r="Q258" s="4" t="str">
        <f ca="1">IF(OR(INDEX($W$2:$W$1001,MATCH(ROWS($V$2:V258),$V$2:$V$1001,0),1)&gt;=100000,INDEX($AC$1005:$AS$1005,1,MATCH(COLUMNS($AC$1006:AR1006),$AC$1006:$AS$1006,0))&gt;=100000), " ",IF(INDEX($AC$2:$AS$1001,MATCH(ROWS($V$2:V258),$V$2:$V$1001,0),MATCH(COLUMNS($AC$1006:AR1006),$AC$1006:$AS$1006,0)), HYPERLINK("#",""), HYPERLINK(CONCATENATE("#metadata!", ADDRESS(INDEX($X$2:$X$1001,MATCH(ROWS($V$2:V258),$V$2:$V$1001,0),0), INDEX($AC$1004:$AS$1004,1,MATCH(COLUMNS($AC$1006:AR1006),$AC$1006:$AS$1006,0)))),"Fix")))</f>
        <v xml:space="preserve"> </v>
      </c>
      <c r="R258" s="4" t="str">
        <f ca="1">IF(OR(INDEX($W$2:$W$1001,MATCH(ROWS($V$2:V258),$V$2:$V$1001,0),1)&gt;=100000,INDEX($AC$1005:$AS$1005,1,MATCH(COLUMNS($AC$1006:AS1006),$AC$1006:$AS$1006,0))&gt;=100000), " ",IF(INDEX($AC$2:$AS$1001,MATCH(ROWS($V$2:V258),$V$2:$V$1001,0),MATCH(COLUMNS($AC$1006:AS1006),$AC$1006:$AS$1006,0)), HYPERLINK("#",""), HYPERLINK(CONCATENATE("#metadata!", ADDRESS(INDEX($X$2:$X$1001,MATCH(ROWS($V$2:V258),$V$2:$V$1001,0),0), INDEX($AC$1004:$AS$1004,1,MATCH(COLUMNS($AC$1006:AS1006),$AC$1006:$AS$1006,0)))),"Fix")))</f>
        <v xml:space="preserve"> </v>
      </c>
      <c r="V258">
        <v>257</v>
      </c>
      <c r="W258">
        <v>100258</v>
      </c>
      <c r="X258">
        <v>258</v>
      </c>
      <c r="Y258" t="b">
        <f t="shared" ref="Y258:Y321" si="4">IF(Z258,TRUE,AND(AC258:AS258))</f>
        <v>1</v>
      </c>
      <c r="Z258" t="b">
        <f>COUNTBLANK(metadata!B258:R258)=COLUMNS(metadata!B258:R258)</f>
        <v>1</v>
      </c>
      <c r="AA258" t="str">
        <v/>
      </c>
      <c r="AC258" t="b">
        <f ca="1"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AD258" t="b">
        <f>IF(metadata!C258="",FALSE,ISNUMBER(VALUE(metadata!C258)))</f>
        <v>0</v>
      </c>
      <c r="AE258" t="b">
        <f>AND(IF(metadata!D258="",FALSE,TRUE),EXACT(metadata!D258,"years"))</f>
        <v>0</v>
      </c>
      <c r="AF258" t="b">
        <f>OR(AND(IF(metadata!E258="",FALSE,TRUE),OR(EXACT(metadata!E258,"not applicable"),EXACT(metadata!E258,"missing: not collected"),EXACT(metadata!E258,"missing: not provided"),EXACT(metadata!E258,"missing: restricted access"))),AND(IF(metadata!E258="",FALSE,ISNUMBER(VALUE(metadata!E258))),metadata!E258&gt;0))</f>
        <v>0</v>
      </c>
      <c r="AG258" t="b">
        <f>AND(IF(metadata!F258="",FALSE,TRUE),EXACT(metadata!F258,"Not applicable"))</f>
        <v>0</v>
      </c>
      <c r="AH258" t="b">
        <f>AND(IF(metadata!G258="",FALSE,TRUE),EXACT(metadata!G258,"urban biome"))</f>
        <v>0</v>
      </c>
      <c r="AI258" t="b">
        <f>AND(IF(metadata!H258="",FALSE,TRUE),EXACT(metadata!H258,"human-associated habitat"))</f>
        <v>0</v>
      </c>
      <c r="AJ258" t="b">
        <f>AND(IF(metadata!I258="",FALSE,TRUE),OR(EXACT(metadata!I258,"human-associated"),EXACT(metadata!I258,"human-skin"),EXACT(metadata!I258,"human-oral"),EXACT(metadata!I258,"human-gut"),EXACT(metadata!I258,"human-vaginal")))</f>
        <v>0</v>
      </c>
      <c r="AK258" t="b">
        <f>IF(metadata!J258="",FALSE,ISNUMBER(VALUE(metadata!J258)))</f>
        <v>0</v>
      </c>
      <c r="AL258" t="b">
        <f>AND(IF(metadata!K258="",FALSE,TRUE),EXACT(metadata!K258,"cm"))</f>
        <v>0</v>
      </c>
      <c r="AM258" t="b">
        <f>AND(IF(metadata!L258="",FALSE,TRUE),EXACT(metadata!L258,"human"))</f>
        <v>0</v>
      </c>
      <c r="AN258" t="b">
        <f>AND(IF(metadata!M258="",FALSE,TRUE),EXACT(metadata!M258,"Homo sapiens"))</f>
        <v>0</v>
      </c>
      <c r="AO258" t="b">
        <f>AND(IF(metadata!N258="",FALSE,TRUE),EXACT(metadata!N258,"9606"))</f>
        <v>0</v>
      </c>
      <c r="AP258" t="b">
        <f>IF(metadata!O258="",FALSE,TRUE)</f>
        <v>0</v>
      </c>
      <c r="AQ258" t="b">
        <f>IF(metadata!P258="",FALSE,TRUE)</f>
        <v>0</v>
      </c>
      <c r="AR258" t="b">
        <f>IF(metadata!Q258="",FALSE,ISNUMBER(VALUE(metadata!Q258)))</f>
        <v>0</v>
      </c>
      <c r="AS258" t="b">
        <f>AND(IF(metadata!R258="",FALSE,TRUE),EXACT(metadata!R258,"kg"))</f>
        <v>0</v>
      </c>
    </row>
    <row r="259" spans="1:45" x14ac:dyDescent="0.2">
      <c r="A259" s="5" t="str">
        <f ca="1">IF(B259=" "," ",HYPERLINK(CONCATENATE("#metadata!",ADDRESS(INDEX($X$2:$X$1001,MATCH(ROWS($V$2:V259),$V$2:$V$1001,0),0),1)),INDEX($AA$2:$AA$1001,MATCH(ROWS($V$2:V259),$V$2:$V$1001,0),0)))</f>
        <v xml:space="preserve"> </v>
      </c>
      <c r="B259" s="4" t="str">
        <f ca="1">IF(OR(INDEX($W$2:$W$1001,MATCH(ROWS($V$2:V259),$V$2:$V$1001,0),1)&gt;=100000,INDEX($AC$1005:$AS$1005,1,MATCH(COLUMNS($AC$1006:AC1006),$AC$1006:$AS$1006,0))&gt;=100000), " ",IF(INDEX($AC$2:$AS$1001,MATCH(ROWS($V$2:V259),$V$2:$V$1001,0),MATCH(COLUMNS($AC$1006:AC1006),$AC$1006:$AS$1006,0)), HYPERLINK("#",""), HYPERLINK(CONCATENATE("#metadata!", ADDRESS(INDEX($X$2:$X$1001,MATCH(ROWS($V$2:V259),$V$2:$V$1001,0),0), INDEX($AC$1004:$AS$1004,1,MATCH(COLUMNS($AC$1006:AC1006),$AC$1006:$AS$1006,0)))),"Fix")))</f>
        <v xml:space="preserve"> </v>
      </c>
      <c r="C259" s="4" t="str">
        <f ca="1">IF(OR(INDEX($W$2:$W$1001,MATCH(ROWS($V$2:V259),$V$2:$V$1001,0),1)&gt;=100000,INDEX($AC$1005:$AS$1005,1,MATCH(COLUMNS($AC$1006:AD1006),$AC$1006:$AS$1006,0))&gt;=100000), " ",IF(INDEX($AC$2:$AS$1001,MATCH(ROWS($V$2:V259),$V$2:$V$1001,0),MATCH(COLUMNS($AC$1006:AD1006),$AC$1006:$AS$1006,0)), HYPERLINK("#",""), HYPERLINK(CONCATENATE("#metadata!", ADDRESS(INDEX($X$2:$X$1001,MATCH(ROWS($V$2:V259),$V$2:$V$1001,0),0), INDEX($AC$1004:$AS$1004,1,MATCH(COLUMNS($AC$1006:AD1006),$AC$1006:$AS$1006,0)))),"Fix")))</f>
        <v xml:space="preserve"> </v>
      </c>
      <c r="D259" s="4" t="str">
        <f ca="1">IF(OR(INDEX($W$2:$W$1001,MATCH(ROWS($V$2:V259),$V$2:$V$1001,0),1)&gt;=100000,INDEX($AC$1005:$AS$1005,1,MATCH(COLUMNS($AC$1006:AE1006),$AC$1006:$AS$1006,0))&gt;=100000), " ",IF(INDEX($AC$2:$AS$1001,MATCH(ROWS($V$2:V259),$V$2:$V$1001,0),MATCH(COLUMNS($AC$1006:AE1006),$AC$1006:$AS$1006,0)), HYPERLINK("#",""), HYPERLINK(CONCATENATE("#metadata!", ADDRESS(INDEX($X$2:$X$1001,MATCH(ROWS($V$2:V259),$V$2:$V$1001,0),0), INDEX($AC$1004:$AS$1004,1,MATCH(COLUMNS($AC$1006:AE1006),$AC$1006:$AS$1006,0)))),"Fix")))</f>
        <v xml:space="preserve"> </v>
      </c>
      <c r="E259" s="4" t="str">
        <f ca="1">IF(OR(INDEX($W$2:$W$1001,MATCH(ROWS($V$2:V259),$V$2:$V$1001,0),1)&gt;=100000,INDEX($AC$1005:$AS$1005,1,MATCH(COLUMNS($AC$1006:AF1006),$AC$1006:$AS$1006,0))&gt;=100000), " ",IF(INDEX($AC$2:$AS$1001,MATCH(ROWS($V$2:V259),$V$2:$V$1001,0),MATCH(COLUMNS($AC$1006:AF1006),$AC$1006:$AS$1006,0)), HYPERLINK("#",""), HYPERLINK(CONCATENATE("#metadata!", ADDRESS(INDEX($X$2:$X$1001,MATCH(ROWS($V$2:V259),$V$2:$V$1001,0),0), INDEX($AC$1004:$AS$1004,1,MATCH(COLUMNS($AC$1006:AF1006),$AC$1006:$AS$1006,0)))),"Fix")))</f>
        <v xml:space="preserve"> </v>
      </c>
      <c r="F259" s="4" t="str">
        <f ca="1">IF(OR(INDEX($W$2:$W$1001,MATCH(ROWS($V$2:V259),$V$2:$V$1001,0),1)&gt;=100000,INDEX($AC$1005:$AS$1005,1,MATCH(COLUMNS($AC$1006:AG1006),$AC$1006:$AS$1006,0))&gt;=100000), " ",IF(INDEX($AC$2:$AS$1001,MATCH(ROWS($V$2:V259),$V$2:$V$1001,0),MATCH(COLUMNS($AC$1006:AG1006),$AC$1006:$AS$1006,0)), HYPERLINK("#",""), HYPERLINK(CONCATENATE("#metadata!", ADDRESS(INDEX($X$2:$X$1001,MATCH(ROWS($V$2:V259),$V$2:$V$1001,0),0), INDEX($AC$1004:$AS$1004,1,MATCH(COLUMNS($AC$1006:AG1006),$AC$1006:$AS$1006,0)))),"Fix")))</f>
        <v xml:space="preserve"> </v>
      </c>
      <c r="G259" s="4" t="str">
        <f ca="1">IF(OR(INDEX($W$2:$W$1001,MATCH(ROWS($V$2:V259),$V$2:$V$1001,0),1)&gt;=100000,INDEX($AC$1005:$AS$1005,1,MATCH(COLUMNS($AC$1006:AH1006),$AC$1006:$AS$1006,0))&gt;=100000), " ",IF(INDEX($AC$2:$AS$1001,MATCH(ROWS($V$2:V259),$V$2:$V$1001,0),MATCH(COLUMNS($AC$1006:AH1006),$AC$1006:$AS$1006,0)), HYPERLINK("#",""), HYPERLINK(CONCATENATE("#metadata!", ADDRESS(INDEX($X$2:$X$1001,MATCH(ROWS($V$2:V259),$V$2:$V$1001,0),0), INDEX($AC$1004:$AS$1004,1,MATCH(COLUMNS($AC$1006:AH1006),$AC$1006:$AS$1006,0)))),"Fix")))</f>
        <v xml:space="preserve"> </v>
      </c>
      <c r="H259" s="4" t="str">
        <f ca="1">IF(OR(INDEX($W$2:$W$1001,MATCH(ROWS($V$2:V259),$V$2:$V$1001,0),1)&gt;=100000,INDEX($AC$1005:$AS$1005,1,MATCH(COLUMNS($AC$1006:AI1006),$AC$1006:$AS$1006,0))&gt;=100000), " ",IF(INDEX($AC$2:$AS$1001,MATCH(ROWS($V$2:V259),$V$2:$V$1001,0),MATCH(COLUMNS($AC$1006:AI1006),$AC$1006:$AS$1006,0)), HYPERLINK("#",""), HYPERLINK(CONCATENATE("#metadata!", ADDRESS(INDEX($X$2:$X$1001,MATCH(ROWS($V$2:V259),$V$2:$V$1001,0),0), INDEX($AC$1004:$AS$1004,1,MATCH(COLUMNS($AC$1006:AI1006),$AC$1006:$AS$1006,0)))),"Fix")))</f>
        <v xml:space="preserve"> </v>
      </c>
      <c r="I259" s="4" t="str">
        <f ca="1">IF(OR(INDEX($W$2:$W$1001,MATCH(ROWS($V$2:V259),$V$2:$V$1001,0),1)&gt;=100000,INDEX($AC$1005:$AS$1005,1,MATCH(COLUMNS($AC$1006:AJ1006),$AC$1006:$AS$1006,0))&gt;=100000), " ",IF(INDEX($AC$2:$AS$1001,MATCH(ROWS($V$2:V259),$V$2:$V$1001,0),MATCH(COLUMNS($AC$1006:AJ1006),$AC$1006:$AS$1006,0)), HYPERLINK("#",""), HYPERLINK(CONCATENATE("#metadata!", ADDRESS(INDEX($X$2:$X$1001,MATCH(ROWS($V$2:V259),$V$2:$V$1001,0),0), INDEX($AC$1004:$AS$1004,1,MATCH(COLUMNS($AC$1006:AJ1006),$AC$1006:$AS$1006,0)))),"Fix")))</f>
        <v xml:space="preserve"> </v>
      </c>
      <c r="J259" s="4" t="str">
        <f ca="1">IF(OR(INDEX($W$2:$W$1001,MATCH(ROWS($V$2:V259),$V$2:$V$1001,0),1)&gt;=100000,INDEX($AC$1005:$AS$1005,1,MATCH(COLUMNS($AC$1006:AK1006),$AC$1006:$AS$1006,0))&gt;=100000), " ",IF(INDEX($AC$2:$AS$1001,MATCH(ROWS($V$2:V259),$V$2:$V$1001,0),MATCH(COLUMNS($AC$1006:AK1006),$AC$1006:$AS$1006,0)), HYPERLINK("#",""), HYPERLINK(CONCATENATE("#metadata!", ADDRESS(INDEX($X$2:$X$1001,MATCH(ROWS($V$2:V259),$V$2:$V$1001,0),0), INDEX($AC$1004:$AS$1004,1,MATCH(COLUMNS($AC$1006:AK1006),$AC$1006:$AS$1006,0)))),"Fix")))</f>
        <v xml:space="preserve"> </v>
      </c>
      <c r="K259" s="4" t="str">
        <f ca="1">IF(OR(INDEX($W$2:$W$1001,MATCH(ROWS($V$2:V259),$V$2:$V$1001,0),1)&gt;=100000,INDEX($AC$1005:$AS$1005,1,MATCH(COLUMNS($AC$1006:AL1006),$AC$1006:$AS$1006,0))&gt;=100000), " ",IF(INDEX($AC$2:$AS$1001,MATCH(ROWS($V$2:V259),$V$2:$V$1001,0),MATCH(COLUMNS($AC$1006:AL1006),$AC$1006:$AS$1006,0)), HYPERLINK("#",""), HYPERLINK(CONCATENATE("#metadata!", ADDRESS(INDEX($X$2:$X$1001,MATCH(ROWS($V$2:V259),$V$2:$V$1001,0),0), INDEX($AC$1004:$AS$1004,1,MATCH(COLUMNS($AC$1006:AL1006),$AC$1006:$AS$1006,0)))),"Fix")))</f>
        <v xml:space="preserve"> </v>
      </c>
      <c r="L259" s="4" t="str">
        <f ca="1">IF(OR(INDEX($W$2:$W$1001,MATCH(ROWS($V$2:V259),$V$2:$V$1001,0),1)&gt;=100000,INDEX($AC$1005:$AS$1005,1,MATCH(COLUMNS($AC$1006:AM1006),$AC$1006:$AS$1006,0))&gt;=100000), " ",IF(INDEX($AC$2:$AS$1001,MATCH(ROWS($V$2:V259),$V$2:$V$1001,0),MATCH(COLUMNS($AC$1006:AM1006),$AC$1006:$AS$1006,0)), HYPERLINK("#",""), HYPERLINK(CONCATENATE("#metadata!", ADDRESS(INDEX($X$2:$X$1001,MATCH(ROWS($V$2:V259),$V$2:$V$1001,0),0), INDEX($AC$1004:$AS$1004,1,MATCH(COLUMNS($AC$1006:AM1006),$AC$1006:$AS$1006,0)))),"Fix")))</f>
        <v xml:space="preserve"> </v>
      </c>
      <c r="M259" s="4" t="str">
        <f ca="1">IF(OR(INDEX($W$2:$W$1001,MATCH(ROWS($V$2:V259),$V$2:$V$1001,0),1)&gt;=100000,INDEX($AC$1005:$AS$1005,1,MATCH(COLUMNS($AC$1006:AN1006),$AC$1006:$AS$1006,0))&gt;=100000), " ",IF(INDEX($AC$2:$AS$1001,MATCH(ROWS($V$2:V259),$V$2:$V$1001,0),MATCH(COLUMNS($AC$1006:AN1006),$AC$1006:$AS$1006,0)), HYPERLINK("#",""), HYPERLINK(CONCATENATE("#metadata!", ADDRESS(INDEX($X$2:$X$1001,MATCH(ROWS($V$2:V259),$V$2:$V$1001,0),0), INDEX($AC$1004:$AS$1004,1,MATCH(COLUMNS($AC$1006:AN1006),$AC$1006:$AS$1006,0)))),"Fix")))</f>
        <v xml:space="preserve"> </v>
      </c>
      <c r="N259" s="4" t="str">
        <f ca="1">IF(OR(INDEX($W$2:$W$1001,MATCH(ROWS($V$2:V259),$V$2:$V$1001,0),1)&gt;=100000,INDEX($AC$1005:$AS$1005,1,MATCH(COLUMNS($AC$1006:AO1006),$AC$1006:$AS$1006,0))&gt;=100000), " ",IF(INDEX($AC$2:$AS$1001,MATCH(ROWS($V$2:V259),$V$2:$V$1001,0),MATCH(COLUMNS($AC$1006:AO1006),$AC$1006:$AS$1006,0)), HYPERLINK("#",""), HYPERLINK(CONCATENATE("#metadata!", ADDRESS(INDEX($X$2:$X$1001,MATCH(ROWS($V$2:V259),$V$2:$V$1001,0),0), INDEX($AC$1004:$AS$1004,1,MATCH(COLUMNS($AC$1006:AO1006),$AC$1006:$AS$1006,0)))),"Fix")))</f>
        <v xml:space="preserve"> </v>
      </c>
      <c r="O259" s="4" t="str">
        <f ca="1">IF(OR(INDEX($W$2:$W$1001,MATCH(ROWS($V$2:V259),$V$2:$V$1001,0),1)&gt;=100000,INDEX($AC$1005:$AS$1005,1,MATCH(COLUMNS($AC$1006:AP1006),$AC$1006:$AS$1006,0))&gt;=100000), " ",IF(INDEX($AC$2:$AS$1001,MATCH(ROWS($V$2:V259),$V$2:$V$1001,0),MATCH(COLUMNS($AC$1006:AP1006),$AC$1006:$AS$1006,0)), HYPERLINK("#",""), HYPERLINK(CONCATENATE("#metadata!", ADDRESS(INDEX($X$2:$X$1001,MATCH(ROWS($V$2:V259),$V$2:$V$1001,0),0), INDEX($AC$1004:$AS$1004,1,MATCH(COLUMNS($AC$1006:AP1006),$AC$1006:$AS$1006,0)))),"Fix")))</f>
        <v xml:space="preserve"> </v>
      </c>
      <c r="P259" s="4" t="str">
        <f ca="1">IF(OR(INDEX($W$2:$W$1001,MATCH(ROWS($V$2:V259),$V$2:$V$1001,0),1)&gt;=100000,INDEX($AC$1005:$AS$1005,1,MATCH(COLUMNS($AC$1006:AQ1006),$AC$1006:$AS$1006,0))&gt;=100000), " ",IF(INDEX($AC$2:$AS$1001,MATCH(ROWS($V$2:V259),$V$2:$V$1001,0),MATCH(COLUMNS($AC$1006:AQ1006),$AC$1006:$AS$1006,0)), HYPERLINK("#",""), HYPERLINK(CONCATENATE("#metadata!", ADDRESS(INDEX($X$2:$X$1001,MATCH(ROWS($V$2:V259),$V$2:$V$1001,0),0), INDEX($AC$1004:$AS$1004,1,MATCH(COLUMNS($AC$1006:AQ1006),$AC$1006:$AS$1006,0)))),"Fix")))</f>
        <v xml:space="preserve"> </v>
      </c>
      <c r="Q259" s="4" t="str">
        <f ca="1">IF(OR(INDEX($W$2:$W$1001,MATCH(ROWS($V$2:V259),$V$2:$V$1001,0),1)&gt;=100000,INDEX($AC$1005:$AS$1005,1,MATCH(COLUMNS($AC$1006:AR1006),$AC$1006:$AS$1006,0))&gt;=100000), " ",IF(INDEX($AC$2:$AS$1001,MATCH(ROWS($V$2:V259),$V$2:$V$1001,0),MATCH(COLUMNS($AC$1006:AR1006),$AC$1006:$AS$1006,0)), HYPERLINK("#",""), HYPERLINK(CONCATENATE("#metadata!", ADDRESS(INDEX($X$2:$X$1001,MATCH(ROWS($V$2:V259),$V$2:$V$1001,0),0), INDEX($AC$1004:$AS$1004,1,MATCH(COLUMNS($AC$1006:AR1006),$AC$1006:$AS$1006,0)))),"Fix")))</f>
        <v xml:space="preserve"> </v>
      </c>
      <c r="R259" s="4" t="str">
        <f ca="1">IF(OR(INDEX($W$2:$W$1001,MATCH(ROWS($V$2:V259),$V$2:$V$1001,0),1)&gt;=100000,INDEX($AC$1005:$AS$1005,1,MATCH(COLUMNS($AC$1006:AS1006),$AC$1006:$AS$1006,0))&gt;=100000), " ",IF(INDEX($AC$2:$AS$1001,MATCH(ROWS($V$2:V259),$V$2:$V$1001,0),MATCH(COLUMNS($AC$1006:AS1006),$AC$1006:$AS$1006,0)), HYPERLINK("#",""), HYPERLINK(CONCATENATE("#metadata!", ADDRESS(INDEX($X$2:$X$1001,MATCH(ROWS($V$2:V259),$V$2:$V$1001,0),0), INDEX($AC$1004:$AS$1004,1,MATCH(COLUMNS($AC$1006:AS1006),$AC$1006:$AS$1006,0)))),"Fix")))</f>
        <v xml:space="preserve"> </v>
      </c>
      <c r="V259">
        <v>258</v>
      </c>
      <c r="W259">
        <v>100259</v>
      </c>
      <c r="X259">
        <v>259</v>
      </c>
      <c r="Y259" t="b">
        <f t="shared" si="4"/>
        <v>1</v>
      </c>
      <c r="Z259" t="b">
        <f>COUNTBLANK(metadata!B259:R259)=COLUMNS(metadata!B259:R259)</f>
        <v>1</v>
      </c>
      <c r="AA259" t="str">
        <v/>
      </c>
      <c r="AC259" t="b">
        <f ca="1"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AD259" t="b">
        <f>IF(metadata!C259="",FALSE,ISNUMBER(VALUE(metadata!C259)))</f>
        <v>0</v>
      </c>
      <c r="AE259" t="b">
        <f>AND(IF(metadata!D259="",FALSE,TRUE),EXACT(metadata!D259,"years"))</f>
        <v>0</v>
      </c>
      <c r="AF259" t="b">
        <f>OR(AND(IF(metadata!E259="",FALSE,TRUE),OR(EXACT(metadata!E259,"not applicable"),EXACT(metadata!E259,"missing: not collected"),EXACT(metadata!E259,"missing: not provided"),EXACT(metadata!E259,"missing: restricted access"))),AND(IF(metadata!E259="",FALSE,ISNUMBER(VALUE(metadata!E259))),metadata!E259&gt;0))</f>
        <v>0</v>
      </c>
      <c r="AG259" t="b">
        <f>AND(IF(metadata!F259="",FALSE,TRUE),EXACT(metadata!F259,"Not applicable"))</f>
        <v>0</v>
      </c>
      <c r="AH259" t="b">
        <f>AND(IF(metadata!G259="",FALSE,TRUE),EXACT(metadata!G259,"urban biome"))</f>
        <v>0</v>
      </c>
      <c r="AI259" t="b">
        <f>AND(IF(metadata!H259="",FALSE,TRUE),EXACT(metadata!H259,"human-associated habitat"))</f>
        <v>0</v>
      </c>
      <c r="AJ259" t="b">
        <f>AND(IF(metadata!I259="",FALSE,TRUE),OR(EXACT(metadata!I259,"human-associated"),EXACT(metadata!I259,"human-skin"),EXACT(metadata!I259,"human-oral"),EXACT(metadata!I259,"human-gut"),EXACT(metadata!I259,"human-vaginal")))</f>
        <v>0</v>
      </c>
      <c r="AK259" t="b">
        <f>IF(metadata!J259="",FALSE,ISNUMBER(VALUE(metadata!J259)))</f>
        <v>0</v>
      </c>
      <c r="AL259" t="b">
        <f>AND(IF(metadata!K259="",FALSE,TRUE),EXACT(metadata!K259,"cm"))</f>
        <v>0</v>
      </c>
      <c r="AM259" t="b">
        <f>AND(IF(metadata!L259="",FALSE,TRUE),EXACT(metadata!L259,"human"))</f>
        <v>0</v>
      </c>
      <c r="AN259" t="b">
        <f>AND(IF(metadata!M259="",FALSE,TRUE),EXACT(metadata!M259,"Homo sapiens"))</f>
        <v>0</v>
      </c>
      <c r="AO259" t="b">
        <f>AND(IF(metadata!N259="",FALSE,TRUE),EXACT(metadata!N259,"9606"))</f>
        <v>0</v>
      </c>
      <c r="AP259" t="b">
        <f>IF(metadata!O259="",FALSE,TRUE)</f>
        <v>0</v>
      </c>
      <c r="AQ259" t="b">
        <f>IF(metadata!P259="",FALSE,TRUE)</f>
        <v>0</v>
      </c>
      <c r="AR259" t="b">
        <f>IF(metadata!Q259="",FALSE,ISNUMBER(VALUE(metadata!Q259)))</f>
        <v>0</v>
      </c>
      <c r="AS259" t="b">
        <f>AND(IF(metadata!R259="",FALSE,TRUE),EXACT(metadata!R259,"kg"))</f>
        <v>0</v>
      </c>
    </row>
    <row r="260" spans="1:45" x14ac:dyDescent="0.2">
      <c r="A260" s="5" t="str">
        <f ca="1">IF(B260=" "," ",HYPERLINK(CONCATENATE("#metadata!",ADDRESS(INDEX($X$2:$X$1001,MATCH(ROWS($V$2:V260),$V$2:$V$1001,0),0),1)),INDEX($AA$2:$AA$1001,MATCH(ROWS($V$2:V260),$V$2:$V$1001,0),0)))</f>
        <v xml:space="preserve"> </v>
      </c>
      <c r="B260" s="4" t="str">
        <f ca="1">IF(OR(INDEX($W$2:$W$1001,MATCH(ROWS($V$2:V260),$V$2:$V$1001,0),1)&gt;=100000,INDEX($AC$1005:$AS$1005,1,MATCH(COLUMNS($AC$1006:AC1006),$AC$1006:$AS$1006,0))&gt;=100000), " ",IF(INDEX($AC$2:$AS$1001,MATCH(ROWS($V$2:V260),$V$2:$V$1001,0),MATCH(COLUMNS($AC$1006:AC1006),$AC$1006:$AS$1006,0)), HYPERLINK("#",""), HYPERLINK(CONCATENATE("#metadata!", ADDRESS(INDEX($X$2:$X$1001,MATCH(ROWS($V$2:V260),$V$2:$V$1001,0),0), INDEX($AC$1004:$AS$1004,1,MATCH(COLUMNS($AC$1006:AC1006),$AC$1006:$AS$1006,0)))),"Fix")))</f>
        <v xml:space="preserve"> </v>
      </c>
      <c r="C260" s="4" t="str">
        <f ca="1">IF(OR(INDEX($W$2:$W$1001,MATCH(ROWS($V$2:V260),$V$2:$V$1001,0),1)&gt;=100000,INDEX($AC$1005:$AS$1005,1,MATCH(COLUMNS($AC$1006:AD1006),$AC$1006:$AS$1006,0))&gt;=100000), " ",IF(INDEX($AC$2:$AS$1001,MATCH(ROWS($V$2:V260),$V$2:$V$1001,0),MATCH(COLUMNS($AC$1006:AD1006),$AC$1006:$AS$1006,0)), HYPERLINK("#",""), HYPERLINK(CONCATENATE("#metadata!", ADDRESS(INDEX($X$2:$X$1001,MATCH(ROWS($V$2:V260),$V$2:$V$1001,0),0), INDEX($AC$1004:$AS$1004,1,MATCH(COLUMNS($AC$1006:AD1006),$AC$1006:$AS$1006,0)))),"Fix")))</f>
        <v xml:space="preserve"> </v>
      </c>
      <c r="D260" s="4" t="str">
        <f ca="1">IF(OR(INDEX($W$2:$W$1001,MATCH(ROWS($V$2:V260),$V$2:$V$1001,0),1)&gt;=100000,INDEX($AC$1005:$AS$1005,1,MATCH(COLUMNS($AC$1006:AE1006),$AC$1006:$AS$1006,0))&gt;=100000), " ",IF(INDEX($AC$2:$AS$1001,MATCH(ROWS($V$2:V260),$V$2:$V$1001,0),MATCH(COLUMNS($AC$1006:AE1006),$AC$1006:$AS$1006,0)), HYPERLINK("#",""), HYPERLINK(CONCATENATE("#metadata!", ADDRESS(INDEX($X$2:$X$1001,MATCH(ROWS($V$2:V260),$V$2:$V$1001,0),0), INDEX($AC$1004:$AS$1004,1,MATCH(COLUMNS($AC$1006:AE1006),$AC$1006:$AS$1006,0)))),"Fix")))</f>
        <v xml:space="preserve"> </v>
      </c>
      <c r="E260" s="4" t="str">
        <f ca="1">IF(OR(INDEX($W$2:$W$1001,MATCH(ROWS($V$2:V260),$V$2:$V$1001,0),1)&gt;=100000,INDEX($AC$1005:$AS$1005,1,MATCH(COLUMNS($AC$1006:AF1006),$AC$1006:$AS$1006,0))&gt;=100000), " ",IF(INDEX($AC$2:$AS$1001,MATCH(ROWS($V$2:V260),$V$2:$V$1001,0),MATCH(COLUMNS($AC$1006:AF1006),$AC$1006:$AS$1006,0)), HYPERLINK("#",""), HYPERLINK(CONCATENATE("#metadata!", ADDRESS(INDEX($X$2:$X$1001,MATCH(ROWS($V$2:V260),$V$2:$V$1001,0),0), INDEX($AC$1004:$AS$1004,1,MATCH(COLUMNS($AC$1006:AF1006),$AC$1006:$AS$1006,0)))),"Fix")))</f>
        <v xml:space="preserve"> </v>
      </c>
      <c r="F260" s="4" t="str">
        <f ca="1">IF(OR(INDEX($W$2:$W$1001,MATCH(ROWS($V$2:V260),$V$2:$V$1001,0),1)&gt;=100000,INDEX($AC$1005:$AS$1005,1,MATCH(COLUMNS($AC$1006:AG1006),$AC$1006:$AS$1006,0))&gt;=100000), " ",IF(INDEX($AC$2:$AS$1001,MATCH(ROWS($V$2:V260),$V$2:$V$1001,0),MATCH(COLUMNS($AC$1006:AG1006),$AC$1006:$AS$1006,0)), HYPERLINK("#",""), HYPERLINK(CONCATENATE("#metadata!", ADDRESS(INDEX($X$2:$X$1001,MATCH(ROWS($V$2:V260),$V$2:$V$1001,0),0), INDEX($AC$1004:$AS$1004,1,MATCH(COLUMNS($AC$1006:AG1006),$AC$1006:$AS$1006,0)))),"Fix")))</f>
        <v xml:space="preserve"> </v>
      </c>
      <c r="G260" s="4" t="str">
        <f ca="1">IF(OR(INDEX($W$2:$W$1001,MATCH(ROWS($V$2:V260),$V$2:$V$1001,0),1)&gt;=100000,INDEX($AC$1005:$AS$1005,1,MATCH(COLUMNS($AC$1006:AH1006),$AC$1006:$AS$1006,0))&gt;=100000), " ",IF(INDEX($AC$2:$AS$1001,MATCH(ROWS($V$2:V260),$V$2:$V$1001,0),MATCH(COLUMNS($AC$1006:AH1006),$AC$1006:$AS$1006,0)), HYPERLINK("#",""), HYPERLINK(CONCATENATE("#metadata!", ADDRESS(INDEX($X$2:$X$1001,MATCH(ROWS($V$2:V260),$V$2:$V$1001,0),0), INDEX($AC$1004:$AS$1004,1,MATCH(COLUMNS($AC$1006:AH1006),$AC$1006:$AS$1006,0)))),"Fix")))</f>
        <v xml:space="preserve"> </v>
      </c>
      <c r="H260" s="4" t="str">
        <f ca="1">IF(OR(INDEX($W$2:$W$1001,MATCH(ROWS($V$2:V260),$V$2:$V$1001,0),1)&gt;=100000,INDEX($AC$1005:$AS$1005,1,MATCH(COLUMNS($AC$1006:AI1006),$AC$1006:$AS$1006,0))&gt;=100000), " ",IF(INDEX($AC$2:$AS$1001,MATCH(ROWS($V$2:V260),$V$2:$V$1001,0),MATCH(COLUMNS($AC$1006:AI1006),$AC$1006:$AS$1006,0)), HYPERLINK("#",""), HYPERLINK(CONCATENATE("#metadata!", ADDRESS(INDEX($X$2:$X$1001,MATCH(ROWS($V$2:V260),$V$2:$V$1001,0),0), INDEX($AC$1004:$AS$1004,1,MATCH(COLUMNS($AC$1006:AI1006),$AC$1006:$AS$1006,0)))),"Fix")))</f>
        <v xml:space="preserve"> </v>
      </c>
      <c r="I260" s="4" t="str">
        <f ca="1">IF(OR(INDEX($W$2:$W$1001,MATCH(ROWS($V$2:V260),$V$2:$V$1001,0),1)&gt;=100000,INDEX($AC$1005:$AS$1005,1,MATCH(COLUMNS($AC$1006:AJ1006),$AC$1006:$AS$1006,0))&gt;=100000), " ",IF(INDEX($AC$2:$AS$1001,MATCH(ROWS($V$2:V260),$V$2:$V$1001,0),MATCH(COLUMNS($AC$1006:AJ1006),$AC$1006:$AS$1006,0)), HYPERLINK("#",""), HYPERLINK(CONCATENATE("#metadata!", ADDRESS(INDEX($X$2:$X$1001,MATCH(ROWS($V$2:V260),$V$2:$V$1001,0),0), INDEX($AC$1004:$AS$1004,1,MATCH(COLUMNS($AC$1006:AJ1006),$AC$1006:$AS$1006,0)))),"Fix")))</f>
        <v xml:space="preserve"> </v>
      </c>
      <c r="J260" s="4" t="str">
        <f ca="1">IF(OR(INDEX($W$2:$W$1001,MATCH(ROWS($V$2:V260),$V$2:$V$1001,0),1)&gt;=100000,INDEX($AC$1005:$AS$1005,1,MATCH(COLUMNS($AC$1006:AK1006),$AC$1006:$AS$1006,0))&gt;=100000), " ",IF(INDEX($AC$2:$AS$1001,MATCH(ROWS($V$2:V260),$V$2:$V$1001,0),MATCH(COLUMNS($AC$1006:AK1006),$AC$1006:$AS$1006,0)), HYPERLINK("#",""), HYPERLINK(CONCATENATE("#metadata!", ADDRESS(INDEX($X$2:$X$1001,MATCH(ROWS($V$2:V260),$V$2:$V$1001,0),0), INDEX($AC$1004:$AS$1004,1,MATCH(COLUMNS($AC$1006:AK1006),$AC$1006:$AS$1006,0)))),"Fix")))</f>
        <v xml:space="preserve"> </v>
      </c>
      <c r="K260" s="4" t="str">
        <f ca="1">IF(OR(INDEX($W$2:$W$1001,MATCH(ROWS($V$2:V260),$V$2:$V$1001,0),1)&gt;=100000,INDEX($AC$1005:$AS$1005,1,MATCH(COLUMNS($AC$1006:AL1006),$AC$1006:$AS$1006,0))&gt;=100000), " ",IF(INDEX($AC$2:$AS$1001,MATCH(ROWS($V$2:V260),$V$2:$V$1001,0),MATCH(COLUMNS($AC$1006:AL1006),$AC$1006:$AS$1006,0)), HYPERLINK("#",""), HYPERLINK(CONCATENATE("#metadata!", ADDRESS(INDEX($X$2:$X$1001,MATCH(ROWS($V$2:V260),$V$2:$V$1001,0),0), INDEX($AC$1004:$AS$1004,1,MATCH(COLUMNS($AC$1006:AL1006),$AC$1006:$AS$1006,0)))),"Fix")))</f>
        <v xml:space="preserve"> </v>
      </c>
      <c r="L260" s="4" t="str">
        <f ca="1">IF(OR(INDEX($W$2:$W$1001,MATCH(ROWS($V$2:V260),$V$2:$V$1001,0),1)&gt;=100000,INDEX($AC$1005:$AS$1005,1,MATCH(COLUMNS($AC$1006:AM1006),$AC$1006:$AS$1006,0))&gt;=100000), " ",IF(INDEX($AC$2:$AS$1001,MATCH(ROWS($V$2:V260),$V$2:$V$1001,0),MATCH(COLUMNS($AC$1006:AM1006),$AC$1006:$AS$1006,0)), HYPERLINK("#",""), HYPERLINK(CONCATENATE("#metadata!", ADDRESS(INDEX($X$2:$X$1001,MATCH(ROWS($V$2:V260),$V$2:$V$1001,0),0), INDEX($AC$1004:$AS$1004,1,MATCH(COLUMNS($AC$1006:AM1006),$AC$1006:$AS$1006,0)))),"Fix")))</f>
        <v xml:space="preserve"> </v>
      </c>
      <c r="M260" s="4" t="str">
        <f ca="1">IF(OR(INDEX($W$2:$W$1001,MATCH(ROWS($V$2:V260),$V$2:$V$1001,0),1)&gt;=100000,INDEX($AC$1005:$AS$1005,1,MATCH(COLUMNS($AC$1006:AN1006),$AC$1006:$AS$1006,0))&gt;=100000), " ",IF(INDEX($AC$2:$AS$1001,MATCH(ROWS($V$2:V260),$V$2:$V$1001,0),MATCH(COLUMNS($AC$1006:AN1006),$AC$1006:$AS$1006,0)), HYPERLINK("#",""), HYPERLINK(CONCATENATE("#metadata!", ADDRESS(INDEX($X$2:$X$1001,MATCH(ROWS($V$2:V260),$V$2:$V$1001,0),0), INDEX($AC$1004:$AS$1004,1,MATCH(COLUMNS($AC$1006:AN1006),$AC$1006:$AS$1006,0)))),"Fix")))</f>
        <v xml:space="preserve"> </v>
      </c>
      <c r="N260" s="4" t="str">
        <f ca="1">IF(OR(INDEX($W$2:$W$1001,MATCH(ROWS($V$2:V260),$V$2:$V$1001,0),1)&gt;=100000,INDEX($AC$1005:$AS$1005,1,MATCH(COLUMNS($AC$1006:AO1006),$AC$1006:$AS$1006,0))&gt;=100000), " ",IF(INDEX($AC$2:$AS$1001,MATCH(ROWS($V$2:V260),$V$2:$V$1001,0),MATCH(COLUMNS($AC$1006:AO1006),$AC$1006:$AS$1006,0)), HYPERLINK("#",""), HYPERLINK(CONCATENATE("#metadata!", ADDRESS(INDEX($X$2:$X$1001,MATCH(ROWS($V$2:V260),$V$2:$V$1001,0),0), INDEX($AC$1004:$AS$1004,1,MATCH(COLUMNS($AC$1006:AO1006),$AC$1006:$AS$1006,0)))),"Fix")))</f>
        <v xml:space="preserve"> </v>
      </c>
      <c r="O260" s="4" t="str">
        <f ca="1">IF(OR(INDEX($W$2:$W$1001,MATCH(ROWS($V$2:V260),$V$2:$V$1001,0),1)&gt;=100000,INDEX($AC$1005:$AS$1005,1,MATCH(COLUMNS($AC$1006:AP1006),$AC$1006:$AS$1006,0))&gt;=100000), " ",IF(INDEX($AC$2:$AS$1001,MATCH(ROWS($V$2:V260),$V$2:$V$1001,0),MATCH(COLUMNS($AC$1006:AP1006),$AC$1006:$AS$1006,0)), HYPERLINK("#",""), HYPERLINK(CONCATENATE("#metadata!", ADDRESS(INDEX($X$2:$X$1001,MATCH(ROWS($V$2:V260),$V$2:$V$1001,0),0), INDEX($AC$1004:$AS$1004,1,MATCH(COLUMNS($AC$1006:AP1006),$AC$1006:$AS$1006,0)))),"Fix")))</f>
        <v xml:space="preserve"> </v>
      </c>
      <c r="P260" s="4" t="str">
        <f ca="1">IF(OR(INDEX($W$2:$W$1001,MATCH(ROWS($V$2:V260),$V$2:$V$1001,0),1)&gt;=100000,INDEX($AC$1005:$AS$1005,1,MATCH(COLUMNS($AC$1006:AQ1006),$AC$1006:$AS$1006,0))&gt;=100000), " ",IF(INDEX($AC$2:$AS$1001,MATCH(ROWS($V$2:V260),$V$2:$V$1001,0),MATCH(COLUMNS($AC$1006:AQ1006),$AC$1006:$AS$1006,0)), HYPERLINK("#",""), HYPERLINK(CONCATENATE("#metadata!", ADDRESS(INDEX($X$2:$X$1001,MATCH(ROWS($V$2:V260),$V$2:$V$1001,0),0), INDEX($AC$1004:$AS$1004,1,MATCH(COLUMNS($AC$1006:AQ1006),$AC$1006:$AS$1006,0)))),"Fix")))</f>
        <v xml:space="preserve"> </v>
      </c>
      <c r="Q260" s="4" t="str">
        <f ca="1">IF(OR(INDEX($W$2:$W$1001,MATCH(ROWS($V$2:V260),$V$2:$V$1001,0),1)&gt;=100000,INDEX($AC$1005:$AS$1005,1,MATCH(COLUMNS($AC$1006:AR1006),$AC$1006:$AS$1006,0))&gt;=100000), " ",IF(INDEX($AC$2:$AS$1001,MATCH(ROWS($V$2:V260),$V$2:$V$1001,0),MATCH(COLUMNS($AC$1006:AR1006),$AC$1006:$AS$1006,0)), HYPERLINK("#",""), HYPERLINK(CONCATENATE("#metadata!", ADDRESS(INDEX($X$2:$X$1001,MATCH(ROWS($V$2:V260),$V$2:$V$1001,0),0), INDEX($AC$1004:$AS$1004,1,MATCH(COLUMNS($AC$1006:AR1006),$AC$1006:$AS$1006,0)))),"Fix")))</f>
        <v xml:space="preserve"> </v>
      </c>
      <c r="R260" s="4" t="str">
        <f ca="1">IF(OR(INDEX($W$2:$W$1001,MATCH(ROWS($V$2:V260),$V$2:$V$1001,0),1)&gt;=100000,INDEX($AC$1005:$AS$1005,1,MATCH(COLUMNS($AC$1006:AS1006),$AC$1006:$AS$1006,0))&gt;=100000), " ",IF(INDEX($AC$2:$AS$1001,MATCH(ROWS($V$2:V260),$V$2:$V$1001,0),MATCH(COLUMNS($AC$1006:AS1006),$AC$1006:$AS$1006,0)), HYPERLINK("#",""), HYPERLINK(CONCATENATE("#metadata!", ADDRESS(INDEX($X$2:$X$1001,MATCH(ROWS($V$2:V260),$V$2:$V$1001,0),0), INDEX($AC$1004:$AS$1004,1,MATCH(COLUMNS($AC$1006:AS1006),$AC$1006:$AS$1006,0)))),"Fix")))</f>
        <v xml:space="preserve"> </v>
      </c>
      <c r="V260">
        <v>259</v>
      </c>
      <c r="W260">
        <v>100260</v>
      </c>
      <c r="X260">
        <v>260</v>
      </c>
      <c r="Y260" t="b">
        <f t="shared" si="4"/>
        <v>1</v>
      </c>
      <c r="Z260" t="b">
        <f>COUNTBLANK(metadata!B260:R260)=COLUMNS(metadata!B260:R260)</f>
        <v>1</v>
      </c>
      <c r="AA260" t="str">
        <v/>
      </c>
      <c r="AC260" t="b">
        <f ca="1"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AD260" t="b">
        <f>IF(metadata!C260="",FALSE,ISNUMBER(VALUE(metadata!C260)))</f>
        <v>0</v>
      </c>
      <c r="AE260" t="b">
        <f>AND(IF(metadata!D260="",FALSE,TRUE),EXACT(metadata!D260,"years"))</f>
        <v>0</v>
      </c>
      <c r="AF260" t="b">
        <f>OR(AND(IF(metadata!E260="",FALSE,TRUE),OR(EXACT(metadata!E260,"not applicable"),EXACT(metadata!E260,"missing: not collected"),EXACT(metadata!E260,"missing: not provided"),EXACT(metadata!E260,"missing: restricted access"))),AND(IF(metadata!E260="",FALSE,ISNUMBER(VALUE(metadata!E260))),metadata!E260&gt;0))</f>
        <v>0</v>
      </c>
      <c r="AG260" t="b">
        <f>AND(IF(metadata!F260="",FALSE,TRUE),EXACT(metadata!F260,"Not applicable"))</f>
        <v>0</v>
      </c>
      <c r="AH260" t="b">
        <f>AND(IF(metadata!G260="",FALSE,TRUE),EXACT(metadata!G260,"urban biome"))</f>
        <v>0</v>
      </c>
      <c r="AI260" t="b">
        <f>AND(IF(metadata!H260="",FALSE,TRUE),EXACT(metadata!H260,"human-associated habitat"))</f>
        <v>0</v>
      </c>
      <c r="AJ260" t="b">
        <f>AND(IF(metadata!I260="",FALSE,TRUE),OR(EXACT(metadata!I260,"human-associated"),EXACT(metadata!I260,"human-skin"),EXACT(metadata!I260,"human-oral"),EXACT(metadata!I260,"human-gut"),EXACT(metadata!I260,"human-vaginal")))</f>
        <v>0</v>
      </c>
      <c r="AK260" t="b">
        <f>IF(metadata!J260="",FALSE,ISNUMBER(VALUE(metadata!J260)))</f>
        <v>0</v>
      </c>
      <c r="AL260" t="b">
        <f>AND(IF(metadata!K260="",FALSE,TRUE),EXACT(metadata!K260,"cm"))</f>
        <v>0</v>
      </c>
      <c r="AM260" t="b">
        <f>AND(IF(metadata!L260="",FALSE,TRUE),EXACT(metadata!L260,"human"))</f>
        <v>0</v>
      </c>
      <c r="AN260" t="b">
        <f>AND(IF(metadata!M260="",FALSE,TRUE),EXACT(metadata!M260,"Homo sapiens"))</f>
        <v>0</v>
      </c>
      <c r="AO260" t="b">
        <f>AND(IF(metadata!N260="",FALSE,TRUE),EXACT(metadata!N260,"9606"))</f>
        <v>0</v>
      </c>
      <c r="AP260" t="b">
        <f>IF(metadata!O260="",FALSE,TRUE)</f>
        <v>0</v>
      </c>
      <c r="AQ260" t="b">
        <f>IF(metadata!P260="",FALSE,TRUE)</f>
        <v>0</v>
      </c>
      <c r="AR260" t="b">
        <f>IF(metadata!Q260="",FALSE,ISNUMBER(VALUE(metadata!Q260)))</f>
        <v>0</v>
      </c>
      <c r="AS260" t="b">
        <f>AND(IF(metadata!R260="",FALSE,TRUE),EXACT(metadata!R260,"kg"))</f>
        <v>0</v>
      </c>
    </row>
    <row r="261" spans="1:45" x14ac:dyDescent="0.2">
      <c r="A261" s="5" t="str">
        <f ca="1">IF(B261=" "," ",HYPERLINK(CONCATENATE("#metadata!",ADDRESS(INDEX($X$2:$X$1001,MATCH(ROWS($V$2:V261),$V$2:$V$1001,0),0),1)),INDEX($AA$2:$AA$1001,MATCH(ROWS($V$2:V261),$V$2:$V$1001,0),0)))</f>
        <v xml:space="preserve"> </v>
      </c>
      <c r="B261" s="4" t="str">
        <f ca="1">IF(OR(INDEX($W$2:$W$1001,MATCH(ROWS($V$2:V261),$V$2:$V$1001,0),1)&gt;=100000,INDEX($AC$1005:$AS$1005,1,MATCH(COLUMNS($AC$1006:AC1006),$AC$1006:$AS$1006,0))&gt;=100000), " ",IF(INDEX($AC$2:$AS$1001,MATCH(ROWS($V$2:V261),$V$2:$V$1001,0),MATCH(COLUMNS($AC$1006:AC1006),$AC$1006:$AS$1006,0)), HYPERLINK("#",""), HYPERLINK(CONCATENATE("#metadata!", ADDRESS(INDEX($X$2:$X$1001,MATCH(ROWS($V$2:V261),$V$2:$V$1001,0),0), INDEX($AC$1004:$AS$1004,1,MATCH(COLUMNS($AC$1006:AC1006),$AC$1006:$AS$1006,0)))),"Fix")))</f>
        <v xml:space="preserve"> </v>
      </c>
      <c r="C261" s="4" t="str">
        <f ca="1">IF(OR(INDEX($W$2:$W$1001,MATCH(ROWS($V$2:V261),$V$2:$V$1001,0),1)&gt;=100000,INDEX($AC$1005:$AS$1005,1,MATCH(COLUMNS($AC$1006:AD1006),$AC$1006:$AS$1006,0))&gt;=100000), " ",IF(INDEX($AC$2:$AS$1001,MATCH(ROWS($V$2:V261),$V$2:$V$1001,0),MATCH(COLUMNS($AC$1006:AD1006),$AC$1006:$AS$1006,0)), HYPERLINK("#",""), HYPERLINK(CONCATENATE("#metadata!", ADDRESS(INDEX($X$2:$X$1001,MATCH(ROWS($V$2:V261),$V$2:$V$1001,0),0), INDEX($AC$1004:$AS$1004,1,MATCH(COLUMNS($AC$1006:AD1006),$AC$1006:$AS$1006,0)))),"Fix")))</f>
        <v xml:space="preserve"> </v>
      </c>
      <c r="D261" s="4" t="str">
        <f ca="1">IF(OR(INDEX($W$2:$W$1001,MATCH(ROWS($V$2:V261),$V$2:$V$1001,0),1)&gt;=100000,INDEX($AC$1005:$AS$1005,1,MATCH(COLUMNS($AC$1006:AE1006),$AC$1006:$AS$1006,0))&gt;=100000), " ",IF(INDEX($AC$2:$AS$1001,MATCH(ROWS($V$2:V261),$V$2:$V$1001,0),MATCH(COLUMNS($AC$1006:AE1006),$AC$1006:$AS$1006,0)), HYPERLINK("#",""), HYPERLINK(CONCATENATE("#metadata!", ADDRESS(INDEX($X$2:$X$1001,MATCH(ROWS($V$2:V261),$V$2:$V$1001,0),0), INDEX($AC$1004:$AS$1004,1,MATCH(COLUMNS($AC$1006:AE1006),$AC$1006:$AS$1006,0)))),"Fix")))</f>
        <v xml:space="preserve"> </v>
      </c>
      <c r="E261" s="4" t="str">
        <f ca="1">IF(OR(INDEX($W$2:$W$1001,MATCH(ROWS($V$2:V261),$V$2:$V$1001,0),1)&gt;=100000,INDEX($AC$1005:$AS$1005,1,MATCH(COLUMNS($AC$1006:AF1006),$AC$1006:$AS$1006,0))&gt;=100000), " ",IF(INDEX($AC$2:$AS$1001,MATCH(ROWS($V$2:V261),$V$2:$V$1001,0),MATCH(COLUMNS($AC$1006:AF1006),$AC$1006:$AS$1006,0)), HYPERLINK("#",""), HYPERLINK(CONCATENATE("#metadata!", ADDRESS(INDEX($X$2:$X$1001,MATCH(ROWS($V$2:V261),$V$2:$V$1001,0),0), INDEX($AC$1004:$AS$1004,1,MATCH(COLUMNS($AC$1006:AF1006),$AC$1006:$AS$1006,0)))),"Fix")))</f>
        <v xml:space="preserve"> </v>
      </c>
      <c r="F261" s="4" t="str">
        <f ca="1">IF(OR(INDEX($W$2:$W$1001,MATCH(ROWS($V$2:V261),$V$2:$V$1001,0),1)&gt;=100000,INDEX($AC$1005:$AS$1005,1,MATCH(COLUMNS($AC$1006:AG1006),$AC$1006:$AS$1006,0))&gt;=100000), " ",IF(INDEX($AC$2:$AS$1001,MATCH(ROWS($V$2:V261),$V$2:$V$1001,0),MATCH(COLUMNS($AC$1006:AG1006),$AC$1006:$AS$1006,0)), HYPERLINK("#",""), HYPERLINK(CONCATENATE("#metadata!", ADDRESS(INDEX($X$2:$X$1001,MATCH(ROWS($V$2:V261),$V$2:$V$1001,0),0), INDEX($AC$1004:$AS$1004,1,MATCH(COLUMNS($AC$1006:AG1006),$AC$1006:$AS$1006,0)))),"Fix")))</f>
        <v xml:space="preserve"> </v>
      </c>
      <c r="G261" s="4" t="str">
        <f ca="1">IF(OR(INDEX($W$2:$W$1001,MATCH(ROWS($V$2:V261),$V$2:$V$1001,0),1)&gt;=100000,INDEX($AC$1005:$AS$1005,1,MATCH(COLUMNS($AC$1006:AH1006),$AC$1006:$AS$1006,0))&gt;=100000), " ",IF(INDEX($AC$2:$AS$1001,MATCH(ROWS($V$2:V261),$V$2:$V$1001,0),MATCH(COLUMNS($AC$1006:AH1006),$AC$1006:$AS$1006,0)), HYPERLINK("#",""), HYPERLINK(CONCATENATE("#metadata!", ADDRESS(INDEX($X$2:$X$1001,MATCH(ROWS($V$2:V261),$V$2:$V$1001,0),0), INDEX($AC$1004:$AS$1004,1,MATCH(COLUMNS($AC$1006:AH1006),$AC$1006:$AS$1006,0)))),"Fix")))</f>
        <v xml:space="preserve"> </v>
      </c>
      <c r="H261" s="4" t="str">
        <f ca="1">IF(OR(INDEX($W$2:$W$1001,MATCH(ROWS($V$2:V261),$V$2:$V$1001,0),1)&gt;=100000,INDEX($AC$1005:$AS$1005,1,MATCH(COLUMNS($AC$1006:AI1006),$AC$1006:$AS$1006,0))&gt;=100000), " ",IF(INDEX($AC$2:$AS$1001,MATCH(ROWS($V$2:V261),$V$2:$V$1001,0),MATCH(COLUMNS($AC$1006:AI1006),$AC$1006:$AS$1006,0)), HYPERLINK("#",""), HYPERLINK(CONCATENATE("#metadata!", ADDRESS(INDEX($X$2:$X$1001,MATCH(ROWS($V$2:V261),$V$2:$V$1001,0),0), INDEX($AC$1004:$AS$1004,1,MATCH(COLUMNS($AC$1006:AI1006),$AC$1006:$AS$1006,0)))),"Fix")))</f>
        <v xml:space="preserve"> </v>
      </c>
      <c r="I261" s="4" t="str">
        <f ca="1">IF(OR(INDEX($W$2:$W$1001,MATCH(ROWS($V$2:V261),$V$2:$V$1001,0),1)&gt;=100000,INDEX($AC$1005:$AS$1005,1,MATCH(COLUMNS($AC$1006:AJ1006),$AC$1006:$AS$1006,0))&gt;=100000), " ",IF(INDEX($AC$2:$AS$1001,MATCH(ROWS($V$2:V261),$V$2:$V$1001,0),MATCH(COLUMNS($AC$1006:AJ1006),$AC$1006:$AS$1006,0)), HYPERLINK("#",""), HYPERLINK(CONCATENATE("#metadata!", ADDRESS(INDEX($X$2:$X$1001,MATCH(ROWS($V$2:V261),$V$2:$V$1001,0),0), INDEX($AC$1004:$AS$1004,1,MATCH(COLUMNS($AC$1006:AJ1006),$AC$1006:$AS$1006,0)))),"Fix")))</f>
        <v xml:space="preserve"> </v>
      </c>
      <c r="J261" s="4" t="str">
        <f ca="1">IF(OR(INDEX($W$2:$W$1001,MATCH(ROWS($V$2:V261),$V$2:$V$1001,0),1)&gt;=100000,INDEX($AC$1005:$AS$1005,1,MATCH(COLUMNS($AC$1006:AK1006),$AC$1006:$AS$1006,0))&gt;=100000), " ",IF(INDEX($AC$2:$AS$1001,MATCH(ROWS($V$2:V261),$V$2:$V$1001,0),MATCH(COLUMNS($AC$1006:AK1006),$AC$1006:$AS$1006,0)), HYPERLINK("#",""), HYPERLINK(CONCATENATE("#metadata!", ADDRESS(INDEX($X$2:$X$1001,MATCH(ROWS($V$2:V261),$V$2:$V$1001,0),0), INDEX($AC$1004:$AS$1004,1,MATCH(COLUMNS($AC$1006:AK1006),$AC$1006:$AS$1006,0)))),"Fix")))</f>
        <v xml:space="preserve"> </v>
      </c>
      <c r="K261" s="4" t="str">
        <f ca="1">IF(OR(INDEX($W$2:$W$1001,MATCH(ROWS($V$2:V261),$V$2:$V$1001,0),1)&gt;=100000,INDEX($AC$1005:$AS$1005,1,MATCH(COLUMNS($AC$1006:AL1006),$AC$1006:$AS$1006,0))&gt;=100000), " ",IF(INDEX($AC$2:$AS$1001,MATCH(ROWS($V$2:V261),$V$2:$V$1001,0),MATCH(COLUMNS($AC$1006:AL1006),$AC$1006:$AS$1006,0)), HYPERLINK("#",""), HYPERLINK(CONCATENATE("#metadata!", ADDRESS(INDEX($X$2:$X$1001,MATCH(ROWS($V$2:V261),$V$2:$V$1001,0),0), INDEX($AC$1004:$AS$1004,1,MATCH(COLUMNS($AC$1006:AL1006),$AC$1006:$AS$1006,0)))),"Fix")))</f>
        <v xml:space="preserve"> </v>
      </c>
      <c r="L261" s="4" t="str">
        <f ca="1">IF(OR(INDEX($W$2:$W$1001,MATCH(ROWS($V$2:V261),$V$2:$V$1001,0),1)&gt;=100000,INDEX($AC$1005:$AS$1005,1,MATCH(COLUMNS($AC$1006:AM1006),$AC$1006:$AS$1006,0))&gt;=100000), " ",IF(INDEX($AC$2:$AS$1001,MATCH(ROWS($V$2:V261),$V$2:$V$1001,0),MATCH(COLUMNS($AC$1006:AM1006),$AC$1006:$AS$1006,0)), HYPERLINK("#",""), HYPERLINK(CONCATENATE("#metadata!", ADDRESS(INDEX($X$2:$X$1001,MATCH(ROWS($V$2:V261),$V$2:$V$1001,0),0), INDEX($AC$1004:$AS$1004,1,MATCH(COLUMNS($AC$1006:AM1006),$AC$1006:$AS$1006,0)))),"Fix")))</f>
        <v xml:space="preserve"> </v>
      </c>
      <c r="M261" s="4" t="str">
        <f ca="1">IF(OR(INDEX($W$2:$W$1001,MATCH(ROWS($V$2:V261),$V$2:$V$1001,0),1)&gt;=100000,INDEX($AC$1005:$AS$1005,1,MATCH(COLUMNS($AC$1006:AN1006),$AC$1006:$AS$1006,0))&gt;=100000), " ",IF(INDEX($AC$2:$AS$1001,MATCH(ROWS($V$2:V261),$V$2:$V$1001,0),MATCH(COLUMNS($AC$1006:AN1006),$AC$1006:$AS$1006,0)), HYPERLINK("#",""), HYPERLINK(CONCATENATE("#metadata!", ADDRESS(INDEX($X$2:$X$1001,MATCH(ROWS($V$2:V261),$V$2:$V$1001,0),0), INDEX($AC$1004:$AS$1004,1,MATCH(COLUMNS($AC$1006:AN1006),$AC$1006:$AS$1006,0)))),"Fix")))</f>
        <v xml:space="preserve"> </v>
      </c>
      <c r="N261" s="4" t="str">
        <f ca="1">IF(OR(INDEX($W$2:$W$1001,MATCH(ROWS($V$2:V261),$V$2:$V$1001,0),1)&gt;=100000,INDEX($AC$1005:$AS$1005,1,MATCH(COLUMNS($AC$1006:AO1006),$AC$1006:$AS$1006,0))&gt;=100000), " ",IF(INDEX($AC$2:$AS$1001,MATCH(ROWS($V$2:V261),$V$2:$V$1001,0),MATCH(COLUMNS($AC$1006:AO1006),$AC$1006:$AS$1006,0)), HYPERLINK("#",""), HYPERLINK(CONCATENATE("#metadata!", ADDRESS(INDEX($X$2:$X$1001,MATCH(ROWS($V$2:V261),$V$2:$V$1001,0),0), INDEX($AC$1004:$AS$1004,1,MATCH(COLUMNS($AC$1006:AO1006),$AC$1006:$AS$1006,0)))),"Fix")))</f>
        <v xml:space="preserve"> </v>
      </c>
      <c r="O261" s="4" t="str">
        <f ca="1">IF(OR(INDEX($W$2:$W$1001,MATCH(ROWS($V$2:V261),$V$2:$V$1001,0),1)&gt;=100000,INDEX($AC$1005:$AS$1005,1,MATCH(COLUMNS($AC$1006:AP1006),$AC$1006:$AS$1006,0))&gt;=100000), " ",IF(INDEX($AC$2:$AS$1001,MATCH(ROWS($V$2:V261),$V$2:$V$1001,0),MATCH(COLUMNS($AC$1006:AP1006),$AC$1006:$AS$1006,0)), HYPERLINK("#",""), HYPERLINK(CONCATENATE("#metadata!", ADDRESS(INDEX($X$2:$X$1001,MATCH(ROWS($V$2:V261),$V$2:$V$1001,0),0), INDEX($AC$1004:$AS$1004,1,MATCH(COLUMNS($AC$1006:AP1006),$AC$1006:$AS$1006,0)))),"Fix")))</f>
        <v xml:space="preserve"> </v>
      </c>
      <c r="P261" s="4" t="str">
        <f ca="1">IF(OR(INDEX($W$2:$W$1001,MATCH(ROWS($V$2:V261),$V$2:$V$1001,0),1)&gt;=100000,INDEX($AC$1005:$AS$1005,1,MATCH(COLUMNS($AC$1006:AQ1006),$AC$1006:$AS$1006,0))&gt;=100000), " ",IF(INDEX($AC$2:$AS$1001,MATCH(ROWS($V$2:V261),$V$2:$V$1001,0),MATCH(COLUMNS($AC$1006:AQ1006),$AC$1006:$AS$1006,0)), HYPERLINK("#",""), HYPERLINK(CONCATENATE("#metadata!", ADDRESS(INDEX($X$2:$X$1001,MATCH(ROWS($V$2:V261),$V$2:$V$1001,0),0), INDEX($AC$1004:$AS$1004,1,MATCH(COLUMNS($AC$1006:AQ1006),$AC$1006:$AS$1006,0)))),"Fix")))</f>
        <v xml:space="preserve"> </v>
      </c>
      <c r="Q261" s="4" t="str">
        <f ca="1">IF(OR(INDEX($W$2:$W$1001,MATCH(ROWS($V$2:V261),$V$2:$V$1001,0),1)&gt;=100000,INDEX($AC$1005:$AS$1005,1,MATCH(COLUMNS($AC$1006:AR1006),$AC$1006:$AS$1006,0))&gt;=100000), " ",IF(INDEX($AC$2:$AS$1001,MATCH(ROWS($V$2:V261),$V$2:$V$1001,0),MATCH(COLUMNS($AC$1006:AR1006),$AC$1006:$AS$1006,0)), HYPERLINK("#",""), HYPERLINK(CONCATENATE("#metadata!", ADDRESS(INDEX($X$2:$X$1001,MATCH(ROWS($V$2:V261),$V$2:$V$1001,0),0), INDEX($AC$1004:$AS$1004,1,MATCH(COLUMNS($AC$1006:AR1006),$AC$1006:$AS$1006,0)))),"Fix")))</f>
        <v xml:space="preserve"> </v>
      </c>
      <c r="R261" s="4" t="str">
        <f ca="1">IF(OR(INDEX($W$2:$W$1001,MATCH(ROWS($V$2:V261),$V$2:$V$1001,0),1)&gt;=100000,INDEX($AC$1005:$AS$1005,1,MATCH(COLUMNS($AC$1006:AS1006),$AC$1006:$AS$1006,0))&gt;=100000), " ",IF(INDEX($AC$2:$AS$1001,MATCH(ROWS($V$2:V261),$V$2:$V$1001,0),MATCH(COLUMNS($AC$1006:AS1006),$AC$1006:$AS$1006,0)), HYPERLINK("#",""), HYPERLINK(CONCATENATE("#metadata!", ADDRESS(INDEX($X$2:$X$1001,MATCH(ROWS($V$2:V261),$V$2:$V$1001,0),0), INDEX($AC$1004:$AS$1004,1,MATCH(COLUMNS($AC$1006:AS1006),$AC$1006:$AS$1006,0)))),"Fix")))</f>
        <v xml:space="preserve"> </v>
      </c>
      <c r="V261">
        <v>260</v>
      </c>
      <c r="W261">
        <v>100261</v>
      </c>
      <c r="X261">
        <v>261</v>
      </c>
      <c r="Y261" t="b">
        <f t="shared" si="4"/>
        <v>1</v>
      </c>
      <c r="Z261" t="b">
        <f>COUNTBLANK(metadata!B261:R261)=COLUMNS(metadata!B261:R261)</f>
        <v>1</v>
      </c>
      <c r="AA261" t="str">
        <v/>
      </c>
      <c r="AC261" t="b">
        <f ca="1"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AD261" t="b">
        <f>IF(metadata!C261="",FALSE,ISNUMBER(VALUE(metadata!C261)))</f>
        <v>0</v>
      </c>
      <c r="AE261" t="b">
        <f>AND(IF(metadata!D261="",FALSE,TRUE),EXACT(metadata!D261,"years"))</f>
        <v>0</v>
      </c>
      <c r="AF261" t="b">
        <f>OR(AND(IF(metadata!E261="",FALSE,TRUE),OR(EXACT(metadata!E261,"not applicable"),EXACT(metadata!E261,"missing: not collected"),EXACT(metadata!E261,"missing: not provided"),EXACT(metadata!E261,"missing: restricted access"))),AND(IF(metadata!E261="",FALSE,ISNUMBER(VALUE(metadata!E261))),metadata!E261&gt;0))</f>
        <v>0</v>
      </c>
      <c r="AG261" t="b">
        <f>AND(IF(metadata!F261="",FALSE,TRUE),EXACT(metadata!F261,"Not applicable"))</f>
        <v>0</v>
      </c>
      <c r="AH261" t="b">
        <f>AND(IF(metadata!G261="",FALSE,TRUE),EXACT(metadata!G261,"urban biome"))</f>
        <v>0</v>
      </c>
      <c r="AI261" t="b">
        <f>AND(IF(metadata!H261="",FALSE,TRUE),EXACT(metadata!H261,"human-associated habitat"))</f>
        <v>0</v>
      </c>
      <c r="AJ261" t="b">
        <f>AND(IF(metadata!I261="",FALSE,TRUE),OR(EXACT(metadata!I261,"human-associated"),EXACT(metadata!I261,"human-skin"),EXACT(metadata!I261,"human-oral"),EXACT(metadata!I261,"human-gut"),EXACT(metadata!I261,"human-vaginal")))</f>
        <v>0</v>
      </c>
      <c r="AK261" t="b">
        <f>IF(metadata!J261="",FALSE,ISNUMBER(VALUE(metadata!J261)))</f>
        <v>0</v>
      </c>
      <c r="AL261" t="b">
        <f>AND(IF(metadata!K261="",FALSE,TRUE),EXACT(metadata!K261,"cm"))</f>
        <v>0</v>
      </c>
      <c r="AM261" t="b">
        <f>AND(IF(metadata!L261="",FALSE,TRUE),EXACT(metadata!L261,"human"))</f>
        <v>0</v>
      </c>
      <c r="AN261" t="b">
        <f>AND(IF(metadata!M261="",FALSE,TRUE),EXACT(metadata!M261,"Homo sapiens"))</f>
        <v>0</v>
      </c>
      <c r="AO261" t="b">
        <f>AND(IF(metadata!N261="",FALSE,TRUE),EXACT(metadata!N261,"9606"))</f>
        <v>0</v>
      </c>
      <c r="AP261" t="b">
        <f>IF(metadata!O261="",FALSE,TRUE)</f>
        <v>0</v>
      </c>
      <c r="AQ261" t="b">
        <f>IF(metadata!P261="",FALSE,TRUE)</f>
        <v>0</v>
      </c>
      <c r="AR261" t="b">
        <f>IF(metadata!Q261="",FALSE,ISNUMBER(VALUE(metadata!Q261)))</f>
        <v>0</v>
      </c>
      <c r="AS261" t="b">
        <f>AND(IF(metadata!R261="",FALSE,TRUE),EXACT(metadata!R261,"kg"))</f>
        <v>0</v>
      </c>
    </row>
    <row r="262" spans="1:45" x14ac:dyDescent="0.2">
      <c r="A262" s="5" t="str">
        <f ca="1">IF(B262=" "," ",HYPERLINK(CONCATENATE("#metadata!",ADDRESS(INDEX($X$2:$X$1001,MATCH(ROWS($V$2:V262),$V$2:$V$1001,0),0),1)),INDEX($AA$2:$AA$1001,MATCH(ROWS($V$2:V262),$V$2:$V$1001,0),0)))</f>
        <v xml:space="preserve"> </v>
      </c>
      <c r="B262" s="4" t="str">
        <f ca="1">IF(OR(INDEX($W$2:$W$1001,MATCH(ROWS($V$2:V262),$V$2:$V$1001,0),1)&gt;=100000,INDEX($AC$1005:$AS$1005,1,MATCH(COLUMNS($AC$1006:AC1006),$AC$1006:$AS$1006,0))&gt;=100000), " ",IF(INDEX($AC$2:$AS$1001,MATCH(ROWS($V$2:V262),$V$2:$V$1001,0),MATCH(COLUMNS($AC$1006:AC1006),$AC$1006:$AS$1006,0)), HYPERLINK("#",""), HYPERLINK(CONCATENATE("#metadata!", ADDRESS(INDEX($X$2:$X$1001,MATCH(ROWS($V$2:V262),$V$2:$V$1001,0),0), INDEX($AC$1004:$AS$1004,1,MATCH(COLUMNS($AC$1006:AC1006),$AC$1006:$AS$1006,0)))),"Fix")))</f>
        <v xml:space="preserve"> </v>
      </c>
      <c r="C262" s="4" t="str">
        <f ca="1">IF(OR(INDEX($W$2:$W$1001,MATCH(ROWS($V$2:V262),$V$2:$V$1001,0),1)&gt;=100000,INDEX($AC$1005:$AS$1005,1,MATCH(COLUMNS($AC$1006:AD1006),$AC$1006:$AS$1006,0))&gt;=100000), " ",IF(INDEX($AC$2:$AS$1001,MATCH(ROWS($V$2:V262),$V$2:$V$1001,0),MATCH(COLUMNS($AC$1006:AD1006),$AC$1006:$AS$1006,0)), HYPERLINK("#",""), HYPERLINK(CONCATENATE("#metadata!", ADDRESS(INDEX($X$2:$X$1001,MATCH(ROWS($V$2:V262),$V$2:$V$1001,0),0), INDEX($AC$1004:$AS$1004,1,MATCH(COLUMNS($AC$1006:AD1006),$AC$1006:$AS$1006,0)))),"Fix")))</f>
        <v xml:space="preserve"> </v>
      </c>
      <c r="D262" s="4" t="str">
        <f ca="1">IF(OR(INDEX($W$2:$W$1001,MATCH(ROWS($V$2:V262),$V$2:$V$1001,0),1)&gt;=100000,INDEX($AC$1005:$AS$1005,1,MATCH(COLUMNS($AC$1006:AE1006),$AC$1006:$AS$1006,0))&gt;=100000), " ",IF(INDEX($AC$2:$AS$1001,MATCH(ROWS($V$2:V262),$V$2:$V$1001,0),MATCH(COLUMNS($AC$1006:AE1006),$AC$1006:$AS$1006,0)), HYPERLINK("#",""), HYPERLINK(CONCATENATE("#metadata!", ADDRESS(INDEX($X$2:$X$1001,MATCH(ROWS($V$2:V262),$V$2:$V$1001,0),0), INDEX($AC$1004:$AS$1004,1,MATCH(COLUMNS($AC$1006:AE1006),$AC$1006:$AS$1006,0)))),"Fix")))</f>
        <v xml:space="preserve"> </v>
      </c>
      <c r="E262" s="4" t="str">
        <f ca="1">IF(OR(INDEX($W$2:$W$1001,MATCH(ROWS($V$2:V262),$V$2:$V$1001,0),1)&gt;=100000,INDEX($AC$1005:$AS$1005,1,MATCH(COLUMNS($AC$1006:AF1006),$AC$1006:$AS$1006,0))&gt;=100000), " ",IF(INDEX($AC$2:$AS$1001,MATCH(ROWS($V$2:V262),$V$2:$V$1001,0),MATCH(COLUMNS($AC$1006:AF1006),$AC$1006:$AS$1006,0)), HYPERLINK("#",""), HYPERLINK(CONCATENATE("#metadata!", ADDRESS(INDEX($X$2:$X$1001,MATCH(ROWS($V$2:V262),$V$2:$V$1001,0),0), INDEX($AC$1004:$AS$1004,1,MATCH(COLUMNS($AC$1006:AF1006),$AC$1006:$AS$1006,0)))),"Fix")))</f>
        <v xml:space="preserve"> </v>
      </c>
      <c r="F262" s="4" t="str">
        <f ca="1">IF(OR(INDEX($W$2:$W$1001,MATCH(ROWS($V$2:V262),$V$2:$V$1001,0),1)&gt;=100000,INDEX($AC$1005:$AS$1005,1,MATCH(COLUMNS($AC$1006:AG1006),$AC$1006:$AS$1006,0))&gt;=100000), " ",IF(INDEX($AC$2:$AS$1001,MATCH(ROWS($V$2:V262),$V$2:$V$1001,0),MATCH(COLUMNS($AC$1006:AG1006),$AC$1006:$AS$1006,0)), HYPERLINK("#",""), HYPERLINK(CONCATENATE("#metadata!", ADDRESS(INDEX($X$2:$X$1001,MATCH(ROWS($V$2:V262),$V$2:$V$1001,0),0), INDEX($AC$1004:$AS$1004,1,MATCH(COLUMNS($AC$1006:AG1006),$AC$1006:$AS$1006,0)))),"Fix")))</f>
        <v xml:space="preserve"> </v>
      </c>
      <c r="G262" s="4" t="str">
        <f ca="1">IF(OR(INDEX($W$2:$W$1001,MATCH(ROWS($V$2:V262),$V$2:$V$1001,0),1)&gt;=100000,INDEX($AC$1005:$AS$1005,1,MATCH(COLUMNS($AC$1006:AH1006),$AC$1006:$AS$1006,0))&gt;=100000), " ",IF(INDEX($AC$2:$AS$1001,MATCH(ROWS($V$2:V262),$V$2:$V$1001,0),MATCH(COLUMNS($AC$1006:AH1006),$AC$1006:$AS$1006,0)), HYPERLINK("#",""), HYPERLINK(CONCATENATE("#metadata!", ADDRESS(INDEX($X$2:$X$1001,MATCH(ROWS($V$2:V262),$V$2:$V$1001,0),0), INDEX($AC$1004:$AS$1004,1,MATCH(COLUMNS($AC$1006:AH1006),$AC$1006:$AS$1006,0)))),"Fix")))</f>
        <v xml:space="preserve"> </v>
      </c>
      <c r="H262" s="4" t="str">
        <f ca="1">IF(OR(INDEX($W$2:$W$1001,MATCH(ROWS($V$2:V262),$V$2:$V$1001,0),1)&gt;=100000,INDEX($AC$1005:$AS$1005,1,MATCH(COLUMNS($AC$1006:AI1006),$AC$1006:$AS$1006,0))&gt;=100000), " ",IF(INDEX($AC$2:$AS$1001,MATCH(ROWS($V$2:V262),$V$2:$V$1001,0),MATCH(COLUMNS($AC$1006:AI1006),$AC$1006:$AS$1006,0)), HYPERLINK("#",""), HYPERLINK(CONCATENATE("#metadata!", ADDRESS(INDEX($X$2:$X$1001,MATCH(ROWS($V$2:V262),$V$2:$V$1001,0),0), INDEX($AC$1004:$AS$1004,1,MATCH(COLUMNS($AC$1006:AI1006),$AC$1006:$AS$1006,0)))),"Fix")))</f>
        <v xml:space="preserve"> </v>
      </c>
      <c r="I262" s="4" t="str">
        <f ca="1">IF(OR(INDEX($W$2:$W$1001,MATCH(ROWS($V$2:V262),$V$2:$V$1001,0),1)&gt;=100000,INDEX($AC$1005:$AS$1005,1,MATCH(COLUMNS($AC$1006:AJ1006),$AC$1006:$AS$1006,0))&gt;=100000), " ",IF(INDEX($AC$2:$AS$1001,MATCH(ROWS($V$2:V262),$V$2:$V$1001,0),MATCH(COLUMNS($AC$1006:AJ1006),$AC$1006:$AS$1006,0)), HYPERLINK("#",""), HYPERLINK(CONCATENATE("#metadata!", ADDRESS(INDEX($X$2:$X$1001,MATCH(ROWS($V$2:V262),$V$2:$V$1001,0),0), INDEX($AC$1004:$AS$1004,1,MATCH(COLUMNS($AC$1006:AJ1006),$AC$1006:$AS$1006,0)))),"Fix")))</f>
        <v xml:space="preserve"> </v>
      </c>
      <c r="J262" s="4" t="str">
        <f ca="1">IF(OR(INDEX($W$2:$W$1001,MATCH(ROWS($V$2:V262),$V$2:$V$1001,0),1)&gt;=100000,INDEX($AC$1005:$AS$1005,1,MATCH(COLUMNS($AC$1006:AK1006),$AC$1006:$AS$1006,0))&gt;=100000), " ",IF(INDEX($AC$2:$AS$1001,MATCH(ROWS($V$2:V262),$V$2:$V$1001,0),MATCH(COLUMNS($AC$1006:AK1006),$AC$1006:$AS$1006,0)), HYPERLINK("#",""), HYPERLINK(CONCATENATE("#metadata!", ADDRESS(INDEX($X$2:$X$1001,MATCH(ROWS($V$2:V262),$V$2:$V$1001,0),0), INDEX($AC$1004:$AS$1004,1,MATCH(COLUMNS($AC$1006:AK1006),$AC$1006:$AS$1006,0)))),"Fix")))</f>
        <v xml:space="preserve"> </v>
      </c>
      <c r="K262" s="4" t="str">
        <f ca="1">IF(OR(INDEX($W$2:$W$1001,MATCH(ROWS($V$2:V262),$V$2:$V$1001,0),1)&gt;=100000,INDEX($AC$1005:$AS$1005,1,MATCH(COLUMNS($AC$1006:AL1006),$AC$1006:$AS$1006,0))&gt;=100000), " ",IF(INDEX($AC$2:$AS$1001,MATCH(ROWS($V$2:V262),$V$2:$V$1001,0),MATCH(COLUMNS($AC$1006:AL1006),$AC$1006:$AS$1006,0)), HYPERLINK("#",""), HYPERLINK(CONCATENATE("#metadata!", ADDRESS(INDEX($X$2:$X$1001,MATCH(ROWS($V$2:V262),$V$2:$V$1001,0),0), INDEX($AC$1004:$AS$1004,1,MATCH(COLUMNS($AC$1006:AL1006),$AC$1006:$AS$1006,0)))),"Fix")))</f>
        <v xml:space="preserve"> </v>
      </c>
      <c r="L262" s="4" t="str">
        <f ca="1">IF(OR(INDEX($W$2:$W$1001,MATCH(ROWS($V$2:V262),$V$2:$V$1001,0),1)&gt;=100000,INDEX($AC$1005:$AS$1005,1,MATCH(COLUMNS($AC$1006:AM1006),$AC$1006:$AS$1006,0))&gt;=100000), " ",IF(INDEX($AC$2:$AS$1001,MATCH(ROWS($V$2:V262),$V$2:$V$1001,0),MATCH(COLUMNS($AC$1006:AM1006),$AC$1006:$AS$1006,0)), HYPERLINK("#",""), HYPERLINK(CONCATENATE("#metadata!", ADDRESS(INDEX($X$2:$X$1001,MATCH(ROWS($V$2:V262),$V$2:$V$1001,0),0), INDEX($AC$1004:$AS$1004,1,MATCH(COLUMNS($AC$1006:AM1006),$AC$1006:$AS$1006,0)))),"Fix")))</f>
        <v xml:space="preserve"> </v>
      </c>
      <c r="M262" s="4" t="str">
        <f ca="1">IF(OR(INDEX($W$2:$W$1001,MATCH(ROWS($V$2:V262),$V$2:$V$1001,0),1)&gt;=100000,INDEX($AC$1005:$AS$1005,1,MATCH(COLUMNS($AC$1006:AN1006),$AC$1006:$AS$1006,0))&gt;=100000), " ",IF(INDEX($AC$2:$AS$1001,MATCH(ROWS($V$2:V262),$V$2:$V$1001,0),MATCH(COLUMNS($AC$1006:AN1006),$AC$1006:$AS$1006,0)), HYPERLINK("#",""), HYPERLINK(CONCATENATE("#metadata!", ADDRESS(INDEX($X$2:$X$1001,MATCH(ROWS($V$2:V262),$V$2:$V$1001,0),0), INDEX($AC$1004:$AS$1004,1,MATCH(COLUMNS($AC$1006:AN1006),$AC$1006:$AS$1006,0)))),"Fix")))</f>
        <v xml:space="preserve"> </v>
      </c>
      <c r="N262" s="4" t="str">
        <f ca="1">IF(OR(INDEX($W$2:$W$1001,MATCH(ROWS($V$2:V262),$V$2:$V$1001,0),1)&gt;=100000,INDEX($AC$1005:$AS$1005,1,MATCH(COLUMNS($AC$1006:AO1006),$AC$1006:$AS$1006,0))&gt;=100000), " ",IF(INDEX($AC$2:$AS$1001,MATCH(ROWS($V$2:V262),$V$2:$V$1001,0),MATCH(COLUMNS($AC$1006:AO1006),$AC$1006:$AS$1006,0)), HYPERLINK("#",""), HYPERLINK(CONCATENATE("#metadata!", ADDRESS(INDEX($X$2:$X$1001,MATCH(ROWS($V$2:V262),$V$2:$V$1001,0),0), INDEX($AC$1004:$AS$1004,1,MATCH(COLUMNS($AC$1006:AO1006),$AC$1006:$AS$1006,0)))),"Fix")))</f>
        <v xml:space="preserve"> </v>
      </c>
      <c r="O262" s="4" t="str">
        <f ca="1">IF(OR(INDEX($W$2:$W$1001,MATCH(ROWS($V$2:V262),$V$2:$V$1001,0),1)&gt;=100000,INDEX($AC$1005:$AS$1005,1,MATCH(COLUMNS($AC$1006:AP1006),$AC$1006:$AS$1006,0))&gt;=100000), " ",IF(INDEX($AC$2:$AS$1001,MATCH(ROWS($V$2:V262),$V$2:$V$1001,0),MATCH(COLUMNS($AC$1006:AP1006),$AC$1006:$AS$1006,0)), HYPERLINK("#",""), HYPERLINK(CONCATENATE("#metadata!", ADDRESS(INDEX($X$2:$X$1001,MATCH(ROWS($V$2:V262),$V$2:$V$1001,0),0), INDEX($AC$1004:$AS$1004,1,MATCH(COLUMNS($AC$1006:AP1006),$AC$1006:$AS$1006,0)))),"Fix")))</f>
        <v xml:space="preserve"> </v>
      </c>
      <c r="P262" s="4" t="str">
        <f ca="1">IF(OR(INDEX($W$2:$W$1001,MATCH(ROWS($V$2:V262),$V$2:$V$1001,0),1)&gt;=100000,INDEX($AC$1005:$AS$1005,1,MATCH(COLUMNS($AC$1006:AQ1006),$AC$1006:$AS$1006,0))&gt;=100000), " ",IF(INDEX($AC$2:$AS$1001,MATCH(ROWS($V$2:V262),$V$2:$V$1001,0),MATCH(COLUMNS($AC$1006:AQ1006),$AC$1006:$AS$1006,0)), HYPERLINK("#",""), HYPERLINK(CONCATENATE("#metadata!", ADDRESS(INDEX($X$2:$X$1001,MATCH(ROWS($V$2:V262),$V$2:$V$1001,0),0), INDEX($AC$1004:$AS$1004,1,MATCH(COLUMNS($AC$1006:AQ1006),$AC$1006:$AS$1006,0)))),"Fix")))</f>
        <v xml:space="preserve"> </v>
      </c>
      <c r="Q262" s="4" t="str">
        <f ca="1">IF(OR(INDEX($W$2:$W$1001,MATCH(ROWS($V$2:V262),$V$2:$V$1001,0),1)&gt;=100000,INDEX($AC$1005:$AS$1005,1,MATCH(COLUMNS($AC$1006:AR1006),$AC$1006:$AS$1006,0))&gt;=100000), " ",IF(INDEX($AC$2:$AS$1001,MATCH(ROWS($V$2:V262),$V$2:$V$1001,0),MATCH(COLUMNS($AC$1006:AR1006),$AC$1006:$AS$1006,0)), HYPERLINK("#",""), HYPERLINK(CONCATENATE("#metadata!", ADDRESS(INDEX($X$2:$X$1001,MATCH(ROWS($V$2:V262),$V$2:$V$1001,0),0), INDEX($AC$1004:$AS$1004,1,MATCH(COLUMNS($AC$1006:AR1006),$AC$1006:$AS$1006,0)))),"Fix")))</f>
        <v xml:space="preserve"> </v>
      </c>
      <c r="R262" s="4" t="str">
        <f ca="1">IF(OR(INDEX($W$2:$W$1001,MATCH(ROWS($V$2:V262),$V$2:$V$1001,0),1)&gt;=100000,INDEX($AC$1005:$AS$1005,1,MATCH(COLUMNS($AC$1006:AS1006),$AC$1006:$AS$1006,0))&gt;=100000), " ",IF(INDEX($AC$2:$AS$1001,MATCH(ROWS($V$2:V262),$V$2:$V$1001,0),MATCH(COLUMNS($AC$1006:AS1006),$AC$1006:$AS$1006,0)), HYPERLINK("#",""), HYPERLINK(CONCATENATE("#metadata!", ADDRESS(INDEX($X$2:$X$1001,MATCH(ROWS($V$2:V262),$V$2:$V$1001,0),0), INDEX($AC$1004:$AS$1004,1,MATCH(COLUMNS($AC$1006:AS1006),$AC$1006:$AS$1006,0)))),"Fix")))</f>
        <v xml:space="preserve"> </v>
      </c>
      <c r="V262">
        <v>261</v>
      </c>
      <c r="W262">
        <v>100262</v>
      </c>
      <c r="X262">
        <v>262</v>
      </c>
      <c r="Y262" t="b">
        <f t="shared" si="4"/>
        <v>1</v>
      </c>
      <c r="Z262" t="b">
        <f>COUNTBLANK(metadata!B262:R262)=COLUMNS(metadata!B262:R262)</f>
        <v>1</v>
      </c>
      <c r="AA262" t="str">
        <v/>
      </c>
      <c r="AC262" t="b">
        <f ca="1"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AD262" t="b">
        <f>IF(metadata!C262="",FALSE,ISNUMBER(VALUE(metadata!C262)))</f>
        <v>0</v>
      </c>
      <c r="AE262" t="b">
        <f>AND(IF(metadata!D262="",FALSE,TRUE),EXACT(metadata!D262,"years"))</f>
        <v>0</v>
      </c>
      <c r="AF262" t="b">
        <f>OR(AND(IF(metadata!E262="",FALSE,TRUE),OR(EXACT(metadata!E262,"not applicable"),EXACT(metadata!E262,"missing: not collected"),EXACT(metadata!E262,"missing: not provided"),EXACT(metadata!E262,"missing: restricted access"))),AND(IF(metadata!E262="",FALSE,ISNUMBER(VALUE(metadata!E262))),metadata!E262&gt;0))</f>
        <v>0</v>
      </c>
      <c r="AG262" t="b">
        <f>AND(IF(metadata!F262="",FALSE,TRUE),EXACT(metadata!F262,"Not applicable"))</f>
        <v>0</v>
      </c>
      <c r="AH262" t="b">
        <f>AND(IF(metadata!G262="",FALSE,TRUE),EXACT(metadata!G262,"urban biome"))</f>
        <v>0</v>
      </c>
      <c r="AI262" t="b">
        <f>AND(IF(metadata!H262="",FALSE,TRUE),EXACT(metadata!H262,"human-associated habitat"))</f>
        <v>0</v>
      </c>
      <c r="AJ262" t="b">
        <f>AND(IF(metadata!I262="",FALSE,TRUE),OR(EXACT(metadata!I262,"human-associated"),EXACT(metadata!I262,"human-skin"),EXACT(metadata!I262,"human-oral"),EXACT(metadata!I262,"human-gut"),EXACT(metadata!I262,"human-vaginal")))</f>
        <v>0</v>
      </c>
      <c r="AK262" t="b">
        <f>IF(metadata!J262="",FALSE,ISNUMBER(VALUE(metadata!J262)))</f>
        <v>0</v>
      </c>
      <c r="AL262" t="b">
        <f>AND(IF(metadata!K262="",FALSE,TRUE),EXACT(metadata!K262,"cm"))</f>
        <v>0</v>
      </c>
      <c r="AM262" t="b">
        <f>AND(IF(metadata!L262="",FALSE,TRUE),EXACT(metadata!L262,"human"))</f>
        <v>0</v>
      </c>
      <c r="AN262" t="b">
        <f>AND(IF(metadata!M262="",FALSE,TRUE),EXACT(metadata!M262,"Homo sapiens"))</f>
        <v>0</v>
      </c>
      <c r="AO262" t="b">
        <f>AND(IF(metadata!N262="",FALSE,TRUE),EXACT(metadata!N262,"9606"))</f>
        <v>0</v>
      </c>
      <c r="AP262" t="b">
        <f>IF(metadata!O262="",FALSE,TRUE)</f>
        <v>0</v>
      </c>
      <c r="AQ262" t="b">
        <f>IF(metadata!P262="",FALSE,TRUE)</f>
        <v>0</v>
      </c>
      <c r="AR262" t="b">
        <f>IF(metadata!Q262="",FALSE,ISNUMBER(VALUE(metadata!Q262)))</f>
        <v>0</v>
      </c>
      <c r="AS262" t="b">
        <f>AND(IF(metadata!R262="",FALSE,TRUE),EXACT(metadata!R262,"kg"))</f>
        <v>0</v>
      </c>
    </row>
    <row r="263" spans="1:45" x14ac:dyDescent="0.2">
      <c r="A263" s="5" t="str">
        <f ca="1">IF(B263=" "," ",HYPERLINK(CONCATENATE("#metadata!",ADDRESS(INDEX($X$2:$X$1001,MATCH(ROWS($V$2:V263),$V$2:$V$1001,0),0),1)),INDEX($AA$2:$AA$1001,MATCH(ROWS($V$2:V263),$V$2:$V$1001,0),0)))</f>
        <v xml:space="preserve"> </v>
      </c>
      <c r="B263" s="4" t="str">
        <f ca="1">IF(OR(INDEX($W$2:$W$1001,MATCH(ROWS($V$2:V263),$V$2:$V$1001,0),1)&gt;=100000,INDEX($AC$1005:$AS$1005,1,MATCH(COLUMNS($AC$1006:AC1006),$AC$1006:$AS$1006,0))&gt;=100000), " ",IF(INDEX($AC$2:$AS$1001,MATCH(ROWS($V$2:V263),$V$2:$V$1001,0),MATCH(COLUMNS($AC$1006:AC1006),$AC$1006:$AS$1006,0)), HYPERLINK("#",""), HYPERLINK(CONCATENATE("#metadata!", ADDRESS(INDEX($X$2:$X$1001,MATCH(ROWS($V$2:V263),$V$2:$V$1001,0),0), INDEX($AC$1004:$AS$1004,1,MATCH(COLUMNS($AC$1006:AC1006),$AC$1006:$AS$1006,0)))),"Fix")))</f>
        <v xml:space="preserve"> </v>
      </c>
      <c r="C263" s="4" t="str">
        <f ca="1">IF(OR(INDEX($W$2:$W$1001,MATCH(ROWS($V$2:V263),$V$2:$V$1001,0),1)&gt;=100000,INDEX($AC$1005:$AS$1005,1,MATCH(COLUMNS($AC$1006:AD1006),$AC$1006:$AS$1006,0))&gt;=100000), " ",IF(INDEX($AC$2:$AS$1001,MATCH(ROWS($V$2:V263),$V$2:$V$1001,0),MATCH(COLUMNS($AC$1006:AD1006),$AC$1006:$AS$1006,0)), HYPERLINK("#",""), HYPERLINK(CONCATENATE("#metadata!", ADDRESS(INDEX($X$2:$X$1001,MATCH(ROWS($V$2:V263),$V$2:$V$1001,0),0), INDEX($AC$1004:$AS$1004,1,MATCH(COLUMNS($AC$1006:AD1006),$AC$1006:$AS$1006,0)))),"Fix")))</f>
        <v xml:space="preserve"> </v>
      </c>
      <c r="D263" s="4" t="str">
        <f ca="1">IF(OR(INDEX($W$2:$W$1001,MATCH(ROWS($V$2:V263),$V$2:$V$1001,0),1)&gt;=100000,INDEX($AC$1005:$AS$1005,1,MATCH(COLUMNS($AC$1006:AE1006),$AC$1006:$AS$1006,0))&gt;=100000), " ",IF(INDEX($AC$2:$AS$1001,MATCH(ROWS($V$2:V263),$V$2:$V$1001,0),MATCH(COLUMNS($AC$1006:AE1006),$AC$1006:$AS$1006,0)), HYPERLINK("#",""), HYPERLINK(CONCATENATE("#metadata!", ADDRESS(INDEX($X$2:$X$1001,MATCH(ROWS($V$2:V263),$V$2:$V$1001,0),0), INDEX($AC$1004:$AS$1004,1,MATCH(COLUMNS($AC$1006:AE1006),$AC$1006:$AS$1006,0)))),"Fix")))</f>
        <v xml:space="preserve"> </v>
      </c>
      <c r="E263" s="4" t="str">
        <f ca="1">IF(OR(INDEX($W$2:$W$1001,MATCH(ROWS($V$2:V263),$V$2:$V$1001,0),1)&gt;=100000,INDEX($AC$1005:$AS$1005,1,MATCH(COLUMNS($AC$1006:AF1006),$AC$1006:$AS$1006,0))&gt;=100000), " ",IF(INDEX($AC$2:$AS$1001,MATCH(ROWS($V$2:V263),$V$2:$V$1001,0),MATCH(COLUMNS($AC$1006:AF1006),$AC$1006:$AS$1006,0)), HYPERLINK("#",""), HYPERLINK(CONCATENATE("#metadata!", ADDRESS(INDEX($X$2:$X$1001,MATCH(ROWS($V$2:V263),$V$2:$V$1001,0),0), INDEX($AC$1004:$AS$1004,1,MATCH(COLUMNS($AC$1006:AF1006),$AC$1006:$AS$1006,0)))),"Fix")))</f>
        <v xml:space="preserve"> </v>
      </c>
      <c r="F263" s="4" t="str">
        <f ca="1">IF(OR(INDEX($W$2:$W$1001,MATCH(ROWS($V$2:V263),$V$2:$V$1001,0),1)&gt;=100000,INDEX($AC$1005:$AS$1005,1,MATCH(COLUMNS($AC$1006:AG1006),$AC$1006:$AS$1006,0))&gt;=100000), " ",IF(INDEX($AC$2:$AS$1001,MATCH(ROWS($V$2:V263),$V$2:$V$1001,0),MATCH(COLUMNS($AC$1006:AG1006),$AC$1006:$AS$1006,0)), HYPERLINK("#",""), HYPERLINK(CONCATENATE("#metadata!", ADDRESS(INDEX($X$2:$X$1001,MATCH(ROWS($V$2:V263),$V$2:$V$1001,0),0), INDEX($AC$1004:$AS$1004,1,MATCH(COLUMNS($AC$1006:AG1006),$AC$1006:$AS$1006,0)))),"Fix")))</f>
        <v xml:space="preserve"> </v>
      </c>
      <c r="G263" s="4" t="str">
        <f ca="1">IF(OR(INDEX($W$2:$W$1001,MATCH(ROWS($V$2:V263),$V$2:$V$1001,0),1)&gt;=100000,INDEX($AC$1005:$AS$1005,1,MATCH(COLUMNS($AC$1006:AH1006),$AC$1006:$AS$1006,0))&gt;=100000), " ",IF(INDEX($AC$2:$AS$1001,MATCH(ROWS($V$2:V263),$V$2:$V$1001,0),MATCH(COLUMNS($AC$1006:AH1006),$AC$1006:$AS$1006,0)), HYPERLINK("#",""), HYPERLINK(CONCATENATE("#metadata!", ADDRESS(INDEX($X$2:$X$1001,MATCH(ROWS($V$2:V263),$V$2:$V$1001,0),0), INDEX($AC$1004:$AS$1004,1,MATCH(COLUMNS($AC$1006:AH1006),$AC$1006:$AS$1006,0)))),"Fix")))</f>
        <v xml:space="preserve"> </v>
      </c>
      <c r="H263" s="4" t="str">
        <f ca="1">IF(OR(INDEX($W$2:$W$1001,MATCH(ROWS($V$2:V263),$V$2:$V$1001,0),1)&gt;=100000,INDEX($AC$1005:$AS$1005,1,MATCH(COLUMNS($AC$1006:AI1006),$AC$1006:$AS$1006,0))&gt;=100000), " ",IF(INDEX($AC$2:$AS$1001,MATCH(ROWS($V$2:V263),$V$2:$V$1001,0),MATCH(COLUMNS($AC$1006:AI1006),$AC$1006:$AS$1006,0)), HYPERLINK("#",""), HYPERLINK(CONCATENATE("#metadata!", ADDRESS(INDEX($X$2:$X$1001,MATCH(ROWS($V$2:V263),$V$2:$V$1001,0),0), INDEX($AC$1004:$AS$1004,1,MATCH(COLUMNS($AC$1006:AI1006),$AC$1006:$AS$1006,0)))),"Fix")))</f>
        <v xml:space="preserve"> </v>
      </c>
      <c r="I263" s="4" t="str">
        <f ca="1">IF(OR(INDEX($W$2:$W$1001,MATCH(ROWS($V$2:V263),$V$2:$V$1001,0),1)&gt;=100000,INDEX($AC$1005:$AS$1005,1,MATCH(COLUMNS($AC$1006:AJ1006),$AC$1006:$AS$1006,0))&gt;=100000), " ",IF(INDEX($AC$2:$AS$1001,MATCH(ROWS($V$2:V263),$V$2:$V$1001,0),MATCH(COLUMNS($AC$1006:AJ1006),$AC$1006:$AS$1006,0)), HYPERLINK("#",""), HYPERLINK(CONCATENATE("#metadata!", ADDRESS(INDEX($X$2:$X$1001,MATCH(ROWS($V$2:V263),$V$2:$V$1001,0),0), INDEX($AC$1004:$AS$1004,1,MATCH(COLUMNS($AC$1006:AJ1006),$AC$1006:$AS$1006,0)))),"Fix")))</f>
        <v xml:space="preserve"> </v>
      </c>
      <c r="J263" s="4" t="str">
        <f ca="1">IF(OR(INDEX($W$2:$W$1001,MATCH(ROWS($V$2:V263),$V$2:$V$1001,0),1)&gt;=100000,INDEX($AC$1005:$AS$1005,1,MATCH(COLUMNS($AC$1006:AK1006),$AC$1006:$AS$1006,0))&gt;=100000), " ",IF(INDEX($AC$2:$AS$1001,MATCH(ROWS($V$2:V263),$V$2:$V$1001,0),MATCH(COLUMNS($AC$1006:AK1006),$AC$1006:$AS$1006,0)), HYPERLINK("#",""), HYPERLINK(CONCATENATE("#metadata!", ADDRESS(INDEX($X$2:$X$1001,MATCH(ROWS($V$2:V263),$V$2:$V$1001,0),0), INDEX($AC$1004:$AS$1004,1,MATCH(COLUMNS($AC$1006:AK1006),$AC$1006:$AS$1006,0)))),"Fix")))</f>
        <v xml:space="preserve"> </v>
      </c>
      <c r="K263" s="4" t="str">
        <f ca="1">IF(OR(INDEX($W$2:$W$1001,MATCH(ROWS($V$2:V263),$V$2:$V$1001,0),1)&gt;=100000,INDEX($AC$1005:$AS$1005,1,MATCH(COLUMNS($AC$1006:AL1006),$AC$1006:$AS$1006,0))&gt;=100000), " ",IF(INDEX($AC$2:$AS$1001,MATCH(ROWS($V$2:V263),$V$2:$V$1001,0),MATCH(COLUMNS($AC$1006:AL1006),$AC$1006:$AS$1006,0)), HYPERLINK("#",""), HYPERLINK(CONCATENATE("#metadata!", ADDRESS(INDEX($X$2:$X$1001,MATCH(ROWS($V$2:V263),$V$2:$V$1001,0),0), INDEX($AC$1004:$AS$1004,1,MATCH(COLUMNS($AC$1006:AL1006),$AC$1006:$AS$1006,0)))),"Fix")))</f>
        <v xml:space="preserve"> </v>
      </c>
      <c r="L263" s="4" t="str">
        <f ca="1">IF(OR(INDEX($W$2:$W$1001,MATCH(ROWS($V$2:V263),$V$2:$V$1001,0),1)&gt;=100000,INDEX($AC$1005:$AS$1005,1,MATCH(COLUMNS($AC$1006:AM1006),$AC$1006:$AS$1006,0))&gt;=100000), " ",IF(INDEX($AC$2:$AS$1001,MATCH(ROWS($V$2:V263),$V$2:$V$1001,0),MATCH(COLUMNS($AC$1006:AM1006),$AC$1006:$AS$1006,0)), HYPERLINK("#",""), HYPERLINK(CONCATENATE("#metadata!", ADDRESS(INDEX($X$2:$X$1001,MATCH(ROWS($V$2:V263),$V$2:$V$1001,0),0), INDEX($AC$1004:$AS$1004,1,MATCH(COLUMNS($AC$1006:AM1006),$AC$1006:$AS$1006,0)))),"Fix")))</f>
        <v xml:space="preserve"> </v>
      </c>
      <c r="M263" s="4" t="str">
        <f ca="1">IF(OR(INDEX($W$2:$W$1001,MATCH(ROWS($V$2:V263),$V$2:$V$1001,0),1)&gt;=100000,INDEX($AC$1005:$AS$1005,1,MATCH(COLUMNS($AC$1006:AN1006),$AC$1006:$AS$1006,0))&gt;=100000), " ",IF(INDEX($AC$2:$AS$1001,MATCH(ROWS($V$2:V263),$V$2:$V$1001,0),MATCH(COLUMNS($AC$1006:AN1006),$AC$1006:$AS$1006,0)), HYPERLINK("#",""), HYPERLINK(CONCATENATE("#metadata!", ADDRESS(INDEX($X$2:$X$1001,MATCH(ROWS($V$2:V263),$V$2:$V$1001,0),0), INDEX($AC$1004:$AS$1004,1,MATCH(COLUMNS($AC$1006:AN1006),$AC$1006:$AS$1006,0)))),"Fix")))</f>
        <v xml:space="preserve"> </v>
      </c>
      <c r="N263" s="4" t="str">
        <f ca="1">IF(OR(INDEX($W$2:$W$1001,MATCH(ROWS($V$2:V263),$V$2:$V$1001,0),1)&gt;=100000,INDEX($AC$1005:$AS$1005,1,MATCH(COLUMNS($AC$1006:AO1006),$AC$1006:$AS$1006,0))&gt;=100000), " ",IF(INDEX($AC$2:$AS$1001,MATCH(ROWS($V$2:V263),$V$2:$V$1001,0),MATCH(COLUMNS($AC$1006:AO1006),$AC$1006:$AS$1006,0)), HYPERLINK("#",""), HYPERLINK(CONCATENATE("#metadata!", ADDRESS(INDEX($X$2:$X$1001,MATCH(ROWS($V$2:V263),$V$2:$V$1001,0),0), INDEX($AC$1004:$AS$1004,1,MATCH(COLUMNS($AC$1006:AO1006),$AC$1006:$AS$1006,0)))),"Fix")))</f>
        <v xml:space="preserve"> </v>
      </c>
      <c r="O263" s="4" t="str">
        <f ca="1">IF(OR(INDEX($W$2:$W$1001,MATCH(ROWS($V$2:V263),$V$2:$V$1001,0),1)&gt;=100000,INDEX($AC$1005:$AS$1005,1,MATCH(COLUMNS($AC$1006:AP1006),$AC$1006:$AS$1006,0))&gt;=100000), " ",IF(INDEX($AC$2:$AS$1001,MATCH(ROWS($V$2:V263),$V$2:$V$1001,0),MATCH(COLUMNS($AC$1006:AP1006),$AC$1006:$AS$1006,0)), HYPERLINK("#",""), HYPERLINK(CONCATENATE("#metadata!", ADDRESS(INDEX($X$2:$X$1001,MATCH(ROWS($V$2:V263),$V$2:$V$1001,0),0), INDEX($AC$1004:$AS$1004,1,MATCH(COLUMNS($AC$1006:AP1006),$AC$1006:$AS$1006,0)))),"Fix")))</f>
        <v xml:space="preserve"> </v>
      </c>
      <c r="P263" s="4" t="str">
        <f ca="1">IF(OR(INDEX($W$2:$W$1001,MATCH(ROWS($V$2:V263),$V$2:$V$1001,0),1)&gt;=100000,INDEX($AC$1005:$AS$1005,1,MATCH(COLUMNS($AC$1006:AQ1006),$AC$1006:$AS$1006,0))&gt;=100000), " ",IF(INDEX($AC$2:$AS$1001,MATCH(ROWS($V$2:V263),$V$2:$V$1001,0),MATCH(COLUMNS($AC$1006:AQ1006),$AC$1006:$AS$1006,0)), HYPERLINK("#",""), HYPERLINK(CONCATENATE("#metadata!", ADDRESS(INDEX($X$2:$X$1001,MATCH(ROWS($V$2:V263),$V$2:$V$1001,0),0), INDEX($AC$1004:$AS$1004,1,MATCH(COLUMNS($AC$1006:AQ1006),$AC$1006:$AS$1006,0)))),"Fix")))</f>
        <v xml:space="preserve"> </v>
      </c>
      <c r="Q263" s="4" t="str">
        <f ca="1">IF(OR(INDEX($W$2:$W$1001,MATCH(ROWS($V$2:V263),$V$2:$V$1001,0),1)&gt;=100000,INDEX($AC$1005:$AS$1005,1,MATCH(COLUMNS($AC$1006:AR1006),$AC$1006:$AS$1006,0))&gt;=100000), " ",IF(INDEX($AC$2:$AS$1001,MATCH(ROWS($V$2:V263),$V$2:$V$1001,0),MATCH(COLUMNS($AC$1006:AR1006),$AC$1006:$AS$1006,0)), HYPERLINK("#",""), HYPERLINK(CONCATENATE("#metadata!", ADDRESS(INDEX($X$2:$X$1001,MATCH(ROWS($V$2:V263),$V$2:$V$1001,0),0), INDEX($AC$1004:$AS$1004,1,MATCH(COLUMNS($AC$1006:AR1006),$AC$1006:$AS$1006,0)))),"Fix")))</f>
        <v xml:space="preserve"> </v>
      </c>
      <c r="R263" s="4" t="str">
        <f ca="1">IF(OR(INDEX($W$2:$W$1001,MATCH(ROWS($V$2:V263),$V$2:$V$1001,0),1)&gt;=100000,INDEX($AC$1005:$AS$1005,1,MATCH(COLUMNS($AC$1006:AS1006),$AC$1006:$AS$1006,0))&gt;=100000), " ",IF(INDEX($AC$2:$AS$1001,MATCH(ROWS($V$2:V263),$V$2:$V$1001,0),MATCH(COLUMNS($AC$1006:AS1006),$AC$1006:$AS$1006,0)), HYPERLINK("#",""), HYPERLINK(CONCATENATE("#metadata!", ADDRESS(INDEX($X$2:$X$1001,MATCH(ROWS($V$2:V263),$V$2:$V$1001,0),0), INDEX($AC$1004:$AS$1004,1,MATCH(COLUMNS($AC$1006:AS1006),$AC$1006:$AS$1006,0)))),"Fix")))</f>
        <v xml:space="preserve"> </v>
      </c>
      <c r="V263">
        <v>262</v>
      </c>
      <c r="W263">
        <v>100263</v>
      </c>
      <c r="X263">
        <v>263</v>
      </c>
      <c r="Y263" t="b">
        <f t="shared" si="4"/>
        <v>1</v>
      </c>
      <c r="Z263" t="b">
        <f>COUNTBLANK(metadata!B263:R263)=COLUMNS(metadata!B263:R263)</f>
        <v>1</v>
      </c>
      <c r="AA263" t="str">
        <v/>
      </c>
      <c r="AC263" t="b">
        <f ca="1"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AD263" t="b">
        <f>IF(metadata!C263="",FALSE,ISNUMBER(VALUE(metadata!C263)))</f>
        <v>0</v>
      </c>
      <c r="AE263" t="b">
        <f>AND(IF(metadata!D263="",FALSE,TRUE),EXACT(metadata!D263,"years"))</f>
        <v>0</v>
      </c>
      <c r="AF263" t="b">
        <f>OR(AND(IF(metadata!E263="",FALSE,TRUE),OR(EXACT(metadata!E263,"not applicable"),EXACT(metadata!E263,"missing: not collected"),EXACT(metadata!E263,"missing: not provided"),EXACT(metadata!E263,"missing: restricted access"))),AND(IF(metadata!E263="",FALSE,ISNUMBER(VALUE(metadata!E263))),metadata!E263&gt;0))</f>
        <v>0</v>
      </c>
      <c r="AG263" t="b">
        <f>AND(IF(metadata!F263="",FALSE,TRUE),EXACT(metadata!F263,"Not applicable"))</f>
        <v>0</v>
      </c>
      <c r="AH263" t="b">
        <f>AND(IF(metadata!G263="",FALSE,TRUE),EXACT(metadata!G263,"urban biome"))</f>
        <v>0</v>
      </c>
      <c r="AI263" t="b">
        <f>AND(IF(metadata!H263="",FALSE,TRUE),EXACT(metadata!H263,"human-associated habitat"))</f>
        <v>0</v>
      </c>
      <c r="AJ263" t="b">
        <f>AND(IF(metadata!I263="",FALSE,TRUE),OR(EXACT(metadata!I263,"human-associated"),EXACT(metadata!I263,"human-skin"),EXACT(metadata!I263,"human-oral"),EXACT(metadata!I263,"human-gut"),EXACT(metadata!I263,"human-vaginal")))</f>
        <v>0</v>
      </c>
      <c r="AK263" t="b">
        <f>IF(metadata!J263="",FALSE,ISNUMBER(VALUE(metadata!J263)))</f>
        <v>0</v>
      </c>
      <c r="AL263" t="b">
        <f>AND(IF(metadata!K263="",FALSE,TRUE),EXACT(metadata!K263,"cm"))</f>
        <v>0</v>
      </c>
      <c r="AM263" t="b">
        <f>AND(IF(metadata!L263="",FALSE,TRUE),EXACT(metadata!L263,"human"))</f>
        <v>0</v>
      </c>
      <c r="AN263" t="b">
        <f>AND(IF(metadata!M263="",FALSE,TRUE),EXACT(metadata!M263,"Homo sapiens"))</f>
        <v>0</v>
      </c>
      <c r="AO263" t="b">
        <f>AND(IF(metadata!N263="",FALSE,TRUE),EXACT(metadata!N263,"9606"))</f>
        <v>0</v>
      </c>
      <c r="AP263" t="b">
        <f>IF(metadata!O263="",FALSE,TRUE)</f>
        <v>0</v>
      </c>
      <c r="AQ263" t="b">
        <f>IF(metadata!P263="",FALSE,TRUE)</f>
        <v>0</v>
      </c>
      <c r="AR263" t="b">
        <f>IF(metadata!Q263="",FALSE,ISNUMBER(VALUE(metadata!Q263)))</f>
        <v>0</v>
      </c>
      <c r="AS263" t="b">
        <f>AND(IF(metadata!R263="",FALSE,TRUE),EXACT(metadata!R263,"kg"))</f>
        <v>0</v>
      </c>
    </row>
    <row r="264" spans="1:45" x14ac:dyDescent="0.2">
      <c r="A264" s="5" t="str">
        <f ca="1">IF(B264=" "," ",HYPERLINK(CONCATENATE("#metadata!",ADDRESS(INDEX($X$2:$X$1001,MATCH(ROWS($V$2:V264),$V$2:$V$1001,0),0),1)),INDEX($AA$2:$AA$1001,MATCH(ROWS($V$2:V264),$V$2:$V$1001,0),0)))</f>
        <v xml:space="preserve"> </v>
      </c>
      <c r="B264" s="4" t="str">
        <f ca="1">IF(OR(INDEX($W$2:$W$1001,MATCH(ROWS($V$2:V264),$V$2:$V$1001,0),1)&gt;=100000,INDEX($AC$1005:$AS$1005,1,MATCH(COLUMNS($AC$1006:AC1006),$AC$1006:$AS$1006,0))&gt;=100000), " ",IF(INDEX($AC$2:$AS$1001,MATCH(ROWS($V$2:V264),$V$2:$V$1001,0),MATCH(COLUMNS($AC$1006:AC1006),$AC$1006:$AS$1006,0)), HYPERLINK("#",""), HYPERLINK(CONCATENATE("#metadata!", ADDRESS(INDEX($X$2:$X$1001,MATCH(ROWS($V$2:V264),$V$2:$V$1001,0),0), INDEX($AC$1004:$AS$1004,1,MATCH(COLUMNS($AC$1006:AC1006),$AC$1006:$AS$1006,0)))),"Fix")))</f>
        <v xml:space="preserve"> </v>
      </c>
      <c r="C264" s="4" t="str">
        <f ca="1">IF(OR(INDEX($W$2:$W$1001,MATCH(ROWS($V$2:V264),$V$2:$V$1001,0),1)&gt;=100000,INDEX($AC$1005:$AS$1005,1,MATCH(COLUMNS($AC$1006:AD1006),$AC$1006:$AS$1006,0))&gt;=100000), " ",IF(INDEX($AC$2:$AS$1001,MATCH(ROWS($V$2:V264),$V$2:$V$1001,0),MATCH(COLUMNS($AC$1006:AD1006),$AC$1006:$AS$1006,0)), HYPERLINK("#",""), HYPERLINK(CONCATENATE("#metadata!", ADDRESS(INDEX($X$2:$X$1001,MATCH(ROWS($V$2:V264),$V$2:$V$1001,0),0), INDEX($AC$1004:$AS$1004,1,MATCH(COLUMNS($AC$1006:AD1006),$AC$1006:$AS$1006,0)))),"Fix")))</f>
        <v xml:space="preserve"> </v>
      </c>
      <c r="D264" s="4" t="str">
        <f ca="1">IF(OR(INDEX($W$2:$W$1001,MATCH(ROWS($V$2:V264),$V$2:$V$1001,0),1)&gt;=100000,INDEX($AC$1005:$AS$1005,1,MATCH(COLUMNS($AC$1006:AE1006),$AC$1006:$AS$1006,0))&gt;=100000), " ",IF(INDEX($AC$2:$AS$1001,MATCH(ROWS($V$2:V264),$V$2:$V$1001,0),MATCH(COLUMNS($AC$1006:AE1006),$AC$1006:$AS$1006,0)), HYPERLINK("#",""), HYPERLINK(CONCATENATE("#metadata!", ADDRESS(INDEX($X$2:$X$1001,MATCH(ROWS($V$2:V264),$V$2:$V$1001,0),0), INDEX($AC$1004:$AS$1004,1,MATCH(COLUMNS($AC$1006:AE1006),$AC$1006:$AS$1006,0)))),"Fix")))</f>
        <v xml:space="preserve"> </v>
      </c>
      <c r="E264" s="4" t="str">
        <f ca="1">IF(OR(INDEX($W$2:$W$1001,MATCH(ROWS($V$2:V264),$V$2:$V$1001,0),1)&gt;=100000,INDEX($AC$1005:$AS$1005,1,MATCH(COLUMNS($AC$1006:AF1006),$AC$1006:$AS$1006,0))&gt;=100000), " ",IF(INDEX($AC$2:$AS$1001,MATCH(ROWS($V$2:V264),$V$2:$V$1001,0),MATCH(COLUMNS($AC$1006:AF1006),$AC$1006:$AS$1006,0)), HYPERLINK("#",""), HYPERLINK(CONCATENATE("#metadata!", ADDRESS(INDEX($X$2:$X$1001,MATCH(ROWS($V$2:V264),$V$2:$V$1001,0),0), INDEX($AC$1004:$AS$1004,1,MATCH(COLUMNS($AC$1006:AF1006),$AC$1006:$AS$1006,0)))),"Fix")))</f>
        <v xml:space="preserve"> </v>
      </c>
      <c r="F264" s="4" t="str">
        <f ca="1">IF(OR(INDEX($W$2:$W$1001,MATCH(ROWS($V$2:V264),$V$2:$V$1001,0),1)&gt;=100000,INDEX($AC$1005:$AS$1005,1,MATCH(COLUMNS($AC$1006:AG1006),$AC$1006:$AS$1006,0))&gt;=100000), " ",IF(INDEX($AC$2:$AS$1001,MATCH(ROWS($V$2:V264),$V$2:$V$1001,0),MATCH(COLUMNS($AC$1006:AG1006),$AC$1006:$AS$1006,0)), HYPERLINK("#",""), HYPERLINK(CONCATENATE("#metadata!", ADDRESS(INDEX($X$2:$X$1001,MATCH(ROWS($V$2:V264),$V$2:$V$1001,0),0), INDEX($AC$1004:$AS$1004,1,MATCH(COLUMNS($AC$1006:AG1006),$AC$1006:$AS$1006,0)))),"Fix")))</f>
        <v xml:space="preserve"> </v>
      </c>
      <c r="G264" s="4" t="str">
        <f ca="1">IF(OR(INDEX($W$2:$W$1001,MATCH(ROWS($V$2:V264),$V$2:$V$1001,0),1)&gt;=100000,INDEX($AC$1005:$AS$1005,1,MATCH(COLUMNS($AC$1006:AH1006),$AC$1006:$AS$1006,0))&gt;=100000), " ",IF(INDEX($AC$2:$AS$1001,MATCH(ROWS($V$2:V264),$V$2:$V$1001,0),MATCH(COLUMNS($AC$1006:AH1006),$AC$1006:$AS$1006,0)), HYPERLINK("#",""), HYPERLINK(CONCATENATE("#metadata!", ADDRESS(INDEX($X$2:$X$1001,MATCH(ROWS($V$2:V264),$V$2:$V$1001,0),0), INDEX($AC$1004:$AS$1004,1,MATCH(COLUMNS($AC$1006:AH1006),$AC$1006:$AS$1006,0)))),"Fix")))</f>
        <v xml:space="preserve"> </v>
      </c>
      <c r="H264" s="4" t="str">
        <f ca="1">IF(OR(INDEX($W$2:$W$1001,MATCH(ROWS($V$2:V264),$V$2:$V$1001,0),1)&gt;=100000,INDEX($AC$1005:$AS$1005,1,MATCH(COLUMNS($AC$1006:AI1006),$AC$1006:$AS$1006,0))&gt;=100000), " ",IF(INDEX($AC$2:$AS$1001,MATCH(ROWS($V$2:V264),$V$2:$V$1001,0),MATCH(COLUMNS($AC$1006:AI1006),$AC$1006:$AS$1006,0)), HYPERLINK("#",""), HYPERLINK(CONCATENATE("#metadata!", ADDRESS(INDEX($X$2:$X$1001,MATCH(ROWS($V$2:V264),$V$2:$V$1001,0),0), INDEX($AC$1004:$AS$1004,1,MATCH(COLUMNS($AC$1006:AI1006),$AC$1006:$AS$1006,0)))),"Fix")))</f>
        <v xml:space="preserve"> </v>
      </c>
      <c r="I264" s="4" t="str">
        <f ca="1">IF(OR(INDEX($W$2:$W$1001,MATCH(ROWS($V$2:V264),$V$2:$V$1001,0),1)&gt;=100000,INDEX($AC$1005:$AS$1005,1,MATCH(COLUMNS($AC$1006:AJ1006),$AC$1006:$AS$1006,0))&gt;=100000), " ",IF(INDEX($AC$2:$AS$1001,MATCH(ROWS($V$2:V264),$V$2:$V$1001,0),MATCH(COLUMNS($AC$1006:AJ1006),$AC$1006:$AS$1006,0)), HYPERLINK("#",""), HYPERLINK(CONCATENATE("#metadata!", ADDRESS(INDEX($X$2:$X$1001,MATCH(ROWS($V$2:V264),$V$2:$V$1001,0),0), INDEX($AC$1004:$AS$1004,1,MATCH(COLUMNS($AC$1006:AJ1006),$AC$1006:$AS$1006,0)))),"Fix")))</f>
        <v xml:space="preserve"> </v>
      </c>
      <c r="J264" s="4" t="str">
        <f ca="1">IF(OR(INDEX($W$2:$W$1001,MATCH(ROWS($V$2:V264),$V$2:$V$1001,0),1)&gt;=100000,INDEX($AC$1005:$AS$1005,1,MATCH(COLUMNS($AC$1006:AK1006),$AC$1006:$AS$1006,0))&gt;=100000), " ",IF(INDEX($AC$2:$AS$1001,MATCH(ROWS($V$2:V264),$V$2:$V$1001,0),MATCH(COLUMNS($AC$1006:AK1006),$AC$1006:$AS$1006,0)), HYPERLINK("#",""), HYPERLINK(CONCATENATE("#metadata!", ADDRESS(INDEX($X$2:$X$1001,MATCH(ROWS($V$2:V264),$V$2:$V$1001,0),0), INDEX($AC$1004:$AS$1004,1,MATCH(COLUMNS($AC$1006:AK1006),$AC$1006:$AS$1006,0)))),"Fix")))</f>
        <v xml:space="preserve"> </v>
      </c>
      <c r="K264" s="4" t="str">
        <f ca="1">IF(OR(INDEX($W$2:$W$1001,MATCH(ROWS($V$2:V264),$V$2:$V$1001,0),1)&gt;=100000,INDEX($AC$1005:$AS$1005,1,MATCH(COLUMNS($AC$1006:AL1006),$AC$1006:$AS$1006,0))&gt;=100000), " ",IF(INDEX($AC$2:$AS$1001,MATCH(ROWS($V$2:V264),$V$2:$V$1001,0),MATCH(COLUMNS($AC$1006:AL1006),$AC$1006:$AS$1006,0)), HYPERLINK("#",""), HYPERLINK(CONCATENATE("#metadata!", ADDRESS(INDEX($X$2:$X$1001,MATCH(ROWS($V$2:V264),$V$2:$V$1001,0),0), INDEX($AC$1004:$AS$1004,1,MATCH(COLUMNS($AC$1006:AL1006),$AC$1006:$AS$1006,0)))),"Fix")))</f>
        <v xml:space="preserve"> </v>
      </c>
      <c r="L264" s="4" t="str">
        <f ca="1">IF(OR(INDEX($W$2:$W$1001,MATCH(ROWS($V$2:V264),$V$2:$V$1001,0),1)&gt;=100000,INDEX($AC$1005:$AS$1005,1,MATCH(COLUMNS($AC$1006:AM1006),$AC$1006:$AS$1006,0))&gt;=100000), " ",IF(INDEX($AC$2:$AS$1001,MATCH(ROWS($V$2:V264),$V$2:$V$1001,0),MATCH(COLUMNS($AC$1006:AM1006),$AC$1006:$AS$1006,0)), HYPERLINK("#",""), HYPERLINK(CONCATENATE("#metadata!", ADDRESS(INDEX($X$2:$X$1001,MATCH(ROWS($V$2:V264),$V$2:$V$1001,0),0), INDEX($AC$1004:$AS$1004,1,MATCH(COLUMNS($AC$1006:AM1006),$AC$1006:$AS$1006,0)))),"Fix")))</f>
        <v xml:space="preserve"> </v>
      </c>
      <c r="M264" s="4" t="str">
        <f ca="1">IF(OR(INDEX($W$2:$W$1001,MATCH(ROWS($V$2:V264),$V$2:$V$1001,0),1)&gt;=100000,INDEX($AC$1005:$AS$1005,1,MATCH(COLUMNS($AC$1006:AN1006),$AC$1006:$AS$1006,0))&gt;=100000), " ",IF(INDEX($AC$2:$AS$1001,MATCH(ROWS($V$2:V264),$V$2:$V$1001,0),MATCH(COLUMNS($AC$1006:AN1006),$AC$1006:$AS$1006,0)), HYPERLINK("#",""), HYPERLINK(CONCATENATE("#metadata!", ADDRESS(INDEX($X$2:$X$1001,MATCH(ROWS($V$2:V264),$V$2:$V$1001,0),0), INDEX($AC$1004:$AS$1004,1,MATCH(COLUMNS($AC$1006:AN1006),$AC$1006:$AS$1006,0)))),"Fix")))</f>
        <v xml:space="preserve"> </v>
      </c>
      <c r="N264" s="4" t="str">
        <f ca="1">IF(OR(INDEX($W$2:$W$1001,MATCH(ROWS($V$2:V264),$V$2:$V$1001,0),1)&gt;=100000,INDEX($AC$1005:$AS$1005,1,MATCH(COLUMNS($AC$1006:AO1006),$AC$1006:$AS$1006,0))&gt;=100000), " ",IF(INDEX($AC$2:$AS$1001,MATCH(ROWS($V$2:V264),$V$2:$V$1001,0),MATCH(COLUMNS($AC$1006:AO1006),$AC$1006:$AS$1006,0)), HYPERLINK("#",""), HYPERLINK(CONCATENATE("#metadata!", ADDRESS(INDEX($X$2:$X$1001,MATCH(ROWS($V$2:V264),$V$2:$V$1001,0),0), INDEX($AC$1004:$AS$1004,1,MATCH(COLUMNS($AC$1006:AO1006),$AC$1006:$AS$1006,0)))),"Fix")))</f>
        <v xml:space="preserve"> </v>
      </c>
      <c r="O264" s="4" t="str">
        <f ca="1">IF(OR(INDEX($W$2:$W$1001,MATCH(ROWS($V$2:V264),$V$2:$V$1001,0),1)&gt;=100000,INDEX($AC$1005:$AS$1005,1,MATCH(COLUMNS($AC$1006:AP1006),$AC$1006:$AS$1006,0))&gt;=100000), " ",IF(INDEX($AC$2:$AS$1001,MATCH(ROWS($V$2:V264),$V$2:$V$1001,0),MATCH(COLUMNS($AC$1006:AP1006),$AC$1006:$AS$1006,0)), HYPERLINK("#",""), HYPERLINK(CONCATENATE("#metadata!", ADDRESS(INDEX($X$2:$X$1001,MATCH(ROWS($V$2:V264),$V$2:$V$1001,0),0), INDEX($AC$1004:$AS$1004,1,MATCH(COLUMNS($AC$1006:AP1006),$AC$1006:$AS$1006,0)))),"Fix")))</f>
        <v xml:space="preserve"> </v>
      </c>
      <c r="P264" s="4" t="str">
        <f ca="1">IF(OR(INDEX($W$2:$W$1001,MATCH(ROWS($V$2:V264),$V$2:$V$1001,0),1)&gt;=100000,INDEX($AC$1005:$AS$1005,1,MATCH(COLUMNS($AC$1006:AQ1006),$AC$1006:$AS$1006,0))&gt;=100000), " ",IF(INDEX($AC$2:$AS$1001,MATCH(ROWS($V$2:V264),$V$2:$V$1001,0),MATCH(COLUMNS($AC$1006:AQ1006),$AC$1006:$AS$1006,0)), HYPERLINK("#",""), HYPERLINK(CONCATENATE("#metadata!", ADDRESS(INDEX($X$2:$X$1001,MATCH(ROWS($V$2:V264),$V$2:$V$1001,0),0), INDEX($AC$1004:$AS$1004,1,MATCH(COLUMNS($AC$1006:AQ1006),$AC$1006:$AS$1006,0)))),"Fix")))</f>
        <v xml:space="preserve"> </v>
      </c>
      <c r="Q264" s="4" t="str">
        <f ca="1">IF(OR(INDEX($W$2:$W$1001,MATCH(ROWS($V$2:V264),$V$2:$V$1001,0),1)&gt;=100000,INDEX($AC$1005:$AS$1005,1,MATCH(COLUMNS($AC$1006:AR1006),$AC$1006:$AS$1006,0))&gt;=100000), " ",IF(INDEX($AC$2:$AS$1001,MATCH(ROWS($V$2:V264),$V$2:$V$1001,0),MATCH(COLUMNS($AC$1006:AR1006),$AC$1006:$AS$1006,0)), HYPERLINK("#",""), HYPERLINK(CONCATENATE("#metadata!", ADDRESS(INDEX($X$2:$X$1001,MATCH(ROWS($V$2:V264),$V$2:$V$1001,0),0), INDEX($AC$1004:$AS$1004,1,MATCH(COLUMNS($AC$1006:AR1006),$AC$1006:$AS$1006,0)))),"Fix")))</f>
        <v xml:space="preserve"> </v>
      </c>
      <c r="R264" s="4" t="str">
        <f ca="1">IF(OR(INDEX($W$2:$W$1001,MATCH(ROWS($V$2:V264),$V$2:$V$1001,0),1)&gt;=100000,INDEX($AC$1005:$AS$1005,1,MATCH(COLUMNS($AC$1006:AS1006),$AC$1006:$AS$1006,0))&gt;=100000), " ",IF(INDEX($AC$2:$AS$1001,MATCH(ROWS($V$2:V264),$V$2:$V$1001,0),MATCH(COLUMNS($AC$1006:AS1006),$AC$1006:$AS$1006,0)), HYPERLINK("#",""), HYPERLINK(CONCATENATE("#metadata!", ADDRESS(INDEX($X$2:$X$1001,MATCH(ROWS($V$2:V264),$V$2:$V$1001,0),0), INDEX($AC$1004:$AS$1004,1,MATCH(COLUMNS($AC$1006:AS1006),$AC$1006:$AS$1006,0)))),"Fix")))</f>
        <v xml:space="preserve"> </v>
      </c>
      <c r="V264">
        <v>263</v>
      </c>
      <c r="W264">
        <v>100264</v>
      </c>
      <c r="X264">
        <v>264</v>
      </c>
      <c r="Y264" t="b">
        <f t="shared" si="4"/>
        <v>1</v>
      </c>
      <c r="Z264" t="b">
        <f>COUNTBLANK(metadata!B264:R264)=COLUMNS(metadata!B264:R264)</f>
        <v>1</v>
      </c>
      <c r="AA264" t="str">
        <v/>
      </c>
      <c r="AC264" t="b">
        <f ca="1"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AD264" t="b">
        <f>IF(metadata!C264="",FALSE,ISNUMBER(VALUE(metadata!C264)))</f>
        <v>0</v>
      </c>
      <c r="AE264" t="b">
        <f>AND(IF(metadata!D264="",FALSE,TRUE),EXACT(metadata!D264,"years"))</f>
        <v>0</v>
      </c>
      <c r="AF264" t="b">
        <f>OR(AND(IF(metadata!E264="",FALSE,TRUE),OR(EXACT(metadata!E264,"not applicable"),EXACT(metadata!E264,"missing: not collected"),EXACT(metadata!E264,"missing: not provided"),EXACT(metadata!E264,"missing: restricted access"))),AND(IF(metadata!E264="",FALSE,ISNUMBER(VALUE(metadata!E264))),metadata!E264&gt;0))</f>
        <v>0</v>
      </c>
      <c r="AG264" t="b">
        <f>AND(IF(metadata!F264="",FALSE,TRUE),EXACT(metadata!F264,"Not applicable"))</f>
        <v>0</v>
      </c>
      <c r="AH264" t="b">
        <f>AND(IF(metadata!G264="",FALSE,TRUE),EXACT(metadata!G264,"urban biome"))</f>
        <v>0</v>
      </c>
      <c r="AI264" t="b">
        <f>AND(IF(metadata!H264="",FALSE,TRUE),EXACT(metadata!H264,"human-associated habitat"))</f>
        <v>0</v>
      </c>
      <c r="AJ264" t="b">
        <f>AND(IF(metadata!I264="",FALSE,TRUE),OR(EXACT(metadata!I264,"human-associated"),EXACT(metadata!I264,"human-skin"),EXACT(metadata!I264,"human-oral"),EXACT(metadata!I264,"human-gut"),EXACT(metadata!I264,"human-vaginal")))</f>
        <v>0</v>
      </c>
      <c r="AK264" t="b">
        <f>IF(metadata!J264="",FALSE,ISNUMBER(VALUE(metadata!J264)))</f>
        <v>0</v>
      </c>
      <c r="AL264" t="b">
        <f>AND(IF(metadata!K264="",FALSE,TRUE),EXACT(metadata!K264,"cm"))</f>
        <v>0</v>
      </c>
      <c r="AM264" t="b">
        <f>AND(IF(metadata!L264="",FALSE,TRUE),EXACT(metadata!L264,"human"))</f>
        <v>0</v>
      </c>
      <c r="AN264" t="b">
        <f>AND(IF(metadata!M264="",FALSE,TRUE),EXACT(metadata!M264,"Homo sapiens"))</f>
        <v>0</v>
      </c>
      <c r="AO264" t="b">
        <f>AND(IF(metadata!N264="",FALSE,TRUE),EXACT(metadata!N264,"9606"))</f>
        <v>0</v>
      </c>
      <c r="AP264" t="b">
        <f>IF(metadata!O264="",FALSE,TRUE)</f>
        <v>0</v>
      </c>
      <c r="AQ264" t="b">
        <f>IF(metadata!P264="",FALSE,TRUE)</f>
        <v>0</v>
      </c>
      <c r="AR264" t="b">
        <f>IF(metadata!Q264="",FALSE,ISNUMBER(VALUE(metadata!Q264)))</f>
        <v>0</v>
      </c>
      <c r="AS264" t="b">
        <f>AND(IF(metadata!R264="",FALSE,TRUE),EXACT(metadata!R264,"kg"))</f>
        <v>0</v>
      </c>
    </row>
    <row r="265" spans="1:45" x14ac:dyDescent="0.2">
      <c r="A265" s="5" t="str">
        <f ca="1">IF(B265=" "," ",HYPERLINK(CONCATENATE("#metadata!",ADDRESS(INDEX($X$2:$X$1001,MATCH(ROWS($V$2:V265),$V$2:$V$1001,0),0),1)),INDEX($AA$2:$AA$1001,MATCH(ROWS($V$2:V265),$V$2:$V$1001,0),0)))</f>
        <v xml:space="preserve"> </v>
      </c>
      <c r="B265" s="4" t="str">
        <f ca="1">IF(OR(INDEX($W$2:$W$1001,MATCH(ROWS($V$2:V265),$V$2:$V$1001,0),1)&gt;=100000,INDEX($AC$1005:$AS$1005,1,MATCH(COLUMNS($AC$1006:AC1006),$AC$1006:$AS$1006,0))&gt;=100000), " ",IF(INDEX($AC$2:$AS$1001,MATCH(ROWS($V$2:V265),$V$2:$V$1001,0),MATCH(COLUMNS($AC$1006:AC1006),$AC$1006:$AS$1006,0)), HYPERLINK("#",""), HYPERLINK(CONCATENATE("#metadata!", ADDRESS(INDEX($X$2:$X$1001,MATCH(ROWS($V$2:V265),$V$2:$V$1001,0),0), INDEX($AC$1004:$AS$1004,1,MATCH(COLUMNS($AC$1006:AC1006),$AC$1006:$AS$1006,0)))),"Fix")))</f>
        <v xml:space="preserve"> </v>
      </c>
      <c r="C265" s="4" t="str">
        <f ca="1">IF(OR(INDEX($W$2:$W$1001,MATCH(ROWS($V$2:V265),$V$2:$V$1001,0),1)&gt;=100000,INDEX($AC$1005:$AS$1005,1,MATCH(COLUMNS($AC$1006:AD1006),$AC$1006:$AS$1006,0))&gt;=100000), " ",IF(INDEX($AC$2:$AS$1001,MATCH(ROWS($V$2:V265),$V$2:$V$1001,0),MATCH(COLUMNS($AC$1006:AD1006),$AC$1006:$AS$1006,0)), HYPERLINK("#",""), HYPERLINK(CONCATENATE("#metadata!", ADDRESS(INDEX($X$2:$X$1001,MATCH(ROWS($V$2:V265),$V$2:$V$1001,0),0), INDEX($AC$1004:$AS$1004,1,MATCH(COLUMNS($AC$1006:AD1006),$AC$1006:$AS$1006,0)))),"Fix")))</f>
        <v xml:space="preserve"> </v>
      </c>
      <c r="D265" s="4" t="str">
        <f ca="1">IF(OR(INDEX($W$2:$W$1001,MATCH(ROWS($V$2:V265),$V$2:$V$1001,0),1)&gt;=100000,INDEX($AC$1005:$AS$1005,1,MATCH(COLUMNS($AC$1006:AE1006),$AC$1006:$AS$1006,0))&gt;=100000), " ",IF(INDEX($AC$2:$AS$1001,MATCH(ROWS($V$2:V265),$V$2:$V$1001,0),MATCH(COLUMNS($AC$1006:AE1006),$AC$1006:$AS$1006,0)), HYPERLINK("#",""), HYPERLINK(CONCATENATE("#metadata!", ADDRESS(INDEX($X$2:$X$1001,MATCH(ROWS($V$2:V265),$V$2:$V$1001,0),0), INDEX($AC$1004:$AS$1004,1,MATCH(COLUMNS($AC$1006:AE1006),$AC$1006:$AS$1006,0)))),"Fix")))</f>
        <v xml:space="preserve"> </v>
      </c>
      <c r="E265" s="4" t="str">
        <f ca="1">IF(OR(INDEX($W$2:$W$1001,MATCH(ROWS($V$2:V265),$V$2:$V$1001,0),1)&gt;=100000,INDEX($AC$1005:$AS$1005,1,MATCH(COLUMNS($AC$1006:AF1006),$AC$1006:$AS$1006,0))&gt;=100000), " ",IF(INDEX($AC$2:$AS$1001,MATCH(ROWS($V$2:V265),$V$2:$V$1001,0),MATCH(COLUMNS($AC$1006:AF1006),$AC$1006:$AS$1006,0)), HYPERLINK("#",""), HYPERLINK(CONCATENATE("#metadata!", ADDRESS(INDEX($X$2:$X$1001,MATCH(ROWS($V$2:V265),$V$2:$V$1001,0),0), INDEX($AC$1004:$AS$1004,1,MATCH(COLUMNS($AC$1006:AF1006),$AC$1006:$AS$1006,0)))),"Fix")))</f>
        <v xml:space="preserve"> </v>
      </c>
      <c r="F265" s="4" t="str">
        <f ca="1">IF(OR(INDEX($W$2:$W$1001,MATCH(ROWS($V$2:V265),$V$2:$V$1001,0),1)&gt;=100000,INDEX($AC$1005:$AS$1005,1,MATCH(COLUMNS($AC$1006:AG1006),$AC$1006:$AS$1006,0))&gt;=100000), " ",IF(INDEX($AC$2:$AS$1001,MATCH(ROWS($V$2:V265),$V$2:$V$1001,0),MATCH(COLUMNS($AC$1006:AG1006),$AC$1006:$AS$1006,0)), HYPERLINK("#",""), HYPERLINK(CONCATENATE("#metadata!", ADDRESS(INDEX($X$2:$X$1001,MATCH(ROWS($V$2:V265),$V$2:$V$1001,0),0), INDEX($AC$1004:$AS$1004,1,MATCH(COLUMNS($AC$1006:AG1006),$AC$1006:$AS$1006,0)))),"Fix")))</f>
        <v xml:space="preserve"> </v>
      </c>
      <c r="G265" s="4" t="str">
        <f ca="1">IF(OR(INDEX($W$2:$W$1001,MATCH(ROWS($V$2:V265),$V$2:$V$1001,0),1)&gt;=100000,INDEX($AC$1005:$AS$1005,1,MATCH(COLUMNS($AC$1006:AH1006),$AC$1006:$AS$1006,0))&gt;=100000), " ",IF(INDEX($AC$2:$AS$1001,MATCH(ROWS($V$2:V265),$V$2:$V$1001,0),MATCH(COLUMNS($AC$1006:AH1006),$AC$1006:$AS$1006,0)), HYPERLINK("#",""), HYPERLINK(CONCATENATE("#metadata!", ADDRESS(INDEX($X$2:$X$1001,MATCH(ROWS($V$2:V265),$V$2:$V$1001,0),0), INDEX($AC$1004:$AS$1004,1,MATCH(COLUMNS($AC$1006:AH1006),$AC$1006:$AS$1006,0)))),"Fix")))</f>
        <v xml:space="preserve"> </v>
      </c>
      <c r="H265" s="4" t="str">
        <f ca="1">IF(OR(INDEX($W$2:$W$1001,MATCH(ROWS($V$2:V265),$V$2:$V$1001,0),1)&gt;=100000,INDEX($AC$1005:$AS$1005,1,MATCH(COLUMNS($AC$1006:AI1006),$AC$1006:$AS$1006,0))&gt;=100000), " ",IF(INDEX($AC$2:$AS$1001,MATCH(ROWS($V$2:V265),$V$2:$V$1001,0),MATCH(COLUMNS($AC$1006:AI1006),$AC$1006:$AS$1006,0)), HYPERLINK("#",""), HYPERLINK(CONCATENATE("#metadata!", ADDRESS(INDEX($X$2:$X$1001,MATCH(ROWS($V$2:V265),$V$2:$V$1001,0),0), INDEX($AC$1004:$AS$1004,1,MATCH(COLUMNS($AC$1006:AI1006),$AC$1006:$AS$1006,0)))),"Fix")))</f>
        <v xml:space="preserve"> </v>
      </c>
      <c r="I265" s="4" t="str">
        <f ca="1">IF(OR(INDEX($W$2:$W$1001,MATCH(ROWS($V$2:V265),$V$2:$V$1001,0),1)&gt;=100000,INDEX($AC$1005:$AS$1005,1,MATCH(COLUMNS($AC$1006:AJ1006),$AC$1006:$AS$1006,0))&gt;=100000), " ",IF(INDEX($AC$2:$AS$1001,MATCH(ROWS($V$2:V265),$V$2:$V$1001,0),MATCH(COLUMNS($AC$1006:AJ1006),$AC$1006:$AS$1006,0)), HYPERLINK("#",""), HYPERLINK(CONCATENATE("#metadata!", ADDRESS(INDEX($X$2:$X$1001,MATCH(ROWS($V$2:V265),$V$2:$V$1001,0),0), INDEX($AC$1004:$AS$1004,1,MATCH(COLUMNS($AC$1006:AJ1006),$AC$1006:$AS$1006,0)))),"Fix")))</f>
        <v xml:space="preserve"> </v>
      </c>
      <c r="J265" s="4" t="str">
        <f ca="1">IF(OR(INDEX($W$2:$W$1001,MATCH(ROWS($V$2:V265),$V$2:$V$1001,0),1)&gt;=100000,INDEX($AC$1005:$AS$1005,1,MATCH(COLUMNS($AC$1006:AK1006),$AC$1006:$AS$1006,0))&gt;=100000), " ",IF(INDEX($AC$2:$AS$1001,MATCH(ROWS($V$2:V265),$V$2:$V$1001,0),MATCH(COLUMNS($AC$1006:AK1006),$AC$1006:$AS$1006,0)), HYPERLINK("#",""), HYPERLINK(CONCATENATE("#metadata!", ADDRESS(INDEX($X$2:$X$1001,MATCH(ROWS($V$2:V265),$V$2:$V$1001,0),0), INDEX($AC$1004:$AS$1004,1,MATCH(COLUMNS($AC$1006:AK1006),$AC$1006:$AS$1006,0)))),"Fix")))</f>
        <v xml:space="preserve"> </v>
      </c>
      <c r="K265" s="4" t="str">
        <f ca="1">IF(OR(INDEX($W$2:$W$1001,MATCH(ROWS($V$2:V265),$V$2:$V$1001,0),1)&gt;=100000,INDEX($AC$1005:$AS$1005,1,MATCH(COLUMNS($AC$1006:AL1006),$AC$1006:$AS$1006,0))&gt;=100000), " ",IF(INDEX($AC$2:$AS$1001,MATCH(ROWS($V$2:V265),$V$2:$V$1001,0),MATCH(COLUMNS($AC$1006:AL1006),$AC$1006:$AS$1006,0)), HYPERLINK("#",""), HYPERLINK(CONCATENATE("#metadata!", ADDRESS(INDEX($X$2:$X$1001,MATCH(ROWS($V$2:V265),$V$2:$V$1001,0),0), INDEX($AC$1004:$AS$1004,1,MATCH(COLUMNS($AC$1006:AL1006),$AC$1006:$AS$1006,0)))),"Fix")))</f>
        <v xml:space="preserve"> </v>
      </c>
      <c r="L265" s="4" t="str">
        <f ca="1">IF(OR(INDEX($W$2:$W$1001,MATCH(ROWS($V$2:V265),$V$2:$V$1001,0),1)&gt;=100000,INDEX($AC$1005:$AS$1005,1,MATCH(COLUMNS($AC$1006:AM1006),$AC$1006:$AS$1006,0))&gt;=100000), " ",IF(INDEX($AC$2:$AS$1001,MATCH(ROWS($V$2:V265),$V$2:$V$1001,0),MATCH(COLUMNS($AC$1006:AM1006),$AC$1006:$AS$1006,0)), HYPERLINK("#",""), HYPERLINK(CONCATENATE("#metadata!", ADDRESS(INDEX($X$2:$X$1001,MATCH(ROWS($V$2:V265),$V$2:$V$1001,0),0), INDEX($AC$1004:$AS$1004,1,MATCH(COLUMNS($AC$1006:AM1006),$AC$1006:$AS$1006,0)))),"Fix")))</f>
        <v xml:space="preserve"> </v>
      </c>
      <c r="M265" s="4" t="str">
        <f ca="1">IF(OR(INDEX($W$2:$W$1001,MATCH(ROWS($V$2:V265),$V$2:$V$1001,0),1)&gt;=100000,INDEX($AC$1005:$AS$1005,1,MATCH(COLUMNS($AC$1006:AN1006),$AC$1006:$AS$1006,0))&gt;=100000), " ",IF(INDEX($AC$2:$AS$1001,MATCH(ROWS($V$2:V265),$V$2:$V$1001,0),MATCH(COLUMNS($AC$1006:AN1006),$AC$1006:$AS$1006,0)), HYPERLINK("#",""), HYPERLINK(CONCATENATE("#metadata!", ADDRESS(INDEX($X$2:$X$1001,MATCH(ROWS($V$2:V265),$V$2:$V$1001,0),0), INDEX($AC$1004:$AS$1004,1,MATCH(COLUMNS($AC$1006:AN1006),$AC$1006:$AS$1006,0)))),"Fix")))</f>
        <v xml:space="preserve"> </v>
      </c>
      <c r="N265" s="4" t="str">
        <f ca="1">IF(OR(INDEX($W$2:$W$1001,MATCH(ROWS($V$2:V265),$V$2:$V$1001,0),1)&gt;=100000,INDEX($AC$1005:$AS$1005,1,MATCH(COLUMNS($AC$1006:AO1006),$AC$1006:$AS$1006,0))&gt;=100000), " ",IF(INDEX($AC$2:$AS$1001,MATCH(ROWS($V$2:V265),$V$2:$V$1001,0),MATCH(COLUMNS($AC$1006:AO1006),$AC$1006:$AS$1006,0)), HYPERLINK("#",""), HYPERLINK(CONCATENATE("#metadata!", ADDRESS(INDEX($X$2:$X$1001,MATCH(ROWS($V$2:V265),$V$2:$V$1001,0),0), INDEX($AC$1004:$AS$1004,1,MATCH(COLUMNS($AC$1006:AO1006),$AC$1006:$AS$1006,0)))),"Fix")))</f>
        <v xml:space="preserve"> </v>
      </c>
      <c r="O265" s="4" t="str">
        <f ca="1">IF(OR(INDEX($W$2:$W$1001,MATCH(ROWS($V$2:V265),$V$2:$V$1001,0),1)&gt;=100000,INDEX($AC$1005:$AS$1005,1,MATCH(COLUMNS($AC$1006:AP1006),$AC$1006:$AS$1006,0))&gt;=100000), " ",IF(INDEX($AC$2:$AS$1001,MATCH(ROWS($V$2:V265),$V$2:$V$1001,0),MATCH(COLUMNS($AC$1006:AP1006),$AC$1006:$AS$1006,0)), HYPERLINK("#",""), HYPERLINK(CONCATENATE("#metadata!", ADDRESS(INDEX($X$2:$X$1001,MATCH(ROWS($V$2:V265),$V$2:$V$1001,0),0), INDEX($AC$1004:$AS$1004,1,MATCH(COLUMNS($AC$1006:AP1006),$AC$1006:$AS$1006,0)))),"Fix")))</f>
        <v xml:space="preserve"> </v>
      </c>
      <c r="P265" s="4" t="str">
        <f ca="1">IF(OR(INDEX($W$2:$W$1001,MATCH(ROWS($V$2:V265),$V$2:$V$1001,0),1)&gt;=100000,INDEX($AC$1005:$AS$1005,1,MATCH(COLUMNS($AC$1006:AQ1006),$AC$1006:$AS$1006,0))&gt;=100000), " ",IF(INDEX($AC$2:$AS$1001,MATCH(ROWS($V$2:V265),$V$2:$V$1001,0),MATCH(COLUMNS($AC$1006:AQ1006),$AC$1006:$AS$1006,0)), HYPERLINK("#",""), HYPERLINK(CONCATENATE("#metadata!", ADDRESS(INDEX($X$2:$X$1001,MATCH(ROWS($V$2:V265),$V$2:$V$1001,0),0), INDEX($AC$1004:$AS$1004,1,MATCH(COLUMNS($AC$1006:AQ1006),$AC$1006:$AS$1006,0)))),"Fix")))</f>
        <v xml:space="preserve"> </v>
      </c>
      <c r="Q265" s="4" t="str">
        <f ca="1">IF(OR(INDEX($W$2:$W$1001,MATCH(ROWS($V$2:V265),$V$2:$V$1001,0),1)&gt;=100000,INDEX($AC$1005:$AS$1005,1,MATCH(COLUMNS($AC$1006:AR1006),$AC$1006:$AS$1006,0))&gt;=100000), " ",IF(INDEX($AC$2:$AS$1001,MATCH(ROWS($V$2:V265),$V$2:$V$1001,0),MATCH(COLUMNS($AC$1006:AR1006),$AC$1006:$AS$1006,0)), HYPERLINK("#",""), HYPERLINK(CONCATENATE("#metadata!", ADDRESS(INDEX($X$2:$X$1001,MATCH(ROWS($V$2:V265),$V$2:$V$1001,0),0), INDEX($AC$1004:$AS$1004,1,MATCH(COLUMNS($AC$1006:AR1006),$AC$1006:$AS$1006,0)))),"Fix")))</f>
        <v xml:space="preserve"> </v>
      </c>
      <c r="R265" s="4" t="str">
        <f ca="1">IF(OR(INDEX($W$2:$W$1001,MATCH(ROWS($V$2:V265),$V$2:$V$1001,0),1)&gt;=100000,INDEX($AC$1005:$AS$1005,1,MATCH(COLUMNS($AC$1006:AS1006),$AC$1006:$AS$1006,0))&gt;=100000), " ",IF(INDEX($AC$2:$AS$1001,MATCH(ROWS($V$2:V265),$V$2:$V$1001,0),MATCH(COLUMNS($AC$1006:AS1006),$AC$1006:$AS$1006,0)), HYPERLINK("#",""), HYPERLINK(CONCATENATE("#metadata!", ADDRESS(INDEX($X$2:$X$1001,MATCH(ROWS($V$2:V265),$V$2:$V$1001,0),0), INDEX($AC$1004:$AS$1004,1,MATCH(COLUMNS($AC$1006:AS1006),$AC$1006:$AS$1006,0)))),"Fix")))</f>
        <v xml:space="preserve"> </v>
      </c>
      <c r="V265">
        <v>264</v>
      </c>
      <c r="W265">
        <v>100265</v>
      </c>
      <c r="X265">
        <v>265</v>
      </c>
      <c r="Y265" t="b">
        <f t="shared" si="4"/>
        <v>1</v>
      </c>
      <c r="Z265" t="b">
        <f>COUNTBLANK(metadata!B265:R265)=COLUMNS(metadata!B265:R265)</f>
        <v>1</v>
      </c>
      <c r="AA265" t="str">
        <v/>
      </c>
      <c r="AC265" t="b">
        <f ca="1"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AD265" t="b">
        <f>IF(metadata!C265="",FALSE,ISNUMBER(VALUE(metadata!C265)))</f>
        <v>0</v>
      </c>
      <c r="AE265" t="b">
        <f>AND(IF(metadata!D265="",FALSE,TRUE),EXACT(metadata!D265,"years"))</f>
        <v>0</v>
      </c>
      <c r="AF265" t="b">
        <f>OR(AND(IF(metadata!E265="",FALSE,TRUE),OR(EXACT(metadata!E265,"not applicable"),EXACT(metadata!E265,"missing: not collected"),EXACT(metadata!E265,"missing: not provided"),EXACT(metadata!E265,"missing: restricted access"))),AND(IF(metadata!E265="",FALSE,ISNUMBER(VALUE(metadata!E265))),metadata!E265&gt;0))</f>
        <v>0</v>
      </c>
      <c r="AG265" t="b">
        <f>AND(IF(metadata!F265="",FALSE,TRUE),EXACT(metadata!F265,"Not applicable"))</f>
        <v>0</v>
      </c>
      <c r="AH265" t="b">
        <f>AND(IF(metadata!G265="",FALSE,TRUE),EXACT(metadata!G265,"urban biome"))</f>
        <v>0</v>
      </c>
      <c r="AI265" t="b">
        <f>AND(IF(metadata!H265="",FALSE,TRUE),EXACT(metadata!H265,"human-associated habitat"))</f>
        <v>0</v>
      </c>
      <c r="AJ265" t="b">
        <f>AND(IF(metadata!I265="",FALSE,TRUE),OR(EXACT(metadata!I265,"human-associated"),EXACT(metadata!I265,"human-skin"),EXACT(metadata!I265,"human-oral"),EXACT(metadata!I265,"human-gut"),EXACT(metadata!I265,"human-vaginal")))</f>
        <v>0</v>
      </c>
      <c r="AK265" t="b">
        <f>IF(metadata!J265="",FALSE,ISNUMBER(VALUE(metadata!J265)))</f>
        <v>0</v>
      </c>
      <c r="AL265" t="b">
        <f>AND(IF(metadata!K265="",FALSE,TRUE),EXACT(metadata!K265,"cm"))</f>
        <v>0</v>
      </c>
      <c r="AM265" t="b">
        <f>AND(IF(metadata!L265="",FALSE,TRUE),EXACT(metadata!L265,"human"))</f>
        <v>0</v>
      </c>
      <c r="AN265" t="b">
        <f>AND(IF(metadata!M265="",FALSE,TRUE),EXACT(metadata!M265,"Homo sapiens"))</f>
        <v>0</v>
      </c>
      <c r="AO265" t="b">
        <f>AND(IF(metadata!N265="",FALSE,TRUE),EXACT(metadata!N265,"9606"))</f>
        <v>0</v>
      </c>
      <c r="AP265" t="b">
        <f>IF(metadata!O265="",FALSE,TRUE)</f>
        <v>0</v>
      </c>
      <c r="AQ265" t="b">
        <f>IF(metadata!P265="",FALSE,TRUE)</f>
        <v>0</v>
      </c>
      <c r="AR265" t="b">
        <f>IF(metadata!Q265="",FALSE,ISNUMBER(VALUE(metadata!Q265)))</f>
        <v>0</v>
      </c>
      <c r="AS265" t="b">
        <f>AND(IF(metadata!R265="",FALSE,TRUE),EXACT(metadata!R265,"kg"))</f>
        <v>0</v>
      </c>
    </row>
    <row r="266" spans="1:45" x14ac:dyDescent="0.2">
      <c r="A266" s="5" t="str">
        <f ca="1">IF(B266=" "," ",HYPERLINK(CONCATENATE("#metadata!",ADDRESS(INDEX($X$2:$X$1001,MATCH(ROWS($V$2:V266),$V$2:$V$1001,0),0),1)),INDEX($AA$2:$AA$1001,MATCH(ROWS($V$2:V266),$V$2:$V$1001,0),0)))</f>
        <v xml:space="preserve"> </v>
      </c>
      <c r="B266" s="4" t="str">
        <f ca="1">IF(OR(INDEX($W$2:$W$1001,MATCH(ROWS($V$2:V266),$V$2:$V$1001,0),1)&gt;=100000,INDEX($AC$1005:$AS$1005,1,MATCH(COLUMNS($AC$1006:AC1006),$AC$1006:$AS$1006,0))&gt;=100000), " ",IF(INDEX($AC$2:$AS$1001,MATCH(ROWS($V$2:V266),$V$2:$V$1001,0),MATCH(COLUMNS($AC$1006:AC1006),$AC$1006:$AS$1006,0)), HYPERLINK("#",""), HYPERLINK(CONCATENATE("#metadata!", ADDRESS(INDEX($X$2:$X$1001,MATCH(ROWS($V$2:V266),$V$2:$V$1001,0),0), INDEX($AC$1004:$AS$1004,1,MATCH(COLUMNS($AC$1006:AC1006),$AC$1006:$AS$1006,0)))),"Fix")))</f>
        <v xml:space="preserve"> </v>
      </c>
      <c r="C266" s="4" t="str">
        <f ca="1">IF(OR(INDEX($W$2:$W$1001,MATCH(ROWS($V$2:V266),$V$2:$V$1001,0),1)&gt;=100000,INDEX($AC$1005:$AS$1005,1,MATCH(COLUMNS($AC$1006:AD1006),$AC$1006:$AS$1006,0))&gt;=100000), " ",IF(INDEX($AC$2:$AS$1001,MATCH(ROWS($V$2:V266),$V$2:$V$1001,0),MATCH(COLUMNS($AC$1006:AD1006),$AC$1006:$AS$1006,0)), HYPERLINK("#",""), HYPERLINK(CONCATENATE("#metadata!", ADDRESS(INDEX($X$2:$X$1001,MATCH(ROWS($V$2:V266),$V$2:$V$1001,0),0), INDEX($AC$1004:$AS$1004,1,MATCH(COLUMNS($AC$1006:AD1006),$AC$1006:$AS$1006,0)))),"Fix")))</f>
        <v xml:space="preserve"> </v>
      </c>
      <c r="D266" s="4" t="str">
        <f ca="1">IF(OR(INDEX($W$2:$W$1001,MATCH(ROWS($V$2:V266),$V$2:$V$1001,0),1)&gt;=100000,INDEX($AC$1005:$AS$1005,1,MATCH(COLUMNS($AC$1006:AE1006),$AC$1006:$AS$1006,0))&gt;=100000), " ",IF(INDEX($AC$2:$AS$1001,MATCH(ROWS($V$2:V266),$V$2:$V$1001,0),MATCH(COLUMNS($AC$1006:AE1006),$AC$1006:$AS$1006,0)), HYPERLINK("#",""), HYPERLINK(CONCATENATE("#metadata!", ADDRESS(INDEX($X$2:$X$1001,MATCH(ROWS($V$2:V266),$V$2:$V$1001,0),0), INDEX($AC$1004:$AS$1004,1,MATCH(COLUMNS($AC$1006:AE1006),$AC$1006:$AS$1006,0)))),"Fix")))</f>
        <v xml:space="preserve"> </v>
      </c>
      <c r="E266" s="4" t="str">
        <f ca="1">IF(OR(INDEX($W$2:$W$1001,MATCH(ROWS($V$2:V266),$V$2:$V$1001,0),1)&gt;=100000,INDEX($AC$1005:$AS$1005,1,MATCH(COLUMNS($AC$1006:AF1006),$AC$1006:$AS$1006,0))&gt;=100000), " ",IF(INDEX($AC$2:$AS$1001,MATCH(ROWS($V$2:V266),$V$2:$V$1001,0),MATCH(COLUMNS($AC$1006:AF1006),$AC$1006:$AS$1006,0)), HYPERLINK("#",""), HYPERLINK(CONCATENATE("#metadata!", ADDRESS(INDEX($X$2:$X$1001,MATCH(ROWS($V$2:V266),$V$2:$V$1001,0),0), INDEX($AC$1004:$AS$1004,1,MATCH(COLUMNS($AC$1006:AF1006),$AC$1006:$AS$1006,0)))),"Fix")))</f>
        <v xml:space="preserve"> </v>
      </c>
      <c r="F266" s="4" t="str">
        <f ca="1">IF(OR(INDEX($W$2:$W$1001,MATCH(ROWS($V$2:V266),$V$2:$V$1001,0),1)&gt;=100000,INDEX($AC$1005:$AS$1005,1,MATCH(COLUMNS($AC$1006:AG1006),$AC$1006:$AS$1006,0))&gt;=100000), " ",IF(INDEX($AC$2:$AS$1001,MATCH(ROWS($V$2:V266),$V$2:$V$1001,0),MATCH(COLUMNS($AC$1006:AG1006),$AC$1006:$AS$1006,0)), HYPERLINK("#",""), HYPERLINK(CONCATENATE("#metadata!", ADDRESS(INDEX($X$2:$X$1001,MATCH(ROWS($V$2:V266),$V$2:$V$1001,0),0), INDEX($AC$1004:$AS$1004,1,MATCH(COLUMNS($AC$1006:AG1006),$AC$1006:$AS$1006,0)))),"Fix")))</f>
        <v xml:space="preserve"> </v>
      </c>
      <c r="G266" s="4" t="str">
        <f ca="1">IF(OR(INDEX($W$2:$W$1001,MATCH(ROWS($V$2:V266),$V$2:$V$1001,0),1)&gt;=100000,INDEX($AC$1005:$AS$1005,1,MATCH(COLUMNS($AC$1006:AH1006),$AC$1006:$AS$1006,0))&gt;=100000), " ",IF(INDEX($AC$2:$AS$1001,MATCH(ROWS($V$2:V266),$V$2:$V$1001,0),MATCH(COLUMNS($AC$1006:AH1006),$AC$1006:$AS$1006,0)), HYPERLINK("#",""), HYPERLINK(CONCATENATE("#metadata!", ADDRESS(INDEX($X$2:$X$1001,MATCH(ROWS($V$2:V266),$V$2:$V$1001,0),0), INDEX($AC$1004:$AS$1004,1,MATCH(COLUMNS($AC$1006:AH1006),$AC$1006:$AS$1006,0)))),"Fix")))</f>
        <v xml:space="preserve"> </v>
      </c>
      <c r="H266" s="4" t="str">
        <f ca="1">IF(OR(INDEX($W$2:$W$1001,MATCH(ROWS($V$2:V266),$V$2:$V$1001,0),1)&gt;=100000,INDEX($AC$1005:$AS$1005,1,MATCH(COLUMNS($AC$1006:AI1006),$AC$1006:$AS$1006,0))&gt;=100000), " ",IF(INDEX($AC$2:$AS$1001,MATCH(ROWS($V$2:V266),$V$2:$V$1001,0),MATCH(COLUMNS($AC$1006:AI1006),$AC$1006:$AS$1006,0)), HYPERLINK("#",""), HYPERLINK(CONCATENATE("#metadata!", ADDRESS(INDEX($X$2:$X$1001,MATCH(ROWS($V$2:V266),$V$2:$V$1001,0),0), INDEX($AC$1004:$AS$1004,1,MATCH(COLUMNS($AC$1006:AI1006),$AC$1006:$AS$1006,0)))),"Fix")))</f>
        <v xml:space="preserve"> </v>
      </c>
      <c r="I266" s="4" t="str">
        <f ca="1">IF(OR(INDEX($W$2:$W$1001,MATCH(ROWS($V$2:V266),$V$2:$V$1001,0),1)&gt;=100000,INDEX($AC$1005:$AS$1005,1,MATCH(COLUMNS($AC$1006:AJ1006),$AC$1006:$AS$1006,0))&gt;=100000), " ",IF(INDEX($AC$2:$AS$1001,MATCH(ROWS($V$2:V266),$V$2:$V$1001,0),MATCH(COLUMNS($AC$1006:AJ1006),$AC$1006:$AS$1006,0)), HYPERLINK("#",""), HYPERLINK(CONCATENATE("#metadata!", ADDRESS(INDEX($X$2:$X$1001,MATCH(ROWS($V$2:V266),$V$2:$V$1001,0),0), INDEX($AC$1004:$AS$1004,1,MATCH(COLUMNS($AC$1006:AJ1006),$AC$1006:$AS$1006,0)))),"Fix")))</f>
        <v xml:space="preserve"> </v>
      </c>
      <c r="J266" s="4" t="str">
        <f ca="1">IF(OR(INDEX($W$2:$W$1001,MATCH(ROWS($V$2:V266),$V$2:$V$1001,0),1)&gt;=100000,INDEX($AC$1005:$AS$1005,1,MATCH(COLUMNS($AC$1006:AK1006),$AC$1006:$AS$1006,0))&gt;=100000), " ",IF(INDEX($AC$2:$AS$1001,MATCH(ROWS($V$2:V266),$V$2:$V$1001,0),MATCH(COLUMNS($AC$1006:AK1006),$AC$1006:$AS$1006,0)), HYPERLINK("#",""), HYPERLINK(CONCATENATE("#metadata!", ADDRESS(INDEX($X$2:$X$1001,MATCH(ROWS($V$2:V266),$V$2:$V$1001,0),0), INDEX($AC$1004:$AS$1004,1,MATCH(COLUMNS($AC$1006:AK1006),$AC$1006:$AS$1006,0)))),"Fix")))</f>
        <v xml:space="preserve"> </v>
      </c>
      <c r="K266" s="4" t="str">
        <f ca="1">IF(OR(INDEX($W$2:$W$1001,MATCH(ROWS($V$2:V266),$V$2:$V$1001,0),1)&gt;=100000,INDEX($AC$1005:$AS$1005,1,MATCH(COLUMNS($AC$1006:AL1006),$AC$1006:$AS$1006,0))&gt;=100000), " ",IF(INDEX($AC$2:$AS$1001,MATCH(ROWS($V$2:V266),$V$2:$V$1001,0),MATCH(COLUMNS($AC$1006:AL1006),$AC$1006:$AS$1006,0)), HYPERLINK("#",""), HYPERLINK(CONCATENATE("#metadata!", ADDRESS(INDEX($X$2:$X$1001,MATCH(ROWS($V$2:V266),$V$2:$V$1001,0),0), INDEX($AC$1004:$AS$1004,1,MATCH(COLUMNS($AC$1006:AL1006),$AC$1006:$AS$1006,0)))),"Fix")))</f>
        <v xml:space="preserve"> </v>
      </c>
      <c r="L266" s="4" t="str">
        <f ca="1">IF(OR(INDEX($W$2:$W$1001,MATCH(ROWS($V$2:V266),$V$2:$V$1001,0),1)&gt;=100000,INDEX($AC$1005:$AS$1005,1,MATCH(COLUMNS($AC$1006:AM1006),$AC$1006:$AS$1006,0))&gt;=100000), " ",IF(INDEX($AC$2:$AS$1001,MATCH(ROWS($V$2:V266),$V$2:$V$1001,0),MATCH(COLUMNS($AC$1006:AM1006),$AC$1006:$AS$1006,0)), HYPERLINK("#",""), HYPERLINK(CONCATENATE("#metadata!", ADDRESS(INDEX($X$2:$X$1001,MATCH(ROWS($V$2:V266),$V$2:$V$1001,0),0), INDEX($AC$1004:$AS$1004,1,MATCH(COLUMNS($AC$1006:AM1006),$AC$1006:$AS$1006,0)))),"Fix")))</f>
        <v xml:space="preserve"> </v>
      </c>
      <c r="M266" s="4" t="str">
        <f ca="1">IF(OR(INDEX($W$2:$W$1001,MATCH(ROWS($V$2:V266),$V$2:$V$1001,0),1)&gt;=100000,INDEX($AC$1005:$AS$1005,1,MATCH(COLUMNS($AC$1006:AN1006),$AC$1006:$AS$1006,0))&gt;=100000), " ",IF(INDEX($AC$2:$AS$1001,MATCH(ROWS($V$2:V266),$V$2:$V$1001,0),MATCH(COLUMNS($AC$1006:AN1006),$AC$1006:$AS$1006,0)), HYPERLINK("#",""), HYPERLINK(CONCATENATE("#metadata!", ADDRESS(INDEX($X$2:$X$1001,MATCH(ROWS($V$2:V266),$V$2:$V$1001,0),0), INDEX($AC$1004:$AS$1004,1,MATCH(COLUMNS($AC$1006:AN1006),$AC$1006:$AS$1006,0)))),"Fix")))</f>
        <v xml:space="preserve"> </v>
      </c>
      <c r="N266" s="4" t="str">
        <f ca="1">IF(OR(INDEX($W$2:$W$1001,MATCH(ROWS($V$2:V266),$V$2:$V$1001,0),1)&gt;=100000,INDEX($AC$1005:$AS$1005,1,MATCH(COLUMNS($AC$1006:AO1006),$AC$1006:$AS$1006,0))&gt;=100000), " ",IF(INDEX($AC$2:$AS$1001,MATCH(ROWS($V$2:V266),$V$2:$V$1001,0),MATCH(COLUMNS($AC$1006:AO1006),$AC$1006:$AS$1006,0)), HYPERLINK("#",""), HYPERLINK(CONCATENATE("#metadata!", ADDRESS(INDEX($X$2:$X$1001,MATCH(ROWS($V$2:V266),$V$2:$V$1001,0),0), INDEX($AC$1004:$AS$1004,1,MATCH(COLUMNS($AC$1006:AO1006),$AC$1006:$AS$1006,0)))),"Fix")))</f>
        <v xml:space="preserve"> </v>
      </c>
      <c r="O266" s="4" t="str">
        <f ca="1">IF(OR(INDEX($W$2:$W$1001,MATCH(ROWS($V$2:V266),$V$2:$V$1001,0),1)&gt;=100000,INDEX($AC$1005:$AS$1005,1,MATCH(COLUMNS($AC$1006:AP1006),$AC$1006:$AS$1006,0))&gt;=100000), " ",IF(INDEX($AC$2:$AS$1001,MATCH(ROWS($V$2:V266),$V$2:$V$1001,0),MATCH(COLUMNS($AC$1006:AP1006),$AC$1006:$AS$1006,0)), HYPERLINK("#",""), HYPERLINK(CONCATENATE("#metadata!", ADDRESS(INDEX($X$2:$X$1001,MATCH(ROWS($V$2:V266),$V$2:$V$1001,0),0), INDEX($AC$1004:$AS$1004,1,MATCH(COLUMNS($AC$1006:AP1006),$AC$1006:$AS$1006,0)))),"Fix")))</f>
        <v xml:space="preserve"> </v>
      </c>
      <c r="P266" s="4" t="str">
        <f ca="1">IF(OR(INDEX($W$2:$W$1001,MATCH(ROWS($V$2:V266),$V$2:$V$1001,0),1)&gt;=100000,INDEX($AC$1005:$AS$1005,1,MATCH(COLUMNS($AC$1006:AQ1006),$AC$1006:$AS$1006,0))&gt;=100000), " ",IF(INDEX($AC$2:$AS$1001,MATCH(ROWS($V$2:V266),$V$2:$V$1001,0),MATCH(COLUMNS($AC$1006:AQ1006),$AC$1006:$AS$1006,0)), HYPERLINK("#",""), HYPERLINK(CONCATENATE("#metadata!", ADDRESS(INDEX($X$2:$X$1001,MATCH(ROWS($V$2:V266),$V$2:$V$1001,0),0), INDEX($AC$1004:$AS$1004,1,MATCH(COLUMNS($AC$1006:AQ1006),$AC$1006:$AS$1006,0)))),"Fix")))</f>
        <v xml:space="preserve"> </v>
      </c>
      <c r="Q266" s="4" t="str">
        <f ca="1">IF(OR(INDEX($W$2:$W$1001,MATCH(ROWS($V$2:V266),$V$2:$V$1001,0),1)&gt;=100000,INDEX($AC$1005:$AS$1005,1,MATCH(COLUMNS($AC$1006:AR1006),$AC$1006:$AS$1006,0))&gt;=100000), " ",IF(INDEX($AC$2:$AS$1001,MATCH(ROWS($V$2:V266),$V$2:$V$1001,0),MATCH(COLUMNS($AC$1006:AR1006),$AC$1006:$AS$1006,0)), HYPERLINK("#",""), HYPERLINK(CONCATENATE("#metadata!", ADDRESS(INDEX($X$2:$X$1001,MATCH(ROWS($V$2:V266),$V$2:$V$1001,0),0), INDEX($AC$1004:$AS$1004,1,MATCH(COLUMNS($AC$1006:AR1006),$AC$1006:$AS$1006,0)))),"Fix")))</f>
        <v xml:space="preserve"> </v>
      </c>
      <c r="R266" s="4" t="str">
        <f ca="1">IF(OR(INDEX($W$2:$W$1001,MATCH(ROWS($V$2:V266),$V$2:$V$1001,0),1)&gt;=100000,INDEX($AC$1005:$AS$1005,1,MATCH(COLUMNS($AC$1006:AS1006),$AC$1006:$AS$1006,0))&gt;=100000), " ",IF(INDEX($AC$2:$AS$1001,MATCH(ROWS($V$2:V266),$V$2:$V$1001,0),MATCH(COLUMNS($AC$1006:AS1006),$AC$1006:$AS$1006,0)), HYPERLINK("#",""), HYPERLINK(CONCATENATE("#metadata!", ADDRESS(INDEX($X$2:$X$1001,MATCH(ROWS($V$2:V266),$V$2:$V$1001,0),0), INDEX($AC$1004:$AS$1004,1,MATCH(COLUMNS($AC$1006:AS1006),$AC$1006:$AS$1006,0)))),"Fix")))</f>
        <v xml:space="preserve"> </v>
      </c>
      <c r="V266">
        <v>265</v>
      </c>
      <c r="W266">
        <v>100266</v>
      </c>
      <c r="X266">
        <v>266</v>
      </c>
      <c r="Y266" t="b">
        <f t="shared" si="4"/>
        <v>1</v>
      </c>
      <c r="Z266" t="b">
        <f>COUNTBLANK(metadata!B266:R266)=COLUMNS(metadata!B266:R266)</f>
        <v>1</v>
      </c>
      <c r="AA266" t="str">
        <v/>
      </c>
      <c r="AC266" t="b">
        <f ca="1"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AD266" t="b">
        <f>IF(metadata!C266="",FALSE,ISNUMBER(VALUE(metadata!C266)))</f>
        <v>0</v>
      </c>
      <c r="AE266" t="b">
        <f>AND(IF(metadata!D266="",FALSE,TRUE),EXACT(metadata!D266,"years"))</f>
        <v>0</v>
      </c>
      <c r="AF266" t="b">
        <f>OR(AND(IF(metadata!E266="",FALSE,TRUE),OR(EXACT(metadata!E266,"not applicable"),EXACT(metadata!E266,"missing: not collected"),EXACT(metadata!E266,"missing: not provided"),EXACT(metadata!E266,"missing: restricted access"))),AND(IF(metadata!E266="",FALSE,ISNUMBER(VALUE(metadata!E266))),metadata!E266&gt;0))</f>
        <v>0</v>
      </c>
      <c r="AG266" t="b">
        <f>AND(IF(metadata!F266="",FALSE,TRUE),EXACT(metadata!F266,"Not applicable"))</f>
        <v>0</v>
      </c>
      <c r="AH266" t="b">
        <f>AND(IF(metadata!G266="",FALSE,TRUE),EXACT(metadata!G266,"urban biome"))</f>
        <v>0</v>
      </c>
      <c r="AI266" t="b">
        <f>AND(IF(metadata!H266="",FALSE,TRUE),EXACT(metadata!H266,"human-associated habitat"))</f>
        <v>0</v>
      </c>
      <c r="AJ266" t="b">
        <f>AND(IF(metadata!I266="",FALSE,TRUE),OR(EXACT(metadata!I266,"human-associated"),EXACT(metadata!I266,"human-skin"),EXACT(metadata!I266,"human-oral"),EXACT(metadata!I266,"human-gut"),EXACT(metadata!I266,"human-vaginal")))</f>
        <v>0</v>
      </c>
      <c r="AK266" t="b">
        <f>IF(metadata!J266="",FALSE,ISNUMBER(VALUE(metadata!J266)))</f>
        <v>0</v>
      </c>
      <c r="AL266" t="b">
        <f>AND(IF(metadata!K266="",FALSE,TRUE),EXACT(metadata!K266,"cm"))</f>
        <v>0</v>
      </c>
      <c r="AM266" t="b">
        <f>AND(IF(metadata!L266="",FALSE,TRUE),EXACT(metadata!L266,"human"))</f>
        <v>0</v>
      </c>
      <c r="AN266" t="b">
        <f>AND(IF(metadata!M266="",FALSE,TRUE),EXACT(metadata!M266,"Homo sapiens"))</f>
        <v>0</v>
      </c>
      <c r="AO266" t="b">
        <f>AND(IF(metadata!N266="",FALSE,TRUE),EXACT(metadata!N266,"9606"))</f>
        <v>0</v>
      </c>
      <c r="AP266" t="b">
        <f>IF(metadata!O266="",FALSE,TRUE)</f>
        <v>0</v>
      </c>
      <c r="AQ266" t="b">
        <f>IF(metadata!P266="",FALSE,TRUE)</f>
        <v>0</v>
      </c>
      <c r="AR266" t="b">
        <f>IF(metadata!Q266="",FALSE,ISNUMBER(VALUE(metadata!Q266)))</f>
        <v>0</v>
      </c>
      <c r="AS266" t="b">
        <f>AND(IF(metadata!R266="",FALSE,TRUE),EXACT(metadata!R266,"kg"))</f>
        <v>0</v>
      </c>
    </row>
    <row r="267" spans="1:45" x14ac:dyDescent="0.2">
      <c r="A267" s="5" t="str">
        <f ca="1">IF(B267=" "," ",HYPERLINK(CONCATENATE("#metadata!",ADDRESS(INDEX($X$2:$X$1001,MATCH(ROWS($V$2:V267),$V$2:$V$1001,0),0),1)),INDEX($AA$2:$AA$1001,MATCH(ROWS($V$2:V267),$V$2:$V$1001,0),0)))</f>
        <v xml:space="preserve"> </v>
      </c>
      <c r="B267" s="4" t="str">
        <f ca="1">IF(OR(INDEX($W$2:$W$1001,MATCH(ROWS($V$2:V267),$V$2:$V$1001,0),1)&gt;=100000,INDEX($AC$1005:$AS$1005,1,MATCH(COLUMNS($AC$1006:AC1006),$AC$1006:$AS$1006,0))&gt;=100000), " ",IF(INDEX($AC$2:$AS$1001,MATCH(ROWS($V$2:V267),$V$2:$V$1001,0),MATCH(COLUMNS($AC$1006:AC1006),$AC$1006:$AS$1006,0)), HYPERLINK("#",""), HYPERLINK(CONCATENATE("#metadata!", ADDRESS(INDEX($X$2:$X$1001,MATCH(ROWS($V$2:V267),$V$2:$V$1001,0),0), INDEX($AC$1004:$AS$1004,1,MATCH(COLUMNS($AC$1006:AC1006),$AC$1006:$AS$1006,0)))),"Fix")))</f>
        <v xml:space="preserve"> </v>
      </c>
      <c r="C267" s="4" t="str">
        <f ca="1">IF(OR(INDEX($W$2:$W$1001,MATCH(ROWS($V$2:V267),$V$2:$V$1001,0),1)&gt;=100000,INDEX($AC$1005:$AS$1005,1,MATCH(COLUMNS($AC$1006:AD1006),$AC$1006:$AS$1006,0))&gt;=100000), " ",IF(INDEX($AC$2:$AS$1001,MATCH(ROWS($V$2:V267),$V$2:$V$1001,0),MATCH(COLUMNS($AC$1006:AD1006),$AC$1006:$AS$1006,0)), HYPERLINK("#",""), HYPERLINK(CONCATENATE("#metadata!", ADDRESS(INDEX($X$2:$X$1001,MATCH(ROWS($V$2:V267),$V$2:$V$1001,0),0), INDEX($AC$1004:$AS$1004,1,MATCH(COLUMNS($AC$1006:AD1006),$AC$1006:$AS$1006,0)))),"Fix")))</f>
        <v xml:space="preserve"> </v>
      </c>
      <c r="D267" s="4" t="str">
        <f ca="1">IF(OR(INDEX($W$2:$W$1001,MATCH(ROWS($V$2:V267),$V$2:$V$1001,0),1)&gt;=100000,INDEX($AC$1005:$AS$1005,1,MATCH(COLUMNS($AC$1006:AE1006),$AC$1006:$AS$1006,0))&gt;=100000), " ",IF(INDEX($AC$2:$AS$1001,MATCH(ROWS($V$2:V267),$V$2:$V$1001,0),MATCH(COLUMNS($AC$1006:AE1006),$AC$1006:$AS$1006,0)), HYPERLINK("#",""), HYPERLINK(CONCATENATE("#metadata!", ADDRESS(INDEX($X$2:$X$1001,MATCH(ROWS($V$2:V267),$V$2:$V$1001,0),0), INDEX($AC$1004:$AS$1004,1,MATCH(COLUMNS($AC$1006:AE1006),$AC$1006:$AS$1006,0)))),"Fix")))</f>
        <v xml:space="preserve"> </v>
      </c>
      <c r="E267" s="4" t="str">
        <f ca="1">IF(OR(INDEX($W$2:$W$1001,MATCH(ROWS($V$2:V267),$V$2:$V$1001,0),1)&gt;=100000,INDEX($AC$1005:$AS$1005,1,MATCH(COLUMNS($AC$1006:AF1006),$AC$1006:$AS$1006,0))&gt;=100000), " ",IF(INDEX($AC$2:$AS$1001,MATCH(ROWS($V$2:V267),$V$2:$V$1001,0),MATCH(COLUMNS($AC$1006:AF1006),$AC$1006:$AS$1006,0)), HYPERLINK("#",""), HYPERLINK(CONCATENATE("#metadata!", ADDRESS(INDEX($X$2:$X$1001,MATCH(ROWS($V$2:V267),$V$2:$V$1001,0),0), INDEX($AC$1004:$AS$1004,1,MATCH(COLUMNS($AC$1006:AF1006),$AC$1006:$AS$1006,0)))),"Fix")))</f>
        <v xml:space="preserve"> </v>
      </c>
      <c r="F267" s="4" t="str">
        <f ca="1">IF(OR(INDEX($W$2:$W$1001,MATCH(ROWS($V$2:V267),$V$2:$V$1001,0),1)&gt;=100000,INDEX($AC$1005:$AS$1005,1,MATCH(COLUMNS($AC$1006:AG1006),$AC$1006:$AS$1006,0))&gt;=100000), " ",IF(INDEX($AC$2:$AS$1001,MATCH(ROWS($V$2:V267),$V$2:$V$1001,0),MATCH(COLUMNS($AC$1006:AG1006),$AC$1006:$AS$1006,0)), HYPERLINK("#",""), HYPERLINK(CONCATENATE("#metadata!", ADDRESS(INDEX($X$2:$X$1001,MATCH(ROWS($V$2:V267),$V$2:$V$1001,0),0), INDEX($AC$1004:$AS$1004,1,MATCH(COLUMNS($AC$1006:AG1006),$AC$1006:$AS$1006,0)))),"Fix")))</f>
        <v xml:space="preserve"> </v>
      </c>
      <c r="G267" s="4" t="str">
        <f ca="1">IF(OR(INDEX($W$2:$W$1001,MATCH(ROWS($V$2:V267),$V$2:$V$1001,0),1)&gt;=100000,INDEX($AC$1005:$AS$1005,1,MATCH(COLUMNS($AC$1006:AH1006),$AC$1006:$AS$1006,0))&gt;=100000), " ",IF(INDEX($AC$2:$AS$1001,MATCH(ROWS($V$2:V267),$V$2:$V$1001,0),MATCH(COLUMNS($AC$1006:AH1006),$AC$1006:$AS$1006,0)), HYPERLINK("#",""), HYPERLINK(CONCATENATE("#metadata!", ADDRESS(INDEX($X$2:$X$1001,MATCH(ROWS($V$2:V267),$V$2:$V$1001,0),0), INDEX($AC$1004:$AS$1004,1,MATCH(COLUMNS($AC$1006:AH1006),$AC$1006:$AS$1006,0)))),"Fix")))</f>
        <v xml:space="preserve"> </v>
      </c>
      <c r="H267" s="4" t="str">
        <f ca="1">IF(OR(INDEX($W$2:$W$1001,MATCH(ROWS($V$2:V267),$V$2:$V$1001,0),1)&gt;=100000,INDEX($AC$1005:$AS$1005,1,MATCH(COLUMNS($AC$1006:AI1006),$AC$1006:$AS$1006,0))&gt;=100000), " ",IF(INDEX($AC$2:$AS$1001,MATCH(ROWS($V$2:V267),$V$2:$V$1001,0),MATCH(COLUMNS($AC$1006:AI1006),$AC$1006:$AS$1006,0)), HYPERLINK("#",""), HYPERLINK(CONCATENATE("#metadata!", ADDRESS(INDEX($X$2:$X$1001,MATCH(ROWS($V$2:V267),$V$2:$V$1001,0),0), INDEX($AC$1004:$AS$1004,1,MATCH(COLUMNS($AC$1006:AI1006),$AC$1006:$AS$1006,0)))),"Fix")))</f>
        <v xml:space="preserve"> </v>
      </c>
      <c r="I267" s="4" t="str">
        <f ca="1">IF(OR(INDEX($W$2:$W$1001,MATCH(ROWS($V$2:V267),$V$2:$V$1001,0),1)&gt;=100000,INDEX($AC$1005:$AS$1005,1,MATCH(COLUMNS($AC$1006:AJ1006),$AC$1006:$AS$1006,0))&gt;=100000), " ",IF(INDEX($AC$2:$AS$1001,MATCH(ROWS($V$2:V267),$V$2:$V$1001,0),MATCH(COLUMNS($AC$1006:AJ1006),$AC$1006:$AS$1006,0)), HYPERLINK("#",""), HYPERLINK(CONCATENATE("#metadata!", ADDRESS(INDEX($X$2:$X$1001,MATCH(ROWS($V$2:V267),$V$2:$V$1001,0),0), INDEX($AC$1004:$AS$1004,1,MATCH(COLUMNS($AC$1006:AJ1006),$AC$1006:$AS$1006,0)))),"Fix")))</f>
        <v xml:space="preserve"> </v>
      </c>
      <c r="J267" s="4" t="str">
        <f ca="1">IF(OR(INDEX($W$2:$W$1001,MATCH(ROWS($V$2:V267),$V$2:$V$1001,0),1)&gt;=100000,INDEX($AC$1005:$AS$1005,1,MATCH(COLUMNS($AC$1006:AK1006),$AC$1006:$AS$1006,0))&gt;=100000), " ",IF(INDEX($AC$2:$AS$1001,MATCH(ROWS($V$2:V267),$V$2:$V$1001,0),MATCH(COLUMNS($AC$1006:AK1006),$AC$1006:$AS$1006,0)), HYPERLINK("#",""), HYPERLINK(CONCATENATE("#metadata!", ADDRESS(INDEX($X$2:$X$1001,MATCH(ROWS($V$2:V267),$V$2:$V$1001,0),0), INDEX($AC$1004:$AS$1004,1,MATCH(COLUMNS($AC$1006:AK1006),$AC$1006:$AS$1006,0)))),"Fix")))</f>
        <v xml:space="preserve"> </v>
      </c>
      <c r="K267" s="4" t="str">
        <f ca="1">IF(OR(INDEX($W$2:$W$1001,MATCH(ROWS($V$2:V267),$V$2:$V$1001,0),1)&gt;=100000,INDEX($AC$1005:$AS$1005,1,MATCH(COLUMNS($AC$1006:AL1006),$AC$1006:$AS$1006,0))&gt;=100000), " ",IF(INDEX($AC$2:$AS$1001,MATCH(ROWS($V$2:V267),$V$2:$V$1001,0),MATCH(COLUMNS($AC$1006:AL1006),$AC$1006:$AS$1006,0)), HYPERLINK("#",""), HYPERLINK(CONCATENATE("#metadata!", ADDRESS(INDEX($X$2:$X$1001,MATCH(ROWS($V$2:V267),$V$2:$V$1001,0),0), INDEX($AC$1004:$AS$1004,1,MATCH(COLUMNS($AC$1006:AL1006),$AC$1006:$AS$1006,0)))),"Fix")))</f>
        <v xml:space="preserve"> </v>
      </c>
      <c r="L267" s="4" t="str">
        <f ca="1">IF(OR(INDEX($W$2:$W$1001,MATCH(ROWS($V$2:V267),$V$2:$V$1001,0),1)&gt;=100000,INDEX($AC$1005:$AS$1005,1,MATCH(COLUMNS($AC$1006:AM1006),$AC$1006:$AS$1006,0))&gt;=100000), " ",IF(INDEX($AC$2:$AS$1001,MATCH(ROWS($V$2:V267),$V$2:$V$1001,0),MATCH(COLUMNS($AC$1006:AM1006),$AC$1006:$AS$1006,0)), HYPERLINK("#",""), HYPERLINK(CONCATENATE("#metadata!", ADDRESS(INDEX($X$2:$X$1001,MATCH(ROWS($V$2:V267),$V$2:$V$1001,0),0), INDEX($AC$1004:$AS$1004,1,MATCH(COLUMNS($AC$1006:AM1006),$AC$1006:$AS$1006,0)))),"Fix")))</f>
        <v xml:space="preserve"> </v>
      </c>
      <c r="M267" s="4" t="str">
        <f ca="1">IF(OR(INDEX($W$2:$W$1001,MATCH(ROWS($V$2:V267),$V$2:$V$1001,0),1)&gt;=100000,INDEX($AC$1005:$AS$1005,1,MATCH(COLUMNS($AC$1006:AN1006),$AC$1006:$AS$1006,0))&gt;=100000), " ",IF(INDEX($AC$2:$AS$1001,MATCH(ROWS($V$2:V267),$V$2:$V$1001,0),MATCH(COLUMNS($AC$1006:AN1006),$AC$1006:$AS$1006,0)), HYPERLINK("#",""), HYPERLINK(CONCATENATE("#metadata!", ADDRESS(INDEX($X$2:$X$1001,MATCH(ROWS($V$2:V267),$V$2:$V$1001,0),0), INDEX($AC$1004:$AS$1004,1,MATCH(COLUMNS($AC$1006:AN1006),$AC$1006:$AS$1006,0)))),"Fix")))</f>
        <v xml:space="preserve"> </v>
      </c>
      <c r="N267" s="4" t="str">
        <f ca="1">IF(OR(INDEX($W$2:$W$1001,MATCH(ROWS($V$2:V267),$V$2:$V$1001,0),1)&gt;=100000,INDEX($AC$1005:$AS$1005,1,MATCH(COLUMNS($AC$1006:AO1006),$AC$1006:$AS$1006,0))&gt;=100000), " ",IF(INDEX($AC$2:$AS$1001,MATCH(ROWS($V$2:V267),$V$2:$V$1001,0),MATCH(COLUMNS($AC$1006:AO1006),$AC$1006:$AS$1006,0)), HYPERLINK("#",""), HYPERLINK(CONCATENATE("#metadata!", ADDRESS(INDEX($X$2:$X$1001,MATCH(ROWS($V$2:V267),$V$2:$V$1001,0),0), INDEX($AC$1004:$AS$1004,1,MATCH(COLUMNS($AC$1006:AO1006),$AC$1006:$AS$1006,0)))),"Fix")))</f>
        <v xml:space="preserve"> </v>
      </c>
      <c r="O267" s="4" t="str">
        <f ca="1">IF(OR(INDEX($W$2:$W$1001,MATCH(ROWS($V$2:V267),$V$2:$V$1001,0),1)&gt;=100000,INDEX($AC$1005:$AS$1005,1,MATCH(COLUMNS($AC$1006:AP1006),$AC$1006:$AS$1006,0))&gt;=100000), " ",IF(INDEX($AC$2:$AS$1001,MATCH(ROWS($V$2:V267),$V$2:$V$1001,0),MATCH(COLUMNS($AC$1006:AP1006),$AC$1006:$AS$1006,0)), HYPERLINK("#",""), HYPERLINK(CONCATENATE("#metadata!", ADDRESS(INDEX($X$2:$X$1001,MATCH(ROWS($V$2:V267),$V$2:$V$1001,0),0), INDEX($AC$1004:$AS$1004,1,MATCH(COLUMNS($AC$1006:AP1006),$AC$1006:$AS$1006,0)))),"Fix")))</f>
        <v xml:space="preserve"> </v>
      </c>
      <c r="P267" s="4" t="str">
        <f ca="1">IF(OR(INDEX($W$2:$W$1001,MATCH(ROWS($V$2:V267),$V$2:$V$1001,0),1)&gt;=100000,INDEX($AC$1005:$AS$1005,1,MATCH(COLUMNS($AC$1006:AQ1006),$AC$1006:$AS$1006,0))&gt;=100000), " ",IF(INDEX($AC$2:$AS$1001,MATCH(ROWS($V$2:V267),$V$2:$V$1001,0),MATCH(COLUMNS($AC$1006:AQ1006),$AC$1006:$AS$1006,0)), HYPERLINK("#",""), HYPERLINK(CONCATENATE("#metadata!", ADDRESS(INDEX($X$2:$X$1001,MATCH(ROWS($V$2:V267),$V$2:$V$1001,0),0), INDEX($AC$1004:$AS$1004,1,MATCH(COLUMNS($AC$1006:AQ1006),$AC$1006:$AS$1006,0)))),"Fix")))</f>
        <v xml:space="preserve"> </v>
      </c>
      <c r="Q267" s="4" t="str">
        <f ca="1">IF(OR(INDEX($W$2:$W$1001,MATCH(ROWS($V$2:V267),$V$2:$V$1001,0),1)&gt;=100000,INDEX($AC$1005:$AS$1005,1,MATCH(COLUMNS($AC$1006:AR1006),$AC$1006:$AS$1006,0))&gt;=100000), " ",IF(INDEX($AC$2:$AS$1001,MATCH(ROWS($V$2:V267),$V$2:$V$1001,0),MATCH(COLUMNS($AC$1006:AR1006),$AC$1006:$AS$1006,0)), HYPERLINK("#",""), HYPERLINK(CONCATENATE("#metadata!", ADDRESS(INDEX($X$2:$X$1001,MATCH(ROWS($V$2:V267),$V$2:$V$1001,0),0), INDEX($AC$1004:$AS$1004,1,MATCH(COLUMNS($AC$1006:AR1006),$AC$1006:$AS$1006,0)))),"Fix")))</f>
        <v xml:space="preserve"> </v>
      </c>
      <c r="R267" s="4" t="str">
        <f ca="1">IF(OR(INDEX($W$2:$W$1001,MATCH(ROWS($V$2:V267),$V$2:$V$1001,0),1)&gt;=100000,INDEX($AC$1005:$AS$1005,1,MATCH(COLUMNS($AC$1006:AS1006),$AC$1006:$AS$1006,0))&gt;=100000), " ",IF(INDEX($AC$2:$AS$1001,MATCH(ROWS($V$2:V267),$V$2:$V$1001,0),MATCH(COLUMNS($AC$1006:AS1006),$AC$1006:$AS$1006,0)), HYPERLINK("#",""), HYPERLINK(CONCATENATE("#metadata!", ADDRESS(INDEX($X$2:$X$1001,MATCH(ROWS($V$2:V267),$V$2:$V$1001,0),0), INDEX($AC$1004:$AS$1004,1,MATCH(COLUMNS($AC$1006:AS1006),$AC$1006:$AS$1006,0)))),"Fix")))</f>
        <v xml:space="preserve"> </v>
      </c>
      <c r="V267">
        <v>266</v>
      </c>
      <c r="W267">
        <v>100267</v>
      </c>
      <c r="X267">
        <v>267</v>
      </c>
      <c r="Y267" t="b">
        <f t="shared" si="4"/>
        <v>1</v>
      </c>
      <c r="Z267" t="b">
        <f>COUNTBLANK(metadata!B267:R267)=COLUMNS(metadata!B267:R267)</f>
        <v>1</v>
      </c>
      <c r="AA267" t="str">
        <v/>
      </c>
      <c r="AC267" t="b">
        <f ca="1"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AD267" t="b">
        <f>IF(metadata!C267="",FALSE,ISNUMBER(VALUE(metadata!C267)))</f>
        <v>0</v>
      </c>
      <c r="AE267" t="b">
        <f>AND(IF(metadata!D267="",FALSE,TRUE),EXACT(metadata!D267,"years"))</f>
        <v>0</v>
      </c>
      <c r="AF267" t="b">
        <f>OR(AND(IF(metadata!E267="",FALSE,TRUE),OR(EXACT(metadata!E267,"not applicable"),EXACT(metadata!E267,"missing: not collected"),EXACT(metadata!E267,"missing: not provided"),EXACT(metadata!E267,"missing: restricted access"))),AND(IF(metadata!E267="",FALSE,ISNUMBER(VALUE(metadata!E267))),metadata!E267&gt;0))</f>
        <v>0</v>
      </c>
      <c r="AG267" t="b">
        <f>AND(IF(metadata!F267="",FALSE,TRUE),EXACT(metadata!F267,"Not applicable"))</f>
        <v>0</v>
      </c>
      <c r="AH267" t="b">
        <f>AND(IF(metadata!G267="",FALSE,TRUE),EXACT(metadata!G267,"urban biome"))</f>
        <v>0</v>
      </c>
      <c r="AI267" t="b">
        <f>AND(IF(metadata!H267="",FALSE,TRUE),EXACT(metadata!H267,"human-associated habitat"))</f>
        <v>0</v>
      </c>
      <c r="AJ267" t="b">
        <f>AND(IF(metadata!I267="",FALSE,TRUE),OR(EXACT(metadata!I267,"human-associated"),EXACT(metadata!I267,"human-skin"),EXACT(metadata!I267,"human-oral"),EXACT(metadata!I267,"human-gut"),EXACT(metadata!I267,"human-vaginal")))</f>
        <v>0</v>
      </c>
      <c r="AK267" t="b">
        <f>IF(metadata!J267="",FALSE,ISNUMBER(VALUE(metadata!J267)))</f>
        <v>0</v>
      </c>
      <c r="AL267" t="b">
        <f>AND(IF(metadata!K267="",FALSE,TRUE),EXACT(metadata!K267,"cm"))</f>
        <v>0</v>
      </c>
      <c r="AM267" t="b">
        <f>AND(IF(metadata!L267="",FALSE,TRUE),EXACT(metadata!L267,"human"))</f>
        <v>0</v>
      </c>
      <c r="AN267" t="b">
        <f>AND(IF(metadata!M267="",FALSE,TRUE),EXACT(metadata!M267,"Homo sapiens"))</f>
        <v>0</v>
      </c>
      <c r="AO267" t="b">
        <f>AND(IF(metadata!N267="",FALSE,TRUE),EXACT(metadata!N267,"9606"))</f>
        <v>0</v>
      </c>
      <c r="AP267" t="b">
        <f>IF(metadata!O267="",FALSE,TRUE)</f>
        <v>0</v>
      </c>
      <c r="AQ267" t="b">
        <f>IF(metadata!P267="",FALSE,TRUE)</f>
        <v>0</v>
      </c>
      <c r="AR267" t="b">
        <f>IF(metadata!Q267="",FALSE,ISNUMBER(VALUE(metadata!Q267)))</f>
        <v>0</v>
      </c>
      <c r="AS267" t="b">
        <f>AND(IF(metadata!R267="",FALSE,TRUE),EXACT(metadata!R267,"kg"))</f>
        <v>0</v>
      </c>
    </row>
    <row r="268" spans="1:45" x14ac:dyDescent="0.2">
      <c r="A268" s="5" t="str">
        <f ca="1">IF(B268=" "," ",HYPERLINK(CONCATENATE("#metadata!",ADDRESS(INDEX($X$2:$X$1001,MATCH(ROWS($V$2:V268),$V$2:$V$1001,0),0),1)),INDEX($AA$2:$AA$1001,MATCH(ROWS($V$2:V268),$V$2:$V$1001,0),0)))</f>
        <v xml:space="preserve"> </v>
      </c>
      <c r="B268" s="4" t="str">
        <f ca="1">IF(OR(INDEX($W$2:$W$1001,MATCH(ROWS($V$2:V268),$V$2:$V$1001,0),1)&gt;=100000,INDEX($AC$1005:$AS$1005,1,MATCH(COLUMNS($AC$1006:AC1006),$AC$1006:$AS$1006,0))&gt;=100000), " ",IF(INDEX($AC$2:$AS$1001,MATCH(ROWS($V$2:V268),$V$2:$V$1001,0),MATCH(COLUMNS($AC$1006:AC1006),$AC$1006:$AS$1006,0)), HYPERLINK("#",""), HYPERLINK(CONCATENATE("#metadata!", ADDRESS(INDEX($X$2:$X$1001,MATCH(ROWS($V$2:V268),$V$2:$V$1001,0),0), INDEX($AC$1004:$AS$1004,1,MATCH(COLUMNS($AC$1006:AC1006),$AC$1006:$AS$1006,0)))),"Fix")))</f>
        <v xml:space="preserve"> </v>
      </c>
      <c r="C268" s="4" t="str">
        <f ca="1">IF(OR(INDEX($W$2:$W$1001,MATCH(ROWS($V$2:V268),$V$2:$V$1001,0),1)&gt;=100000,INDEX($AC$1005:$AS$1005,1,MATCH(COLUMNS($AC$1006:AD1006),$AC$1006:$AS$1006,0))&gt;=100000), " ",IF(INDEX($AC$2:$AS$1001,MATCH(ROWS($V$2:V268),$V$2:$V$1001,0),MATCH(COLUMNS($AC$1006:AD1006),$AC$1006:$AS$1006,0)), HYPERLINK("#",""), HYPERLINK(CONCATENATE("#metadata!", ADDRESS(INDEX($X$2:$X$1001,MATCH(ROWS($V$2:V268),$V$2:$V$1001,0),0), INDEX($AC$1004:$AS$1004,1,MATCH(COLUMNS($AC$1006:AD1006),$AC$1006:$AS$1006,0)))),"Fix")))</f>
        <v xml:space="preserve"> </v>
      </c>
      <c r="D268" s="4" t="str">
        <f ca="1">IF(OR(INDEX($W$2:$W$1001,MATCH(ROWS($V$2:V268),$V$2:$V$1001,0),1)&gt;=100000,INDEX($AC$1005:$AS$1005,1,MATCH(COLUMNS($AC$1006:AE1006),$AC$1006:$AS$1006,0))&gt;=100000), " ",IF(INDEX($AC$2:$AS$1001,MATCH(ROWS($V$2:V268),$V$2:$V$1001,0),MATCH(COLUMNS($AC$1006:AE1006),$AC$1006:$AS$1006,0)), HYPERLINK("#",""), HYPERLINK(CONCATENATE("#metadata!", ADDRESS(INDEX($X$2:$X$1001,MATCH(ROWS($V$2:V268),$V$2:$V$1001,0),0), INDEX($AC$1004:$AS$1004,1,MATCH(COLUMNS($AC$1006:AE1006),$AC$1006:$AS$1006,0)))),"Fix")))</f>
        <v xml:space="preserve"> </v>
      </c>
      <c r="E268" s="4" t="str">
        <f ca="1">IF(OR(INDEX($W$2:$W$1001,MATCH(ROWS($V$2:V268),$V$2:$V$1001,0),1)&gt;=100000,INDEX($AC$1005:$AS$1005,1,MATCH(COLUMNS($AC$1006:AF1006),$AC$1006:$AS$1006,0))&gt;=100000), " ",IF(INDEX($AC$2:$AS$1001,MATCH(ROWS($V$2:V268),$V$2:$V$1001,0),MATCH(COLUMNS($AC$1006:AF1006),$AC$1006:$AS$1006,0)), HYPERLINK("#",""), HYPERLINK(CONCATENATE("#metadata!", ADDRESS(INDEX($X$2:$X$1001,MATCH(ROWS($V$2:V268),$V$2:$V$1001,0),0), INDEX($AC$1004:$AS$1004,1,MATCH(COLUMNS($AC$1006:AF1006),$AC$1006:$AS$1006,0)))),"Fix")))</f>
        <v xml:space="preserve"> </v>
      </c>
      <c r="F268" s="4" t="str">
        <f ca="1">IF(OR(INDEX($W$2:$W$1001,MATCH(ROWS($V$2:V268),$V$2:$V$1001,0),1)&gt;=100000,INDEX($AC$1005:$AS$1005,1,MATCH(COLUMNS($AC$1006:AG1006),$AC$1006:$AS$1006,0))&gt;=100000), " ",IF(INDEX($AC$2:$AS$1001,MATCH(ROWS($V$2:V268),$V$2:$V$1001,0),MATCH(COLUMNS($AC$1006:AG1006),$AC$1006:$AS$1006,0)), HYPERLINK("#",""), HYPERLINK(CONCATENATE("#metadata!", ADDRESS(INDEX($X$2:$X$1001,MATCH(ROWS($V$2:V268),$V$2:$V$1001,0),0), INDEX($AC$1004:$AS$1004,1,MATCH(COLUMNS($AC$1006:AG1006),$AC$1006:$AS$1006,0)))),"Fix")))</f>
        <v xml:space="preserve"> </v>
      </c>
      <c r="G268" s="4" t="str">
        <f ca="1">IF(OR(INDEX($W$2:$W$1001,MATCH(ROWS($V$2:V268),$V$2:$V$1001,0),1)&gt;=100000,INDEX($AC$1005:$AS$1005,1,MATCH(COLUMNS($AC$1006:AH1006),$AC$1006:$AS$1006,0))&gt;=100000), " ",IF(INDEX($AC$2:$AS$1001,MATCH(ROWS($V$2:V268),$V$2:$V$1001,0),MATCH(COLUMNS($AC$1006:AH1006),$AC$1006:$AS$1006,0)), HYPERLINK("#",""), HYPERLINK(CONCATENATE("#metadata!", ADDRESS(INDEX($X$2:$X$1001,MATCH(ROWS($V$2:V268),$V$2:$V$1001,0),0), INDEX($AC$1004:$AS$1004,1,MATCH(COLUMNS($AC$1006:AH1006),$AC$1006:$AS$1006,0)))),"Fix")))</f>
        <v xml:space="preserve"> </v>
      </c>
      <c r="H268" s="4" t="str">
        <f ca="1">IF(OR(INDEX($W$2:$W$1001,MATCH(ROWS($V$2:V268),$V$2:$V$1001,0),1)&gt;=100000,INDEX($AC$1005:$AS$1005,1,MATCH(COLUMNS($AC$1006:AI1006),$AC$1006:$AS$1006,0))&gt;=100000), " ",IF(INDEX($AC$2:$AS$1001,MATCH(ROWS($V$2:V268),$V$2:$V$1001,0),MATCH(COLUMNS($AC$1006:AI1006),$AC$1006:$AS$1006,0)), HYPERLINK("#",""), HYPERLINK(CONCATENATE("#metadata!", ADDRESS(INDEX($X$2:$X$1001,MATCH(ROWS($V$2:V268),$V$2:$V$1001,0),0), INDEX($AC$1004:$AS$1004,1,MATCH(COLUMNS($AC$1006:AI1006),$AC$1006:$AS$1006,0)))),"Fix")))</f>
        <v xml:space="preserve"> </v>
      </c>
      <c r="I268" s="4" t="str">
        <f ca="1">IF(OR(INDEX($W$2:$W$1001,MATCH(ROWS($V$2:V268),$V$2:$V$1001,0),1)&gt;=100000,INDEX($AC$1005:$AS$1005,1,MATCH(COLUMNS($AC$1006:AJ1006),$AC$1006:$AS$1006,0))&gt;=100000), " ",IF(INDEX($AC$2:$AS$1001,MATCH(ROWS($V$2:V268),$V$2:$V$1001,0),MATCH(COLUMNS($AC$1006:AJ1006),$AC$1006:$AS$1006,0)), HYPERLINK("#",""), HYPERLINK(CONCATENATE("#metadata!", ADDRESS(INDEX($X$2:$X$1001,MATCH(ROWS($V$2:V268),$V$2:$V$1001,0),0), INDEX($AC$1004:$AS$1004,1,MATCH(COLUMNS($AC$1006:AJ1006),$AC$1006:$AS$1006,0)))),"Fix")))</f>
        <v xml:space="preserve"> </v>
      </c>
      <c r="J268" s="4" t="str">
        <f ca="1">IF(OR(INDEX($W$2:$W$1001,MATCH(ROWS($V$2:V268),$V$2:$V$1001,0),1)&gt;=100000,INDEX($AC$1005:$AS$1005,1,MATCH(COLUMNS($AC$1006:AK1006),$AC$1006:$AS$1006,0))&gt;=100000), " ",IF(INDEX($AC$2:$AS$1001,MATCH(ROWS($V$2:V268),$V$2:$V$1001,0),MATCH(COLUMNS($AC$1006:AK1006),$AC$1006:$AS$1006,0)), HYPERLINK("#",""), HYPERLINK(CONCATENATE("#metadata!", ADDRESS(INDEX($X$2:$X$1001,MATCH(ROWS($V$2:V268),$V$2:$V$1001,0),0), INDEX($AC$1004:$AS$1004,1,MATCH(COLUMNS($AC$1006:AK1006),$AC$1006:$AS$1006,0)))),"Fix")))</f>
        <v xml:space="preserve"> </v>
      </c>
      <c r="K268" s="4" t="str">
        <f ca="1">IF(OR(INDEX($W$2:$W$1001,MATCH(ROWS($V$2:V268),$V$2:$V$1001,0),1)&gt;=100000,INDEX($AC$1005:$AS$1005,1,MATCH(COLUMNS($AC$1006:AL1006),$AC$1006:$AS$1006,0))&gt;=100000), " ",IF(INDEX($AC$2:$AS$1001,MATCH(ROWS($V$2:V268),$V$2:$V$1001,0),MATCH(COLUMNS($AC$1006:AL1006),$AC$1006:$AS$1006,0)), HYPERLINK("#",""), HYPERLINK(CONCATENATE("#metadata!", ADDRESS(INDEX($X$2:$X$1001,MATCH(ROWS($V$2:V268),$V$2:$V$1001,0),0), INDEX($AC$1004:$AS$1004,1,MATCH(COLUMNS($AC$1006:AL1006),$AC$1006:$AS$1006,0)))),"Fix")))</f>
        <v xml:space="preserve"> </v>
      </c>
      <c r="L268" s="4" t="str">
        <f ca="1">IF(OR(INDEX($W$2:$W$1001,MATCH(ROWS($V$2:V268),$V$2:$V$1001,0),1)&gt;=100000,INDEX($AC$1005:$AS$1005,1,MATCH(COLUMNS($AC$1006:AM1006),$AC$1006:$AS$1006,0))&gt;=100000), " ",IF(INDEX($AC$2:$AS$1001,MATCH(ROWS($V$2:V268),$V$2:$V$1001,0),MATCH(COLUMNS($AC$1006:AM1006),$AC$1006:$AS$1006,0)), HYPERLINK("#",""), HYPERLINK(CONCATENATE("#metadata!", ADDRESS(INDEX($X$2:$X$1001,MATCH(ROWS($V$2:V268),$V$2:$V$1001,0),0), INDEX($AC$1004:$AS$1004,1,MATCH(COLUMNS($AC$1006:AM1006),$AC$1006:$AS$1006,0)))),"Fix")))</f>
        <v xml:space="preserve"> </v>
      </c>
      <c r="M268" s="4" t="str">
        <f ca="1">IF(OR(INDEX($W$2:$W$1001,MATCH(ROWS($V$2:V268),$V$2:$V$1001,0),1)&gt;=100000,INDEX($AC$1005:$AS$1005,1,MATCH(COLUMNS($AC$1006:AN1006),$AC$1006:$AS$1006,0))&gt;=100000), " ",IF(INDEX($AC$2:$AS$1001,MATCH(ROWS($V$2:V268),$V$2:$V$1001,0),MATCH(COLUMNS($AC$1006:AN1006),$AC$1006:$AS$1006,0)), HYPERLINK("#",""), HYPERLINK(CONCATENATE("#metadata!", ADDRESS(INDEX($X$2:$X$1001,MATCH(ROWS($V$2:V268),$V$2:$V$1001,0),0), INDEX($AC$1004:$AS$1004,1,MATCH(COLUMNS($AC$1006:AN1006),$AC$1006:$AS$1006,0)))),"Fix")))</f>
        <v xml:space="preserve"> </v>
      </c>
      <c r="N268" s="4" t="str">
        <f ca="1">IF(OR(INDEX($W$2:$W$1001,MATCH(ROWS($V$2:V268),$V$2:$V$1001,0),1)&gt;=100000,INDEX($AC$1005:$AS$1005,1,MATCH(COLUMNS($AC$1006:AO1006),$AC$1006:$AS$1006,0))&gt;=100000), " ",IF(INDEX($AC$2:$AS$1001,MATCH(ROWS($V$2:V268),$V$2:$V$1001,0),MATCH(COLUMNS($AC$1006:AO1006),$AC$1006:$AS$1006,0)), HYPERLINK("#",""), HYPERLINK(CONCATENATE("#metadata!", ADDRESS(INDEX($X$2:$X$1001,MATCH(ROWS($V$2:V268),$V$2:$V$1001,0),0), INDEX($AC$1004:$AS$1004,1,MATCH(COLUMNS($AC$1006:AO1006),$AC$1006:$AS$1006,0)))),"Fix")))</f>
        <v xml:space="preserve"> </v>
      </c>
      <c r="O268" s="4" t="str">
        <f ca="1">IF(OR(INDEX($W$2:$W$1001,MATCH(ROWS($V$2:V268),$V$2:$V$1001,0),1)&gt;=100000,INDEX($AC$1005:$AS$1005,1,MATCH(COLUMNS($AC$1006:AP1006),$AC$1006:$AS$1006,0))&gt;=100000), " ",IF(INDEX($AC$2:$AS$1001,MATCH(ROWS($V$2:V268),$V$2:$V$1001,0),MATCH(COLUMNS($AC$1006:AP1006),$AC$1006:$AS$1006,0)), HYPERLINK("#",""), HYPERLINK(CONCATENATE("#metadata!", ADDRESS(INDEX($X$2:$X$1001,MATCH(ROWS($V$2:V268),$V$2:$V$1001,0),0), INDEX($AC$1004:$AS$1004,1,MATCH(COLUMNS($AC$1006:AP1006),$AC$1006:$AS$1006,0)))),"Fix")))</f>
        <v xml:space="preserve"> </v>
      </c>
      <c r="P268" s="4" t="str">
        <f ca="1">IF(OR(INDEX($W$2:$W$1001,MATCH(ROWS($V$2:V268),$V$2:$V$1001,0),1)&gt;=100000,INDEX($AC$1005:$AS$1005,1,MATCH(COLUMNS($AC$1006:AQ1006),$AC$1006:$AS$1006,0))&gt;=100000), " ",IF(INDEX($AC$2:$AS$1001,MATCH(ROWS($V$2:V268),$V$2:$V$1001,0),MATCH(COLUMNS($AC$1006:AQ1006),$AC$1006:$AS$1006,0)), HYPERLINK("#",""), HYPERLINK(CONCATENATE("#metadata!", ADDRESS(INDEX($X$2:$X$1001,MATCH(ROWS($V$2:V268),$V$2:$V$1001,0),0), INDEX($AC$1004:$AS$1004,1,MATCH(COLUMNS($AC$1006:AQ1006),$AC$1006:$AS$1006,0)))),"Fix")))</f>
        <v xml:space="preserve"> </v>
      </c>
      <c r="Q268" s="4" t="str">
        <f ca="1">IF(OR(INDEX($W$2:$W$1001,MATCH(ROWS($V$2:V268),$V$2:$V$1001,0),1)&gt;=100000,INDEX($AC$1005:$AS$1005,1,MATCH(COLUMNS($AC$1006:AR1006),$AC$1006:$AS$1006,0))&gt;=100000), " ",IF(INDEX($AC$2:$AS$1001,MATCH(ROWS($V$2:V268),$V$2:$V$1001,0),MATCH(COLUMNS($AC$1006:AR1006),$AC$1006:$AS$1006,0)), HYPERLINK("#",""), HYPERLINK(CONCATENATE("#metadata!", ADDRESS(INDEX($X$2:$X$1001,MATCH(ROWS($V$2:V268),$V$2:$V$1001,0),0), INDEX($AC$1004:$AS$1004,1,MATCH(COLUMNS($AC$1006:AR1006),$AC$1006:$AS$1006,0)))),"Fix")))</f>
        <v xml:space="preserve"> </v>
      </c>
      <c r="R268" s="4" t="str">
        <f ca="1">IF(OR(INDEX($W$2:$W$1001,MATCH(ROWS($V$2:V268),$V$2:$V$1001,0),1)&gt;=100000,INDEX($AC$1005:$AS$1005,1,MATCH(COLUMNS($AC$1006:AS1006),$AC$1006:$AS$1006,0))&gt;=100000), " ",IF(INDEX($AC$2:$AS$1001,MATCH(ROWS($V$2:V268),$V$2:$V$1001,0),MATCH(COLUMNS($AC$1006:AS1006),$AC$1006:$AS$1006,0)), HYPERLINK("#",""), HYPERLINK(CONCATENATE("#metadata!", ADDRESS(INDEX($X$2:$X$1001,MATCH(ROWS($V$2:V268),$V$2:$V$1001,0),0), INDEX($AC$1004:$AS$1004,1,MATCH(COLUMNS($AC$1006:AS1006),$AC$1006:$AS$1006,0)))),"Fix")))</f>
        <v xml:space="preserve"> </v>
      </c>
      <c r="V268">
        <v>267</v>
      </c>
      <c r="W268">
        <v>100268</v>
      </c>
      <c r="X268">
        <v>268</v>
      </c>
      <c r="Y268" t="b">
        <f t="shared" si="4"/>
        <v>1</v>
      </c>
      <c r="Z268" t="b">
        <f>COUNTBLANK(metadata!B268:R268)=COLUMNS(metadata!B268:R268)</f>
        <v>1</v>
      </c>
      <c r="AA268" t="str">
        <v/>
      </c>
      <c r="AC268" t="b">
        <f ca="1"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AD268" t="b">
        <f>IF(metadata!C268="",FALSE,ISNUMBER(VALUE(metadata!C268)))</f>
        <v>0</v>
      </c>
      <c r="AE268" t="b">
        <f>AND(IF(metadata!D268="",FALSE,TRUE),EXACT(metadata!D268,"years"))</f>
        <v>0</v>
      </c>
      <c r="AF268" t="b">
        <f>OR(AND(IF(metadata!E268="",FALSE,TRUE),OR(EXACT(metadata!E268,"not applicable"),EXACT(metadata!E268,"missing: not collected"),EXACT(metadata!E268,"missing: not provided"),EXACT(metadata!E268,"missing: restricted access"))),AND(IF(metadata!E268="",FALSE,ISNUMBER(VALUE(metadata!E268))),metadata!E268&gt;0))</f>
        <v>0</v>
      </c>
      <c r="AG268" t="b">
        <f>AND(IF(metadata!F268="",FALSE,TRUE),EXACT(metadata!F268,"Not applicable"))</f>
        <v>0</v>
      </c>
      <c r="AH268" t="b">
        <f>AND(IF(metadata!G268="",FALSE,TRUE),EXACT(metadata!G268,"urban biome"))</f>
        <v>0</v>
      </c>
      <c r="AI268" t="b">
        <f>AND(IF(metadata!H268="",FALSE,TRUE),EXACT(metadata!H268,"human-associated habitat"))</f>
        <v>0</v>
      </c>
      <c r="AJ268" t="b">
        <f>AND(IF(metadata!I268="",FALSE,TRUE),OR(EXACT(metadata!I268,"human-associated"),EXACT(metadata!I268,"human-skin"),EXACT(metadata!I268,"human-oral"),EXACT(metadata!I268,"human-gut"),EXACT(metadata!I268,"human-vaginal")))</f>
        <v>0</v>
      </c>
      <c r="AK268" t="b">
        <f>IF(metadata!J268="",FALSE,ISNUMBER(VALUE(metadata!J268)))</f>
        <v>0</v>
      </c>
      <c r="AL268" t="b">
        <f>AND(IF(metadata!K268="",FALSE,TRUE),EXACT(metadata!K268,"cm"))</f>
        <v>0</v>
      </c>
      <c r="AM268" t="b">
        <f>AND(IF(metadata!L268="",FALSE,TRUE),EXACT(metadata!L268,"human"))</f>
        <v>0</v>
      </c>
      <c r="AN268" t="b">
        <f>AND(IF(metadata!M268="",FALSE,TRUE),EXACT(metadata!M268,"Homo sapiens"))</f>
        <v>0</v>
      </c>
      <c r="AO268" t="b">
        <f>AND(IF(metadata!N268="",FALSE,TRUE),EXACT(metadata!N268,"9606"))</f>
        <v>0</v>
      </c>
      <c r="AP268" t="b">
        <f>IF(metadata!O268="",FALSE,TRUE)</f>
        <v>0</v>
      </c>
      <c r="AQ268" t="b">
        <f>IF(metadata!P268="",FALSE,TRUE)</f>
        <v>0</v>
      </c>
      <c r="AR268" t="b">
        <f>IF(metadata!Q268="",FALSE,ISNUMBER(VALUE(metadata!Q268)))</f>
        <v>0</v>
      </c>
      <c r="AS268" t="b">
        <f>AND(IF(metadata!R268="",FALSE,TRUE),EXACT(metadata!R268,"kg"))</f>
        <v>0</v>
      </c>
    </row>
    <row r="269" spans="1:45" x14ac:dyDescent="0.2">
      <c r="A269" s="5" t="str">
        <f ca="1">IF(B269=" "," ",HYPERLINK(CONCATENATE("#metadata!",ADDRESS(INDEX($X$2:$X$1001,MATCH(ROWS($V$2:V269),$V$2:$V$1001,0),0),1)),INDEX($AA$2:$AA$1001,MATCH(ROWS($V$2:V269),$V$2:$V$1001,0),0)))</f>
        <v xml:space="preserve"> </v>
      </c>
      <c r="B269" s="4" t="str">
        <f ca="1">IF(OR(INDEX($W$2:$W$1001,MATCH(ROWS($V$2:V269),$V$2:$V$1001,0),1)&gt;=100000,INDEX($AC$1005:$AS$1005,1,MATCH(COLUMNS($AC$1006:AC1006),$AC$1006:$AS$1006,0))&gt;=100000), " ",IF(INDEX($AC$2:$AS$1001,MATCH(ROWS($V$2:V269),$V$2:$V$1001,0),MATCH(COLUMNS($AC$1006:AC1006),$AC$1006:$AS$1006,0)), HYPERLINK("#",""), HYPERLINK(CONCATENATE("#metadata!", ADDRESS(INDEX($X$2:$X$1001,MATCH(ROWS($V$2:V269),$V$2:$V$1001,0),0), INDEX($AC$1004:$AS$1004,1,MATCH(COLUMNS($AC$1006:AC1006),$AC$1006:$AS$1006,0)))),"Fix")))</f>
        <v xml:space="preserve"> </v>
      </c>
      <c r="C269" s="4" t="str">
        <f ca="1">IF(OR(INDEX($W$2:$W$1001,MATCH(ROWS($V$2:V269),$V$2:$V$1001,0),1)&gt;=100000,INDEX($AC$1005:$AS$1005,1,MATCH(COLUMNS($AC$1006:AD1006),$AC$1006:$AS$1006,0))&gt;=100000), " ",IF(INDEX($AC$2:$AS$1001,MATCH(ROWS($V$2:V269),$V$2:$V$1001,0),MATCH(COLUMNS($AC$1006:AD1006),$AC$1006:$AS$1006,0)), HYPERLINK("#",""), HYPERLINK(CONCATENATE("#metadata!", ADDRESS(INDEX($X$2:$X$1001,MATCH(ROWS($V$2:V269),$V$2:$V$1001,0),0), INDEX($AC$1004:$AS$1004,1,MATCH(COLUMNS($AC$1006:AD1006),$AC$1006:$AS$1006,0)))),"Fix")))</f>
        <v xml:space="preserve"> </v>
      </c>
      <c r="D269" s="4" t="str">
        <f ca="1">IF(OR(INDEX($W$2:$W$1001,MATCH(ROWS($V$2:V269),$V$2:$V$1001,0),1)&gt;=100000,INDEX($AC$1005:$AS$1005,1,MATCH(COLUMNS($AC$1006:AE1006),$AC$1006:$AS$1006,0))&gt;=100000), " ",IF(INDEX($AC$2:$AS$1001,MATCH(ROWS($V$2:V269),$V$2:$V$1001,0),MATCH(COLUMNS($AC$1006:AE1006),$AC$1006:$AS$1006,0)), HYPERLINK("#",""), HYPERLINK(CONCATENATE("#metadata!", ADDRESS(INDEX($X$2:$X$1001,MATCH(ROWS($V$2:V269),$V$2:$V$1001,0),0), INDEX($AC$1004:$AS$1004,1,MATCH(COLUMNS($AC$1006:AE1006),$AC$1006:$AS$1006,0)))),"Fix")))</f>
        <v xml:space="preserve"> </v>
      </c>
      <c r="E269" s="4" t="str">
        <f ca="1">IF(OR(INDEX($W$2:$W$1001,MATCH(ROWS($V$2:V269),$V$2:$V$1001,0),1)&gt;=100000,INDEX($AC$1005:$AS$1005,1,MATCH(COLUMNS($AC$1006:AF1006),$AC$1006:$AS$1006,0))&gt;=100000), " ",IF(INDEX($AC$2:$AS$1001,MATCH(ROWS($V$2:V269),$V$2:$V$1001,0),MATCH(COLUMNS($AC$1006:AF1006),$AC$1006:$AS$1006,0)), HYPERLINK("#",""), HYPERLINK(CONCATENATE("#metadata!", ADDRESS(INDEX($X$2:$X$1001,MATCH(ROWS($V$2:V269),$V$2:$V$1001,0),0), INDEX($AC$1004:$AS$1004,1,MATCH(COLUMNS($AC$1006:AF1006),$AC$1006:$AS$1006,0)))),"Fix")))</f>
        <v xml:space="preserve"> </v>
      </c>
      <c r="F269" s="4" t="str">
        <f ca="1">IF(OR(INDEX($W$2:$W$1001,MATCH(ROWS($V$2:V269),$V$2:$V$1001,0),1)&gt;=100000,INDEX($AC$1005:$AS$1005,1,MATCH(COLUMNS($AC$1006:AG1006),$AC$1006:$AS$1006,0))&gt;=100000), " ",IF(INDEX($AC$2:$AS$1001,MATCH(ROWS($V$2:V269),$V$2:$V$1001,0),MATCH(COLUMNS($AC$1006:AG1006),$AC$1006:$AS$1006,0)), HYPERLINK("#",""), HYPERLINK(CONCATENATE("#metadata!", ADDRESS(INDEX($X$2:$X$1001,MATCH(ROWS($V$2:V269),$V$2:$V$1001,0),0), INDEX($AC$1004:$AS$1004,1,MATCH(COLUMNS($AC$1006:AG1006),$AC$1006:$AS$1006,0)))),"Fix")))</f>
        <v xml:space="preserve"> </v>
      </c>
      <c r="G269" s="4" t="str">
        <f ca="1">IF(OR(INDEX($W$2:$W$1001,MATCH(ROWS($V$2:V269),$V$2:$V$1001,0),1)&gt;=100000,INDEX($AC$1005:$AS$1005,1,MATCH(COLUMNS($AC$1006:AH1006),$AC$1006:$AS$1006,0))&gt;=100000), " ",IF(INDEX($AC$2:$AS$1001,MATCH(ROWS($V$2:V269),$V$2:$V$1001,0),MATCH(COLUMNS($AC$1006:AH1006),$AC$1006:$AS$1006,0)), HYPERLINK("#",""), HYPERLINK(CONCATENATE("#metadata!", ADDRESS(INDEX($X$2:$X$1001,MATCH(ROWS($V$2:V269),$V$2:$V$1001,0),0), INDEX($AC$1004:$AS$1004,1,MATCH(COLUMNS($AC$1006:AH1006),$AC$1006:$AS$1006,0)))),"Fix")))</f>
        <v xml:space="preserve"> </v>
      </c>
      <c r="H269" s="4" t="str">
        <f ca="1">IF(OR(INDEX($W$2:$W$1001,MATCH(ROWS($V$2:V269),$V$2:$V$1001,0),1)&gt;=100000,INDEX($AC$1005:$AS$1005,1,MATCH(COLUMNS($AC$1006:AI1006),$AC$1006:$AS$1006,0))&gt;=100000), " ",IF(INDEX($AC$2:$AS$1001,MATCH(ROWS($V$2:V269),$V$2:$V$1001,0),MATCH(COLUMNS($AC$1006:AI1006),$AC$1006:$AS$1006,0)), HYPERLINK("#",""), HYPERLINK(CONCATENATE("#metadata!", ADDRESS(INDEX($X$2:$X$1001,MATCH(ROWS($V$2:V269),$V$2:$V$1001,0),0), INDEX($AC$1004:$AS$1004,1,MATCH(COLUMNS($AC$1006:AI1006),$AC$1006:$AS$1006,0)))),"Fix")))</f>
        <v xml:space="preserve"> </v>
      </c>
      <c r="I269" s="4" t="str">
        <f ca="1">IF(OR(INDEX($W$2:$W$1001,MATCH(ROWS($V$2:V269),$V$2:$V$1001,0),1)&gt;=100000,INDEX($AC$1005:$AS$1005,1,MATCH(COLUMNS($AC$1006:AJ1006),$AC$1006:$AS$1006,0))&gt;=100000), " ",IF(INDEX($AC$2:$AS$1001,MATCH(ROWS($V$2:V269),$V$2:$V$1001,0),MATCH(COLUMNS($AC$1006:AJ1006),$AC$1006:$AS$1006,0)), HYPERLINK("#",""), HYPERLINK(CONCATENATE("#metadata!", ADDRESS(INDEX($X$2:$X$1001,MATCH(ROWS($V$2:V269),$V$2:$V$1001,0),0), INDEX($AC$1004:$AS$1004,1,MATCH(COLUMNS($AC$1006:AJ1006),$AC$1006:$AS$1006,0)))),"Fix")))</f>
        <v xml:space="preserve"> </v>
      </c>
      <c r="J269" s="4" t="str">
        <f ca="1">IF(OR(INDEX($W$2:$W$1001,MATCH(ROWS($V$2:V269),$V$2:$V$1001,0),1)&gt;=100000,INDEX($AC$1005:$AS$1005,1,MATCH(COLUMNS($AC$1006:AK1006),$AC$1006:$AS$1006,0))&gt;=100000), " ",IF(INDEX($AC$2:$AS$1001,MATCH(ROWS($V$2:V269),$V$2:$V$1001,0),MATCH(COLUMNS($AC$1006:AK1006),$AC$1006:$AS$1006,0)), HYPERLINK("#",""), HYPERLINK(CONCATENATE("#metadata!", ADDRESS(INDEX($X$2:$X$1001,MATCH(ROWS($V$2:V269),$V$2:$V$1001,0),0), INDEX($AC$1004:$AS$1004,1,MATCH(COLUMNS($AC$1006:AK1006),$AC$1006:$AS$1006,0)))),"Fix")))</f>
        <v xml:space="preserve"> </v>
      </c>
      <c r="K269" s="4" t="str">
        <f ca="1">IF(OR(INDEX($W$2:$W$1001,MATCH(ROWS($V$2:V269),$V$2:$V$1001,0),1)&gt;=100000,INDEX($AC$1005:$AS$1005,1,MATCH(COLUMNS($AC$1006:AL1006),$AC$1006:$AS$1006,0))&gt;=100000), " ",IF(INDEX($AC$2:$AS$1001,MATCH(ROWS($V$2:V269),$V$2:$V$1001,0),MATCH(COLUMNS($AC$1006:AL1006),$AC$1006:$AS$1006,0)), HYPERLINK("#",""), HYPERLINK(CONCATENATE("#metadata!", ADDRESS(INDEX($X$2:$X$1001,MATCH(ROWS($V$2:V269),$V$2:$V$1001,0),0), INDEX($AC$1004:$AS$1004,1,MATCH(COLUMNS($AC$1006:AL1006),$AC$1006:$AS$1006,0)))),"Fix")))</f>
        <v xml:space="preserve"> </v>
      </c>
      <c r="L269" s="4" t="str">
        <f ca="1">IF(OR(INDEX($W$2:$W$1001,MATCH(ROWS($V$2:V269),$V$2:$V$1001,0),1)&gt;=100000,INDEX($AC$1005:$AS$1005,1,MATCH(COLUMNS($AC$1006:AM1006),$AC$1006:$AS$1006,0))&gt;=100000), " ",IF(INDEX($AC$2:$AS$1001,MATCH(ROWS($V$2:V269),$V$2:$V$1001,0),MATCH(COLUMNS($AC$1006:AM1006),$AC$1006:$AS$1006,0)), HYPERLINK("#",""), HYPERLINK(CONCATENATE("#metadata!", ADDRESS(INDEX($X$2:$X$1001,MATCH(ROWS($V$2:V269),$V$2:$V$1001,0),0), INDEX($AC$1004:$AS$1004,1,MATCH(COLUMNS($AC$1006:AM1006),$AC$1006:$AS$1006,0)))),"Fix")))</f>
        <v xml:space="preserve"> </v>
      </c>
      <c r="M269" s="4" t="str">
        <f ca="1">IF(OR(INDEX($W$2:$W$1001,MATCH(ROWS($V$2:V269),$V$2:$V$1001,0),1)&gt;=100000,INDEX($AC$1005:$AS$1005,1,MATCH(COLUMNS($AC$1006:AN1006),$AC$1006:$AS$1006,0))&gt;=100000), " ",IF(INDEX($AC$2:$AS$1001,MATCH(ROWS($V$2:V269),$V$2:$V$1001,0),MATCH(COLUMNS($AC$1006:AN1006),$AC$1006:$AS$1006,0)), HYPERLINK("#",""), HYPERLINK(CONCATENATE("#metadata!", ADDRESS(INDEX($X$2:$X$1001,MATCH(ROWS($V$2:V269),$V$2:$V$1001,0),0), INDEX($AC$1004:$AS$1004,1,MATCH(COLUMNS($AC$1006:AN1006),$AC$1006:$AS$1006,0)))),"Fix")))</f>
        <v xml:space="preserve"> </v>
      </c>
      <c r="N269" s="4" t="str">
        <f ca="1">IF(OR(INDEX($W$2:$W$1001,MATCH(ROWS($V$2:V269),$V$2:$V$1001,0),1)&gt;=100000,INDEX($AC$1005:$AS$1005,1,MATCH(COLUMNS($AC$1006:AO1006),$AC$1006:$AS$1006,0))&gt;=100000), " ",IF(INDEX($AC$2:$AS$1001,MATCH(ROWS($V$2:V269),$V$2:$V$1001,0),MATCH(COLUMNS($AC$1006:AO1006),$AC$1006:$AS$1006,0)), HYPERLINK("#",""), HYPERLINK(CONCATENATE("#metadata!", ADDRESS(INDEX($X$2:$X$1001,MATCH(ROWS($V$2:V269),$V$2:$V$1001,0),0), INDEX($AC$1004:$AS$1004,1,MATCH(COLUMNS($AC$1006:AO1006),$AC$1006:$AS$1006,0)))),"Fix")))</f>
        <v xml:space="preserve"> </v>
      </c>
      <c r="O269" s="4" t="str">
        <f ca="1">IF(OR(INDEX($W$2:$W$1001,MATCH(ROWS($V$2:V269),$V$2:$V$1001,0),1)&gt;=100000,INDEX($AC$1005:$AS$1005,1,MATCH(COLUMNS($AC$1006:AP1006),$AC$1006:$AS$1006,0))&gt;=100000), " ",IF(INDEX($AC$2:$AS$1001,MATCH(ROWS($V$2:V269),$V$2:$V$1001,0),MATCH(COLUMNS($AC$1006:AP1006),$AC$1006:$AS$1006,0)), HYPERLINK("#",""), HYPERLINK(CONCATENATE("#metadata!", ADDRESS(INDEX($X$2:$X$1001,MATCH(ROWS($V$2:V269),$V$2:$V$1001,0),0), INDEX($AC$1004:$AS$1004,1,MATCH(COLUMNS($AC$1006:AP1006),$AC$1006:$AS$1006,0)))),"Fix")))</f>
        <v xml:space="preserve"> </v>
      </c>
      <c r="P269" s="4" t="str">
        <f ca="1">IF(OR(INDEX($W$2:$W$1001,MATCH(ROWS($V$2:V269),$V$2:$V$1001,0),1)&gt;=100000,INDEX($AC$1005:$AS$1005,1,MATCH(COLUMNS($AC$1006:AQ1006),$AC$1006:$AS$1006,0))&gt;=100000), " ",IF(INDEX($AC$2:$AS$1001,MATCH(ROWS($V$2:V269),$V$2:$V$1001,0),MATCH(COLUMNS($AC$1006:AQ1006),$AC$1006:$AS$1006,0)), HYPERLINK("#",""), HYPERLINK(CONCATENATE("#metadata!", ADDRESS(INDEX($X$2:$X$1001,MATCH(ROWS($V$2:V269),$V$2:$V$1001,0),0), INDEX($AC$1004:$AS$1004,1,MATCH(COLUMNS($AC$1006:AQ1006),$AC$1006:$AS$1006,0)))),"Fix")))</f>
        <v xml:space="preserve"> </v>
      </c>
      <c r="Q269" s="4" t="str">
        <f ca="1">IF(OR(INDEX($W$2:$W$1001,MATCH(ROWS($V$2:V269),$V$2:$V$1001,0),1)&gt;=100000,INDEX($AC$1005:$AS$1005,1,MATCH(COLUMNS($AC$1006:AR1006),$AC$1006:$AS$1006,0))&gt;=100000), " ",IF(INDEX($AC$2:$AS$1001,MATCH(ROWS($V$2:V269),$V$2:$V$1001,0),MATCH(COLUMNS($AC$1006:AR1006),$AC$1006:$AS$1006,0)), HYPERLINK("#",""), HYPERLINK(CONCATENATE("#metadata!", ADDRESS(INDEX($X$2:$X$1001,MATCH(ROWS($V$2:V269),$V$2:$V$1001,0),0), INDEX($AC$1004:$AS$1004,1,MATCH(COLUMNS($AC$1006:AR1006),$AC$1006:$AS$1006,0)))),"Fix")))</f>
        <v xml:space="preserve"> </v>
      </c>
      <c r="R269" s="4" t="str">
        <f ca="1">IF(OR(INDEX($W$2:$W$1001,MATCH(ROWS($V$2:V269),$V$2:$V$1001,0),1)&gt;=100000,INDEX($AC$1005:$AS$1005,1,MATCH(COLUMNS($AC$1006:AS1006),$AC$1006:$AS$1006,0))&gt;=100000), " ",IF(INDEX($AC$2:$AS$1001,MATCH(ROWS($V$2:V269),$V$2:$V$1001,0),MATCH(COLUMNS($AC$1006:AS1006),$AC$1006:$AS$1006,0)), HYPERLINK("#",""), HYPERLINK(CONCATENATE("#metadata!", ADDRESS(INDEX($X$2:$X$1001,MATCH(ROWS($V$2:V269),$V$2:$V$1001,0),0), INDEX($AC$1004:$AS$1004,1,MATCH(COLUMNS($AC$1006:AS1006),$AC$1006:$AS$1006,0)))),"Fix")))</f>
        <v xml:space="preserve"> </v>
      </c>
      <c r="V269">
        <v>268</v>
      </c>
      <c r="W269">
        <v>100269</v>
      </c>
      <c r="X269">
        <v>269</v>
      </c>
      <c r="Y269" t="b">
        <f t="shared" si="4"/>
        <v>1</v>
      </c>
      <c r="Z269" t="b">
        <f>COUNTBLANK(metadata!B269:R269)=COLUMNS(metadata!B269:R269)</f>
        <v>1</v>
      </c>
      <c r="AA269" t="str">
        <v/>
      </c>
      <c r="AC269" t="b">
        <f ca="1"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AD269" t="b">
        <f>IF(metadata!C269="",FALSE,ISNUMBER(VALUE(metadata!C269)))</f>
        <v>0</v>
      </c>
      <c r="AE269" t="b">
        <f>AND(IF(metadata!D269="",FALSE,TRUE),EXACT(metadata!D269,"years"))</f>
        <v>0</v>
      </c>
      <c r="AF269" t="b">
        <f>OR(AND(IF(metadata!E269="",FALSE,TRUE),OR(EXACT(metadata!E269,"not applicable"),EXACT(metadata!E269,"missing: not collected"),EXACT(metadata!E269,"missing: not provided"),EXACT(metadata!E269,"missing: restricted access"))),AND(IF(metadata!E269="",FALSE,ISNUMBER(VALUE(metadata!E269))),metadata!E269&gt;0))</f>
        <v>0</v>
      </c>
      <c r="AG269" t="b">
        <f>AND(IF(metadata!F269="",FALSE,TRUE),EXACT(metadata!F269,"Not applicable"))</f>
        <v>0</v>
      </c>
      <c r="AH269" t="b">
        <f>AND(IF(metadata!G269="",FALSE,TRUE),EXACT(metadata!G269,"urban biome"))</f>
        <v>0</v>
      </c>
      <c r="AI269" t="b">
        <f>AND(IF(metadata!H269="",FALSE,TRUE),EXACT(metadata!H269,"human-associated habitat"))</f>
        <v>0</v>
      </c>
      <c r="AJ269" t="b">
        <f>AND(IF(metadata!I269="",FALSE,TRUE),OR(EXACT(metadata!I269,"human-associated"),EXACT(metadata!I269,"human-skin"),EXACT(metadata!I269,"human-oral"),EXACT(metadata!I269,"human-gut"),EXACT(metadata!I269,"human-vaginal")))</f>
        <v>0</v>
      </c>
      <c r="AK269" t="b">
        <f>IF(metadata!J269="",FALSE,ISNUMBER(VALUE(metadata!J269)))</f>
        <v>0</v>
      </c>
      <c r="AL269" t="b">
        <f>AND(IF(metadata!K269="",FALSE,TRUE),EXACT(metadata!K269,"cm"))</f>
        <v>0</v>
      </c>
      <c r="AM269" t="b">
        <f>AND(IF(metadata!L269="",FALSE,TRUE),EXACT(metadata!L269,"human"))</f>
        <v>0</v>
      </c>
      <c r="AN269" t="b">
        <f>AND(IF(metadata!M269="",FALSE,TRUE),EXACT(metadata!M269,"Homo sapiens"))</f>
        <v>0</v>
      </c>
      <c r="AO269" t="b">
        <f>AND(IF(metadata!N269="",FALSE,TRUE),EXACT(metadata!N269,"9606"))</f>
        <v>0</v>
      </c>
      <c r="AP269" t="b">
        <f>IF(metadata!O269="",FALSE,TRUE)</f>
        <v>0</v>
      </c>
      <c r="AQ269" t="b">
        <f>IF(metadata!P269="",FALSE,TRUE)</f>
        <v>0</v>
      </c>
      <c r="AR269" t="b">
        <f>IF(metadata!Q269="",FALSE,ISNUMBER(VALUE(metadata!Q269)))</f>
        <v>0</v>
      </c>
      <c r="AS269" t="b">
        <f>AND(IF(metadata!R269="",FALSE,TRUE),EXACT(metadata!R269,"kg"))</f>
        <v>0</v>
      </c>
    </row>
    <row r="270" spans="1:45" x14ac:dyDescent="0.2">
      <c r="A270" s="5" t="str">
        <f ca="1">IF(B270=" "," ",HYPERLINK(CONCATENATE("#metadata!",ADDRESS(INDEX($X$2:$X$1001,MATCH(ROWS($V$2:V270),$V$2:$V$1001,0),0),1)),INDEX($AA$2:$AA$1001,MATCH(ROWS($V$2:V270),$V$2:$V$1001,0),0)))</f>
        <v xml:space="preserve"> </v>
      </c>
      <c r="B270" s="4" t="str">
        <f ca="1">IF(OR(INDEX($W$2:$W$1001,MATCH(ROWS($V$2:V270),$V$2:$V$1001,0),1)&gt;=100000,INDEX($AC$1005:$AS$1005,1,MATCH(COLUMNS($AC$1006:AC1006),$AC$1006:$AS$1006,0))&gt;=100000), " ",IF(INDEX($AC$2:$AS$1001,MATCH(ROWS($V$2:V270),$V$2:$V$1001,0),MATCH(COLUMNS($AC$1006:AC1006),$AC$1006:$AS$1006,0)), HYPERLINK("#",""), HYPERLINK(CONCATENATE("#metadata!", ADDRESS(INDEX($X$2:$X$1001,MATCH(ROWS($V$2:V270),$V$2:$V$1001,0),0), INDEX($AC$1004:$AS$1004,1,MATCH(COLUMNS($AC$1006:AC1006),$AC$1006:$AS$1006,0)))),"Fix")))</f>
        <v xml:space="preserve"> </v>
      </c>
      <c r="C270" s="4" t="str">
        <f ca="1">IF(OR(INDEX($W$2:$W$1001,MATCH(ROWS($V$2:V270),$V$2:$V$1001,0),1)&gt;=100000,INDEX($AC$1005:$AS$1005,1,MATCH(COLUMNS($AC$1006:AD1006),$AC$1006:$AS$1006,0))&gt;=100000), " ",IF(INDEX($AC$2:$AS$1001,MATCH(ROWS($V$2:V270),$V$2:$V$1001,0),MATCH(COLUMNS($AC$1006:AD1006),$AC$1006:$AS$1006,0)), HYPERLINK("#",""), HYPERLINK(CONCATENATE("#metadata!", ADDRESS(INDEX($X$2:$X$1001,MATCH(ROWS($V$2:V270),$V$2:$V$1001,0),0), INDEX($AC$1004:$AS$1004,1,MATCH(COLUMNS($AC$1006:AD1006),$AC$1006:$AS$1006,0)))),"Fix")))</f>
        <v xml:space="preserve"> </v>
      </c>
      <c r="D270" s="4" t="str">
        <f ca="1">IF(OR(INDEX($W$2:$W$1001,MATCH(ROWS($V$2:V270),$V$2:$V$1001,0),1)&gt;=100000,INDEX($AC$1005:$AS$1005,1,MATCH(COLUMNS($AC$1006:AE1006),$AC$1006:$AS$1006,0))&gt;=100000), " ",IF(INDEX($AC$2:$AS$1001,MATCH(ROWS($V$2:V270),$V$2:$V$1001,0),MATCH(COLUMNS($AC$1006:AE1006),$AC$1006:$AS$1006,0)), HYPERLINK("#",""), HYPERLINK(CONCATENATE("#metadata!", ADDRESS(INDEX($X$2:$X$1001,MATCH(ROWS($V$2:V270),$V$2:$V$1001,0),0), INDEX($AC$1004:$AS$1004,1,MATCH(COLUMNS($AC$1006:AE1006),$AC$1006:$AS$1006,0)))),"Fix")))</f>
        <v xml:space="preserve"> </v>
      </c>
      <c r="E270" s="4" t="str">
        <f ca="1">IF(OR(INDEX($W$2:$W$1001,MATCH(ROWS($V$2:V270),$V$2:$V$1001,0),1)&gt;=100000,INDEX($AC$1005:$AS$1005,1,MATCH(COLUMNS($AC$1006:AF1006),$AC$1006:$AS$1006,0))&gt;=100000), " ",IF(INDEX($AC$2:$AS$1001,MATCH(ROWS($V$2:V270),$V$2:$V$1001,0),MATCH(COLUMNS($AC$1006:AF1006),$AC$1006:$AS$1006,0)), HYPERLINK("#",""), HYPERLINK(CONCATENATE("#metadata!", ADDRESS(INDEX($X$2:$X$1001,MATCH(ROWS($V$2:V270),$V$2:$V$1001,0),0), INDEX($AC$1004:$AS$1004,1,MATCH(COLUMNS($AC$1006:AF1006),$AC$1006:$AS$1006,0)))),"Fix")))</f>
        <v xml:space="preserve"> </v>
      </c>
      <c r="F270" s="4" t="str">
        <f ca="1">IF(OR(INDEX($W$2:$W$1001,MATCH(ROWS($V$2:V270),$V$2:$V$1001,0),1)&gt;=100000,INDEX($AC$1005:$AS$1005,1,MATCH(COLUMNS($AC$1006:AG1006),$AC$1006:$AS$1006,0))&gt;=100000), " ",IF(INDEX($AC$2:$AS$1001,MATCH(ROWS($V$2:V270),$V$2:$V$1001,0),MATCH(COLUMNS($AC$1006:AG1006),$AC$1006:$AS$1006,0)), HYPERLINK("#",""), HYPERLINK(CONCATENATE("#metadata!", ADDRESS(INDEX($X$2:$X$1001,MATCH(ROWS($V$2:V270),$V$2:$V$1001,0),0), INDEX($AC$1004:$AS$1004,1,MATCH(COLUMNS($AC$1006:AG1006),$AC$1006:$AS$1006,0)))),"Fix")))</f>
        <v xml:space="preserve"> </v>
      </c>
      <c r="G270" s="4" t="str">
        <f ca="1">IF(OR(INDEX($W$2:$W$1001,MATCH(ROWS($V$2:V270),$V$2:$V$1001,0),1)&gt;=100000,INDEX($AC$1005:$AS$1005,1,MATCH(COLUMNS($AC$1006:AH1006),$AC$1006:$AS$1006,0))&gt;=100000), " ",IF(INDEX($AC$2:$AS$1001,MATCH(ROWS($V$2:V270),$V$2:$V$1001,0),MATCH(COLUMNS($AC$1006:AH1006),$AC$1006:$AS$1006,0)), HYPERLINK("#",""), HYPERLINK(CONCATENATE("#metadata!", ADDRESS(INDEX($X$2:$X$1001,MATCH(ROWS($V$2:V270),$V$2:$V$1001,0),0), INDEX($AC$1004:$AS$1004,1,MATCH(COLUMNS($AC$1006:AH1006),$AC$1006:$AS$1006,0)))),"Fix")))</f>
        <v xml:space="preserve"> </v>
      </c>
      <c r="H270" s="4" t="str">
        <f ca="1">IF(OR(INDEX($W$2:$W$1001,MATCH(ROWS($V$2:V270),$V$2:$V$1001,0),1)&gt;=100000,INDEX($AC$1005:$AS$1005,1,MATCH(COLUMNS($AC$1006:AI1006),$AC$1006:$AS$1006,0))&gt;=100000), " ",IF(INDEX($AC$2:$AS$1001,MATCH(ROWS($V$2:V270),$V$2:$V$1001,0),MATCH(COLUMNS($AC$1006:AI1006),$AC$1006:$AS$1006,0)), HYPERLINK("#",""), HYPERLINK(CONCATENATE("#metadata!", ADDRESS(INDEX($X$2:$X$1001,MATCH(ROWS($V$2:V270),$V$2:$V$1001,0),0), INDEX($AC$1004:$AS$1004,1,MATCH(COLUMNS($AC$1006:AI1006),$AC$1006:$AS$1006,0)))),"Fix")))</f>
        <v xml:space="preserve"> </v>
      </c>
      <c r="I270" s="4" t="str">
        <f ca="1">IF(OR(INDEX($W$2:$W$1001,MATCH(ROWS($V$2:V270),$V$2:$V$1001,0),1)&gt;=100000,INDEX($AC$1005:$AS$1005,1,MATCH(COLUMNS($AC$1006:AJ1006),$AC$1006:$AS$1006,0))&gt;=100000), " ",IF(INDEX($AC$2:$AS$1001,MATCH(ROWS($V$2:V270),$V$2:$V$1001,0),MATCH(COLUMNS($AC$1006:AJ1006),$AC$1006:$AS$1006,0)), HYPERLINK("#",""), HYPERLINK(CONCATENATE("#metadata!", ADDRESS(INDEX($X$2:$X$1001,MATCH(ROWS($V$2:V270),$V$2:$V$1001,0),0), INDEX($AC$1004:$AS$1004,1,MATCH(COLUMNS($AC$1006:AJ1006),$AC$1006:$AS$1006,0)))),"Fix")))</f>
        <v xml:space="preserve"> </v>
      </c>
      <c r="J270" s="4" t="str">
        <f ca="1">IF(OR(INDEX($W$2:$W$1001,MATCH(ROWS($V$2:V270),$V$2:$V$1001,0),1)&gt;=100000,INDEX($AC$1005:$AS$1005,1,MATCH(COLUMNS($AC$1006:AK1006),$AC$1006:$AS$1006,0))&gt;=100000), " ",IF(INDEX($AC$2:$AS$1001,MATCH(ROWS($V$2:V270),$V$2:$V$1001,0),MATCH(COLUMNS($AC$1006:AK1006),$AC$1006:$AS$1006,0)), HYPERLINK("#",""), HYPERLINK(CONCATENATE("#metadata!", ADDRESS(INDEX($X$2:$X$1001,MATCH(ROWS($V$2:V270),$V$2:$V$1001,0),0), INDEX($AC$1004:$AS$1004,1,MATCH(COLUMNS($AC$1006:AK1006),$AC$1006:$AS$1006,0)))),"Fix")))</f>
        <v xml:space="preserve"> </v>
      </c>
      <c r="K270" s="4" t="str">
        <f ca="1">IF(OR(INDEX($W$2:$W$1001,MATCH(ROWS($V$2:V270),$V$2:$V$1001,0),1)&gt;=100000,INDEX($AC$1005:$AS$1005,1,MATCH(COLUMNS($AC$1006:AL1006),$AC$1006:$AS$1006,0))&gt;=100000), " ",IF(INDEX($AC$2:$AS$1001,MATCH(ROWS($V$2:V270),$V$2:$V$1001,0),MATCH(COLUMNS($AC$1006:AL1006),$AC$1006:$AS$1006,0)), HYPERLINK("#",""), HYPERLINK(CONCATENATE("#metadata!", ADDRESS(INDEX($X$2:$X$1001,MATCH(ROWS($V$2:V270),$V$2:$V$1001,0),0), INDEX($AC$1004:$AS$1004,1,MATCH(COLUMNS($AC$1006:AL1006),$AC$1006:$AS$1006,0)))),"Fix")))</f>
        <v xml:space="preserve"> </v>
      </c>
      <c r="L270" s="4" t="str">
        <f ca="1">IF(OR(INDEX($W$2:$W$1001,MATCH(ROWS($V$2:V270),$V$2:$V$1001,0),1)&gt;=100000,INDEX($AC$1005:$AS$1005,1,MATCH(COLUMNS($AC$1006:AM1006),$AC$1006:$AS$1006,0))&gt;=100000), " ",IF(INDEX($AC$2:$AS$1001,MATCH(ROWS($V$2:V270),$V$2:$V$1001,0),MATCH(COLUMNS($AC$1006:AM1006),$AC$1006:$AS$1006,0)), HYPERLINK("#",""), HYPERLINK(CONCATENATE("#metadata!", ADDRESS(INDEX($X$2:$X$1001,MATCH(ROWS($V$2:V270),$V$2:$V$1001,0),0), INDEX($AC$1004:$AS$1004,1,MATCH(COLUMNS($AC$1006:AM1006),$AC$1006:$AS$1006,0)))),"Fix")))</f>
        <v xml:space="preserve"> </v>
      </c>
      <c r="M270" s="4" t="str">
        <f ca="1">IF(OR(INDEX($W$2:$W$1001,MATCH(ROWS($V$2:V270),$V$2:$V$1001,0),1)&gt;=100000,INDEX($AC$1005:$AS$1005,1,MATCH(COLUMNS($AC$1006:AN1006),$AC$1006:$AS$1006,0))&gt;=100000), " ",IF(INDEX($AC$2:$AS$1001,MATCH(ROWS($V$2:V270),$V$2:$V$1001,0),MATCH(COLUMNS($AC$1006:AN1006),$AC$1006:$AS$1006,0)), HYPERLINK("#",""), HYPERLINK(CONCATENATE("#metadata!", ADDRESS(INDEX($X$2:$X$1001,MATCH(ROWS($V$2:V270),$V$2:$V$1001,0),0), INDEX($AC$1004:$AS$1004,1,MATCH(COLUMNS($AC$1006:AN1006),$AC$1006:$AS$1006,0)))),"Fix")))</f>
        <v xml:space="preserve"> </v>
      </c>
      <c r="N270" s="4" t="str">
        <f ca="1">IF(OR(INDEX($W$2:$W$1001,MATCH(ROWS($V$2:V270),$V$2:$V$1001,0),1)&gt;=100000,INDEX($AC$1005:$AS$1005,1,MATCH(COLUMNS($AC$1006:AO1006),$AC$1006:$AS$1006,0))&gt;=100000), " ",IF(INDEX($AC$2:$AS$1001,MATCH(ROWS($V$2:V270),$V$2:$V$1001,0),MATCH(COLUMNS($AC$1006:AO1006),$AC$1006:$AS$1006,0)), HYPERLINK("#",""), HYPERLINK(CONCATENATE("#metadata!", ADDRESS(INDEX($X$2:$X$1001,MATCH(ROWS($V$2:V270),$V$2:$V$1001,0),0), INDEX($AC$1004:$AS$1004,1,MATCH(COLUMNS($AC$1006:AO1006),$AC$1006:$AS$1006,0)))),"Fix")))</f>
        <v xml:space="preserve"> </v>
      </c>
      <c r="O270" s="4" t="str">
        <f ca="1">IF(OR(INDEX($W$2:$W$1001,MATCH(ROWS($V$2:V270),$V$2:$V$1001,0),1)&gt;=100000,INDEX($AC$1005:$AS$1005,1,MATCH(COLUMNS($AC$1006:AP1006),$AC$1006:$AS$1006,0))&gt;=100000), " ",IF(INDEX($AC$2:$AS$1001,MATCH(ROWS($V$2:V270),$V$2:$V$1001,0),MATCH(COLUMNS($AC$1006:AP1006),$AC$1006:$AS$1006,0)), HYPERLINK("#",""), HYPERLINK(CONCATENATE("#metadata!", ADDRESS(INDEX($X$2:$X$1001,MATCH(ROWS($V$2:V270),$V$2:$V$1001,0),0), INDEX($AC$1004:$AS$1004,1,MATCH(COLUMNS($AC$1006:AP1006),$AC$1006:$AS$1006,0)))),"Fix")))</f>
        <v xml:space="preserve"> </v>
      </c>
      <c r="P270" s="4" t="str">
        <f ca="1">IF(OR(INDEX($W$2:$W$1001,MATCH(ROWS($V$2:V270),$V$2:$V$1001,0),1)&gt;=100000,INDEX($AC$1005:$AS$1005,1,MATCH(COLUMNS($AC$1006:AQ1006),$AC$1006:$AS$1006,0))&gt;=100000), " ",IF(INDEX($AC$2:$AS$1001,MATCH(ROWS($V$2:V270),$V$2:$V$1001,0),MATCH(COLUMNS($AC$1006:AQ1006),$AC$1006:$AS$1006,0)), HYPERLINK("#",""), HYPERLINK(CONCATENATE("#metadata!", ADDRESS(INDEX($X$2:$X$1001,MATCH(ROWS($V$2:V270),$V$2:$V$1001,0),0), INDEX($AC$1004:$AS$1004,1,MATCH(COLUMNS($AC$1006:AQ1006),$AC$1006:$AS$1006,0)))),"Fix")))</f>
        <v xml:space="preserve"> </v>
      </c>
      <c r="Q270" s="4" t="str">
        <f ca="1">IF(OR(INDEX($W$2:$W$1001,MATCH(ROWS($V$2:V270),$V$2:$V$1001,0),1)&gt;=100000,INDEX($AC$1005:$AS$1005,1,MATCH(COLUMNS($AC$1006:AR1006),$AC$1006:$AS$1006,0))&gt;=100000), " ",IF(INDEX($AC$2:$AS$1001,MATCH(ROWS($V$2:V270),$V$2:$V$1001,0),MATCH(COLUMNS($AC$1006:AR1006),$AC$1006:$AS$1006,0)), HYPERLINK("#",""), HYPERLINK(CONCATENATE("#metadata!", ADDRESS(INDEX($X$2:$X$1001,MATCH(ROWS($V$2:V270),$V$2:$V$1001,0),0), INDEX($AC$1004:$AS$1004,1,MATCH(COLUMNS($AC$1006:AR1006),$AC$1006:$AS$1006,0)))),"Fix")))</f>
        <v xml:space="preserve"> </v>
      </c>
      <c r="R270" s="4" t="str">
        <f ca="1">IF(OR(INDEX($W$2:$W$1001,MATCH(ROWS($V$2:V270),$V$2:$V$1001,0),1)&gt;=100000,INDEX($AC$1005:$AS$1005,1,MATCH(COLUMNS($AC$1006:AS1006),$AC$1006:$AS$1006,0))&gt;=100000), " ",IF(INDEX($AC$2:$AS$1001,MATCH(ROWS($V$2:V270),$V$2:$V$1001,0),MATCH(COLUMNS($AC$1006:AS1006),$AC$1006:$AS$1006,0)), HYPERLINK("#",""), HYPERLINK(CONCATENATE("#metadata!", ADDRESS(INDEX($X$2:$X$1001,MATCH(ROWS($V$2:V270),$V$2:$V$1001,0),0), INDEX($AC$1004:$AS$1004,1,MATCH(COLUMNS($AC$1006:AS1006),$AC$1006:$AS$1006,0)))),"Fix")))</f>
        <v xml:space="preserve"> </v>
      </c>
      <c r="V270">
        <v>269</v>
      </c>
      <c r="W270">
        <v>100270</v>
      </c>
      <c r="X270">
        <v>270</v>
      </c>
      <c r="Y270" t="b">
        <f t="shared" si="4"/>
        <v>1</v>
      </c>
      <c r="Z270" t="b">
        <f>COUNTBLANK(metadata!B270:R270)=COLUMNS(metadata!B270:R270)</f>
        <v>1</v>
      </c>
      <c r="AA270" t="str">
        <v/>
      </c>
      <c r="AC270" t="b">
        <f ca="1"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AD270" t="b">
        <f>IF(metadata!C270="",FALSE,ISNUMBER(VALUE(metadata!C270)))</f>
        <v>0</v>
      </c>
      <c r="AE270" t="b">
        <f>AND(IF(metadata!D270="",FALSE,TRUE),EXACT(metadata!D270,"years"))</f>
        <v>0</v>
      </c>
      <c r="AF270" t="b">
        <f>OR(AND(IF(metadata!E270="",FALSE,TRUE),OR(EXACT(metadata!E270,"not applicable"),EXACT(metadata!E270,"missing: not collected"),EXACT(metadata!E270,"missing: not provided"),EXACT(metadata!E270,"missing: restricted access"))),AND(IF(metadata!E270="",FALSE,ISNUMBER(VALUE(metadata!E270))),metadata!E270&gt;0))</f>
        <v>0</v>
      </c>
      <c r="AG270" t="b">
        <f>AND(IF(metadata!F270="",FALSE,TRUE),EXACT(metadata!F270,"Not applicable"))</f>
        <v>0</v>
      </c>
      <c r="AH270" t="b">
        <f>AND(IF(metadata!G270="",FALSE,TRUE),EXACT(metadata!G270,"urban biome"))</f>
        <v>0</v>
      </c>
      <c r="AI270" t="b">
        <f>AND(IF(metadata!H270="",FALSE,TRUE),EXACT(metadata!H270,"human-associated habitat"))</f>
        <v>0</v>
      </c>
      <c r="AJ270" t="b">
        <f>AND(IF(metadata!I270="",FALSE,TRUE),OR(EXACT(metadata!I270,"human-associated"),EXACT(metadata!I270,"human-skin"),EXACT(metadata!I270,"human-oral"),EXACT(metadata!I270,"human-gut"),EXACT(metadata!I270,"human-vaginal")))</f>
        <v>0</v>
      </c>
      <c r="AK270" t="b">
        <f>IF(metadata!J270="",FALSE,ISNUMBER(VALUE(metadata!J270)))</f>
        <v>0</v>
      </c>
      <c r="AL270" t="b">
        <f>AND(IF(metadata!K270="",FALSE,TRUE),EXACT(metadata!K270,"cm"))</f>
        <v>0</v>
      </c>
      <c r="AM270" t="b">
        <f>AND(IF(metadata!L270="",FALSE,TRUE),EXACT(metadata!L270,"human"))</f>
        <v>0</v>
      </c>
      <c r="AN270" t="b">
        <f>AND(IF(metadata!M270="",FALSE,TRUE),EXACT(metadata!M270,"Homo sapiens"))</f>
        <v>0</v>
      </c>
      <c r="AO270" t="b">
        <f>AND(IF(metadata!N270="",FALSE,TRUE),EXACT(metadata!N270,"9606"))</f>
        <v>0</v>
      </c>
      <c r="AP270" t="b">
        <f>IF(metadata!O270="",FALSE,TRUE)</f>
        <v>0</v>
      </c>
      <c r="AQ270" t="b">
        <f>IF(metadata!P270="",FALSE,TRUE)</f>
        <v>0</v>
      </c>
      <c r="AR270" t="b">
        <f>IF(metadata!Q270="",FALSE,ISNUMBER(VALUE(metadata!Q270)))</f>
        <v>0</v>
      </c>
      <c r="AS270" t="b">
        <f>AND(IF(metadata!R270="",FALSE,TRUE),EXACT(metadata!R270,"kg"))</f>
        <v>0</v>
      </c>
    </row>
    <row r="271" spans="1:45" x14ac:dyDescent="0.2">
      <c r="A271" s="5" t="str">
        <f ca="1">IF(B271=" "," ",HYPERLINK(CONCATENATE("#metadata!",ADDRESS(INDEX($X$2:$X$1001,MATCH(ROWS($V$2:V271),$V$2:$V$1001,0),0),1)),INDEX($AA$2:$AA$1001,MATCH(ROWS($V$2:V271),$V$2:$V$1001,0),0)))</f>
        <v xml:space="preserve"> </v>
      </c>
      <c r="B271" s="4" t="str">
        <f ca="1">IF(OR(INDEX($W$2:$W$1001,MATCH(ROWS($V$2:V271),$V$2:$V$1001,0),1)&gt;=100000,INDEX($AC$1005:$AS$1005,1,MATCH(COLUMNS($AC$1006:AC1006),$AC$1006:$AS$1006,0))&gt;=100000), " ",IF(INDEX($AC$2:$AS$1001,MATCH(ROWS($V$2:V271),$V$2:$V$1001,0),MATCH(COLUMNS($AC$1006:AC1006),$AC$1006:$AS$1006,0)), HYPERLINK("#",""), HYPERLINK(CONCATENATE("#metadata!", ADDRESS(INDEX($X$2:$X$1001,MATCH(ROWS($V$2:V271),$V$2:$V$1001,0),0), INDEX($AC$1004:$AS$1004,1,MATCH(COLUMNS($AC$1006:AC1006),$AC$1006:$AS$1006,0)))),"Fix")))</f>
        <v xml:space="preserve"> </v>
      </c>
      <c r="C271" s="4" t="str">
        <f ca="1">IF(OR(INDEX($W$2:$W$1001,MATCH(ROWS($V$2:V271),$V$2:$V$1001,0),1)&gt;=100000,INDEX($AC$1005:$AS$1005,1,MATCH(COLUMNS($AC$1006:AD1006),$AC$1006:$AS$1006,0))&gt;=100000), " ",IF(INDEX($AC$2:$AS$1001,MATCH(ROWS($V$2:V271),$V$2:$V$1001,0),MATCH(COLUMNS($AC$1006:AD1006),$AC$1006:$AS$1006,0)), HYPERLINK("#",""), HYPERLINK(CONCATENATE("#metadata!", ADDRESS(INDEX($X$2:$X$1001,MATCH(ROWS($V$2:V271),$V$2:$V$1001,0),0), INDEX($AC$1004:$AS$1004,1,MATCH(COLUMNS($AC$1006:AD1006),$AC$1006:$AS$1006,0)))),"Fix")))</f>
        <v xml:space="preserve"> </v>
      </c>
      <c r="D271" s="4" t="str">
        <f ca="1">IF(OR(INDEX($W$2:$W$1001,MATCH(ROWS($V$2:V271),$V$2:$V$1001,0),1)&gt;=100000,INDEX($AC$1005:$AS$1005,1,MATCH(COLUMNS($AC$1006:AE1006),$AC$1006:$AS$1006,0))&gt;=100000), " ",IF(INDEX($AC$2:$AS$1001,MATCH(ROWS($V$2:V271),$V$2:$V$1001,0),MATCH(COLUMNS($AC$1006:AE1006),$AC$1006:$AS$1006,0)), HYPERLINK("#",""), HYPERLINK(CONCATENATE("#metadata!", ADDRESS(INDEX($X$2:$X$1001,MATCH(ROWS($V$2:V271),$V$2:$V$1001,0),0), INDEX($AC$1004:$AS$1004,1,MATCH(COLUMNS($AC$1006:AE1006),$AC$1006:$AS$1006,0)))),"Fix")))</f>
        <v xml:space="preserve"> </v>
      </c>
      <c r="E271" s="4" t="str">
        <f ca="1">IF(OR(INDEX($W$2:$W$1001,MATCH(ROWS($V$2:V271),$V$2:$V$1001,0),1)&gt;=100000,INDEX($AC$1005:$AS$1005,1,MATCH(COLUMNS($AC$1006:AF1006),$AC$1006:$AS$1006,0))&gt;=100000), " ",IF(INDEX($AC$2:$AS$1001,MATCH(ROWS($V$2:V271),$V$2:$V$1001,0),MATCH(COLUMNS($AC$1006:AF1006),$AC$1006:$AS$1006,0)), HYPERLINK("#",""), HYPERLINK(CONCATENATE("#metadata!", ADDRESS(INDEX($X$2:$X$1001,MATCH(ROWS($V$2:V271),$V$2:$V$1001,0),0), INDEX($AC$1004:$AS$1004,1,MATCH(COLUMNS($AC$1006:AF1006),$AC$1006:$AS$1006,0)))),"Fix")))</f>
        <v xml:space="preserve"> </v>
      </c>
      <c r="F271" s="4" t="str">
        <f ca="1">IF(OR(INDEX($W$2:$W$1001,MATCH(ROWS($V$2:V271),$V$2:$V$1001,0),1)&gt;=100000,INDEX($AC$1005:$AS$1005,1,MATCH(COLUMNS($AC$1006:AG1006),$AC$1006:$AS$1006,0))&gt;=100000), " ",IF(INDEX($AC$2:$AS$1001,MATCH(ROWS($V$2:V271),$V$2:$V$1001,0),MATCH(COLUMNS($AC$1006:AG1006),$AC$1006:$AS$1006,0)), HYPERLINK("#",""), HYPERLINK(CONCATENATE("#metadata!", ADDRESS(INDEX($X$2:$X$1001,MATCH(ROWS($V$2:V271),$V$2:$V$1001,0),0), INDEX($AC$1004:$AS$1004,1,MATCH(COLUMNS($AC$1006:AG1006),$AC$1006:$AS$1006,0)))),"Fix")))</f>
        <v xml:space="preserve"> </v>
      </c>
      <c r="G271" s="4" t="str">
        <f ca="1">IF(OR(INDEX($W$2:$W$1001,MATCH(ROWS($V$2:V271),$V$2:$V$1001,0),1)&gt;=100000,INDEX($AC$1005:$AS$1005,1,MATCH(COLUMNS($AC$1006:AH1006),$AC$1006:$AS$1006,0))&gt;=100000), " ",IF(INDEX($AC$2:$AS$1001,MATCH(ROWS($V$2:V271),$V$2:$V$1001,0),MATCH(COLUMNS($AC$1006:AH1006),$AC$1006:$AS$1006,0)), HYPERLINK("#",""), HYPERLINK(CONCATENATE("#metadata!", ADDRESS(INDEX($X$2:$X$1001,MATCH(ROWS($V$2:V271),$V$2:$V$1001,0),0), INDEX($AC$1004:$AS$1004,1,MATCH(COLUMNS($AC$1006:AH1006),$AC$1006:$AS$1006,0)))),"Fix")))</f>
        <v xml:space="preserve"> </v>
      </c>
      <c r="H271" s="4" t="str">
        <f ca="1">IF(OR(INDEX($W$2:$W$1001,MATCH(ROWS($V$2:V271),$V$2:$V$1001,0),1)&gt;=100000,INDEX($AC$1005:$AS$1005,1,MATCH(COLUMNS($AC$1006:AI1006),$AC$1006:$AS$1006,0))&gt;=100000), " ",IF(INDEX($AC$2:$AS$1001,MATCH(ROWS($V$2:V271),$V$2:$V$1001,0),MATCH(COLUMNS($AC$1006:AI1006),$AC$1006:$AS$1006,0)), HYPERLINK("#",""), HYPERLINK(CONCATENATE("#metadata!", ADDRESS(INDEX($X$2:$X$1001,MATCH(ROWS($V$2:V271),$V$2:$V$1001,0),0), INDEX($AC$1004:$AS$1004,1,MATCH(COLUMNS($AC$1006:AI1006),$AC$1006:$AS$1006,0)))),"Fix")))</f>
        <v xml:space="preserve"> </v>
      </c>
      <c r="I271" s="4" t="str">
        <f ca="1">IF(OR(INDEX($W$2:$W$1001,MATCH(ROWS($V$2:V271),$V$2:$V$1001,0),1)&gt;=100000,INDEX($AC$1005:$AS$1005,1,MATCH(COLUMNS($AC$1006:AJ1006),$AC$1006:$AS$1006,0))&gt;=100000), " ",IF(INDEX($AC$2:$AS$1001,MATCH(ROWS($V$2:V271),$V$2:$V$1001,0),MATCH(COLUMNS($AC$1006:AJ1006),$AC$1006:$AS$1006,0)), HYPERLINK("#",""), HYPERLINK(CONCATENATE("#metadata!", ADDRESS(INDEX($X$2:$X$1001,MATCH(ROWS($V$2:V271),$V$2:$V$1001,0),0), INDEX($AC$1004:$AS$1004,1,MATCH(COLUMNS($AC$1006:AJ1006),$AC$1006:$AS$1006,0)))),"Fix")))</f>
        <v xml:space="preserve"> </v>
      </c>
      <c r="J271" s="4" t="str">
        <f ca="1">IF(OR(INDEX($W$2:$W$1001,MATCH(ROWS($V$2:V271),$V$2:$V$1001,0),1)&gt;=100000,INDEX($AC$1005:$AS$1005,1,MATCH(COLUMNS($AC$1006:AK1006),$AC$1006:$AS$1006,0))&gt;=100000), " ",IF(INDEX($AC$2:$AS$1001,MATCH(ROWS($V$2:V271),$V$2:$V$1001,0),MATCH(COLUMNS($AC$1006:AK1006),$AC$1006:$AS$1006,0)), HYPERLINK("#",""), HYPERLINK(CONCATENATE("#metadata!", ADDRESS(INDEX($X$2:$X$1001,MATCH(ROWS($V$2:V271),$V$2:$V$1001,0),0), INDEX($AC$1004:$AS$1004,1,MATCH(COLUMNS($AC$1006:AK1006),$AC$1006:$AS$1006,0)))),"Fix")))</f>
        <v xml:space="preserve"> </v>
      </c>
      <c r="K271" s="4" t="str">
        <f ca="1">IF(OR(INDEX($W$2:$W$1001,MATCH(ROWS($V$2:V271),$V$2:$V$1001,0),1)&gt;=100000,INDEX($AC$1005:$AS$1005,1,MATCH(COLUMNS($AC$1006:AL1006),$AC$1006:$AS$1006,0))&gt;=100000), " ",IF(INDEX($AC$2:$AS$1001,MATCH(ROWS($V$2:V271),$V$2:$V$1001,0),MATCH(COLUMNS($AC$1006:AL1006),$AC$1006:$AS$1006,0)), HYPERLINK("#",""), HYPERLINK(CONCATENATE("#metadata!", ADDRESS(INDEX($X$2:$X$1001,MATCH(ROWS($V$2:V271),$V$2:$V$1001,0),0), INDEX($AC$1004:$AS$1004,1,MATCH(COLUMNS($AC$1006:AL1006),$AC$1006:$AS$1006,0)))),"Fix")))</f>
        <v xml:space="preserve"> </v>
      </c>
      <c r="L271" s="4" t="str">
        <f ca="1">IF(OR(INDEX($W$2:$W$1001,MATCH(ROWS($V$2:V271),$V$2:$V$1001,0),1)&gt;=100000,INDEX($AC$1005:$AS$1005,1,MATCH(COLUMNS($AC$1006:AM1006),$AC$1006:$AS$1006,0))&gt;=100000), " ",IF(INDEX($AC$2:$AS$1001,MATCH(ROWS($V$2:V271),$V$2:$V$1001,0),MATCH(COLUMNS($AC$1006:AM1006),$AC$1006:$AS$1006,0)), HYPERLINK("#",""), HYPERLINK(CONCATENATE("#metadata!", ADDRESS(INDEX($X$2:$X$1001,MATCH(ROWS($V$2:V271),$V$2:$V$1001,0),0), INDEX($AC$1004:$AS$1004,1,MATCH(COLUMNS($AC$1006:AM1006),$AC$1006:$AS$1006,0)))),"Fix")))</f>
        <v xml:space="preserve"> </v>
      </c>
      <c r="M271" s="4" t="str">
        <f ca="1">IF(OR(INDEX($W$2:$W$1001,MATCH(ROWS($V$2:V271),$V$2:$V$1001,0),1)&gt;=100000,INDEX($AC$1005:$AS$1005,1,MATCH(COLUMNS($AC$1006:AN1006),$AC$1006:$AS$1006,0))&gt;=100000), " ",IF(INDEX($AC$2:$AS$1001,MATCH(ROWS($V$2:V271),$V$2:$V$1001,0),MATCH(COLUMNS($AC$1006:AN1006),$AC$1006:$AS$1006,0)), HYPERLINK("#",""), HYPERLINK(CONCATENATE("#metadata!", ADDRESS(INDEX($X$2:$X$1001,MATCH(ROWS($V$2:V271),$V$2:$V$1001,0),0), INDEX($AC$1004:$AS$1004,1,MATCH(COLUMNS($AC$1006:AN1006),$AC$1006:$AS$1006,0)))),"Fix")))</f>
        <v xml:space="preserve"> </v>
      </c>
      <c r="N271" s="4" t="str">
        <f ca="1">IF(OR(INDEX($W$2:$W$1001,MATCH(ROWS($V$2:V271),$V$2:$V$1001,0),1)&gt;=100000,INDEX($AC$1005:$AS$1005,1,MATCH(COLUMNS($AC$1006:AO1006),$AC$1006:$AS$1006,0))&gt;=100000), " ",IF(INDEX($AC$2:$AS$1001,MATCH(ROWS($V$2:V271),$V$2:$V$1001,0),MATCH(COLUMNS($AC$1006:AO1006),$AC$1006:$AS$1006,0)), HYPERLINK("#",""), HYPERLINK(CONCATENATE("#metadata!", ADDRESS(INDEX($X$2:$X$1001,MATCH(ROWS($V$2:V271),$V$2:$V$1001,0),0), INDEX($AC$1004:$AS$1004,1,MATCH(COLUMNS($AC$1006:AO1006),$AC$1006:$AS$1006,0)))),"Fix")))</f>
        <v xml:space="preserve"> </v>
      </c>
      <c r="O271" s="4" t="str">
        <f ca="1">IF(OR(INDEX($W$2:$W$1001,MATCH(ROWS($V$2:V271),$V$2:$V$1001,0),1)&gt;=100000,INDEX($AC$1005:$AS$1005,1,MATCH(COLUMNS($AC$1006:AP1006),$AC$1006:$AS$1006,0))&gt;=100000), " ",IF(INDEX($AC$2:$AS$1001,MATCH(ROWS($V$2:V271),$V$2:$V$1001,0),MATCH(COLUMNS($AC$1006:AP1006),$AC$1006:$AS$1006,0)), HYPERLINK("#",""), HYPERLINK(CONCATENATE("#metadata!", ADDRESS(INDEX($X$2:$X$1001,MATCH(ROWS($V$2:V271),$V$2:$V$1001,0),0), INDEX($AC$1004:$AS$1004,1,MATCH(COLUMNS($AC$1006:AP1006),$AC$1006:$AS$1006,0)))),"Fix")))</f>
        <v xml:space="preserve"> </v>
      </c>
      <c r="P271" s="4" t="str">
        <f ca="1">IF(OR(INDEX($W$2:$W$1001,MATCH(ROWS($V$2:V271),$V$2:$V$1001,0),1)&gt;=100000,INDEX($AC$1005:$AS$1005,1,MATCH(COLUMNS($AC$1006:AQ1006),$AC$1006:$AS$1006,0))&gt;=100000), " ",IF(INDEX($AC$2:$AS$1001,MATCH(ROWS($V$2:V271),$V$2:$V$1001,0),MATCH(COLUMNS($AC$1006:AQ1006),$AC$1006:$AS$1006,0)), HYPERLINK("#",""), HYPERLINK(CONCATENATE("#metadata!", ADDRESS(INDEX($X$2:$X$1001,MATCH(ROWS($V$2:V271),$V$2:$V$1001,0),0), INDEX($AC$1004:$AS$1004,1,MATCH(COLUMNS($AC$1006:AQ1006),$AC$1006:$AS$1006,0)))),"Fix")))</f>
        <v xml:space="preserve"> </v>
      </c>
      <c r="Q271" s="4" t="str">
        <f ca="1">IF(OR(INDEX($W$2:$W$1001,MATCH(ROWS($V$2:V271),$V$2:$V$1001,0),1)&gt;=100000,INDEX($AC$1005:$AS$1005,1,MATCH(COLUMNS($AC$1006:AR1006),$AC$1006:$AS$1006,0))&gt;=100000), " ",IF(INDEX($AC$2:$AS$1001,MATCH(ROWS($V$2:V271),$V$2:$V$1001,0),MATCH(COLUMNS($AC$1006:AR1006),$AC$1006:$AS$1006,0)), HYPERLINK("#",""), HYPERLINK(CONCATENATE("#metadata!", ADDRESS(INDEX($X$2:$X$1001,MATCH(ROWS($V$2:V271),$V$2:$V$1001,0),0), INDEX($AC$1004:$AS$1004,1,MATCH(COLUMNS($AC$1006:AR1006),$AC$1006:$AS$1006,0)))),"Fix")))</f>
        <v xml:space="preserve"> </v>
      </c>
      <c r="R271" s="4" t="str">
        <f ca="1">IF(OR(INDEX($W$2:$W$1001,MATCH(ROWS($V$2:V271),$V$2:$V$1001,0),1)&gt;=100000,INDEX($AC$1005:$AS$1005,1,MATCH(COLUMNS($AC$1006:AS1006),$AC$1006:$AS$1006,0))&gt;=100000), " ",IF(INDEX($AC$2:$AS$1001,MATCH(ROWS($V$2:V271),$V$2:$V$1001,0),MATCH(COLUMNS($AC$1006:AS1006),$AC$1006:$AS$1006,0)), HYPERLINK("#",""), HYPERLINK(CONCATENATE("#metadata!", ADDRESS(INDEX($X$2:$X$1001,MATCH(ROWS($V$2:V271),$V$2:$V$1001,0),0), INDEX($AC$1004:$AS$1004,1,MATCH(COLUMNS($AC$1006:AS1006),$AC$1006:$AS$1006,0)))),"Fix")))</f>
        <v xml:space="preserve"> </v>
      </c>
      <c r="V271">
        <v>270</v>
      </c>
      <c r="W271">
        <v>100271</v>
      </c>
      <c r="X271">
        <v>271</v>
      </c>
      <c r="Y271" t="b">
        <f t="shared" si="4"/>
        <v>1</v>
      </c>
      <c r="Z271" t="b">
        <f>COUNTBLANK(metadata!B271:R271)=COLUMNS(metadata!B271:R271)</f>
        <v>1</v>
      </c>
      <c r="AA271" t="str">
        <v/>
      </c>
      <c r="AC271" t="b">
        <f ca="1"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AD271" t="b">
        <f>IF(metadata!C271="",FALSE,ISNUMBER(VALUE(metadata!C271)))</f>
        <v>0</v>
      </c>
      <c r="AE271" t="b">
        <f>AND(IF(metadata!D271="",FALSE,TRUE),EXACT(metadata!D271,"years"))</f>
        <v>0</v>
      </c>
      <c r="AF271" t="b">
        <f>OR(AND(IF(metadata!E271="",FALSE,TRUE),OR(EXACT(metadata!E271,"not applicable"),EXACT(metadata!E271,"missing: not collected"),EXACT(metadata!E271,"missing: not provided"),EXACT(metadata!E271,"missing: restricted access"))),AND(IF(metadata!E271="",FALSE,ISNUMBER(VALUE(metadata!E271))),metadata!E271&gt;0))</f>
        <v>0</v>
      </c>
      <c r="AG271" t="b">
        <f>AND(IF(metadata!F271="",FALSE,TRUE),EXACT(metadata!F271,"Not applicable"))</f>
        <v>0</v>
      </c>
      <c r="AH271" t="b">
        <f>AND(IF(metadata!G271="",FALSE,TRUE),EXACT(metadata!G271,"urban biome"))</f>
        <v>0</v>
      </c>
      <c r="AI271" t="b">
        <f>AND(IF(metadata!H271="",FALSE,TRUE),EXACT(metadata!H271,"human-associated habitat"))</f>
        <v>0</v>
      </c>
      <c r="AJ271" t="b">
        <f>AND(IF(metadata!I271="",FALSE,TRUE),OR(EXACT(metadata!I271,"human-associated"),EXACT(metadata!I271,"human-skin"),EXACT(metadata!I271,"human-oral"),EXACT(metadata!I271,"human-gut"),EXACT(metadata!I271,"human-vaginal")))</f>
        <v>0</v>
      </c>
      <c r="AK271" t="b">
        <f>IF(metadata!J271="",FALSE,ISNUMBER(VALUE(metadata!J271)))</f>
        <v>0</v>
      </c>
      <c r="AL271" t="b">
        <f>AND(IF(metadata!K271="",FALSE,TRUE),EXACT(metadata!K271,"cm"))</f>
        <v>0</v>
      </c>
      <c r="AM271" t="b">
        <f>AND(IF(metadata!L271="",FALSE,TRUE),EXACT(metadata!L271,"human"))</f>
        <v>0</v>
      </c>
      <c r="AN271" t="b">
        <f>AND(IF(metadata!M271="",FALSE,TRUE),EXACT(metadata!M271,"Homo sapiens"))</f>
        <v>0</v>
      </c>
      <c r="AO271" t="b">
        <f>AND(IF(metadata!N271="",FALSE,TRUE),EXACT(metadata!N271,"9606"))</f>
        <v>0</v>
      </c>
      <c r="AP271" t="b">
        <f>IF(metadata!O271="",FALSE,TRUE)</f>
        <v>0</v>
      </c>
      <c r="AQ271" t="b">
        <f>IF(metadata!P271="",FALSE,TRUE)</f>
        <v>0</v>
      </c>
      <c r="AR271" t="b">
        <f>IF(metadata!Q271="",FALSE,ISNUMBER(VALUE(metadata!Q271)))</f>
        <v>0</v>
      </c>
      <c r="AS271" t="b">
        <f>AND(IF(metadata!R271="",FALSE,TRUE),EXACT(metadata!R271,"kg"))</f>
        <v>0</v>
      </c>
    </row>
    <row r="272" spans="1:45" x14ac:dyDescent="0.2">
      <c r="A272" s="5" t="str">
        <f ca="1">IF(B272=" "," ",HYPERLINK(CONCATENATE("#metadata!",ADDRESS(INDEX($X$2:$X$1001,MATCH(ROWS($V$2:V272),$V$2:$V$1001,0),0),1)),INDEX($AA$2:$AA$1001,MATCH(ROWS($V$2:V272),$V$2:$V$1001,0),0)))</f>
        <v xml:space="preserve"> </v>
      </c>
      <c r="B272" s="4" t="str">
        <f ca="1">IF(OR(INDEX($W$2:$W$1001,MATCH(ROWS($V$2:V272),$V$2:$V$1001,0),1)&gt;=100000,INDEX($AC$1005:$AS$1005,1,MATCH(COLUMNS($AC$1006:AC1006),$AC$1006:$AS$1006,0))&gt;=100000), " ",IF(INDEX($AC$2:$AS$1001,MATCH(ROWS($V$2:V272),$V$2:$V$1001,0),MATCH(COLUMNS($AC$1006:AC1006),$AC$1006:$AS$1006,0)), HYPERLINK("#",""), HYPERLINK(CONCATENATE("#metadata!", ADDRESS(INDEX($X$2:$X$1001,MATCH(ROWS($V$2:V272),$V$2:$V$1001,0),0), INDEX($AC$1004:$AS$1004,1,MATCH(COLUMNS($AC$1006:AC1006),$AC$1006:$AS$1006,0)))),"Fix")))</f>
        <v xml:space="preserve"> </v>
      </c>
      <c r="C272" s="4" t="str">
        <f ca="1">IF(OR(INDEX($W$2:$W$1001,MATCH(ROWS($V$2:V272),$V$2:$V$1001,0),1)&gt;=100000,INDEX($AC$1005:$AS$1005,1,MATCH(COLUMNS($AC$1006:AD1006),$AC$1006:$AS$1006,0))&gt;=100000), " ",IF(INDEX($AC$2:$AS$1001,MATCH(ROWS($V$2:V272),$V$2:$V$1001,0),MATCH(COLUMNS($AC$1006:AD1006),$AC$1006:$AS$1006,0)), HYPERLINK("#",""), HYPERLINK(CONCATENATE("#metadata!", ADDRESS(INDEX($X$2:$X$1001,MATCH(ROWS($V$2:V272),$V$2:$V$1001,0),0), INDEX($AC$1004:$AS$1004,1,MATCH(COLUMNS($AC$1006:AD1006),$AC$1006:$AS$1006,0)))),"Fix")))</f>
        <v xml:space="preserve"> </v>
      </c>
      <c r="D272" s="4" t="str">
        <f ca="1">IF(OR(INDEX($W$2:$W$1001,MATCH(ROWS($V$2:V272),$V$2:$V$1001,0),1)&gt;=100000,INDEX($AC$1005:$AS$1005,1,MATCH(COLUMNS($AC$1006:AE1006),$AC$1006:$AS$1006,0))&gt;=100000), " ",IF(INDEX($AC$2:$AS$1001,MATCH(ROWS($V$2:V272),$V$2:$V$1001,0),MATCH(COLUMNS($AC$1006:AE1006),$AC$1006:$AS$1006,0)), HYPERLINK("#",""), HYPERLINK(CONCATENATE("#metadata!", ADDRESS(INDEX($X$2:$X$1001,MATCH(ROWS($V$2:V272),$V$2:$V$1001,0),0), INDEX($AC$1004:$AS$1004,1,MATCH(COLUMNS($AC$1006:AE1006),$AC$1006:$AS$1006,0)))),"Fix")))</f>
        <v xml:space="preserve"> </v>
      </c>
      <c r="E272" s="4" t="str">
        <f ca="1">IF(OR(INDEX($W$2:$W$1001,MATCH(ROWS($V$2:V272),$V$2:$V$1001,0),1)&gt;=100000,INDEX($AC$1005:$AS$1005,1,MATCH(COLUMNS($AC$1006:AF1006),$AC$1006:$AS$1006,0))&gt;=100000), " ",IF(INDEX($AC$2:$AS$1001,MATCH(ROWS($V$2:V272),$V$2:$V$1001,0),MATCH(COLUMNS($AC$1006:AF1006),$AC$1006:$AS$1006,0)), HYPERLINK("#",""), HYPERLINK(CONCATENATE("#metadata!", ADDRESS(INDEX($X$2:$X$1001,MATCH(ROWS($V$2:V272),$V$2:$V$1001,0),0), INDEX($AC$1004:$AS$1004,1,MATCH(COLUMNS($AC$1006:AF1006),$AC$1006:$AS$1006,0)))),"Fix")))</f>
        <v xml:space="preserve"> </v>
      </c>
      <c r="F272" s="4" t="str">
        <f ca="1">IF(OR(INDEX($W$2:$W$1001,MATCH(ROWS($V$2:V272),$V$2:$V$1001,0),1)&gt;=100000,INDEX($AC$1005:$AS$1005,1,MATCH(COLUMNS($AC$1006:AG1006),$AC$1006:$AS$1006,0))&gt;=100000), " ",IF(INDEX($AC$2:$AS$1001,MATCH(ROWS($V$2:V272),$V$2:$V$1001,0),MATCH(COLUMNS($AC$1006:AG1006),$AC$1006:$AS$1006,0)), HYPERLINK("#",""), HYPERLINK(CONCATENATE("#metadata!", ADDRESS(INDEX($X$2:$X$1001,MATCH(ROWS($V$2:V272),$V$2:$V$1001,0),0), INDEX($AC$1004:$AS$1004,1,MATCH(COLUMNS($AC$1006:AG1006),$AC$1006:$AS$1006,0)))),"Fix")))</f>
        <v xml:space="preserve"> </v>
      </c>
      <c r="G272" s="4" t="str">
        <f ca="1">IF(OR(INDEX($W$2:$W$1001,MATCH(ROWS($V$2:V272),$V$2:$V$1001,0),1)&gt;=100000,INDEX($AC$1005:$AS$1005,1,MATCH(COLUMNS($AC$1006:AH1006),$AC$1006:$AS$1006,0))&gt;=100000), " ",IF(INDEX($AC$2:$AS$1001,MATCH(ROWS($V$2:V272),$V$2:$V$1001,0),MATCH(COLUMNS($AC$1006:AH1006),$AC$1006:$AS$1006,0)), HYPERLINK("#",""), HYPERLINK(CONCATENATE("#metadata!", ADDRESS(INDEX($X$2:$X$1001,MATCH(ROWS($V$2:V272),$V$2:$V$1001,0),0), INDEX($AC$1004:$AS$1004,1,MATCH(COLUMNS($AC$1006:AH1006),$AC$1006:$AS$1006,0)))),"Fix")))</f>
        <v xml:space="preserve"> </v>
      </c>
      <c r="H272" s="4" t="str">
        <f ca="1">IF(OR(INDEX($W$2:$W$1001,MATCH(ROWS($V$2:V272),$V$2:$V$1001,0),1)&gt;=100000,INDEX($AC$1005:$AS$1005,1,MATCH(COLUMNS($AC$1006:AI1006),$AC$1006:$AS$1006,0))&gt;=100000), " ",IF(INDEX($AC$2:$AS$1001,MATCH(ROWS($V$2:V272),$V$2:$V$1001,0),MATCH(COLUMNS($AC$1006:AI1006),$AC$1006:$AS$1006,0)), HYPERLINK("#",""), HYPERLINK(CONCATENATE("#metadata!", ADDRESS(INDEX($X$2:$X$1001,MATCH(ROWS($V$2:V272),$V$2:$V$1001,0),0), INDEX($AC$1004:$AS$1004,1,MATCH(COLUMNS($AC$1006:AI1006),$AC$1006:$AS$1006,0)))),"Fix")))</f>
        <v xml:space="preserve"> </v>
      </c>
      <c r="I272" s="4" t="str">
        <f ca="1">IF(OR(INDEX($W$2:$W$1001,MATCH(ROWS($V$2:V272),$V$2:$V$1001,0),1)&gt;=100000,INDEX($AC$1005:$AS$1005,1,MATCH(COLUMNS($AC$1006:AJ1006),$AC$1006:$AS$1006,0))&gt;=100000), " ",IF(INDEX($AC$2:$AS$1001,MATCH(ROWS($V$2:V272),$V$2:$V$1001,0),MATCH(COLUMNS($AC$1006:AJ1006),$AC$1006:$AS$1006,0)), HYPERLINK("#",""), HYPERLINK(CONCATENATE("#metadata!", ADDRESS(INDEX($X$2:$X$1001,MATCH(ROWS($V$2:V272),$V$2:$V$1001,0),0), INDEX($AC$1004:$AS$1004,1,MATCH(COLUMNS($AC$1006:AJ1006),$AC$1006:$AS$1006,0)))),"Fix")))</f>
        <v xml:space="preserve"> </v>
      </c>
      <c r="J272" s="4" t="str">
        <f ca="1">IF(OR(INDEX($W$2:$W$1001,MATCH(ROWS($V$2:V272),$V$2:$V$1001,0),1)&gt;=100000,INDEX($AC$1005:$AS$1005,1,MATCH(COLUMNS($AC$1006:AK1006),$AC$1006:$AS$1006,0))&gt;=100000), " ",IF(INDEX($AC$2:$AS$1001,MATCH(ROWS($V$2:V272),$V$2:$V$1001,0),MATCH(COLUMNS($AC$1006:AK1006),$AC$1006:$AS$1006,0)), HYPERLINK("#",""), HYPERLINK(CONCATENATE("#metadata!", ADDRESS(INDEX($X$2:$X$1001,MATCH(ROWS($V$2:V272),$V$2:$V$1001,0),0), INDEX($AC$1004:$AS$1004,1,MATCH(COLUMNS($AC$1006:AK1006),$AC$1006:$AS$1006,0)))),"Fix")))</f>
        <v xml:space="preserve"> </v>
      </c>
      <c r="K272" s="4" t="str">
        <f ca="1">IF(OR(INDEX($W$2:$W$1001,MATCH(ROWS($V$2:V272),$V$2:$V$1001,0),1)&gt;=100000,INDEX($AC$1005:$AS$1005,1,MATCH(COLUMNS($AC$1006:AL1006),$AC$1006:$AS$1006,0))&gt;=100000), " ",IF(INDEX($AC$2:$AS$1001,MATCH(ROWS($V$2:V272),$V$2:$V$1001,0),MATCH(COLUMNS($AC$1006:AL1006),$AC$1006:$AS$1006,0)), HYPERLINK("#",""), HYPERLINK(CONCATENATE("#metadata!", ADDRESS(INDEX($X$2:$X$1001,MATCH(ROWS($V$2:V272),$V$2:$V$1001,0),0), INDEX($AC$1004:$AS$1004,1,MATCH(COLUMNS($AC$1006:AL1006),$AC$1006:$AS$1006,0)))),"Fix")))</f>
        <v xml:space="preserve"> </v>
      </c>
      <c r="L272" s="4" t="str">
        <f ca="1">IF(OR(INDEX($W$2:$W$1001,MATCH(ROWS($V$2:V272),$V$2:$V$1001,0),1)&gt;=100000,INDEX($AC$1005:$AS$1005,1,MATCH(COLUMNS($AC$1006:AM1006),$AC$1006:$AS$1006,0))&gt;=100000), " ",IF(INDEX($AC$2:$AS$1001,MATCH(ROWS($V$2:V272),$V$2:$V$1001,0),MATCH(COLUMNS($AC$1006:AM1006),$AC$1006:$AS$1006,0)), HYPERLINK("#",""), HYPERLINK(CONCATENATE("#metadata!", ADDRESS(INDEX($X$2:$X$1001,MATCH(ROWS($V$2:V272),$V$2:$V$1001,0),0), INDEX($AC$1004:$AS$1004,1,MATCH(COLUMNS($AC$1006:AM1006),$AC$1006:$AS$1006,0)))),"Fix")))</f>
        <v xml:space="preserve"> </v>
      </c>
      <c r="M272" s="4" t="str">
        <f ca="1">IF(OR(INDEX($W$2:$W$1001,MATCH(ROWS($V$2:V272),$V$2:$V$1001,0),1)&gt;=100000,INDEX($AC$1005:$AS$1005,1,MATCH(COLUMNS($AC$1006:AN1006),$AC$1006:$AS$1006,0))&gt;=100000), " ",IF(INDEX($AC$2:$AS$1001,MATCH(ROWS($V$2:V272),$V$2:$V$1001,0),MATCH(COLUMNS($AC$1006:AN1006),$AC$1006:$AS$1006,0)), HYPERLINK("#",""), HYPERLINK(CONCATENATE("#metadata!", ADDRESS(INDEX($X$2:$X$1001,MATCH(ROWS($V$2:V272),$V$2:$V$1001,0),0), INDEX($AC$1004:$AS$1004,1,MATCH(COLUMNS($AC$1006:AN1006),$AC$1006:$AS$1006,0)))),"Fix")))</f>
        <v xml:space="preserve"> </v>
      </c>
      <c r="N272" s="4" t="str">
        <f ca="1">IF(OR(INDEX($W$2:$W$1001,MATCH(ROWS($V$2:V272),$V$2:$V$1001,0),1)&gt;=100000,INDEX($AC$1005:$AS$1005,1,MATCH(COLUMNS($AC$1006:AO1006),$AC$1006:$AS$1006,0))&gt;=100000), " ",IF(INDEX($AC$2:$AS$1001,MATCH(ROWS($V$2:V272),$V$2:$V$1001,0),MATCH(COLUMNS($AC$1006:AO1006),$AC$1006:$AS$1006,0)), HYPERLINK("#",""), HYPERLINK(CONCATENATE("#metadata!", ADDRESS(INDEX($X$2:$X$1001,MATCH(ROWS($V$2:V272),$V$2:$V$1001,0),0), INDEX($AC$1004:$AS$1004,1,MATCH(COLUMNS($AC$1006:AO1006),$AC$1006:$AS$1006,0)))),"Fix")))</f>
        <v xml:space="preserve"> </v>
      </c>
      <c r="O272" s="4" t="str">
        <f ca="1">IF(OR(INDEX($W$2:$W$1001,MATCH(ROWS($V$2:V272),$V$2:$V$1001,0),1)&gt;=100000,INDEX($AC$1005:$AS$1005,1,MATCH(COLUMNS($AC$1006:AP1006),$AC$1006:$AS$1006,0))&gt;=100000), " ",IF(INDEX($AC$2:$AS$1001,MATCH(ROWS($V$2:V272),$V$2:$V$1001,0),MATCH(COLUMNS($AC$1006:AP1006),$AC$1006:$AS$1006,0)), HYPERLINK("#",""), HYPERLINK(CONCATENATE("#metadata!", ADDRESS(INDEX($X$2:$X$1001,MATCH(ROWS($V$2:V272),$V$2:$V$1001,0),0), INDEX($AC$1004:$AS$1004,1,MATCH(COLUMNS($AC$1006:AP1006),$AC$1006:$AS$1006,0)))),"Fix")))</f>
        <v xml:space="preserve"> </v>
      </c>
      <c r="P272" s="4" t="str">
        <f ca="1">IF(OR(INDEX($W$2:$W$1001,MATCH(ROWS($V$2:V272),$V$2:$V$1001,0),1)&gt;=100000,INDEX($AC$1005:$AS$1005,1,MATCH(COLUMNS($AC$1006:AQ1006),$AC$1006:$AS$1006,0))&gt;=100000), " ",IF(INDEX($AC$2:$AS$1001,MATCH(ROWS($V$2:V272),$V$2:$V$1001,0),MATCH(COLUMNS($AC$1006:AQ1006),$AC$1006:$AS$1006,0)), HYPERLINK("#",""), HYPERLINK(CONCATENATE("#metadata!", ADDRESS(INDEX($X$2:$X$1001,MATCH(ROWS($V$2:V272),$V$2:$V$1001,0),0), INDEX($AC$1004:$AS$1004,1,MATCH(COLUMNS($AC$1006:AQ1006),$AC$1006:$AS$1006,0)))),"Fix")))</f>
        <v xml:space="preserve"> </v>
      </c>
      <c r="Q272" s="4" t="str">
        <f ca="1">IF(OR(INDEX($W$2:$W$1001,MATCH(ROWS($V$2:V272),$V$2:$V$1001,0),1)&gt;=100000,INDEX($AC$1005:$AS$1005,1,MATCH(COLUMNS($AC$1006:AR1006),$AC$1006:$AS$1006,0))&gt;=100000), " ",IF(INDEX($AC$2:$AS$1001,MATCH(ROWS($V$2:V272),$V$2:$V$1001,0),MATCH(COLUMNS($AC$1006:AR1006),$AC$1006:$AS$1006,0)), HYPERLINK("#",""), HYPERLINK(CONCATENATE("#metadata!", ADDRESS(INDEX($X$2:$X$1001,MATCH(ROWS($V$2:V272),$V$2:$V$1001,0),0), INDEX($AC$1004:$AS$1004,1,MATCH(COLUMNS($AC$1006:AR1006),$AC$1006:$AS$1006,0)))),"Fix")))</f>
        <v xml:space="preserve"> </v>
      </c>
      <c r="R272" s="4" t="str">
        <f ca="1">IF(OR(INDEX($W$2:$W$1001,MATCH(ROWS($V$2:V272),$V$2:$V$1001,0),1)&gt;=100000,INDEX($AC$1005:$AS$1005,1,MATCH(COLUMNS($AC$1006:AS1006),$AC$1006:$AS$1006,0))&gt;=100000), " ",IF(INDEX($AC$2:$AS$1001,MATCH(ROWS($V$2:V272),$V$2:$V$1001,0),MATCH(COLUMNS($AC$1006:AS1006),$AC$1006:$AS$1006,0)), HYPERLINK("#",""), HYPERLINK(CONCATENATE("#metadata!", ADDRESS(INDEX($X$2:$X$1001,MATCH(ROWS($V$2:V272),$V$2:$V$1001,0),0), INDEX($AC$1004:$AS$1004,1,MATCH(COLUMNS($AC$1006:AS1006),$AC$1006:$AS$1006,0)))),"Fix")))</f>
        <v xml:space="preserve"> </v>
      </c>
      <c r="V272">
        <v>271</v>
      </c>
      <c r="W272">
        <v>100272</v>
      </c>
      <c r="X272">
        <v>272</v>
      </c>
      <c r="Y272" t="b">
        <f t="shared" si="4"/>
        <v>1</v>
      </c>
      <c r="Z272" t="b">
        <f>COUNTBLANK(metadata!B272:R272)=COLUMNS(metadata!B272:R272)</f>
        <v>1</v>
      </c>
      <c r="AA272" t="str">
        <v/>
      </c>
      <c r="AC272" t="b">
        <f ca="1"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AD272" t="b">
        <f>IF(metadata!C272="",FALSE,ISNUMBER(VALUE(metadata!C272)))</f>
        <v>0</v>
      </c>
      <c r="AE272" t="b">
        <f>AND(IF(metadata!D272="",FALSE,TRUE),EXACT(metadata!D272,"years"))</f>
        <v>0</v>
      </c>
      <c r="AF272" t="b">
        <f>OR(AND(IF(metadata!E272="",FALSE,TRUE),OR(EXACT(metadata!E272,"not applicable"),EXACT(metadata!E272,"missing: not collected"),EXACT(metadata!E272,"missing: not provided"),EXACT(metadata!E272,"missing: restricted access"))),AND(IF(metadata!E272="",FALSE,ISNUMBER(VALUE(metadata!E272))),metadata!E272&gt;0))</f>
        <v>0</v>
      </c>
      <c r="AG272" t="b">
        <f>AND(IF(metadata!F272="",FALSE,TRUE),EXACT(metadata!F272,"Not applicable"))</f>
        <v>0</v>
      </c>
      <c r="AH272" t="b">
        <f>AND(IF(metadata!G272="",FALSE,TRUE),EXACT(metadata!G272,"urban biome"))</f>
        <v>0</v>
      </c>
      <c r="AI272" t="b">
        <f>AND(IF(metadata!H272="",FALSE,TRUE),EXACT(metadata!H272,"human-associated habitat"))</f>
        <v>0</v>
      </c>
      <c r="AJ272" t="b">
        <f>AND(IF(metadata!I272="",FALSE,TRUE),OR(EXACT(metadata!I272,"human-associated"),EXACT(metadata!I272,"human-skin"),EXACT(metadata!I272,"human-oral"),EXACT(metadata!I272,"human-gut"),EXACT(metadata!I272,"human-vaginal")))</f>
        <v>0</v>
      </c>
      <c r="AK272" t="b">
        <f>IF(metadata!J272="",FALSE,ISNUMBER(VALUE(metadata!J272)))</f>
        <v>0</v>
      </c>
      <c r="AL272" t="b">
        <f>AND(IF(metadata!K272="",FALSE,TRUE),EXACT(metadata!K272,"cm"))</f>
        <v>0</v>
      </c>
      <c r="AM272" t="b">
        <f>AND(IF(metadata!L272="",FALSE,TRUE),EXACT(metadata!L272,"human"))</f>
        <v>0</v>
      </c>
      <c r="AN272" t="b">
        <f>AND(IF(metadata!M272="",FALSE,TRUE),EXACT(metadata!M272,"Homo sapiens"))</f>
        <v>0</v>
      </c>
      <c r="AO272" t="b">
        <f>AND(IF(metadata!N272="",FALSE,TRUE),EXACT(metadata!N272,"9606"))</f>
        <v>0</v>
      </c>
      <c r="AP272" t="b">
        <f>IF(metadata!O272="",FALSE,TRUE)</f>
        <v>0</v>
      </c>
      <c r="AQ272" t="b">
        <f>IF(metadata!P272="",FALSE,TRUE)</f>
        <v>0</v>
      </c>
      <c r="AR272" t="b">
        <f>IF(metadata!Q272="",FALSE,ISNUMBER(VALUE(metadata!Q272)))</f>
        <v>0</v>
      </c>
      <c r="AS272" t="b">
        <f>AND(IF(metadata!R272="",FALSE,TRUE),EXACT(metadata!R272,"kg"))</f>
        <v>0</v>
      </c>
    </row>
    <row r="273" spans="1:45" x14ac:dyDescent="0.2">
      <c r="A273" s="5" t="str">
        <f ca="1">IF(B273=" "," ",HYPERLINK(CONCATENATE("#metadata!",ADDRESS(INDEX($X$2:$X$1001,MATCH(ROWS($V$2:V273),$V$2:$V$1001,0),0),1)),INDEX($AA$2:$AA$1001,MATCH(ROWS($V$2:V273),$V$2:$V$1001,0),0)))</f>
        <v xml:space="preserve"> </v>
      </c>
      <c r="B273" s="4" t="str">
        <f ca="1">IF(OR(INDEX($W$2:$W$1001,MATCH(ROWS($V$2:V273),$V$2:$V$1001,0),1)&gt;=100000,INDEX($AC$1005:$AS$1005,1,MATCH(COLUMNS($AC$1006:AC1006),$AC$1006:$AS$1006,0))&gt;=100000), " ",IF(INDEX($AC$2:$AS$1001,MATCH(ROWS($V$2:V273),$V$2:$V$1001,0),MATCH(COLUMNS($AC$1006:AC1006),$AC$1006:$AS$1006,0)), HYPERLINK("#",""), HYPERLINK(CONCATENATE("#metadata!", ADDRESS(INDEX($X$2:$X$1001,MATCH(ROWS($V$2:V273),$V$2:$V$1001,0),0), INDEX($AC$1004:$AS$1004,1,MATCH(COLUMNS($AC$1006:AC1006),$AC$1006:$AS$1006,0)))),"Fix")))</f>
        <v xml:space="preserve"> </v>
      </c>
      <c r="C273" s="4" t="str">
        <f ca="1">IF(OR(INDEX($W$2:$W$1001,MATCH(ROWS($V$2:V273),$V$2:$V$1001,0),1)&gt;=100000,INDEX($AC$1005:$AS$1005,1,MATCH(COLUMNS($AC$1006:AD1006),$AC$1006:$AS$1006,0))&gt;=100000), " ",IF(INDEX($AC$2:$AS$1001,MATCH(ROWS($V$2:V273),$V$2:$V$1001,0),MATCH(COLUMNS($AC$1006:AD1006),$AC$1006:$AS$1006,0)), HYPERLINK("#",""), HYPERLINK(CONCATENATE("#metadata!", ADDRESS(INDEX($X$2:$X$1001,MATCH(ROWS($V$2:V273),$V$2:$V$1001,0),0), INDEX($AC$1004:$AS$1004,1,MATCH(COLUMNS($AC$1006:AD1006),$AC$1006:$AS$1006,0)))),"Fix")))</f>
        <v xml:space="preserve"> </v>
      </c>
      <c r="D273" s="4" t="str">
        <f ca="1">IF(OR(INDEX($W$2:$W$1001,MATCH(ROWS($V$2:V273),$V$2:$V$1001,0),1)&gt;=100000,INDEX($AC$1005:$AS$1005,1,MATCH(COLUMNS($AC$1006:AE1006),$AC$1006:$AS$1006,0))&gt;=100000), " ",IF(INDEX($AC$2:$AS$1001,MATCH(ROWS($V$2:V273),$V$2:$V$1001,0),MATCH(COLUMNS($AC$1006:AE1006),$AC$1006:$AS$1006,0)), HYPERLINK("#",""), HYPERLINK(CONCATENATE("#metadata!", ADDRESS(INDEX($X$2:$X$1001,MATCH(ROWS($V$2:V273),$V$2:$V$1001,0),0), INDEX($AC$1004:$AS$1004,1,MATCH(COLUMNS($AC$1006:AE1006),$AC$1006:$AS$1006,0)))),"Fix")))</f>
        <v xml:space="preserve"> </v>
      </c>
      <c r="E273" s="4" t="str">
        <f ca="1">IF(OR(INDEX($W$2:$W$1001,MATCH(ROWS($V$2:V273),$V$2:$V$1001,0),1)&gt;=100000,INDEX($AC$1005:$AS$1005,1,MATCH(COLUMNS($AC$1006:AF1006),$AC$1006:$AS$1006,0))&gt;=100000), " ",IF(INDEX($AC$2:$AS$1001,MATCH(ROWS($V$2:V273),$V$2:$V$1001,0),MATCH(COLUMNS($AC$1006:AF1006),$AC$1006:$AS$1006,0)), HYPERLINK("#",""), HYPERLINK(CONCATENATE("#metadata!", ADDRESS(INDEX($X$2:$X$1001,MATCH(ROWS($V$2:V273),$V$2:$V$1001,0),0), INDEX($AC$1004:$AS$1004,1,MATCH(COLUMNS($AC$1006:AF1006),$AC$1006:$AS$1006,0)))),"Fix")))</f>
        <v xml:space="preserve"> </v>
      </c>
      <c r="F273" s="4" t="str">
        <f ca="1">IF(OR(INDEX($W$2:$W$1001,MATCH(ROWS($V$2:V273),$V$2:$V$1001,0),1)&gt;=100000,INDEX($AC$1005:$AS$1005,1,MATCH(COLUMNS($AC$1006:AG1006),$AC$1006:$AS$1006,0))&gt;=100000), " ",IF(INDEX($AC$2:$AS$1001,MATCH(ROWS($V$2:V273),$V$2:$V$1001,0),MATCH(COLUMNS($AC$1006:AG1006),$AC$1006:$AS$1006,0)), HYPERLINK("#",""), HYPERLINK(CONCATENATE("#metadata!", ADDRESS(INDEX($X$2:$X$1001,MATCH(ROWS($V$2:V273),$V$2:$V$1001,0),0), INDEX($AC$1004:$AS$1004,1,MATCH(COLUMNS($AC$1006:AG1006),$AC$1006:$AS$1006,0)))),"Fix")))</f>
        <v xml:space="preserve"> </v>
      </c>
      <c r="G273" s="4" t="str">
        <f ca="1">IF(OR(INDEX($W$2:$W$1001,MATCH(ROWS($V$2:V273),$V$2:$V$1001,0),1)&gt;=100000,INDEX($AC$1005:$AS$1005,1,MATCH(COLUMNS($AC$1006:AH1006),$AC$1006:$AS$1006,0))&gt;=100000), " ",IF(INDEX($AC$2:$AS$1001,MATCH(ROWS($V$2:V273),$V$2:$V$1001,0),MATCH(COLUMNS($AC$1006:AH1006),$AC$1006:$AS$1006,0)), HYPERLINK("#",""), HYPERLINK(CONCATENATE("#metadata!", ADDRESS(INDEX($X$2:$X$1001,MATCH(ROWS($V$2:V273),$V$2:$V$1001,0),0), INDEX($AC$1004:$AS$1004,1,MATCH(COLUMNS($AC$1006:AH1006),$AC$1006:$AS$1006,0)))),"Fix")))</f>
        <v xml:space="preserve"> </v>
      </c>
      <c r="H273" s="4" t="str">
        <f ca="1">IF(OR(INDEX($W$2:$W$1001,MATCH(ROWS($V$2:V273),$V$2:$V$1001,0),1)&gt;=100000,INDEX($AC$1005:$AS$1005,1,MATCH(COLUMNS($AC$1006:AI1006),$AC$1006:$AS$1006,0))&gt;=100000), " ",IF(INDEX($AC$2:$AS$1001,MATCH(ROWS($V$2:V273),$V$2:$V$1001,0),MATCH(COLUMNS($AC$1006:AI1006),$AC$1006:$AS$1006,0)), HYPERLINK("#",""), HYPERLINK(CONCATENATE("#metadata!", ADDRESS(INDEX($X$2:$X$1001,MATCH(ROWS($V$2:V273),$V$2:$V$1001,0),0), INDEX($AC$1004:$AS$1004,1,MATCH(COLUMNS($AC$1006:AI1006),$AC$1006:$AS$1006,0)))),"Fix")))</f>
        <v xml:space="preserve"> </v>
      </c>
      <c r="I273" s="4" t="str">
        <f ca="1">IF(OR(INDEX($W$2:$W$1001,MATCH(ROWS($V$2:V273),$V$2:$V$1001,0),1)&gt;=100000,INDEX($AC$1005:$AS$1005,1,MATCH(COLUMNS($AC$1006:AJ1006),$AC$1006:$AS$1006,0))&gt;=100000), " ",IF(INDEX($AC$2:$AS$1001,MATCH(ROWS($V$2:V273),$V$2:$V$1001,0),MATCH(COLUMNS($AC$1006:AJ1006),$AC$1006:$AS$1006,0)), HYPERLINK("#",""), HYPERLINK(CONCATENATE("#metadata!", ADDRESS(INDEX($X$2:$X$1001,MATCH(ROWS($V$2:V273),$V$2:$V$1001,0),0), INDEX($AC$1004:$AS$1004,1,MATCH(COLUMNS($AC$1006:AJ1006),$AC$1006:$AS$1006,0)))),"Fix")))</f>
        <v xml:space="preserve"> </v>
      </c>
      <c r="J273" s="4" t="str">
        <f ca="1">IF(OR(INDEX($W$2:$W$1001,MATCH(ROWS($V$2:V273),$V$2:$V$1001,0),1)&gt;=100000,INDEX($AC$1005:$AS$1005,1,MATCH(COLUMNS($AC$1006:AK1006),$AC$1006:$AS$1006,0))&gt;=100000), " ",IF(INDEX($AC$2:$AS$1001,MATCH(ROWS($V$2:V273),$V$2:$V$1001,0),MATCH(COLUMNS($AC$1006:AK1006),$AC$1006:$AS$1006,0)), HYPERLINK("#",""), HYPERLINK(CONCATENATE("#metadata!", ADDRESS(INDEX($X$2:$X$1001,MATCH(ROWS($V$2:V273),$V$2:$V$1001,0),0), INDEX($AC$1004:$AS$1004,1,MATCH(COLUMNS($AC$1006:AK1006),$AC$1006:$AS$1006,0)))),"Fix")))</f>
        <v xml:space="preserve"> </v>
      </c>
      <c r="K273" s="4" t="str">
        <f ca="1">IF(OR(INDEX($W$2:$W$1001,MATCH(ROWS($V$2:V273),$V$2:$V$1001,0),1)&gt;=100000,INDEX($AC$1005:$AS$1005,1,MATCH(COLUMNS($AC$1006:AL1006),$AC$1006:$AS$1006,0))&gt;=100000), " ",IF(INDEX($AC$2:$AS$1001,MATCH(ROWS($V$2:V273),$V$2:$V$1001,0),MATCH(COLUMNS($AC$1006:AL1006),$AC$1006:$AS$1006,0)), HYPERLINK("#",""), HYPERLINK(CONCATENATE("#metadata!", ADDRESS(INDEX($X$2:$X$1001,MATCH(ROWS($V$2:V273),$V$2:$V$1001,0),0), INDEX($AC$1004:$AS$1004,1,MATCH(COLUMNS($AC$1006:AL1006),$AC$1006:$AS$1006,0)))),"Fix")))</f>
        <v xml:space="preserve"> </v>
      </c>
      <c r="L273" s="4" t="str">
        <f ca="1">IF(OR(INDEX($W$2:$W$1001,MATCH(ROWS($V$2:V273),$V$2:$V$1001,0),1)&gt;=100000,INDEX($AC$1005:$AS$1005,1,MATCH(COLUMNS($AC$1006:AM1006),$AC$1006:$AS$1006,0))&gt;=100000), " ",IF(INDEX($AC$2:$AS$1001,MATCH(ROWS($V$2:V273),$V$2:$V$1001,0),MATCH(COLUMNS($AC$1006:AM1006),$AC$1006:$AS$1006,0)), HYPERLINK("#",""), HYPERLINK(CONCATENATE("#metadata!", ADDRESS(INDEX($X$2:$X$1001,MATCH(ROWS($V$2:V273),$V$2:$V$1001,0),0), INDEX($AC$1004:$AS$1004,1,MATCH(COLUMNS($AC$1006:AM1006),$AC$1006:$AS$1006,0)))),"Fix")))</f>
        <v xml:space="preserve"> </v>
      </c>
      <c r="M273" s="4" t="str">
        <f ca="1">IF(OR(INDEX($W$2:$W$1001,MATCH(ROWS($V$2:V273),$V$2:$V$1001,0),1)&gt;=100000,INDEX($AC$1005:$AS$1005,1,MATCH(COLUMNS($AC$1006:AN1006),$AC$1006:$AS$1006,0))&gt;=100000), " ",IF(INDEX($AC$2:$AS$1001,MATCH(ROWS($V$2:V273),$V$2:$V$1001,0),MATCH(COLUMNS($AC$1006:AN1006),$AC$1006:$AS$1006,0)), HYPERLINK("#",""), HYPERLINK(CONCATENATE("#metadata!", ADDRESS(INDEX($X$2:$X$1001,MATCH(ROWS($V$2:V273),$V$2:$V$1001,0),0), INDEX($AC$1004:$AS$1004,1,MATCH(COLUMNS($AC$1006:AN1006),$AC$1006:$AS$1006,0)))),"Fix")))</f>
        <v xml:space="preserve"> </v>
      </c>
      <c r="N273" s="4" t="str">
        <f ca="1">IF(OR(INDEX($W$2:$W$1001,MATCH(ROWS($V$2:V273),$V$2:$V$1001,0),1)&gt;=100000,INDEX($AC$1005:$AS$1005,1,MATCH(COLUMNS($AC$1006:AO1006),$AC$1006:$AS$1006,0))&gt;=100000), " ",IF(INDEX($AC$2:$AS$1001,MATCH(ROWS($V$2:V273),$V$2:$V$1001,0),MATCH(COLUMNS($AC$1006:AO1006),$AC$1006:$AS$1006,0)), HYPERLINK("#",""), HYPERLINK(CONCATENATE("#metadata!", ADDRESS(INDEX($X$2:$X$1001,MATCH(ROWS($V$2:V273),$V$2:$V$1001,0),0), INDEX($AC$1004:$AS$1004,1,MATCH(COLUMNS($AC$1006:AO1006),$AC$1006:$AS$1006,0)))),"Fix")))</f>
        <v xml:space="preserve"> </v>
      </c>
      <c r="O273" s="4" t="str">
        <f ca="1">IF(OR(INDEX($W$2:$W$1001,MATCH(ROWS($V$2:V273),$V$2:$V$1001,0),1)&gt;=100000,INDEX($AC$1005:$AS$1005,1,MATCH(COLUMNS($AC$1006:AP1006),$AC$1006:$AS$1006,0))&gt;=100000), " ",IF(INDEX($AC$2:$AS$1001,MATCH(ROWS($V$2:V273),$V$2:$V$1001,0),MATCH(COLUMNS($AC$1006:AP1006),$AC$1006:$AS$1006,0)), HYPERLINK("#",""), HYPERLINK(CONCATENATE("#metadata!", ADDRESS(INDEX($X$2:$X$1001,MATCH(ROWS($V$2:V273),$V$2:$V$1001,0),0), INDEX($AC$1004:$AS$1004,1,MATCH(COLUMNS($AC$1006:AP1006),$AC$1006:$AS$1006,0)))),"Fix")))</f>
        <v xml:space="preserve"> </v>
      </c>
      <c r="P273" s="4" t="str">
        <f ca="1">IF(OR(INDEX($W$2:$W$1001,MATCH(ROWS($V$2:V273),$V$2:$V$1001,0),1)&gt;=100000,INDEX($AC$1005:$AS$1005,1,MATCH(COLUMNS($AC$1006:AQ1006),$AC$1006:$AS$1006,0))&gt;=100000), " ",IF(INDEX($AC$2:$AS$1001,MATCH(ROWS($V$2:V273),$V$2:$V$1001,0),MATCH(COLUMNS($AC$1006:AQ1006),$AC$1006:$AS$1006,0)), HYPERLINK("#",""), HYPERLINK(CONCATENATE("#metadata!", ADDRESS(INDEX($X$2:$X$1001,MATCH(ROWS($V$2:V273),$V$2:$V$1001,0),0), INDEX($AC$1004:$AS$1004,1,MATCH(COLUMNS($AC$1006:AQ1006),$AC$1006:$AS$1006,0)))),"Fix")))</f>
        <v xml:space="preserve"> </v>
      </c>
      <c r="Q273" s="4" t="str">
        <f ca="1">IF(OR(INDEX($W$2:$W$1001,MATCH(ROWS($V$2:V273),$V$2:$V$1001,0),1)&gt;=100000,INDEX($AC$1005:$AS$1005,1,MATCH(COLUMNS($AC$1006:AR1006),$AC$1006:$AS$1006,0))&gt;=100000), " ",IF(INDEX($AC$2:$AS$1001,MATCH(ROWS($V$2:V273),$V$2:$V$1001,0),MATCH(COLUMNS($AC$1006:AR1006),$AC$1006:$AS$1006,0)), HYPERLINK("#",""), HYPERLINK(CONCATENATE("#metadata!", ADDRESS(INDEX($X$2:$X$1001,MATCH(ROWS($V$2:V273),$V$2:$V$1001,0),0), INDEX($AC$1004:$AS$1004,1,MATCH(COLUMNS($AC$1006:AR1006),$AC$1006:$AS$1006,0)))),"Fix")))</f>
        <v xml:space="preserve"> </v>
      </c>
      <c r="R273" s="4" t="str">
        <f ca="1">IF(OR(INDEX($W$2:$W$1001,MATCH(ROWS($V$2:V273),$V$2:$V$1001,0),1)&gt;=100000,INDEX($AC$1005:$AS$1005,1,MATCH(COLUMNS($AC$1006:AS1006),$AC$1006:$AS$1006,0))&gt;=100000), " ",IF(INDEX($AC$2:$AS$1001,MATCH(ROWS($V$2:V273),$V$2:$V$1001,0),MATCH(COLUMNS($AC$1006:AS1006),$AC$1006:$AS$1006,0)), HYPERLINK("#",""), HYPERLINK(CONCATENATE("#metadata!", ADDRESS(INDEX($X$2:$X$1001,MATCH(ROWS($V$2:V273),$V$2:$V$1001,0),0), INDEX($AC$1004:$AS$1004,1,MATCH(COLUMNS($AC$1006:AS1006),$AC$1006:$AS$1006,0)))),"Fix")))</f>
        <v xml:space="preserve"> </v>
      </c>
      <c r="V273">
        <v>272</v>
      </c>
      <c r="W273">
        <v>100273</v>
      </c>
      <c r="X273">
        <v>273</v>
      </c>
      <c r="Y273" t="b">
        <f t="shared" si="4"/>
        <v>1</v>
      </c>
      <c r="Z273" t="b">
        <f>COUNTBLANK(metadata!B273:R273)=COLUMNS(metadata!B273:R273)</f>
        <v>1</v>
      </c>
      <c r="AA273" t="str">
        <v/>
      </c>
      <c r="AC273" t="b">
        <f ca="1"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AD273" t="b">
        <f>IF(metadata!C273="",FALSE,ISNUMBER(VALUE(metadata!C273)))</f>
        <v>0</v>
      </c>
      <c r="AE273" t="b">
        <f>AND(IF(metadata!D273="",FALSE,TRUE),EXACT(metadata!D273,"years"))</f>
        <v>0</v>
      </c>
      <c r="AF273" t="b">
        <f>OR(AND(IF(metadata!E273="",FALSE,TRUE),OR(EXACT(metadata!E273,"not applicable"),EXACT(metadata!E273,"missing: not collected"),EXACT(metadata!E273,"missing: not provided"),EXACT(metadata!E273,"missing: restricted access"))),AND(IF(metadata!E273="",FALSE,ISNUMBER(VALUE(metadata!E273))),metadata!E273&gt;0))</f>
        <v>0</v>
      </c>
      <c r="AG273" t="b">
        <f>AND(IF(metadata!F273="",FALSE,TRUE),EXACT(metadata!F273,"Not applicable"))</f>
        <v>0</v>
      </c>
      <c r="AH273" t="b">
        <f>AND(IF(metadata!G273="",FALSE,TRUE),EXACT(metadata!G273,"urban biome"))</f>
        <v>0</v>
      </c>
      <c r="AI273" t="b">
        <f>AND(IF(metadata!H273="",FALSE,TRUE),EXACT(metadata!H273,"human-associated habitat"))</f>
        <v>0</v>
      </c>
      <c r="AJ273" t="b">
        <f>AND(IF(metadata!I273="",FALSE,TRUE),OR(EXACT(metadata!I273,"human-associated"),EXACT(metadata!I273,"human-skin"),EXACT(metadata!I273,"human-oral"),EXACT(metadata!I273,"human-gut"),EXACT(metadata!I273,"human-vaginal")))</f>
        <v>0</v>
      </c>
      <c r="AK273" t="b">
        <f>IF(metadata!J273="",FALSE,ISNUMBER(VALUE(metadata!J273)))</f>
        <v>0</v>
      </c>
      <c r="AL273" t="b">
        <f>AND(IF(metadata!K273="",FALSE,TRUE),EXACT(metadata!K273,"cm"))</f>
        <v>0</v>
      </c>
      <c r="AM273" t="b">
        <f>AND(IF(metadata!L273="",FALSE,TRUE),EXACT(metadata!L273,"human"))</f>
        <v>0</v>
      </c>
      <c r="AN273" t="b">
        <f>AND(IF(metadata!M273="",FALSE,TRUE),EXACT(metadata!M273,"Homo sapiens"))</f>
        <v>0</v>
      </c>
      <c r="AO273" t="b">
        <f>AND(IF(metadata!N273="",FALSE,TRUE),EXACT(metadata!N273,"9606"))</f>
        <v>0</v>
      </c>
      <c r="AP273" t="b">
        <f>IF(metadata!O273="",FALSE,TRUE)</f>
        <v>0</v>
      </c>
      <c r="AQ273" t="b">
        <f>IF(metadata!P273="",FALSE,TRUE)</f>
        <v>0</v>
      </c>
      <c r="AR273" t="b">
        <f>IF(metadata!Q273="",FALSE,ISNUMBER(VALUE(metadata!Q273)))</f>
        <v>0</v>
      </c>
      <c r="AS273" t="b">
        <f>AND(IF(metadata!R273="",FALSE,TRUE),EXACT(metadata!R273,"kg"))</f>
        <v>0</v>
      </c>
    </row>
    <row r="274" spans="1:45" x14ac:dyDescent="0.2">
      <c r="A274" s="5" t="str">
        <f ca="1">IF(B274=" "," ",HYPERLINK(CONCATENATE("#metadata!",ADDRESS(INDEX($X$2:$X$1001,MATCH(ROWS($V$2:V274),$V$2:$V$1001,0),0),1)),INDEX($AA$2:$AA$1001,MATCH(ROWS($V$2:V274),$V$2:$V$1001,0),0)))</f>
        <v xml:space="preserve"> </v>
      </c>
      <c r="B274" s="4" t="str">
        <f ca="1">IF(OR(INDEX($W$2:$W$1001,MATCH(ROWS($V$2:V274),$V$2:$V$1001,0),1)&gt;=100000,INDEX($AC$1005:$AS$1005,1,MATCH(COLUMNS($AC$1006:AC1006),$AC$1006:$AS$1006,0))&gt;=100000), " ",IF(INDEX($AC$2:$AS$1001,MATCH(ROWS($V$2:V274),$V$2:$V$1001,0),MATCH(COLUMNS($AC$1006:AC1006),$AC$1006:$AS$1006,0)), HYPERLINK("#",""), HYPERLINK(CONCATENATE("#metadata!", ADDRESS(INDEX($X$2:$X$1001,MATCH(ROWS($V$2:V274),$V$2:$V$1001,0),0), INDEX($AC$1004:$AS$1004,1,MATCH(COLUMNS($AC$1006:AC1006),$AC$1006:$AS$1006,0)))),"Fix")))</f>
        <v xml:space="preserve"> </v>
      </c>
      <c r="C274" s="4" t="str">
        <f ca="1">IF(OR(INDEX($W$2:$W$1001,MATCH(ROWS($V$2:V274),$V$2:$V$1001,0),1)&gt;=100000,INDEX($AC$1005:$AS$1005,1,MATCH(COLUMNS($AC$1006:AD1006),$AC$1006:$AS$1006,0))&gt;=100000), " ",IF(INDEX($AC$2:$AS$1001,MATCH(ROWS($V$2:V274),$V$2:$V$1001,0),MATCH(COLUMNS($AC$1006:AD1006),$AC$1006:$AS$1006,0)), HYPERLINK("#",""), HYPERLINK(CONCATENATE("#metadata!", ADDRESS(INDEX($X$2:$X$1001,MATCH(ROWS($V$2:V274),$V$2:$V$1001,0),0), INDEX($AC$1004:$AS$1004,1,MATCH(COLUMNS($AC$1006:AD1006),$AC$1006:$AS$1006,0)))),"Fix")))</f>
        <v xml:space="preserve"> </v>
      </c>
      <c r="D274" s="4" t="str">
        <f ca="1">IF(OR(INDEX($W$2:$W$1001,MATCH(ROWS($V$2:V274),$V$2:$V$1001,0),1)&gt;=100000,INDEX($AC$1005:$AS$1005,1,MATCH(COLUMNS($AC$1006:AE1006),$AC$1006:$AS$1006,0))&gt;=100000), " ",IF(INDEX($AC$2:$AS$1001,MATCH(ROWS($V$2:V274),$V$2:$V$1001,0),MATCH(COLUMNS($AC$1006:AE1006),$AC$1006:$AS$1006,0)), HYPERLINK("#",""), HYPERLINK(CONCATENATE("#metadata!", ADDRESS(INDEX($X$2:$X$1001,MATCH(ROWS($V$2:V274),$V$2:$V$1001,0),0), INDEX($AC$1004:$AS$1004,1,MATCH(COLUMNS($AC$1006:AE1006),$AC$1006:$AS$1006,0)))),"Fix")))</f>
        <v xml:space="preserve"> </v>
      </c>
      <c r="E274" s="4" t="str">
        <f ca="1">IF(OR(INDEX($W$2:$W$1001,MATCH(ROWS($V$2:V274),$V$2:$V$1001,0),1)&gt;=100000,INDEX($AC$1005:$AS$1005,1,MATCH(COLUMNS($AC$1006:AF1006),$AC$1006:$AS$1006,0))&gt;=100000), " ",IF(INDEX($AC$2:$AS$1001,MATCH(ROWS($V$2:V274),$V$2:$V$1001,0),MATCH(COLUMNS($AC$1006:AF1006),$AC$1006:$AS$1006,0)), HYPERLINK("#",""), HYPERLINK(CONCATENATE("#metadata!", ADDRESS(INDEX($X$2:$X$1001,MATCH(ROWS($V$2:V274),$V$2:$V$1001,0),0), INDEX($AC$1004:$AS$1004,1,MATCH(COLUMNS($AC$1006:AF1006),$AC$1006:$AS$1006,0)))),"Fix")))</f>
        <v xml:space="preserve"> </v>
      </c>
      <c r="F274" s="4" t="str">
        <f ca="1">IF(OR(INDEX($W$2:$W$1001,MATCH(ROWS($V$2:V274),$V$2:$V$1001,0),1)&gt;=100000,INDEX($AC$1005:$AS$1005,1,MATCH(COLUMNS($AC$1006:AG1006),$AC$1006:$AS$1006,0))&gt;=100000), " ",IF(INDEX($AC$2:$AS$1001,MATCH(ROWS($V$2:V274),$V$2:$V$1001,0),MATCH(COLUMNS($AC$1006:AG1006),$AC$1006:$AS$1006,0)), HYPERLINK("#",""), HYPERLINK(CONCATENATE("#metadata!", ADDRESS(INDEX($X$2:$X$1001,MATCH(ROWS($V$2:V274),$V$2:$V$1001,0),0), INDEX($AC$1004:$AS$1004,1,MATCH(COLUMNS($AC$1006:AG1006),$AC$1006:$AS$1006,0)))),"Fix")))</f>
        <v xml:space="preserve"> </v>
      </c>
      <c r="G274" s="4" t="str">
        <f ca="1">IF(OR(INDEX($W$2:$W$1001,MATCH(ROWS($V$2:V274),$V$2:$V$1001,0),1)&gt;=100000,INDEX($AC$1005:$AS$1005,1,MATCH(COLUMNS($AC$1006:AH1006),$AC$1006:$AS$1006,0))&gt;=100000), " ",IF(INDEX($AC$2:$AS$1001,MATCH(ROWS($V$2:V274),$V$2:$V$1001,0),MATCH(COLUMNS($AC$1006:AH1006),$AC$1006:$AS$1006,0)), HYPERLINK("#",""), HYPERLINK(CONCATENATE("#metadata!", ADDRESS(INDEX($X$2:$X$1001,MATCH(ROWS($V$2:V274),$V$2:$V$1001,0),0), INDEX($AC$1004:$AS$1004,1,MATCH(COLUMNS($AC$1006:AH1006),$AC$1006:$AS$1006,0)))),"Fix")))</f>
        <v xml:space="preserve"> </v>
      </c>
      <c r="H274" s="4" t="str">
        <f ca="1">IF(OR(INDEX($W$2:$W$1001,MATCH(ROWS($V$2:V274),$V$2:$V$1001,0),1)&gt;=100000,INDEX($AC$1005:$AS$1005,1,MATCH(COLUMNS($AC$1006:AI1006),$AC$1006:$AS$1006,0))&gt;=100000), " ",IF(INDEX($AC$2:$AS$1001,MATCH(ROWS($V$2:V274),$V$2:$V$1001,0),MATCH(COLUMNS($AC$1006:AI1006),$AC$1006:$AS$1006,0)), HYPERLINK("#",""), HYPERLINK(CONCATENATE("#metadata!", ADDRESS(INDEX($X$2:$X$1001,MATCH(ROWS($V$2:V274),$V$2:$V$1001,0),0), INDEX($AC$1004:$AS$1004,1,MATCH(COLUMNS($AC$1006:AI1006),$AC$1006:$AS$1006,0)))),"Fix")))</f>
        <v xml:space="preserve"> </v>
      </c>
      <c r="I274" s="4" t="str">
        <f ca="1">IF(OR(INDEX($W$2:$W$1001,MATCH(ROWS($V$2:V274),$V$2:$V$1001,0),1)&gt;=100000,INDEX($AC$1005:$AS$1005,1,MATCH(COLUMNS($AC$1006:AJ1006),$AC$1006:$AS$1006,0))&gt;=100000), " ",IF(INDEX($AC$2:$AS$1001,MATCH(ROWS($V$2:V274),$V$2:$V$1001,0),MATCH(COLUMNS($AC$1006:AJ1006),$AC$1006:$AS$1006,0)), HYPERLINK("#",""), HYPERLINK(CONCATENATE("#metadata!", ADDRESS(INDEX($X$2:$X$1001,MATCH(ROWS($V$2:V274),$V$2:$V$1001,0),0), INDEX($AC$1004:$AS$1004,1,MATCH(COLUMNS($AC$1006:AJ1006),$AC$1006:$AS$1006,0)))),"Fix")))</f>
        <v xml:space="preserve"> </v>
      </c>
      <c r="J274" s="4" t="str">
        <f ca="1">IF(OR(INDEX($W$2:$W$1001,MATCH(ROWS($V$2:V274),$V$2:$V$1001,0),1)&gt;=100000,INDEX($AC$1005:$AS$1005,1,MATCH(COLUMNS($AC$1006:AK1006),$AC$1006:$AS$1006,0))&gt;=100000), " ",IF(INDEX($AC$2:$AS$1001,MATCH(ROWS($V$2:V274),$V$2:$V$1001,0),MATCH(COLUMNS($AC$1006:AK1006),$AC$1006:$AS$1006,0)), HYPERLINK("#",""), HYPERLINK(CONCATENATE("#metadata!", ADDRESS(INDEX($X$2:$X$1001,MATCH(ROWS($V$2:V274),$V$2:$V$1001,0),0), INDEX($AC$1004:$AS$1004,1,MATCH(COLUMNS($AC$1006:AK1006),$AC$1006:$AS$1006,0)))),"Fix")))</f>
        <v xml:space="preserve"> </v>
      </c>
      <c r="K274" s="4" t="str">
        <f ca="1">IF(OR(INDEX($W$2:$W$1001,MATCH(ROWS($V$2:V274),$V$2:$V$1001,0),1)&gt;=100000,INDEX($AC$1005:$AS$1005,1,MATCH(COLUMNS($AC$1006:AL1006),$AC$1006:$AS$1006,0))&gt;=100000), " ",IF(INDEX($AC$2:$AS$1001,MATCH(ROWS($V$2:V274),$V$2:$V$1001,0),MATCH(COLUMNS($AC$1006:AL1006),$AC$1006:$AS$1006,0)), HYPERLINK("#",""), HYPERLINK(CONCATENATE("#metadata!", ADDRESS(INDEX($X$2:$X$1001,MATCH(ROWS($V$2:V274),$V$2:$V$1001,0),0), INDEX($AC$1004:$AS$1004,1,MATCH(COLUMNS($AC$1006:AL1006),$AC$1006:$AS$1006,0)))),"Fix")))</f>
        <v xml:space="preserve"> </v>
      </c>
      <c r="L274" s="4" t="str">
        <f ca="1">IF(OR(INDEX($W$2:$W$1001,MATCH(ROWS($V$2:V274),$V$2:$V$1001,0),1)&gt;=100000,INDEX($AC$1005:$AS$1005,1,MATCH(COLUMNS($AC$1006:AM1006),$AC$1006:$AS$1006,0))&gt;=100000), " ",IF(INDEX($AC$2:$AS$1001,MATCH(ROWS($V$2:V274),$V$2:$V$1001,0),MATCH(COLUMNS($AC$1006:AM1006),$AC$1006:$AS$1006,0)), HYPERLINK("#",""), HYPERLINK(CONCATENATE("#metadata!", ADDRESS(INDEX($X$2:$X$1001,MATCH(ROWS($V$2:V274),$V$2:$V$1001,0),0), INDEX($AC$1004:$AS$1004,1,MATCH(COLUMNS($AC$1006:AM1006),$AC$1006:$AS$1006,0)))),"Fix")))</f>
        <v xml:space="preserve"> </v>
      </c>
      <c r="M274" s="4" t="str">
        <f ca="1">IF(OR(INDEX($W$2:$W$1001,MATCH(ROWS($V$2:V274),$V$2:$V$1001,0),1)&gt;=100000,INDEX($AC$1005:$AS$1005,1,MATCH(COLUMNS($AC$1006:AN1006),$AC$1006:$AS$1006,0))&gt;=100000), " ",IF(INDEX($AC$2:$AS$1001,MATCH(ROWS($V$2:V274),$V$2:$V$1001,0),MATCH(COLUMNS($AC$1006:AN1006),$AC$1006:$AS$1006,0)), HYPERLINK("#",""), HYPERLINK(CONCATENATE("#metadata!", ADDRESS(INDEX($X$2:$X$1001,MATCH(ROWS($V$2:V274),$V$2:$V$1001,0),0), INDEX($AC$1004:$AS$1004,1,MATCH(COLUMNS($AC$1006:AN1006),$AC$1006:$AS$1006,0)))),"Fix")))</f>
        <v xml:space="preserve"> </v>
      </c>
      <c r="N274" s="4" t="str">
        <f ca="1">IF(OR(INDEX($W$2:$W$1001,MATCH(ROWS($V$2:V274),$V$2:$V$1001,0),1)&gt;=100000,INDEX($AC$1005:$AS$1005,1,MATCH(COLUMNS($AC$1006:AO1006),$AC$1006:$AS$1006,0))&gt;=100000), " ",IF(INDEX($AC$2:$AS$1001,MATCH(ROWS($V$2:V274),$V$2:$V$1001,0),MATCH(COLUMNS($AC$1006:AO1006),$AC$1006:$AS$1006,0)), HYPERLINK("#",""), HYPERLINK(CONCATENATE("#metadata!", ADDRESS(INDEX($X$2:$X$1001,MATCH(ROWS($V$2:V274),$V$2:$V$1001,0),0), INDEX($AC$1004:$AS$1004,1,MATCH(COLUMNS($AC$1006:AO1006),$AC$1006:$AS$1006,0)))),"Fix")))</f>
        <v xml:space="preserve"> </v>
      </c>
      <c r="O274" s="4" t="str">
        <f ca="1">IF(OR(INDEX($W$2:$W$1001,MATCH(ROWS($V$2:V274),$V$2:$V$1001,0),1)&gt;=100000,INDEX($AC$1005:$AS$1005,1,MATCH(COLUMNS($AC$1006:AP1006),$AC$1006:$AS$1006,0))&gt;=100000), " ",IF(INDEX($AC$2:$AS$1001,MATCH(ROWS($V$2:V274),$V$2:$V$1001,0),MATCH(COLUMNS($AC$1006:AP1006),$AC$1006:$AS$1006,0)), HYPERLINK("#",""), HYPERLINK(CONCATENATE("#metadata!", ADDRESS(INDEX($X$2:$X$1001,MATCH(ROWS($V$2:V274),$V$2:$V$1001,0),0), INDEX($AC$1004:$AS$1004,1,MATCH(COLUMNS($AC$1006:AP1006),$AC$1006:$AS$1006,0)))),"Fix")))</f>
        <v xml:space="preserve"> </v>
      </c>
      <c r="P274" s="4" t="str">
        <f ca="1">IF(OR(INDEX($W$2:$W$1001,MATCH(ROWS($V$2:V274),$V$2:$V$1001,0),1)&gt;=100000,INDEX($AC$1005:$AS$1005,1,MATCH(COLUMNS($AC$1006:AQ1006),$AC$1006:$AS$1006,0))&gt;=100000), " ",IF(INDEX($AC$2:$AS$1001,MATCH(ROWS($V$2:V274),$V$2:$V$1001,0),MATCH(COLUMNS($AC$1006:AQ1006),$AC$1006:$AS$1006,0)), HYPERLINK("#",""), HYPERLINK(CONCATENATE("#metadata!", ADDRESS(INDEX($X$2:$X$1001,MATCH(ROWS($V$2:V274),$V$2:$V$1001,0),0), INDEX($AC$1004:$AS$1004,1,MATCH(COLUMNS($AC$1006:AQ1006),$AC$1006:$AS$1006,0)))),"Fix")))</f>
        <v xml:space="preserve"> </v>
      </c>
      <c r="Q274" s="4" t="str">
        <f ca="1">IF(OR(INDEX($W$2:$W$1001,MATCH(ROWS($V$2:V274),$V$2:$V$1001,0),1)&gt;=100000,INDEX($AC$1005:$AS$1005,1,MATCH(COLUMNS($AC$1006:AR1006),$AC$1006:$AS$1006,0))&gt;=100000), " ",IF(INDEX($AC$2:$AS$1001,MATCH(ROWS($V$2:V274),$V$2:$V$1001,0),MATCH(COLUMNS($AC$1006:AR1006),$AC$1006:$AS$1006,0)), HYPERLINK("#",""), HYPERLINK(CONCATENATE("#metadata!", ADDRESS(INDEX($X$2:$X$1001,MATCH(ROWS($V$2:V274),$V$2:$V$1001,0),0), INDEX($AC$1004:$AS$1004,1,MATCH(COLUMNS($AC$1006:AR1006),$AC$1006:$AS$1006,0)))),"Fix")))</f>
        <v xml:space="preserve"> </v>
      </c>
      <c r="R274" s="4" t="str">
        <f ca="1">IF(OR(INDEX($W$2:$W$1001,MATCH(ROWS($V$2:V274),$V$2:$V$1001,0),1)&gt;=100000,INDEX($AC$1005:$AS$1005,1,MATCH(COLUMNS($AC$1006:AS1006),$AC$1006:$AS$1006,0))&gt;=100000), " ",IF(INDEX($AC$2:$AS$1001,MATCH(ROWS($V$2:V274),$V$2:$V$1001,0),MATCH(COLUMNS($AC$1006:AS1006),$AC$1006:$AS$1006,0)), HYPERLINK("#",""), HYPERLINK(CONCATENATE("#metadata!", ADDRESS(INDEX($X$2:$X$1001,MATCH(ROWS($V$2:V274),$V$2:$V$1001,0),0), INDEX($AC$1004:$AS$1004,1,MATCH(COLUMNS($AC$1006:AS1006),$AC$1006:$AS$1006,0)))),"Fix")))</f>
        <v xml:space="preserve"> </v>
      </c>
      <c r="V274">
        <v>273</v>
      </c>
      <c r="W274">
        <v>100274</v>
      </c>
      <c r="X274">
        <v>274</v>
      </c>
      <c r="Y274" t="b">
        <f t="shared" si="4"/>
        <v>1</v>
      </c>
      <c r="Z274" t="b">
        <f>COUNTBLANK(metadata!B274:R274)=COLUMNS(metadata!B274:R274)</f>
        <v>1</v>
      </c>
      <c r="AA274" t="str">
        <v/>
      </c>
      <c r="AC274" t="b">
        <f ca="1"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AD274" t="b">
        <f>IF(metadata!C274="",FALSE,ISNUMBER(VALUE(metadata!C274)))</f>
        <v>0</v>
      </c>
      <c r="AE274" t="b">
        <f>AND(IF(metadata!D274="",FALSE,TRUE),EXACT(metadata!D274,"years"))</f>
        <v>0</v>
      </c>
      <c r="AF274" t="b">
        <f>OR(AND(IF(metadata!E274="",FALSE,TRUE),OR(EXACT(metadata!E274,"not applicable"),EXACT(metadata!E274,"missing: not collected"),EXACT(metadata!E274,"missing: not provided"),EXACT(metadata!E274,"missing: restricted access"))),AND(IF(metadata!E274="",FALSE,ISNUMBER(VALUE(metadata!E274))),metadata!E274&gt;0))</f>
        <v>0</v>
      </c>
      <c r="AG274" t="b">
        <f>AND(IF(metadata!F274="",FALSE,TRUE),EXACT(metadata!F274,"Not applicable"))</f>
        <v>0</v>
      </c>
      <c r="AH274" t="b">
        <f>AND(IF(metadata!G274="",FALSE,TRUE),EXACT(metadata!G274,"urban biome"))</f>
        <v>0</v>
      </c>
      <c r="AI274" t="b">
        <f>AND(IF(metadata!H274="",FALSE,TRUE),EXACT(metadata!H274,"human-associated habitat"))</f>
        <v>0</v>
      </c>
      <c r="AJ274" t="b">
        <f>AND(IF(metadata!I274="",FALSE,TRUE),OR(EXACT(metadata!I274,"human-associated"),EXACT(metadata!I274,"human-skin"),EXACT(metadata!I274,"human-oral"),EXACT(metadata!I274,"human-gut"),EXACT(metadata!I274,"human-vaginal")))</f>
        <v>0</v>
      </c>
      <c r="AK274" t="b">
        <f>IF(metadata!J274="",FALSE,ISNUMBER(VALUE(metadata!J274)))</f>
        <v>0</v>
      </c>
      <c r="AL274" t="b">
        <f>AND(IF(metadata!K274="",FALSE,TRUE),EXACT(metadata!K274,"cm"))</f>
        <v>0</v>
      </c>
      <c r="AM274" t="b">
        <f>AND(IF(metadata!L274="",FALSE,TRUE),EXACT(metadata!L274,"human"))</f>
        <v>0</v>
      </c>
      <c r="AN274" t="b">
        <f>AND(IF(metadata!M274="",FALSE,TRUE),EXACT(metadata!M274,"Homo sapiens"))</f>
        <v>0</v>
      </c>
      <c r="AO274" t="b">
        <f>AND(IF(metadata!N274="",FALSE,TRUE),EXACT(metadata!N274,"9606"))</f>
        <v>0</v>
      </c>
      <c r="AP274" t="b">
        <f>IF(metadata!O274="",FALSE,TRUE)</f>
        <v>0</v>
      </c>
      <c r="AQ274" t="b">
        <f>IF(metadata!P274="",FALSE,TRUE)</f>
        <v>0</v>
      </c>
      <c r="AR274" t="b">
        <f>IF(metadata!Q274="",FALSE,ISNUMBER(VALUE(metadata!Q274)))</f>
        <v>0</v>
      </c>
      <c r="AS274" t="b">
        <f>AND(IF(metadata!R274="",FALSE,TRUE),EXACT(metadata!R274,"kg"))</f>
        <v>0</v>
      </c>
    </row>
    <row r="275" spans="1:45" x14ac:dyDescent="0.2">
      <c r="A275" s="5" t="str">
        <f ca="1">IF(B275=" "," ",HYPERLINK(CONCATENATE("#metadata!",ADDRESS(INDEX($X$2:$X$1001,MATCH(ROWS($V$2:V275),$V$2:$V$1001,0),0),1)),INDEX($AA$2:$AA$1001,MATCH(ROWS($V$2:V275),$V$2:$V$1001,0),0)))</f>
        <v xml:space="preserve"> </v>
      </c>
      <c r="B275" s="4" t="str">
        <f ca="1">IF(OR(INDEX($W$2:$W$1001,MATCH(ROWS($V$2:V275),$V$2:$V$1001,0),1)&gt;=100000,INDEX($AC$1005:$AS$1005,1,MATCH(COLUMNS($AC$1006:AC1006),$AC$1006:$AS$1006,0))&gt;=100000), " ",IF(INDEX($AC$2:$AS$1001,MATCH(ROWS($V$2:V275),$V$2:$V$1001,0),MATCH(COLUMNS($AC$1006:AC1006),$AC$1006:$AS$1006,0)), HYPERLINK("#",""), HYPERLINK(CONCATENATE("#metadata!", ADDRESS(INDEX($X$2:$X$1001,MATCH(ROWS($V$2:V275),$V$2:$V$1001,0),0), INDEX($AC$1004:$AS$1004,1,MATCH(COLUMNS($AC$1006:AC1006),$AC$1006:$AS$1006,0)))),"Fix")))</f>
        <v xml:space="preserve"> </v>
      </c>
      <c r="C275" s="4" t="str">
        <f ca="1">IF(OR(INDEX($W$2:$W$1001,MATCH(ROWS($V$2:V275),$V$2:$V$1001,0),1)&gt;=100000,INDEX($AC$1005:$AS$1005,1,MATCH(COLUMNS($AC$1006:AD1006),$AC$1006:$AS$1006,0))&gt;=100000), " ",IF(INDEX($AC$2:$AS$1001,MATCH(ROWS($V$2:V275),$V$2:$V$1001,0),MATCH(COLUMNS($AC$1006:AD1006),$AC$1006:$AS$1006,0)), HYPERLINK("#",""), HYPERLINK(CONCATENATE("#metadata!", ADDRESS(INDEX($X$2:$X$1001,MATCH(ROWS($V$2:V275),$V$2:$V$1001,0),0), INDEX($AC$1004:$AS$1004,1,MATCH(COLUMNS($AC$1006:AD1006),$AC$1006:$AS$1006,0)))),"Fix")))</f>
        <v xml:space="preserve"> </v>
      </c>
      <c r="D275" s="4" t="str">
        <f ca="1">IF(OR(INDEX($W$2:$W$1001,MATCH(ROWS($V$2:V275),$V$2:$V$1001,0),1)&gt;=100000,INDEX($AC$1005:$AS$1005,1,MATCH(COLUMNS($AC$1006:AE1006),$AC$1006:$AS$1006,0))&gt;=100000), " ",IF(INDEX($AC$2:$AS$1001,MATCH(ROWS($V$2:V275),$V$2:$V$1001,0),MATCH(COLUMNS($AC$1006:AE1006),$AC$1006:$AS$1006,0)), HYPERLINK("#",""), HYPERLINK(CONCATENATE("#metadata!", ADDRESS(INDEX($X$2:$X$1001,MATCH(ROWS($V$2:V275),$V$2:$V$1001,0),0), INDEX($AC$1004:$AS$1004,1,MATCH(COLUMNS($AC$1006:AE1006),$AC$1006:$AS$1006,0)))),"Fix")))</f>
        <v xml:space="preserve"> </v>
      </c>
      <c r="E275" s="4" t="str">
        <f ca="1">IF(OR(INDEX($W$2:$W$1001,MATCH(ROWS($V$2:V275),$V$2:$V$1001,0),1)&gt;=100000,INDEX($AC$1005:$AS$1005,1,MATCH(COLUMNS($AC$1006:AF1006),$AC$1006:$AS$1006,0))&gt;=100000), " ",IF(INDEX($AC$2:$AS$1001,MATCH(ROWS($V$2:V275),$V$2:$V$1001,0),MATCH(COLUMNS($AC$1006:AF1006),$AC$1006:$AS$1006,0)), HYPERLINK("#",""), HYPERLINK(CONCATENATE("#metadata!", ADDRESS(INDEX($X$2:$X$1001,MATCH(ROWS($V$2:V275),$V$2:$V$1001,0),0), INDEX($AC$1004:$AS$1004,1,MATCH(COLUMNS($AC$1006:AF1006),$AC$1006:$AS$1006,0)))),"Fix")))</f>
        <v xml:space="preserve"> </v>
      </c>
      <c r="F275" s="4" t="str">
        <f ca="1">IF(OR(INDEX($W$2:$W$1001,MATCH(ROWS($V$2:V275),$V$2:$V$1001,0),1)&gt;=100000,INDEX($AC$1005:$AS$1005,1,MATCH(COLUMNS($AC$1006:AG1006),$AC$1006:$AS$1006,0))&gt;=100000), " ",IF(INDEX($AC$2:$AS$1001,MATCH(ROWS($V$2:V275),$V$2:$V$1001,0),MATCH(COLUMNS($AC$1006:AG1006),$AC$1006:$AS$1006,0)), HYPERLINK("#",""), HYPERLINK(CONCATENATE("#metadata!", ADDRESS(INDEX($X$2:$X$1001,MATCH(ROWS($V$2:V275),$V$2:$V$1001,0),0), INDEX($AC$1004:$AS$1004,1,MATCH(COLUMNS($AC$1006:AG1006),$AC$1006:$AS$1006,0)))),"Fix")))</f>
        <v xml:space="preserve"> </v>
      </c>
      <c r="G275" s="4" t="str">
        <f ca="1">IF(OR(INDEX($W$2:$W$1001,MATCH(ROWS($V$2:V275),$V$2:$V$1001,0),1)&gt;=100000,INDEX($AC$1005:$AS$1005,1,MATCH(COLUMNS($AC$1006:AH1006),$AC$1006:$AS$1006,0))&gt;=100000), " ",IF(INDEX($AC$2:$AS$1001,MATCH(ROWS($V$2:V275),$V$2:$V$1001,0),MATCH(COLUMNS($AC$1006:AH1006),$AC$1006:$AS$1006,0)), HYPERLINK("#",""), HYPERLINK(CONCATENATE("#metadata!", ADDRESS(INDEX($X$2:$X$1001,MATCH(ROWS($V$2:V275),$V$2:$V$1001,0),0), INDEX($AC$1004:$AS$1004,1,MATCH(COLUMNS($AC$1006:AH1006),$AC$1006:$AS$1006,0)))),"Fix")))</f>
        <v xml:space="preserve"> </v>
      </c>
      <c r="H275" s="4" t="str">
        <f ca="1">IF(OR(INDEX($W$2:$W$1001,MATCH(ROWS($V$2:V275),$V$2:$V$1001,0),1)&gt;=100000,INDEX($AC$1005:$AS$1005,1,MATCH(COLUMNS($AC$1006:AI1006),$AC$1006:$AS$1006,0))&gt;=100000), " ",IF(INDEX($AC$2:$AS$1001,MATCH(ROWS($V$2:V275),$V$2:$V$1001,0),MATCH(COLUMNS($AC$1006:AI1006),$AC$1006:$AS$1006,0)), HYPERLINK("#",""), HYPERLINK(CONCATENATE("#metadata!", ADDRESS(INDEX($X$2:$X$1001,MATCH(ROWS($V$2:V275),$V$2:$V$1001,0),0), INDEX($AC$1004:$AS$1004,1,MATCH(COLUMNS($AC$1006:AI1006),$AC$1006:$AS$1006,0)))),"Fix")))</f>
        <v xml:space="preserve"> </v>
      </c>
      <c r="I275" s="4" t="str">
        <f ca="1">IF(OR(INDEX($W$2:$W$1001,MATCH(ROWS($V$2:V275),$V$2:$V$1001,0),1)&gt;=100000,INDEX($AC$1005:$AS$1005,1,MATCH(COLUMNS($AC$1006:AJ1006),$AC$1006:$AS$1006,0))&gt;=100000), " ",IF(INDEX($AC$2:$AS$1001,MATCH(ROWS($V$2:V275),$V$2:$V$1001,0),MATCH(COLUMNS($AC$1006:AJ1006),$AC$1006:$AS$1006,0)), HYPERLINK("#",""), HYPERLINK(CONCATENATE("#metadata!", ADDRESS(INDEX($X$2:$X$1001,MATCH(ROWS($V$2:V275),$V$2:$V$1001,0),0), INDEX($AC$1004:$AS$1004,1,MATCH(COLUMNS($AC$1006:AJ1006),$AC$1006:$AS$1006,0)))),"Fix")))</f>
        <v xml:space="preserve"> </v>
      </c>
      <c r="J275" s="4" t="str">
        <f ca="1">IF(OR(INDEX($W$2:$W$1001,MATCH(ROWS($V$2:V275),$V$2:$V$1001,0),1)&gt;=100000,INDEX($AC$1005:$AS$1005,1,MATCH(COLUMNS($AC$1006:AK1006),$AC$1006:$AS$1006,0))&gt;=100000), " ",IF(INDEX($AC$2:$AS$1001,MATCH(ROWS($V$2:V275),$V$2:$V$1001,0),MATCH(COLUMNS($AC$1006:AK1006),$AC$1006:$AS$1006,0)), HYPERLINK("#",""), HYPERLINK(CONCATENATE("#metadata!", ADDRESS(INDEX($X$2:$X$1001,MATCH(ROWS($V$2:V275),$V$2:$V$1001,0),0), INDEX($AC$1004:$AS$1004,1,MATCH(COLUMNS($AC$1006:AK1006),$AC$1006:$AS$1006,0)))),"Fix")))</f>
        <v xml:space="preserve"> </v>
      </c>
      <c r="K275" s="4" t="str">
        <f ca="1">IF(OR(INDEX($W$2:$W$1001,MATCH(ROWS($V$2:V275),$V$2:$V$1001,0),1)&gt;=100000,INDEX($AC$1005:$AS$1005,1,MATCH(COLUMNS($AC$1006:AL1006),$AC$1006:$AS$1006,0))&gt;=100000), " ",IF(INDEX($AC$2:$AS$1001,MATCH(ROWS($V$2:V275),$V$2:$V$1001,0),MATCH(COLUMNS($AC$1006:AL1006),$AC$1006:$AS$1006,0)), HYPERLINK("#",""), HYPERLINK(CONCATENATE("#metadata!", ADDRESS(INDEX($X$2:$X$1001,MATCH(ROWS($V$2:V275),$V$2:$V$1001,0),0), INDEX($AC$1004:$AS$1004,1,MATCH(COLUMNS($AC$1006:AL1006),$AC$1006:$AS$1006,0)))),"Fix")))</f>
        <v xml:space="preserve"> </v>
      </c>
      <c r="L275" s="4" t="str">
        <f ca="1">IF(OR(INDEX($W$2:$W$1001,MATCH(ROWS($V$2:V275),$V$2:$V$1001,0),1)&gt;=100000,INDEX($AC$1005:$AS$1005,1,MATCH(COLUMNS($AC$1006:AM1006),$AC$1006:$AS$1006,0))&gt;=100000), " ",IF(INDEX($AC$2:$AS$1001,MATCH(ROWS($V$2:V275),$V$2:$V$1001,0),MATCH(COLUMNS($AC$1006:AM1006),$AC$1006:$AS$1006,0)), HYPERLINK("#",""), HYPERLINK(CONCATENATE("#metadata!", ADDRESS(INDEX($X$2:$X$1001,MATCH(ROWS($V$2:V275),$V$2:$V$1001,0),0), INDEX($AC$1004:$AS$1004,1,MATCH(COLUMNS($AC$1006:AM1006),$AC$1006:$AS$1006,0)))),"Fix")))</f>
        <v xml:space="preserve"> </v>
      </c>
      <c r="M275" s="4" t="str">
        <f ca="1">IF(OR(INDEX($W$2:$W$1001,MATCH(ROWS($V$2:V275),$V$2:$V$1001,0),1)&gt;=100000,INDEX($AC$1005:$AS$1005,1,MATCH(COLUMNS($AC$1006:AN1006),$AC$1006:$AS$1006,0))&gt;=100000), " ",IF(INDEX($AC$2:$AS$1001,MATCH(ROWS($V$2:V275),$V$2:$V$1001,0),MATCH(COLUMNS($AC$1006:AN1006),$AC$1006:$AS$1006,0)), HYPERLINK("#",""), HYPERLINK(CONCATENATE("#metadata!", ADDRESS(INDEX($X$2:$X$1001,MATCH(ROWS($V$2:V275),$V$2:$V$1001,0),0), INDEX($AC$1004:$AS$1004,1,MATCH(COLUMNS($AC$1006:AN1006),$AC$1006:$AS$1006,0)))),"Fix")))</f>
        <v xml:space="preserve"> </v>
      </c>
      <c r="N275" s="4" t="str">
        <f ca="1">IF(OR(INDEX($W$2:$W$1001,MATCH(ROWS($V$2:V275),$V$2:$V$1001,0),1)&gt;=100000,INDEX($AC$1005:$AS$1005,1,MATCH(COLUMNS($AC$1006:AO1006),$AC$1006:$AS$1006,0))&gt;=100000), " ",IF(INDEX($AC$2:$AS$1001,MATCH(ROWS($V$2:V275),$V$2:$V$1001,0),MATCH(COLUMNS($AC$1006:AO1006),$AC$1006:$AS$1006,0)), HYPERLINK("#",""), HYPERLINK(CONCATENATE("#metadata!", ADDRESS(INDEX($X$2:$X$1001,MATCH(ROWS($V$2:V275),$V$2:$V$1001,0),0), INDEX($AC$1004:$AS$1004,1,MATCH(COLUMNS($AC$1006:AO1006),$AC$1006:$AS$1006,0)))),"Fix")))</f>
        <v xml:space="preserve"> </v>
      </c>
      <c r="O275" s="4" t="str">
        <f ca="1">IF(OR(INDEX($W$2:$W$1001,MATCH(ROWS($V$2:V275),$V$2:$V$1001,0),1)&gt;=100000,INDEX($AC$1005:$AS$1005,1,MATCH(COLUMNS($AC$1006:AP1006),$AC$1006:$AS$1006,0))&gt;=100000), " ",IF(INDEX($AC$2:$AS$1001,MATCH(ROWS($V$2:V275),$V$2:$V$1001,0),MATCH(COLUMNS($AC$1006:AP1006),$AC$1006:$AS$1006,0)), HYPERLINK("#",""), HYPERLINK(CONCATENATE("#metadata!", ADDRESS(INDEX($X$2:$X$1001,MATCH(ROWS($V$2:V275),$V$2:$V$1001,0),0), INDEX($AC$1004:$AS$1004,1,MATCH(COLUMNS($AC$1006:AP1006),$AC$1006:$AS$1006,0)))),"Fix")))</f>
        <v xml:space="preserve"> </v>
      </c>
      <c r="P275" s="4" t="str">
        <f ca="1">IF(OR(INDEX($W$2:$W$1001,MATCH(ROWS($V$2:V275),$V$2:$V$1001,0),1)&gt;=100000,INDEX($AC$1005:$AS$1005,1,MATCH(COLUMNS($AC$1006:AQ1006),$AC$1006:$AS$1006,0))&gt;=100000), " ",IF(INDEX($AC$2:$AS$1001,MATCH(ROWS($V$2:V275),$V$2:$V$1001,0),MATCH(COLUMNS($AC$1006:AQ1006),$AC$1006:$AS$1006,0)), HYPERLINK("#",""), HYPERLINK(CONCATENATE("#metadata!", ADDRESS(INDEX($X$2:$X$1001,MATCH(ROWS($V$2:V275),$V$2:$V$1001,0),0), INDEX($AC$1004:$AS$1004,1,MATCH(COLUMNS($AC$1006:AQ1006),$AC$1006:$AS$1006,0)))),"Fix")))</f>
        <v xml:space="preserve"> </v>
      </c>
      <c r="Q275" s="4" t="str">
        <f ca="1">IF(OR(INDEX($W$2:$W$1001,MATCH(ROWS($V$2:V275),$V$2:$V$1001,0),1)&gt;=100000,INDEX($AC$1005:$AS$1005,1,MATCH(COLUMNS($AC$1006:AR1006),$AC$1006:$AS$1006,0))&gt;=100000), " ",IF(INDEX($AC$2:$AS$1001,MATCH(ROWS($V$2:V275),$V$2:$V$1001,0),MATCH(COLUMNS($AC$1006:AR1006),$AC$1006:$AS$1006,0)), HYPERLINK("#",""), HYPERLINK(CONCATENATE("#metadata!", ADDRESS(INDEX($X$2:$X$1001,MATCH(ROWS($V$2:V275),$V$2:$V$1001,0),0), INDEX($AC$1004:$AS$1004,1,MATCH(COLUMNS($AC$1006:AR1006),$AC$1006:$AS$1006,0)))),"Fix")))</f>
        <v xml:space="preserve"> </v>
      </c>
      <c r="R275" s="4" t="str">
        <f ca="1">IF(OR(INDEX($W$2:$W$1001,MATCH(ROWS($V$2:V275),$V$2:$V$1001,0),1)&gt;=100000,INDEX($AC$1005:$AS$1005,1,MATCH(COLUMNS($AC$1006:AS1006),$AC$1006:$AS$1006,0))&gt;=100000), " ",IF(INDEX($AC$2:$AS$1001,MATCH(ROWS($V$2:V275),$V$2:$V$1001,0),MATCH(COLUMNS($AC$1006:AS1006),$AC$1006:$AS$1006,0)), HYPERLINK("#",""), HYPERLINK(CONCATENATE("#metadata!", ADDRESS(INDEX($X$2:$X$1001,MATCH(ROWS($V$2:V275),$V$2:$V$1001,0),0), INDEX($AC$1004:$AS$1004,1,MATCH(COLUMNS($AC$1006:AS1006),$AC$1006:$AS$1006,0)))),"Fix")))</f>
        <v xml:space="preserve"> </v>
      </c>
      <c r="V275">
        <v>274</v>
      </c>
      <c r="W275">
        <v>100275</v>
      </c>
      <c r="X275">
        <v>275</v>
      </c>
      <c r="Y275" t="b">
        <f t="shared" si="4"/>
        <v>1</v>
      </c>
      <c r="Z275" t="b">
        <f>COUNTBLANK(metadata!B275:R275)=COLUMNS(metadata!B275:R275)</f>
        <v>1</v>
      </c>
      <c r="AA275" t="str">
        <v/>
      </c>
      <c r="AC275" t="b">
        <f ca="1"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AD275" t="b">
        <f>IF(metadata!C275="",FALSE,ISNUMBER(VALUE(metadata!C275)))</f>
        <v>0</v>
      </c>
      <c r="AE275" t="b">
        <f>AND(IF(metadata!D275="",FALSE,TRUE),EXACT(metadata!D275,"years"))</f>
        <v>0</v>
      </c>
      <c r="AF275" t="b">
        <f>OR(AND(IF(metadata!E275="",FALSE,TRUE),OR(EXACT(metadata!E275,"not applicable"),EXACT(metadata!E275,"missing: not collected"),EXACT(metadata!E275,"missing: not provided"),EXACT(metadata!E275,"missing: restricted access"))),AND(IF(metadata!E275="",FALSE,ISNUMBER(VALUE(metadata!E275))),metadata!E275&gt;0))</f>
        <v>0</v>
      </c>
      <c r="AG275" t="b">
        <f>AND(IF(metadata!F275="",FALSE,TRUE),EXACT(metadata!F275,"Not applicable"))</f>
        <v>0</v>
      </c>
      <c r="AH275" t="b">
        <f>AND(IF(metadata!G275="",FALSE,TRUE),EXACT(metadata!G275,"urban biome"))</f>
        <v>0</v>
      </c>
      <c r="AI275" t="b">
        <f>AND(IF(metadata!H275="",FALSE,TRUE),EXACT(metadata!H275,"human-associated habitat"))</f>
        <v>0</v>
      </c>
      <c r="AJ275" t="b">
        <f>AND(IF(metadata!I275="",FALSE,TRUE),OR(EXACT(metadata!I275,"human-associated"),EXACT(metadata!I275,"human-skin"),EXACT(metadata!I275,"human-oral"),EXACT(metadata!I275,"human-gut"),EXACT(metadata!I275,"human-vaginal")))</f>
        <v>0</v>
      </c>
      <c r="AK275" t="b">
        <f>IF(metadata!J275="",FALSE,ISNUMBER(VALUE(metadata!J275)))</f>
        <v>0</v>
      </c>
      <c r="AL275" t="b">
        <f>AND(IF(metadata!K275="",FALSE,TRUE),EXACT(metadata!K275,"cm"))</f>
        <v>0</v>
      </c>
      <c r="AM275" t="b">
        <f>AND(IF(metadata!L275="",FALSE,TRUE),EXACT(metadata!L275,"human"))</f>
        <v>0</v>
      </c>
      <c r="AN275" t="b">
        <f>AND(IF(metadata!M275="",FALSE,TRUE),EXACT(metadata!M275,"Homo sapiens"))</f>
        <v>0</v>
      </c>
      <c r="AO275" t="b">
        <f>AND(IF(metadata!N275="",FALSE,TRUE),EXACT(metadata!N275,"9606"))</f>
        <v>0</v>
      </c>
      <c r="AP275" t="b">
        <f>IF(metadata!O275="",FALSE,TRUE)</f>
        <v>0</v>
      </c>
      <c r="AQ275" t="b">
        <f>IF(metadata!P275="",FALSE,TRUE)</f>
        <v>0</v>
      </c>
      <c r="AR275" t="b">
        <f>IF(metadata!Q275="",FALSE,ISNUMBER(VALUE(metadata!Q275)))</f>
        <v>0</v>
      </c>
      <c r="AS275" t="b">
        <f>AND(IF(metadata!R275="",FALSE,TRUE),EXACT(metadata!R275,"kg"))</f>
        <v>0</v>
      </c>
    </row>
    <row r="276" spans="1:45" x14ac:dyDescent="0.2">
      <c r="A276" s="5" t="str">
        <f ca="1">IF(B276=" "," ",HYPERLINK(CONCATENATE("#metadata!",ADDRESS(INDEX($X$2:$X$1001,MATCH(ROWS($V$2:V276),$V$2:$V$1001,0),0),1)),INDEX($AA$2:$AA$1001,MATCH(ROWS($V$2:V276),$V$2:$V$1001,0),0)))</f>
        <v xml:space="preserve"> </v>
      </c>
      <c r="B276" s="4" t="str">
        <f ca="1">IF(OR(INDEX($W$2:$W$1001,MATCH(ROWS($V$2:V276),$V$2:$V$1001,0),1)&gt;=100000,INDEX($AC$1005:$AS$1005,1,MATCH(COLUMNS($AC$1006:AC1006),$AC$1006:$AS$1006,0))&gt;=100000), " ",IF(INDEX($AC$2:$AS$1001,MATCH(ROWS($V$2:V276),$V$2:$V$1001,0),MATCH(COLUMNS($AC$1006:AC1006),$AC$1006:$AS$1006,0)), HYPERLINK("#",""), HYPERLINK(CONCATENATE("#metadata!", ADDRESS(INDEX($X$2:$X$1001,MATCH(ROWS($V$2:V276),$V$2:$V$1001,0),0), INDEX($AC$1004:$AS$1004,1,MATCH(COLUMNS($AC$1006:AC1006),$AC$1006:$AS$1006,0)))),"Fix")))</f>
        <v xml:space="preserve"> </v>
      </c>
      <c r="C276" s="4" t="str">
        <f ca="1">IF(OR(INDEX($W$2:$W$1001,MATCH(ROWS($V$2:V276),$V$2:$V$1001,0),1)&gt;=100000,INDEX($AC$1005:$AS$1005,1,MATCH(COLUMNS($AC$1006:AD1006),$AC$1006:$AS$1006,0))&gt;=100000), " ",IF(INDEX($AC$2:$AS$1001,MATCH(ROWS($V$2:V276),$V$2:$V$1001,0),MATCH(COLUMNS($AC$1006:AD1006),$AC$1006:$AS$1006,0)), HYPERLINK("#",""), HYPERLINK(CONCATENATE("#metadata!", ADDRESS(INDEX($X$2:$X$1001,MATCH(ROWS($V$2:V276),$V$2:$V$1001,0),0), INDEX($AC$1004:$AS$1004,1,MATCH(COLUMNS($AC$1006:AD1006),$AC$1006:$AS$1006,0)))),"Fix")))</f>
        <v xml:space="preserve"> </v>
      </c>
      <c r="D276" s="4" t="str">
        <f ca="1">IF(OR(INDEX($W$2:$W$1001,MATCH(ROWS($V$2:V276),$V$2:$V$1001,0),1)&gt;=100000,INDEX($AC$1005:$AS$1005,1,MATCH(COLUMNS($AC$1006:AE1006),$AC$1006:$AS$1006,0))&gt;=100000), " ",IF(INDEX($AC$2:$AS$1001,MATCH(ROWS($V$2:V276),$V$2:$V$1001,0),MATCH(COLUMNS($AC$1006:AE1006),$AC$1006:$AS$1006,0)), HYPERLINK("#",""), HYPERLINK(CONCATENATE("#metadata!", ADDRESS(INDEX($X$2:$X$1001,MATCH(ROWS($V$2:V276),$V$2:$V$1001,0),0), INDEX($AC$1004:$AS$1004,1,MATCH(COLUMNS($AC$1006:AE1006),$AC$1006:$AS$1006,0)))),"Fix")))</f>
        <v xml:space="preserve"> </v>
      </c>
      <c r="E276" s="4" t="str">
        <f ca="1">IF(OR(INDEX($W$2:$W$1001,MATCH(ROWS($V$2:V276),$V$2:$V$1001,0),1)&gt;=100000,INDEX($AC$1005:$AS$1005,1,MATCH(COLUMNS($AC$1006:AF1006),$AC$1006:$AS$1006,0))&gt;=100000), " ",IF(INDEX($AC$2:$AS$1001,MATCH(ROWS($V$2:V276),$V$2:$V$1001,0),MATCH(COLUMNS($AC$1006:AF1006),$AC$1006:$AS$1006,0)), HYPERLINK("#",""), HYPERLINK(CONCATENATE("#metadata!", ADDRESS(INDEX($X$2:$X$1001,MATCH(ROWS($V$2:V276),$V$2:$V$1001,0),0), INDEX($AC$1004:$AS$1004,1,MATCH(COLUMNS($AC$1006:AF1006),$AC$1006:$AS$1006,0)))),"Fix")))</f>
        <v xml:space="preserve"> </v>
      </c>
      <c r="F276" s="4" t="str">
        <f ca="1">IF(OR(INDEX($W$2:$W$1001,MATCH(ROWS($V$2:V276),$V$2:$V$1001,0),1)&gt;=100000,INDEX($AC$1005:$AS$1005,1,MATCH(COLUMNS($AC$1006:AG1006),$AC$1006:$AS$1006,0))&gt;=100000), " ",IF(INDEX($AC$2:$AS$1001,MATCH(ROWS($V$2:V276),$V$2:$V$1001,0),MATCH(COLUMNS($AC$1006:AG1006),$AC$1006:$AS$1006,0)), HYPERLINK("#",""), HYPERLINK(CONCATENATE("#metadata!", ADDRESS(INDEX($X$2:$X$1001,MATCH(ROWS($V$2:V276),$V$2:$V$1001,0),0), INDEX($AC$1004:$AS$1004,1,MATCH(COLUMNS($AC$1006:AG1006),$AC$1006:$AS$1006,0)))),"Fix")))</f>
        <v xml:space="preserve"> </v>
      </c>
      <c r="G276" s="4" t="str">
        <f ca="1">IF(OR(INDEX($W$2:$W$1001,MATCH(ROWS($V$2:V276),$V$2:$V$1001,0),1)&gt;=100000,INDEX($AC$1005:$AS$1005,1,MATCH(COLUMNS($AC$1006:AH1006),$AC$1006:$AS$1006,0))&gt;=100000), " ",IF(INDEX($AC$2:$AS$1001,MATCH(ROWS($V$2:V276),$V$2:$V$1001,0),MATCH(COLUMNS($AC$1006:AH1006),$AC$1006:$AS$1006,0)), HYPERLINK("#",""), HYPERLINK(CONCATENATE("#metadata!", ADDRESS(INDEX($X$2:$X$1001,MATCH(ROWS($V$2:V276),$V$2:$V$1001,0),0), INDEX($AC$1004:$AS$1004,1,MATCH(COLUMNS($AC$1006:AH1006),$AC$1006:$AS$1006,0)))),"Fix")))</f>
        <v xml:space="preserve"> </v>
      </c>
      <c r="H276" s="4" t="str">
        <f ca="1">IF(OR(INDEX($W$2:$W$1001,MATCH(ROWS($V$2:V276),$V$2:$V$1001,0),1)&gt;=100000,INDEX($AC$1005:$AS$1005,1,MATCH(COLUMNS($AC$1006:AI1006),$AC$1006:$AS$1006,0))&gt;=100000), " ",IF(INDEX($AC$2:$AS$1001,MATCH(ROWS($V$2:V276),$V$2:$V$1001,0),MATCH(COLUMNS($AC$1006:AI1006),$AC$1006:$AS$1006,0)), HYPERLINK("#",""), HYPERLINK(CONCATENATE("#metadata!", ADDRESS(INDEX($X$2:$X$1001,MATCH(ROWS($V$2:V276),$V$2:$V$1001,0),0), INDEX($AC$1004:$AS$1004,1,MATCH(COLUMNS($AC$1006:AI1006),$AC$1006:$AS$1006,0)))),"Fix")))</f>
        <v xml:space="preserve"> </v>
      </c>
      <c r="I276" s="4" t="str">
        <f ca="1">IF(OR(INDEX($W$2:$W$1001,MATCH(ROWS($V$2:V276),$V$2:$V$1001,0),1)&gt;=100000,INDEX($AC$1005:$AS$1005,1,MATCH(COLUMNS($AC$1006:AJ1006),$AC$1006:$AS$1006,0))&gt;=100000), " ",IF(INDEX($AC$2:$AS$1001,MATCH(ROWS($V$2:V276),$V$2:$V$1001,0),MATCH(COLUMNS($AC$1006:AJ1006),$AC$1006:$AS$1006,0)), HYPERLINK("#",""), HYPERLINK(CONCATENATE("#metadata!", ADDRESS(INDEX($X$2:$X$1001,MATCH(ROWS($V$2:V276),$V$2:$V$1001,0),0), INDEX($AC$1004:$AS$1004,1,MATCH(COLUMNS($AC$1006:AJ1006),$AC$1006:$AS$1006,0)))),"Fix")))</f>
        <v xml:space="preserve"> </v>
      </c>
      <c r="J276" s="4" t="str">
        <f ca="1">IF(OR(INDEX($W$2:$W$1001,MATCH(ROWS($V$2:V276),$V$2:$V$1001,0),1)&gt;=100000,INDEX($AC$1005:$AS$1005,1,MATCH(COLUMNS($AC$1006:AK1006),$AC$1006:$AS$1006,0))&gt;=100000), " ",IF(INDEX($AC$2:$AS$1001,MATCH(ROWS($V$2:V276),$V$2:$V$1001,0),MATCH(COLUMNS($AC$1006:AK1006),$AC$1006:$AS$1006,0)), HYPERLINK("#",""), HYPERLINK(CONCATENATE("#metadata!", ADDRESS(INDEX($X$2:$X$1001,MATCH(ROWS($V$2:V276),$V$2:$V$1001,0),0), INDEX($AC$1004:$AS$1004,1,MATCH(COLUMNS($AC$1006:AK1006),$AC$1006:$AS$1006,0)))),"Fix")))</f>
        <v xml:space="preserve"> </v>
      </c>
      <c r="K276" s="4" t="str">
        <f ca="1">IF(OR(INDEX($W$2:$W$1001,MATCH(ROWS($V$2:V276),$V$2:$V$1001,0),1)&gt;=100000,INDEX($AC$1005:$AS$1005,1,MATCH(COLUMNS($AC$1006:AL1006),$AC$1006:$AS$1006,0))&gt;=100000), " ",IF(INDEX($AC$2:$AS$1001,MATCH(ROWS($V$2:V276),$V$2:$V$1001,0),MATCH(COLUMNS($AC$1006:AL1006),$AC$1006:$AS$1006,0)), HYPERLINK("#",""), HYPERLINK(CONCATENATE("#metadata!", ADDRESS(INDEX($X$2:$X$1001,MATCH(ROWS($V$2:V276),$V$2:$V$1001,0),0), INDEX($AC$1004:$AS$1004,1,MATCH(COLUMNS($AC$1006:AL1006),$AC$1006:$AS$1006,0)))),"Fix")))</f>
        <v xml:space="preserve"> </v>
      </c>
      <c r="L276" s="4" t="str">
        <f ca="1">IF(OR(INDEX($W$2:$W$1001,MATCH(ROWS($V$2:V276),$V$2:$V$1001,0),1)&gt;=100000,INDEX($AC$1005:$AS$1005,1,MATCH(COLUMNS($AC$1006:AM1006),$AC$1006:$AS$1006,0))&gt;=100000), " ",IF(INDEX($AC$2:$AS$1001,MATCH(ROWS($V$2:V276),$V$2:$V$1001,0),MATCH(COLUMNS($AC$1006:AM1006),$AC$1006:$AS$1006,0)), HYPERLINK("#",""), HYPERLINK(CONCATENATE("#metadata!", ADDRESS(INDEX($X$2:$X$1001,MATCH(ROWS($V$2:V276),$V$2:$V$1001,0),0), INDEX($AC$1004:$AS$1004,1,MATCH(COLUMNS($AC$1006:AM1006),$AC$1006:$AS$1006,0)))),"Fix")))</f>
        <v xml:space="preserve"> </v>
      </c>
      <c r="M276" s="4" t="str">
        <f ca="1">IF(OR(INDEX($W$2:$W$1001,MATCH(ROWS($V$2:V276),$V$2:$V$1001,0),1)&gt;=100000,INDEX($AC$1005:$AS$1005,1,MATCH(COLUMNS($AC$1006:AN1006),$AC$1006:$AS$1006,0))&gt;=100000), " ",IF(INDEX($AC$2:$AS$1001,MATCH(ROWS($V$2:V276),$V$2:$V$1001,0),MATCH(COLUMNS($AC$1006:AN1006),$AC$1006:$AS$1006,0)), HYPERLINK("#",""), HYPERLINK(CONCATENATE("#metadata!", ADDRESS(INDEX($X$2:$X$1001,MATCH(ROWS($V$2:V276),$V$2:$V$1001,0),0), INDEX($AC$1004:$AS$1004,1,MATCH(COLUMNS($AC$1006:AN1006),$AC$1006:$AS$1006,0)))),"Fix")))</f>
        <v xml:space="preserve"> </v>
      </c>
      <c r="N276" s="4" t="str">
        <f ca="1">IF(OR(INDEX($W$2:$W$1001,MATCH(ROWS($V$2:V276),$V$2:$V$1001,0),1)&gt;=100000,INDEX($AC$1005:$AS$1005,1,MATCH(COLUMNS($AC$1006:AO1006),$AC$1006:$AS$1006,0))&gt;=100000), " ",IF(INDEX($AC$2:$AS$1001,MATCH(ROWS($V$2:V276),$V$2:$V$1001,0),MATCH(COLUMNS($AC$1006:AO1006),$AC$1006:$AS$1006,0)), HYPERLINK("#",""), HYPERLINK(CONCATENATE("#metadata!", ADDRESS(INDEX($X$2:$X$1001,MATCH(ROWS($V$2:V276),$V$2:$V$1001,0),0), INDEX($AC$1004:$AS$1004,1,MATCH(COLUMNS($AC$1006:AO1006),$AC$1006:$AS$1006,0)))),"Fix")))</f>
        <v xml:space="preserve"> </v>
      </c>
      <c r="O276" s="4" t="str">
        <f ca="1">IF(OR(INDEX($W$2:$W$1001,MATCH(ROWS($V$2:V276),$V$2:$V$1001,0),1)&gt;=100000,INDEX($AC$1005:$AS$1005,1,MATCH(COLUMNS($AC$1006:AP1006),$AC$1006:$AS$1006,0))&gt;=100000), " ",IF(INDEX($AC$2:$AS$1001,MATCH(ROWS($V$2:V276),$V$2:$V$1001,0),MATCH(COLUMNS($AC$1006:AP1006),$AC$1006:$AS$1006,0)), HYPERLINK("#",""), HYPERLINK(CONCATENATE("#metadata!", ADDRESS(INDEX($X$2:$X$1001,MATCH(ROWS($V$2:V276),$V$2:$V$1001,0),0), INDEX($AC$1004:$AS$1004,1,MATCH(COLUMNS($AC$1006:AP1006),$AC$1006:$AS$1006,0)))),"Fix")))</f>
        <v xml:space="preserve"> </v>
      </c>
      <c r="P276" s="4" t="str">
        <f ca="1">IF(OR(INDEX($W$2:$W$1001,MATCH(ROWS($V$2:V276),$V$2:$V$1001,0),1)&gt;=100000,INDEX($AC$1005:$AS$1005,1,MATCH(COLUMNS($AC$1006:AQ1006),$AC$1006:$AS$1006,0))&gt;=100000), " ",IF(INDEX($AC$2:$AS$1001,MATCH(ROWS($V$2:V276),$V$2:$V$1001,0),MATCH(COLUMNS($AC$1006:AQ1006),$AC$1006:$AS$1006,0)), HYPERLINK("#",""), HYPERLINK(CONCATENATE("#metadata!", ADDRESS(INDEX($X$2:$X$1001,MATCH(ROWS($V$2:V276),$V$2:$V$1001,0),0), INDEX($AC$1004:$AS$1004,1,MATCH(COLUMNS($AC$1006:AQ1006),$AC$1006:$AS$1006,0)))),"Fix")))</f>
        <v xml:space="preserve"> </v>
      </c>
      <c r="Q276" s="4" t="str">
        <f ca="1">IF(OR(INDEX($W$2:$W$1001,MATCH(ROWS($V$2:V276),$V$2:$V$1001,0),1)&gt;=100000,INDEX($AC$1005:$AS$1005,1,MATCH(COLUMNS($AC$1006:AR1006),$AC$1006:$AS$1006,0))&gt;=100000), " ",IF(INDEX($AC$2:$AS$1001,MATCH(ROWS($V$2:V276),$V$2:$V$1001,0),MATCH(COLUMNS($AC$1006:AR1006),$AC$1006:$AS$1006,0)), HYPERLINK("#",""), HYPERLINK(CONCATENATE("#metadata!", ADDRESS(INDEX($X$2:$X$1001,MATCH(ROWS($V$2:V276),$V$2:$V$1001,0),0), INDEX($AC$1004:$AS$1004,1,MATCH(COLUMNS($AC$1006:AR1006),$AC$1006:$AS$1006,0)))),"Fix")))</f>
        <v xml:space="preserve"> </v>
      </c>
      <c r="R276" s="4" t="str">
        <f ca="1">IF(OR(INDEX($W$2:$W$1001,MATCH(ROWS($V$2:V276),$V$2:$V$1001,0),1)&gt;=100000,INDEX($AC$1005:$AS$1005,1,MATCH(COLUMNS($AC$1006:AS1006),$AC$1006:$AS$1006,0))&gt;=100000), " ",IF(INDEX($AC$2:$AS$1001,MATCH(ROWS($V$2:V276),$V$2:$V$1001,0),MATCH(COLUMNS($AC$1006:AS1006),$AC$1006:$AS$1006,0)), HYPERLINK("#",""), HYPERLINK(CONCATENATE("#metadata!", ADDRESS(INDEX($X$2:$X$1001,MATCH(ROWS($V$2:V276),$V$2:$V$1001,0),0), INDEX($AC$1004:$AS$1004,1,MATCH(COLUMNS($AC$1006:AS1006),$AC$1006:$AS$1006,0)))),"Fix")))</f>
        <v xml:space="preserve"> </v>
      </c>
      <c r="V276">
        <v>275</v>
      </c>
      <c r="W276">
        <v>100276</v>
      </c>
      <c r="X276">
        <v>276</v>
      </c>
      <c r="Y276" t="b">
        <f t="shared" si="4"/>
        <v>1</v>
      </c>
      <c r="Z276" t="b">
        <f>COUNTBLANK(metadata!B276:R276)=COLUMNS(metadata!B276:R276)</f>
        <v>1</v>
      </c>
      <c r="AA276" t="str">
        <v/>
      </c>
      <c r="AC276" t="b">
        <f ca="1"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AD276" t="b">
        <f>IF(metadata!C276="",FALSE,ISNUMBER(VALUE(metadata!C276)))</f>
        <v>0</v>
      </c>
      <c r="AE276" t="b">
        <f>AND(IF(metadata!D276="",FALSE,TRUE),EXACT(metadata!D276,"years"))</f>
        <v>0</v>
      </c>
      <c r="AF276" t="b">
        <f>OR(AND(IF(metadata!E276="",FALSE,TRUE),OR(EXACT(metadata!E276,"not applicable"),EXACT(metadata!E276,"missing: not collected"),EXACT(metadata!E276,"missing: not provided"),EXACT(metadata!E276,"missing: restricted access"))),AND(IF(metadata!E276="",FALSE,ISNUMBER(VALUE(metadata!E276))),metadata!E276&gt;0))</f>
        <v>0</v>
      </c>
      <c r="AG276" t="b">
        <f>AND(IF(metadata!F276="",FALSE,TRUE),EXACT(metadata!F276,"Not applicable"))</f>
        <v>0</v>
      </c>
      <c r="AH276" t="b">
        <f>AND(IF(metadata!G276="",FALSE,TRUE),EXACT(metadata!G276,"urban biome"))</f>
        <v>0</v>
      </c>
      <c r="AI276" t="b">
        <f>AND(IF(metadata!H276="",FALSE,TRUE),EXACT(metadata!H276,"human-associated habitat"))</f>
        <v>0</v>
      </c>
      <c r="AJ276" t="b">
        <f>AND(IF(metadata!I276="",FALSE,TRUE),OR(EXACT(metadata!I276,"human-associated"),EXACT(metadata!I276,"human-skin"),EXACT(metadata!I276,"human-oral"),EXACT(metadata!I276,"human-gut"),EXACT(metadata!I276,"human-vaginal")))</f>
        <v>0</v>
      </c>
      <c r="AK276" t="b">
        <f>IF(metadata!J276="",FALSE,ISNUMBER(VALUE(metadata!J276)))</f>
        <v>0</v>
      </c>
      <c r="AL276" t="b">
        <f>AND(IF(metadata!K276="",FALSE,TRUE),EXACT(metadata!K276,"cm"))</f>
        <v>0</v>
      </c>
      <c r="AM276" t="b">
        <f>AND(IF(metadata!L276="",FALSE,TRUE),EXACT(metadata!L276,"human"))</f>
        <v>0</v>
      </c>
      <c r="AN276" t="b">
        <f>AND(IF(metadata!M276="",FALSE,TRUE),EXACT(metadata!M276,"Homo sapiens"))</f>
        <v>0</v>
      </c>
      <c r="AO276" t="b">
        <f>AND(IF(metadata!N276="",FALSE,TRUE),EXACT(metadata!N276,"9606"))</f>
        <v>0</v>
      </c>
      <c r="AP276" t="b">
        <f>IF(metadata!O276="",FALSE,TRUE)</f>
        <v>0</v>
      </c>
      <c r="AQ276" t="b">
        <f>IF(metadata!P276="",FALSE,TRUE)</f>
        <v>0</v>
      </c>
      <c r="AR276" t="b">
        <f>IF(metadata!Q276="",FALSE,ISNUMBER(VALUE(metadata!Q276)))</f>
        <v>0</v>
      </c>
      <c r="AS276" t="b">
        <f>AND(IF(metadata!R276="",FALSE,TRUE),EXACT(metadata!R276,"kg"))</f>
        <v>0</v>
      </c>
    </row>
    <row r="277" spans="1:45" x14ac:dyDescent="0.2">
      <c r="A277" s="5" t="str">
        <f ca="1">IF(B277=" "," ",HYPERLINK(CONCATENATE("#metadata!",ADDRESS(INDEX($X$2:$X$1001,MATCH(ROWS($V$2:V277),$V$2:$V$1001,0),0),1)),INDEX($AA$2:$AA$1001,MATCH(ROWS($V$2:V277),$V$2:$V$1001,0),0)))</f>
        <v xml:space="preserve"> </v>
      </c>
      <c r="B277" s="4" t="str">
        <f ca="1">IF(OR(INDEX($W$2:$W$1001,MATCH(ROWS($V$2:V277),$V$2:$V$1001,0),1)&gt;=100000,INDEX($AC$1005:$AS$1005,1,MATCH(COLUMNS($AC$1006:AC1006),$AC$1006:$AS$1006,0))&gt;=100000), " ",IF(INDEX($AC$2:$AS$1001,MATCH(ROWS($V$2:V277),$V$2:$V$1001,0),MATCH(COLUMNS($AC$1006:AC1006),$AC$1006:$AS$1006,0)), HYPERLINK("#",""), HYPERLINK(CONCATENATE("#metadata!", ADDRESS(INDEX($X$2:$X$1001,MATCH(ROWS($V$2:V277),$V$2:$V$1001,0),0), INDEX($AC$1004:$AS$1004,1,MATCH(COLUMNS($AC$1006:AC1006),$AC$1006:$AS$1006,0)))),"Fix")))</f>
        <v xml:space="preserve"> </v>
      </c>
      <c r="C277" s="4" t="str">
        <f ca="1">IF(OR(INDEX($W$2:$W$1001,MATCH(ROWS($V$2:V277),$V$2:$V$1001,0),1)&gt;=100000,INDEX($AC$1005:$AS$1005,1,MATCH(COLUMNS($AC$1006:AD1006),$AC$1006:$AS$1006,0))&gt;=100000), " ",IF(INDEX($AC$2:$AS$1001,MATCH(ROWS($V$2:V277),$V$2:$V$1001,0),MATCH(COLUMNS($AC$1006:AD1006),$AC$1006:$AS$1006,0)), HYPERLINK("#",""), HYPERLINK(CONCATENATE("#metadata!", ADDRESS(INDEX($X$2:$X$1001,MATCH(ROWS($V$2:V277),$V$2:$V$1001,0),0), INDEX($AC$1004:$AS$1004,1,MATCH(COLUMNS($AC$1006:AD1006),$AC$1006:$AS$1006,0)))),"Fix")))</f>
        <v xml:space="preserve"> </v>
      </c>
      <c r="D277" s="4" t="str">
        <f ca="1">IF(OR(INDEX($W$2:$W$1001,MATCH(ROWS($V$2:V277),$V$2:$V$1001,0),1)&gt;=100000,INDEX($AC$1005:$AS$1005,1,MATCH(COLUMNS($AC$1006:AE1006),$AC$1006:$AS$1006,0))&gt;=100000), " ",IF(INDEX($AC$2:$AS$1001,MATCH(ROWS($V$2:V277),$V$2:$V$1001,0),MATCH(COLUMNS($AC$1006:AE1006),$AC$1006:$AS$1006,0)), HYPERLINK("#",""), HYPERLINK(CONCATENATE("#metadata!", ADDRESS(INDEX($X$2:$X$1001,MATCH(ROWS($V$2:V277),$V$2:$V$1001,0),0), INDEX($AC$1004:$AS$1004,1,MATCH(COLUMNS($AC$1006:AE1006),$AC$1006:$AS$1006,0)))),"Fix")))</f>
        <v xml:space="preserve"> </v>
      </c>
      <c r="E277" s="4" t="str">
        <f ca="1">IF(OR(INDEX($W$2:$W$1001,MATCH(ROWS($V$2:V277),$V$2:$V$1001,0),1)&gt;=100000,INDEX($AC$1005:$AS$1005,1,MATCH(COLUMNS($AC$1006:AF1006),$AC$1006:$AS$1006,0))&gt;=100000), " ",IF(INDEX($AC$2:$AS$1001,MATCH(ROWS($V$2:V277),$V$2:$V$1001,0),MATCH(COLUMNS($AC$1006:AF1006),$AC$1006:$AS$1006,0)), HYPERLINK("#",""), HYPERLINK(CONCATENATE("#metadata!", ADDRESS(INDEX($X$2:$X$1001,MATCH(ROWS($V$2:V277),$V$2:$V$1001,0),0), INDEX($AC$1004:$AS$1004,1,MATCH(COLUMNS($AC$1006:AF1006),$AC$1006:$AS$1006,0)))),"Fix")))</f>
        <v xml:space="preserve"> </v>
      </c>
      <c r="F277" s="4" t="str">
        <f ca="1">IF(OR(INDEX($W$2:$W$1001,MATCH(ROWS($V$2:V277),$V$2:$V$1001,0),1)&gt;=100000,INDEX($AC$1005:$AS$1005,1,MATCH(COLUMNS($AC$1006:AG1006),$AC$1006:$AS$1006,0))&gt;=100000), " ",IF(INDEX($AC$2:$AS$1001,MATCH(ROWS($V$2:V277),$V$2:$V$1001,0),MATCH(COLUMNS($AC$1006:AG1006),$AC$1006:$AS$1006,0)), HYPERLINK("#",""), HYPERLINK(CONCATENATE("#metadata!", ADDRESS(INDEX($X$2:$X$1001,MATCH(ROWS($V$2:V277),$V$2:$V$1001,0),0), INDEX($AC$1004:$AS$1004,1,MATCH(COLUMNS($AC$1006:AG1006),$AC$1006:$AS$1006,0)))),"Fix")))</f>
        <v xml:space="preserve"> </v>
      </c>
      <c r="G277" s="4" t="str">
        <f ca="1">IF(OR(INDEX($W$2:$W$1001,MATCH(ROWS($V$2:V277),$V$2:$V$1001,0),1)&gt;=100000,INDEX($AC$1005:$AS$1005,1,MATCH(COLUMNS($AC$1006:AH1006),$AC$1006:$AS$1006,0))&gt;=100000), " ",IF(INDEX($AC$2:$AS$1001,MATCH(ROWS($V$2:V277),$V$2:$V$1001,0),MATCH(COLUMNS($AC$1006:AH1006),$AC$1006:$AS$1006,0)), HYPERLINK("#",""), HYPERLINK(CONCATENATE("#metadata!", ADDRESS(INDEX($X$2:$X$1001,MATCH(ROWS($V$2:V277),$V$2:$V$1001,0),0), INDEX($AC$1004:$AS$1004,1,MATCH(COLUMNS($AC$1006:AH1006),$AC$1006:$AS$1006,0)))),"Fix")))</f>
        <v xml:space="preserve"> </v>
      </c>
      <c r="H277" s="4" t="str">
        <f ca="1">IF(OR(INDEX($W$2:$W$1001,MATCH(ROWS($V$2:V277),$V$2:$V$1001,0),1)&gt;=100000,INDEX($AC$1005:$AS$1005,1,MATCH(COLUMNS($AC$1006:AI1006),$AC$1006:$AS$1006,0))&gt;=100000), " ",IF(INDEX($AC$2:$AS$1001,MATCH(ROWS($V$2:V277),$V$2:$V$1001,0),MATCH(COLUMNS($AC$1006:AI1006),$AC$1006:$AS$1006,0)), HYPERLINK("#",""), HYPERLINK(CONCATENATE("#metadata!", ADDRESS(INDEX($X$2:$X$1001,MATCH(ROWS($V$2:V277),$V$2:$V$1001,0),0), INDEX($AC$1004:$AS$1004,1,MATCH(COLUMNS($AC$1006:AI1006),$AC$1006:$AS$1006,0)))),"Fix")))</f>
        <v xml:space="preserve"> </v>
      </c>
      <c r="I277" s="4" t="str">
        <f ca="1">IF(OR(INDEX($W$2:$W$1001,MATCH(ROWS($V$2:V277),$V$2:$V$1001,0),1)&gt;=100000,INDEX($AC$1005:$AS$1005,1,MATCH(COLUMNS($AC$1006:AJ1006),$AC$1006:$AS$1006,0))&gt;=100000), " ",IF(INDEX($AC$2:$AS$1001,MATCH(ROWS($V$2:V277),$V$2:$V$1001,0),MATCH(COLUMNS($AC$1006:AJ1006),$AC$1006:$AS$1006,0)), HYPERLINK("#",""), HYPERLINK(CONCATENATE("#metadata!", ADDRESS(INDEX($X$2:$X$1001,MATCH(ROWS($V$2:V277),$V$2:$V$1001,0),0), INDEX($AC$1004:$AS$1004,1,MATCH(COLUMNS($AC$1006:AJ1006),$AC$1006:$AS$1006,0)))),"Fix")))</f>
        <v xml:space="preserve"> </v>
      </c>
      <c r="J277" s="4" t="str">
        <f ca="1">IF(OR(INDEX($W$2:$W$1001,MATCH(ROWS($V$2:V277),$V$2:$V$1001,0),1)&gt;=100000,INDEX($AC$1005:$AS$1005,1,MATCH(COLUMNS($AC$1006:AK1006),$AC$1006:$AS$1006,0))&gt;=100000), " ",IF(INDEX($AC$2:$AS$1001,MATCH(ROWS($V$2:V277),$V$2:$V$1001,0),MATCH(COLUMNS($AC$1006:AK1006),$AC$1006:$AS$1006,0)), HYPERLINK("#",""), HYPERLINK(CONCATENATE("#metadata!", ADDRESS(INDEX($X$2:$X$1001,MATCH(ROWS($V$2:V277),$V$2:$V$1001,0),0), INDEX($AC$1004:$AS$1004,1,MATCH(COLUMNS($AC$1006:AK1006),$AC$1006:$AS$1006,0)))),"Fix")))</f>
        <v xml:space="preserve"> </v>
      </c>
      <c r="K277" s="4" t="str">
        <f ca="1">IF(OR(INDEX($W$2:$W$1001,MATCH(ROWS($V$2:V277),$V$2:$V$1001,0),1)&gt;=100000,INDEX($AC$1005:$AS$1005,1,MATCH(COLUMNS($AC$1006:AL1006),$AC$1006:$AS$1006,0))&gt;=100000), " ",IF(INDEX($AC$2:$AS$1001,MATCH(ROWS($V$2:V277),$V$2:$V$1001,0),MATCH(COLUMNS($AC$1006:AL1006),$AC$1006:$AS$1006,0)), HYPERLINK("#",""), HYPERLINK(CONCATENATE("#metadata!", ADDRESS(INDEX($X$2:$X$1001,MATCH(ROWS($V$2:V277),$V$2:$V$1001,0),0), INDEX($AC$1004:$AS$1004,1,MATCH(COLUMNS($AC$1006:AL1006),$AC$1006:$AS$1006,0)))),"Fix")))</f>
        <v xml:space="preserve"> </v>
      </c>
      <c r="L277" s="4" t="str">
        <f ca="1">IF(OR(INDEX($W$2:$W$1001,MATCH(ROWS($V$2:V277),$V$2:$V$1001,0),1)&gt;=100000,INDEX($AC$1005:$AS$1005,1,MATCH(COLUMNS($AC$1006:AM1006),$AC$1006:$AS$1006,0))&gt;=100000), " ",IF(INDEX($AC$2:$AS$1001,MATCH(ROWS($V$2:V277),$V$2:$V$1001,0),MATCH(COLUMNS($AC$1006:AM1006),$AC$1006:$AS$1006,0)), HYPERLINK("#",""), HYPERLINK(CONCATENATE("#metadata!", ADDRESS(INDEX($X$2:$X$1001,MATCH(ROWS($V$2:V277),$V$2:$V$1001,0),0), INDEX($AC$1004:$AS$1004,1,MATCH(COLUMNS($AC$1006:AM1006),$AC$1006:$AS$1006,0)))),"Fix")))</f>
        <v xml:space="preserve"> </v>
      </c>
      <c r="M277" s="4" t="str">
        <f ca="1">IF(OR(INDEX($W$2:$W$1001,MATCH(ROWS($V$2:V277),$V$2:$V$1001,0),1)&gt;=100000,INDEX($AC$1005:$AS$1005,1,MATCH(COLUMNS($AC$1006:AN1006),$AC$1006:$AS$1006,0))&gt;=100000), " ",IF(INDEX($AC$2:$AS$1001,MATCH(ROWS($V$2:V277),$V$2:$V$1001,0),MATCH(COLUMNS($AC$1006:AN1006),$AC$1006:$AS$1006,0)), HYPERLINK("#",""), HYPERLINK(CONCATENATE("#metadata!", ADDRESS(INDEX($X$2:$X$1001,MATCH(ROWS($V$2:V277),$V$2:$V$1001,0),0), INDEX($AC$1004:$AS$1004,1,MATCH(COLUMNS($AC$1006:AN1006),$AC$1006:$AS$1006,0)))),"Fix")))</f>
        <v xml:space="preserve"> </v>
      </c>
      <c r="N277" s="4" t="str">
        <f ca="1">IF(OR(INDEX($W$2:$W$1001,MATCH(ROWS($V$2:V277),$V$2:$V$1001,0),1)&gt;=100000,INDEX($AC$1005:$AS$1005,1,MATCH(COLUMNS($AC$1006:AO1006),$AC$1006:$AS$1006,0))&gt;=100000), " ",IF(INDEX($AC$2:$AS$1001,MATCH(ROWS($V$2:V277),$V$2:$V$1001,0),MATCH(COLUMNS($AC$1006:AO1006),$AC$1006:$AS$1006,0)), HYPERLINK("#",""), HYPERLINK(CONCATENATE("#metadata!", ADDRESS(INDEX($X$2:$X$1001,MATCH(ROWS($V$2:V277),$V$2:$V$1001,0),0), INDEX($AC$1004:$AS$1004,1,MATCH(COLUMNS($AC$1006:AO1006),$AC$1006:$AS$1006,0)))),"Fix")))</f>
        <v xml:space="preserve"> </v>
      </c>
      <c r="O277" s="4" t="str">
        <f ca="1">IF(OR(INDEX($W$2:$W$1001,MATCH(ROWS($V$2:V277),$V$2:$V$1001,0),1)&gt;=100000,INDEX($AC$1005:$AS$1005,1,MATCH(COLUMNS($AC$1006:AP1006),$AC$1006:$AS$1006,0))&gt;=100000), " ",IF(INDEX($AC$2:$AS$1001,MATCH(ROWS($V$2:V277),$V$2:$V$1001,0),MATCH(COLUMNS($AC$1006:AP1006),$AC$1006:$AS$1006,0)), HYPERLINK("#",""), HYPERLINK(CONCATENATE("#metadata!", ADDRESS(INDEX($X$2:$X$1001,MATCH(ROWS($V$2:V277),$V$2:$V$1001,0),0), INDEX($AC$1004:$AS$1004,1,MATCH(COLUMNS($AC$1006:AP1006),$AC$1006:$AS$1006,0)))),"Fix")))</f>
        <v xml:space="preserve"> </v>
      </c>
      <c r="P277" s="4" t="str">
        <f ca="1">IF(OR(INDEX($W$2:$W$1001,MATCH(ROWS($V$2:V277),$V$2:$V$1001,0),1)&gt;=100000,INDEX($AC$1005:$AS$1005,1,MATCH(COLUMNS($AC$1006:AQ1006),$AC$1006:$AS$1006,0))&gt;=100000), " ",IF(INDEX($AC$2:$AS$1001,MATCH(ROWS($V$2:V277),$V$2:$V$1001,0),MATCH(COLUMNS($AC$1006:AQ1006),$AC$1006:$AS$1006,0)), HYPERLINK("#",""), HYPERLINK(CONCATENATE("#metadata!", ADDRESS(INDEX($X$2:$X$1001,MATCH(ROWS($V$2:V277),$V$2:$V$1001,0),0), INDEX($AC$1004:$AS$1004,1,MATCH(COLUMNS($AC$1006:AQ1006),$AC$1006:$AS$1006,0)))),"Fix")))</f>
        <v xml:space="preserve"> </v>
      </c>
      <c r="Q277" s="4" t="str">
        <f ca="1">IF(OR(INDEX($W$2:$W$1001,MATCH(ROWS($V$2:V277),$V$2:$V$1001,0),1)&gt;=100000,INDEX($AC$1005:$AS$1005,1,MATCH(COLUMNS($AC$1006:AR1006),$AC$1006:$AS$1006,0))&gt;=100000), " ",IF(INDEX($AC$2:$AS$1001,MATCH(ROWS($V$2:V277),$V$2:$V$1001,0),MATCH(COLUMNS($AC$1006:AR1006),$AC$1006:$AS$1006,0)), HYPERLINK("#",""), HYPERLINK(CONCATENATE("#metadata!", ADDRESS(INDEX($X$2:$X$1001,MATCH(ROWS($V$2:V277),$V$2:$V$1001,0),0), INDEX($AC$1004:$AS$1004,1,MATCH(COLUMNS($AC$1006:AR1006),$AC$1006:$AS$1006,0)))),"Fix")))</f>
        <v xml:space="preserve"> </v>
      </c>
      <c r="R277" s="4" t="str">
        <f ca="1">IF(OR(INDEX($W$2:$W$1001,MATCH(ROWS($V$2:V277),$V$2:$V$1001,0),1)&gt;=100000,INDEX($AC$1005:$AS$1005,1,MATCH(COLUMNS($AC$1006:AS1006),$AC$1006:$AS$1006,0))&gt;=100000), " ",IF(INDEX($AC$2:$AS$1001,MATCH(ROWS($V$2:V277),$V$2:$V$1001,0),MATCH(COLUMNS($AC$1006:AS1006),$AC$1006:$AS$1006,0)), HYPERLINK("#",""), HYPERLINK(CONCATENATE("#metadata!", ADDRESS(INDEX($X$2:$X$1001,MATCH(ROWS($V$2:V277),$V$2:$V$1001,0),0), INDEX($AC$1004:$AS$1004,1,MATCH(COLUMNS($AC$1006:AS1006),$AC$1006:$AS$1006,0)))),"Fix")))</f>
        <v xml:space="preserve"> </v>
      </c>
      <c r="V277">
        <v>276</v>
      </c>
      <c r="W277">
        <v>100277</v>
      </c>
      <c r="X277">
        <v>277</v>
      </c>
      <c r="Y277" t="b">
        <f t="shared" si="4"/>
        <v>1</v>
      </c>
      <c r="Z277" t="b">
        <f>COUNTBLANK(metadata!B277:R277)=COLUMNS(metadata!B277:R277)</f>
        <v>1</v>
      </c>
      <c r="AA277" t="str">
        <v/>
      </c>
      <c r="AC277" t="b">
        <f ca="1"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AD277" t="b">
        <f>IF(metadata!C277="",FALSE,ISNUMBER(VALUE(metadata!C277)))</f>
        <v>0</v>
      </c>
      <c r="AE277" t="b">
        <f>AND(IF(metadata!D277="",FALSE,TRUE),EXACT(metadata!D277,"years"))</f>
        <v>0</v>
      </c>
      <c r="AF277" t="b">
        <f>OR(AND(IF(metadata!E277="",FALSE,TRUE),OR(EXACT(metadata!E277,"not applicable"),EXACT(metadata!E277,"missing: not collected"),EXACT(metadata!E277,"missing: not provided"),EXACT(metadata!E277,"missing: restricted access"))),AND(IF(metadata!E277="",FALSE,ISNUMBER(VALUE(metadata!E277))),metadata!E277&gt;0))</f>
        <v>0</v>
      </c>
      <c r="AG277" t="b">
        <f>AND(IF(metadata!F277="",FALSE,TRUE),EXACT(metadata!F277,"Not applicable"))</f>
        <v>0</v>
      </c>
      <c r="AH277" t="b">
        <f>AND(IF(metadata!G277="",FALSE,TRUE),EXACT(metadata!G277,"urban biome"))</f>
        <v>0</v>
      </c>
      <c r="AI277" t="b">
        <f>AND(IF(metadata!H277="",FALSE,TRUE),EXACT(metadata!H277,"human-associated habitat"))</f>
        <v>0</v>
      </c>
      <c r="AJ277" t="b">
        <f>AND(IF(metadata!I277="",FALSE,TRUE),OR(EXACT(metadata!I277,"human-associated"),EXACT(metadata!I277,"human-skin"),EXACT(metadata!I277,"human-oral"),EXACT(metadata!I277,"human-gut"),EXACT(metadata!I277,"human-vaginal")))</f>
        <v>0</v>
      </c>
      <c r="AK277" t="b">
        <f>IF(metadata!J277="",FALSE,ISNUMBER(VALUE(metadata!J277)))</f>
        <v>0</v>
      </c>
      <c r="AL277" t="b">
        <f>AND(IF(metadata!K277="",FALSE,TRUE),EXACT(metadata!K277,"cm"))</f>
        <v>0</v>
      </c>
      <c r="AM277" t="b">
        <f>AND(IF(metadata!L277="",FALSE,TRUE),EXACT(metadata!L277,"human"))</f>
        <v>0</v>
      </c>
      <c r="AN277" t="b">
        <f>AND(IF(metadata!M277="",FALSE,TRUE),EXACT(metadata!M277,"Homo sapiens"))</f>
        <v>0</v>
      </c>
      <c r="AO277" t="b">
        <f>AND(IF(metadata!N277="",FALSE,TRUE),EXACT(metadata!N277,"9606"))</f>
        <v>0</v>
      </c>
      <c r="AP277" t="b">
        <f>IF(metadata!O277="",FALSE,TRUE)</f>
        <v>0</v>
      </c>
      <c r="AQ277" t="b">
        <f>IF(metadata!P277="",FALSE,TRUE)</f>
        <v>0</v>
      </c>
      <c r="AR277" t="b">
        <f>IF(metadata!Q277="",FALSE,ISNUMBER(VALUE(metadata!Q277)))</f>
        <v>0</v>
      </c>
      <c r="AS277" t="b">
        <f>AND(IF(metadata!R277="",FALSE,TRUE),EXACT(metadata!R277,"kg"))</f>
        <v>0</v>
      </c>
    </row>
    <row r="278" spans="1:45" x14ac:dyDescent="0.2">
      <c r="A278" s="5" t="str">
        <f ca="1">IF(B278=" "," ",HYPERLINK(CONCATENATE("#metadata!",ADDRESS(INDEX($X$2:$X$1001,MATCH(ROWS($V$2:V278),$V$2:$V$1001,0),0),1)),INDEX($AA$2:$AA$1001,MATCH(ROWS($V$2:V278),$V$2:$V$1001,0),0)))</f>
        <v xml:space="preserve"> </v>
      </c>
      <c r="B278" s="4" t="str">
        <f ca="1">IF(OR(INDEX($W$2:$W$1001,MATCH(ROWS($V$2:V278),$V$2:$V$1001,0),1)&gt;=100000,INDEX($AC$1005:$AS$1005,1,MATCH(COLUMNS($AC$1006:AC1006),$AC$1006:$AS$1006,0))&gt;=100000), " ",IF(INDEX($AC$2:$AS$1001,MATCH(ROWS($V$2:V278),$V$2:$V$1001,0),MATCH(COLUMNS($AC$1006:AC1006),$AC$1006:$AS$1006,0)), HYPERLINK("#",""), HYPERLINK(CONCATENATE("#metadata!", ADDRESS(INDEX($X$2:$X$1001,MATCH(ROWS($V$2:V278),$V$2:$V$1001,0),0), INDEX($AC$1004:$AS$1004,1,MATCH(COLUMNS($AC$1006:AC1006),$AC$1006:$AS$1006,0)))),"Fix")))</f>
        <v xml:space="preserve"> </v>
      </c>
      <c r="C278" s="4" t="str">
        <f ca="1">IF(OR(INDEX($W$2:$W$1001,MATCH(ROWS($V$2:V278),$V$2:$V$1001,0),1)&gt;=100000,INDEX($AC$1005:$AS$1005,1,MATCH(COLUMNS($AC$1006:AD1006),$AC$1006:$AS$1006,0))&gt;=100000), " ",IF(INDEX($AC$2:$AS$1001,MATCH(ROWS($V$2:V278),$V$2:$V$1001,0),MATCH(COLUMNS($AC$1006:AD1006),$AC$1006:$AS$1006,0)), HYPERLINK("#",""), HYPERLINK(CONCATENATE("#metadata!", ADDRESS(INDEX($X$2:$X$1001,MATCH(ROWS($V$2:V278),$V$2:$V$1001,0),0), INDEX($AC$1004:$AS$1004,1,MATCH(COLUMNS($AC$1006:AD1006),$AC$1006:$AS$1006,0)))),"Fix")))</f>
        <v xml:space="preserve"> </v>
      </c>
      <c r="D278" s="4" t="str">
        <f ca="1">IF(OR(INDEX($W$2:$W$1001,MATCH(ROWS($V$2:V278),$V$2:$V$1001,0),1)&gt;=100000,INDEX($AC$1005:$AS$1005,1,MATCH(COLUMNS($AC$1006:AE1006),$AC$1006:$AS$1006,0))&gt;=100000), " ",IF(INDEX($AC$2:$AS$1001,MATCH(ROWS($V$2:V278),$V$2:$V$1001,0),MATCH(COLUMNS($AC$1006:AE1006),$AC$1006:$AS$1006,0)), HYPERLINK("#",""), HYPERLINK(CONCATENATE("#metadata!", ADDRESS(INDEX($X$2:$X$1001,MATCH(ROWS($V$2:V278),$V$2:$V$1001,0),0), INDEX($AC$1004:$AS$1004,1,MATCH(COLUMNS($AC$1006:AE1006),$AC$1006:$AS$1006,0)))),"Fix")))</f>
        <v xml:space="preserve"> </v>
      </c>
      <c r="E278" s="4" t="str">
        <f ca="1">IF(OR(INDEX($W$2:$W$1001,MATCH(ROWS($V$2:V278),$V$2:$V$1001,0),1)&gt;=100000,INDEX($AC$1005:$AS$1005,1,MATCH(COLUMNS($AC$1006:AF1006),$AC$1006:$AS$1006,0))&gt;=100000), " ",IF(INDEX($AC$2:$AS$1001,MATCH(ROWS($V$2:V278),$V$2:$V$1001,0),MATCH(COLUMNS($AC$1006:AF1006),$AC$1006:$AS$1006,0)), HYPERLINK("#",""), HYPERLINK(CONCATENATE("#metadata!", ADDRESS(INDEX($X$2:$X$1001,MATCH(ROWS($V$2:V278),$V$2:$V$1001,0),0), INDEX($AC$1004:$AS$1004,1,MATCH(COLUMNS($AC$1006:AF1006),$AC$1006:$AS$1006,0)))),"Fix")))</f>
        <v xml:space="preserve"> </v>
      </c>
      <c r="F278" s="4" t="str">
        <f ca="1">IF(OR(INDEX($W$2:$W$1001,MATCH(ROWS($V$2:V278),$V$2:$V$1001,0),1)&gt;=100000,INDEX($AC$1005:$AS$1005,1,MATCH(COLUMNS($AC$1006:AG1006),$AC$1006:$AS$1006,0))&gt;=100000), " ",IF(INDEX($AC$2:$AS$1001,MATCH(ROWS($V$2:V278),$V$2:$V$1001,0),MATCH(COLUMNS($AC$1006:AG1006),$AC$1006:$AS$1006,0)), HYPERLINK("#",""), HYPERLINK(CONCATENATE("#metadata!", ADDRESS(INDEX($X$2:$X$1001,MATCH(ROWS($V$2:V278),$V$2:$V$1001,0),0), INDEX($AC$1004:$AS$1004,1,MATCH(COLUMNS($AC$1006:AG1006),$AC$1006:$AS$1006,0)))),"Fix")))</f>
        <v xml:space="preserve"> </v>
      </c>
      <c r="G278" s="4" t="str">
        <f ca="1">IF(OR(INDEX($W$2:$W$1001,MATCH(ROWS($V$2:V278),$V$2:$V$1001,0),1)&gt;=100000,INDEX($AC$1005:$AS$1005,1,MATCH(COLUMNS($AC$1006:AH1006),$AC$1006:$AS$1006,0))&gt;=100000), " ",IF(INDEX($AC$2:$AS$1001,MATCH(ROWS($V$2:V278),$V$2:$V$1001,0),MATCH(COLUMNS($AC$1006:AH1006),$AC$1006:$AS$1006,0)), HYPERLINK("#",""), HYPERLINK(CONCATENATE("#metadata!", ADDRESS(INDEX($X$2:$X$1001,MATCH(ROWS($V$2:V278),$V$2:$V$1001,0),0), INDEX($AC$1004:$AS$1004,1,MATCH(COLUMNS($AC$1006:AH1006),$AC$1006:$AS$1006,0)))),"Fix")))</f>
        <v xml:space="preserve"> </v>
      </c>
      <c r="H278" s="4" t="str">
        <f ca="1">IF(OR(INDEX($W$2:$W$1001,MATCH(ROWS($V$2:V278),$V$2:$V$1001,0),1)&gt;=100000,INDEX($AC$1005:$AS$1005,1,MATCH(COLUMNS($AC$1006:AI1006),$AC$1006:$AS$1006,0))&gt;=100000), " ",IF(INDEX($AC$2:$AS$1001,MATCH(ROWS($V$2:V278),$V$2:$V$1001,0),MATCH(COLUMNS($AC$1006:AI1006),$AC$1006:$AS$1006,0)), HYPERLINK("#",""), HYPERLINK(CONCATENATE("#metadata!", ADDRESS(INDEX($X$2:$X$1001,MATCH(ROWS($V$2:V278),$V$2:$V$1001,0),0), INDEX($AC$1004:$AS$1004,1,MATCH(COLUMNS($AC$1006:AI1006),$AC$1006:$AS$1006,0)))),"Fix")))</f>
        <v xml:space="preserve"> </v>
      </c>
      <c r="I278" s="4" t="str">
        <f ca="1">IF(OR(INDEX($W$2:$W$1001,MATCH(ROWS($V$2:V278),$V$2:$V$1001,0),1)&gt;=100000,INDEX($AC$1005:$AS$1005,1,MATCH(COLUMNS($AC$1006:AJ1006),$AC$1006:$AS$1006,0))&gt;=100000), " ",IF(INDEX($AC$2:$AS$1001,MATCH(ROWS($V$2:V278),$V$2:$V$1001,0),MATCH(COLUMNS($AC$1006:AJ1006),$AC$1006:$AS$1006,0)), HYPERLINK("#",""), HYPERLINK(CONCATENATE("#metadata!", ADDRESS(INDEX($X$2:$X$1001,MATCH(ROWS($V$2:V278),$V$2:$V$1001,0),0), INDEX($AC$1004:$AS$1004,1,MATCH(COLUMNS($AC$1006:AJ1006),$AC$1006:$AS$1006,0)))),"Fix")))</f>
        <v xml:space="preserve"> </v>
      </c>
      <c r="J278" s="4" t="str">
        <f ca="1">IF(OR(INDEX($W$2:$W$1001,MATCH(ROWS($V$2:V278),$V$2:$V$1001,0),1)&gt;=100000,INDEX($AC$1005:$AS$1005,1,MATCH(COLUMNS($AC$1006:AK1006),$AC$1006:$AS$1006,0))&gt;=100000), " ",IF(INDEX($AC$2:$AS$1001,MATCH(ROWS($V$2:V278),$V$2:$V$1001,0),MATCH(COLUMNS($AC$1006:AK1006),$AC$1006:$AS$1006,0)), HYPERLINK("#",""), HYPERLINK(CONCATENATE("#metadata!", ADDRESS(INDEX($X$2:$X$1001,MATCH(ROWS($V$2:V278),$V$2:$V$1001,0),0), INDEX($AC$1004:$AS$1004,1,MATCH(COLUMNS($AC$1006:AK1006),$AC$1006:$AS$1006,0)))),"Fix")))</f>
        <v xml:space="preserve"> </v>
      </c>
      <c r="K278" s="4" t="str">
        <f ca="1">IF(OR(INDEX($W$2:$W$1001,MATCH(ROWS($V$2:V278),$V$2:$V$1001,0),1)&gt;=100000,INDEX($AC$1005:$AS$1005,1,MATCH(COLUMNS($AC$1006:AL1006),$AC$1006:$AS$1006,0))&gt;=100000), " ",IF(INDEX($AC$2:$AS$1001,MATCH(ROWS($V$2:V278),$V$2:$V$1001,0),MATCH(COLUMNS($AC$1006:AL1006),$AC$1006:$AS$1006,0)), HYPERLINK("#",""), HYPERLINK(CONCATENATE("#metadata!", ADDRESS(INDEX($X$2:$X$1001,MATCH(ROWS($V$2:V278),$V$2:$V$1001,0),0), INDEX($AC$1004:$AS$1004,1,MATCH(COLUMNS($AC$1006:AL1006),$AC$1006:$AS$1006,0)))),"Fix")))</f>
        <v xml:space="preserve"> </v>
      </c>
      <c r="L278" s="4" t="str">
        <f ca="1">IF(OR(INDEX($W$2:$W$1001,MATCH(ROWS($V$2:V278),$V$2:$V$1001,0),1)&gt;=100000,INDEX($AC$1005:$AS$1005,1,MATCH(COLUMNS($AC$1006:AM1006),$AC$1006:$AS$1006,0))&gt;=100000), " ",IF(INDEX($AC$2:$AS$1001,MATCH(ROWS($V$2:V278),$V$2:$V$1001,0),MATCH(COLUMNS($AC$1006:AM1006),$AC$1006:$AS$1006,0)), HYPERLINK("#",""), HYPERLINK(CONCATENATE("#metadata!", ADDRESS(INDEX($X$2:$X$1001,MATCH(ROWS($V$2:V278),$V$2:$V$1001,0),0), INDEX($AC$1004:$AS$1004,1,MATCH(COLUMNS($AC$1006:AM1006),$AC$1006:$AS$1006,0)))),"Fix")))</f>
        <v xml:space="preserve"> </v>
      </c>
      <c r="M278" s="4" t="str">
        <f ca="1">IF(OR(INDEX($W$2:$W$1001,MATCH(ROWS($V$2:V278),$V$2:$V$1001,0),1)&gt;=100000,INDEX($AC$1005:$AS$1005,1,MATCH(COLUMNS($AC$1006:AN1006),$AC$1006:$AS$1006,0))&gt;=100000), " ",IF(INDEX($AC$2:$AS$1001,MATCH(ROWS($V$2:V278),$V$2:$V$1001,0),MATCH(COLUMNS($AC$1006:AN1006),$AC$1006:$AS$1006,0)), HYPERLINK("#",""), HYPERLINK(CONCATENATE("#metadata!", ADDRESS(INDEX($X$2:$X$1001,MATCH(ROWS($V$2:V278),$V$2:$V$1001,0),0), INDEX($AC$1004:$AS$1004,1,MATCH(COLUMNS($AC$1006:AN1006),$AC$1006:$AS$1006,0)))),"Fix")))</f>
        <v xml:space="preserve"> </v>
      </c>
      <c r="N278" s="4" t="str">
        <f ca="1">IF(OR(INDEX($W$2:$W$1001,MATCH(ROWS($V$2:V278),$V$2:$V$1001,0),1)&gt;=100000,INDEX($AC$1005:$AS$1005,1,MATCH(COLUMNS($AC$1006:AO1006),$AC$1006:$AS$1006,0))&gt;=100000), " ",IF(INDEX($AC$2:$AS$1001,MATCH(ROWS($V$2:V278),$V$2:$V$1001,0),MATCH(COLUMNS($AC$1006:AO1006),$AC$1006:$AS$1006,0)), HYPERLINK("#",""), HYPERLINK(CONCATENATE("#metadata!", ADDRESS(INDEX($X$2:$X$1001,MATCH(ROWS($V$2:V278),$V$2:$V$1001,0),0), INDEX($AC$1004:$AS$1004,1,MATCH(COLUMNS($AC$1006:AO1006),$AC$1006:$AS$1006,0)))),"Fix")))</f>
        <v xml:space="preserve"> </v>
      </c>
      <c r="O278" s="4" t="str">
        <f ca="1">IF(OR(INDEX($W$2:$W$1001,MATCH(ROWS($V$2:V278),$V$2:$V$1001,0),1)&gt;=100000,INDEX($AC$1005:$AS$1005,1,MATCH(COLUMNS($AC$1006:AP1006),$AC$1006:$AS$1006,0))&gt;=100000), " ",IF(INDEX($AC$2:$AS$1001,MATCH(ROWS($V$2:V278),$V$2:$V$1001,0),MATCH(COLUMNS($AC$1006:AP1006),$AC$1006:$AS$1006,0)), HYPERLINK("#",""), HYPERLINK(CONCATENATE("#metadata!", ADDRESS(INDEX($X$2:$X$1001,MATCH(ROWS($V$2:V278),$V$2:$V$1001,0),0), INDEX($AC$1004:$AS$1004,1,MATCH(COLUMNS($AC$1006:AP1006),$AC$1006:$AS$1006,0)))),"Fix")))</f>
        <v xml:space="preserve"> </v>
      </c>
      <c r="P278" s="4" t="str">
        <f ca="1">IF(OR(INDEX($W$2:$W$1001,MATCH(ROWS($V$2:V278),$V$2:$V$1001,0),1)&gt;=100000,INDEX($AC$1005:$AS$1005,1,MATCH(COLUMNS($AC$1006:AQ1006),$AC$1006:$AS$1006,0))&gt;=100000), " ",IF(INDEX($AC$2:$AS$1001,MATCH(ROWS($V$2:V278),$V$2:$V$1001,0),MATCH(COLUMNS($AC$1006:AQ1006),$AC$1006:$AS$1006,0)), HYPERLINK("#",""), HYPERLINK(CONCATENATE("#metadata!", ADDRESS(INDEX($X$2:$X$1001,MATCH(ROWS($V$2:V278),$V$2:$V$1001,0),0), INDEX($AC$1004:$AS$1004,1,MATCH(COLUMNS($AC$1006:AQ1006),$AC$1006:$AS$1006,0)))),"Fix")))</f>
        <v xml:space="preserve"> </v>
      </c>
      <c r="Q278" s="4" t="str">
        <f ca="1">IF(OR(INDEX($W$2:$W$1001,MATCH(ROWS($V$2:V278),$V$2:$V$1001,0),1)&gt;=100000,INDEX($AC$1005:$AS$1005,1,MATCH(COLUMNS($AC$1006:AR1006),$AC$1006:$AS$1006,0))&gt;=100000), " ",IF(INDEX($AC$2:$AS$1001,MATCH(ROWS($V$2:V278),$V$2:$V$1001,0),MATCH(COLUMNS($AC$1006:AR1006),$AC$1006:$AS$1006,0)), HYPERLINK("#",""), HYPERLINK(CONCATENATE("#metadata!", ADDRESS(INDEX($X$2:$X$1001,MATCH(ROWS($V$2:V278),$V$2:$V$1001,0),0), INDEX($AC$1004:$AS$1004,1,MATCH(COLUMNS($AC$1006:AR1006),$AC$1006:$AS$1006,0)))),"Fix")))</f>
        <v xml:space="preserve"> </v>
      </c>
      <c r="R278" s="4" t="str">
        <f ca="1">IF(OR(INDEX($W$2:$W$1001,MATCH(ROWS($V$2:V278),$V$2:$V$1001,0),1)&gt;=100000,INDEX($AC$1005:$AS$1005,1,MATCH(COLUMNS($AC$1006:AS1006),$AC$1006:$AS$1006,0))&gt;=100000), " ",IF(INDEX($AC$2:$AS$1001,MATCH(ROWS($V$2:V278),$V$2:$V$1001,0),MATCH(COLUMNS($AC$1006:AS1006),$AC$1006:$AS$1006,0)), HYPERLINK("#",""), HYPERLINK(CONCATENATE("#metadata!", ADDRESS(INDEX($X$2:$X$1001,MATCH(ROWS($V$2:V278),$V$2:$V$1001,0),0), INDEX($AC$1004:$AS$1004,1,MATCH(COLUMNS($AC$1006:AS1006),$AC$1006:$AS$1006,0)))),"Fix")))</f>
        <v xml:space="preserve"> </v>
      </c>
      <c r="V278">
        <v>277</v>
      </c>
      <c r="W278">
        <v>100278</v>
      </c>
      <c r="X278">
        <v>278</v>
      </c>
      <c r="Y278" t="b">
        <f t="shared" si="4"/>
        <v>1</v>
      </c>
      <c r="Z278" t="b">
        <f>COUNTBLANK(metadata!B278:R278)=COLUMNS(metadata!B278:R278)</f>
        <v>1</v>
      </c>
      <c r="AA278" t="str">
        <v/>
      </c>
      <c r="AC278" t="b">
        <f ca="1"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AD278" t="b">
        <f>IF(metadata!C278="",FALSE,ISNUMBER(VALUE(metadata!C278)))</f>
        <v>0</v>
      </c>
      <c r="AE278" t="b">
        <f>AND(IF(metadata!D278="",FALSE,TRUE),EXACT(metadata!D278,"years"))</f>
        <v>0</v>
      </c>
      <c r="AF278" t="b">
        <f>OR(AND(IF(metadata!E278="",FALSE,TRUE),OR(EXACT(metadata!E278,"not applicable"),EXACT(metadata!E278,"missing: not collected"),EXACT(metadata!E278,"missing: not provided"),EXACT(metadata!E278,"missing: restricted access"))),AND(IF(metadata!E278="",FALSE,ISNUMBER(VALUE(metadata!E278))),metadata!E278&gt;0))</f>
        <v>0</v>
      </c>
      <c r="AG278" t="b">
        <f>AND(IF(metadata!F278="",FALSE,TRUE),EXACT(metadata!F278,"Not applicable"))</f>
        <v>0</v>
      </c>
      <c r="AH278" t="b">
        <f>AND(IF(metadata!G278="",FALSE,TRUE),EXACT(metadata!G278,"urban biome"))</f>
        <v>0</v>
      </c>
      <c r="AI278" t="b">
        <f>AND(IF(metadata!H278="",FALSE,TRUE),EXACT(metadata!H278,"human-associated habitat"))</f>
        <v>0</v>
      </c>
      <c r="AJ278" t="b">
        <f>AND(IF(metadata!I278="",FALSE,TRUE),OR(EXACT(metadata!I278,"human-associated"),EXACT(metadata!I278,"human-skin"),EXACT(metadata!I278,"human-oral"),EXACT(metadata!I278,"human-gut"),EXACT(metadata!I278,"human-vaginal")))</f>
        <v>0</v>
      </c>
      <c r="AK278" t="b">
        <f>IF(metadata!J278="",FALSE,ISNUMBER(VALUE(metadata!J278)))</f>
        <v>0</v>
      </c>
      <c r="AL278" t="b">
        <f>AND(IF(metadata!K278="",FALSE,TRUE),EXACT(metadata!K278,"cm"))</f>
        <v>0</v>
      </c>
      <c r="AM278" t="b">
        <f>AND(IF(metadata!L278="",FALSE,TRUE),EXACT(metadata!L278,"human"))</f>
        <v>0</v>
      </c>
      <c r="AN278" t="b">
        <f>AND(IF(metadata!M278="",FALSE,TRUE),EXACT(metadata!M278,"Homo sapiens"))</f>
        <v>0</v>
      </c>
      <c r="AO278" t="b">
        <f>AND(IF(metadata!N278="",FALSE,TRUE),EXACT(metadata!N278,"9606"))</f>
        <v>0</v>
      </c>
      <c r="AP278" t="b">
        <f>IF(metadata!O278="",FALSE,TRUE)</f>
        <v>0</v>
      </c>
      <c r="AQ278" t="b">
        <f>IF(metadata!P278="",FALSE,TRUE)</f>
        <v>0</v>
      </c>
      <c r="AR278" t="b">
        <f>IF(metadata!Q278="",FALSE,ISNUMBER(VALUE(metadata!Q278)))</f>
        <v>0</v>
      </c>
      <c r="AS278" t="b">
        <f>AND(IF(metadata!R278="",FALSE,TRUE),EXACT(metadata!R278,"kg"))</f>
        <v>0</v>
      </c>
    </row>
    <row r="279" spans="1:45" x14ac:dyDescent="0.2">
      <c r="A279" s="5" t="str">
        <f ca="1">IF(B279=" "," ",HYPERLINK(CONCATENATE("#metadata!",ADDRESS(INDEX($X$2:$X$1001,MATCH(ROWS($V$2:V279),$V$2:$V$1001,0),0),1)),INDEX($AA$2:$AA$1001,MATCH(ROWS($V$2:V279),$V$2:$V$1001,0),0)))</f>
        <v xml:space="preserve"> </v>
      </c>
      <c r="B279" s="4" t="str">
        <f ca="1">IF(OR(INDEX($W$2:$W$1001,MATCH(ROWS($V$2:V279),$V$2:$V$1001,0),1)&gt;=100000,INDEX($AC$1005:$AS$1005,1,MATCH(COLUMNS($AC$1006:AC1006),$AC$1006:$AS$1006,0))&gt;=100000), " ",IF(INDEX($AC$2:$AS$1001,MATCH(ROWS($V$2:V279),$V$2:$V$1001,0),MATCH(COLUMNS($AC$1006:AC1006),$AC$1006:$AS$1006,0)), HYPERLINK("#",""), HYPERLINK(CONCATENATE("#metadata!", ADDRESS(INDEX($X$2:$X$1001,MATCH(ROWS($V$2:V279),$V$2:$V$1001,0),0), INDEX($AC$1004:$AS$1004,1,MATCH(COLUMNS($AC$1006:AC1006),$AC$1006:$AS$1006,0)))),"Fix")))</f>
        <v xml:space="preserve"> </v>
      </c>
      <c r="C279" s="4" t="str">
        <f ca="1">IF(OR(INDEX($W$2:$W$1001,MATCH(ROWS($V$2:V279),$V$2:$V$1001,0),1)&gt;=100000,INDEX($AC$1005:$AS$1005,1,MATCH(COLUMNS($AC$1006:AD1006),$AC$1006:$AS$1006,0))&gt;=100000), " ",IF(INDEX($AC$2:$AS$1001,MATCH(ROWS($V$2:V279),$V$2:$V$1001,0),MATCH(COLUMNS($AC$1006:AD1006),$AC$1006:$AS$1006,0)), HYPERLINK("#",""), HYPERLINK(CONCATENATE("#metadata!", ADDRESS(INDEX($X$2:$X$1001,MATCH(ROWS($V$2:V279),$V$2:$V$1001,0),0), INDEX($AC$1004:$AS$1004,1,MATCH(COLUMNS($AC$1006:AD1006),$AC$1006:$AS$1006,0)))),"Fix")))</f>
        <v xml:space="preserve"> </v>
      </c>
      <c r="D279" s="4" t="str">
        <f ca="1">IF(OR(INDEX($W$2:$W$1001,MATCH(ROWS($V$2:V279),$V$2:$V$1001,0),1)&gt;=100000,INDEX($AC$1005:$AS$1005,1,MATCH(COLUMNS($AC$1006:AE1006),$AC$1006:$AS$1006,0))&gt;=100000), " ",IF(INDEX($AC$2:$AS$1001,MATCH(ROWS($V$2:V279),$V$2:$V$1001,0),MATCH(COLUMNS($AC$1006:AE1006),$AC$1006:$AS$1006,0)), HYPERLINK("#",""), HYPERLINK(CONCATENATE("#metadata!", ADDRESS(INDEX($X$2:$X$1001,MATCH(ROWS($V$2:V279),$V$2:$V$1001,0),0), INDEX($AC$1004:$AS$1004,1,MATCH(COLUMNS($AC$1006:AE1006),$AC$1006:$AS$1006,0)))),"Fix")))</f>
        <v xml:space="preserve"> </v>
      </c>
      <c r="E279" s="4" t="str">
        <f ca="1">IF(OR(INDEX($W$2:$W$1001,MATCH(ROWS($V$2:V279),$V$2:$V$1001,0),1)&gt;=100000,INDEX($AC$1005:$AS$1005,1,MATCH(COLUMNS($AC$1006:AF1006),$AC$1006:$AS$1006,0))&gt;=100000), " ",IF(INDEX($AC$2:$AS$1001,MATCH(ROWS($V$2:V279),$V$2:$V$1001,0),MATCH(COLUMNS($AC$1006:AF1006),$AC$1006:$AS$1006,0)), HYPERLINK("#",""), HYPERLINK(CONCATENATE("#metadata!", ADDRESS(INDEX($X$2:$X$1001,MATCH(ROWS($V$2:V279),$V$2:$V$1001,0),0), INDEX($AC$1004:$AS$1004,1,MATCH(COLUMNS($AC$1006:AF1006),$AC$1006:$AS$1006,0)))),"Fix")))</f>
        <v xml:space="preserve"> </v>
      </c>
      <c r="F279" s="4" t="str">
        <f ca="1">IF(OR(INDEX($W$2:$W$1001,MATCH(ROWS($V$2:V279),$V$2:$V$1001,0),1)&gt;=100000,INDEX($AC$1005:$AS$1005,1,MATCH(COLUMNS($AC$1006:AG1006),$AC$1006:$AS$1006,0))&gt;=100000), " ",IF(INDEX($AC$2:$AS$1001,MATCH(ROWS($V$2:V279),$V$2:$V$1001,0),MATCH(COLUMNS($AC$1006:AG1006),$AC$1006:$AS$1006,0)), HYPERLINK("#",""), HYPERLINK(CONCATENATE("#metadata!", ADDRESS(INDEX($X$2:$X$1001,MATCH(ROWS($V$2:V279),$V$2:$V$1001,0),0), INDEX($AC$1004:$AS$1004,1,MATCH(COLUMNS($AC$1006:AG1006),$AC$1006:$AS$1006,0)))),"Fix")))</f>
        <v xml:space="preserve"> </v>
      </c>
      <c r="G279" s="4" t="str">
        <f ca="1">IF(OR(INDEX($W$2:$W$1001,MATCH(ROWS($V$2:V279),$V$2:$V$1001,0),1)&gt;=100000,INDEX($AC$1005:$AS$1005,1,MATCH(COLUMNS($AC$1006:AH1006),$AC$1006:$AS$1006,0))&gt;=100000), " ",IF(INDEX($AC$2:$AS$1001,MATCH(ROWS($V$2:V279),$V$2:$V$1001,0),MATCH(COLUMNS($AC$1006:AH1006),$AC$1006:$AS$1006,0)), HYPERLINK("#",""), HYPERLINK(CONCATENATE("#metadata!", ADDRESS(INDEX($X$2:$X$1001,MATCH(ROWS($V$2:V279),$V$2:$V$1001,0),0), INDEX($AC$1004:$AS$1004,1,MATCH(COLUMNS($AC$1006:AH1006),$AC$1006:$AS$1006,0)))),"Fix")))</f>
        <v xml:space="preserve"> </v>
      </c>
      <c r="H279" s="4" t="str">
        <f ca="1">IF(OR(INDEX($W$2:$W$1001,MATCH(ROWS($V$2:V279),$V$2:$V$1001,0),1)&gt;=100000,INDEX($AC$1005:$AS$1005,1,MATCH(COLUMNS($AC$1006:AI1006),$AC$1006:$AS$1006,0))&gt;=100000), " ",IF(INDEX($AC$2:$AS$1001,MATCH(ROWS($V$2:V279),$V$2:$V$1001,0),MATCH(COLUMNS($AC$1006:AI1006),$AC$1006:$AS$1006,0)), HYPERLINK("#",""), HYPERLINK(CONCATENATE("#metadata!", ADDRESS(INDEX($X$2:$X$1001,MATCH(ROWS($V$2:V279),$V$2:$V$1001,0),0), INDEX($AC$1004:$AS$1004,1,MATCH(COLUMNS($AC$1006:AI1006),$AC$1006:$AS$1006,0)))),"Fix")))</f>
        <v xml:space="preserve"> </v>
      </c>
      <c r="I279" s="4" t="str">
        <f ca="1">IF(OR(INDEX($W$2:$W$1001,MATCH(ROWS($V$2:V279),$V$2:$V$1001,0),1)&gt;=100000,INDEX($AC$1005:$AS$1005,1,MATCH(COLUMNS($AC$1006:AJ1006),$AC$1006:$AS$1006,0))&gt;=100000), " ",IF(INDEX($AC$2:$AS$1001,MATCH(ROWS($V$2:V279),$V$2:$V$1001,0),MATCH(COLUMNS($AC$1006:AJ1006),$AC$1006:$AS$1006,0)), HYPERLINK("#",""), HYPERLINK(CONCATENATE("#metadata!", ADDRESS(INDEX($X$2:$X$1001,MATCH(ROWS($V$2:V279),$V$2:$V$1001,0),0), INDEX($AC$1004:$AS$1004,1,MATCH(COLUMNS($AC$1006:AJ1006),$AC$1006:$AS$1006,0)))),"Fix")))</f>
        <v xml:space="preserve"> </v>
      </c>
      <c r="J279" s="4" t="str">
        <f ca="1">IF(OR(INDEX($W$2:$W$1001,MATCH(ROWS($V$2:V279),$V$2:$V$1001,0),1)&gt;=100000,INDEX($AC$1005:$AS$1005,1,MATCH(COLUMNS($AC$1006:AK1006),$AC$1006:$AS$1006,0))&gt;=100000), " ",IF(INDEX($AC$2:$AS$1001,MATCH(ROWS($V$2:V279),$V$2:$V$1001,0),MATCH(COLUMNS($AC$1006:AK1006),$AC$1006:$AS$1006,0)), HYPERLINK("#",""), HYPERLINK(CONCATENATE("#metadata!", ADDRESS(INDEX($X$2:$X$1001,MATCH(ROWS($V$2:V279),$V$2:$V$1001,0),0), INDEX($AC$1004:$AS$1004,1,MATCH(COLUMNS($AC$1006:AK1006),$AC$1006:$AS$1006,0)))),"Fix")))</f>
        <v xml:space="preserve"> </v>
      </c>
      <c r="K279" s="4" t="str">
        <f ca="1">IF(OR(INDEX($W$2:$W$1001,MATCH(ROWS($V$2:V279),$V$2:$V$1001,0),1)&gt;=100000,INDEX($AC$1005:$AS$1005,1,MATCH(COLUMNS($AC$1006:AL1006),$AC$1006:$AS$1006,0))&gt;=100000), " ",IF(INDEX($AC$2:$AS$1001,MATCH(ROWS($V$2:V279),$V$2:$V$1001,0),MATCH(COLUMNS($AC$1006:AL1006),$AC$1006:$AS$1006,0)), HYPERLINK("#",""), HYPERLINK(CONCATENATE("#metadata!", ADDRESS(INDEX($X$2:$X$1001,MATCH(ROWS($V$2:V279),$V$2:$V$1001,0),0), INDEX($AC$1004:$AS$1004,1,MATCH(COLUMNS($AC$1006:AL1006),$AC$1006:$AS$1006,0)))),"Fix")))</f>
        <v xml:space="preserve"> </v>
      </c>
      <c r="L279" s="4" t="str">
        <f ca="1">IF(OR(INDEX($W$2:$W$1001,MATCH(ROWS($V$2:V279),$V$2:$V$1001,0),1)&gt;=100000,INDEX($AC$1005:$AS$1005,1,MATCH(COLUMNS($AC$1006:AM1006),$AC$1006:$AS$1006,0))&gt;=100000), " ",IF(INDEX($AC$2:$AS$1001,MATCH(ROWS($V$2:V279),$V$2:$V$1001,0),MATCH(COLUMNS($AC$1006:AM1006),$AC$1006:$AS$1006,0)), HYPERLINK("#",""), HYPERLINK(CONCATENATE("#metadata!", ADDRESS(INDEX($X$2:$X$1001,MATCH(ROWS($V$2:V279),$V$2:$V$1001,0),0), INDEX($AC$1004:$AS$1004,1,MATCH(COLUMNS($AC$1006:AM1006),$AC$1006:$AS$1006,0)))),"Fix")))</f>
        <v xml:space="preserve"> </v>
      </c>
      <c r="M279" s="4" t="str">
        <f ca="1">IF(OR(INDEX($W$2:$W$1001,MATCH(ROWS($V$2:V279),$V$2:$V$1001,0),1)&gt;=100000,INDEX($AC$1005:$AS$1005,1,MATCH(COLUMNS($AC$1006:AN1006),$AC$1006:$AS$1006,0))&gt;=100000), " ",IF(INDEX($AC$2:$AS$1001,MATCH(ROWS($V$2:V279),$V$2:$V$1001,0),MATCH(COLUMNS($AC$1006:AN1006),$AC$1006:$AS$1006,0)), HYPERLINK("#",""), HYPERLINK(CONCATENATE("#metadata!", ADDRESS(INDEX($X$2:$X$1001,MATCH(ROWS($V$2:V279),$V$2:$V$1001,0),0), INDEX($AC$1004:$AS$1004,1,MATCH(COLUMNS($AC$1006:AN1006),$AC$1006:$AS$1006,0)))),"Fix")))</f>
        <v xml:space="preserve"> </v>
      </c>
      <c r="N279" s="4" t="str">
        <f ca="1">IF(OR(INDEX($W$2:$W$1001,MATCH(ROWS($V$2:V279),$V$2:$V$1001,0),1)&gt;=100000,INDEX($AC$1005:$AS$1005,1,MATCH(COLUMNS($AC$1006:AO1006),$AC$1006:$AS$1006,0))&gt;=100000), " ",IF(INDEX($AC$2:$AS$1001,MATCH(ROWS($V$2:V279),$V$2:$V$1001,0),MATCH(COLUMNS($AC$1006:AO1006),$AC$1006:$AS$1006,0)), HYPERLINK("#",""), HYPERLINK(CONCATENATE("#metadata!", ADDRESS(INDEX($X$2:$X$1001,MATCH(ROWS($V$2:V279),$V$2:$V$1001,0),0), INDEX($AC$1004:$AS$1004,1,MATCH(COLUMNS($AC$1006:AO1006),$AC$1006:$AS$1006,0)))),"Fix")))</f>
        <v xml:space="preserve"> </v>
      </c>
      <c r="O279" s="4" t="str">
        <f ca="1">IF(OR(INDEX($W$2:$W$1001,MATCH(ROWS($V$2:V279),$V$2:$V$1001,0),1)&gt;=100000,INDEX($AC$1005:$AS$1005,1,MATCH(COLUMNS($AC$1006:AP1006),$AC$1006:$AS$1006,0))&gt;=100000), " ",IF(INDEX($AC$2:$AS$1001,MATCH(ROWS($V$2:V279),$V$2:$V$1001,0),MATCH(COLUMNS($AC$1006:AP1006),$AC$1006:$AS$1006,0)), HYPERLINK("#",""), HYPERLINK(CONCATENATE("#metadata!", ADDRESS(INDEX($X$2:$X$1001,MATCH(ROWS($V$2:V279),$V$2:$V$1001,0),0), INDEX($AC$1004:$AS$1004,1,MATCH(COLUMNS($AC$1006:AP1006),$AC$1006:$AS$1006,0)))),"Fix")))</f>
        <v xml:space="preserve"> </v>
      </c>
      <c r="P279" s="4" t="str">
        <f ca="1">IF(OR(INDEX($W$2:$W$1001,MATCH(ROWS($V$2:V279),$V$2:$V$1001,0),1)&gt;=100000,INDEX($AC$1005:$AS$1005,1,MATCH(COLUMNS($AC$1006:AQ1006),$AC$1006:$AS$1006,0))&gt;=100000), " ",IF(INDEX($AC$2:$AS$1001,MATCH(ROWS($V$2:V279),$V$2:$V$1001,0),MATCH(COLUMNS($AC$1006:AQ1006),$AC$1006:$AS$1006,0)), HYPERLINK("#",""), HYPERLINK(CONCATENATE("#metadata!", ADDRESS(INDEX($X$2:$X$1001,MATCH(ROWS($V$2:V279),$V$2:$V$1001,0),0), INDEX($AC$1004:$AS$1004,1,MATCH(COLUMNS($AC$1006:AQ1006),$AC$1006:$AS$1006,0)))),"Fix")))</f>
        <v xml:space="preserve"> </v>
      </c>
      <c r="Q279" s="4" t="str">
        <f ca="1">IF(OR(INDEX($W$2:$W$1001,MATCH(ROWS($V$2:V279),$V$2:$V$1001,0),1)&gt;=100000,INDEX($AC$1005:$AS$1005,1,MATCH(COLUMNS($AC$1006:AR1006),$AC$1006:$AS$1006,0))&gt;=100000), " ",IF(INDEX($AC$2:$AS$1001,MATCH(ROWS($V$2:V279),$V$2:$V$1001,0),MATCH(COLUMNS($AC$1006:AR1006),$AC$1006:$AS$1006,0)), HYPERLINK("#",""), HYPERLINK(CONCATENATE("#metadata!", ADDRESS(INDEX($X$2:$X$1001,MATCH(ROWS($V$2:V279),$V$2:$V$1001,0),0), INDEX($AC$1004:$AS$1004,1,MATCH(COLUMNS($AC$1006:AR1006),$AC$1006:$AS$1006,0)))),"Fix")))</f>
        <v xml:space="preserve"> </v>
      </c>
      <c r="R279" s="4" t="str">
        <f ca="1">IF(OR(INDEX($W$2:$W$1001,MATCH(ROWS($V$2:V279),$V$2:$V$1001,0),1)&gt;=100000,INDEX($AC$1005:$AS$1005,1,MATCH(COLUMNS($AC$1006:AS1006),$AC$1006:$AS$1006,0))&gt;=100000), " ",IF(INDEX($AC$2:$AS$1001,MATCH(ROWS($V$2:V279),$V$2:$V$1001,0),MATCH(COLUMNS($AC$1006:AS1006),$AC$1006:$AS$1006,0)), HYPERLINK("#",""), HYPERLINK(CONCATENATE("#metadata!", ADDRESS(INDEX($X$2:$X$1001,MATCH(ROWS($V$2:V279),$V$2:$V$1001,0),0), INDEX($AC$1004:$AS$1004,1,MATCH(COLUMNS($AC$1006:AS1006),$AC$1006:$AS$1006,0)))),"Fix")))</f>
        <v xml:space="preserve"> </v>
      </c>
      <c r="V279">
        <v>278</v>
      </c>
      <c r="W279">
        <v>100279</v>
      </c>
      <c r="X279">
        <v>279</v>
      </c>
      <c r="Y279" t="b">
        <f t="shared" si="4"/>
        <v>1</v>
      </c>
      <c r="Z279" t="b">
        <f>COUNTBLANK(metadata!B279:R279)=COLUMNS(metadata!B279:R279)</f>
        <v>1</v>
      </c>
      <c r="AA279" t="str">
        <v/>
      </c>
      <c r="AC279" t="b">
        <f ca="1"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AD279" t="b">
        <f>IF(metadata!C279="",FALSE,ISNUMBER(VALUE(metadata!C279)))</f>
        <v>0</v>
      </c>
      <c r="AE279" t="b">
        <f>AND(IF(metadata!D279="",FALSE,TRUE),EXACT(metadata!D279,"years"))</f>
        <v>0</v>
      </c>
      <c r="AF279" t="b">
        <f>OR(AND(IF(metadata!E279="",FALSE,TRUE),OR(EXACT(metadata!E279,"not applicable"),EXACT(metadata!E279,"missing: not collected"),EXACT(metadata!E279,"missing: not provided"),EXACT(metadata!E279,"missing: restricted access"))),AND(IF(metadata!E279="",FALSE,ISNUMBER(VALUE(metadata!E279))),metadata!E279&gt;0))</f>
        <v>0</v>
      </c>
      <c r="AG279" t="b">
        <f>AND(IF(metadata!F279="",FALSE,TRUE),EXACT(metadata!F279,"Not applicable"))</f>
        <v>0</v>
      </c>
      <c r="AH279" t="b">
        <f>AND(IF(metadata!G279="",FALSE,TRUE),EXACT(metadata!G279,"urban biome"))</f>
        <v>0</v>
      </c>
      <c r="AI279" t="b">
        <f>AND(IF(metadata!H279="",FALSE,TRUE),EXACT(metadata!H279,"human-associated habitat"))</f>
        <v>0</v>
      </c>
      <c r="AJ279" t="b">
        <f>AND(IF(metadata!I279="",FALSE,TRUE),OR(EXACT(metadata!I279,"human-associated"),EXACT(metadata!I279,"human-skin"),EXACT(metadata!I279,"human-oral"),EXACT(metadata!I279,"human-gut"),EXACT(metadata!I279,"human-vaginal")))</f>
        <v>0</v>
      </c>
      <c r="AK279" t="b">
        <f>IF(metadata!J279="",FALSE,ISNUMBER(VALUE(metadata!J279)))</f>
        <v>0</v>
      </c>
      <c r="AL279" t="b">
        <f>AND(IF(metadata!K279="",FALSE,TRUE),EXACT(metadata!K279,"cm"))</f>
        <v>0</v>
      </c>
      <c r="AM279" t="b">
        <f>AND(IF(metadata!L279="",FALSE,TRUE),EXACT(metadata!L279,"human"))</f>
        <v>0</v>
      </c>
      <c r="AN279" t="b">
        <f>AND(IF(metadata!M279="",FALSE,TRUE),EXACT(metadata!M279,"Homo sapiens"))</f>
        <v>0</v>
      </c>
      <c r="AO279" t="b">
        <f>AND(IF(metadata!N279="",FALSE,TRUE),EXACT(metadata!N279,"9606"))</f>
        <v>0</v>
      </c>
      <c r="AP279" t="b">
        <f>IF(metadata!O279="",FALSE,TRUE)</f>
        <v>0</v>
      </c>
      <c r="AQ279" t="b">
        <f>IF(metadata!P279="",FALSE,TRUE)</f>
        <v>0</v>
      </c>
      <c r="AR279" t="b">
        <f>IF(metadata!Q279="",FALSE,ISNUMBER(VALUE(metadata!Q279)))</f>
        <v>0</v>
      </c>
      <c r="AS279" t="b">
        <f>AND(IF(metadata!R279="",FALSE,TRUE),EXACT(metadata!R279,"kg"))</f>
        <v>0</v>
      </c>
    </row>
    <row r="280" spans="1:45" x14ac:dyDescent="0.2">
      <c r="A280" s="5" t="str">
        <f ca="1">IF(B280=" "," ",HYPERLINK(CONCATENATE("#metadata!",ADDRESS(INDEX($X$2:$X$1001,MATCH(ROWS($V$2:V280),$V$2:$V$1001,0),0),1)),INDEX($AA$2:$AA$1001,MATCH(ROWS($V$2:V280),$V$2:$V$1001,0),0)))</f>
        <v xml:space="preserve"> </v>
      </c>
      <c r="B280" s="4" t="str">
        <f ca="1">IF(OR(INDEX($W$2:$W$1001,MATCH(ROWS($V$2:V280),$V$2:$V$1001,0),1)&gt;=100000,INDEX($AC$1005:$AS$1005,1,MATCH(COLUMNS($AC$1006:AC1006),$AC$1006:$AS$1006,0))&gt;=100000), " ",IF(INDEX($AC$2:$AS$1001,MATCH(ROWS($V$2:V280),$V$2:$V$1001,0),MATCH(COLUMNS($AC$1006:AC1006),$AC$1006:$AS$1006,0)), HYPERLINK("#",""), HYPERLINK(CONCATENATE("#metadata!", ADDRESS(INDEX($X$2:$X$1001,MATCH(ROWS($V$2:V280),$V$2:$V$1001,0),0), INDEX($AC$1004:$AS$1004,1,MATCH(COLUMNS($AC$1006:AC1006),$AC$1006:$AS$1006,0)))),"Fix")))</f>
        <v xml:space="preserve"> </v>
      </c>
      <c r="C280" s="4" t="str">
        <f ca="1">IF(OR(INDEX($W$2:$W$1001,MATCH(ROWS($V$2:V280),$V$2:$V$1001,0),1)&gt;=100000,INDEX($AC$1005:$AS$1005,1,MATCH(COLUMNS($AC$1006:AD1006),$AC$1006:$AS$1006,0))&gt;=100000), " ",IF(INDEX($AC$2:$AS$1001,MATCH(ROWS($V$2:V280),$V$2:$V$1001,0),MATCH(COLUMNS($AC$1006:AD1006),$AC$1006:$AS$1006,0)), HYPERLINK("#",""), HYPERLINK(CONCATENATE("#metadata!", ADDRESS(INDEX($X$2:$X$1001,MATCH(ROWS($V$2:V280),$V$2:$V$1001,0),0), INDEX($AC$1004:$AS$1004,1,MATCH(COLUMNS($AC$1006:AD1006),$AC$1006:$AS$1006,0)))),"Fix")))</f>
        <v xml:space="preserve"> </v>
      </c>
      <c r="D280" s="4" t="str">
        <f ca="1">IF(OR(INDEX($W$2:$W$1001,MATCH(ROWS($V$2:V280),$V$2:$V$1001,0),1)&gt;=100000,INDEX($AC$1005:$AS$1005,1,MATCH(COLUMNS($AC$1006:AE1006),$AC$1006:$AS$1006,0))&gt;=100000), " ",IF(INDEX($AC$2:$AS$1001,MATCH(ROWS($V$2:V280),$V$2:$V$1001,0),MATCH(COLUMNS($AC$1006:AE1006),$AC$1006:$AS$1006,0)), HYPERLINK("#",""), HYPERLINK(CONCATENATE("#metadata!", ADDRESS(INDEX($X$2:$X$1001,MATCH(ROWS($V$2:V280),$V$2:$V$1001,0),0), INDEX($AC$1004:$AS$1004,1,MATCH(COLUMNS($AC$1006:AE1006),$AC$1006:$AS$1006,0)))),"Fix")))</f>
        <v xml:space="preserve"> </v>
      </c>
      <c r="E280" s="4" t="str">
        <f ca="1">IF(OR(INDEX($W$2:$W$1001,MATCH(ROWS($V$2:V280),$V$2:$V$1001,0),1)&gt;=100000,INDEX($AC$1005:$AS$1005,1,MATCH(COLUMNS($AC$1006:AF1006),$AC$1006:$AS$1006,0))&gt;=100000), " ",IF(INDEX($AC$2:$AS$1001,MATCH(ROWS($V$2:V280),$V$2:$V$1001,0),MATCH(COLUMNS($AC$1006:AF1006),$AC$1006:$AS$1006,0)), HYPERLINK("#",""), HYPERLINK(CONCATENATE("#metadata!", ADDRESS(INDEX($X$2:$X$1001,MATCH(ROWS($V$2:V280),$V$2:$V$1001,0),0), INDEX($AC$1004:$AS$1004,1,MATCH(COLUMNS($AC$1006:AF1006),$AC$1006:$AS$1006,0)))),"Fix")))</f>
        <v xml:space="preserve"> </v>
      </c>
      <c r="F280" s="4" t="str">
        <f ca="1">IF(OR(INDEX($W$2:$W$1001,MATCH(ROWS($V$2:V280),$V$2:$V$1001,0),1)&gt;=100000,INDEX($AC$1005:$AS$1005,1,MATCH(COLUMNS($AC$1006:AG1006),$AC$1006:$AS$1006,0))&gt;=100000), " ",IF(INDEX($AC$2:$AS$1001,MATCH(ROWS($V$2:V280),$V$2:$V$1001,0),MATCH(COLUMNS($AC$1006:AG1006),$AC$1006:$AS$1006,0)), HYPERLINK("#",""), HYPERLINK(CONCATENATE("#metadata!", ADDRESS(INDEX($X$2:$X$1001,MATCH(ROWS($V$2:V280),$V$2:$V$1001,0),0), INDEX($AC$1004:$AS$1004,1,MATCH(COLUMNS($AC$1006:AG1006),$AC$1006:$AS$1006,0)))),"Fix")))</f>
        <v xml:space="preserve"> </v>
      </c>
      <c r="G280" s="4" t="str">
        <f ca="1">IF(OR(INDEX($W$2:$W$1001,MATCH(ROWS($V$2:V280),$V$2:$V$1001,0),1)&gt;=100000,INDEX($AC$1005:$AS$1005,1,MATCH(COLUMNS($AC$1006:AH1006),$AC$1006:$AS$1006,0))&gt;=100000), " ",IF(INDEX($AC$2:$AS$1001,MATCH(ROWS($V$2:V280),$V$2:$V$1001,0),MATCH(COLUMNS($AC$1006:AH1006),$AC$1006:$AS$1006,0)), HYPERLINK("#",""), HYPERLINK(CONCATENATE("#metadata!", ADDRESS(INDEX($X$2:$X$1001,MATCH(ROWS($V$2:V280),$V$2:$V$1001,0),0), INDEX($AC$1004:$AS$1004,1,MATCH(COLUMNS($AC$1006:AH1006),$AC$1006:$AS$1006,0)))),"Fix")))</f>
        <v xml:space="preserve"> </v>
      </c>
      <c r="H280" s="4" t="str">
        <f ca="1">IF(OR(INDEX($W$2:$W$1001,MATCH(ROWS($V$2:V280),$V$2:$V$1001,0),1)&gt;=100000,INDEX($AC$1005:$AS$1005,1,MATCH(COLUMNS($AC$1006:AI1006),$AC$1006:$AS$1006,0))&gt;=100000), " ",IF(INDEX($AC$2:$AS$1001,MATCH(ROWS($V$2:V280),$V$2:$V$1001,0),MATCH(COLUMNS($AC$1006:AI1006),$AC$1006:$AS$1006,0)), HYPERLINK("#",""), HYPERLINK(CONCATENATE("#metadata!", ADDRESS(INDEX($X$2:$X$1001,MATCH(ROWS($V$2:V280),$V$2:$V$1001,0),0), INDEX($AC$1004:$AS$1004,1,MATCH(COLUMNS($AC$1006:AI1006),$AC$1006:$AS$1006,0)))),"Fix")))</f>
        <v xml:space="preserve"> </v>
      </c>
      <c r="I280" s="4" t="str">
        <f ca="1">IF(OR(INDEX($W$2:$W$1001,MATCH(ROWS($V$2:V280),$V$2:$V$1001,0),1)&gt;=100000,INDEX($AC$1005:$AS$1005,1,MATCH(COLUMNS($AC$1006:AJ1006),$AC$1006:$AS$1006,0))&gt;=100000), " ",IF(INDEX($AC$2:$AS$1001,MATCH(ROWS($V$2:V280),$V$2:$V$1001,0),MATCH(COLUMNS($AC$1006:AJ1006),$AC$1006:$AS$1006,0)), HYPERLINK("#",""), HYPERLINK(CONCATENATE("#metadata!", ADDRESS(INDEX($X$2:$X$1001,MATCH(ROWS($V$2:V280),$V$2:$V$1001,0),0), INDEX($AC$1004:$AS$1004,1,MATCH(COLUMNS($AC$1006:AJ1006),$AC$1006:$AS$1006,0)))),"Fix")))</f>
        <v xml:space="preserve"> </v>
      </c>
      <c r="J280" s="4" t="str">
        <f ca="1">IF(OR(INDEX($W$2:$W$1001,MATCH(ROWS($V$2:V280),$V$2:$V$1001,0),1)&gt;=100000,INDEX($AC$1005:$AS$1005,1,MATCH(COLUMNS($AC$1006:AK1006),$AC$1006:$AS$1006,0))&gt;=100000), " ",IF(INDEX($AC$2:$AS$1001,MATCH(ROWS($V$2:V280),$V$2:$V$1001,0),MATCH(COLUMNS($AC$1006:AK1006),$AC$1006:$AS$1006,0)), HYPERLINK("#",""), HYPERLINK(CONCATENATE("#metadata!", ADDRESS(INDEX($X$2:$X$1001,MATCH(ROWS($V$2:V280),$V$2:$V$1001,0),0), INDEX($AC$1004:$AS$1004,1,MATCH(COLUMNS($AC$1006:AK1006),$AC$1006:$AS$1006,0)))),"Fix")))</f>
        <v xml:space="preserve"> </v>
      </c>
      <c r="K280" s="4" t="str">
        <f ca="1">IF(OR(INDEX($W$2:$W$1001,MATCH(ROWS($V$2:V280),$V$2:$V$1001,0),1)&gt;=100000,INDEX($AC$1005:$AS$1005,1,MATCH(COLUMNS($AC$1006:AL1006),$AC$1006:$AS$1006,0))&gt;=100000), " ",IF(INDEX($AC$2:$AS$1001,MATCH(ROWS($V$2:V280),$V$2:$V$1001,0),MATCH(COLUMNS($AC$1006:AL1006),$AC$1006:$AS$1006,0)), HYPERLINK("#",""), HYPERLINK(CONCATENATE("#metadata!", ADDRESS(INDEX($X$2:$X$1001,MATCH(ROWS($V$2:V280),$V$2:$V$1001,0),0), INDEX($AC$1004:$AS$1004,1,MATCH(COLUMNS($AC$1006:AL1006),$AC$1006:$AS$1006,0)))),"Fix")))</f>
        <v xml:space="preserve"> </v>
      </c>
      <c r="L280" s="4" t="str">
        <f ca="1">IF(OR(INDEX($W$2:$W$1001,MATCH(ROWS($V$2:V280),$V$2:$V$1001,0),1)&gt;=100000,INDEX($AC$1005:$AS$1005,1,MATCH(COLUMNS($AC$1006:AM1006),$AC$1006:$AS$1006,0))&gt;=100000), " ",IF(INDEX($AC$2:$AS$1001,MATCH(ROWS($V$2:V280),$V$2:$V$1001,0),MATCH(COLUMNS($AC$1006:AM1006),$AC$1006:$AS$1006,0)), HYPERLINK("#",""), HYPERLINK(CONCATENATE("#metadata!", ADDRESS(INDEX($X$2:$X$1001,MATCH(ROWS($V$2:V280),$V$2:$V$1001,0),0), INDEX($AC$1004:$AS$1004,1,MATCH(COLUMNS($AC$1006:AM1006),$AC$1006:$AS$1006,0)))),"Fix")))</f>
        <v xml:space="preserve"> </v>
      </c>
      <c r="M280" s="4" t="str">
        <f ca="1">IF(OR(INDEX($W$2:$W$1001,MATCH(ROWS($V$2:V280),$V$2:$V$1001,0),1)&gt;=100000,INDEX($AC$1005:$AS$1005,1,MATCH(COLUMNS($AC$1006:AN1006),$AC$1006:$AS$1006,0))&gt;=100000), " ",IF(INDEX($AC$2:$AS$1001,MATCH(ROWS($V$2:V280),$V$2:$V$1001,0),MATCH(COLUMNS($AC$1006:AN1006),$AC$1006:$AS$1006,0)), HYPERLINK("#",""), HYPERLINK(CONCATENATE("#metadata!", ADDRESS(INDEX($X$2:$X$1001,MATCH(ROWS($V$2:V280),$V$2:$V$1001,0),0), INDEX($AC$1004:$AS$1004,1,MATCH(COLUMNS($AC$1006:AN1006),$AC$1006:$AS$1006,0)))),"Fix")))</f>
        <v xml:space="preserve"> </v>
      </c>
      <c r="N280" s="4" t="str">
        <f ca="1">IF(OR(INDEX($W$2:$W$1001,MATCH(ROWS($V$2:V280),$V$2:$V$1001,0),1)&gt;=100000,INDEX($AC$1005:$AS$1005,1,MATCH(COLUMNS($AC$1006:AO1006),$AC$1006:$AS$1006,0))&gt;=100000), " ",IF(INDEX($AC$2:$AS$1001,MATCH(ROWS($V$2:V280),$V$2:$V$1001,0),MATCH(COLUMNS($AC$1006:AO1006),$AC$1006:$AS$1006,0)), HYPERLINK("#",""), HYPERLINK(CONCATENATE("#metadata!", ADDRESS(INDEX($X$2:$X$1001,MATCH(ROWS($V$2:V280),$V$2:$V$1001,0),0), INDEX($AC$1004:$AS$1004,1,MATCH(COLUMNS($AC$1006:AO1006),$AC$1006:$AS$1006,0)))),"Fix")))</f>
        <v xml:space="preserve"> </v>
      </c>
      <c r="O280" s="4" t="str">
        <f ca="1">IF(OR(INDEX($W$2:$W$1001,MATCH(ROWS($V$2:V280),$V$2:$V$1001,0),1)&gt;=100000,INDEX($AC$1005:$AS$1005,1,MATCH(COLUMNS($AC$1006:AP1006),$AC$1006:$AS$1006,0))&gt;=100000), " ",IF(INDEX($AC$2:$AS$1001,MATCH(ROWS($V$2:V280),$V$2:$V$1001,0),MATCH(COLUMNS($AC$1006:AP1006),$AC$1006:$AS$1006,0)), HYPERLINK("#",""), HYPERLINK(CONCATENATE("#metadata!", ADDRESS(INDEX($X$2:$X$1001,MATCH(ROWS($V$2:V280),$V$2:$V$1001,0),0), INDEX($AC$1004:$AS$1004,1,MATCH(COLUMNS($AC$1006:AP1006),$AC$1006:$AS$1006,0)))),"Fix")))</f>
        <v xml:space="preserve"> </v>
      </c>
      <c r="P280" s="4" t="str">
        <f ca="1">IF(OR(INDEX($W$2:$W$1001,MATCH(ROWS($V$2:V280),$V$2:$V$1001,0),1)&gt;=100000,INDEX($AC$1005:$AS$1005,1,MATCH(COLUMNS($AC$1006:AQ1006),$AC$1006:$AS$1006,0))&gt;=100000), " ",IF(INDEX($AC$2:$AS$1001,MATCH(ROWS($V$2:V280),$V$2:$V$1001,0),MATCH(COLUMNS($AC$1006:AQ1006),$AC$1006:$AS$1006,0)), HYPERLINK("#",""), HYPERLINK(CONCATENATE("#metadata!", ADDRESS(INDEX($X$2:$X$1001,MATCH(ROWS($V$2:V280),$V$2:$V$1001,0),0), INDEX($AC$1004:$AS$1004,1,MATCH(COLUMNS($AC$1006:AQ1006),$AC$1006:$AS$1006,0)))),"Fix")))</f>
        <v xml:space="preserve"> </v>
      </c>
      <c r="Q280" s="4" t="str">
        <f ca="1">IF(OR(INDEX($W$2:$W$1001,MATCH(ROWS($V$2:V280),$V$2:$V$1001,0),1)&gt;=100000,INDEX($AC$1005:$AS$1005,1,MATCH(COLUMNS($AC$1006:AR1006),$AC$1006:$AS$1006,0))&gt;=100000), " ",IF(INDEX($AC$2:$AS$1001,MATCH(ROWS($V$2:V280),$V$2:$V$1001,0),MATCH(COLUMNS($AC$1006:AR1006),$AC$1006:$AS$1006,0)), HYPERLINK("#",""), HYPERLINK(CONCATENATE("#metadata!", ADDRESS(INDEX($X$2:$X$1001,MATCH(ROWS($V$2:V280),$V$2:$V$1001,0),0), INDEX($AC$1004:$AS$1004,1,MATCH(COLUMNS($AC$1006:AR1006),$AC$1006:$AS$1006,0)))),"Fix")))</f>
        <v xml:space="preserve"> </v>
      </c>
      <c r="R280" s="4" t="str">
        <f ca="1">IF(OR(INDEX($W$2:$W$1001,MATCH(ROWS($V$2:V280),$V$2:$V$1001,0),1)&gt;=100000,INDEX($AC$1005:$AS$1005,1,MATCH(COLUMNS($AC$1006:AS1006),$AC$1006:$AS$1006,0))&gt;=100000), " ",IF(INDEX($AC$2:$AS$1001,MATCH(ROWS($V$2:V280),$V$2:$V$1001,0),MATCH(COLUMNS($AC$1006:AS1006),$AC$1006:$AS$1006,0)), HYPERLINK("#",""), HYPERLINK(CONCATENATE("#metadata!", ADDRESS(INDEX($X$2:$X$1001,MATCH(ROWS($V$2:V280),$V$2:$V$1001,0),0), INDEX($AC$1004:$AS$1004,1,MATCH(COLUMNS($AC$1006:AS1006),$AC$1006:$AS$1006,0)))),"Fix")))</f>
        <v xml:space="preserve"> </v>
      </c>
      <c r="V280">
        <v>279</v>
      </c>
      <c r="W280">
        <v>100280</v>
      </c>
      <c r="X280">
        <v>280</v>
      </c>
      <c r="Y280" t="b">
        <f t="shared" si="4"/>
        <v>1</v>
      </c>
      <c r="Z280" t="b">
        <f>COUNTBLANK(metadata!B280:R280)=COLUMNS(metadata!B280:R280)</f>
        <v>1</v>
      </c>
      <c r="AA280" t="str">
        <v/>
      </c>
      <c r="AC280" t="b">
        <f ca="1"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AD280" t="b">
        <f>IF(metadata!C280="",FALSE,ISNUMBER(VALUE(metadata!C280)))</f>
        <v>0</v>
      </c>
      <c r="AE280" t="b">
        <f>AND(IF(metadata!D280="",FALSE,TRUE),EXACT(metadata!D280,"years"))</f>
        <v>0</v>
      </c>
      <c r="AF280" t="b">
        <f>OR(AND(IF(metadata!E280="",FALSE,TRUE),OR(EXACT(metadata!E280,"not applicable"),EXACT(metadata!E280,"missing: not collected"),EXACT(metadata!E280,"missing: not provided"),EXACT(metadata!E280,"missing: restricted access"))),AND(IF(metadata!E280="",FALSE,ISNUMBER(VALUE(metadata!E280))),metadata!E280&gt;0))</f>
        <v>0</v>
      </c>
      <c r="AG280" t="b">
        <f>AND(IF(metadata!F280="",FALSE,TRUE),EXACT(metadata!F280,"Not applicable"))</f>
        <v>0</v>
      </c>
      <c r="AH280" t="b">
        <f>AND(IF(metadata!G280="",FALSE,TRUE),EXACT(metadata!G280,"urban biome"))</f>
        <v>0</v>
      </c>
      <c r="AI280" t="b">
        <f>AND(IF(metadata!H280="",FALSE,TRUE),EXACT(metadata!H280,"human-associated habitat"))</f>
        <v>0</v>
      </c>
      <c r="AJ280" t="b">
        <f>AND(IF(metadata!I280="",FALSE,TRUE),OR(EXACT(metadata!I280,"human-associated"),EXACT(metadata!I280,"human-skin"),EXACT(metadata!I280,"human-oral"),EXACT(metadata!I280,"human-gut"),EXACT(metadata!I280,"human-vaginal")))</f>
        <v>0</v>
      </c>
      <c r="AK280" t="b">
        <f>IF(metadata!J280="",FALSE,ISNUMBER(VALUE(metadata!J280)))</f>
        <v>0</v>
      </c>
      <c r="AL280" t="b">
        <f>AND(IF(metadata!K280="",FALSE,TRUE),EXACT(metadata!K280,"cm"))</f>
        <v>0</v>
      </c>
      <c r="AM280" t="b">
        <f>AND(IF(metadata!L280="",FALSE,TRUE),EXACT(metadata!L280,"human"))</f>
        <v>0</v>
      </c>
      <c r="AN280" t="b">
        <f>AND(IF(metadata!M280="",FALSE,TRUE),EXACT(metadata!M280,"Homo sapiens"))</f>
        <v>0</v>
      </c>
      <c r="AO280" t="b">
        <f>AND(IF(metadata!N280="",FALSE,TRUE),EXACT(metadata!N280,"9606"))</f>
        <v>0</v>
      </c>
      <c r="AP280" t="b">
        <f>IF(metadata!O280="",FALSE,TRUE)</f>
        <v>0</v>
      </c>
      <c r="AQ280" t="b">
        <f>IF(metadata!P280="",FALSE,TRUE)</f>
        <v>0</v>
      </c>
      <c r="AR280" t="b">
        <f>IF(metadata!Q280="",FALSE,ISNUMBER(VALUE(metadata!Q280)))</f>
        <v>0</v>
      </c>
      <c r="AS280" t="b">
        <f>AND(IF(metadata!R280="",FALSE,TRUE),EXACT(metadata!R280,"kg"))</f>
        <v>0</v>
      </c>
    </row>
    <row r="281" spans="1:45" x14ac:dyDescent="0.2">
      <c r="A281" s="5" t="str">
        <f ca="1">IF(B281=" "," ",HYPERLINK(CONCATENATE("#metadata!",ADDRESS(INDEX($X$2:$X$1001,MATCH(ROWS($V$2:V281),$V$2:$V$1001,0),0),1)),INDEX($AA$2:$AA$1001,MATCH(ROWS($V$2:V281),$V$2:$V$1001,0),0)))</f>
        <v xml:space="preserve"> </v>
      </c>
      <c r="B281" s="4" t="str">
        <f ca="1">IF(OR(INDEX($W$2:$W$1001,MATCH(ROWS($V$2:V281),$V$2:$V$1001,0),1)&gt;=100000,INDEX($AC$1005:$AS$1005,1,MATCH(COLUMNS($AC$1006:AC1006),$AC$1006:$AS$1006,0))&gt;=100000), " ",IF(INDEX($AC$2:$AS$1001,MATCH(ROWS($V$2:V281),$V$2:$V$1001,0),MATCH(COLUMNS($AC$1006:AC1006),$AC$1006:$AS$1006,0)), HYPERLINK("#",""), HYPERLINK(CONCATENATE("#metadata!", ADDRESS(INDEX($X$2:$X$1001,MATCH(ROWS($V$2:V281),$V$2:$V$1001,0),0), INDEX($AC$1004:$AS$1004,1,MATCH(COLUMNS($AC$1006:AC1006),$AC$1006:$AS$1006,0)))),"Fix")))</f>
        <v xml:space="preserve"> </v>
      </c>
      <c r="C281" s="4" t="str">
        <f ca="1">IF(OR(INDEX($W$2:$W$1001,MATCH(ROWS($V$2:V281),$V$2:$V$1001,0),1)&gt;=100000,INDEX($AC$1005:$AS$1005,1,MATCH(COLUMNS($AC$1006:AD1006),$AC$1006:$AS$1006,0))&gt;=100000), " ",IF(INDEX($AC$2:$AS$1001,MATCH(ROWS($V$2:V281),$V$2:$V$1001,0),MATCH(COLUMNS($AC$1006:AD1006),$AC$1006:$AS$1006,0)), HYPERLINK("#",""), HYPERLINK(CONCATENATE("#metadata!", ADDRESS(INDEX($X$2:$X$1001,MATCH(ROWS($V$2:V281),$V$2:$V$1001,0),0), INDEX($AC$1004:$AS$1004,1,MATCH(COLUMNS($AC$1006:AD1006),$AC$1006:$AS$1006,0)))),"Fix")))</f>
        <v xml:space="preserve"> </v>
      </c>
      <c r="D281" s="4" t="str">
        <f ca="1">IF(OR(INDEX($W$2:$W$1001,MATCH(ROWS($V$2:V281),$V$2:$V$1001,0),1)&gt;=100000,INDEX($AC$1005:$AS$1005,1,MATCH(COLUMNS($AC$1006:AE1006),$AC$1006:$AS$1006,0))&gt;=100000), " ",IF(INDEX($AC$2:$AS$1001,MATCH(ROWS($V$2:V281),$V$2:$V$1001,0),MATCH(COLUMNS($AC$1006:AE1006),$AC$1006:$AS$1006,0)), HYPERLINK("#",""), HYPERLINK(CONCATENATE("#metadata!", ADDRESS(INDEX($X$2:$X$1001,MATCH(ROWS($V$2:V281),$V$2:$V$1001,0),0), INDEX($AC$1004:$AS$1004,1,MATCH(COLUMNS($AC$1006:AE1006),$AC$1006:$AS$1006,0)))),"Fix")))</f>
        <v xml:space="preserve"> </v>
      </c>
      <c r="E281" s="4" t="str">
        <f ca="1">IF(OR(INDEX($W$2:$W$1001,MATCH(ROWS($V$2:V281),$V$2:$V$1001,0),1)&gt;=100000,INDEX($AC$1005:$AS$1005,1,MATCH(COLUMNS($AC$1006:AF1006),$AC$1006:$AS$1006,0))&gt;=100000), " ",IF(INDEX($AC$2:$AS$1001,MATCH(ROWS($V$2:V281),$V$2:$V$1001,0),MATCH(COLUMNS($AC$1006:AF1006),$AC$1006:$AS$1006,0)), HYPERLINK("#",""), HYPERLINK(CONCATENATE("#metadata!", ADDRESS(INDEX($X$2:$X$1001,MATCH(ROWS($V$2:V281),$V$2:$V$1001,0),0), INDEX($AC$1004:$AS$1004,1,MATCH(COLUMNS($AC$1006:AF1006),$AC$1006:$AS$1006,0)))),"Fix")))</f>
        <v xml:space="preserve"> </v>
      </c>
      <c r="F281" s="4" t="str">
        <f ca="1">IF(OR(INDEX($W$2:$W$1001,MATCH(ROWS($V$2:V281),$V$2:$V$1001,0),1)&gt;=100000,INDEX($AC$1005:$AS$1005,1,MATCH(COLUMNS($AC$1006:AG1006),$AC$1006:$AS$1006,0))&gt;=100000), " ",IF(INDEX($AC$2:$AS$1001,MATCH(ROWS($V$2:V281),$V$2:$V$1001,0),MATCH(COLUMNS($AC$1006:AG1006),$AC$1006:$AS$1006,0)), HYPERLINK("#",""), HYPERLINK(CONCATENATE("#metadata!", ADDRESS(INDEX($X$2:$X$1001,MATCH(ROWS($V$2:V281),$V$2:$V$1001,0),0), INDEX($AC$1004:$AS$1004,1,MATCH(COLUMNS($AC$1006:AG1006),$AC$1006:$AS$1006,0)))),"Fix")))</f>
        <v xml:space="preserve"> </v>
      </c>
      <c r="G281" s="4" t="str">
        <f ca="1">IF(OR(INDEX($W$2:$W$1001,MATCH(ROWS($V$2:V281),$V$2:$V$1001,0),1)&gt;=100000,INDEX($AC$1005:$AS$1005,1,MATCH(COLUMNS($AC$1006:AH1006),$AC$1006:$AS$1006,0))&gt;=100000), " ",IF(INDEX($AC$2:$AS$1001,MATCH(ROWS($V$2:V281),$V$2:$V$1001,0),MATCH(COLUMNS($AC$1006:AH1006),$AC$1006:$AS$1006,0)), HYPERLINK("#",""), HYPERLINK(CONCATENATE("#metadata!", ADDRESS(INDEX($X$2:$X$1001,MATCH(ROWS($V$2:V281),$V$2:$V$1001,0),0), INDEX($AC$1004:$AS$1004,1,MATCH(COLUMNS($AC$1006:AH1006),$AC$1006:$AS$1006,0)))),"Fix")))</f>
        <v xml:space="preserve"> </v>
      </c>
      <c r="H281" s="4" t="str">
        <f ca="1">IF(OR(INDEX($W$2:$W$1001,MATCH(ROWS($V$2:V281),$V$2:$V$1001,0),1)&gt;=100000,INDEX($AC$1005:$AS$1005,1,MATCH(COLUMNS($AC$1006:AI1006),$AC$1006:$AS$1006,0))&gt;=100000), " ",IF(INDEX($AC$2:$AS$1001,MATCH(ROWS($V$2:V281),$V$2:$V$1001,0),MATCH(COLUMNS($AC$1006:AI1006),$AC$1006:$AS$1006,0)), HYPERLINK("#",""), HYPERLINK(CONCATENATE("#metadata!", ADDRESS(INDEX($X$2:$X$1001,MATCH(ROWS($V$2:V281),$V$2:$V$1001,0),0), INDEX($AC$1004:$AS$1004,1,MATCH(COLUMNS($AC$1006:AI1006),$AC$1006:$AS$1006,0)))),"Fix")))</f>
        <v xml:space="preserve"> </v>
      </c>
      <c r="I281" s="4" t="str">
        <f ca="1">IF(OR(INDEX($W$2:$W$1001,MATCH(ROWS($V$2:V281),$V$2:$V$1001,0),1)&gt;=100000,INDEX($AC$1005:$AS$1005,1,MATCH(COLUMNS($AC$1006:AJ1006),$AC$1006:$AS$1006,0))&gt;=100000), " ",IF(INDEX($AC$2:$AS$1001,MATCH(ROWS($V$2:V281),$V$2:$V$1001,0),MATCH(COLUMNS($AC$1006:AJ1006),$AC$1006:$AS$1006,0)), HYPERLINK("#",""), HYPERLINK(CONCATENATE("#metadata!", ADDRESS(INDEX($X$2:$X$1001,MATCH(ROWS($V$2:V281),$V$2:$V$1001,0),0), INDEX($AC$1004:$AS$1004,1,MATCH(COLUMNS($AC$1006:AJ1006),$AC$1006:$AS$1006,0)))),"Fix")))</f>
        <v xml:space="preserve"> </v>
      </c>
      <c r="J281" s="4" t="str">
        <f ca="1">IF(OR(INDEX($W$2:$W$1001,MATCH(ROWS($V$2:V281),$V$2:$V$1001,0),1)&gt;=100000,INDEX($AC$1005:$AS$1005,1,MATCH(COLUMNS($AC$1006:AK1006),$AC$1006:$AS$1006,0))&gt;=100000), " ",IF(INDEX($AC$2:$AS$1001,MATCH(ROWS($V$2:V281),$V$2:$V$1001,0),MATCH(COLUMNS($AC$1006:AK1006),$AC$1006:$AS$1006,0)), HYPERLINK("#",""), HYPERLINK(CONCATENATE("#metadata!", ADDRESS(INDEX($X$2:$X$1001,MATCH(ROWS($V$2:V281),$V$2:$V$1001,0),0), INDEX($AC$1004:$AS$1004,1,MATCH(COLUMNS($AC$1006:AK1006),$AC$1006:$AS$1006,0)))),"Fix")))</f>
        <v xml:space="preserve"> </v>
      </c>
      <c r="K281" s="4" t="str">
        <f ca="1">IF(OR(INDEX($W$2:$W$1001,MATCH(ROWS($V$2:V281),$V$2:$V$1001,0),1)&gt;=100000,INDEX($AC$1005:$AS$1005,1,MATCH(COLUMNS($AC$1006:AL1006),$AC$1006:$AS$1006,0))&gt;=100000), " ",IF(INDEX($AC$2:$AS$1001,MATCH(ROWS($V$2:V281),$V$2:$V$1001,0),MATCH(COLUMNS($AC$1006:AL1006),$AC$1006:$AS$1006,0)), HYPERLINK("#",""), HYPERLINK(CONCATENATE("#metadata!", ADDRESS(INDEX($X$2:$X$1001,MATCH(ROWS($V$2:V281),$V$2:$V$1001,0),0), INDEX($AC$1004:$AS$1004,1,MATCH(COLUMNS($AC$1006:AL1006),$AC$1006:$AS$1006,0)))),"Fix")))</f>
        <v xml:space="preserve"> </v>
      </c>
      <c r="L281" s="4" t="str">
        <f ca="1">IF(OR(INDEX($W$2:$W$1001,MATCH(ROWS($V$2:V281),$V$2:$V$1001,0),1)&gt;=100000,INDEX($AC$1005:$AS$1005,1,MATCH(COLUMNS($AC$1006:AM1006),$AC$1006:$AS$1006,0))&gt;=100000), " ",IF(INDEX($AC$2:$AS$1001,MATCH(ROWS($V$2:V281),$V$2:$V$1001,0),MATCH(COLUMNS($AC$1006:AM1006),$AC$1006:$AS$1006,0)), HYPERLINK("#",""), HYPERLINK(CONCATENATE("#metadata!", ADDRESS(INDEX($X$2:$X$1001,MATCH(ROWS($V$2:V281),$V$2:$V$1001,0),0), INDEX($AC$1004:$AS$1004,1,MATCH(COLUMNS($AC$1006:AM1006),$AC$1006:$AS$1006,0)))),"Fix")))</f>
        <v xml:space="preserve"> </v>
      </c>
      <c r="M281" s="4" t="str">
        <f ca="1">IF(OR(INDEX($W$2:$W$1001,MATCH(ROWS($V$2:V281),$V$2:$V$1001,0),1)&gt;=100000,INDEX($AC$1005:$AS$1005,1,MATCH(COLUMNS($AC$1006:AN1006),$AC$1006:$AS$1006,0))&gt;=100000), " ",IF(INDEX($AC$2:$AS$1001,MATCH(ROWS($V$2:V281),$V$2:$V$1001,0),MATCH(COLUMNS($AC$1006:AN1006),$AC$1006:$AS$1006,0)), HYPERLINK("#",""), HYPERLINK(CONCATENATE("#metadata!", ADDRESS(INDEX($X$2:$X$1001,MATCH(ROWS($V$2:V281),$V$2:$V$1001,0),0), INDEX($AC$1004:$AS$1004,1,MATCH(COLUMNS($AC$1006:AN1006),$AC$1006:$AS$1006,0)))),"Fix")))</f>
        <v xml:space="preserve"> </v>
      </c>
      <c r="N281" s="4" t="str">
        <f ca="1">IF(OR(INDEX($W$2:$W$1001,MATCH(ROWS($V$2:V281),$V$2:$V$1001,0),1)&gt;=100000,INDEX($AC$1005:$AS$1005,1,MATCH(COLUMNS($AC$1006:AO1006),$AC$1006:$AS$1006,0))&gt;=100000), " ",IF(INDEX($AC$2:$AS$1001,MATCH(ROWS($V$2:V281),$V$2:$V$1001,0),MATCH(COLUMNS($AC$1006:AO1006),$AC$1006:$AS$1006,0)), HYPERLINK("#",""), HYPERLINK(CONCATENATE("#metadata!", ADDRESS(INDEX($X$2:$X$1001,MATCH(ROWS($V$2:V281),$V$2:$V$1001,0),0), INDEX($AC$1004:$AS$1004,1,MATCH(COLUMNS($AC$1006:AO1006),$AC$1006:$AS$1006,0)))),"Fix")))</f>
        <v xml:space="preserve"> </v>
      </c>
      <c r="O281" s="4" t="str">
        <f ca="1">IF(OR(INDEX($W$2:$W$1001,MATCH(ROWS($V$2:V281),$V$2:$V$1001,0),1)&gt;=100000,INDEX($AC$1005:$AS$1005,1,MATCH(COLUMNS($AC$1006:AP1006),$AC$1006:$AS$1006,0))&gt;=100000), " ",IF(INDEX($AC$2:$AS$1001,MATCH(ROWS($V$2:V281),$V$2:$V$1001,0),MATCH(COLUMNS($AC$1006:AP1006),$AC$1006:$AS$1006,0)), HYPERLINK("#",""), HYPERLINK(CONCATENATE("#metadata!", ADDRESS(INDEX($X$2:$X$1001,MATCH(ROWS($V$2:V281),$V$2:$V$1001,0),0), INDEX($AC$1004:$AS$1004,1,MATCH(COLUMNS($AC$1006:AP1006),$AC$1006:$AS$1006,0)))),"Fix")))</f>
        <v xml:space="preserve"> </v>
      </c>
      <c r="P281" s="4" t="str">
        <f ca="1">IF(OR(INDEX($W$2:$W$1001,MATCH(ROWS($V$2:V281),$V$2:$V$1001,0),1)&gt;=100000,INDEX($AC$1005:$AS$1005,1,MATCH(COLUMNS($AC$1006:AQ1006),$AC$1006:$AS$1006,0))&gt;=100000), " ",IF(INDEX($AC$2:$AS$1001,MATCH(ROWS($V$2:V281),$V$2:$V$1001,0),MATCH(COLUMNS($AC$1006:AQ1006),$AC$1006:$AS$1006,0)), HYPERLINK("#",""), HYPERLINK(CONCATENATE("#metadata!", ADDRESS(INDEX($X$2:$X$1001,MATCH(ROWS($V$2:V281),$V$2:$V$1001,0),0), INDEX($AC$1004:$AS$1004,1,MATCH(COLUMNS($AC$1006:AQ1006),$AC$1006:$AS$1006,0)))),"Fix")))</f>
        <v xml:space="preserve"> </v>
      </c>
      <c r="Q281" s="4" t="str">
        <f ca="1">IF(OR(INDEX($W$2:$W$1001,MATCH(ROWS($V$2:V281),$V$2:$V$1001,0),1)&gt;=100000,INDEX($AC$1005:$AS$1005,1,MATCH(COLUMNS($AC$1006:AR1006),$AC$1006:$AS$1006,0))&gt;=100000), " ",IF(INDEX($AC$2:$AS$1001,MATCH(ROWS($V$2:V281),$V$2:$V$1001,0),MATCH(COLUMNS($AC$1006:AR1006),$AC$1006:$AS$1006,0)), HYPERLINK("#",""), HYPERLINK(CONCATENATE("#metadata!", ADDRESS(INDEX($X$2:$X$1001,MATCH(ROWS($V$2:V281),$V$2:$V$1001,0),0), INDEX($AC$1004:$AS$1004,1,MATCH(COLUMNS($AC$1006:AR1006),$AC$1006:$AS$1006,0)))),"Fix")))</f>
        <v xml:space="preserve"> </v>
      </c>
      <c r="R281" s="4" t="str">
        <f ca="1">IF(OR(INDEX($W$2:$W$1001,MATCH(ROWS($V$2:V281),$V$2:$V$1001,0),1)&gt;=100000,INDEX($AC$1005:$AS$1005,1,MATCH(COLUMNS($AC$1006:AS1006),$AC$1006:$AS$1006,0))&gt;=100000), " ",IF(INDEX($AC$2:$AS$1001,MATCH(ROWS($V$2:V281),$V$2:$V$1001,0),MATCH(COLUMNS($AC$1006:AS1006),$AC$1006:$AS$1006,0)), HYPERLINK("#",""), HYPERLINK(CONCATENATE("#metadata!", ADDRESS(INDEX($X$2:$X$1001,MATCH(ROWS($V$2:V281),$V$2:$V$1001,0),0), INDEX($AC$1004:$AS$1004,1,MATCH(COLUMNS($AC$1006:AS1006),$AC$1006:$AS$1006,0)))),"Fix")))</f>
        <v xml:space="preserve"> </v>
      </c>
      <c r="V281">
        <v>280</v>
      </c>
      <c r="W281">
        <v>100281</v>
      </c>
      <c r="X281">
        <v>281</v>
      </c>
      <c r="Y281" t="b">
        <f t="shared" si="4"/>
        <v>1</v>
      </c>
      <c r="Z281" t="b">
        <f>COUNTBLANK(metadata!B281:R281)=COLUMNS(metadata!B281:R281)</f>
        <v>1</v>
      </c>
      <c r="AA281" t="str">
        <v/>
      </c>
      <c r="AC281" t="b">
        <f ca="1"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AD281" t="b">
        <f>IF(metadata!C281="",FALSE,ISNUMBER(VALUE(metadata!C281)))</f>
        <v>0</v>
      </c>
      <c r="AE281" t="b">
        <f>AND(IF(metadata!D281="",FALSE,TRUE),EXACT(metadata!D281,"years"))</f>
        <v>0</v>
      </c>
      <c r="AF281" t="b">
        <f>OR(AND(IF(metadata!E281="",FALSE,TRUE),OR(EXACT(metadata!E281,"not applicable"),EXACT(metadata!E281,"missing: not collected"),EXACT(metadata!E281,"missing: not provided"),EXACT(metadata!E281,"missing: restricted access"))),AND(IF(metadata!E281="",FALSE,ISNUMBER(VALUE(metadata!E281))),metadata!E281&gt;0))</f>
        <v>0</v>
      </c>
      <c r="AG281" t="b">
        <f>AND(IF(metadata!F281="",FALSE,TRUE),EXACT(metadata!F281,"Not applicable"))</f>
        <v>0</v>
      </c>
      <c r="AH281" t="b">
        <f>AND(IF(metadata!G281="",FALSE,TRUE),EXACT(metadata!G281,"urban biome"))</f>
        <v>0</v>
      </c>
      <c r="AI281" t="b">
        <f>AND(IF(metadata!H281="",FALSE,TRUE),EXACT(metadata!H281,"human-associated habitat"))</f>
        <v>0</v>
      </c>
      <c r="AJ281" t="b">
        <f>AND(IF(metadata!I281="",FALSE,TRUE),OR(EXACT(metadata!I281,"human-associated"),EXACT(metadata!I281,"human-skin"),EXACT(metadata!I281,"human-oral"),EXACT(metadata!I281,"human-gut"),EXACT(metadata!I281,"human-vaginal")))</f>
        <v>0</v>
      </c>
      <c r="AK281" t="b">
        <f>IF(metadata!J281="",FALSE,ISNUMBER(VALUE(metadata!J281)))</f>
        <v>0</v>
      </c>
      <c r="AL281" t="b">
        <f>AND(IF(metadata!K281="",FALSE,TRUE),EXACT(metadata!K281,"cm"))</f>
        <v>0</v>
      </c>
      <c r="AM281" t="b">
        <f>AND(IF(metadata!L281="",FALSE,TRUE),EXACT(metadata!L281,"human"))</f>
        <v>0</v>
      </c>
      <c r="AN281" t="b">
        <f>AND(IF(metadata!M281="",FALSE,TRUE),EXACT(metadata!M281,"Homo sapiens"))</f>
        <v>0</v>
      </c>
      <c r="AO281" t="b">
        <f>AND(IF(metadata!N281="",FALSE,TRUE),EXACT(metadata!N281,"9606"))</f>
        <v>0</v>
      </c>
      <c r="AP281" t="b">
        <f>IF(metadata!O281="",FALSE,TRUE)</f>
        <v>0</v>
      </c>
      <c r="AQ281" t="b">
        <f>IF(metadata!P281="",FALSE,TRUE)</f>
        <v>0</v>
      </c>
      <c r="AR281" t="b">
        <f>IF(metadata!Q281="",FALSE,ISNUMBER(VALUE(metadata!Q281)))</f>
        <v>0</v>
      </c>
      <c r="AS281" t="b">
        <f>AND(IF(metadata!R281="",FALSE,TRUE),EXACT(metadata!R281,"kg"))</f>
        <v>0</v>
      </c>
    </row>
    <row r="282" spans="1:45" x14ac:dyDescent="0.2">
      <c r="A282" s="5" t="str">
        <f ca="1">IF(B282=" "," ",HYPERLINK(CONCATENATE("#metadata!",ADDRESS(INDEX($X$2:$X$1001,MATCH(ROWS($V$2:V282),$V$2:$V$1001,0),0),1)),INDEX($AA$2:$AA$1001,MATCH(ROWS($V$2:V282),$V$2:$V$1001,0),0)))</f>
        <v xml:space="preserve"> </v>
      </c>
      <c r="B282" s="4" t="str">
        <f ca="1">IF(OR(INDEX($W$2:$W$1001,MATCH(ROWS($V$2:V282),$V$2:$V$1001,0),1)&gt;=100000,INDEX($AC$1005:$AS$1005,1,MATCH(COLUMNS($AC$1006:AC1006),$AC$1006:$AS$1006,0))&gt;=100000), " ",IF(INDEX($AC$2:$AS$1001,MATCH(ROWS($V$2:V282),$V$2:$V$1001,0),MATCH(COLUMNS($AC$1006:AC1006),$AC$1006:$AS$1006,0)), HYPERLINK("#",""), HYPERLINK(CONCATENATE("#metadata!", ADDRESS(INDEX($X$2:$X$1001,MATCH(ROWS($V$2:V282),$V$2:$V$1001,0),0), INDEX($AC$1004:$AS$1004,1,MATCH(COLUMNS($AC$1006:AC1006),$AC$1006:$AS$1006,0)))),"Fix")))</f>
        <v xml:space="preserve"> </v>
      </c>
      <c r="C282" s="4" t="str">
        <f ca="1">IF(OR(INDEX($W$2:$W$1001,MATCH(ROWS($V$2:V282),$V$2:$V$1001,0),1)&gt;=100000,INDEX($AC$1005:$AS$1005,1,MATCH(COLUMNS($AC$1006:AD1006),$AC$1006:$AS$1006,0))&gt;=100000), " ",IF(INDEX($AC$2:$AS$1001,MATCH(ROWS($V$2:V282),$V$2:$V$1001,0),MATCH(COLUMNS($AC$1006:AD1006),$AC$1006:$AS$1006,0)), HYPERLINK("#",""), HYPERLINK(CONCATENATE("#metadata!", ADDRESS(INDEX($X$2:$X$1001,MATCH(ROWS($V$2:V282),$V$2:$V$1001,0),0), INDEX($AC$1004:$AS$1004,1,MATCH(COLUMNS($AC$1006:AD1006),$AC$1006:$AS$1006,0)))),"Fix")))</f>
        <v xml:space="preserve"> </v>
      </c>
      <c r="D282" s="4" t="str">
        <f ca="1">IF(OR(INDEX($W$2:$W$1001,MATCH(ROWS($V$2:V282),$V$2:$V$1001,0),1)&gt;=100000,INDEX($AC$1005:$AS$1005,1,MATCH(COLUMNS($AC$1006:AE1006),$AC$1006:$AS$1006,0))&gt;=100000), " ",IF(INDEX($AC$2:$AS$1001,MATCH(ROWS($V$2:V282),$V$2:$V$1001,0),MATCH(COLUMNS($AC$1006:AE1006),$AC$1006:$AS$1006,0)), HYPERLINK("#",""), HYPERLINK(CONCATENATE("#metadata!", ADDRESS(INDEX($X$2:$X$1001,MATCH(ROWS($V$2:V282),$V$2:$V$1001,0),0), INDEX($AC$1004:$AS$1004,1,MATCH(COLUMNS($AC$1006:AE1006),$AC$1006:$AS$1006,0)))),"Fix")))</f>
        <v xml:space="preserve"> </v>
      </c>
      <c r="E282" s="4" t="str">
        <f ca="1">IF(OR(INDEX($W$2:$W$1001,MATCH(ROWS($V$2:V282),$V$2:$V$1001,0),1)&gt;=100000,INDEX($AC$1005:$AS$1005,1,MATCH(COLUMNS($AC$1006:AF1006),$AC$1006:$AS$1006,0))&gt;=100000), " ",IF(INDEX($AC$2:$AS$1001,MATCH(ROWS($V$2:V282),$V$2:$V$1001,0),MATCH(COLUMNS($AC$1006:AF1006),$AC$1006:$AS$1006,0)), HYPERLINK("#",""), HYPERLINK(CONCATENATE("#metadata!", ADDRESS(INDEX($X$2:$X$1001,MATCH(ROWS($V$2:V282),$V$2:$V$1001,0),0), INDEX($AC$1004:$AS$1004,1,MATCH(COLUMNS($AC$1006:AF1006),$AC$1006:$AS$1006,0)))),"Fix")))</f>
        <v xml:space="preserve"> </v>
      </c>
      <c r="F282" s="4" t="str">
        <f ca="1">IF(OR(INDEX($W$2:$W$1001,MATCH(ROWS($V$2:V282),$V$2:$V$1001,0),1)&gt;=100000,INDEX($AC$1005:$AS$1005,1,MATCH(COLUMNS($AC$1006:AG1006),$AC$1006:$AS$1006,0))&gt;=100000), " ",IF(INDEX($AC$2:$AS$1001,MATCH(ROWS($V$2:V282),$V$2:$V$1001,0),MATCH(COLUMNS($AC$1006:AG1006),$AC$1006:$AS$1006,0)), HYPERLINK("#",""), HYPERLINK(CONCATENATE("#metadata!", ADDRESS(INDEX($X$2:$X$1001,MATCH(ROWS($V$2:V282),$V$2:$V$1001,0),0), INDEX($AC$1004:$AS$1004,1,MATCH(COLUMNS($AC$1006:AG1006),$AC$1006:$AS$1006,0)))),"Fix")))</f>
        <v xml:space="preserve"> </v>
      </c>
      <c r="G282" s="4" t="str">
        <f ca="1">IF(OR(INDEX($W$2:$W$1001,MATCH(ROWS($V$2:V282),$V$2:$V$1001,0),1)&gt;=100000,INDEX($AC$1005:$AS$1005,1,MATCH(COLUMNS($AC$1006:AH1006),$AC$1006:$AS$1006,0))&gt;=100000), " ",IF(INDEX($AC$2:$AS$1001,MATCH(ROWS($V$2:V282),$V$2:$V$1001,0),MATCH(COLUMNS($AC$1006:AH1006),$AC$1006:$AS$1006,0)), HYPERLINK("#",""), HYPERLINK(CONCATENATE("#metadata!", ADDRESS(INDEX($X$2:$X$1001,MATCH(ROWS($V$2:V282),$V$2:$V$1001,0),0), INDEX($AC$1004:$AS$1004,1,MATCH(COLUMNS($AC$1006:AH1006),$AC$1006:$AS$1006,0)))),"Fix")))</f>
        <v xml:space="preserve"> </v>
      </c>
      <c r="H282" s="4" t="str">
        <f ca="1">IF(OR(INDEX($W$2:$W$1001,MATCH(ROWS($V$2:V282),$V$2:$V$1001,0),1)&gt;=100000,INDEX($AC$1005:$AS$1005,1,MATCH(COLUMNS($AC$1006:AI1006),$AC$1006:$AS$1006,0))&gt;=100000), " ",IF(INDEX($AC$2:$AS$1001,MATCH(ROWS($V$2:V282),$V$2:$V$1001,0),MATCH(COLUMNS($AC$1006:AI1006),$AC$1006:$AS$1006,0)), HYPERLINK("#",""), HYPERLINK(CONCATENATE("#metadata!", ADDRESS(INDEX($X$2:$X$1001,MATCH(ROWS($V$2:V282),$V$2:$V$1001,0),0), INDEX($AC$1004:$AS$1004,1,MATCH(COLUMNS($AC$1006:AI1006),$AC$1006:$AS$1006,0)))),"Fix")))</f>
        <v xml:space="preserve"> </v>
      </c>
      <c r="I282" s="4" t="str">
        <f ca="1">IF(OR(INDEX($W$2:$W$1001,MATCH(ROWS($V$2:V282),$V$2:$V$1001,0),1)&gt;=100000,INDEX($AC$1005:$AS$1005,1,MATCH(COLUMNS($AC$1006:AJ1006),$AC$1006:$AS$1006,0))&gt;=100000), " ",IF(INDEX($AC$2:$AS$1001,MATCH(ROWS($V$2:V282),$V$2:$V$1001,0),MATCH(COLUMNS($AC$1006:AJ1006),$AC$1006:$AS$1006,0)), HYPERLINK("#",""), HYPERLINK(CONCATENATE("#metadata!", ADDRESS(INDEX($X$2:$X$1001,MATCH(ROWS($V$2:V282),$V$2:$V$1001,0),0), INDEX($AC$1004:$AS$1004,1,MATCH(COLUMNS($AC$1006:AJ1006),$AC$1006:$AS$1006,0)))),"Fix")))</f>
        <v xml:space="preserve"> </v>
      </c>
      <c r="J282" s="4" t="str">
        <f ca="1">IF(OR(INDEX($W$2:$W$1001,MATCH(ROWS($V$2:V282),$V$2:$V$1001,0),1)&gt;=100000,INDEX($AC$1005:$AS$1005,1,MATCH(COLUMNS($AC$1006:AK1006),$AC$1006:$AS$1006,0))&gt;=100000), " ",IF(INDEX($AC$2:$AS$1001,MATCH(ROWS($V$2:V282),$V$2:$V$1001,0),MATCH(COLUMNS($AC$1006:AK1006),$AC$1006:$AS$1006,0)), HYPERLINK("#",""), HYPERLINK(CONCATENATE("#metadata!", ADDRESS(INDEX($X$2:$X$1001,MATCH(ROWS($V$2:V282),$V$2:$V$1001,0),0), INDEX($AC$1004:$AS$1004,1,MATCH(COLUMNS($AC$1006:AK1006),$AC$1006:$AS$1006,0)))),"Fix")))</f>
        <v xml:space="preserve"> </v>
      </c>
      <c r="K282" s="4" t="str">
        <f ca="1">IF(OR(INDEX($W$2:$W$1001,MATCH(ROWS($V$2:V282),$V$2:$V$1001,0),1)&gt;=100000,INDEX($AC$1005:$AS$1005,1,MATCH(COLUMNS($AC$1006:AL1006),$AC$1006:$AS$1006,0))&gt;=100000), " ",IF(INDEX($AC$2:$AS$1001,MATCH(ROWS($V$2:V282),$V$2:$V$1001,0),MATCH(COLUMNS($AC$1006:AL1006),$AC$1006:$AS$1006,0)), HYPERLINK("#",""), HYPERLINK(CONCATENATE("#metadata!", ADDRESS(INDEX($X$2:$X$1001,MATCH(ROWS($V$2:V282),$V$2:$V$1001,0),0), INDEX($AC$1004:$AS$1004,1,MATCH(COLUMNS($AC$1006:AL1006),$AC$1006:$AS$1006,0)))),"Fix")))</f>
        <v xml:space="preserve"> </v>
      </c>
      <c r="L282" s="4" t="str">
        <f ca="1">IF(OR(INDEX($W$2:$W$1001,MATCH(ROWS($V$2:V282),$V$2:$V$1001,0),1)&gt;=100000,INDEX($AC$1005:$AS$1005,1,MATCH(COLUMNS($AC$1006:AM1006),$AC$1006:$AS$1006,0))&gt;=100000), " ",IF(INDEX($AC$2:$AS$1001,MATCH(ROWS($V$2:V282),$V$2:$V$1001,0),MATCH(COLUMNS($AC$1006:AM1006),$AC$1006:$AS$1006,0)), HYPERLINK("#",""), HYPERLINK(CONCATENATE("#metadata!", ADDRESS(INDEX($X$2:$X$1001,MATCH(ROWS($V$2:V282),$V$2:$V$1001,0),0), INDEX($AC$1004:$AS$1004,1,MATCH(COLUMNS($AC$1006:AM1006),$AC$1006:$AS$1006,0)))),"Fix")))</f>
        <v xml:space="preserve"> </v>
      </c>
      <c r="M282" s="4" t="str">
        <f ca="1">IF(OR(INDEX($W$2:$W$1001,MATCH(ROWS($V$2:V282),$V$2:$V$1001,0),1)&gt;=100000,INDEX($AC$1005:$AS$1005,1,MATCH(COLUMNS($AC$1006:AN1006),$AC$1006:$AS$1006,0))&gt;=100000), " ",IF(INDEX($AC$2:$AS$1001,MATCH(ROWS($V$2:V282),$V$2:$V$1001,0),MATCH(COLUMNS($AC$1006:AN1006),$AC$1006:$AS$1006,0)), HYPERLINK("#",""), HYPERLINK(CONCATENATE("#metadata!", ADDRESS(INDEX($X$2:$X$1001,MATCH(ROWS($V$2:V282),$V$2:$V$1001,0),0), INDEX($AC$1004:$AS$1004,1,MATCH(COLUMNS($AC$1006:AN1006),$AC$1006:$AS$1006,0)))),"Fix")))</f>
        <v xml:space="preserve"> </v>
      </c>
      <c r="N282" s="4" t="str">
        <f ca="1">IF(OR(INDEX($W$2:$W$1001,MATCH(ROWS($V$2:V282),$V$2:$V$1001,0),1)&gt;=100000,INDEX($AC$1005:$AS$1005,1,MATCH(COLUMNS($AC$1006:AO1006),$AC$1006:$AS$1006,0))&gt;=100000), " ",IF(INDEX($AC$2:$AS$1001,MATCH(ROWS($V$2:V282),$V$2:$V$1001,0),MATCH(COLUMNS($AC$1006:AO1006),$AC$1006:$AS$1006,0)), HYPERLINK("#",""), HYPERLINK(CONCATENATE("#metadata!", ADDRESS(INDEX($X$2:$X$1001,MATCH(ROWS($V$2:V282),$V$2:$V$1001,0),0), INDEX($AC$1004:$AS$1004,1,MATCH(COLUMNS($AC$1006:AO1006),$AC$1006:$AS$1006,0)))),"Fix")))</f>
        <v xml:space="preserve"> </v>
      </c>
      <c r="O282" s="4" t="str">
        <f ca="1">IF(OR(INDEX($W$2:$W$1001,MATCH(ROWS($V$2:V282),$V$2:$V$1001,0),1)&gt;=100000,INDEX($AC$1005:$AS$1005,1,MATCH(COLUMNS($AC$1006:AP1006),$AC$1006:$AS$1006,0))&gt;=100000), " ",IF(INDEX($AC$2:$AS$1001,MATCH(ROWS($V$2:V282),$V$2:$V$1001,0),MATCH(COLUMNS($AC$1006:AP1006),$AC$1006:$AS$1006,0)), HYPERLINK("#",""), HYPERLINK(CONCATENATE("#metadata!", ADDRESS(INDEX($X$2:$X$1001,MATCH(ROWS($V$2:V282),$V$2:$V$1001,0),0), INDEX($AC$1004:$AS$1004,1,MATCH(COLUMNS($AC$1006:AP1006),$AC$1006:$AS$1006,0)))),"Fix")))</f>
        <v xml:space="preserve"> </v>
      </c>
      <c r="P282" s="4" t="str">
        <f ca="1">IF(OR(INDEX($W$2:$W$1001,MATCH(ROWS($V$2:V282),$V$2:$V$1001,0),1)&gt;=100000,INDEX($AC$1005:$AS$1005,1,MATCH(COLUMNS($AC$1006:AQ1006),$AC$1006:$AS$1006,0))&gt;=100000), " ",IF(INDEX($AC$2:$AS$1001,MATCH(ROWS($V$2:V282),$V$2:$V$1001,0),MATCH(COLUMNS($AC$1006:AQ1006),$AC$1006:$AS$1006,0)), HYPERLINK("#",""), HYPERLINK(CONCATENATE("#metadata!", ADDRESS(INDEX($X$2:$X$1001,MATCH(ROWS($V$2:V282),$V$2:$V$1001,0),0), INDEX($AC$1004:$AS$1004,1,MATCH(COLUMNS($AC$1006:AQ1006),$AC$1006:$AS$1006,0)))),"Fix")))</f>
        <v xml:space="preserve"> </v>
      </c>
      <c r="Q282" s="4" t="str">
        <f ca="1">IF(OR(INDEX($W$2:$W$1001,MATCH(ROWS($V$2:V282),$V$2:$V$1001,0),1)&gt;=100000,INDEX($AC$1005:$AS$1005,1,MATCH(COLUMNS($AC$1006:AR1006),$AC$1006:$AS$1006,0))&gt;=100000), " ",IF(INDEX($AC$2:$AS$1001,MATCH(ROWS($V$2:V282),$V$2:$V$1001,0),MATCH(COLUMNS($AC$1006:AR1006),$AC$1006:$AS$1006,0)), HYPERLINK("#",""), HYPERLINK(CONCATENATE("#metadata!", ADDRESS(INDEX($X$2:$X$1001,MATCH(ROWS($V$2:V282),$V$2:$V$1001,0),0), INDEX($AC$1004:$AS$1004,1,MATCH(COLUMNS($AC$1006:AR1006),$AC$1006:$AS$1006,0)))),"Fix")))</f>
        <v xml:space="preserve"> </v>
      </c>
      <c r="R282" s="4" t="str">
        <f ca="1">IF(OR(INDEX($W$2:$W$1001,MATCH(ROWS($V$2:V282),$V$2:$V$1001,0),1)&gt;=100000,INDEX($AC$1005:$AS$1005,1,MATCH(COLUMNS($AC$1006:AS1006),$AC$1006:$AS$1006,0))&gt;=100000), " ",IF(INDEX($AC$2:$AS$1001,MATCH(ROWS($V$2:V282),$V$2:$V$1001,0),MATCH(COLUMNS($AC$1006:AS1006),$AC$1006:$AS$1006,0)), HYPERLINK("#",""), HYPERLINK(CONCATENATE("#metadata!", ADDRESS(INDEX($X$2:$X$1001,MATCH(ROWS($V$2:V282),$V$2:$V$1001,0),0), INDEX($AC$1004:$AS$1004,1,MATCH(COLUMNS($AC$1006:AS1006),$AC$1006:$AS$1006,0)))),"Fix")))</f>
        <v xml:space="preserve"> </v>
      </c>
      <c r="V282">
        <v>281</v>
      </c>
      <c r="W282">
        <v>100282</v>
      </c>
      <c r="X282">
        <v>282</v>
      </c>
      <c r="Y282" t="b">
        <f t="shared" si="4"/>
        <v>1</v>
      </c>
      <c r="Z282" t="b">
        <f>COUNTBLANK(metadata!B282:R282)=COLUMNS(metadata!B282:R282)</f>
        <v>1</v>
      </c>
      <c r="AA282" t="str">
        <v/>
      </c>
      <c r="AC282" t="b">
        <f ca="1"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AD282" t="b">
        <f>IF(metadata!C282="",FALSE,ISNUMBER(VALUE(metadata!C282)))</f>
        <v>0</v>
      </c>
      <c r="AE282" t="b">
        <f>AND(IF(metadata!D282="",FALSE,TRUE),EXACT(metadata!D282,"years"))</f>
        <v>0</v>
      </c>
      <c r="AF282" t="b">
        <f>OR(AND(IF(metadata!E282="",FALSE,TRUE),OR(EXACT(metadata!E282,"not applicable"),EXACT(metadata!E282,"missing: not collected"),EXACT(metadata!E282,"missing: not provided"),EXACT(metadata!E282,"missing: restricted access"))),AND(IF(metadata!E282="",FALSE,ISNUMBER(VALUE(metadata!E282))),metadata!E282&gt;0))</f>
        <v>0</v>
      </c>
      <c r="AG282" t="b">
        <f>AND(IF(metadata!F282="",FALSE,TRUE),EXACT(metadata!F282,"Not applicable"))</f>
        <v>0</v>
      </c>
      <c r="AH282" t="b">
        <f>AND(IF(metadata!G282="",FALSE,TRUE),EXACT(metadata!G282,"urban biome"))</f>
        <v>0</v>
      </c>
      <c r="AI282" t="b">
        <f>AND(IF(metadata!H282="",FALSE,TRUE),EXACT(metadata!H282,"human-associated habitat"))</f>
        <v>0</v>
      </c>
      <c r="AJ282" t="b">
        <f>AND(IF(metadata!I282="",FALSE,TRUE),OR(EXACT(metadata!I282,"human-associated"),EXACT(metadata!I282,"human-skin"),EXACT(metadata!I282,"human-oral"),EXACT(metadata!I282,"human-gut"),EXACT(metadata!I282,"human-vaginal")))</f>
        <v>0</v>
      </c>
      <c r="AK282" t="b">
        <f>IF(metadata!J282="",FALSE,ISNUMBER(VALUE(metadata!J282)))</f>
        <v>0</v>
      </c>
      <c r="AL282" t="b">
        <f>AND(IF(metadata!K282="",FALSE,TRUE),EXACT(metadata!K282,"cm"))</f>
        <v>0</v>
      </c>
      <c r="AM282" t="b">
        <f>AND(IF(metadata!L282="",FALSE,TRUE),EXACT(metadata!L282,"human"))</f>
        <v>0</v>
      </c>
      <c r="AN282" t="b">
        <f>AND(IF(metadata!M282="",FALSE,TRUE),EXACT(metadata!M282,"Homo sapiens"))</f>
        <v>0</v>
      </c>
      <c r="AO282" t="b">
        <f>AND(IF(metadata!N282="",FALSE,TRUE),EXACT(metadata!N282,"9606"))</f>
        <v>0</v>
      </c>
      <c r="AP282" t="b">
        <f>IF(metadata!O282="",FALSE,TRUE)</f>
        <v>0</v>
      </c>
      <c r="AQ282" t="b">
        <f>IF(metadata!P282="",FALSE,TRUE)</f>
        <v>0</v>
      </c>
      <c r="AR282" t="b">
        <f>IF(metadata!Q282="",FALSE,ISNUMBER(VALUE(metadata!Q282)))</f>
        <v>0</v>
      </c>
      <c r="AS282" t="b">
        <f>AND(IF(metadata!R282="",FALSE,TRUE),EXACT(metadata!R282,"kg"))</f>
        <v>0</v>
      </c>
    </row>
    <row r="283" spans="1:45" x14ac:dyDescent="0.2">
      <c r="A283" s="5" t="str">
        <f ca="1">IF(B283=" "," ",HYPERLINK(CONCATENATE("#metadata!",ADDRESS(INDEX($X$2:$X$1001,MATCH(ROWS($V$2:V283),$V$2:$V$1001,0),0),1)),INDEX($AA$2:$AA$1001,MATCH(ROWS($V$2:V283),$V$2:$V$1001,0),0)))</f>
        <v xml:space="preserve"> </v>
      </c>
      <c r="B283" s="4" t="str">
        <f ca="1">IF(OR(INDEX($W$2:$W$1001,MATCH(ROWS($V$2:V283),$V$2:$V$1001,0),1)&gt;=100000,INDEX($AC$1005:$AS$1005,1,MATCH(COLUMNS($AC$1006:AC1006),$AC$1006:$AS$1006,0))&gt;=100000), " ",IF(INDEX($AC$2:$AS$1001,MATCH(ROWS($V$2:V283),$V$2:$V$1001,0),MATCH(COLUMNS($AC$1006:AC1006),$AC$1006:$AS$1006,0)), HYPERLINK("#",""), HYPERLINK(CONCATENATE("#metadata!", ADDRESS(INDEX($X$2:$X$1001,MATCH(ROWS($V$2:V283),$V$2:$V$1001,0),0), INDEX($AC$1004:$AS$1004,1,MATCH(COLUMNS($AC$1006:AC1006),$AC$1006:$AS$1006,0)))),"Fix")))</f>
        <v xml:space="preserve"> </v>
      </c>
      <c r="C283" s="4" t="str">
        <f ca="1">IF(OR(INDEX($W$2:$W$1001,MATCH(ROWS($V$2:V283),$V$2:$V$1001,0),1)&gt;=100000,INDEX($AC$1005:$AS$1005,1,MATCH(COLUMNS($AC$1006:AD1006),$AC$1006:$AS$1006,0))&gt;=100000), " ",IF(INDEX($AC$2:$AS$1001,MATCH(ROWS($V$2:V283),$V$2:$V$1001,0),MATCH(COLUMNS($AC$1006:AD1006),$AC$1006:$AS$1006,0)), HYPERLINK("#",""), HYPERLINK(CONCATENATE("#metadata!", ADDRESS(INDEX($X$2:$X$1001,MATCH(ROWS($V$2:V283),$V$2:$V$1001,0),0), INDEX($AC$1004:$AS$1004,1,MATCH(COLUMNS($AC$1006:AD1006),$AC$1006:$AS$1006,0)))),"Fix")))</f>
        <v xml:space="preserve"> </v>
      </c>
      <c r="D283" s="4" t="str">
        <f ca="1">IF(OR(INDEX($W$2:$W$1001,MATCH(ROWS($V$2:V283),$V$2:$V$1001,0),1)&gt;=100000,INDEX($AC$1005:$AS$1005,1,MATCH(COLUMNS($AC$1006:AE1006),$AC$1006:$AS$1006,0))&gt;=100000), " ",IF(INDEX($AC$2:$AS$1001,MATCH(ROWS($V$2:V283),$V$2:$V$1001,0),MATCH(COLUMNS($AC$1006:AE1006),$AC$1006:$AS$1006,0)), HYPERLINK("#",""), HYPERLINK(CONCATENATE("#metadata!", ADDRESS(INDEX($X$2:$X$1001,MATCH(ROWS($V$2:V283),$V$2:$V$1001,0),0), INDEX($AC$1004:$AS$1004,1,MATCH(COLUMNS($AC$1006:AE1006),$AC$1006:$AS$1006,0)))),"Fix")))</f>
        <v xml:space="preserve"> </v>
      </c>
      <c r="E283" s="4" t="str">
        <f ca="1">IF(OR(INDEX($W$2:$W$1001,MATCH(ROWS($V$2:V283),$V$2:$V$1001,0),1)&gt;=100000,INDEX($AC$1005:$AS$1005,1,MATCH(COLUMNS($AC$1006:AF1006),$AC$1006:$AS$1006,0))&gt;=100000), " ",IF(INDEX($AC$2:$AS$1001,MATCH(ROWS($V$2:V283),$V$2:$V$1001,0),MATCH(COLUMNS($AC$1006:AF1006),$AC$1006:$AS$1006,0)), HYPERLINK("#",""), HYPERLINK(CONCATENATE("#metadata!", ADDRESS(INDEX($X$2:$X$1001,MATCH(ROWS($V$2:V283),$V$2:$V$1001,0),0), INDEX($AC$1004:$AS$1004,1,MATCH(COLUMNS($AC$1006:AF1006),$AC$1006:$AS$1006,0)))),"Fix")))</f>
        <v xml:space="preserve"> </v>
      </c>
      <c r="F283" s="4" t="str">
        <f ca="1">IF(OR(INDEX($W$2:$W$1001,MATCH(ROWS($V$2:V283),$V$2:$V$1001,0),1)&gt;=100000,INDEX($AC$1005:$AS$1005,1,MATCH(COLUMNS($AC$1006:AG1006),$AC$1006:$AS$1006,0))&gt;=100000), " ",IF(INDEX($AC$2:$AS$1001,MATCH(ROWS($V$2:V283),$V$2:$V$1001,0),MATCH(COLUMNS($AC$1006:AG1006),$AC$1006:$AS$1006,0)), HYPERLINK("#",""), HYPERLINK(CONCATENATE("#metadata!", ADDRESS(INDEX($X$2:$X$1001,MATCH(ROWS($V$2:V283),$V$2:$V$1001,0),0), INDEX($AC$1004:$AS$1004,1,MATCH(COLUMNS($AC$1006:AG1006),$AC$1006:$AS$1006,0)))),"Fix")))</f>
        <v xml:space="preserve"> </v>
      </c>
      <c r="G283" s="4" t="str">
        <f ca="1">IF(OR(INDEX($W$2:$W$1001,MATCH(ROWS($V$2:V283),$V$2:$V$1001,0),1)&gt;=100000,INDEX($AC$1005:$AS$1005,1,MATCH(COLUMNS($AC$1006:AH1006),$AC$1006:$AS$1006,0))&gt;=100000), " ",IF(INDEX($AC$2:$AS$1001,MATCH(ROWS($V$2:V283),$V$2:$V$1001,0),MATCH(COLUMNS($AC$1006:AH1006),$AC$1006:$AS$1006,0)), HYPERLINK("#",""), HYPERLINK(CONCATENATE("#metadata!", ADDRESS(INDEX($X$2:$X$1001,MATCH(ROWS($V$2:V283),$V$2:$V$1001,0),0), INDEX($AC$1004:$AS$1004,1,MATCH(COLUMNS($AC$1006:AH1006),$AC$1006:$AS$1006,0)))),"Fix")))</f>
        <v xml:space="preserve"> </v>
      </c>
      <c r="H283" s="4" t="str">
        <f ca="1">IF(OR(INDEX($W$2:$W$1001,MATCH(ROWS($V$2:V283),$V$2:$V$1001,0),1)&gt;=100000,INDEX($AC$1005:$AS$1005,1,MATCH(COLUMNS($AC$1006:AI1006),$AC$1006:$AS$1006,0))&gt;=100000), " ",IF(INDEX($AC$2:$AS$1001,MATCH(ROWS($V$2:V283),$V$2:$V$1001,0),MATCH(COLUMNS($AC$1006:AI1006),$AC$1006:$AS$1006,0)), HYPERLINK("#",""), HYPERLINK(CONCATENATE("#metadata!", ADDRESS(INDEX($X$2:$X$1001,MATCH(ROWS($V$2:V283),$V$2:$V$1001,0),0), INDEX($AC$1004:$AS$1004,1,MATCH(COLUMNS($AC$1006:AI1006),$AC$1006:$AS$1006,0)))),"Fix")))</f>
        <v xml:space="preserve"> </v>
      </c>
      <c r="I283" s="4" t="str">
        <f ca="1">IF(OR(INDEX($W$2:$W$1001,MATCH(ROWS($V$2:V283),$V$2:$V$1001,0),1)&gt;=100000,INDEX($AC$1005:$AS$1005,1,MATCH(COLUMNS($AC$1006:AJ1006),$AC$1006:$AS$1006,0))&gt;=100000), " ",IF(INDEX($AC$2:$AS$1001,MATCH(ROWS($V$2:V283),$V$2:$V$1001,0),MATCH(COLUMNS($AC$1006:AJ1006),$AC$1006:$AS$1006,0)), HYPERLINK("#",""), HYPERLINK(CONCATENATE("#metadata!", ADDRESS(INDEX($X$2:$X$1001,MATCH(ROWS($V$2:V283),$V$2:$V$1001,0),0), INDEX($AC$1004:$AS$1004,1,MATCH(COLUMNS($AC$1006:AJ1006),$AC$1006:$AS$1006,0)))),"Fix")))</f>
        <v xml:space="preserve"> </v>
      </c>
      <c r="J283" s="4" t="str">
        <f ca="1">IF(OR(INDEX($W$2:$W$1001,MATCH(ROWS($V$2:V283),$V$2:$V$1001,0),1)&gt;=100000,INDEX($AC$1005:$AS$1005,1,MATCH(COLUMNS($AC$1006:AK1006),$AC$1006:$AS$1006,0))&gt;=100000), " ",IF(INDEX($AC$2:$AS$1001,MATCH(ROWS($V$2:V283),$V$2:$V$1001,0),MATCH(COLUMNS($AC$1006:AK1006),$AC$1006:$AS$1006,0)), HYPERLINK("#",""), HYPERLINK(CONCATENATE("#metadata!", ADDRESS(INDEX($X$2:$X$1001,MATCH(ROWS($V$2:V283),$V$2:$V$1001,0),0), INDEX($AC$1004:$AS$1004,1,MATCH(COLUMNS($AC$1006:AK1006),$AC$1006:$AS$1006,0)))),"Fix")))</f>
        <v xml:space="preserve"> </v>
      </c>
      <c r="K283" s="4" t="str">
        <f ca="1">IF(OR(INDEX($W$2:$W$1001,MATCH(ROWS($V$2:V283),$V$2:$V$1001,0),1)&gt;=100000,INDEX($AC$1005:$AS$1005,1,MATCH(COLUMNS($AC$1006:AL1006),$AC$1006:$AS$1006,0))&gt;=100000), " ",IF(INDEX($AC$2:$AS$1001,MATCH(ROWS($V$2:V283),$V$2:$V$1001,0),MATCH(COLUMNS($AC$1006:AL1006),$AC$1006:$AS$1006,0)), HYPERLINK("#",""), HYPERLINK(CONCATENATE("#metadata!", ADDRESS(INDEX($X$2:$X$1001,MATCH(ROWS($V$2:V283),$V$2:$V$1001,0),0), INDEX($AC$1004:$AS$1004,1,MATCH(COLUMNS($AC$1006:AL1006),$AC$1006:$AS$1006,0)))),"Fix")))</f>
        <v xml:space="preserve"> </v>
      </c>
      <c r="L283" s="4" t="str">
        <f ca="1">IF(OR(INDEX($W$2:$W$1001,MATCH(ROWS($V$2:V283),$V$2:$V$1001,0),1)&gt;=100000,INDEX($AC$1005:$AS$1005,1,MATCH(COLUMNS($AC$1006:AM1006),$AC$1006:$AS$1006,0))&gt;=100000), " ",IF(INDEX($AC$2:$AS$1001,MATCH(ROWS($V$2:V283),$V$2:$V$1001,0),MATCH(COLUMNS($AC$1006:AM1006),$AC$1006:$AS$1006,0)), HYPERLINK("#",""), HYPERLINK(CONCATENATE("#metadata!", ADDRESS(INDEX($X$2:$X$1001,MATCH(ROWS($V$2:V283),$V$2:$V$1001,0),0), INDEX($AC$1004:$AS$1004,1,MATCH(COLUMNS($AC$1006:AM1006),$AC$1006:$AS$1006,0)))),"Fix")))</f>
        <v xml:space="preserve"> </v>
      </c>
      <c r="M283" s="4" t="str">
        <f ca="1">IF(OR(INDEX($W$2:$W$1001,MATCH(ROWS($V$2:V283),$V$2:$V$1001,0),1)&gt;=100000,INDEX($AC$1005:$AS$1005,1,MATCH(COLUMNS($AC$1006:AN1006),$AC$1006:$AS$1006,0))&gt;=100000), " ",IF(INDEX($AC$2:$AS$1001,MATCH(ROWS($V$2:V283),$V$2:$V$1001,0),MATCH(COLUMNS($AC$1006:AN1006),$AC$1006:$AS$1006,0)), HYPERLINK("#",""), HYPERLINK(CONCATENATE("#metadata!", ADDRESS(INDEX($X$2:$X$1001,MATCH(ROWS($V$2:V283),$V$2:$V$1001,0),0), INDEX($AC$1004:$AS$1004,1,MATCH(COLUMNS($AC$1006:AN1006),$AC$1006:$AS$1006,0)))),"Fix")))</f>
        <v xml:space="preserve"> </v>
      </c>
      <c r="N283" s="4" t="str">
        <f ca="1">IF(OR(INDEX($W$2:$W$1001,MATCH(ROWS($V$2:V283),$V$2:$V$1001,0),1)&gt;=100000,INDEX($AC$1005:$AS$1005,1,MATCH(COLUMNS($AC$1006:AO1006),$AC$1006:$AS$1006,0))&gt;=100000), " ",IF(INDEX($AC$2:$AS$1001,MATCH(ROWS($V$2:V283),$V$2:$V$1001,0),MATCH(COLUMNS($AC$1006:AO1006),$AC$1006:$AS$1006,0)), HYPERLINK("#",""), HYPERLINK(CONCATENATE("#metadata!", ADDRESS(INDEX($X$2:$X$1001,MATCH(ROWS($V$2:V283),$V$2:$V$1001,0),0), INDEX($AC$1004:$AS$1004,1,MATCH(COLUMNS($AC$1006:AO1006),$AC$1006:$AS$1006,0)))),"Fix")))</f>
        <v xml:space="preserve"> </v>
      </c>
      <c r="O283" s="4" t="str">
        <f ca="1">IF(OR(INDEX($W$2:$W$1001,MATCH(ROWS($V$2:V283),$V$2:$V$1001,0),1)&gt;=100000,INDEX($AC$1005:$AS$1005,1,MATCH(COLUMNS($AC$1006:AP1006),$AC$1006:$AS$1006,0))&gt;=100000), " ",IF(INDEX($AC$2:$AS$1001,MATCH(ROWS($V$2:V283),$V$2:$V$1001,0),MATCH(COLUMNS($AC$1006:AP1006),$AC$1006:$AS$1006,0)), HYPERLINK("#",""), HYPERLINK(CONCATENATE("#metadata!", ADDRESS(INDEX($X$2:$X$1001,MATCH(ROWS($V$2:V283),$V$2:$V$1001,0),0), INDEX($AC$1004:$AS$1004,1,MATCH(COLUMNS($AC$1006:AP1006),$AC$1006:$AS$1006,0)))),"Fix")))</f>
        <v xml:space="preserve"> </v>
      </c>
      <c r="P283" s="4" t="str">
        <f ca="1">IF(OR(INDEX($W$2:$W$1001,MATCH(ROWS($V$2:V283),$V$2:$V$1001,0),1)&gt;=100000,INDEX($AC$1005:$AS$1005,1,MATCH(COLUMNS($AC$1006:AQ1006),$AC$1006:$AS$1006,0))&gt;=100000), " ",IF(INDEX($AC$2:$AS$1001,MATCH(ROWS($V$2:V283),$V$2:$V$1001,0),MATCH(COLUMNS($AC$1006:AQ1006),$AC$1006:$AS$1006,0)), HYPERLINK("#",""), HYPERLINK(CONCATENATE("#metadata!", ADDRESS(INDEX($X$2:$X$1001,MATCH(ROWS($V$2:V283),$V$2:$V$1001,0),0), INDEX($AC$1004:$AS$1004,1,MATCH(COLUMNS($AC$1006:AQ1006),$AC$1006:$AS$1006,0)))),"Fix")))</f>
        <v xml:space="preserve"> </v>
      </c>
      <c r="Q283" s="4" t="str">
        <f ca="1">IF(OR(INDEX($W$2:$W$1001,MATCH(ROWS($V$2:V283),$V$2:$V$1001,0),1)&gt;=100000,INDEX($AC$1005:$AS$1005,1,MATCH(COLUMNS($AC$1006:AR1006),$AC$1006:$AS$1006,0))&gt;=100000), " ",IF(INDEX($AC$2:$AS$1001,MATCH(ROWS($V$2:V283),$V$2:$V$1001,0),MATCH(COLUMNS($AC$1006:AR1006),$AC$1006:$AS$1006,0)), HYPERLINK("#",""), HYPERLINK(CONCATENATE("#metadata!", ADDRESS(INDEX($X$2:$X$1001,MATCH(ROWS($V$2:V283),$V$2:$V$1001,0),0), INDEX($AC$1004:$AS$1004,1,MATCH(COLUMNS($AC$1006:AR1006),$AC$1006:$AS$1006,0)))),"Fix")))</f>
        <v xml:space="preserve"> </v>
      </c>
      <c r="R283" s="4" t="str">
        <f ca="1">IF(OR(INDEX($W$2:$W$1001,MATCH(ROWS($V$2:V283),$V$2:$V$1001,0),1)&gt;=100000,INDEX($AC$1005:$AS$1005,1,MATCH(COLUMNS($AC$1006:AS1006),$AC$1006:$AS$1006,0))&gt;=100000), " ",IF(INDEX($AC$2:$AS$1001,MATCH(ROWS($V$2:V283),$V$2:$V$1001,0),MATCH(COLUMNS($AC$1006:AS1006),$AC$1006:$AS$1006,0)), HYPERLINK("#",""), HYPERLINK(CONCATENATE("#metadata!", ADDRESS(INDEX($X$2:$X$1001,MATCH(ROWS($V$2:V283),$V$2:$V$1001,0),0), INDEX($AC$1004:$AS$1004,1,MATCH(COLUMNS($AC$1006:AS1006),$AC$1006:$AS$1006,0)))),"Fix")))</f>
        <v xml:space="preserve"> </v>
      </c>
      <c r="V283">
        <v>282</v>
      </c>
      <c r="W283">
        <v>100283</v>
      </c>
      <c r="X283">
        <v>283</v>
      </c>
      <c r="Y283" t="b">
        <f t="shared" si="4"/>
        <v>1</v>
      </c>
      <c r="Z283" t="b">
        <f>COUNTBLANK(metadata!B283:R283)=COLUMNS(metadata!B283:R283)</f>
        <v>1</v>
      </c>
      <c r="AA283" t="str">
        <v/>
      </c>
      <c r="AC283" t="b">
        <f ca="1"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AD283" t="b">
        <f>IF(metadata!C283="",FALSE,ISNUMBER(VALUE(metadata!C283)))</f>
        <v>0</v>
      </c>
      <c r="AE283" t="b">
        <f>AND(IF(metadata!D283="",FALSE,TRUE),EXACT(metadata!D283,"years"))</f>
        <v>0</v>
      </c>
      <c r="AF283" t="b">
        <f>OR(AND(IF(metadata!E283="",FALSE,TRUE),OR(EXACT(metadata!E283,"not applicable"),EXACT(metadata!E283,"missing: not collected"),EXACT(metadata!E283,"missing: not provided"),EXACT(metadata!E283,"missing: restricted access"))),AND(IF(metadata!E283="",FALSE,ISNUMBER(VALUE(metadata!E283))),metadata!E283&gt;0))</f>
        <v>0</v>
      </c>
      <c r="AG283" t="b">
        <f>AND(IF(metadata!F283="",FALSE,TRUE),EXACT(metadata!F283,"Not applicable"))</f>
        <v>0</v>
      </c>
      <c r="AH283" t="b">
        <f>AND(IF(metadata!G283="",FALSE,TRUE),EXACT(metadata!G283,"urban biome"))</f>
        <v>0</v>
      </c>
      <c r="AI283" t="b">
        <f>AND(IF(metadata!H283="",FALSE,TRUE),EXACT(metadata!H283,"human-associated habitat"))</f>
        <v>0</v>
      </c>
      <c r="AJ283" t="b">
        <f>AND(IF(metadata!I283="",FALSE,TRUE),OR(EXACT(metadata!I283,"human-associated"),EXACT(metadata!I283,"human-skin"),EXACT(metadata!I283,"human-oral"),EXACT(metadata!I283,"human-gut"),EXACT(metadata!I283,"human-vaginal")))</f>
        <v>0</v>
      </c>
      <c r="AK283" t="b">
        <f>IF(metadata!J283="",FALSE,ISNUMBER(VALUE(metadata!J283)))</f>
        <v>0</v>
      </c>
      <c r="AL283" t="b">
        <f>AND(IF(metadata!K283="",FALSE,TRUE),EXACT(metadata!K283,"cm"))</f>
        <v>0</v>
      </c>
      <c r="AM283" t="b">
        <f>AND(IF(metadata!L283="",FALSE,TRUE),EXACT(metadata!L283,"human"))</f>
        <v>0</v>
      </c>
      <c r="AN283" t="b">
        <f>AND(IF(metadata!M283="",FALSE,TRUE),EXACT(metadata!M283,"Homo sapiens"))</f>
        <v>0</v>
      </c>
      <c r="AO283" t="b">
        <f>AND(IF(metadata!N283="",FALSE,TRUE),EXACT(metadata!N283,"9606"))</f>
        <v>0</v>
      </c>
      <c r="AP283" t="b">
        <f>IF(metadata!O283="",FALSE,TRUE)</f>
        <v>0</v>
      </c>
      <c r="AQ283" t="b">
        <f>IF(metadata!P283="",FALSE,TRUE)</f>
        <v>0</v>
      </c>
      <c r="AR283" t="b">
        <f>IF(metadata!Q283="",FALSE,ISNUMBER(VALUE(metadata!Q283)))</f>
        <v>0</v>
      </c>
      <c r="AS283" t="b">
        <f>AND(IF(metadata!R283="",FALSE,TRUE),EXACT(metadata!R283,"kg"))</f>
        <v>0</v>
      </c>
    </row>
    <row r="284" spans="1:45" x14ac:dyDescent="0.2">
      <c r="A284" s="5" t="str">
        <f ca="1">IF(B284=" "," ",HYPERLINK(CONCATENATE("#metadata!",ADDRESS(INDEX($X$2:$X$1001,MATCH(ROWS($V$2:V284),$V$2:$V$1001,0),0),1)),INDEX($AA$2:$AA$1001,MATCH(ROWS($V$2:V284),$V$2:$V$1001,0),0)))</f>
        <v xml:space="preserve"> </v>
      </c>
      <c r="B284" s="4" t="str">
        <f ca="1">IF(OR(INDEX($W$2:$W$1001,MATCH(ROWS($V$2:V284),$V$2:$V$1001,0),1)&gt;=100000,INDEX($AC$1005:$AS$1005,1,MATCH(COLUMNS($AC$1006:AC1006),$AC$1006:$AS$1006,0))&gt;=100000), " ",IF(INDEX($AC$2:$AS$1001,MATCH(ROWS($V$2:V284),$V$2:$V$1001,0),MATCH(COLUMNS($AC$1006:AC1006),$AC$1006:$AS$1006,0)), HYPERLINK("#",""), HYPERLINK(CONCATENATE("#metadata!", ADDRESS(INDEX($X$2:$X$1001,MATCH(ROWS($V$2:V284),$V$2:$V$1001,0),0), INDEX($AC$1004:$AS$1004,1,MATCH(COLUMNS($AC$1006:AC1006),$AC$1006:$AS$1006,0)))),"Fix")))</f>
        <v xml:space="preserve"> </v>
      </c>
      <c r="C284" s="4" t="str">
        <f ca="1">IF(OR(INDEX($W$2:$W$1001,MATCH(ROWS($V$2:V284),$V$2:$V$1001,0),1)&gt;=100000,INDEX($AC$1005:$AS$1005,1,MATCH(COLUMNS($AC$1006:AD1006),$AC$1006:$AS$1006,0))&gt;=100000), " ",IF(INDEX($AC$2:$AS$1001,MATCH(ROWS($V$2:V284),$V$2:$V$1001,0),MATCH(COLUMNS($AC$1006:AD1006),$AC$1006:$AS$1006,0)), HYPERLINK("#",""), HYPERLINK(CONCATENATE("#metadata!", ADDRESS(INDEX($X$2:$X$1001,MATCH(ROWS($V$2:V284),$V$2:$V$1001,0),0), INDEX($AC$1004:$AS$1004,1,MATCH(COLUMNS($AC$1006:AD1006),$AC$1006:$AS$1006,0)))),"Fix")))</f>
        <v xml:space="preserve"> </v>
      </c>
      <c r="D284" s="4" t="str">
        <f ca="1">IF(OR(INDEX($W$2:$W$1001,MATCH(ROWS($V$2:V284),$V$2:$V$1001,0),1)&gt;=100000,INDEX($AC$1005:$AS$1005,1,MATCH(COLUMNS($AC$1006:AE1006),$AC$1006:$AS$1006,0))&gt;=100000), " ",IF(INDEX($AC$2:$AS$1001,MATCH(ROWS($V$2:V284),$V$2:$V$1001,0),MATCH(COLUMNS($AC$1006:AE1006),$AC$1006:$AS$1006,0)), HYPERLINK("#",""), HYPERLINK(CONCATENATE("#metadata!", ADDRESS(INDEX($X$2:$X$1001,MATCH(ROWS($V$2:V284),$V$2:$V$1001,0),0), INDEX($AC$1004:$AS$1004,1,MATCH(COLUMNS($AC$1006:AE1006),$AC$1006:$AS$1006,0)))),"Fix")))</f>
        <v xml:space="preserve"> </v>
      </c>
      <c r="E284" s="4" t="str">
        <f ca="1">IF(OR(INDEX($W$2:$W$1001,MATCH(ROWS($V$2:V284),$V$2:$V$1001,0),1)&gt;=100000,INDEX($AC$1005:$AS$1005,1,MATCH(COLUMNS($AC$1006:AF1006),$AC$1006:$AS$1006,0))&gt;=100000), " ",IF(INDEX($AC$2:$AS$1001,MATCH(ROWS($V$2:V284),$V$2:$V$1001,0),MATCH(COLUMNS($AC$1006:AF1006),$AC$1006:$AS$1006,0)), HYPERLINK("#",""), HYPERLINK(CONCATENATE("#metadata!", ADDRESS(INDEX($X$2:$X$1001,MATCH(ROWS($V$2:V284),$V$2:$V$1001,0),0), INDEX($AC$1004:$AS$1004,1,MATCH(COLUMNS($AC$1006:AF1006),$AC$1006:$AS$1006,0)))),"Fix")))</f>
        <v xml:space="preserve"> </v>
      </c>
      <c r="F284" s="4" t="str">
        <f ca="1">IF(OR(INDEX($W$2:$W$1001,MATCH(ROWS($V$2:V284),$V$2:$V$1001,0),1)&gt;=100000,INDEX($AC$1005:$AS$1005,1,MATCH(COLUMNS($AC$1006:AG1006),$AC$1006:$AS$1006,0))&gt;=100000), " ",IF(INDEX($AC$2:$AS$1001,MATCH(ROWS($V$2:V284),$V$2:$V$1001,0),MATCH(COLUMNS($AC$1006:AG1006),$AC$1006:$AS$1006,0)), HYPERLINK("#",""), HYPERLINK(CONCATENATE("#metadata!", ADDRESS(INDEX($X$2:$X$1001,MATCH(ROWS($V$2:V284),$V$2:$V$1001,0),0), INDEX($AC$1004:$AS$1004,1,MATCH(COLUMNS($AC$1006:AG1006),$AC$1006:$AS$1006,0)))),"Fix")))</f>
        <v xml:space="preserve"> </v>
      </c>
      <c r="G284" s="4" t="str">
        <f ca="1">IF(OR(INDEX($W$2:$W$1001,MATCH(ROWS($V$2:V284),$V$2:$V$1001,0),1)&gt;=100000,INDEX($AC$1005:$AS$1005,1,MATCH(COLUMNS($AC$1006:AH1006),$AC$1006:$AS$1006,0))&gt;=100000), " ",IF(INDEX($AC$2:$AS$1001,MATCH(ROWS($V$2:V284),$V$2:$V$1001,0),MATCH(COLUMNS($AC$1006:AH1006),$AC$1006:$AS$1006,0)), HYPERLINK("#",""), HYPERLINK(CONCATENATE("#metadata!", ADDRESS(INDEX($X$2:$X$1001,MATCH(ROWS($V$2:V284),$V$2:$V$1001,0),0), INDEX($AC$1004:$AS$1004,1,MATCH(COLUMNS($AC$1006:AH1006),$AC$1006:$AS$1006,0)))),"Fix")))</f>
        <v xml:space="preserve"> </v>
      </c>
      <c r="H284" s="4" t="str">
        <f ca="1">IF(OR(INDEX($W$2:$W$1001,MATCH(ROWS($V$2:V284),$V$2:$V$1001,0),1)&gt;=100000,INDEX($AC$1005:$AS$1005,1,MATCH(COLUMNS($AC$1006:AI1006),$AC$1006:$AS$1006,0))&gt;=100000), " ",IF(INDEX($AC$2:$AS$1001,MATCH(ROWS($V$2:V284),$V$2:$V$1001,0),MATCH(COLUMNS($AC$1006:AI1006),$AC$1006:$AS$1006,0)), HYPERLINK("#",""), HYPERLINK(CONCATENATE("#metadata!", ADDRESS(INDEX($X$2:$X$1001,MATCH(ROWS($V$2:V284),$V$2:$V$1001,0),0), INDEX($AC$1004:$AS$1004,1,MATCH(COLUMNS($AC$1006:AI1006),$AC$1006:$AS$1006,0)))),"Fix")))</f>
        <v xml:space="preserve"> </v>
      </c>
      <c r="I284" s="4" t="str">
        <f ca="1">IF(OR(INDEX($W$2:$W$1001,MATCH(ROWS($V$2:V284),$V$2:$V$1001,0),1)&gt;=100000,INDEX($AC$1005:$AS$1005,1,MATCH(COLUMNS($AC$1006:AJ1006),$AC$1006:$AS$1006,0))&gt;=100000), " ",IF(INDEX($AC$2:$AS$1001,MATCH(ROWS($V$2:V284),$V$2:$V$1001,0),MATCH(COLUMNS($AC$1006:AJ1006),$AC$1006:$AS$1006,0)), HYPERLINK("#",""), HYPERLINK(CONCATENATE("#metadata!", ADDRESS(INDEX($X$2:$X$1001,MATCH(ROWS($V$2:V284),$V$2:$V$1001,0),0), INDEX($AC$1004:$AS$1004,1,MATCH(COLUMNS($AC$1006:AJ1006),$AC$1006:$AS$1006,0)))),"Fix")))</f>
        <v xml:space="preserve"> </v>
      </c>
      <c r="J284" s="4" t="str">
        <f ca="1">IF(OR(INDEX($W$2:$W$1001,MATCH(ROWS($V$2:V284),$V$2:$V$1001,0),1)&gt;=100000,INDEX($AC$1005:$AS$1005,1,MATCH(COLUMNS($AC$1006:AK1006),$AC$1006:$AS$1006,0))&gt;=100000), " ",IF(INDEX($AC$2:$AS$1001,MATCH(ROWS($V$2:V284),$V$2:$V$1001,0),MATCH(COLUMNS($AC$1006:AK1006),$AC$1006:$AS$1006,0)), HYPERLINK("#",""), HYPERLINK(CONCATENATE("#metadata!", ADDRESS(INDEX($X$2:$X$1001,MATCH(ROWS($V$2:V284),$V$2:$V$1001,0),0), INDEX($AC$1004:$AS$1004,1,MATCH(COLUMNS($AC$1006:AK1006),$AC$1006:$AS$1006,0)))),"Fix")))</f>
        <v xml:space="preserve"> </v>
      </c>
      <c r="K284" s="4" t="str">
        <f ca="1">IF(OR(INDEX($W$2:$W$1001,MATCH(ROWS($V$2:V284),$V$2:$V$1001,0),1)&gt;=100000,INDEX($AC$1005:$AS$1005,1,MATCH(COLUMNS($AC$1006:AL1006),$AC$1006:$AS$1006,0))&gt;=100000), " ",IF(INDEX($AC$2:$AS$1001,MATCH(ROWS($V$2:V284),$V$2:$V$1001,0),MATCH(COLUMNS($AC$1006:AL1006),$AC$1006:$AS$1006,0)), HYPERLINK("#",""), HYPERLINK(CONCATENATE("#metadata!", ADDRESS(INDEX($X$2:$X$1001,MATCH(ROWS($V$2:V284),$V$2:$V$1001,0),0), INDEX($AC$1004:$AS$1004,1,MATCH(COLUMNS($AC$1006:AL1006),$AC$1006:$AS$1006,0)))),"Fix")))</f>
        <v xml:space="preserve"> </v>
      </c>
      <c r="L284" s="4" t="str">
        <f ca="1">IF(OR(INDEX($W$2:$W$1001,MATCH(ROWS($V$2:V284),$V$2:$V$1001,0),1)&gt;=100000,INDEX($AC$1005:$AS$1005,1,MATCH(COLUMNS($AC$1006:AM1006),$AC$1006:$AS$1006,0))&gt;=100000), " ",IF(INDEX($AC$2:$AS$1001,MATCH(ROWS($V$2:V284),$V$2:$V$1001,0),MATCH(COLUMNS($AC$1006:AM1006),$AC$1006:$AS$1006,0)), HYPERLINK("#",""), HYPERLINK(CONCATENATE("#metadata!", ADDRESS(INDEX($X$2:$X$1001,MATCH(ROWS($V$2:V284),$V$2:$V$1001,0),0), INDEX($AC$1004:$AS$1004,1,MATCH(COLUMNS($AC$1006:AM1006),$AC$1006:$AS$1006,0)))),"Fix")))</f>
        <v xml:space="preserve"> </v>
      </c>
      <c r="M284" s="4" t="str">
        <f ca="1">IF(OR(INDEX($W$2:$W$1001,MATCH(ROWS($V$2:V284),$V$2:$V$1001,0),1)&gt;=100000,INDEX($AC$1005:$AS$1005,1,MATCH(COLUMNS($AC$1006:AN1006),$AC$1006:$AS$1006,0))&gt;=100000), " ",IF(INDEX($AC$2:$AS$1001,MATCH(ROWS($V$2:V284),$V$2:$V$1001,0),MATCH(COLUMNS($AC$1006:AN1006),$AC$1006:$AS$1006,0)), HYPERLINK("#",""), HYPERLINK(CONCATENATE("#metadata!", ADDRESS(INDEX($X$2:$X$1001,MATCH(ROWS($V$2:V284),$V$2:$V$1001,0),0), INDEX($AC$1004:$AS$1004,1,MATCH(COLUMNS($AC$1006:AN1006),$AC$1006:$AS$1006,0)))),"Fix")))</f>
        <v xml:space="preserve"> </v>
      </c>
      <c r="N284" s="4" t="str">
        <f ca="1">IF(OR(INDEX($W$2:$W$1001,MATCH(ROWS($V$2:V284),$V$2:$V$1001,0),1)&gt;=100000,INDEX($AC$1005:$AS$1005,1,MATCH(COLUMNS($AC$1006:AO1006),$AC$1006:$AS$1006,0))&gt;=100000), " ",IF(INDEX($AC$2:$AS$1001,MATCH(ROWS($V$2:V284),$V$2:$V$1001,0),MATCH(COLUMNS($AC$1006:AO1006),$AC$1006:$AS$1006,0)), HYPERLINK("#",""), HYPERLINK(CONCATENATE("#metadata!", ADDRESS(INDEX($X$2:$X$1001,MATCH(ROWS($V$2:V284),$V$2:$V$1001,0),0), INDEX($AC$1004:$AS$1004,1,MATCH(COLUMNS($AC$1006:AO1006),$AC$1006:$AS$1006,0)))),"Fix")))</f>
        <v xml:space="preserve"> </v>
      </c>
      <c r="O284" s="4" t="str">
        <f ca="1">IF(OR(INDEX($W$2:$W$1001,MATCH(ROWS($V$2:V284),$V$2:$V$1001,0),1)&gt;=100000,INDEX($AC$1005:$AS$1005,1,MATCH(COLUMNS($AC$1006:AP1006),$AC$1006:$AS$1006,0))&gt;=100000), " ",IF(INDEX($AC$2:$AS$1001,MATCH(ROWS($V$2:V284),$V$2:$V$1001,0),MATCH(COLUMNS($AC$1006:AP1006),$AC$1006:$AS$1006,0)), HYPERLINK("#",""), HYPERLINK(CONCATENATE("#metadata!", ADDRESS(INDEX($X$2:$X$1001,MATCH(ROWS($V$2:V284),$V$2:$V$1001,0),0), INDEX($AC$1004:$AS$1004,1,MATCH(COLUMNS($AC$1006:AP1006),$AC$1006:$AS$1006,0)))),"Fix")))</f>
        <v xml:space="preserve"> </v>
      </c>
      <c r="P284" s="4" t="str">
        <f ca="1">IF(OR(INDEX($W$2:$W$1001,MATCH(ROWS($V$2:V284),$V$2:$V$1001,0),1)&gt;=100000,INDEX($AC$1005:$AS$1005,1,MATCH(COLUMNS($AC$1006:AQ1006),$AC$1006:$AS$1006,0))&gt;=100000), " ",IF(INDEX($AC$2:$AS$1001,MATCH(ROWS($V$2:V284),$V$2:$V$1001,0),MATCH(COLUMNS($AC$1006:AQ1006),$AC$1006:$AS$1006,0)), HYPERLINK("#",""), HYPERLINK(CONCATENATE("#metadata!", ADDRESS(INDEX($X$2:$X$1001,MATCH(ROWS($V$2:V284),$V$2:$V$1001,0),0), INDEX($AC$1004:$AS$1004,1,MATCH(COLUMNS($AC$1006:AQ1006),$AC$1006:$AS$1006,0)))),"Fix")))</f>
        <v xml:space="preserve"> </v>
      </c>
      <c r="Q284" s="4" t="str">
        <f ca="1">IF(OR(INDEX($W$2:$W$1001,MATCH(ROWS($V$2:V284),$V$2:$V$1001,0),1)&gt;=100000,INDEX($AC$1005:$AS$1005,1,MATCH(COLUMNS($AC$1006:AR1006),$AC$1006:$AS$1006,0))&gt;=100000), " ",IF(INDEX($AC$2:$AS$1001,MATCH(ROWS($V$2:V284),$V$2:$V$1001,0),MATCH(COLUMNS($AC$1006:AR1006),$AC$1006:$AS$1006,0)), HYPERLINK("#",""), HYPERLINK(CONCATENATE("#metadata!", ADDRESS(INDEX($X$2:$X$1001,MATCH(ROWS($V$2:V284),$V$2:$V$1001,0),0), INDEX($AC$1004:$AS$1004,1,MATCH(COLUMNS($AC$1006:AR1006),$AC$1006:$AS$1006,0)))),"Fix")))</f>
        <v xml:space="preserve"> </v>
      </c>
      <c r="R284" s="4" t="str">
        <f ca="1">IF(OR(INDEX($W$2:$W$1001,MATCH(ROWS($V$2:V284),$V$2:$V$1001,0),1)&gt;=100000,INDEX($AC$1005:$AS$1005,1,MATCH(COLUMNS($AC$1006:AS1006),$AC$1006:$AS$1006,0))&gt;=100000), " ",IF(INDEX($AC$2:$AS$1001,MATCH(ROWS($V$2:V284),$V$2:$V$1001,0),MATCH(COLUMNS($AC$1006:AS1006),$AC$1006:$AS$1006,0)), HYPERLINK("#",""), HYPERLINK(CONCATENATE("#metadata!", ADDRESS(INDEX($X$2:$X$1001,MATCH(ROWS($V$2:V284),$V$2:$V$1001,0),0), INDEX($AC$1004:$AS$1004,1,MATCH(COLUMNS($AC$1006:AS1006),$AC$1006:$AS$1006,0)))),"Fix")))</f>
        <v xml:space="preserve"> </v>
      </c>
      <c r="V284">
        <v>283</v>
      </c>
      <c r="W284">
        <v>100284</v>
      </c>
      <c r="X284">
        <v>284</v>
      </c>
      <c r="Y284" t="b">
        <f t="shared" si="4"/>
        <v>1</v>
      </c>
      <c r="Z284" t="b">
        <f>COUNTBLANK(metadata!B284:R284)=COLUMNS(metadata!B284:R284)</f>
        <v>1</v>
      </c>
      <c r="AA284" t="str">
        <v/>
      </c>
      <c r="AC284" t="b">
        <f ca="1"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AD284" t="b">
        <f>IF(metadata!C284="",FALSE,ISNUMBER(VALUE(metadata!C284)))</f>
        <v>0</v>
      </c>
      <c r="AE284" t="b">
        <f>AND(IF(metadata!D284="",FALSE,TRUE),EXACT(metadata!D284,"years"))</f>
        <v>0</v>
      </c>
      <c r="AF284" t="b">
        <f>OR(AND(IF(metadata!E284="",FALSE,TRUE),OR(EXACT(metadata!E284,"not applicable"),EXACT(metadata!E284,"missing: not collected"),EXACT(metadata!E284,"missing: not provided"),EXACT(metadata!E284,"missing: restricted access"))),AND(IF(metadata!E284="",FALSE,ISNUMBER(VALUE(metadata!E284))),metadata!E284&gt;0))</f>
        <v>0</v>
      </c>
      <c r="AG284" t="b">
        <f>AND(IF(metadata!F284="",FALSE,TRUE),EXACT(metadata!F284,"Not applicable"))</f>
        <v>0</v>
      </c>
      <c r="AH284" t="b">
        <f>AND(IF(metadata!G284="",FALSE,TRUE),EXACT(metadata!G284,"urban biome"))</f>
        <v>0</v>
      </c>
      <c r="AI284" t="b">
        <f>AND(IF(metadata!H284="",FALSE,TRUE),EXACT(metadata!H284,"human-associated habitat"))</f>
        <v>0</v>
      </c>
      <c r="AJ284" t="b">
        <f>AND(IF(metadata!I284="",FALSE,TRUE),OR(EXACT(metadata!I284,"human-associated"),EXACT(metadata!I284,"human-skin"),EXACT(metadata!I284,"human-oral"),EXACT(metadata!I284,"human-gut"),EXACT(metadata!I284,"human-vaginal")))</f>
        <v>0</v>
      </c>
      <c r="AK284" t="b">
        <f>IF(metadata!J284="",FALSE,ISNUMBER(VALUE(metadata!J284)))</f>
        <v>0</v>
      </c>
      <c r="AL284" t="b">
        <f>AND(IF(metadata!K284="",FALSE,TRUE),EXACT(metadata!K284,"cm"))</f>
        <v>0</v>
      </c>
      <c r="AM284" t="b">
        <f>AND(IF(metadata!L284="",FALSE,TRUE),EXACT(metadata!L284,"human"))</f>
        <v>0</v>
      </c>
      <c r="AN284" t="b">
        <f>AND(IF(metadata!M284="",FALSE,TRUE),EXACT(metadata!M284,"Homo sapiens"))</f>
        <v>0</v>
      </c>
      <c r="AO284" t="b">
        <f>AND(IF(metadata!N284="",FALSE,TRUE),EXACT(metadata!N284,"9606"))</f>
        <v>0</v>
      </c>
      <c r="AP284" t="b">
        <f>IF(metadata!O284="",FALSE,TRUE)</f>
        <v>0</v>
      </c>
      <c r="AQ284" t="b">
        <f>IF(metadata!P284="",FALSE,TRUE)</f>
        <v>0</v>
      </c>
      <c r="AR284" t="b">
        <f>IF(metadata!Q284="",FALSE,ISNUMBER(VALUE(metadata!Q284)))</f>
        <v>0</v>
      </c>
      <c r="AS284" t="b">
        <f>AND(IF(metadata!R284="",FALSE,TRUE),EXACT(metadata!R284,"kg"))</f>
        <v>0</v>
      </c>
    </row>
    <row r="285" spans="1:45" x14ac:dyDescent="0.2">
      <c r="A285" s="5" t="str">
        <f ca="1">IF(B285=" "," ",HYPERLINK(CONCATENATE("#metadata!",ADDRESS(INDEX($X$2:$X$1001,MATCH(ROWS($V$2:V285),$V$2:$V$1001,0),0),1)),INDEX($AA$2:$AA$1001,MATCH(ROWS($V$2:V285),$V$2:$V$1001,0),0)))</f>
        <v xml:space="preserve"> </v>
      </c>
      <c r="B285" s="4" t="str">
        <f ca="1">IF(OR(INDEX($W$2:$W$1001,MATCH(ROWS($V$2:V285),$V$2:$V$1001,0),1)&gt;=100000,INDEX($AC$1005:$AS$1005,1,MATCH(COLUMNS($AC$1006:AC1006),$AC$1006:$AS$1006,0))&gt;=100000), " ",IF(INDEX($AC$2:$AS$1001,MATCH(ROWS($V$2:V285),$V$2:$V$1001,0),MATCH(COLUMNS($AC$1006:AC1006),$AC$1006:$AS$1006,0)), HYPERLINK("#",""), HYPERLINK(CONCATENATE("#metadata!", ADDRESS(INDEX($X$2:$X$1001,MATCH(ROWS($V$2:V285),$V$2:$V$1001,0),0), INDEX($AC$1004:$AS$1004,1,MATCH(COLUMNS($AC$1006:AC1006),$AC$1006:$AS$1006,0)))),"Fix")))</f>
        <v xml:space="preserve"> </v>
      </c>
      <c r="C285" s="4" t="str">
        <f ca="1">IF(OR(INDEX($W$2:$W$1001,MATCH(ROWS($V$2:V285),$V$2:$V$1001,0),1)&gt;=100000,INDEX($AC$1005:$AS$1005,1,MATCH(COLUMNS($AC$1006:AD1006),$AC$1006:$AS$1006,0))&gt;=100000), " ",IF(INDEX($AC$2:$AS$1001,MATCH(ROWS($V$2:V285),$V$2:$V$1001,0),MATCH(COLUMNS($AC$1006:AD1006),$AC$1006:$AS$1006,0)), HYPERLINK("#",""), HYPERLINK(CONCATENATE("#metadata!", ADDRESS(INDEX($X$2:$X$1001,MATCH(ROWS($V$2:V285),$V$2:$V$1001,0),0), INDEX($AC$1004:$AS$1004,1,MATCH(COLUMNS($AC$1006:AD1006),$AC$1006:$AS$1006,0)))),"Fix")))</f>
        <v xml:space="preserve"> </v>
      </c>
      <c r="D285" s="4" t="str">
        <f ca="1">IF(OR(INDEX($W$2:$W$1001,MATCH(ROWS($V$2:V285),$V$2:$V$1001,0),1)&gt;=100000,INDEX($AC$1005:$AS$1005,1,MATCH(COLUMNS($AC$1006:AE1006),$AC$1006:$AS$1006,0))&gt;=100000), " ",IF(INDEX($AC$2:$AS$1001,MATCH(ROWS($V$2:V285),$V$2:$V$1001,0),MATCH(COLUMNS($AC$1006:AE1006),$AC$1006:$AS$1006,0)), HYPERLINK("#",""), HYPERLINK(CONCATENATE("#metadata!", ADDRESS(INDEX($X$2:$X$1001,MATCH(ROWS($V$2:V285),$V$2:$V$1001,0),0), INDEX($AC$1004:$AS$1004,1,MATCH(COLUMNS($AC$1006:AE1006),$AC$1006:$AS$1006,0)))),"Fix")))</f>
        <v xml:space="preserve"> </v>
      </c>
      <c r="E285" s="4" t="str">
        <f ca="1">IF(OR(INDEX($W$2:$W$1001,MATCH(ROWS($V$2:V285),$V$2:$V$1001,0),1)&gt;=100000,INDEX($AC$1005:$AS$1005,1,MATCH(COLUMNS($AC$1006:AF1006),$AC$1006:$AS$1006,0))&gt;=100000), " ",IF(INDEX($AC$2:$AS$1001,MATCH(ROWS($V$2:V285),$V$2:$V$1001,0),MATCH(COLUMNS($AC$1006:AF1006),$AC$1006:$AS$1006,0)), HYPERLINK("#",""), HYPERLINK(CONCATENATE("#metadata!", ADDRESS(INDEX($X$2:$X$1001,MATCH(ROWS($V$2:V285),$V$2:$V$1001,0),0), INDEX($AC$1004:$AS$1004,1,MATCH(COLUMNS($AC$1006:AF1006),$AC$1006:$AS$1006,0)))),"Fix")))</f>
        <v xml:space="preserve"> </v>
      </c>
      <c r="F285" s="4" t="str">
        <f ca="1">IF(OR(INDEX($W$2:$W$1001,MATCH(ROWS($V$2:V285),$V$2:$V$1001,0),1)&gt;=100000,INDEX($AC$1005:$AS$1005,1,MATCH(COLUMNS($AC$1006:AG1006),$AC$1006:$AS$1006,0))&gt;=100000), " ",IF(INDEX($AC$2:$AS$1001,MATCH(ROWS($V$2:V285),$V$2:$V$1001,0),MATCH(COLUMNS($AC$1006:AG1006),$AC$1006:$AS$1006,0)), HYPERLINK("#",""), HYPERLINK(CONCATENATE("#metadata!", ADDRESS(INDEX($X$2:$X$1001,MATCH(ROWS($V$2:V285),$V$2:$V$1001,0),0), INDEX($AC$1004:$AS$1004,1,MATCH(COLUMNS($AC$1006:AG1006),$AC$1006:$AS$1006,0)))),"Fix")))</f>
        <v xml:space="preserve"> </v>
      </c>
      <c r="G285" s="4" t="str">
        <f ca="1">IF(OR(INDEX($W$2:$W$1001,MATCH(ROWS($V$2:V285),$V$2:$V$1001,0),1)&gt;=100000,INDEX($AC$1005:$AS$1005,1,MATCH(COLUMNS($AC$1006:AH1006),$AC$1006:$AS$1006,0))&gt;=100000), " ",IF(INDEX($AC$2:$AS$1001,MATCH(ROWS($V$2:V285),$V$2:$V$1001,0),MATCH(COLUMNS($AC$1006:AH1006),$AC$1006:$AS$1006,0)), HYPERLINK("#",""), HYPERLINK(CONCATENATE("#metadata!", ADDRESS(INDEX($X$2:$X$1001,MATCH(ROWS($V$2:V285),$V$2:$V$1001,0),0), INDEX($AC$1004:$AS$1004,1,MATCH(COLUMNS($AC$1006:AH1006),$AC$1006:$AS$1006,0)))),"Fix")))</f>
        <v xml:space="preserve"> </v>
      </c>
      <c r="H285" s="4" t="str">
        <f ca="1">IF(OR(INDEX($W$2:$W$1001,MATCH(ROWS($V$2:V285),$V$2:$V$1001,0),1)&gt;=100000,INDEX($AC$1005:$AS$1005,1,MATCH(COLUMNS($AC$1006:AI1006),$AC$1006:$AS$1006,0))&gt;=100000), " ",IF(INDEX($AC$2:$AS$1001,MATCH(ROWS($V$2:V285),$V$2:$V$1001,0),MATCH(COLUMNS($AC$1006:AI1006),$AC$1006:$AS$1006,0)), HYPERLINK("#",""), HYPERLINK(CONCATENATE("#metadata!", ADDRESS(INDEX($X$2:$X$1001,MATCH(ROWS($V$2:V285),$V$2:$V$1001,0),0), INDEX($AC$1004:$AS$1004,1,MATCH(COLUMNS($AC$1006:AI1006),$AC$1006:$AS$1006,0)))),"Fix")))</f>
        <v xml:space="preserve"> </v>
      </c>
      <c r="I285" s="4" t="str">
        <f ca="1">IF(OR(INDEX($W$2:$W$1001,MATCH(ROWS($V$2:V285),$V$2:$V$1001,0),1)&gt;=100000,INDEX($AC$1005:$AS$1005,1,MATCH(COLUMNS($AC$1006:AJ1006),$AC$1006:$AS$1006,0))&gt;=100000), " ",IF(INDEX($AC$2:$AS$1001,MATCH(ROWS($V$2:V285),$V$2:$V$1001,0),MATCH(COLUMNS($AC$1006:AJ1006),$AC$1006:$AS$1006,0)), HYPERLINK("#",""), HYPERLINK(CONCATENATE("#metadata!", ADDRESS(INDEX($X$2:$X$1001,MATCH(ROWS($V$2:V285),$V$2:$V$1001,0),0), INDEX($AC$1004:$AS$1004,1,MATCH(COLUMNS($AC$1006:AJ1006),$AC$1006:$AS$1006,0)))),"Fix")))</f>
        <v xml:space="preserve"> </v>
      </c>
      <c r="J285" s="4" t="str">
        <f ca="1">IF(OR(INDEX($W$2:$W$1001,MATCH(ROWS($V$2:V285),$V$2:$V$1001,0),1)&gt;=100000,INDEX($AC$1005:$AS$1005,1,MATCH(COLUMNS($AC$1006:AK1006),$AC$1006:$AS$1006,0))&gt;=100000), " ",IF(INDEX($AC$2:$AS$1001,MATCH(ROWS($V$2:V285),$V$2:$V$1001,0),MATCH(COLUMNS($AC$1006:AK1006),$AC$1006:$AS$1006,0)), HYPERLINK("#",""), HYPERLINK(CONCATENATE("#metadata!", ADDRESS(INDEX($X$2:$X$1001,MATCH(ROWS($V$2:V285),$V$2:$V$1001,0),0), INDEX($AC$1004:$AS$1004,1,MATCH(COLUMNS($AC$1006:AK1006),$AC$1006:$AS$1006,0)))),"Fix")))</f>
        <v xml:space="preserve"> </v>
      </c>
      <c r="K285" s="4" t="str">
        <f ca="1">IF(OR(INDEX($W$2:$W$1001,MATCH(ROWS($V$2:V285),$V$2:$V$1001,0),1)&gt;=100000,INDEX($AC$1005:$AS$1005,1,MATCH(COLUMNS($AC$1006:AL1006),$AC$1006:$AS$1006,0))&gt;=100000), " ",IF(INDEX($AC$2:$AS$1001,MATCH(ROWS($V$2:V285),$V$2:$V$1001,0),MATCH(COLUMNS($AC$1006:AL1006),$AC$1006:$AS$1006,0)), HYPERLINK("#",""), HYPERLINK(CONCATENATE("#metadata!", ADDRESS(INDEX($X$2:$X$1001,MATCH(ROWS($V$2:V285),$V$2:$V$1001,0),0), INDEX($AC$1004:$AS$1004,1,MATCH(COLUMNS($AC$1006:AL1006),$AC$1006:$AS$1006,0)))),"Fix")))</f>
        <v xml:space="preserve"> </v>
      </c>
      <c r="L285" s="4" t="str">
        <f ca="1">IF(OR(INDEX($W$2:$W$1001,MATCH(ROWS($V$2:V285),$V$2:$V$1001,0),1)&gt;=100000,INDEX($AC$1005:$AS$1005,1,MATCH(COLUMNS($AC$1006:AM1006),$AC$1006:$AS$1006,0))&gt;=100000), " ",IF(INDEX($AC$2:$AS$1001,MATCH(ROWS($V$2:V285),$V$2:$V$1001,0),MATCH(COLUMNS($AC$1006:AM1006),$AC$1006:$AS$1006,0)), HYPERLINK("#",""), HYPERLINK(CONCATENATE("#metadata!", ADDRESS(INDEX($X$2:$X$1001,MATCH(ROWS($V$2:V285),$V$2:$V$1001,0),0), INDEX($AC$1004:$AS$1004,1,MATCH(COLUMNS($AC$1006:AM1006),$AC$1006:$AS$1006,0)))),"Fix")))</f>
        <v xml:space="preserve"> </v>
      </c>
      <c r="M285" s="4" t="str">
        <f ca="1">IF(OR(INDEX($W$2:$W$1001,MATCH(ROWS($V$2:V285),$V$2:$V$1001,0),1)&gt;=100000,INDEX($AC$1005:$AS$1005,1,MATCH(COLUMNS($AC$1006:AN1006),$AC$1006:$AS$1006,0))&gt;=100000), " ",IF(INDEX($AC$2:$AS$1001,MATCH(ROWS($V$2:V285),$V$2:$V$1001,0),MATCH(COLUMNS($AC$1006:AN1006),$AC$1006:$AS$1006,0)), HYPERLINK("#",""), HYPERLINK(CONCATENATE("#metadata!", ADDRESS(INDEX($X$2:$X$1001,MATCH(ROWS($V$2:V285),$V$2:$V$1001,0),0), INDEX($AC$1004:$AS$1004,1,MATCH(COLUMNS($AC$1006:AN1006),$AC$1006:$AS$1006,0)))),"Fix")))</f>
        <v xml:space="preserve"> </v>
      </c>
      <c r="N285" s="4" t="str">
        <f ca="1">IF(OR(INDEX($W$2:$W$1001,MATCH(ROWS($V$2:V285),$V$2:$V$1001,0),1)&gt;=100000,INDEX($AC$1005:$AS$1005,1,MATCH(COLUMNS($AC$1006:AO1006),$AC$1006:$AS$1006,0))&gt;=100000), " ",IF(INDEX($AC$2:$AS$1001,MATCH(ROWS($V$2:V285),$V$2:$V$1001,0),MATCH(COLUMNS($AC$1006:AO1006),$AC$1006:$AS$1006,0)), HYPERLINK("#",""), HYPERLINK(CONCATENATE("#metadata!", ADDRESS(INDEX($X$2:$X$1001,MATCH(ROWS($V$2:V285),$V$2:$V$1001,0),0), INDEX($AC$1004:$AS$1004,1,MATCH(COLUMNS($AC$1006:AO1006),$AC$1006:$AS$1006,0)))),"Fix")))</f>
        <v xml:space="preserve"> </v>
      </c>
      <c r="O285" s="4" t="str">
        <f ca="1">IF(OR(INDEX($W$2:$W$1001,MATCH(ROWS($V$2:V285),$V$2:$V$1001,0),1)&gt;=100000,INDEX($AC$1005:$AS$1005,1,MATCH(COLUMNS($AC$1006:AP1006),$AC$1006:$AS$1006,0))&gt;=100000), " ",IF(INDEX($AC$2:$AS$1001,MATCH(ROWS($V$2:V285),$V$2:$V$1001,0),MATCH(COLUMNS($AC$1006:AP1006),$AC$1006:$AS$1006,0)), HYPERLINK("#",""), HYPERLINK(CONCATENATE("#metadata!", ADDRESS(INDEX($X$2:$X$1001,MATCH(ROWS($V$2:V285),$V$2:$V$1001,0),0), INDEX($AC$1004:$AS$1004,1,MATCH(COLUMNS($AC$1006:AP1006),$AC$1006:$AS$1006,0)))),"Fix")))</f>
        <v xml:space="preserve"> </v>
      </c>
      <c r="P285" s="4" t="str">
        <f ca="1">IF(OR(INDEX($W$2:$W$1001,MATCH(ROWS($V$2:V285),$V$2:$V$1001,0),1)&gt;=100000,INDEX($AC$1005:$AS$1005,1,MATCH(COLUMNS($AC$1006:AQ1006),$AC$1006:$AS$1006,0))&gt;=100000), " ",IF(INDEX($AC$2:$AS$1001,MATCH(ROWS($V$2:V285),$V$2:$V$1001,0),MATCH(COLUMNS($AC$1006:AQ1006),$AC$1006:$AS$1006,0)), HYPERLINK("#",""), HYPERLINK(CONCATENATE("#metadata!", ADDRESS(INDEX($X$2:$X$1001,MATCH(ROWS($V$2:V285),$V$2:$V$1001,0),0), INDEX($AC$1004:$AS$1004,1,MATCH(COLUMNS($AC$1006:AQ1006),$AC$1006:$AS$1006,0)))),"Fix")))</f>
        <v xml:space="preserve"> </v>
      </c>
      <c r="Q285" s="4" t="str">
        <f ca="1">IF(OR(INDEX($W$2:$W$1001,MATCH(ROWS($V$2:V285),$V$2:$V$1001,0),1)&gt;=100000,INDEX($AC$1005:$AS$1005,1,MATCH(COLUMNS($AC$1006:AR1006),$AC$1006:$AS$1006,0))&gt;=100000), " ",IF(INDEX($AC$2:$AS$1001,MATCH(ROWS($V$2:V285),$V$2:$V$1001,0),MATCH(COLUMNS($AC$1006:AR1006),$AC$1006:$AS$1006,0)), HYPERLINK("#",""), HYPERLINK(CONCATENATE("#metadata!", ADDRESS(INDEX($X$2:$X$1001,MATCH(ROWS($V$2:V285),$V$2:$V$1001,0),0), INDEX($AC$1004:$AS$1004,1,MATCH(COLUMNS($AC$1006:AR1006),$AC$1006:$AS$1006,0)))),"Fix")))</f>
        <v xml:space="preserve"> </v>
      </c>
      <c r="R285" s="4" t="str">
        <f ca="1">IF(OR(INDEX($W$2:$W$1001,MATCH(ROWS($V$2:V285),$V$2:$V$1001,0),1)&gt;=100000,INDEX($AC$1005:$AS$1005,1,MATCH(COLUMNS($AC$1006:AS1006),$AC$1006:$AS$1006,0))&gt;=100000), " ",IF(INDEX($AC$2:$AS$1001,MATCH(ROWS($V$2:V285),$V$2:$V$1001,0),MATCH(COLUMNS($AC$1006:AS1006),$AC$1006:$AS$1006,0)), HYPERLINK("#",""), HYPERLINK(CONCATENATE("#metadata!", ADDRESS(INDEX($X$2:$X$1001,MATCH(ROWS($V$2:V285),$V$2:$V$1001,0),0), INDEX($AC$1004:$AS$1004,1,MATCH(COLUMNS($AC$1006:AS1006),$AC$1006:$AS$1006,0)))),"Fix")))</f>
        <v xml:space="preserve"> </v>
      </c>
      <c r="V285">
        <v>284</v>
      </c>
      <c r="W285">
        <v>100285</v>
      </c>
      <c r="X285">
        <v>285</v>
      </c>
      <c r="Y285" t="b">
        <f t="shared" si="4"/>
        <v>1</v>
      </c>
      <c r="Z285" t="b">
        <f>COUNTBLANK(metadata!B285:R285)=COLUMNS(metadata!B285:R285)</f>
        <v>1</v>
      </c>
      <c r="AA285" t="str">
        <v/>
      </c>
      <c r="AC285" t="b">
        <f ca="1"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AD285" t="b">
        <f>IF(metadata!C285="",FALSE,ISNUMBER(VALUE(metadata!C285)))</f>
        <v>0</v>
      </c>
      <c r="AE285" t="b">
        <f>AND(IF(metadata!D285="",FALSE,TRUE),EXACT(metadata!D285,"years"))</f>
        <v>0</v>
      </c>
      <c r="AF285" t="b">
        <f>OR(AND(IF(metadata!E285="",FALSE,TRUE),OR(EXACT(metadata!E285,"not applicable"),EXACT(metadata!E285,"missing: not collected"),EXACT(metadata!E285,"missing: not provided"),EXACT(metadata!E285,"missing: restricted access"))),AND(IF(metadata!E285="",FALSE,ISNUMBER(VALUE(metadata!E285))),metadata!E285&gt;0))</f>
        <v>0</v>
      </c>
      <c r="AG285" t="b">
        <f>AND(IF(metadata!F285="",FALSE,TRUE),EXACT(metadata!F285,"Not applicable"))</f>
        <v>0</v>
      </c>
      <c r="AH285" t="b">
        <f>AND(IF(metadata!G285="",FALSE,TRUE),EXACT(metadata!G285,"urban biome"))</f>
        <v>0</v>
      </c>
      <c r="AI285" t="b">
        <f>AND(IF(metadata!H285="",FALSE,TRUE),EXACT(metadata!H285,"human-associated habitat"))</f>
        <v>0</v>
      </c>
      <c r="AJ285" t="b">
        <f>AND(IF(metadata!I285="",FALSE,TRUE),OR(EXACT(metadata!I285,"human-associated"),EXACT(metadata!I285,"human-skin"),EXACT(metadata!I285,"human-oral"),EXACT(metadata!I285,"human-gut"),EXACT(metadata!I285,"human-vaginal")))</f>
        <v>0</v>
      </c>
      <c r="AK285" t="b">
        <f>IF(metadata!J285="",FALSE,ISNUMBER(VALUE(metadata!J285)))</f>
        <v>0</v>
      </c>
      <c r="AL285" t="b">
        <f>AND(IF(metadata!K285="",FALSE,TRUE),EXACT(metadata!K285,"cm"))</f>
        <v>0</v>
      </c>
      <c r="AM285" t="b">
        <f>AND(IF(metadata!L285="",FALSE,TRUE),EXACT(metadata!L285,"human"))</f>
        <v>0</v>
      </c>
      <c r="AN285" t="b">
        <f>AND(IF(metadata!M285="",FALSE,TRUE),EXACT(metadata!M285,"Homo sapiens"))</f>
        <v>0</v>
      </c>
      <c r="AO285" t="b">
        <f>AND(IF(metadata!N285="",FALSE,TRUE),EXACT(metadata!N285,"9606"))</f>
        <v>0</v>
      </c>
      <c r="AP285" t="b">
        <f>IF(metadata!O285="",FALSE,TRUE)</f>
        <v>0</v>
      </c>
      <c r="AQ285" t="b">
        <f>IF(metadata!P285="",FALSE,TRUE)</f>
        <v>0</v>
      </c>
      <c r="AR285" t="b">
        <f>IF(metadata!Q285="",FALSE,ISNUMBER(VALUE(metadata!Q285)))</f>
        <v>0</v>
      </c>
      <c r="AS285" t="b">
        <f>AND(IF(metadata!R285="",FALSE,TRUE),EXACT(metadata!R285,"kg"))</f>
        <v>0</v>
      </c>
    </row>
    <row r="286" spans="1:45" x14ac:dyDescent="0.2">
      <c r="A286" s="5" t="str">
        <f ca="1">IF(B286=" "," ",HYPERLINK(CONCATENATE("#metadata!",ADDRESS(INDEX($X$2:$X$1001,MATCH(ROWS($V$2:V286),$V$2:$V$1001,0),0),1)),INDEX($AA$2:$AA$1001,MATCH(ROWS($V$2:V286),$V$2:$V$1001,0),0)))</f>
        <v xml:space="preserve"> </v>
      </c>
      <c r="B286" s="4" t="str">
        <f ca="1">IF(OR(INDEX($W$2:$W$1001,MATCH(ROWS($V$2:V286),$V$2:$V$1001,0),1)&gt;=100000,INDEX($AC$1005:$AS$1005,1,MATCH(COLUMNS($AC$1006:AC1006),$AC$1006:$AS$1006,0))&gt;=100000), " ",IF(INDEX($AC$2:$AS$1001,MATCH(ROWS($V$2:V286),$V$2:$V$1001,0),MATCH(COLUMNS($AC$1006:AC1006),$AC$1006:$AS$1006,0)), HYPERLINK("#",""), HYPERLINK(CONCATENATE("#metadata!", ADDRESS(INDEX($X$2:$X$1001,MATCH(ROWS($V$2:V286),$V$2:$V$1001,0),0), INDEX($AC$1004:$AS$1004,1,MATCH(COLUMNS($AC$1006:AC1006),$AC$1006:$AS$1006,0)))),"Fix")))</f>
        <v xml:space="preserve"> </v>
      </c>
      <c r="C286" s="4" t="str">
        <f ca="1">IF(OR(INDEX($W$2:$W$1001,MATCH(ROWS($V$2:V286),$V$2:$V$1001,0),1)&gt;=100000,INDEX($AC$1005:$AS$1005,1,MATCH(COLUMNS($AC$1006:AD1006),$AC$1006:$AS$1006,0))&gt;=100000), " ",IF(INDEX($AC$2:$AS$1001,MATCH(ROWS($V$2:V286),$V$2:$V$1001,0),MATCH(COLUMNS($AC$1006:AD1006),$AC$1006:$AS$1006,0)), HYPERLINK("#",""), HYPERLINK(CONCATENATE("#metadata!", ADDRESS(INDEX($X$2:$X$1001,MATCH(ROWS($V$2:V286),$V$2:$V$1001,0),0), INDEX($AC$1004:$AS$1004,1,MATCH(COLUMNS($AC$1006:AD1006),$AC$1006:$AS$1006,0)))),"Fix")))</f>
        <v xml:space="preserve"> </v>
      </c>
      <c r="D286" s="4" t="str">
        <f ca="1">IF(OR(INDEX($W$2:$W$1001,MATCH(ROWS($V$2:V286),$V$2:$V$1001,0),1)&gt;=100000,INDEX($AC$1005:$AS$1005,1,MATCH(COLUMNS($AC$1006:AE1006),$AC$1006:$AS$1006,0))&gt;=100000), " ",IF(INDEX($AC$2:$AS$1001,MATCH(ROWS($V$2:V286),$V$2:$V$1001,0),MATCH(COLUMNS($AC$1006:AE1006),$AC$1006:$AS$1006,0)), HYPERLINK("#",""), HYPERLINK(CONCATENATE("#metadata!", ADDRESS(INDEX($X$2:$X$1001,MATCH(ROWS($V$2:V286),$V$2:$V$1001,0),0), INDEX($AC$1004:$AS$1004,1,MATCH(COLUMNS($AC$1006:AE1006),$AC$1006:$AS$1006,0)))),"Fix")))</f>
        <v xml:space="preserve"> </v>
      </c>
      <c r="E286" s="4" t="str">
        <f ca="1">IF(OR(INDEX($W$2:$W$1001,MATCH(ROWS($V$2:V286),$V$2:$V$1001,0),1)&gt;=100000,INDEX($AC$1005:$AS$1005,1,MATCH(COLUMNS($AC$1006:AF1006),$AC$1006:$AS$1006,0))&gt;=100000), " ",IF(INDEX($AC$2:$AS$1001,MATCH(ROWS($V$2:V286),$V$2:$V$1001,0),MATCH(COLUMNS($AC$1006:AF1006),$AC$1006:$AS$1006,0)), HYPERLINK("#",""), HYPERLINK(CONCATENATE("#metadata!", ADDRESS(INDEX($X$2:$X$1001,MATCH(ROWS($V$2:V286),$V$2:$V$1001,0),0), INDEX($AC$1004:$AS$1004,1,MATCH(COLUMNS($AC$1006:AF1006),$AC$1006:$AS$1006,0)))),"Fix")))</f>
        <v xml:space="preserve"> </v>
      </c>
      <c r="F286" s="4" t="str">
        <f ca="1">IF(OR(INDEX($W$2:$W$1001,MATCH(ROWS($V$2:V286),$V$2:$V$1001,0),1)&gt;=100000,INDEX($AC$1005:$AS$1005,1,MATCH(COLUMNS($AC$1006:AG1006),$AC$1006:$AS$1006,0))&gt;=100000), " ",IF(INDEX($AC$2:$AS$1001,MATCH(ROWS($V$2:V286),$V$2:$V$1001,0),MATCH(COLUMNS($AC$1006:AG1006),$AC$1006:$AS$1006,0)), HYPERLINK("#",""), HYPERLINK(CONCATENATE("#metadata!", ADDRESS(INDEX($X$2:$X$1001,MATCH(ROWS($V$2:V286),$V$2:$V$1001,0),0), INDEX($AC$1004:$AS$1004,1,MATCH(COLUMNS($AC$1006:AG1006),$AC$1006:$AS$1006,0)))),"Fix")))</f>
        <v xml:space="preserve"> </v>
      </c>
      <c r="G286" s="4" t="str">
        <f ca="1">IF(OR(INDEX($W$2:$W$1001,MATCH(ROWS($V$2:V286),$V$2:$V$1001,0),1)&gt;=100000,INDEX($AC$1005:$AS$1005,1,MATCH(COLUMNS($AC$1006:AH1006),$AC$1006:$AS$1006,0))&gt;=100000), " ",IF(INDEX($AC$2:$AS$1001,MATCH(ROWS($V$2:V286),$V$2:$V$1001,0),MATCH(COLUMNS($AC$1006:AH1006),$AC$1006:$AS$1006,0)), HYPERLINK("#",""), HYPERLINK(CONCATENATE("#metadata!", ADDRESS(INDEX($X$2:$X$1001,MATCH(ROWS($V$2:V286),$V$2:$V$1001,0),0), INDEX($AC$1004:$AS$1004,1,MATCH(COLUMNS($AC$1006:AH1006),$AC$1006:$AS$1006,0)))),"Fix")))</f>
        <v xml:space="preserve"> </v>
      </c>
      <c r="H286" s="4" t="str">
        <f ca="1">IF(OR(INDEX($W$2:$W$1001,MATCH(ROWS($V$2:V286),$V$2:$V$1001,0),1)&gt;=100000,INDEX($AC$1005:$AS$1005,1,MATCH(COLUMNS($AC$1006:AI1006),$AC$1006:$AS$1006,0))&gt;=100000), " ",IF(INDEX($AC$2:$AS$1001,MATCH(ROWS($V$2:V286),$V$2:$V$1001,0),MATCH(COLUMNS($AC$1006:AI1006),$AC$1006:$AS$1006,0)), HYPERLINK("#",""), HYPERLINK(CONCATENATE("#metadata!", ADDRESS(INDEX($X$2:$X$1001,MATCH(ROWS($V$2:V286),$V$2:$V$1001,0),0), INDEX($AC$1004:$AS$1004,1,MATCH(COLUMNS($AC$1006:AI1006),$AC$1006:$AS$1006,0)))),"Fix")))</f>
        <v xml:space="preserve"> </v>
      </c>
      <c r="I286" s="4" t="str">
        <f ca="1">IF(OR(INDEX($W$2:$W$1001,MATCH(ROWS($V$2:V286),$V$2:$V$1001,0),1)&gt;=100000,INDEX($AC$1005:$AS$1005,1,MATCH(COLUMNS($AC$1006:AJ1006),$AC$1006:$AS$1006,0))&gt;=100000), " ",IF(INDEX($AC$2:$AS$1001,MATCH(ROWS($V$2:V286),$V$2:$V$1001,0),MATCH(COLUMNS($AC$1006:AJ1006),$AC$1006:$AS$1006,0)), HYPERLINK("#",""), HYPERLINK(CONCATENATE("#metadata!", ADDRESS(INDEX($X$2:$X$1001,MATCH(ROWS($V$2:V286),$V$2:$V$1001,0),0), INDEX($AC$1004:$AS$1004,1,MATCH(COLUMNS($AC$1006:AJ1006),$AC$1006:$AS$1006,0)))),"Fix")))</f>
        <v xml:space="preserve"> </v>
      </c>
      <c r="J286" s="4" t="str">
        <f ca="1">IF(OR(INDEX($W$2:$W$1001,MATCH(ROWS($V$2:V286),$V$2:$V$1001,0),1)&gt;=100000,INDEX($AC$1005:$AS$1005,1,MATCH(COLUMNS($AC$1006:AK1006),$AC$1006:$AS$1006,0))&gt;=100000), " ",IF(INDEX($AC$2:$AS$1001,MATCH(ROWS($V$2:V286),$V$2:$V$1001,0),MATCH(COLUMNS($AC$1006:AK1006),$AC$1006:$AS$1006,0)), HYPERLINK("#",""), HYPERLINK(CONCATENATE("#metadata!", ADDRESS(INDEX($X$2:$X$1001,MATCH(ROWS($V$2:V286),$V$2:$V$1001,0),0), INDEX($AC$1004:$AS$1004,1,MATCH(COLUMNS($AC$1006:AK1006),$AC$1006:$AS$1006,0)))),"Fix")))</f>
        <v xml:space="preserve"> </v>
      </c>
      <c r="K286" s="4" t="str">
        <f ca="1">IF(OR(INDEX($W$2:$W$1001,MATCH(ROWS($V$2:V286),$V$2:$V$1001,0),1)&gt;=100000,INDEX($AC$1005:$AS$1005,1,MATCH(COLUMNS($AC$1006:AL1006),$AC$1006:$AS$1006,0))&gt;=100000), " ",IF(INDEX($AC$2:$AS$1001,MATCH(ROWS($V$2:V286),$V$2:$V$1001,0),MATCH(COLUMNS($AC$1006:AL1006),$AC$1006:$AS$1006,0)), HYPERLINK("#",""), HYPERLINK(CONCATENATE("#metadata!", ADDRESS(INDEX($X$2:$X$1001,MATCH(ROWS($V$2:V286),$V$2:$V$1001,0),0), INDEX($AC$1004:$AS$1004,1,MATCH(COLUMNS($AC$1006:AL1006),$AC$1006:$AS$1006,0)))),"Fix")))</f>
        <v xml:space="preserve"> </v>
      </c>
      <c r="L286" s="4" t="str">
        <f ca="1">IF(OR(INDEX($W$2:$W$1001,MATCH(ROWS($V$2:V286),$V$2:$V$1001,0),1)&gt;=100000,INDEX($AC$1005:$AS$1005,1,MATCH(COLUMNS($AC$1006:AM1006),$AC$1006:$AS$1006,0))&gt;=100000), " ",IF(INDEX($AC$2:$AS$1001,MATCH(ROWS($V$2:V286),$V$2:$V$1001,0),MATCH(COLUMNS($AC$1006:AM1006),$AC$1006:$AS$1006,0)), HYPERLINK("#",""), HYPERLINK(CONCATENATE("#metadata!", ADDRESS(INDEX($X$2:$X$1001,MATCH(ROWS($V$2:V286),$V$2:$V$1001,0),0), INDEX($AC$1004:$AS$1004,1,MATCH(COLUMNS($AC$1006:AM1006),$AC$1006:$AS$1006,0)))),"Fix")))</f>
        <v xml:space="preserve"> </v>
      </c>
      <c r="M286" s="4" t="str">
        <f ca="1">IF(OR(INDEX($W$2:$W$1001,MATCH(ROWS($V$2:V286),$V$2:$V$1001,0),1)&gt;=100000,INDEX($AC$1005:$AS$1005,1,MATCH(COLUMNS($AC$1006:AN1006),$AC$1006:$AS$1006,0))&gt;=100000), " ",IF(INDEX($AC$2:$AS$1001,MATCH(ROWS($V$2:V286),$V$2:$V$1001,0),MATCH(COLUMNS($AC$1006:AN1006),$AC$1006:$AS$1006,0)), HYPERLINK("#",""), HYPERLINK(CONCATENATE("#metadata!", ADDRESS(INDEX($X$2:$X$1001,MATCH(ROWS($V$2:V286),$V$2:$V$1001,0),0), INDEX($AC$1004:$AS$1004,1,MATCH(COLUMNS($AC$1006:AN1006),$AC$1006:$AS$1006,0)))),"Fix")))</f>
        <v xml:space="preserve"> </v>
      </c>
      <c r="N286" s="4" t="str">
        <f ca="1">IF(OR(INDEX($W$2:$W$1001,MATCH(ROWS($V$2:V286),$V$2:$V$1001,0),1)&gt;=100000,INDEX($AC$1005:$AS$1005,1,MATCH(COLUMNS($AC$1006:AO1006),$AC$1006:$AS$1006,0))&gt;=100000), " ",IF(INDEX($AC$2:$AS$1001,MATCH(ROWS($V$2:V286),$V$2:$V$1001,0),MATCH(COLUMNS($AC$1006:AO1006),$AC$1006:$AS$1006,0)), HYPERLINK("#",""), HYPERLINK(CONCATENATE("#metadata!", ADDRESS(INDEX($X$2:$X$1001,MATCH(ROWS($V$2:V286),$V$2:$V$1001,0),0), INDEX($AC$1004:$AS$1004,1,MATCH(COLUMNS($AC$1006:AO1006),$AC$1006:$AS$1006,0)))),"Fix")))</f>
        <v xml:space="preserve"> </v>
      </c>
      <c r="O286" s="4" t="str">
        <f ca="1">IF(OR(INDEX($W$2:$W$1001,MATCH(ROWS($V$2:V286),$V$2:$V$1001,0),1)&gt;=100000,INDEX($AC$1005:$AS$1005,1,MATCH(COLUMNS($AC$1006:AP1006),$AC$1006:$AS$1006,0))&gt;=100000), " ",IF(INDEX($AC$2:$AS$1001,MATCH(ROWS($V$2:V286),$V$2:$V$1001,0),MATCH(COLUMNS($AC$1006:AP1006),$AC$1006:$AS$1006,0)), HYPERLINK("#",""), HYPERLINK(CONCATENATE("#metadata!", ADDRESS(INDEX($X$2:$X$1001,MATCH(ROWS($V$2:V286),$V$2:$V$1001,0),0), INDEX($AC$1004:$AS$1004,1,MATCH(COLUMNS($AC$1006:AP1006),$AC$1006:$AS$1006,0)))),"Fix")))</f>
        <v xml:space="preserve"> </v>
      </c>
      <c r="P286" s="4" t="str">
        <f ca="1">IF(OR(INDEX($W$2:$W$1001,MATCH(ROWS($V$2:V286),$V$2:$V$1001,0),1)&gt;=100000,INDEX($AC$1005:$AS$1005,1,MATCH(COLUMNS($AC$1006:AQ1006),$AC$1006:$AS$1006,0))&gt;=100000), " ",IF(INDEX($AC$2:$AS$1001,MATCH(ROWS($V$2:V286),$V$2:$V$1001,0),MATCH(COLUMNS($AC$1006:AQ1006),$AC$1006:$AS$1006,0)), HYPERLINK("#",""), HYPERLINK(CONCATENATE("#metadata!", ADDRESS(INDEX($X$2:$X$1001,MATCH(ROWS($V$2:V286),$V$2:$V$1001,0),0), INDEX($AC$1004:$AS$1004,1,MATCH(COLUMNS($AC$1006:AQ1006),$AC$1006:$AS$1006,0)))),"Fix")))</f>
        <v xml:space="preserve"> </v>
      </c>
      <c r="Q286" s="4" t="str">
        <f ca="1">IF(OR(INDEX($W$2:$W$1001,MATCH(ROWS($V$2:V286),$V$2:$V$1001,0),1)&gt;=100000,INDEX($AC$1005:$AS$1005,1,MATCH(COLUMNS($AC$1006:AR1006),$AC$1006:$AS$1006,0))&gt;=100000), " ",IF(INDEX($AC$2:$AS$1001,MATCH(ROWS($V$2:V286),$V$2:$V$1001,0),MATCH(COLUMNS($AC$1006:AR1006),$AC$1006:$AS$1006,0)), HYPERLINK("#",""), HYPERLINK(CONCATENATE("#metadata!", ADDRESS(INDEX($X$2:$X$1001,MATCH(ROWS($V$2:V286),$V$2:$V$1001,0),0), INDEX($AC$1004:$AS$1004,1,MATCH(COLUMNS($AC$1006:AR1006),$AC$1006:$AS$1006,0)))),"Fix")))</f>
        <v xml:space="preserve"> </v>
      </c>
      <c r="R286" s="4" t="str">
        <f ca="1">IF(OR(INDEX($W$2:$W$1001,MATCH(ROWS($V$2:V286),$V$2:$V$1001,0),1)&gt;=100000,INDEX($AC$1005:$AS$1005,1,MATCH(COLUMNS($AC$1006:AS1006),$AC$1006:$AS$1006,0))&gt;=100000), " ",IF(INDEX($AC$2:$AS$1001,MATCH(ROWS($V$2:V286),$V$2:$V$1001,0),MATCH(COLUMNS($AC$1006:AS1006),$AC$1006:$AS$1006,0)), HYPERLINK("#",""), HYPERLINK(CONCATENATE("#metadata!", ADDRESS(INDEX($X$2:$X$1001,MATCH(ROWS($V$2:V286),$V$2:$V$1001,0),0), INDEX($AC$1004:$AS$1004,1,MATCH(COLUMNS($AC$1006:AS1006),$AC$1006:$AS$1006,0)))),"Fix")))</f>
        <v xml:space="preserve"> </v>
      </c>
      <c r="V286">
        <v>285</v>
      </c>
      <c r="W286">
        <v>100286</v>
      </c>
      <c r="X286">
        <v>286</v>
      </c>
      <c r="Y286" t="b">
        <f t="shared" si="4"/>
        <v>1</v>
      </c>
      <c r="Z286" t="b">
        <f>COUNTBLANK(metadata!B286:R286)=COLUMNS(metadata!B286:R286)</f>
        <v>1</v>
      </c>
      <c r="AA286" t="str">
        <v/>
      </c>
      <c r="AC286" t="b">
        <f ca="1"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AD286" t="b">
        <f>IF(metadata!C286="",FALSE,ISNUMBER(VALUE(metadata!C286)))</f>
        <v>0</v>
      </c>
      <c r="AE286" t="b">
        <f>AND(IF(metadata!D286="",FALSE,TRUE),EXACT(metadata!D286,"years"))</f>
        <v>0</v>
      </c>
      <c r="AF286" t="b">
        <f>OR(AND(IF(metadata!E286="",FALSE,TRUE),OR(EXACT(metadata!E286,"not applicable"),EXACT(metadata!E286,"missing: not collected"),EXACT(metadata!E286,"missing: not provided"),EXACT(metadata!E286,"missing: restricted access"))),AND(IF(metadata!E286="",FALSE,ISNUMBER(VALUE(metadata!E286))),metadata!E286&gt;0))</f>
        <v>0</v>
      </c>
      <c r="AG286" t="b">
        <f>AND(IF(metadata!F286="",FALSE,TRUE),EXACT(metadata!F286,"Not applicable"))</f>
        <v>0</v>
      </c>
      <c r="AH286" t="b">
        <f>AND(IF(metadata!G286="",FALSE,TRUE),EXACT(metadata!G286,"urban biome"))</f>
        <v>0</v>
      </c>
      <c r="AI286" t="b">
        <f>AND(IF(metadata!H286="",FALSE,TRUE),EXACT(metadata!H286,"human-associated habitat"))</f>
        <v>0</v>
      </c>
      <c r="AJ286" t="b">
        <f>AND(IF(metadata!I286="",FALSE,TRUE),OR(EXACT(metadata!I286,"human-associated"),EXACT(metadata!I286,"human-skin"),EXACT(metadata!I286,"human-oral"),EXACT(metadata!I286,"human-gut"),EXACT(metadata!I286,"human-vaginal")))</f>
        <v>0</v>
      </c>
      <c r="AK286" t="b">
        <f>IF(metadata!J286="",FALSE,ISNUMBER(VALUE(metadata!J286)))</f>
        <v>0</v>
      </c>
      <c r="AL286" t="b">
        <f>AND(IF(metadata!K286="",FALSE,TRUE),EXACT(metadata!K286,"cm"))</f>
        <v>0</v>
      </c>
      <c r="AM286" t="b">
        <f>AND(IF(metadata!L286="",FALSE,TRUE),EXACT(metadata!L286,"human"))</f>
        <v>0</v>
      </c>
      <c r="AN286" t="b">
        <f>AND(IF(metadata!M286="",FALSE,TRUE),EXACT(metadata!M286,"Homo sapiens"))</f>
        <v>0</v>
      </c>
      <c r="AO286" t="b">
        <f>AND(IF(metadata!N286="",FALSE,TRUE),EXACT(metadata!N286,"9606"))</f>
        <v>0</v>
      </c>
      <c r="AP286" t="b">
        <f>IF(metadata!O286="",FALSE,TRUE)</f>
        <v>0</v>
      </c>
      <c r="AQ286" t="b">
        <f>IF(metadata!P286="",FALSE,TRUE)</f>
        <v>0</v>
      </c>
      <c r="AR286" t="b">
        <f>IF(metadata!Q286="",FALSE,ISNUMBER(VALUE(metadata!Q286)))</f>
        <v>0</v>
      </c>
      <c r="AS286" t="b">
        <f>AND(IF(metadata!R286="",FALSE,TRUE),EXACT(metadata!R286,"kg"))</f>
        <v>0</v>
      </c>
    </row>
    <row r="287" spans="1:45" x14ac:dyDescent="0.2">
      <c r="A287" s="5" t="str">
        <f ca="1">IF(B287=" "," ",HYPERLINK(CONCATENATE("#metadata!",ADDRESS(INDEX($X$2:$X$1001,MATCH(ROWS($V$2:V287),$V$2:$V$1001,0),0),1)),INDEX($AA$2:$AA$1001,MATCH(ROWS($V$2:V287),$V$2:$V$1001,0),0)))</f>
        <v xml:space="preserve"> </v>
      </c>
      <c r="B287" s="4" t="str">
        <f ca="1">IF(OR(INDEX($W$2:$W$1001,MATCH(ROWS($V$2:V287),$V$2:$V$1001,0),1)&gt;=100000,INDEX($AC$1005:$AS$1005,1,MATCH(COLUMNS($AC$1006:AC1006),$AC$1006:$AS$1006,0))&gt;=100000), " ",IF(INDEX($AC$2:$AS$1001,MATCH(ROWS($V$2:V287),$V$2:$V$1001,0),MATCH(COLUMNS($AC$1006:AC1006),$AC$1006:$AS$1006,0)), HYPERLINK("#",""), HYPERLINK(CONCATENATE("#metadata!", ADDRESS(INDEX($X$2:$X$1001,MATCH(ROWS($V$2:V287),$V$2:$V$1001,0),0), INDEX($AC$1004:$AS$1004,1,MATCH(COLUMNS($AC$1006:AC1006),$AC$1006:$AS$1006,0)))),"Fix")))</f>
        <v xml:space="preserve"> </v>
      </c>
      <c r="C287" s="4" t="str">
        <f ca="1">IF(OR(INDEX($W$2:$W$1001,MATCH(ROWS($V$2:V287),$V$2:$V$1001,0),1)&gt;=100000,INDEX($AC$1005:$AS$1005,1,MATCH(COLUMNS($AC$1006:AD1006),$AC$1006:$AS$1006,0))&gt;=100000), " ",IF(INDEX($AC$2:$AS$1001,MATCH(ROWS($V$2:V287),$V$2:$V$1001,0),MATCH(COLUMNS($AC$1006:AD1006),$AC$1006:$AS$1006,0)), HYPERLINK("#",""), HYPERLINK(CONCATENATE("#metadata!", ADDRESS(INDEX($X$2:$X$1001,MATCH(ROWS($V$2:V287),$V$2:$V$1001,0),0), INDEX($AC$1004:$AS$1004,1,MATCH(COLUMNS($AC$1006:AD1006),$AC$1006:$AS$1006,0)))),"Fix")))</f>
        <v xml:space="preserve"> </v>
      </c>
      <c r="D287" s="4" t="str">
        <f ca="1">IF(OR(INDEX($W$2:$W$1001,MATCH(ROWS($V$2:V287),$V$2:$V$1001,0),1)&gt;=100000,INDEX($AC$1005:$AS$1005,1,MATCH(COLUMNS($AC$1006:AE1006),$AC$1006:$AS$1006,0))&gt;=100000), " ",IF(INDEX($AC$2:$AS$1001,MATCH(ROWS($V$2:V287),$V$2:$V$1001,0),MATCH(COLUMNS($AC$1006:AE1006),$AC$1006:$AS$1006,0)), HYPERLINK("#",""), HYPERLINK(CONCATENATE("#metadata!", ADDRESS(INDEX($X$2:$X$1001,MATCH(ROWS($V$2:V287),$V$2:$V$1001,0),0), INDEX($AC$1004:$AS$1004,1,MATCH(COLUMNS($AC$1006:AE1006),$AC$1006:$AS$1006,0)))),"Fix")))</f>
        <v xml:space="preserve"> </v>
      </c>
      <c r="E287" s="4" t="str">
        <f ca="1">IF(OR(INDEX($W$2:$W$1001,MATCH(ROWS($V$2:V287),$V$2:$V$1001,0),1)&gt;=100000,INDEX($AC$1005:$AS$1005,1,MATCH(COLUMNS($AC$1006:AF1006),$AC$1006:$AS$1006,0))&gt;=100000), " ",IF(INDEX($AC$2:$AS$1001,MATCH(ROWS($V$2:V287),$V$2:$V$1001,0),MATCH(COLUMNS($AC$1006:AF1006),$AC$1006:$AS$1006,0)), HYPERLINK("#",""), HYPERLINK(CONCATENATE("#metadata!", ADDRESS(INDEX($X$2:$X$1001,MATCH(ROWS($V$2:V287),$V$2:$V$1001,0),0), INDEX($AC$1004:$AS$1004,1,MATCH(COLUMNS($AC$1006:AF1006),$AC$1006:$AS$1006,0)))),"Fix")))</f>
        <v xml:space="preserve"> </v>
      </c>
      <c r="F287" s="4" t="str">
        <f ca="1">IF(OR(INDEX($W$2:$W$1001,MATCH(ROWS($V$2:V287),$V$2:$V$1001,0),1)&gt;=100000,INDEX($AC$1005:$AS$1005,1,MATCH(COLUMNS($AC$1006:AG1006),$AC$1006:$AS$1006,0))&gt;=100000), " ",IF(INDEX($AC$2:$AS$1001,MATCH(ROWS($V$2:V287),$V$2:$V$1001,0),MATCH(COLUMNS($AC$1006:AG1006),$AC$1006:$AS$1006,0)), HYPERLINK("#",""), HYPERLINK(CONCATENATE("#metadata!", ADDRESS(INDEX($X$2:$X$1001,MATCH(ROWS($V$2:V287),$V$2:$V$1001,0),0), INDEX($AC$1004:$AS$1004,1,MATCH(COLUMNS($AC$1006:AG1006),$AC$1006:$AS$1006,0)))),"Fix")))</f>
        <v xml:space="preserve"> </v>
      </c>
      <c r="G287" s="4" t="str">
        <f ca="1">IF(OR(INDEX($W$2:$W$1001,MATCH(ROWS($V$2:V287),$V$2:$V$1001,0),1)&gt;=100000,INDEX($AC$1005:$AS$1005,1,MATCH(COLUMNS($AC$1006:AH1006),$AC$1006:$AS$1006,0))&gt;=100000), " ",IF(INDEX($AC$2:$AS$1001,MATCH(ROWS($V$2:V287),$V$2:$V$1001,0),MATCH(COLUMNS($AC$1006:AH1006),$AC$1006:$AS$1006,0)), HYPERLINK("#",""), HYPERLINK(CONCATENATE("#metadata!", ADDRESS(INDEX($X$2:$X$1001,MATCH(ROWS($V$2:V287),$V$2:$V$1001,0),0), INDEX($AC$1004:$AS$1004,1,MATCH(COLUMNS($AC$1006:AH1006),$AC$1006:$AS$1006,0)))),"Fix")))</f>
        <v xml:space="preserve"> </v>
      </c>
      <c r="H287" s="4" t="str">
        <f ca="1">IF(OR(INDEX($W$2:$W$1001,MATCH(ROWS($V$2:V287),$V$2:$V$1001,0),1)&gt;=100000,INDEX($AC$1005:$AS$1005,1,MATCH(COLUMNS($AC$1006:AI1006),$AC$1006:$AS$1006,0))&gt;=100000), " ",IF(INDEX($AC$2:$AS$1001,MATCH(ROWS($V$2:V287),$V$2:$V$1001,0),MATCH(COLUMNS($AC$1006:AI1006),$AC$1006:$AS$1006,0)), HYPERLINK("#",""), HYPERLINK(CONCATENATE("#metadata!", ADDRESS(INDEX($X$2:$X$1001,MATCH(ROWS($V$2:V287),$V$2:$V$1001,0),0), INDEX($AC$1004:$AS$1004,1,MATCH(COLUMNS($AC$1006:AI1006),$AC$1006:$AS$1006,0)))),"Fix")))</f>
        <v xml:space="preserve"> </v>
      </c>
      <c r="I287" s="4" t="str">
        <f ca="1">IF(OR(INDEX($W$2:$W$1001,MATCH(ROWS($V$2:V287),$V$2:$V$1001,0),1)&gt;=100000,INDEX($AC$1005:$AS$1005,1,MATCH(COLUMNS($AC$1006:AJ1006),$AC$1006:$AS$1006,0))&gt;=100000), " ",IF(INDEX($AC$2:$AS$1001,MATCH(ROWS($V$2:V287),$V$2:$V$1001,0),MATCH(COLUMNS($AC$1006:AJ1006),$AC$1006:$AS$1006,0)), HYPERLINK("#",""), HYPERLINK(CONCATENATE("#metadata!", ADDRESS(INDEX($X$2:$X$1001,MATCH(ROWS($V$2:V287),$V$2:$V$1001,0),0), INDEX($AC$1004:$AS$1004,1,MATCH(COLUMNS($AC$1006:AJ1006),$AC$1006:$AS$1006,0)))),"Fix")))</f>
        <v xml:space="preserve"> </v>
      </c>
      <c r="J287" s="4" t="str">
        <f ca="1">IF(OR(INDEX($W$2:$W$1001,MATCH(ROWS($V$2:V287),$V$2:$V$1001,0),1)&gt;=100000,INDEX($AC$1005:$AS$1005,1,MATCH(COLUMNS($AC$1006:AK1006),$AC$1006:$AS$1006,0))&gt;=100000), " ",IF(INDEX($AC$2:$AS$1001,MATCH(ROWS($V$2:V287),$V$2:$V$1001,0),MATCH(COLUMNS($AC$1006:AK1006),$AC$1006:$AS$1006,0)), HYPERLINK("#",""), HYPERLINK(CONCATENATE("#metadata!", ADDRESS(INDEX($X$2:$X$1001,MATCH(ROWS($V$2:V287),$V$2:$V$1001,0),0), INDEX($AC$1004:$AS$1004,1,MATCH(COLUMNS($AC$1006:AK1006),$AC$1006:$AS$1006,0)))),"Fix")))</f>
        <v xml:space="preserve"> </v>
      </c>
      <c r="K287" s="4" t="str">
        <f ca="1">IF(OR(INDEX($W$2:$W$1001,MATCH(ROWS($V$2:V287),$V$2:$V$1001,0),1)&gt;=100000,INDEX($AC$1005:$AS$1005,1,MATCH(COLUMNS($AC$1006:AL1006),$AC$1006:$AS$1006,0))&gt;=100000), " ",IF(INDEX($AC$2:$AS$1001,MATCH(ROWS($V$2:V287),$V$2:$V$1001,0),MATCH(COLUMNS($AC$1006:AL1006),$AC$1006:$AS$1006,0)), HYPERLINK("#",""), HYPERLINK(CONCATENATE("#metadata!", ADDRESS(INDEX($X$2:$X$1001,MATCH(ROWS($V$2:V287),$V$2:$V$1001,0),0), INDEX($AC$1004:$AS$1004,1,MATCH(COLUMNS($AC$1006:AL1006),$AC$1006:$AS$1006,0)))),"Fix")))</f>
        <v xml:space="preserve"> </v>
      </c>
      <c r="L287" s="4" t="str">
        <f ca="1">IF(OR(INDEX($W$2:$W$1001,MATCH(ROWS($V$2:V287),$V$2:$V$1001,0),1)&gt;=100000,INDEX($AC$1005:$AS$1005,1,MATCH(COLUMNS($AC$1006:AM1006),$AC$1006:$AS$1006,0))&gt;=100000), " ",IF(INDEX($AC$2:$AS$1001,MATCH(ROWS($V$2:V287),$V$2:$V$1001,0),MATCH(COLUMNS($AC$1006:AM1006),$AC$1006:$AS$1006,0)), HYPERLINK("#",""), HYPERLINK(CONCATENATE("#metadata!", ADDRESS(INDEX($X$2:$X$1001,MATCH(ROWS($V$2:V287),$V$2:$V$1001,0),0), INDEX($AC$1004:$AS$1004,1,MATCH(COLUMNS($AC$1006:AM1006),$AC$1006:$AS$1006,0)))),"Fix")))</f>
        <v xml:space="preserve"> </v>
      </c>
      <c r="M287" s="4" t="str">
        <f ca="1">IF(OR(INDEX($W$2:$W$1001,MATCH(ROWS($V$2:V287),$V$2:$V$1001,0),1)&gt;=100000,INDEX($AC$1005:$AS$1005,1,MATCH(COLUMNS($AC$1006:AN1006),$AC$1006:$AS$1006,0))&gt;=100000), " ",IF(INDEX($AC$2:$AS$1001,MATCH(ROWS($V$2:V287),$V$2:$V$1001,0),MATCH(COLUMNS($AC$1006:AN1006),$AC$1006:$AS$1006,0)), HYPERLINK("#",""), HYPERLINK(CONCATENATE("#metadata!", ADDRESS(INDEX($X$2:$X$1001,MATCH(ROWS($V$2:V287),$V$2:$V$1001,0),0), INDEX($AC$1004:$AS$1004,1,MATCH(COLUMNS($AC$1006:AN1006),$AC$1006:$AS$1006,0)))),"Fix")))</f>
        <v xml:space="preserve"> </v>
      </c>
      <c r="N287" s="4" t="str">
        <f ca="1">IF(OR(INDEX($W$2:$W$1001,MATCH(ROWS($V$2:V287),$V$2:$V$1001,0),1)&gt;=100000,INDEX($AC$1005:$AS$1005,1,MATCH(COLUMNS($AC$1006:AO1006),$AC$1006:$AS$1006,0))&gt;=100000), " ",IF(INDEX($AC$2:$AS$1001,MATCH(ROWS($V$2:V287),$V$2:$V$1001,0),MATCH(COLUMNS($AC$1006:AO1006),$AC$1006:$AS$1006,0)), HYPERLINK("#",""), HYPERLINK(CONCATENATE("#metadata!", ADDRESS(INDEX($X$2:$X$1001,MATCH(ROWS($V$2:V287),$V$2:$V$1001,0),0), INDEX($AC$1004:$AS$1004,1,MATCH(COLUMNS($AC$1006:AO1006),$AC$1006:$AS$1006,0)))),"Fix")))</f>
        <v xml:space="preserve"> </v>
      </c>
      <c r="O287" s="4" t="str">
        <f ca="1">IF(OR(INDEX($W$2:$W$1001,MATCH(ROWS($V$2:V287),$V$2:$V$1001,0),1)&gt;=100000,INDEX($AC$1005:$AS$1005,1,MATCH(COLUMNS($AC$1006:AP1006),$AC$1006:$AS$1006,0))&gt;=100000), " ",IF(INDEX($AC$2:$AS$1001,MATCH(ROWS($V$2:V287),$V$2:$V$1001,0),MATCH(COLUMNS($AC$1006:AP1006),$AC$1006:$AS$1006,0)), HYPERLINK("#",""), HYPERLINK(CONCATENATE("#metadata!", ADDRESS(INDEX($X$2:$X$1001,MATCH(ROWS($V$2:V287),$V$2:$V$1001,0),0), INDEX($AC$1004:$AS$1004,1,MATCH(COLUMNS($AC$1006:AP1006),$AC$1006:$AS$1006,0)))),"Fix")))</f>
        <v xml:space="preserve"> </v>
      </c>
      <c r="P287" s="4" t="str">
        <f ca="1">IF(OR(INDEX($W$2:$W$1001,MATCH(ROWS($V$2:V287),$V$2:$V$1001,0),1)&gt;=100000,INDEX($AC$1005:$AS$1005,1,MATCH(COLUMNS($AC$1006:AQ1006),$AC$1006:$AS$1006,0))&gt;=100000), " ",IF(INDEX($AC$2:$AS$1001,MATCH(ROWS($V$2:V287),$V$2:$V$1001,0),MATCH(COLUMNS($AC$1006:AQ1006),$AC$1006:$AS$1006,0)), HYPERLINK("#",""), HYPERLINK(CONCATENATE("#metadata!", ADDRESS(INDEX($X$2:$X$1001,MATCH(ROWS($V$2:V287),$V$2:$V$1001,0),0), INDEX($AC$1004:$AS$1004,1,MATCH(COLUMNS($AC$1006:AQ1006),$AC$1006:$AS$1006,0)))),"Fix")))</f>
        <v xml:space="preserve"> </v>
      </c>
      <c r="Q287" s="4" t="str">
        <f ca="1">IF(OR(INDEX($W$2:$W$1001,MATCH(ROWS($V$2:V287),$V$2:$V$1001,0),1)&gt;=100000,INDEX($AC$1005:$AS$1005,1,MATCH(COLUMNS($AC$1006:AR1006),$AC$1006:$AS$1006,0))&gt;=100000), " ",IF(INDEX($AC$2:$AS$1001,MATCH(ROWS($V$2:V287),$V$2:$V$1001,0),MATCH(COLUMNS($AC$1006:AR1006),$AC$1006:$AS$1006,0)), HYPERLINK("#",""), HYPERLINK(CONCATENATE("#metadata!", ADDRESS(INDEX($X$2:$X$1001,MATCH(ROWS($V$2:V287),$V$2:$V$1001,0),0), INDEX($AC$1004:$AS$1004,1,MATCH(COLUMNS($AC$1006:AR1006),$AC$1006:$AS$1006,0)))),"Fix")))</f>
        <v xml:space="preserve"> </v>
      </c>
      <c r="R287" s="4" t="str">
        <f ca="1">IF(OR(INDEX($W$2:$W$1001,MATCH(ROWS($V$2:V287),$V$2:$V$1001,0),1)&gt;=100000,INDEX($AC$1005:$AS$1005,1,MATCH(COLUMNS($AC$1006:AS1006),$AC$1006:$AS$1006,0))&gt;=100000), " ",IF(INDEX($AC$2:$AS$1001,MATCH(ROWS($V$2:V287),$V$2:$V$1001,0),MATCH(COLUMNS($AC$1006:AS1006),$AC$1006:$AS$1006,0)), HYPERLINK("#",""), HYPERLINK(CONCATENATE("#metadata!", ADDRESS(INDEX($X$2:$X$1001,MATCH(ROWS($V$2:V287),$V$2:$V$1001,0),0), INDEX($AC$1004:$AS$1004,1,MATCH(COLUMNS($AC$1006:AS1006),$AC$1006:$AS$1006,0)))),"Fix")))</f>
        <v xml:space="preserve"> </v>
      </c>
      <c r="V287">
        <v>286</v>
      </c>
      <c r="W287">
        <v>100287</v>
      </c>
      <c r="X287">
        <v>287</v>
      </c>
      <c r="Y287" t="b">
        <f t="shared" si="4"/>
        <v>1</v>
      </c>
      <c r="Z287" t="b">
        <f>COUNTBLANK(metadata!B287:R287)=COLUMNS(metadata!B287:R287)</f>
        <v>1</v>
      </c>
      <c r="AA287" t="str">
        <v/>
      </c>
      <c r="AC287" t="b">
        <f ca="1"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AD287" t="b">
        <f>IF(metadata!C287="",FALSE,ISNUMBER(VALUE(metadata!C287)))</f>
        <v>0</v>
      </c>
      <c r="AE287" t="b">
        <f>AND(IF(metadata!D287="",FALSE,TRUE),EXACT(metadata!D287,"years"))</f>
        <v>0</v>
      </c>
      <c r="AF287" t="b">
        <f>OR(AND(IF(metadata!E287="",FALSE,TRUE),OR(EXACT(metadata!E287,"not applicable"),EXACT(metadata!E287,"missing: not collected"),EXACT(metadata!E287,"missing: not provided"),EXACT(metadata!E287,"missing: restricted access"))),AND(IF(metadata!E287="",FALSE,ISNUMBER(VALUE(metadata!E287))),metadata!E287&gt;0))</f>
        <v>0</v>
      </c>
      <c r="AG287" t="b">
        <f>AND(IF(metadata!F287="",FALSE,TRUE),EXACT(metadata!F287,"Not applicable"))</f>
        <v>0</v>
      </c>
      <c r="AH287" t="b">
        <f>AND(IF(metadata!G287="",FALSE,TRUE),EXACT(metadata!G287,"urban biome"))</f>
        <v>0</v>
      </c>
      <c r="AI287" t="b">
        <f>AND(IF(metadata!H287="",FALSE,TRUE),EXACT(metadata!H287,"human-associated habitat"))</f>
        <v>0</v>
      </c>
      <c r="AJ287" t="b">
        <f>AND(IF(metadata!I287="",FALSE,TRUE),OR(EXACT(metadata!I287,"human-associated"),EXACT(metadata!I287,"human-skin"),EXACT(metadata!I287,"human-oral"),EXACT(metadata!I287,"human-gut"),EXACT(metadata!I287,"human-vaginal")))</f>
        <v>0</v>
      </c>
      <c r="AK287" t="b">
        <f>IF(metadata!J287="",FALSE,ISNUMBER(VALUE(metadata!J287)))</f>
        <v>0</v>
      </c>
      <c r="AL287" t="b">
        <f>AND(IF(metadata!K287="",FALSE,TRUE),EXACT(metadata!K287,"cm"))</f>
        <v>0</v>
      </c>
      <c r="AM287" t="b">
        <f>AND(IF(metadata!L287="",FALSE,TRUE),EXACT(metadata!L287,"human"))</f>
        <v>0</v>
      </c>
      <c r="AN287" t="b">
        <f>AND(IF(metadata!M287="",FALSE,TRUE),EXACT(metadata!M287,"Homo sapiens"))</f>
        <v>0</v>
      </c>
      <c r="AO287" t="b">
        <f>AND(IF(metadata!N287="",FALSE,TRUE),EXACT(metadata!N287,"9606"))</f>
        <v>0</v>
      </c>
      <c r="AP287" t="b">
        <f>IF(metadata!O287="",FALSE,TRUE)</f>
        <v>0</v>
      </c>
      <c r="AQ287" t="b">
        <f>IF(metadata!P287="",FALSE,TRUE)</f>
        <v>0</v>
      </c>
      <c r="AR287" t="b">
        <f>IF(metadata!Q287="",FALSE,ISNUMBER(VALUE(metadata!Q287)))</f>
        <v>0</v>
      </c>
      <c r="AS287" t="b">
        <f>AND(IF(metadata!R287="",FALSE,TRUE),EXACT(metadata!R287,"kg"))</f>
        <v>0</v>
      </c>
    </row>
    <row r="288" spans="1:45" x14ac:dyDescent="0.2">
      <c r="A288" s="5" t="str">
        <f ca="1">IF(B288=" "," ",HYPERLINK(CONCATENATE("#metadata!",ADDRESS(INDEX($X$2:$X$1001,MATCH(ROWS($V$2:V288),$V$2:$V$1001,0),0),1)),INDEX($AA$2:$AA$1001,MATCH(ROWS($V$2:V288),$V$2:$V$1001,0),0)))</f>
        <v xml:space="preserve"> </v>
      </c>
      <c r="B288" s="4" t="str">
        <f ca="1">IF(OR(INDEX($W$2:$W$1001,MATCH(ROWS($V$2:V288),$V$2:$V$1001,0),1)&gt;=100000,INDEX($AC$1005:$AS$1005,1,MATCH(COLUMNS($AC$1006:AC1006),$AC$1006:$AS$1006,0))&gt;=100000), " ",IF(INDEX($AC$2:$AS$1001,MATCH(ROWS($V$2:V288),$V$2:$V$1001,0),MATCH(COLUMNS($AC$1006:AC1006),$AC$1006:$AS$1006,0)), HYPERLINK("#",""), HYPERLINK(CONCATENATE("#metadata!", ADDRESS(INDEX($X$2:$X$1001,MATCH(ROWS($V$2:V288),$V$2:$V$1001,0),0), INDEX($AC$1004:$AS$1004,1,MATCH(COLUMNS($AC$1006:AC1006),$AC$1006:$AS$1006,0)))),"Fix")))</f>
        <v xml:space="preserve"> </v>
      </c>
      <c r="C288" s="4" t="str">
        <f ca="1">IF(OR(INDEX($W$2:$W$1001,MATCH(ROWS($V$2:V288),$V$2:$V$1001,0),1)&gt;=100000,INDEX($AC$1005:$AS$1005,1,MATCH(COLUMNS($AC$1006:AD1006),$AC$1006:$AS$1006,0))&gt;=100000), " ",IF(INDEX($AC$2:$AS$1001,MATCH(ROWS($V$2:V288),$V$2:$V$1001,0),MATCH(COLUMNS($AC$1006:AD1006),$AC$1006:$AS$1006,0)), HYPERLINK("#",""), HYPERLINK(CONCATENATE("#metadata!", ADDRESS(INDEX($X$2:$X$1001,MATCH(ROWS($V$2:V288),$V$2:$V$1001,0),0), INDEX($AC$1004:$AS$1004,1,MATCH(COLUMNS($AC$1006:AD1006),$AC$1006:$AS$1006,0)))),"Fix")))</f>
        <v xml:space="preserve"> </v>
      </c>
      <c r="D288" s="4" t="str">
        <f ca="1">IF(OR(INDEX($W$2:$W$1001,MATCH(ROWS($V$2:V288),$V$2:$V$1001,0),1)&gt;=100000,INDEX($AC$1005:$AS$1005,1,MATCH(COLUMNS($AC$1006:AE1006),$AC$1006:$AS$1006,0))&gt;=100000), " ",IF(INDEX($AC$2:$AS$1001,MATCH(ROWS($V$2:V288),$V$2:$V$1001,0),MATCH(COLUMNS($AC$1006:AE1006),$AC$1006:$AS$1006,0)), HYPERLINK("#",""), HYPERLINK(CONCATENATE("#metadata!", ADDRESS(INDEX($X$2:$X$1001,MATCH(ROWS($V$2:V288),$V$2:$V$1001,0),0), INDEX($AC$1004:$AS$1004,1,MATCH(COLUMNS($AC$1006:AE1006),$AC$1006:$AS$1006,0)))),"Fix")))</f>
        <v xml:space="preserve"> </v>
      </c>
      <c r="E288" s="4" t="str">
        <f ca="1">IF(OR(INDEX($W$2:$W$1001,MATCH(ROWS($V$2:V288),$V$2:$V$1001,0),1)&gt;=100000,INDEX($AC$1005:$AS$1005,1,MATCH(COLUMNS($AC$1006:AF1006),$AC$1006:$AS$1006,0))&gt;=100000), " ",IF(INDEX($AC$2:$AS$1001,MATCH(ROWS($V$2:V288),$V$2:$V$1001,0),MATCH(COLUMNS($AC$1006:AF1006),$AC$1006:$AS$1006,0)), HYPERLINK("#",""), HYPERLINK(CONCATENATE("#metadata!", ADDRESS(INDEX($X$2:$X$1001,MATCH(ROWS($V$2:V288),$V$2:$V$1001,0),0), INDEX($AC$1004:$AS$1004,1,MATCH(COLUMNS($AC$1006:AF1006),$AC$1006:$AS$1006,0)))),"Fix")))</f>
        <v xml:space="preserve"> </v>
      </c>
      <c r="F288" s="4" t="str">
        <f ca="1">IF(OR(INDEX($W$2:$W$1001,MATCH(ROWS($V$2:V288),$V$2:$V$1001,0),1)&gt;=100000,INDEX($AC$1005:$AS$1005,1,MATCH(COLUMNS($AC$1006:AG1006),$AC$1006:$AS$1006,0))&gt;=100000), " ",IF(INDEX($AC$2:$AS$1001,MATCH(ROWS($V$2:V288),$V$2:$V$1001,0),MATCH(COLUMNS($AC$1006:AG1006),$AC$1006:$AS$1006,0)), HYPERLINK("#",""), HYPERLINK(CONCATENATE("#metadata!", ADDRESS(INDEX($X$2:$X$1001,MATCH(ROWS($V$2:V288),$V$2:$V$1001,0),0), INDEX($AC$1004:$AS$1004,1,MATCH(COLUMNS($AC$1006:AG1006),$AC$1006:$AS$1006,0)))),"Fix")))</f>
        <v xml:space="preserve"> </v>
      </c>
      <c r="G288" s="4" t="str">
        <f ca="1">IF(OR(INDEX($W$2:$W$1001,MATCH(ROWS($V$2:V288),$V$2:$V$1001,0),1)&gt;=100000,INDEX($AC$1005:$AS$1005,1,MATCH(COLUMNS($AC$1006:AH1006),$AC$1006:$AS$1006,0))&gt;=100000), " ",IF(INDEX($AC$2:$AS$1001,MATCH(ROWS($V$2:V288),$V$2:$V$1001,0),MATCH(COLUMNS($AC$1006:AH1006),$AC$1006:$AS$1006,0)), HYPERLINK("#",""), HYPERLINK(CONCATENATE("#metadata!", ADDRESS(INDEX($X$2:$X$1001,MATCH(ROWS($V$2:V288),$V$2:$V$1001,0),0), INDEX($AC$1004:$AS$1004,1,MATCH(COLUMNS($AC$1006:AH1006),$AC$1006:$AS$1006,0)))),"Fix")))</f>
        <v xml:space="preserve"> </v>
      </c>
      <c r="H288" s="4" t="str">
        <f ca="1">IF(OR(INDEX($W$2:$W$1001,MATCH(ROWS($V$2:V288),$V$2:$V$1001,0),1)&gt;=100000,INDEX($AC$1005:$AS$1005,1,MATCH(COLUMNS($AC$1006:AI1006),$AC$1006:$AS$1006,0))&gt;=100000), " ",IF(INDEX($AC$2:$AS$1001,MATCH(ROWS($V$2:V288),$V$2:$V$1001,0),MATCH(COLUMNS($AC$1006:AI1006),$AC$1006:$AS$1006,0)), HYPERLINK("#",""), HYPERLINK(CONCATENATE("#metadata!", ADDRESS(INDEX($X$2:$X$1001,MATCH(ROWS($V$2:V288),$V$2:$V$1001,0),0), INDEX($AC$1004:$AS$1004,1,MATCH(COLUMNS($AC$1006:AI1006),$AC$1006:$AS$1006,0)))),"Fix")))</f>
        <v xml:space="preserve"> </v>
      </c>
      <c r="I288" s="4" t="str">
        <f ca="1">IF(OR(INDEX($W$2:$W$1001,MATCH(ROWS($V$2:V288),$V$2:$V$1001,0),1)&gt;=100000,INDEX($AC$1005:$AS$1005,1,MATCH(COLUMNS($AC$1006:AJ1006),$AC$1006:$AS$1006,0))&gt;=100000), " ",IF(INDEX($AC$2:$AS$1001,MATCH(ROWS($V$2:V288),$V$2:$V$1001,0),MATCH(COLUMNS($AC$1006:AJ1006),$AC$1006:$AS$1006,0)), HYPERLINK("#",""), HYPERLINK(CONCATENATE("#metadata!", ADDRESS(INDEX($X$2:$X$1001,MATCH(ROWS($V$2:V288),$V$2:$V$1001,0),0), INDEX($AC$1004:$AS$1004,1,MATCH(COLUMNS($AC$1006:AJ1006),$AC$1006:$AS$1006,0)))),"Fix")))</f>
        <v xml:space="preserve"> </v>
      </c>
      <c r="J288" s="4" t="str">
        <f ca="1">IF(OR(INDEX($W$2:$W$1001,MATCH(ROWS($V$2:V288),$V$2:$V$1001,0),1)&gt;=100000,INDEX($AC$1005:$AS$1005,1,MATCH(COLUMNS($AC$1006:AK1006),$AC$1006:$AS$1006,0))&gt;=100000), " ",IF(INDEX($AC$2:$AS$1001,MATCH(ROWS($V$2:V288),$V$2:$V$1001,0),MATCH(COLUMNS($AC$1006:AK1006),$AC$1006:$AS$1006,0)), HYPERLINK("#",""), HYPERLINK(CONCATENATE("#metadata!", ADDRESS(INDEX($X$2:$X$1001,MATCH(ROWS($V$2:V288),$V$2:$V$1001,0),0), INDEX($AC$1004:$AS$1004,1,MATCH(COLUMNS($AC$1006:AK1006),$AC$1006:$AS$1006,0)))),"Fix")))</f>
        <v xml:space="preserve"> </v>
      </c>
      <c r="K288" s="4" t="str">
        <f ca="1">IF(OR(INDEX($W$2:$W$1001,MATCH(ROWS($V$2:V288),$V$2:$V$1001,0),1)&gt;=100000,INDEX($AC$1005:$AS$1005,1,MATCH(COLUMNS($AC$1006:AL1006),$AC$1006:$AS$1006,0))&gt;=100000), " ",IF(INDEX($AC$2:$AS$1001,MATCH(ROWS($V$2:V288),$V$2:$V$1001,0),MATCH(COLUMNS($AC$1006:AL1006),$AC$1006:$AS$1006,0)), HYPERLINK("#",""), HYPERLINK(CONCATENATE("#metadata!", ADDRESS(INDEX($X$2:$X$1001,MATCH(ROWS($V$2:V288),$V$2:$V$1001,0),0), INDEX($AC$1004:$AS$1004,1,MATCH(COLUMNS($AC$1006:AL1006),$AC$1006:$AS$1006,0)))),"Fix")))</f>
        <v xml:space="preserve"> </v>
      </c>
      <c r="L288" s="4" t="str">
        <f ca="1">IF(OR(INDEX($W$2:$W$1001,MATCH(ROWS($V$2:V288),$V$2:$V$1001,0),1)&gt;=100000,INDEX($AC$1005:$AS$1005,1,MATCH(COLUMNS($AC$1006:AM1006),$AC$1006:$AS$1006,0))&gt;=100000), " ",IF(INDEX($AC$2:$AS$1001,MATCH(ROWS($V$2:V288),$V$2:$V$1001,0),MATCH(COLUMNS($AC$1006:AM1006),$AC$1006:$AS$1006,0)), HYPERLINK("#",""), HYPERLINK(CONCATENATE("#metadata!", ADDRESS(INDEX($X$2:$X$1001,MATCH(ROWS($V$2:V288),$V$2:$V$1001,0),0), INDEX($AC$1004:$AS$1004,1,MATCH(COLUMNS($AC$1006:AM1006),$AC$1006:$AS$1006,0)))),"Fix")))</f>
        <v xml:space="preserve"> </v>
      </c>
      <c r="M288" s="4" t="str">
        <f ca="1">IF(OR(INDEX($W$2:$W$1001,MATCH(ROWS($V$2:V288),$V$2:$V$1001,0),1)&gt;=100000,INDEX($AC$1005:$AS$1005,1,MATCH(COLUMNS($AC$1006:AN1006),$AC$1006:$AS$1006,0))&gt;=100000), " ",IF(INDEX($AC$2:$AS$1001,MATCH(ROWS($V$2:V288),$V$2:$V$1001,0),MATCH(COLUMNS($AC$1006:AN1006),$AC$1006:$AS$1006,0)), HYPERLINK("#",""), HYPERLINK(CONCATENATE("#metadata!", ADDRESS(INDEX($X$2:$X$1001,MATCH(ROWS($V$2:V288),$V$2:$V$1001,0),0), INDEX($AC$1004:$AS$1004,1,MATCH(COLUMNS($AC$1006:AN1006),$AC$1006:$AS$1006,0)))),"Fix")))</f>
        <v xml:space="preserve"> </v>
      </c>
      <c r="N288" s="4" t="str">
        <f ca="1">IF(OR(INDEX($W$2:$W$1001,MATCH(ROWS($V$2:V288),$V$2:$V$1001,0),1)&gt;=100000,INDEX($AC$1005:$AS$1005,1,MATCH(COLUMNS($AC$1006:AO1006),$AC$1006:$AS$1006,0))&gt;=100000), " ",IF(INDEX($AC$2:$AS$1001,MATCH(ROWS($V$2:V288),$V$2:$V$1001,0),MATCH(COLUMNS($AC$1006:AO1006),$AC$1006:$AS$1006,0)), HYPERLINK("#",""), HYPERLINK(CONCATENATE("#metadata!", ADDRESS(INDEX($X$2:$X$1001,MATCH(ROWS($V$2:V288),$V$2:$V$1001,0),0), INDEX($AC$1004:$AS$1004,1,MATCH(COLUMNS($AC$1006:AO1006),$AC$1006:$AS$1006,0)))),"Fix")))</f>
        <v xml:space="preserve"> </v>
      </c>
      <c r="O288" s="4" t="str">
        <f ca="1">IF(OR(INDEX($W$2:$W$1001,MATCH(ROWS($V$2:V288),$V$2:$V$1001,0),1)&gt;=100000,INDEX($AC$1005:$AS$1005,1,MATCH(COLUMNS($AC$1006:AP1006),$AC$1006:$AS$1006,0))&gt;=100000), " ",IF(INDEX($AC$2:$AS$1001,MATCH(ROWS($V$2:V288),$V$2:$V$1001,0),MATCH(COLUMNS($AC$1006:AP1006),$AC$1006:$AS$1006,0)), HYPERLINK("#",""), HYPERLINK(CONCATENATE("#metadata!", ADDRESS(INDEX($X$2:$X$1001,MATCH(ROWS($V$2:V288),$V$2:$V$1001,0),0), INDEX($AC$1004:$AS$1004,1,MATCH(COLUMNS($AC$1006:AP1006),$AC$1006:$AS$1006,0)))),"Fix")))</f>
        <v xml:space="preserve"> </v>
      </c>
      <c r="P288" s="4" t="str">
        <f ca="1">IF(OR(INDEX($W$2:$W$1001,MATCH(ROWS($V$2:V288),$V$2:$V$1001,0),1)&gt;=100000,INDEX($AC$1005:$AS$1005,1,MATCH(COLUMNS($AC$1006:AQ1006),$AC$1006:$AS$1006,0))&gt;=100000), " ",IF(INDEX($AC$2:$AS$1001,MATCH(ROWS($V$2:V288),$V$2:$V$1001,0),MATCH(COLUMNS($AC$1006:AQ1006),$AC$1006:$AS$1006,0)), HYPERLINK("#",""), HYPERLINK(CONCATENATE("#metadata!", ADDRESS(INDEX($X$2:$X$1001,MATCH(ROWS($V$2:V288),$V$2:$V$1001,0),0), INDEX($AC$1004:$AS$1004,1,MATCH(COLUMNS($AC$1006:AQ1006),$AC$1006:$AS$1006,0)))),"Fix")))</f>
        <v xml:space="preserve"> </v>
      </c>
      <c r="Q288" s="4" t="str">
        <f ca="1">IF(OR(INDEX($W$2:$W$1001,MATCH(ROWS($V$2:V288),$V$2:$V$1001,0),1)&gt;=100000,INDEX($AC$1005:$AS$1005,1,MATCH(COLUMNS($AC$1006:AR1006),$AC$1006:$AS$1006,0))&gt;=100000), " ",IF(INDEX($AC$2:$AS$1001,MATCH(ROWS($V$2:V288),$V$2:$V$1001,0),MATCH(COLUMNS($AC$1006:AR1006),$AC$1006:$AS$1006,0)), HYPERLINK("#",""), HYPERLINK(CONCATENATE("#metadata!", ADDRESS(INDEX($X$2:$X$1001,MATCH(ROWS($V$2:V288),$V$2:$V$1001,0),0), INDEX($AC$1004:$AS$1004,1,MATCH(COLUMNS($AC$1006:AR1006),$AC$1006:$AS$1006,0)))),"Fix")))</f>
        <v xml:space="preserve"> </v>
      </c>
      <c r="R288" s="4" t="str">
        <f ca="1">IF(OR(INDEX($W$2:$W$1001,MATCH(ROWS($V$2:V288),$V$2:$V$1001,0),1)&gt;=100000,INDEX($AC$1005:$AS$1005,1,MATCH(COLUMNS($AC$1006:AS1006),$AC$1006:$AS$1006,0))&gt;=100000), " ",IF(INDEX($AC$2:$AS$1001,MATCH(ROWS($V$2:V288),$V$2:$V$1001,0),MATCH(COLUMNS($AC$1006:AS1006),$AC$1006:$AS$1006,0)), HYPERLINK("#",""), HYPERLINK(CONCATENATE("#metadata!", ADDRESS(INDEX($X$2:$X$1001,MATCH(ROWS($V$2:V288),$V$2:$V$1001,0),0), INDEX($AC$1004:$AS$1004,1,MATCH(COLUMNS($AC$1006:AS1006),$AC$1006:$AS$1006,0)))),"Fix")))</f>
        <v xml:space="preserve"> </v>
      </c>
      <c r="V288">
        <v>287</v>
      </c>
      <c r="W288">
        <v>100288</v>
      </c>
      <c r="X288">
        <v>288</v>
      </c>
      <c r="Y288" t="b">
        <f t="shared" si="4"/>
        <v>1</v>
      </c>
      <c r="Z288" t="b">
        <f>COUNTBLANK(metadata!B288:R288)=COLUMNS(metadata!B288:R288)</f>
        <v>1</v>
      </c>
      <c r="AA288" t="str">
        <v/>
      </c>
      <c r="AC288" t="b">
        <f ca="1"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AD288" t="b">
        <f>IF(metadata!C288="",FALSE,ISNUMBER(VALUE(metadata!C288)))</f>
        <v>0</v>
      </c>
      <c r="AE288" t="b">
        <f>AND(IF(metadata!D288="",FALSE,TRUE),EXACT(metadata!D288,"years"))</f>
        <v>0</v>
      </c>
      <c r="AF288" t="b">
        <f>OR(AND(IF(metadata!E288="",FALSE,TRUE),OR(EXACT(metadata!E288,"not applicable"),EXACT(metadata!E288,"missing: not collected"),EXACT(metadata!E288,"missing: not provided"),EXACT(metadata!E288,"missing: restricted access"))),AND(IF(metadata!E288="",FALSE,ISNUMBER(VALUE(metadata!E288))),metadata!E288&gt;0))</f>
        <v>0</v>
      </c>
      <c r="AG288" t="b">
        <f>AND(IF(metadata!F288="",FALSE,TRUE),EXACT(metadata!F288,"Not applicable"))</f>
        <v>0</v>
      </c>
      <c r="AH288" t="b">
        <f>AND(IF(metadata!G288="",FALSE,TRUE),EXACT(metadata!G288,"urban biome"))</f>
        <v>0</v>
      </c>
      <c r="AI288" t="b">
        <f>AND(IF(metadata!H288="",FALSE,TRUE),EXACT(metadata!H288,"human-associated habitat"))</f>
        <v>0</v>
      </c>
      <c r="AJ288" t="b">
        <f>AND(IF(metadata!I288="",FALSE,TRUE),OR(EXACT(metadata!I288,"human-associated"),EXACT(metadata!I288,"human-skin"),EXACT(metadata!I288,"human-oral"),EXACT(metadata!I288,"human-gut"),EXACT(metadata!I288,"human-vaginal")))</f>
        <v>0</v>
      </c>
      <c r="AK288" t="b">
        <f>IF(metadata!J288="",FALSE,ISNUMBER(VALUE(metadata!J288)))</f>
        <v>0</v>
      </c>
      <c r="AL288" t="b">
        <f>AND(IF(metadata!K288="",FALSE,TRUE),EXACT(metadata!K288,"cm"))</f>
        <v>0</v>
      </c>
      <c r="AM288" t="b">
        <f>AND(IF(metadata!L288="",FALSE,TRUE),EXACT(metadata!L288,"human"))</f>
        <v>0</v>
      </c>
      <c r="AN288" t="b">
        <f>AND(IF(metadata!M288="",FALSE,TRUE),EXACT(metadata!M288,"Homo sapiens"))</f>
        <v>0</v>
      </c>
      <c r="AO288" t="b">
        <f>AND(IF(metadata!N288="",FALSE,TRUE),EXACT(metadata!N288,"9606"))</f>
        <v>0</v>
      </c>
      <c r="AP288" t="b">
        <f>IF(metadata!O288="",FALSE,TRUE)</f>
        <v>0</v>
      </c>
      <c r="AQ288" t="b">
        <f>IF(metadata!P288="",FALSE,TRUE)</f>
        <v>0</v>
      </c>
      <c r="AR288" t="b">
        <f>IF(metadata!Q288="",FALSE,ISNUMBER(VALUE(metadata!Q288)))</f>
        <v>0</v>
      </c>
      <c r="AS288" t="b">
        <f>AND(IF(metadata!R288="",FALSE,TRUE),EXACT(metadata!R288,"kg"))</f>
        <v>0</v>
      </c>
    </row>
    <row r="289" spans="1:45" x14ac:dyDescent="0.2">
      <c r="A289" s="5" t="str">
        <f ca="1">IF(B289=" "," ",HYPERLINK(CONCATENATE("#metadata!",ADDRESS(INDEX($X$2:$X$1001,MATCH(ROWS($V$2:V289),$V$2:$V$1001,0),0),1)),INDEX($AA$2:$AA$1001,MATCH(ROWS($V$2:V289),$V$2:$V$1001,0),0)))</f>
        <v xml:space="preserve"> </v>
      </c>
      <c r="B289" s="4" t="str">
        <f ca="1">IF(OR(INDEX($W$2:$W$1001,MATCH(ROWS($V$2:V289),$V$2:$V$1001,0),1)&gt;=100000,INDEX($AC$1005:$AS$1005,1,MATCH(COLUMNS($AC$1006:AC1006),$AC$1006:$AS$1006,0))&gt;=100000), " ",IF(INDEX($AC$2:$AS$1001,MATCH(ROWS($V$2:V289),$V$2:$V$1001,0),MATCH(COLUMNS($AC$1006:AC1006),$AC$1006:$AS$1006,0)), HYPERLINK("#",""), HYPERLINK(CONCATENATE("#metadata!", ADDRESS(INDEX($X$2:$X$1001,MATCH(ROWS($V$2:V289),$V$2:$V$1001,0),0), INDEX($AC$1004:$AS$1004,1,MATCH(COLUMNS($AC$1006:AC1006),$AC$1006:$AS$1006,0)))),"Fix")))</f>
        <v xml:space="preserve"> </v>
      </c>
      <c r="C289" s="4" t="str">
        <f ca="1">IF(OR(INDEX($W$2:$W$1001,MATCH(ROWS($V$2:V289),$V$2:$V$1001,0),1)&gt;=100000,INDEX($AC$1005:$AS$1005,1,MATCH(COLUMNS($AC$1006:AD1006),$AC$1006:$AS$1006,0))&gt;=100000), " ",IF(INDEX($AC$2:$AS$1001,MATCH(ROWS($V$2:V289),$V$2:$V$1001,0),MATCH(COLUMNS($AC$1006:AD1006),$AC$1006:$AS$1006,0)), HYPERLINK("#",""), HYPERLINK(CONCATENATE("#metadata!", ADDRESS(INDEX($X$2:$X$1001,MATCH(ROWS($V$2:V289),$V$2:$V$1001,0),0), INDEX($AC$1004:$AS$1004,1,MATCH(COLUMNS($AC$1006:AD1006),$AC$1006:$AS$1006,0)))),"Fix")))</f>
        <v xml:space="preserve"> </v>
      </c>
      <c r="D289" s="4" t="str">
        <f ca="1">IF(OR(INDEX($W$2:$W$1001,MATCH(ROWS($V$2:V289),$V$2:$V$1001,0),1)&gt;=100000,INDEX($AC$1005:$AS$1005,1,MATCH(COLUMNS($AC$1006:AE1006),$AC$1006:$AS$1006,0))&gt;=100000), " ",IF(INDEX($AC$2:$AS$1001,MATCH(ROWS($V$2:V289),$V$2:$V$1001,0),MATCH(COLUMNS($AC$1006:AE1006),$AC$1006:$AS$1006,0)), HYPERLINK("#",""), HYPERLINK(CONCATENATE("#metadata!", ADDRESS(INDEX($X$2:$X$1001,MATCH(ROWS($V$2:V289),$V$2:$V$1001,0),0), INDEX($AC$1004:$AS$1004,1,MATCH(COLUMNS($AC$1006:AE1006),$AC$1006:$AS$1006,0)))),"Fix")))</f>
        <v xml:space="preserve"> </v>
      </c>
      <c r="E289" s="4" t="str">
        <f ca="1">IF(OR(INDEX($W$2:$W$1001,MATCH(ROWS($V$2:V289),$V$2:$V$1001,0),1)&gt;=100000,INDEX($AC$1005:$AS$1005,1,MATCH(COLUMNS($AC$1006:AF1006),$AC$1006:$AS$1006,0))&gt;=100000), " ",IF(INDEX($AC$2:$AS$1001,MATCH(ROWS($V$2:V289),$V$2:$V$1001,0),MATCH(COLUMNS($AC$1006:AF1006),$AC$1006:$AS$1006,0)), HYPERLINK("#",""), HYPERLINK(CONCATENATE("#metadata!", ADDRESS(INDEX($X$2:$X$1001,MATCH(ROWS($V$2:V289),$V$2:$V$1001,0),0), INDEX($AC$1004:$AS$1004,1,MATCH(COLUMNS($AC$1006:AF1006),$AC$1006:$AS$1006,0)))),"Fix")))</f>
        <v xml:space="preserve"> </v>
      </c>
      <c r="F289" s="4" t="str">
        <f ca="1">IF(OR(INDEX($W$2:$W$1001,MATCH(ROWS($V$2:V289),$V$2:$V$1001,0),1)&gt;=100000,INDEX($AC$1005:$AS$1005,1,MATCH(COLUMNS($AC$1006:AG1006),$AC$1006:$AS$1006,0))&gt;=100000), " ",IF(INDEX($AC$2:$AS$1001,MATCH(ROWS($V$2:V289),$V$2:$V$1001,0),MATCH(COLUMNS($AC$1006:AG1006),$AC$1006:$AS$1006,0)), HYPERLINK("#",""), HYPERLINK(CONCATENATE("#metadata!", ADDRESS(INDEX($X$2:$X$1001,MATCH(ROWS($V$2:V289),$V$2:$V$1001,0),0), INDEX($AC$1004:$AS$1004,1,MATCH(COLUMNS($AC$1006:AG1006),$AC$1006:$AS$1006,0)))),"Fix")))</f>
        <v xml:space="preserve"> </v>
      </c>
      <c r="G289" s="4" t="str">
        <f ca="1">IF(OR(INDEX($W$2:$W$1001,MATCH(ROWS($V$2:V289),$V$2:$V$1001,0),1)&gt;=100000,INDEX($AC$1005:$AS$1005,1,MATCH(COLUMNS($AC$1006:AH1006),$AC$1006:$AS$1006,0))&gt;=100000), " ",IF(INDEX($AC$2:$AS$1001,MATCH(ROWS($V$2:V289),$V$2:$V$1001,0),MATCH(COLUMNS($AC$1006:AH1006),$AC$1006:$AS$1006,0)), HYPERLINK("#",""), HYPERLINK(CONCATENATE("#metadata!", ADDRESS(INDEX($X$2:$X$1001,MATCH(ROWS($V$2:V289),$V$2:$V$1001,0),0), INDEX($AC$1004:$AS$1004,1,MATCH(COLUMNS($AC$1006:AH1006),$AC$1006:$AS$1006,0)))),"Fix")))</f>
        <v xml:space="preserve"> </v>
      </c>
      <c r="H289" s="4" t="str">
        <f ca="1">IF(OR(INDEX($W$2:$W$1001,MATCH(ROWS($V$2:V289),$V$2:$V$1001,0),1)&gt;=100000,INDEX($AC$1005:$AS$1005,1,MATCH(COLUMNS($AC$1006:AI1006),$AC$1006:$AS$1006,0))&gt;=100000), " ",IF(INDEX($AC$2:$AS$1001,MATCH(ROWS($V$2:V289),$V$2:$V$1001,0),MATCH(COLUMNS($AC$1006:AI1006),$AC$1006:$AS$1006,0)), HYPERLINK("#",""), HYPERLINK(CONCATENATE("#metadata!", ADDRESS(INDEX($X$2:$X$1001,MATCH(ROWS($V$2:V289),$V$2:$V$1001,0),0), INDEX($AC$1004:$AS$1004,1,MATCH(COLUMNS($AC$1006:AI1006),$AC$1006:$AS$1006,0)))),"Fix")))</f>
        <v xml:space="preserve"> </v>
      </c>
      <c r="I289" s="4" t="str">
        <f ca="1">IF(OR(INDEX($W$2:$W$1001,MATCH(ROWS($V$2:V289),$V$2:$V$1001,0),1)&gt;=100000,INDEX($AC$1005:$AS$1005,1,MATCH(COLUMNS($AC$1006:AJ1006),$AC$1006:$AS$1006,0))&gt;=100000), " ",IF(INDEX($AC$2:$AS$1001,MATCH(ROWS($V$2:V289),$V$2:$V$1001,0),MATCH(COLUMNS($AC$1006:AJ1006),$AC$1006:$AS$1006,0)), HYPERLINK("#",""), HYPERLINK(CONCATENATE("#metadata!", ADDRESS(INDEX($X$2:$X$1001,MATCH(ROWS($V$2:V289),$V$2:$V$1001,0),0), INDEX($AC$1004:$AS$1004,1,MATCH(COLUMNS($AC$1006:AJ1006),$AC$1006:$AS$1006,0)))),"Fix")))</f>
        <v xml:space="preserve"> </v>
      </c>
      <c r="J289" s="4" t="str">
        <f ca="1">IF(OR(INDEX($W$2:$W$1001,MATCH(ROWS($V$2:V289),$V$2:$V$1001,0),1)&gt;=100000,INDEX($AC$1005:$AS$1005,1,MATCH(COLUMNS($AC$1006:AK1006),$AC$1006:$AS$1006,0))&gt;=100000), " ",IF(INDEX($AC$2:$AS$1001,MATCH(ROWS($V$2:V289),$V$2:$V$1001,0),MATCH(COLUMNS($AC$1006:AK1006),$AC$1006:$AS$1006,0)), HYPERLINK("#",""), HYPERLINK(CONCATENATE("#metadata!", ADDRESS(INDEX($X$2:$X$1001,MATCH(ROWS($V$2:V289),$V$2:$V$1001,0),0), INDEX($AC$1004:$AS$1004,1,MATCH(COLUMNS($AC$1006:AK1006),$AC$1006:$AS$1006,0)))),"Fix")))</f>
        <v xml:space="preserve"> </v>
      </c>
      <c r="K289" s="4" t="str">
        <f ca="1">IF(OR(INDEX($W$2:$W$1001,MATCH(ROWS($V$2:V289),$V$2:$V$1001,0),1)&gt;=100000,INDEX($AC$1005:$AS$1005,1,MATCH(COLUMNS($AC$1006:AL1006),$AC$1006:$AS$1006,0))&gt;=100000), " ",IF(INDEX($AC$2:$AS$1001,MATCH(ROWS($V$2:V289),$V$2:$V$1001,0),MATCH(COLUMNS($AC$1006:AL1006),$AC$1006:$AS$1006,0)), HYPERLINK("#",""), HYPERLINK(CONCATENATE("#metadata!", ADDRESS(INDEX($X$2:$X$1001,MATCH(ROWS($V$2:V289),$V$2:$V$1001,0),0), INDEX($AC$1004:$AS$1004,1,MATCH(COLUMNS($AC$1006:AL1006),$AC$1006:$AS$1006,0)))),"Fix")))</f>
        <v xml:space="preserve"> </v>
      </c>
      <c r="L289" s="4" t="str">
        <f ca="1">IF(OR(INDEX($W$2:$W$1001,MATCH(ROWS($V$2:V289),$V$2:$V$1001,0),1)&gt;=100000,INDEX($AC$1005:$AS$1005,1,MATCH(COLUMNS($AC$1006:AM1006),$AC$1006:$AS$1006,0))&gt;=100000), " ",IF(INDEX($AC$2:$AS$1001,MATCH(ROWS($V$2:V289),$V$2:$V$1001,0),MATCH(COLUMNS($AC$1006:AM1006),$AC$1006:$AS$1006,0)), HYPERLINK("#",""), HYPERLINK(CONCATENATE("#metadata!", ADDRESS(INDEX($X$2:$X$1001,MATCH(ROWS($V$2:V289),$V$2:$V$1001,0),0), INDEX($AC$1004:$AS$1004,1,MATCH(COLUMNS($AC$1006:AM1006),$AC$1006:$AS$1006,0)))),"Fix")))</f>
        <v xml:space="preserve"> </v>
      </c>
      <c r="M289" s="4" t="str">
        <f ca="1">IF(OR(INDEX($W$2:$W$1001,MATCH(ROWS($V$2:V289),$V$2:$V$1001,0),1)&gt;=100000,INDEX($AC$1005:$AS$1005,1,MATCH(COLUMNS($AC$1006:AN1006),$AC$1006:$AS$1006,0))&gt;=100000), " ",IF(INDEX($AC$2:$AS$1001,MATCH(ROWS($V$2:V289),$V$2:$V$1001,0),MATCH(COLUMNS($AC$1006:AN1006),$AC$1006:$AS$1006,0)), HYPERLINK("#",""), HYPERLINK(CONCATENATE("#metadata!", ADDRESS(INDEX($X$2:$X$1001,MATCH(ROWS($V$2:V289),$V$2:$V$1001,0),0), INDEX($AC$1004:$AS$1004,1,MATCH(COLUMNS($AC$1006:AN1006),$AC$1006:$AS$1006,0)))),"Fix")))</f>
        <v xml:space="preserve"> </v>
      </c>
      <c r="N289" s="4" t="str">
        <f ca="1">IF(OR(INDEX($W$2:$W$1001,MATCH(ROWS($V$2:V289),$V$2:$V$1001,0),1)&gt;=100000,INDEX($AC$1005:$AS$1005,1,MATCH(COLUMNS($AC$1006:AO1006),$AC$1006:$AS$1006,0))&gt;=100000), " ",IF(INDEX($AC$2:$AS$1001,MATCH(ROWS($V$2:V289),$V$2:$V$1001,0),MATCH(COLUMNS($AC$1006:AO1006),$AC$1006:$AS$1006,0)), HYPERLINK("#",""), HYPERLINK(CONCATENATE("#metadata!", ADDRESS(INDEX($X$2:$X$1001,MATCH(ROWS($V$2:V289),$V$2:$V$1001,0),0), INDEX($AC$1004:$AS$1004,1,MATCH(COLUMNS($AC$1006:AO1006),$AC$1006:$AS$1006,0)))),"Fix")))</f>
        <v xml:space="preserve"> </v>
      </c>
      <c r="O289" s="4" t="str">
        <f ca="1">IF(OR(INDEX($W$2:$W$1001,MATCH(ROWS($V$2:V289),$V$2:$V$1001,0),1)&gt;=100000,INDEX($AC$1005:$AS$1005,1,MATCH(COLUMNS($AC$1006:AP1006),$AC$1006:$AS$1006,0))&gt;=100000), " ",IF(INDEX($AC$2:$AS$1001,MATCH(ROWS($V$2:V289),$V$2:$V$1001,0),MATCH(COLUMNS($AC$1006:AP1006),$AC$1006:$AS$1006,0)), HYPERLINK("#",""), HYPERLINK(CONCATENATE("#metadata!", ADDRESS(INDEX($X$2:$X$1001,MATCH(ROWS($V$2:V289),$V$2:$V$1001,0),0), INDEX($AC$1004:$AS$1004,1,MATCH(COLUMNS($AC$1006:AP1006),$AC$1006:$AS$1006,0)))),"Fix")))</f>
        <v xml:space="preserve"> </v>
      </c>
      <c r="P289" s="4" t="str">
        <f ca="1">IF(OR(INDEX($W$2:$W$1001,MATCH(ROWS($V$2:V289),$V$2:$V$1001,0),1)&gt;=100000,INDEX($AC$1005:$AS$1005,1,MATCH(COLUMNS($AC$1006:AQ1006),$AC$1006:$AS$1006,0))&gt;=100000), " ",IF(INDEX($AC$2:$AS$1001,MATCH(ROWS($V$2:V289),$V$2:$V$1001,0),MATCH(COLUMNS($AC$1006:AQ1006),$AC$1006:$AS$1006,0)), HYPERLINK("#",""), HYPERLINK(CONCATENATE("#metadata!", ADDRESS(INDEX($X$2:$X$1001,MATCH(ROWS($V$2:V289),$V$2:$V$1001,0),0), INDEX($AC$1004:$AS$1004,1,MATCH(COLUMNS($AC$1006:AQ1006),$AC$1006:$AS$1006,0)))),"Fix")))</f>
        <v xml:space="preserve"> </v>
      </c>
      <c r="Q289" s="4" t="str">
        <f ca="1">IF(OR(INDEX($W$2:$W$1001,MATCH(ROWS($V$2:V289),$V$2:$V$1001,0),1)&gt;=100000,INDEX($AC$1005:$AS$1005,1,MATCH(COLUMNS($AC$1006:AR1006),$AC$1006:$AS$1006,0))&gt;=100000), " ",IF(INDEX($AC$2:$AS$1001,MATCH(ROWS($V$2:V289),$V$2:$V$1001,0),MATCH(COLUMNS($AC$1006:AR1006),$AC$1006:$AS$1006,0)), HYPERLINK("#",""), HYPERLINK(CONCATENATE("#metadata!", ADDRESS(INDEX($X$2:$X$1001,MATCH(ROWS($V$2:V289),$V$2:$V$1001,0),0), INDEX($AC$1004:$AS$1004,1,MATCH(COLUMNS($AC$1006:AR1006),$AC$1006:$AS$1006,0)))),"Fix")))</f>
        <v xml:space="preserve"> </v>
      </c>
      <c r="R289" s="4" t="str">
        <f ca="1">IF(OR(INDEX($W$2:$W$1001,MATCH(ROWS($V$2:V289),$V$2:$V$1001,0),1)&gt;=100000,INDEX($AC$1005:$AS$1005,1,MATCH(COLUMNS($AC$1006:AS1006),$AC$1006:$AS$1006,0))&gt;=100000), " ",IF(INDEX($AC$2:$AS$1001,MATCH(ROWS($V$2:V289),$V$2:$V$1001,0),MATCH(COLUMNS($AC$1006:AS1006),$AC$1006:$AS$1006,0)), HYPERLINK("#",""), HYPERLINK(CONCATENATE("#metadata!", ADDRESS(INDEX($X$2:$X$1001,MATCH(ROWS($V$2:V289),$V$2:$V$1001,0),0), INDEX($AC$1004:$AS$1004,1,MATCH(COLUMNS($AC$1006:AS1006),$AC$1006:$AS$1006,0)))),"Fix")))</f>
        <v xml:space="preserve"> </v>
      </c>
      <c r="V289">
        <v>288</v>
      </c>
      <c r="W289">
        <v>100289</v>
      </c>
      <c r="X289">
        <v>289</v>
      </c>
      <c r="Y289" t="b">
        <f t="shared" si="4"/>
        <v>1</v>
      </c>
      <c r="Z289" t="b">
        <f>COUNTBLANK(metadata!B289:R289)=COLUMNS(metadata!B289:R289)</f>
        <v>1</v>
      </c>
      <c r="AA289" t="str">
        <v/>
      </c>
      <c r="AC289" t="b">
        <f ca="1"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AD289" t="b">
        <f>IF(metadata!C289="",FALSE,ISNUMBER(VALUE(metadata!C289)))</f>
        <v>0</v>
      </c>
      <c r="AE289" t="b">
        <f>AND(IF(metadata!D289="",FALSE,TRUE),EXACT(metadata!D289,"years"))</f>
        <v>0</v>
      </c>
      <c r="AF289" t="b">
        <f>OR(AND(IF(metadata!E289="",FALSE,TRUE),OR(EXACT(metadata!E289,"not applicable"),EXACT(metadata!E289,"missing: not collected"),EXACT(metadata!E289,"missing: not provided"),EXACT(metadata!E289,"missing: restricted access"))),AND(IF(metadata!E289="",FALSE,ISNUMBER(VALUE(metadata!E289))),metadata!E289&gt;0))</f>
        <v>0</v>
      </c>
      <c r="AG289" t="b">
        <f>AND(IF(metadata!F289="",FALSE,TRUE),EXACT(metadata!F289,"Not applicable"))</f>
        <v>0</v>
      </c>
      <c r="AH289" t="b">
        <f>AND(IF(metadata!G289="",FALSE,TRUE),EXACT(metadata!G289,"urban biome"))</f>
        <v>0</v>
      </c>
      <c r="AI289" t="b">
        <f>AND(IF(metadata!H289="",FALSE,TRUE),EXACT(metadata!H289,"human-associated habitat"))</f>
        <v>0</v>
      </c>
      <c r="AJ289" t="b">
        <f>AND(IF(metadata!I289="",FALSE,TRUE),OR(EXACT(metadata!I289,"human-associated"),EXACT(metadata!I289,"human-skin"),EXACT(metadata!I289,"human-oral"),EXACT(metadata!I289,"human-gut"),EXACT(metadata!I289,"human-vaginal")))</f>
        <v>0</v>
      </c>
      <c r="AK289" t="b">
        <f>IF(metadata!J289="",FALSE,ISNUMBER(VALUE(metadata!J289)))</f>
        <v>0</v>
      </c>
      <c r="AL289" t="b">
        <f>AND(IF(metadata!K289="",FALSE,TRUE),EXACT(metadata!K289,"cm"))</f>
        <v>0</v>
      </c>
      <c r="AM289" t="b">
        <f>AND(IF(metadata!L289="",FALSE,TRUE),EXACT(metadata!L289,"human"))</f>
        <v>0</v>
      </c>
      <c r="AN289" t="b">
        <f>AND(IF(metadata!M289="",FALSE,TRUE),EXACT(metadata!M289,"Homo sapiens"))</f>
        <v>0</v>
      </c>
      <c r="AO289" t="b">
        <f>AND(IF(metadata!N289="",FALSE,TRUE),EXACT(metadata!N289,"9606"))</f>
        <v>0</v>
      </c>
      <c r="AP289" t="b">
        <f>IF(metadata!O289="",FALSE,TRUE)</f>
        <v>0</v>
      </c>
      <c r="AQ289" t="b">
        <f>IF(metadata!P289="",FALSE,TRUE)</f>
        <v>0</v>
      </c>
      <c r="AR289" t="b">
        <f>IF(metadata!Q289="",FALSE,ISNUMBER(VALUE(metadata!Q289)))</f>
        <v>0</v>
      </c>
      <c r="AS289" t="b">
        <f>AND(IF(metadata!R289="",FALSE,TRUE),EXACT(metadata!R289,"kg"))</f>
        <v>0</v>
      </c>
    </row>
    <row r="290" spans="1:45" x14ac:dyDescent="0.2">
      <c r="A290" s="5" t="str">
        <f ca="1">IF(B290=" "," ",HYPERLINK(CONCATENATE("#metadata!",ADDRESS(INDEX($X$2:$X$1001,MATCH(ROWS($V$2:V290),$V$2:$V$1001,0),0),1)),INDEX($AA$2:$AA$1001,MATCH(ROWS($V$2:V290),$V$2:$V$1001,0),0)))</f>
        <v xml:space="preserve"> </v>
      </c>
      <c r="B290" s="4" t="str">
        <f ca="1">IF(OR(INDEX($W$2:$W$1001,MATCH(ROWS($V$2:V290),$V$2:$V$1001,0),1)&gt;=100000,INDEX($AC$1005:$AS$1005,1,MATCH(COLUMNS($AC$1006:AC1006),$AC$1006:$AS$1006,0))&gt;=100000), " ",IF(INDEX($AC$2:$AS$1001,MATCH(ROWS($V$2:V290),$V$2:$V$1001,0),MATCH(COLUMNS($AC$1006:AC1006),$AC$1006:$AS$1006,0)), HYPERLINK("#",""), HYPERLINK(CONCATENATE("#metadata!", ADDRESS(INDEX($X$2:$X$1001,MATCH(ROWS($V$2:V290),$V$2:$V$1001,0),0), INDEX($AC$1004:$AS$1004,1,MATCH(COLUMNS($AC$1006:AC1006),$AC$1006:$AS$1006,0)))),"Fix")))</f>
        <v xml:space="preserve"> </v>
      </c>
      <c r="C290" s="4" t="str">
        <f ca="1">IF(OR(INDEX($W$2:$W$1001,MATCH(ROWS($V$2:V290),$V$2:$V$1001,0),1)&gt;=100000,INDEX($AC$1005:$AS$1005,1,MATCH(COLUMNS($AC$1006:AD1006),$AC$1006:$AS$1006,0))&gt;=100000), " ",IF(INDEX($AC$2:$AS$1001,MATCH(ROWS($V$2:V290),$V$2:$V$1001,0),MATCH(COLUMNS($AC$1006:AD1006),$AC$1006:$AS$1006,0)), HYPERLINK("#",""), HYPERLINK(CONCATENATE("#metadata!", ADDRESS(INDEX($X$2:$X$1001,MATCH(ROWS($V$2:V290),$V$2:$V$1001,0),0), INDEX($AC$1004:$AS$1004,1,MATCH(COLUMNS($AC$1006:AD1006),$AC$1006:$AS$1006,0)))),"Fix")))</f>
        <v xml:space="preserve"> </v>
      </c>
      <c r="D290" s="4" t="str">
        <f ca="1">IF(OR(INDEX($W$2:$W$1001,MATCH(ROWS($V$2:V290),$V$2:$V$1001,0),1)&gt;=100000,INDEX($AC$1005:$AS$1005,1,MATCH(COLUMNS($AC$1006:AE1006),$AC$1006:$AS$1006,0))&gt;=100000), " ",IF(INDEX($AC$2:$AS$1001,MATCH(ROWS($V$2:V290),$V$2:$V$1001,0),MATCH(COLUMNS($AC$1006:AE1006),$AC$1006:$AS$1006,0)), HYPERLINK("#",""), HYPERLINK(CONCATENATE("#metadata!", ADDRESS(INDEX($X$2:$X$1001,MATCH(ROWS($V$2:V290),$V$2:$V$1001,0),0), INDEX($AC$1004:$AS$1004,1,MATCH(COLUMNS($AC$1006:AE1006),$AC$1006:$AS$1006,0)))),"Fix")))</f>
        <v xml:space="preserve"> </v>
      </c>
      <c r="E290" s="4" t="str">
        <f ca="1">IF(OR(INDEX($W$2:$W$1001,MATCH(ROWS($V$2:V290),$V$2:$V$1001,0),1)&gt;=100000,INDEX($AC$1005:$AS$1005,1,MATCH(COLUMNS($AC$1006:AF1006),$AC$1006:$AS$1006,0))&gt;=100000), " ",IF(INDEX($AC$2:$AS$1001,MATCH(ROWS($V$2:V290),$V$2:$V$1001,0),MATCH(COLUMNS($AC$1006:AF1006),$AC$1006:$AS$1006,0)), HYPERLINK("#",""), HYPERLINK(CONCATENATE("#metadata!", ADDRESS(INDEX($X$2:$X$1001,MATCH(ROWS($V$2:V290),$V$2:$V$1001,0),0), INDEX($AC$1004:$AS$1004,1,MATCH(COLUMNS($AC$1006:AF1006),$AC$1006:$AS$1006,0)))),"Fix")))</f>
        <v xml:space="preserve"> </v>
      </c>
      <c r="F290" s="4" t="str">
        <f ca="1">IF(OR(INDEX($W$2:$W$1001,MATCH(ROWS($V$2:V290),$V$2:$V$1001,0),1)&gt;=100000,INDEX($AC$1005:$AS$1005,1,MATCH(COLUMNS($AC$1006:AG1006),$AC$1006:$AS$1006,0))&gt;=100000), " ",IF(INDEX($AC$2:$AS$1001,MATCH(ROWS($V$2:V290),$V$2:$V$1001,0),MATCH(COLUMNS($AC$1006:AG1006),$AC$1006:$AS$1006,0)), HYPERLINK("#",""), HYPERLINK(CONCATENATE("#metadata!", ADDRESS(INDEX($X$2:$X$1001,MATCH(ROWS($V$2:V290),$V$2:$V$1001,0),0), INDEX($AC$1004:$AS$1004,1,MATCH(COLUMNS($AC$1006:AG1006),$AC$1006:$AS$1006,0)))),"Fix")))</f>
        <v xml:space="preserve"> </v>
      </c>
      <c r="G290" s="4" t="str">
        <f ca="1">IF(OR(INDEX($W$2:$W$1001,MATCH(ROWS($V$2:V290),$V$2:$V$1001,0),1)&gt;=100000,INDEX($AC$1005:$AS$1005,1,MATCH(COLUMNS($AC$1006:AH1006),$AC$1006:$AS$1006,0))&gt;=100000), " ",IF(INDEX($AC$2:$AS$1001,MATCH(ROWS($V$2:V290),$V$2:$V$1001,0),MATCH(COLUMNS($AC$1006:AH1006),$AC$1006:$AS$1006,0)), HYPERLINK("#",""), HYPERLINK(CONCATENATE("#metadata!", ADDRESS(INDEX($X$2:$X$1001,MATCH(ROWS($V$2:V290),$V$2:$V$1001,0),0), INDEX($AC$1004:$AS$1004,1,MATCH(COLUMNS($AC$1006:AH1006),$AC$1006:$AS$1006,0)))),"Fix")))</f>
        <v xml:space="preserve"> </v>
      </c>
      <c r="H290" s="4" t="str">
        <f ca="1">IF(OR(INDEX($W$2:$W$1001,MATCH(ROWS($V$2:V290),$V$2:$V$1001,0),1)&gt;=100000,INDEX($AC$1005:$AS$1005,1,MATCH(COLUMNS($AC$1006:AI1006),$AC$1006:$AS$1006,0))&gt;=100000), " ",IF(INDEX($AC$2:$AS$1001,MATCH(ROWS($V$2:V290),$V$2:$V$1001,0),MATCH(COLUMNS($AC$1006:AI1006),$AC$1006:$AS$1006,0)), HYPERLINK("#",""), HYPERLINK(CONCATENATE("#metadata!", ADDRESS(INDEX($X$2:$X$1001,MATCH(ROWS($V$2:V290),$V$2:$V$1001,0),0), INDEX($AC$1004:$AS$1004,1,MATCH(COLUMNS($AC$1006:AI1006),$AC$1006:$AS$1006,0)))),"Fix")))</f>
        <v xml:space="preserve"> </v>
      </c>
      <c r="I290" s="4" t="str">
        <f ca="1">IF(OR(INDEX($W$2:$W$1001,MATCH(ROWS($V$2:V290),$V$2:$V$1001,0),1)&gt;=100000,INDEX($AC$1005:$AS$1005,1,MATCH(COLUMNS($AC$1006:AJ1006),$AC$1006:$AS$1006,0))&gt;=100000), " ",IF(INDEX($AC$2:$AS$1001,MATCH(ROWS($V$2:V290),$V$2:$V$1001,0),MATCH(COLUMNS($AC$1006:AJ1006),$AC$1006:$AS$1006,0)), HYPERLINK("#",""), HYPERLINK(CONCATENATE("#metadata!", ADDRESS(INDEX($X$2:$X$1001,MATCH(ROWS($V$2:V290),$V$2:$V$1001,0),0), INDEX($AC$1004:$AS$1004,1,MATCH(COLUMNS($AC$1006:AJ1006),$AC$1006:$AS$1006,0)))),"Fix")))</f>
        <v xml:space="preserve"> </v>
      </c>
      <c r="J290" s="4" t="str">
        <f ca="1">IF(OR(INDEX($W$2:$W$1001,MATCH(ROWS($V$2:V290),$V$2:$V$1001,0),1)&gt;=100000,INDEX($AC$1005:$AS$1005,1,MATCH(COLUMNS($AC$1006:AK1006),$AC$1006:$AS$1006,0))&gt;=100000), " ",IF(INDEX($AC$2:$AS$1001,MATCH(ROWS($V$2:V290),$V$2:$V$1001,0),MATCH(COLUMNS($AC$1006:AK1006),$AC$1006:$AS$1006,0)), HYPERLINK("#",""), HYPERLINK(CONCATENATE("#metadata!", ADDRESS(INDEX($X$2:$X$1001,MATCH(ROWS($V$2:V290),$V$2:$V$1001,0),0), INDEX($AC$1004:$AS$1004,1,MATCH(COLUMNS($AC$1006:AK1006),$AC$1006:$AS$1006,0)))),"Fix")))</f>
        <v xml:space="preserve"> </v>
      </c>
      <c r="K290" s="4" t="str">
        <f ca="1">IF(OR(INDEX($W$2:$W$1001,MATCH(ROWS($V$2:V290),$V$2:$V$1001,0),1)&gt;=100000,INDEX($AC$1005:$AS$1005,1,MATCH(COLUMNS($AC$1006:AL1006),$AC$1006:$AS$1006,0))&gt;=100000), " ",IF(INDEX($AC$2:$AS$1001,MATCH(ROWS($V$2:V290),$V$2:$V$1001,0),MATCH(COLUMNS($AC$1006:AL1006),$AC$1006:$AS$1006,0)), HYPERLINK("#",""), HYPERLINK(CONCATENATE("#metadata!", ADDRESS(INDEX($X$2:$X$1001,MATCH(ROWS($V$2:V290),$V$2:$V$1001,0),0), INDEX($AC$1004:$AS$1004,1,MATCH(COLUMNS($AC$1006:AL1006),$AC$1006:$AS$1006,0)))),"Fix")))</f>
        <v xml:space="preserve"> </v>
      </c>
      <c r="L290" s="4" t="str">
        <f ca="1">IF(OR(INDEX($W$2:$W$1001,MATCH(ROWS($V$2:V290),$V$2:$V$1001,0),1)&gt;=100000,INDEX($AC$1005:$AS$1005,1,MATCH(COLUMNS($AC$1006:AM1006),$AC$1006:$AS$1006,0))&gt;=100000), " ",IF(INDEX($AC$2:$AS$1001,MATCH(ROWS($V$2:V290),$V$2:$V$1001,0),MATCH(COLUMNS($AC$1006:AM1006),$AC$1006:$AS$1006,0)), HYPERLINK("#",""), HYPERLINK(CONCATENATE("#metadata!", ADDRESS(INDEX($X$2:$X$1001,MATCH(ROWS($V$2:V290),$V$2:$V$1001,0),0), INDEX($AC$1004:$AS$1004,1,MATCH(COLUMNS($AC$1006:AM1006),$AC$1006:$AS$1006,0)))),"Fix")))</f>
        <v xml:space="preserve"> </v>
      </c>
      <c r="M290" s="4" t="str">
        <f ca="1">IF(OR(INDEX($W$2:$W$1001,MATCH(ROWS($V$2:V290),$V$2:$V$1001,0),1)&gt;=100000,INDEX($AC$1005:$AS$1005,1,MATCH(COLUMNS($AC$1006:AN1006),$AC$1006:$AS$1006,0))&gt;=100000), " ",IF(INDEX($AC$2:$AS$1001,MATCH(ROWS($V$2:V290),$V$2:$V$1001,0),MATCH(COLUMNS($AC$1006:AN1006),$AC$1006:$AS$1006,0)), HYPERLINK("#",""), HYPERLINK(CONCATENATE("#metadata!", ADDRESS(INDEX($X$2:$X$1001,MATCH(ROWS($V$2:V290),$V$2:$V$1001,0),0), INDEX($AC$1004:$AS$1004,1,MATCH(COLUMNS($AC$1006:AN1006),$AC$1006:$AS$1006,0)))),"Fix")))</f>
        <v xml:space="preserve"> </v>
      </c>
      <c r="N290" s="4" t="str">
        <f ca="1">IF(OR(INDEX($W$2:$W$1001,MATCH(ROWS($V$2:V290),$V$2:$V$1001,0),1)&gt;=100000,INDEX($AC$1005:$AS$1005,1,MATCH(COLUMNS($AC$1006:AO1006),$AC$1006:$AS$1006,0))&gt;=100000), " ",IF(INDEX($AC$2:$AS$1001,MATCH(ROWS($V$2:V290),$V$2:$V$1001,0),MATCH(COLUMNS($AC$1006:AO1006),$AC$1006:$AS$1006,0)), HYPERLINK("#",""), HYPERLINK(CONCATENATE("#metadata!", ADDRESS(INDEX($X$2:$X$1001,MATCH(ROWS($V$2:V290),$V$2:$V$1001,0),0), INDEX($AC$1004:$AS$1004,1,MATCH(COLUMNS($AC$1006:AO1006),$AC$1006:$AS$1006,0)))),"Fix")))</f>
        <v xml:space="preserve"> </v>
      </c>
      <c r="O290" s="4" t="str">
        <f ca="1">IF(OR(INDEX($W$2:$W$1001,MATCH(ROWS($V$2:V290),$V$2:$V$1001,0),1)&gt;=100000,INDEX($AC$1005:$AS$1005,1,MATCH(COLUMNS($AC$1006:AP1006),$AC$1006:$AS$1006,0))&gt;=100000), " ",IF(INDEX($AC$2:$AS$1001,MATCH(ROWS($V$2:V290),$V$2:$V$1001,0),MATCH(COLUMNS($AC$1006:AP1006),$AC$1006:$AS$1006,0)), HYPERLINK("#",""), HYPERLINK(CONCATENATE("#metadata!", ADDRESS(INDEX($X$2:$X$1001,MATCH(ROWS($V$2:V290),$V$2:$V$1001,0),0), INDEX($AC$1004:$AS$1004,1,MATCH(COLUMNS($AC$1006:AP1006),$AC$1006:$AS$1006,0)))),"Fix")))</f>
        <v xml:space="preserve"> </v>
      </c>
      <c r="P290" s="4" t="str">
        <f ca="1">IF(OR(INDEX($W$2:$W$1001,MATCH(ROWS($V$2:V290),$V$2:$V$1001,0),1)&gt;=100000,INDEX($AC$1005:$AS$1005,1,MATCH(COLUMNS($AC$1006:AQ1006),$AC$1006:$AS$1006,0))&gt;=100000), " ",IF(INDEX($AC$2:$AS$1001,MATCH(ROWS($V$2:V290),$V$2:$V$1001,0),MATCH(COLUMNS($AC$1006:AQ1006),$AC$1006:$AS$1006,0)), HYPERLINK("#",""), HYPERLINK(CONCATENATE("#metadata!", ADDRESS(INDEX($X$2:$X$1001,MATCH(ROWS($V$2:V290),$V$2:$V$1001,0),0), INDEX($AC$1004:$AS$1004,1,MATCH(COLUMNS($AC$1006:AQ1006),$AC$1006:$AS$1006,0)))),"Fix")))</f>
        <v xml:space="preserve"> </v>
      </c>
      <c r="Q290" s="4" t="str">
        <f ca="1">IF(OR(INDEX($W$2:$W$1001,MATCH(ROWS($V$2:V290),$V$2:$V$1001,0),1)&gt;=100000,INDEX($AC$1005:$AS$1005,1,MATCH(COLUMNS($AC$1006:AR1006),$AC$1006:$AS$1006,0))&gt;=100000), " ",IF(INDEX($AC$2:$AS$1001,MATCH(ROWS($V$2:V290),$V$2:$V$1001,0),MATCH(COLUMNS($AC$1006:AR1006),$AC$1006:$AS$1006,0)), HYPERLINK("#",""), HYPERLINK(CONCATENATE("#metadata!", ADDRESS(INDEX($X$2:$X$1001,MATCH(ROWS($V$2:V290),$V$2:$V$1001,0),0), INDEX($AC$1004:$AS$1004,1,MATCH(COLUMNS($AC$1006:AR1006),$AC$1006:$AS$1006,0)))),"Fix")))</f>
        <v xml:space="preserve"> </v>
      </c>
      <c r="R290" s="4" t="str">
        <f ca="1">IF(OR(INDEX($W$2:$W$1001,MATCH(ROWS($V$2:V290),$V$2:$V$1001,0),1)&gt;=100000,INDEX($AC$1005:$AS$1005,1,MATCH(COLUMNS($AC$1006:AS1006),$AC$1006:$AS$1006,0))&gt;=100000), " ",IF(INDEX($AC$2:$AS$1001,MATCH(ROWS($V$2:V290),$V$2:$V$1001,0),MATCH(COLUMNS($AC$1006:AS1006),$AC$1006:$AS$1006,0)), HYPERLINK("#",""), HYPERLINK(CONCATENATE("#metadata!", ADDRESS(INDEX($X$2:$X$1001,MATCH(ROWS($V$2:V290),$V$2:$V$1001,0),0), INDEX($AC$1004:$AS$1004,1,MATCH(COLUMNS($AC$1006:AS1006),$AC$1006:$AS$1006,0)))),"Fix")))</f>
        <v xml:space="preserve"> </v>
      </c>
      <c r="V290">
        <v>289</v>
      </c>
      <c r="W290">
        <v>100290</v>
      </c>
      <c r="X290">
        <v>290</v>
      </c>
      <c r="Y290" t="b">
        <f t="shared" si="4"/>
        <v>1</v>
      </c>
      <c r="Z290" t="b">
        <f>COUNTBLANK(metadata!B290:R290)=COLUMNS(metadata!B290:R290)</f>
        <v>1</v>
      </c>
      <c r="AA290" t="str">
        <v/>
      </c>
      <c r="AC290" t="b">
        <f ca="1"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AD290" t="b">
        <f>IF(metadata!C290="",FALSE,ISNUMBER(VALUE(metadata!C290)))</f>
        <v>0</v>
      </c>
      <c r="AE290" t="b">
        <f>AND(IF(metadata!D290="",FALSE,TRUE),EXACT(metadata!D290,"years"))</f>
        <v>0</v>
      </c>
      <c r="AF290" t="b">
        <f>OR(AND(IF(metadata!E290="",FALSE,TRUE),OR(EXACT(metadata!E290,"not applicable"),EXACT(metadata!E290,"missing: not collected"),EXACT(metadata!E290,"missing: not provided"),EXACT(metadata!E290,"missing: restricted access"))),AND(IF(metadata!E290="",FALSE,ISNUMBER(VALUE(metadata!E290))),metadata!E290&gt;0))</f>
        <v>0</v>
      </c>
      <c r="AG290" t="b">
        <f>AND(IF(metadata!F290="",FALSE,TRUE),EXACT(metadata!F290,"Not applicable"))</f>
        <v>0</v>
      </c>
      <c r="AH290" t="b">
        <f>AND(IF(metadata!G290="",FALSE,TRUE),EXACT(metadata!G290,"urban biome"))</f>
        <v>0</v>
      </c>
      <c r="AI290" t="b">
        <f>AND(IF(metadata!H290="",FALSE,TRUE),EXACT(metadata!H290,"human-associated habitat"))</f>
        <v>0</v>
      </c>
      <c r="AJ290" t="b">
        <f>AND(IF(metadata!I290="",FALSE,TRUE),OR(EXACT(metadata!I290,"human-associated"),EXACT(metadata!I290,"human-skin"),EXACT(metadata!I290,"human-oral"),EXACT(metadata!I290,"human-gut"),EXACT(metadata!I290,"human-vaginal")))</f>
        <v>0</v>
      </c>
      <c r="AK290" t="b">
        <f>IF(metadata!J290="",FALSE,ISNUMBER(VALUE(metadata!J290)))</f>
        <v>0</v>
      </c>
      <c r="AL290" t="b">
        <f>AND(IF(metadata!K290="",FALSE,TRUE),EXACT(metadata!K290,"cm"))</f>
        <v>0</v>
      </c>
      <c r="AM290" t="b">
        <f>AND(IF(metadata!L290="",FALSE,TRUE),EXACT(metadata!L290,"human"))</f>
        <v>0</v>
      </c>
      <c r="AN290" t="b">
        <f>AND(IF(metadata!M290="",FALSE,TRUE),EXACT(metadata!M290,"Homo sapiens"))</f>
        <v>0</v>
      </c>
      <c r="AO290" t="b">
        <f>AND(IF(metadata!N290="",FALSE,TRUE),EXACT(metadata!N290,"9606"))</f>
        <v>0</v>
      </c>
      <c r="AP290" t="b">
        <f>IF(metadata!O290="",FALSE,TRUE)</f>
        <v>0</v>
      </c>
      <c r="AQ290" t="b">
        <f>IF(metadata!P290="",FALSE,TRUE)</f>
        <v>0</v>
      </c>
      <c r="AR290" t="b">
        <f>IF(metadata!Q290="",FALSE,ISNUMBER(VALUE(metadata!Q290)))</f>
        <v>0</v>
      </c>
      <c r="AS290" t="b">
        <f>AND(IF(metadata!R290="",FALSE,TRUE),EXACT(metadata!R290,"kg"))</f>
        <v>0</v>
      </c>
    </row>
    <row r="291" spans="1:45" x14ac:dyDescent="0.2">
      <c r="A291" s="5" t="str">
        <f ca="1">IF(B291=" "," ",HYPERLINK(CONCATENATE("#metadata!",ADDRESS(INDEX($X$2:$X$1001,MATCH(ROWS($V$2:V291),$V$2:$V$1001,0),0),1)),INDEX($AA$2:$AA$1001,MATCH(ROWS($V$2:V291),$V$2:$V$1001,0),0)))</f>
        <v xml:space="preserve"> </v>
      </c>
      <c r="B291" s="4" t="str">
        <f ca="1">IF(OR(INDEX($W$2:$W$1001,MATCH(ROWS($V$2:V291),$V$2:$V$1001,0),1)&gt;=100000,INDEX($AC$1005:$AS$1005,1,MATCH(COLUMNS($AC$1006:AC1006),$AC$1006:$AS$1006,0))&gt;=100000), " ",IF(INDEX($AC$2:$AS$1001,MATCH(ROWS($V$2:V291),$V$2:$V$1001,0),MATCH(COLUMNS($AC$1006:AC1006),$AC$1006:$AS$1006,0)), HYPERLINK("#",""), HYPERLINK(CONCATENATE("#metadata!", ADDRESS(INDEX($X$2:$X$1001,MATCH(ROWS($V$2:V291),$V$2:$V$1001,0),0), INDEX($AC$1004:$AS$1004,1,MATCH(COLUMNS($AC$1006:AC1006),$AC$1006:$AS$1006,0)))),"Fix")))</f>
        <v xml:space="preserve"> </v>
      </c>
      <c r="C291" s="4" t="str">
        <f ca="1">IF(OR(INDEX($W$2:$W$1001,MATCH(ROWS($V$2:V291),$V$2:$V$1001,0),1)&gt;=100000,INDEX($AC$1005:$AS$1005,1,MATCH(COLUMNS($AC$1006:AD1006),$AC$1006:$AS$1006,0))&gt;=100000), " ",IF(INDEX($AC$2:$AS$1001,MATCH(ROWS($V$2:V291),$V$2:$V$1001,0),MATCH(COLUMNS($AC$1006:AD1006),$AC$1006:$AS$1006,0)), HYPERLINK("#",""), HYPERLINK(CONCATENATE("#metadata!", ADDRESS(INDEX($X$2:$X$1001,MATCH(ROWS($V$2:V291),$V$2:$V$1001,0),0), INDEX($AC$1004:$AS$1004,1,MATCH(COLUMNS($AC$1006:AD1006),$AC$1006:$AS$1006,0)))),"Fix")))</f>
        <v xml:space="preserve"> </v>
      </c>
      <c r="D291" s="4" t="str">
        <f ca="1">IF(OR(INDEX($W$2:$W$1001,MATCH(ROWS($V$2:V291),$V$2:$V$1001,0),1)&gt;=100000,INDEX($AC$1005:$AS$1005,1,MATCH(COLUMNS($AC$1006:AE1006),$AC$1006:$AS$1006,0))&gt;=100000), " ",IF(INDEX($AC$2:$AS$1001,MATCH(ROWS($V$2:V291),$V$2:$V$1001,0),MATCH(COLUMNS($AC$1006:AE1006),$AC$1006:$AS$1006,0)), HYPERLINK("#",""), HYPERLINK(CONCATENATE("#metadata!", ADDRESS(INDEX($X$2:$X$1001,MATCH(ROWS($V$2:V291),$V$2:$V$1001,0),0), INDEX($AC$1004:$AS$1004,1,MATCH(COLUMNS($AC$1006:AE1006),$AC$1006:$AS$1006,0)))),"Fix")))</f>
        <v xml:space="preserve"> </v>
      </c>
      <c r="E291" s="4" t="str">
        <f ca="1">IF(OR(INDEX($W$2:$W$1001,MATCH(ROWS($V$2:V291),$V$2:$V$1001,0),1)&gt;=100000,INDEX($AC$1005:$AS$1005,1,MATCH(COLUMNS($AC$1006:AF1006),$AC$1006:$AS$1006,0))&gt;=100000), " ",IF(INDEX($AC$2:$AS$1001,MATCH(ROWS($V$2:V291),$V$2:$V$1001,0),MATCH(COLUMNS($AC$1006:AF1006),$AC$1006:$AS$1006,0)), HYPERLINK("#",""), HYPERLINK(CONCATENATE("#metadata!", ADDRESS(INDEX($X$2:$X$1001,MATCH(ROWS($V$2:V291),$V$2:$V$1001,0),0), INDEX($AC$1004:$AS$1004,1,MATCH(COLUMNS($AC$1006:AF1006),$AC$1006:$AS$1006,0)))),"Fix")))</f>
        <v xml:space="preserve"> </v>
      </c>
      <c r="F291" s="4" t="str">
        <f ca="1">IF(OR(INDEX($W$2:$W$1001,MATCH(ROWS($V$2:V291),$V$2:$V$1001,0),1)&gt;=100000,INDEX($AC$1005:$AS$1005,1,MATCH(COLUMNS($AC$1006:AG1006),$AC$1006:$AS$1006,0))&gt;=100000), " ",IF(INDEX($AC$2:$AS$1001,MATCH(ROWS($V$2:V291),$V$2:$V$1001,0),MATCH(COLUMNS($AC$1006:AG1006),$AC$1006:$AS$1006,0)), HYPERLINK("#",""), HYPERLINK(CONCATENATE("#metadata!", ADDRESS(INDEX($X$2:$X$1001,MATCH(ROWS($V$2:V291),$V$2:$V$1001,0),0), INDEX($AC$1004:$AS$1004,1,MATCH(COLUMNS($AC$1006:AG1006),$AC$1006:$AS$1006,0)))),"Fix")))</f>
        <v xml:space="preserve"> </v>
      </c>
      <c r="G291" s="4" t="str">
        <f ca="1">IF(OR(INDEX($W$2:$W$1001,MATCH(ROWS($V$2:V291),$V$2:$V$1001,0),1)&gt;=100000,INDEX($AC$1005:$AS$1005,1,MATCH(COLUMNS($AC$1006:AH1006),$AC$1006:$AS$1006,0))&gt;=100000), " ",IF(INDEX($AC$2:$AS$1001,MATCH(ROWS($V$2:V291),$V$2:$V$1001,0),MATCH(COLUMNS($AC$1006:AH1006),$AC$1006:$AS$1006,0)), HYPERLINK("#",""), HYPERLINK(CONCATENATE("#metadata!", ADDRESS(INDEX($X$2:$X$1001,MATCH(ROWS($V$2:V291),$V$2:$V$1001,0),0), INDEX($AC$1004:$AS$1004,1,MATCH(COLUMNS($AC$1006:AH1006),$AC$1006:$AS$1006,0)))),"Fix")))</f>
        <v xml:space="preserve"> </v>
      </c>
      <c r="H291" s="4" t="str">
        <f ca="1">IF(OR(INDEX($W$2:$W$1001,MATCH(ROWS($V$2:V291),$V$2:$V$1001,0),1)&gt;=100000,INDEX($AC$1005:$AS$1005,1,MATCH(COLUMNS($AC$1006:AI1006),$AC$1006:$AS$1006,0))&gt;=100000), " ",IF(INDEX($AC$2:$AS$1001,MATCH(ROWS($V$2:V291),$V$2:$V$1001,0),MATCH(COLUMNS($AC$1006:AI1006),$AC$1006:$AS$1006,0)), HYPERLINK("#",""), HYPERLINK(CONCATENATE("#metadata!", ADDRESS(INDEX($X$2:$X$1001,MATCH(ROWS($V$2:V291),$V$2:$V$1001,0),0), INDEX($AC$1004:$AS$1004,1,MATCH(COLUMNS($AC$1006:AI1006),$AC$1006:$AS$1006,0)))),"Fix")))</f>
        <v xml:space="preserve"> </v>
      </c>
      <c r="I291" s="4" t="str">
        <f ca="1">IF(OR(INDEX($W$2:$W$1001,MATCH(ROWS($V$2:V291),$V$2:$V$1001,0),1)&gt;=100000,INDEX($AC$1005:$AS$1005,1,MATCH(COLUMNS($AC$1006:AJ1006),$AC$1006:$AS$1006,0))&gt;=100000), " ",IF(INDEX($AC$2:$AS$1001,MATCH(ROWS($V$2:V291),$V$2:$V$1001,0),MATCH(COLUMNS($AC$1006:AJ1006),$AC$1006:$AS$1006,0)), HYPERLINK("#",""), HYPERLINK(CONCATENATE("#metadata!", ADDRESS(INDEX($X$2:$X$1001,MATCH(ROWS($V$2:V291),$V$2:$V$1001,0),0), INDEX($AC$1004:$AS$1004,1,MATCH(COLUMNS($AC$1006:AJ1006),$AC$1006:$AS$1006,0)))),"Fix")))</f>
        <v xml:space="preserve"> </v>
      </c>
      <c r="J291" s="4" t="str">
        <f ca="1">IF(OR(INDEX($W$2:$W$1001,MATCH(ROWS($V$2:V291),$V$2:$V$1001,0),1)&gt;=100000,INDEX($AC$1005:$AS$1005,1,MATCH(COLUMNS($AC$1006:AK1006),$AC$1006:$AS$1006,0))&gt;=100000), " ",IF(INDEX($AC$2:$AS$1001,MATCH(ROWS($V$2:V291),$V$2:$V$1001,0),MATCH(COLUMNS($AC$1006:AK1006),$AC$1006:$AS$1006,0)), HYPERLINK("#",""), HYPERLINK(CONCATENATE("#metadata!", ADDRESS(INDEX($X$2:$X$1001,MATCH(ROWS($V$2:V291),$V$2:$V$1001,0),0), INDEX($AC$1004:$AS$1004,1,MATCH(COLUMNS($AC$1006:AK1006),$AC$1006:$AS$1006,0)))),"Fix")))</f>
        <v xml:space="preserve"> </v>
      </c>
      <c r="K291" s="4" t="str">
        <f ca="1">IF(OR(INDEX($W$2:$W$1001,MATCH(ROWS($V$2:V291),$V$2:$V$1001,0),1)&gt;=100000,INDEX($AC$1005:$AS$1005,1,MATCH(COLUMNS($AC$1006:AL1006),$AC$1006:$AS$1006,0))&gt;=100000), " ",IF(INDEX($AC$2:$AS$1001,MATCH(ROWS($V$2:V291),$V$2:$V$1001,0),MATCH(COLUMNS($AC$1006:AL1006),$AC$1006:$AS$1006,0)), HYPERLINK("#",""), HYPERLINK(CONCATENATE("#metadata!", ADDRESS(INDEX($X$2:$X$1001,MATCH(ROWS($V$2:V291),$V$2:$V$1001,0),0), INDEX($AC$1004:$AS$1004,1,MATCH(COLUMNS($AC$1006:AL1006),$AC$1006:$AS$1006,0)))),"Fix")))</f>
        <v xml:space="preserve"> </v>
      </c>
      <c r="L291" s="4" t="str">
        <f ca="1">IF(OR(INDEX($W$2:$W$1001,MATCH(ROWS($V$2:V291),$V$2:$V$1001,0),1)&gt;=100000,INDEX($AC$1005:$AS$1005,1,MATCH(COLUMNS($AC$1006:AM1006),$AC$1006:$AS$1006,0))&gt;=100000), " ",IF(INDEX($AC$2:$AS$1001,MATCH(ROWS($V$2:V291),$V$2:$V$1001,0),MATCH(COLUMNS($AC$1006:AM1006),$AC$1006:$AS$1006,0)), HYPERLINK("#",""), HYPERLINK(CONCATENATE("#metadata!", ADDRESS(INDEX($X$2:$X$1001,MATCH(ROWS($V$2:V291),$V$2:$V$1001,0),0), INDEX($AC$1004:$AS$1004,1,MATCH(COLUMNS($AC$1006:AM1006),$AC$1006:$AS$1006,0)))),"Fix")))</f>
        <v xml:space="preserve"> </v>
      </c>
      <c r="M291" s="4" t="str">
        <f ca="1">IF(OR(INDEX($W$2:$W$1001,MATCH(ROWS($V$2:V291),$V$2:$V$1001,0),1)&gt;=100000,INDEX($AC$1005:$AS$1005,1,MATCH(COLUMNS($AC$1006:AN1006),$AC$1006:$AS$1006,0))&gt;=100000), " ",IF(INDEX($AC$2:$AS$1001,MATCH(ROWS($V$2:V291),$V$2:$V$1001,0),MATCH(COLUMNS($AC$1006:AN1006),$AC$1006:$AS$1006,0)), HYPERLINK("#",""), HYPERLINK(CONCATENATE("#metadata!", ADDRESS(INDEX($X$2:$X$1001,MATCH(ROWS($V$2:V291),$V$2:$V$1001,0),0), INDEX($AC$1004:$AS$1004,1,MATCH(COLUMNS($AC$1006:AN1006),$AC$1006:$AS$1006,0)))),"Fix")))</f>
        <v xml:space="preserve"> </v>
      </c>
      <c r="N291" s="4" t="str">
        <f ca="1">IF(OR(INDEX($W$2:$W$1001,MATCH(ROWS($V$2:V291),$V$2:$V$1001,0),1)&gt;=100000,INDEX($AC$1005:$AS$1005,1,MATCH(COLUMNS($AC$1006:AO1006),$AC$1006:$AS$1006,0))&gt;=100000), " ",IF(INDEX($AC$2:$AS$1001,MATCH(ROWS($V$2:V291),$V$2:$V$1001,0),MATCH(COLUMNS($AC$1006:AO1006),$AC$1006:$AS$1006,0)), HYPERLINK("#",""), HYPERLINK(CONCATENATE("#metadata!", ADDRESS(INDEX($X$2:$X$1001,MATCH(ROWS($V$2:V291),$V$2:$V$1001,0),0), INDEX($AC$1004:$AS$1004,1,MATCH(COLUMNS($AC$1006:AO1006),$AC$1006:$AS$1006,0)))),"Fix")))</f>
        <v xml:space="preserve"> </v>
      </c>
      <c r="O291" s="4" t="str">
        <f ca="1">IF(OR(INDEX($W$2:$W$1001,MATCH(ROWS($V$2:V291),$V$2:$V$1001,0),1)&gt;=100000,INDEX($AC$1005:$AS$1005,1,MATCH(COLUMNS($AC$1006:AP1006),$AC$1006:$AS$1006,0))&gt;=100000), " ",IF(INDEX($AC$2:$AS$1001,MATCH(ROWS($V$2:V291),$V$2:$V$1001,0),MATCH(COLUMNS($AC$1006:AP1006),$AC$1006:$AS$1006,0)), HYPERLINK("#",""), HYPERLINK(CONCATENATE("#metadata!", ADDRESS(INDEX($X$2:$X$1001,MATCH(ROWS($V$2:V291),$V$2:$V$1001,0),0), INDEX($AC$1004:$AS$1004,1,MATCH(COLUMNS($AC$1006:AP1006),$AC$1006:$AS$1006,0)))),"Fix")))</f>
        <v xml:space="preserve"> </v>
      </c>
      <c r="P291" s="4" t="str">
        <f ca="1">IF(OR(INDEX($W$2:$W$1001,MATCH(ROWS($V$2:V291),$V$2:$V$1001,0),1)&gt;=100000,INDEX($AC$1005:$AS$1005,1,MATCH(COLUMNS($AC$1006:AQ1006),$AC$1006:$AS$1006,0))&gt;=100000), " ",IF(INDEX($AC$2:$AS$1001,MATCH(ROWS($V$2:V291),$V$2:$V$1001,0),MATCH(COLUMNS($AC$1006:AQ1006),$AC$1006:$AS$1006,0)), HYPERLINK("#",""), HYPERLINK(CONCATENATE("#metadata!", ADDRESS(INDEX($X$2:$X$1001,MATCH(ROWS($V$2:V291),$V$2:$V$1001,0),0), INDEX($AC$1004:$AS$1004,1,MATCH(COLUMNS($AC$1006:AQ1006),$AC$1006:$AS$1006,0)))),"Fix")))</f>
        <v xml:space="preserve"> </v>
      </c>
      <c r="Q291" s="4" t="str">
        <f ca="1">IF(OR(INDEX($W$2:$W$1001,MATCH(ROWS($V$2:V291),$V$2:$V$1001,0),1)&gt;=100000,INDEX($AC$1005:$AS$1005,1,MATCH(COLUMNS($AC$1006:AR1006),$AC$1006:$AS$1006,0))&gt;=100000), " ",IF(INDEX($AC$2:$AS$1001,MATCH(ROWS($V$2:V291),$V$2:$V$1001,0),MATCH(COLUMNS($AC$1006:AR1006),$AC$1006:$AS$1006,0)), HYPERLINK("#",""), HYPERLINK(CONCATENATE("#metadata!", ADDRESS(INDEX($X$2:$X$1001,MATCH(ROWS($V$2:V291),$V$2:$V$1001,0),0), INDEX($AC$1004:$AS$1004,1,MATCH(COLUMNS($AC$1006:AR1006),$AC$1006:$AS$1006,0)))),"Fix")))</f>
        <v xml:space="preserve"> </v>
      </c>
      <c r="R291" s="4" t="str">
        <f ca="1">IF(OR(INDEX($W$2:$W$1001,MATCH(ROWS($V$2:V291),$V$2:$V$1001,0),1)&gt;=100000,INDEX($AC$1005:$AS$1005,1,MATCH(COLUMNS($AC$1006:AS1006),$AC$1006:$AS$1006,0))&gt;=100000), " ",IF(INDEX($AC$2:$AS$1001,MATCH(ROWS($V$2:V291),$V$2:$V$1001,0),MATCH(COLUMNS($AC$1006:AS1006),$AC$1006:$AS$1006,0)), HYPERLINK("#",""), HYPERLINK(CONCATENATE("#metadata!", ADDRESS(INDEX($X$2:$X$1001,MATCH(ROWS($V$2:V291),$V$2:$V$1001,0),0), INDEX($AC$1004:$AS$1004,1,MATCH(COLUMNS($AC$1006:AS1006),$AC$1006:$AS$1006,0)))),"Fix")))</f>
        <v xml:space="preserve"> </v>
      </c>
      <c r="V291">
        <v>290</v>
      </c>
      <c r="W291">
        <v>100291</v>
      </c>
      <c r="X291">
        <v>291</v>
      </c>
      <c r="Y291" t="b">
        <f t="shared" si="4"/>
        <v>1</v>
      </c>
      <c r="Z291" t="b">
        <f>COUNTBLANK(metadata!B291:R291)=COLUMNS(metadata!B291:R291)</f>
        <v>1</v>
      </c>
      <c r="AA291" t="str">
        <v/>
      </c>
      <c r="AC291" t="b">
        <f ca="1"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AD291" t="b">
        <f>IF(metadata!C291="",FALSE,ISNUMBER(VALUE(metadata!C291)))</f>
        <v>0</v>
      </c>
      <c r="AE291" t="b">
        <f>AND(IF(metadata!D291="",FALSE,TRUE),EXACT(metadata!D291,"years"))</f>
        <v>0</v>
      </c>
      <c r="AF291" t="b">
        <f>OR(AND(IF(metadata!E291="",FALSE,TRUE),OR(EXACT(metadata!E291,"not applicable"),EXACT(metadata!E291,"missing: not collected"),EXACT(metadata!E291,"missing: not provided"),EXACT(metadata!E291,"missing: restricted access"))),AND(IF(metadata!E291="",FALSE,ISNUMBER(VALUE(metadata!E291))),metadata!E291&gt;0))</f>
        <v>0</v>
      </c>
      <c r="AG291" t="b">
        <f>AND(IF(metadata!F291="",FALSE,TRUE),EXACT(metadata!F291,"Not applicable"))</f>
        <v>0</v>
      </c>
      <c r="AH291" t="b">
        <f>AND(IF(metadata!G291="",FALSE,TRUE),EXACT(metadata!G291,"urban biome"))</f>
        <v>0</v>
      </c>
      <c r="AI291" t="b">
        <f>AND(IF(metadata!H291="",FALSE,TRUE),EXACT(metadata!H291,"human-associated habitat"))</f>
        <v>0</v>
      </c>
      <c r="AJ291" t="b">
        <f>AND(IF(metadata!I291="",FALSE,TRUE),OR(EXACT(metadata!I291,"human-associated"),EXACT(metadata!I291,"human-skin"),EXACT(metadata!I291,"human-oral"),EXACT(metadata!I291,"human-gut"),EXACT(metadata!I291,"human-vaginal")))</f>
        <v>0</v>
      </c>
      <c r="AK291" t="b">
        <f>IF(metadata!J291="",FALSE,ISNUMBER(VALUE(metadata!J291)))</f>
        <v>0</v>
      </c>
      <c r="AL291" t="b">
        <f>AND(IF(metadata!K291="",FALSE,TRUE),EXACT(metadata!K291,"cm"))</f>
        <v>0</v>
      </c>
      <c r="AM291" t="b">
        <f>AND(IF(metadata!L291="",FALSE,TRUE),EXACT(metadata!L291,"human"))</f>
        <v>0</v>
      </c>
      <c r="AN291" t="b">
        <f>AND(IF(metadata!M291="",FALSE,TRUE),EXACT(metadata!M291,"Homo sapiens"))</f>
        <v>0</v>
      </c>
      <c r="AO291" t="b">
        <f>AND(IF(metadata!N291="",FALSE,TRUE),EXACT(metadata!N291,"9606"))</f>
        <v>0</v>
      </c>
      <c r="AP291" t="b">
        <f>IF(metadata!O291="",FALSE,TRUE)</f>
        <v>0</v>
      </c>
      <c r="AQ291" t="b">
        <f>IF(metadata!P291="",FALSE,TRUE)</f>
        <v>0</v>
      </c>
      <c r="AR291" t="b">
        <f>IF(metadata!Q291="",FALSE,ISNUMBER(VALUE(metadata!Q291)))</f>
        <v>0</v>
      </c>
      <c r="AS291" t="b">
        <f>AND(IF(metadata!R291="",FALSE,TRUE),EXACT(metadata!R291,"kg"))</f>
        <v>0</v>
      </c>
    </row>
    <row r="292" spans="1:45" x14ac:dyDescent="0.2">
      <c r="A292" s="5" t="str">
        <f ca="1">IF(B292=" "," ",HYPERLINK(CONCATENATE("#metadata!",ADDRESS(INDEX($X$2:$X$1001,MATCH(ROWS($V$2:V292),$V$2:$V$1001,0),0),1)),INDEX($AA$2:$AA$1001,MATCH(ROWS($V$2:V292),$V$2:$V$1001,0),0)))</f>
        <v xml:space="preserve"> </v>
      </c>
      <c r="B292" s="4" t="str">
        <f ca="1">IF(OR(INDEX($W$2:$W$1001,MATCH(ROWS($V$2:V292),$V$2:$V$1001,0),1)&gt;=100000,INDEX($AC$1005:$AS$1005,1,MATCH(COLUMNS($AC$1006:AC1006),$AC$1006:$AS$1006,0))&gt;=100000), " ",IF(INDEX($AC$2:$AS$1001,MATCH(ROWS($V$2:V292),$V$2:$V$1001,0),MATCH(COLUMNS($AC$1006:AC1006),$AC$1006:$AS$1006,0)), HYPERLINK("#",""), HYPERLINK(CONCATENATE("#metadata!", ADDRESS(INDEX($X$2:$X$1001,MATCH(ROWS($V$2:V292),$V$2:$V$1001,0),0), INDEX($AC$1004:$AS$1004,1,MATCH(COLUMNS($AC$1006:AC1006),$AC$1006:$AS$1006,0)))),"Fix")))</f>
        <v xml:space="preserve"> </v>
      </c>
      <c r="C292" s="4" t="str">
        <f ca="1">IF(OR(INDEX($W$2:$W$1001,MATCH(ROWS($V$2:V292),$V$2:$V$1001,0),1)&gt;=100000,INDEX($AC$1005:$AS$1005,1,MATCH(COLUMNS($AC$1006:AD1006),$AC$1006:$AS$1006,0))&gt;=100000), " ",IF(INDEX($AC$2:$AS$1001,MATCH(ROWS($V$2:V292),$V$2:$V$1001,0),MATCH(COLUMNS($AC$1006:AD1006),$AC$1006:$AS$1006,0)), HYPERLINK("#",""), HYPERLINK(CONCATENATE("#metadata!", ADDRESS(INDEX($X$2:$X$1001,MATCH(ROWS($V$2:V292),$V$2:$V$1001,0),0), INDEX($AC$1004:$AS$1004,1,MATCH(COLUMNS($AC$1006:AD1006),$AC$1006:$AS$1006,0)))),"Fix")))</f>
        <v xml:space="preserve"> </v>
      </c>
      <c r="D292" s="4" t="str">
        <f ca="1">IF(OR(INDEX($W$2:$W$1001,MATCH(ROWS($V$2:V292),$V$2:$V$1001,0),1)&gt;=100000,INDEX($AC$1005:$AS$1005,1,MATCH(COLUMNS($AC$1006:AE1006),$AC$1006:$AS$1006,0))&gt;=100000), " ",IF(INDEX($AC$2:$AS$1001,MATCH(ROWS($V$2:V292),$V$2:$V$1001,0),MATCH(COLUMNS($AC$1006:AE1006),$AC$1006:$AS$1006,0)), HYPERLINK("#",""), HYPERLINK(CONCATENATE("#metadata!", ADDRESS(INDEX($X$2:$X$1001,MATCH(ROWS($V$2:V292),$V$2:$V$1001,0),0), INDEX($AC$1004:$AS$1004,1,MATCH(COLUMNS($AC$1006:AE1006),$AC$1006:$AS$1006,0)))),"Fix")))</f>
        <v xml:space="preserve"> </v>
      </c>
      <c r="E292" s="4" t="str">
        <f ca="1">IF(OR(INDEX($W$2:$W$1001,MATCH(ROWS($V$2:V292),$V$2:$V$1001,0),1)&gt;=100000,INDEX($AC$1005:$AS$1005,1,MATCH(COLUMNS($AC$1006:AF1006),$AC$1006:$AS$1006,0))&gt;=100000), " ",IF(INDEX($AC$2:$AS$1001,MATCH(ROWS($V$2:V292),$V$2:$V$1001,0),MATCH(COLUMNS($AC$1006:AF1006),$AC$1006:$AS$1006,0)), HYPERLINK("#",""), HYPERLINK(CONCATENATE("#metadata!", ADDRESS(INDEX($X$2:$X$1001,MATCH(ROWS($V$2:V292),$V$2:$V$1001,0),0), INDEX($AC$1004:$AS$1004,1,MATCH(COLUMNS($AC$1006:AF1006),$AC$1006:$AS$1006,0)))),"Fix")))</f>
        <v xml:space="preserve"> </v>
      </c>
      <c r="F292" s="4" t="str">
        <f ca="1">IF(OR(INDEX($W$2:$W$1001,MATCH(ROWS($V$2:V292),$V$2:$V$1001,0),1)&gt;=100000,INDEX($AC$1005:$AS$1005,1,MATCH(COLUMNS($AC$1006:AG1006),$AC$1006:$AS$1006,0))&gt;=100000), " ",IF(INDEX($AC$2:$AS$1001,MATCH(ROWS($V$2:V292),$V$2:$V$1001,0),MATCH(COLUMNS($AC$1006:AG1006),$AC$1006:$AS$1006,0)), HYPERLINK("#",""), HYPERLINK(CONCATENATE("#metadata!", ADDRESS(INDEX($X$2:$X$1001,MATCH(ROWS($V$2:V292),$V$2:$V$1001,0),0), INDEX($AC$1004:$AS$1004,1,MATCH(COLUMNS($AC$1006:AG1006),$AC$1006:$AS$1006,0)))),"Fix")))</f>
        <v xml:space="preserve"> </v>
      </c>
      <c r="G292" s="4" t="str">
        <f ca="1">IF(OR(INDEX($W$2:$W$1001,MATCH(ROWS($V$2:V292),$V$2:$V$1001,0),1)&gt;=100000,INDEX($AC$1005:$AS$1005,1,MATCH(COLUMNS($AC$1006:AH1006),$AC$1006:$AS$1006,0))&gt;=100000), " ",IF(INDEX($AC$2:$AS$1001,MATCH(ROWS($V$2:V292),$V$2:$V$1001,0),MATCH(COLUMNS($AC$1006:AH1006),$AC$1006:$AS$1006,0)), HYPERLINK("#",""), HYPERLINK(CONCATENATE("#metadata!", ADDRESS(INDEX($X$2:$X$1001,MATCH(ROWS($V$2:V292),$V$2:$V$1001,0),0), INDEX($AC$1004:$AS$1004,1,MATCH(COLUMNS($AC$1006:AH1006),$AC$1006:$AS$1006,0)))),"Fix")))</f>
        <v xml:space="preserve"> </v>
      </c>
      <c r="H292" s="4" t="str">
        <f ca="1">IF(OR(INDEX($W$2:$W$1001,MATCH(ROWS($V$2:V292),$V$2:$V$1001,0),1)&gt;=100000,INDEX($AC$1005:$AS$1005,1,MATCH(COLUMNS($AC$1006:AI1006),$AC$1006:$AS$1006,0))&gt;=100000), " ",IF(INDEX($AC$2:$AS$1001,MATCH(ROWS($V$2:V292),$V$2:$V$1001,0),MATCH(COLUMNS($AC$1006:AI1006),$AC$1006:$AS$1006,0)), HYPERLINK("#",""), HYPERLINK(CONCATENATE("#metadata!", ADDRESS(INDEX($X$2:$X$1001,MATCH(ROWS($V$2:V292),$V$2:$V$1001,0),0), INDEX($AC$1004:$AS$1004,1,MATCH(COLUMNS($AC$1006:AI1006),$AC$1006:$AS$1006,0)))),"Fix")))</f>
        <v xml:space="preserve"> </v>
      </c>
      <c r="I292" s="4" t="str">
        <f ca="1">IF(OR(INDEX($W$2:$W$1001,MATCH(ROWS($V$2:V292),$V$2:$V$1001,0),1)&gt;=100000,INDEX($AC$1005:$AS$1005,1,MATCH(COLUMNS($AC$1006:AJ1006),$AC$1006:$AS$1006,0))&gt;=100000), " ",IF(INDEX($AC$2:$AS$1001,MATCH(ROWS($V$2:V292),$V$2:$V$1001,0),MATCH(COLUMNS($AC$1006:AJ1006),$AC$1006:$AS$1006,0)), HYPERLINK("#",""), HYPERLINK(CONCATENATE("#metadata!", ADDRESS(INDEX($X$2:$X$1001,MATCH(ROWS($V$2:V292),$V$2:$V$1001,0),0), INDEX($AC$1004:$AS$1004,1,MATCH(COLUMNS($AC$1006:AJ1006),$AC$1006:$AS$1006,0)))),"Fix")))</f>
        <v xml:space="preserve"> </v>
      </c>
      <c r="J292" s="4" t="str">
        <f ca="1">IF(OR(INDEX($W$2:$W$1001,MATCH(ROWS($V$2:V292),$V$2:$V$1001,0),1)&gt;=100000,INDEX($AC$1005:$AS$1005,1,MATCH(COLUMNS($AC$1006:AK1006),$AC$1006:$AS$1006,0))&gt;=100000), " ",IF(INDEX($AC$2:$AS$1001,MATCH(ROWS($V$2:V292),$V$2:$V$1001,0),MATCH(COLUMNS($AC$1006:AK1006),$AC$1006:$AS$1006,0)), HYPERLINK("#",""), HYPERLINK(CONCATENATE("#metadata!", ADDRESS(INDEX($X$2:$X$1001,MATCH(ROWS($V$2:V292),$V$2:$V$1001,0),0), INDEX($AC$1004:$AS$1004,1,MATCH(COLUMNS($AC$1006:AK1006),$AC$1006:$AS$1006,0)))),"Fix")))</f>
        <v xml:space="preserve"> </v>
      </c>
      <c r="K292" s="4" t="str">
        <f ca="1">IF(OR(INDEX($W$2:$W$1001,MATCH(ROWS($V$2:V292),$V$2:$V$1001,0),1)&gt;=100000,INDEX($AC$1005:$AS$1005,1,MATCH(COLUMNS($AC$1006:AL1006),$AC$1006:$AS$1006,0))&gt;=100000), " ",IF(INDEX($AC$2:$AS$1001,MATCH(ROWS($V$2:V292),$V$2:$V$1001,0),MATCH(COLUMNS($AC$1006:AL1006),$AC$1006:$AS$1006,0)), HYPERLINK("#",""), HYPERLINK(CONCATENATE("#metadata!", ADDRESS(INDEX($X$2:$X$1001,MATCH(ROWS($V$2:V292),$V$2:$V$1001,0),0), INDEX($AC$1004:$AS$1004,1,MATCH(COLUMNS($AC$1006:AL1006),$AC$1006:$AS$1006,0)))),"Fix")))</f>
        <v xml:space="preserve"> </v>
      </c>
      <c r="L292" s="4" t="str">
        <f ca="1">IF(OR(INDEX($W$2:$W$1001,MATCH(ROWS($V$2:V292),$V$2:$V$1001,0),1)&gt;=100000,INDEX($AC$1005:$AS$1005,1,MATCH(COLUMNS($AC$1006:AM1006),$AC$1006:$AS$1006,0))&gt;=100000), " ",IF(INDEX($AC$2:$AS$1001,MATCH(ROWS($V$2:V292),$V$2:$V$1001,0),MATCH(COLUMNS($AC$1006:AM1006),$AC$1006:$AS$1006,0)), HYPERLINK("#",""), HYPERLINK(CONCATENATE("#metadata!", ADDRESS(INDEX($X$2:$X$1001,MATCH(ROWS($V$2:V292),$V$2:$V$1001,0),0), INDEX($AC$1004:$AS$1004,1,MATCH(COLUMNS($AC$1006:AM1006),$AC$1006:$AS$1006,0)))),"Fix")))</f>
        <v xml:space="preserve"> </v>
      </c>
      <c r="M292" s="4" t="str">
        <f ca="1">IF(OR(INDEX($W$2:$W$1001,MATCH(ROWS($V$2:V292),$V$2:$V$1001,0),1)&gt;=100000,INDEX($AC$1005:$AS$1005,1,MATCH(COLUMNS($AC$1006:AN1006),$AC$1006:$AS$1006,0))&gt;=100000), " ",IF(INDEX($AC$2:$AS$1001,MATCH(ROWS($V$2:V292),$V$2:$V$1001,0),MATCH(COLUMNS($AC$1006:AN1006),$AC$1006:$AS$1006,0)), HYPERLINK("#",""), HYPERLINK(CONCATENATE("#metadata!", ADDRESS(INDEX($X$2:$X$1001,MATCH(ROWS($V$2:V292),$V$2:$V$1001,0),0), INDEX($AC$1004:$AS$1004,1,MATCH(COLUMNS($AC$1006:AN1006),$AC$1006:$AS$1006,0)))),"Fix")))</f>
        <v xml:space="preserve"> </v>
      </c>
      <c r="N292" s="4" t="str">
        <f ca="1">IF(OR(INDEX($W$2:$W$1001,MATCH(ROWS($V$2:V292),$V$2:$V$1001,0),1)&gt;=100000,INDEX($AC$1005:$AS$1005,1,MATCH(COLUMNS($AC$1006:AO1006),$AC$1006:$AS$1006,0))&gt;=100000), " ",IF(INDEX($AC$2:$AS$1001,MATCH(ROWS($V$2:V292),$V$2:$V$1001,0),MATCH(COLUMNS($AC$1006:AO1006),$AC$1006:$AS$1006,0)), HYPERLINK("#",""), HYPERLINK(CONCATENATE("#metadata!", ADDRESS(INDEX($X$2:$X$1001,MATCH(ROWS($V$2:V292),$V$2:$V$1001,0),0), INDEX($AC$1004:$AS$1004,1,MATCH(COLUMNS($AC$1006:AO1006),$AC$1006:$AS$1006,0)))),"Fix")))</f>
        <v xml:space="preserve"> </v>
      </c>
      <c r="O292" s="4" t="str">
        <f ca="1">IF(OR(INDEX($W$2:$W$1001,MATCH(ROWS($V$2:V292),$V$2:$V$1001,0),1)&gt;=100000,INDEX($AC$1005:$AS$1005,1,MATCH(COLUMNS($AC$1006:AP1006),$AC$1006:$AS$1006,0))&gt;=100000), " ",IF(INDEX($AC$2:$AS$1001,MATCH(ROWS($V$2:V292),$V$2:$V$1001,0),MATCH(COLUMNS($AC$1006:AP1006),$AC$1006:$AS$1006,0)), HYPERLINK("#",""), HYPERLINK(CONCATENATE("#metadata!", ADDRESS(INDEX($X$2:$X$1001,MATCH(ROWS($V$2:V292),$V$2:$V$1001,0),0), INDEX($AC$1004:$AS$1004,1,MATCH(COLUMNS($AC$1006:AP1006),$AC$1006:$AS$1006,0)))),"Fix")))</f>
        <v xml:space="preserve"> </v>
      </c>
      <c r="P292" s="4" t="str">
        <f ca="1">IF(OR(INDEX($W$2:$W$1001,MATCH(ROWS($V$2:V292),$V$2:$V$1001,0),1)&gt;=100000,INDEX($AC$1005:$AS$1005,1,MATCH(COLUMNS($AC$1006:AQ1006),$AC$1006:$AS$1006,0))&gt;=100000), " ",IF(INDEX($AC$2:$AS$1001,MATCH(ROWS($V$2:V292),$V$2:$V$1001,0),MATCH(COLUMNS($AC$1006:AQ1006),$AC$1006:$AS$1006,0)), HYPERLINK("#",""), HYPERLINK(CONCATENATE("#metadata!", ADDRESS(INDEX($X$2:$X$1001,MATCH(ROWS($V$2:V292),$V$2:$V$1001,0),0), INDEX($AC$1004:$AS$1004,1,MATCH(COLUMNS($AC$1006:AQ1006),$AC$1006:$AS$1006,0)))),"Fix")))</f>
        <v xml:space="preserve"> </v>
      </c>
      <c r="Q292" s="4" t="str">
        <f ca="1">IF(OR(INDEX($W$2:$W$1001,MATCH(ROWS($V$2:V292),$V$2:$V$1001,0),1)&gt;=100000,INDEX($AC$1005:$AS$1005,1,MATCH(COLUMNS($AC$1006:AR1006),$AC$1006:$AS$1006,0))&gt;=100000), " ",IF(INDEX($AC$2:$AS$1001,MATCH(ROWS($V$2:V292),$V$2:$V$1001,0),MATCH(COLUMNS($AC$1006:AR1006),$AC$1006:$AS$1006,0)), HYPERLINK("#",""), HYPERLINK(CONCATENATE("#metadata!", ADDRESS(INDEX($X$2:$X$1001,MATCH(ROWS($V$2:V292),$V$2:$V$1001,0),0), INDEX($AC$1004:$AS$1004,1,MATCH(COLUMNS($AC$1006:AR1006),$AC$1006:$AS$1006,0)))),"Fix")))</f>
        <v xml:space="preserve"> </v>
      </c>
      <c r="R292" s="4" t="str">
        <f ca="1">IF(OR(INDEX($W$2:$W$1001,MATCH(ROWS($V$2:V292),$V$2:$V$1001,0),1)&gt;=100000,INDEX($AC$1005:$AS$1005,1,MATCH(COLUMNS($AC$1006:AS1006),$AC$1006:$AS$1006,0))&gt;=100000), " ",IF(INDEX($AC$2:$AS$1001,MATCH(ROWS($V$2:V292),$V$2:$V$1001,0),MATCH(COLUMNS($AC$1006:AS1006),$AC$1006:$AS$1006,0)), HYPERLINK("#",""), HYPERLINK(CONCATENATE("#metadata!", ADDRESS(INDEX($X$2:$X$1001,MATCH(ROWS($V$2:V292),$V$2:$V$1001,0),0), INDEX($AC$1004:$AS$1004,1,MATCH(COLUMNS($AC$1006:AS1006),$AC$1006:$AS$1006,0)))),"Fix")))</f>
        <v xml:space="preserve"> </v>
      </c>
      <c r="V292">
        <v>291</v>
      </c>
      <c r="W292">
        <v>100292</v>
      </c>
      <c r="X292">
        <v>292</v>
      </c>
      <c r="Y292" t="b">
        <f t="shared" si="4"/>
        <v>1</v>
      </c>
      <c r="Z292" t="b">
        <f>COUNTBLANK(metadata!B292:R292)=COLUMNS(metadata!B292:R292)</f>
        <v>1</v>
      </c>
      <c r="AA292" t="str">
        <v/>
      </c>
      <c r="AC292" t="b">
        <f ca="1"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AD292" t="b">
        <f>IF(metadata!C292="",FALSE,ISNUMBER(VALUE(metadata!C292)))</f>
        <v>0</v>
      </c>
      <c r="AE292" t="b">
        <f>AND(IF(metadata!D292="",FALSE,TRUE),EXACT(metadata!D292,"years"))</f>
        <v>0</v>
      </c>
      <c r="AF292" t="b">
        <f>OR(AND(IF(metadata!E292="",FALSE,TRUE),OR(EXACT(metadata!E292,"not applicable"),EXACT(metadata!E292,"missing: not collected"),EXACT(metadata!E292,"missing: not provided"),EXACT(metadata!E292,"missing: restricted access"))),AND(IF(metadata!E292="",FALSE,ISNUMBER(VALUE(metadata!E292))),metadata!E292&gt;0))</f>
        <v>0</v>
      </c>
      <c r="AG292" t="b">
        <f>AND(IF(metadata!F292="",FALSE,TRUE),EXACT(metadata!F292,"Not applicable"))</f>
        <v>0</v>
      </c>
      <c r="AH292" t="b">
        <f>AND(IF(metadata!G292="",FALSE,TRUE),EXACT(metadata!G292,"urban biome"))</f>
        <v>0</v>
      </c>
      <c r="AI292" t="b">
        <f>AND(IF(metadata!H292="",FALSE,TRUE),EXACT(metadata!H292,"human-associated habitat"))</f>
        <v>0</v>
      </c>
      <c r="AJ292" t="b">
        <f>AND(IF(metadata!I292="",FALSE,TRUE),OR(EXACT(metadata!I292,"human-associated"),EXACT(metadata!I292,"human-skin"),EXACT(metadata!I292,"human-oral"),EXACT(metadata!I292,"human-gut"),EXACT(metadata!I292,"human-vaginal")))</f>
        <v>0</v>
      </c>
      <c r="AK292" t="b">
        <f>IF(metadata!J292="",FALSE,ISNUMBER(VALUE(metadata!J292)))</f>
        <v>0</v>
      </c>
      <c r="AL292" t="b">
        <f>AND(IF(metadata!K292="",FALSE,TRUE),EXACT(metadata!K292,"cm"))</f>
        <v>0</v>
      </c>
      <c r="AM292" t="b">
        <f>AND(IF(metadata!L292="",FALSE,TRUE),EXACT(metadata!L292,"human"))</f>
        <v>0</v>
      </c>
      <c r="AN292" t="b">
        <f>AND(IF(metadata!M292="",FALSE,TRUE),EXACT(metadata!M292,"Homo sapiens"))</f>
        <v>0</v>
      </c>
      <c r="AO292" t="b">
        <f>AND(IF(metadata!N292="",FALSE,TRUE),EXACT(metadata!N292,"9606"))</f>
        <v>0</v>
      </c>
      <c r="AP292" t="b">
        <f>IF(metadata!O292="",FALSE,TRUE)</f>
        <v>0</v>
      </c>
      <c r="AQ292" t="b">
        <f>IF(metadata!P292="",FALSE,TRUE)</f>
        <v>0</v>
      </c>
      <c r="AR292" t="b">
        <f>IF(metadata!Q292="",FALSE,ISNUMBER(VALUE(metadata!Q292)))</f>
        <v>0</v>
      </c>
      <c r="AS292" t="b">
        <f>AND(IF(metadata!R292="",FALSE,TRUE),EXACT(metadata!R292,"kg"))</f>
        <v>0</v>
      </c>
    </row>
    <row r="293" spans="1:45" x14ac:dyDescent="0.2">
      <c r="A293" s="5" t="str">
        <f ca="1">IF(B293=" "," ",HYPERLINK(CONCATENATE("#metadata!",ADDRESS(INDEX($X$2:$X$1001,MATCH(ROWS($V$2:V293),$V$2:$V$1001,0),0),1)),INDEX($AA$2:$AA$1001,MATCH(ROWS($V$2:V293),$V$2:$V$1001,0),0)))</f>
        <v xml:space="preserve"> </v>
      </c>
      <c r="B293" s="4" t="str">
        <f ca="1">IF(OR(INDEX($W$2:$W$1001,MATCH(ROWS($V$2:V293),$V$2:$V$1001,0),1)&gt;=100000,INDEX($AC$1005:$AS$1005,1,MATCH(COLUMNS($AC$1006:AC1006),$AC$1006:$AS$1006,0))&gt;=100000), " ",IF(INDEX($AC$2:$AS$1001,MATCH(ROWS($V$2:V293),$V$2:$V$1001,0),MATCH(COLUMNS($AC$1006:AC1006),$AC$1006:$AS$1006,0)), HYPERLINK("#",""), HYPERLINK(CONCATENATE("#metadata!", ADDRESS(INDEX($X$2:$X$1001,MATCH(ROWS($V$2:V293),$V$2:$V$1001,0),0), INDEX($AC$1004:$AS$1004,1,MATCH(COLUMNS($AC$1006:AC1006),$AC$1006:$AS$1006,0)))),"Fix")))</f>
        <v xml:space="preserve"> </v>
      </c>
      <c r="C293" s="4" t="str">
        <f ca="1">IF(OR(INDEX($W$2:$W$1001,MATCH(ROWS($V$2:V293),$V$2:$V$1001,0),1)&gt;=100000,INDEX($AC$1005:$AS$1005,1,MATCH(COLUMNS($AC$1006:AD1006),$AC$1006:$AS$1006,0))&gt;=100000), " ",IF(INDEX($AC$2:$AS$1001,MATCH(ROWS($V$2:V293),$V$2:$V$1001,0),MATCH(COLUMNS($AC$1006:AD1006),$AC$1006:$AS$1006,0)), HYPERLINK("#",""), HYPERLINK(CONCATENATE("#metadata!", ADDRESS(INDEX($X$2:$X$1001,MATCH(ROWS($V$2:V293),$V$2:$V$1001,0),0), INDEX($AC$1004:$AS$1004,1,MATCH(COLUMNS($AC$1006:AD1006),$AC$1006:$AS$1006,0)))),"Fix")))</f>
        <v xml:space="preserve"> </v>
      </c>
      <c r="D293" s="4" t="str">
        <f ca="1">IF(OR(INDEX($W$2:$W$1001,MATCH(ROWS($V$2:V293),$V$2:$V$1001,0),1)&gt;=100000,INDEX($AC$1005:$AS$1005,1,MATCH(COLUMNS($AC$1006:AE1006),$AC$1006:$AS$1006,0))&gt;=100000), " ",IF(INDEX($AC$2:$AS$1001,MATCH(ROWS($V$2:V293),$V$2:$V$1001,0),MATCH(COLUMNS($AC$1006:AE1006),$AC$1006:$AS$1006,0)), HYPERLINK("#",""), HYPERLINK(CONCATENATE("#metadata!", ADDRESS(INDEX($X$2:$X$1001,MATCH(ROWS($V$2:V293),$V$2:$V$1001,0),0), INDEX($AC$1004:$AS$1004,1,MATCH(COLUMNS($AC$1006:AE1006),$AC$1006:$AS$1006,0)))),"Fix")))</f>
        <v xml:space="preserve"> </v>
      </c>
      <c r="E293" s="4" t="str">
        <f ca="1">IF(OR(INDEX($W$2:$W$1001,MATCH(ROWS($V$2:V293),$V$2:$V$1001,0),1)&gt;=100000,INDEX($AC$1005:$AS$1005,1,MATCH(COLUMNS($AC$1006:AF1006),$AC$1006:$AS$1006,0))&gt;=100000), " ",IF(INDEX($AC$2:$AS$1001,MATCH(ROWS($V$2:V293),$V$2:$V$1001,0),MATCH(COLUMNS($AC$1006:AF1006),$AC$1006:$AS$1006,0)), HYPERLINK("#",""), HYPERLINK(CONCATENATE("#metadata!", ADDRESS(INDEX($X$2:$X$1001,MATCH(ROWS($V$2:V293),$V$2:$V$1001,0),0), INDEX($AC$1004:$AS$1004,1,MATCH(COLUMNS($AC$1006:AF1006),$AC$1006:$AS$1006,0)))),"Fix")))</f>
        <v xml:space="preserve"> </v>
      </c>
      <c r="F293" s="4" t="str">
        <f ca="1">IF(OR(INDEX($W$2:$W$1001,MATCH(ROWS($V$2:V293),$V$2:$V$1001,0),1)&gt;=100000,INDEX($AC$1005:$AS$1005,1,MATCH(COLUMNS($AC$1006:AG1006),$AC$1006:$AS$1006,0))&gt;=100000), " ",IF(INDEX($AC$2:$AS$1001,MATCH(ROWS($V$2:V293),$V$2:$V$1001,0),MATCH(COLUMNS($AC$1006:AG1006),$AC$1006:$AS$1006,0)), HYPERLINK("#",""), HYPERLINK(CONCATENATE("#metadata!", ADDRESS(INDEX($X$2:$X$1001,MATCH(ROWS($V$2:V293),$V$2:$V$1001,0),0), INDEX($AC$1004:$AS$1004,1,MATCH(COLUMNS($AC$1006:AG1006),$AC$1006:$AS$1006,0)))),"Fix")))</f>
        <v xml:space="preserve"> </v>
      </c>
      <c r="G293" s="4" t="str">
        <f ca="1">IF(OR(INDEX($W$2:$W$1001,MATCH(ROWS($V$2:V293),$V$2:$V$1001,0),1)&gt;=100000,INDEX($AC$1005:$AS$1005,1,MATCH(COLUMNS($AC$1006:AH1006),$AC$1006:$AS$1006,0))&gt;=100000), " ",IF(INDEX($AC$2:$AS$1001,MATCH(ROWS($V$2:V293),$V$2:$V$1001,0),MATCH(COLUMNS($AC$1006:AH1006),$AC$1006:$AS$1006,0)), HYPERLINK("#",""), HYPERLINK(CONCATENATE("#metadata!", ADDRESS(INDEX($X$2:$X$1001,MATCH(ROWS($V$2:V293),$V$2:$V$1001,0),0), INDEX($AC$1004:$AS$1004,1,MATCH(COLUMNS($AC$1006:AH1006),$AC$1006:$AS$1006,0)))),"Fix")))</f>
        <v xml:space="preserve"> </v>
      </c>
      <c r="H293" s="4" t="str">
        <f ca="1">IF(OR(INDEX($W$2:$W$1001,MATCH(ROWS($V$2:V293),$V$2:$V$1001,0),1)&gt;=100000,INDEX($AC$1005:$AS$1005,1,MATCH(COLUMNS($AC$1006:AI1006),$AC$1006:$AS$1006,0))&gt;=100000), " ",IF(INDEX($AC$2:$AS$1001,MATCH(ROWS($V$2:V293),$V$2:$V$1001,0),MATCH(COLUMNS($AC$1006:AI1006),$AC$1006:$AS$1006,0)), HYPERLINK("#",""), HYPERLINK(CONCATENATE("#metadata!", ADDRESS(INDEX($X$2:$X$1001,MATCH(ROWS($V$2:V293),$V$2:$V$1001,0),0), INDEX($AC$1004:$AS$1004,1,MATCH(COLUMNS($AC$1006:AI1006),$AC$1006:$AS$1006,0)))),"Fix")))</f>
        <v xml:space="preserve"> </v>
      </c>
      <c r="I293" s="4" t="str">
        <f ca="1">IF(OR(INDEX($W$2:$W$1001,MATCH(ROWS($V$2:V293),$V$2:$V$1001,0),1)&gt;=100000,INDEX($AC$1005:$AS$1005,1,MATCH(COLUMNS($AC$1006:AJ1006),$AC$1006:$AS$1006,0))&gt;=100000), " ",IF(INDEX($AC$2:$AS$1001,MATCH(ROWS($V$2:V293),$V$2:$V$1001,0),MATCH(COLUMNS($AC$1006:AJ1006),$AC$1006:$AS$1006,0)), HYPERLINK("#",""), HYPERLINK(CONCATENATE("#metadata!", ADDRESS(INDEX($X$2:$X$1001,MATCH(ROWS($V$2:V293),$V$2:$V$1001,0),0), INDEX($AC$1004:$AS$1004,1,MATCH(COLUMNS($AC$1006:AJ1006),$AC$1006:$AS$1006,0)))),"Fix")))</f>
        <v xml:space="preserve"> </v>
      </c>
      <c r="J293" s="4" t="str">
        <f ca="1">IF(OR(INDEX($W$2:$W$1001,MATCH(ROWS($V$2:V293),$V$2:$V$1001,0),1)&gt;=100000,INDEX($AC$1005:$AS$1005,1,MATCH(COLUMNS($AC$1006:AK1006),$AC$1006:$AS$1006,0))&gt;=100000), " ",IF(INDEX($AC$2:$AS$1001,MATCH(ROWS($V$2:V293),$V$2:$V$1001,0),MATCH(COLUMNS($AC$1006:AK1006),$AC$1006:$AS$1006,0)), HYPERLINK("#",""), HYPERLINK(CONCATENATE("#metadata!", ADDRESS(INDEX($X$2:$X$1001,MATCH(ROWS($V$2:V293),$V$2:$V$1001,0),0), INDEX($AC$1004:$AS$1004,1,MATCH(COLUMNS($AC$1006:AK1006),$AC$1006:$AS$1006,0)))),"Fix")))</f>
        <v xml:space="preserve"> </v>
      </c>
      <c r="K293" s="4" t="str">
        <f ca="1">IF(OR(INDEX($W$2:$W$1001,MATCH(ROWS($V$2:V293),$V$2:$V$1001,0),1)&gt;=100000,INDEX($AC$1005:$AS$1005,1,MATCH(COLUMNS($AC$1006:AL1006),$AC$1006:$AS$1006,0))&gt;=100000), " ",IF(INDEX($AC$2:$AS$1001,MATCH(ROWS($V$2:V293),$V$2:$V$1001,0),MATCH(COLUMNS($AC$1006:AL1006),$AC$1006:$AS$1006,0)), HYPERLINK("#",""), HYPERLINK(CONCATENATE("#metadata!", ADDRESS(INDEX($X$2:$X$1001,MATCH(ROWS($V$2:V293),$V$2:$V$1001,0),0), INDEX($AC$1004:$AS$1004,1,MATCH(COLUMNS($AC$1006:AL1006),$AC$1006:$AS$1006,0)))),"Fix")))</f>
        <v xml:space="preserve"> </v>
      </c>
      <c r="L293" s="4" t="str">
        <f ca="1">IF(OR(INDEX($W$2:$W$1001,MATCH(ROWS($V$2:V293),$V$2:$V$1001,0),1)&gt;=100000,INDEX($AC$1005:$AS$1005,1,MATCH(COLUMNS($AC$1006:AM1006),$AC$1006:$AS$1006,0))&gt;=100000), " ",IF(INDEX($AC$2:$AS$1001,MATCH(ROWS($V$2:V293),$V$2:$V$1001,0),MATCH(COLUMNS($AC$1006:AM1006),$AC$1006:$AS$1006,0)), HYPERLINK("#",""), HYPERLINK(CONCATENATE("#metadata!", ADDRESS(INDEX($X$2:$X$1001,MATCH(ROWS($V$2:V293),$V$2:$V$1001,0),0), INDEX($AC$1004:$AS$1004,1,MATCH(COLUMNS($AC$1006:AM1006),$AC$1006:$AS$1006,0)))),"Fix")))</f>
        <v xml:space="preserve"> </v>
      </c>
      <c r="M293" s="4" t="str">
        <f ca="1">IF(OR(INDEX($W$2:$W$1001,MATCH(ROWS($V$2:V293),$V$2:$V$1001,0),1)&gt;=100000,INDEX($AC$1005:$AS$1005,1,MATCH(COLUMNS($AC$1006:AN1006),$AC$1006:$AS$1006,0))&gt;=100000), " ",IF(INDEX($AC$2:$AS$1001,MATCH(ROWS($V$2:V293),$V$2:$V$1001,0),MATCH(COLUMNS($AC$1006:AN1006),$AC$1006:$AS$1006,0)), HYPERLINK("#",""), HYPERLINK(CONCATENATE("#metadata!", ADDRESS(INDEX($X$2:$X$1001,MATCH(ROWS($V$2:V293),$V$2:$V$1001,0),0), INDEX($AC$1004:$AS$1004,1,MATCH(COLUMNS($AC$1006:AN1006),$AC$1006:$AS$1006,0)))),"Fix")))</f>
        <v xml:space="preserve"> </v>
      </c>
      <c r="N293" s="4" t="str">
        <f ca="1">IF(OR(INDEX($W$2:$W$1001,MATCH(ROWS($V$2:V293),$V$2:$V$1001,0),1)&gt;=100000,INDEX($AC$1005:$AS$1005,1,MATCH(COLUMNS($AC$1006:AO1006),$AC$1006:$AS$1006,0))&gt;=100000), " ",IF(INDEX($AC$2:$AS$1001,MATCH(ROWS($V$2:V293),$V$2:$V$1001,0),MATCH(COLUMNS($AC$1006:AO1006),$AC$1006:$AS$1006,0)), HYPERLINK("#",""), HYPERLINK(CONCATENATE("#metadata!", ADDRESS(INDEX($X$2:$X$1001,MATCH(ROWS($V$2:V293),$V$2:$V$1001,0),0), INDEX($AC$1004:$AS$1004,1,MATCH(COLUMNS($AC$1006:AO1006),$AC$1006:$AS$1006,0)))),"Fix")))</f>
        <v xml:space="preserve"> </v>
      </c>
      <c r="O293" s="4" t="str">
        <f ca="1">IF(OR(INDEX($W$2:$W$1001,MATCH(ROWS($V$2:V293),$V$2:$V$1001,0),1)&gt;=100000,INDEX($AC$1005:$AS$1005,1,MATCH(COLUMNS($AC$1006:AP1006),$AC$1006:$AS$1006,0))&gt;=100000), " ",IF(INDEX($AC$2:$AS$1001,MATCH(ROWS($V$2:V293),$V$2:$V$1001,0),MATCH(COLUMNS($AC$1006:AP1006),$AC$1006:$AS$1006,0)), HYPERLINK("#",""), HYPERLINK(CONCATENATE("#metadata!", ADDRESS(INDEX($X$2:$X$1001,MATCH(ROWS($V$2:V293),$V$2:$V$1001,0),0), INDEX($AC$1004:$AS$1004,1,MATCH(COLUMNS($AC$1006:AP1006),$AC$1006:$AS$1006,0)))),"Fix")))</f>
        <v xml:space="preserve"> </v>
      </c>
      <c r="P293" s="4" t="str">
        <f ca="1">IF(OR(INDEX($W$2:$W$1001,MATCH(ROWS($V$2:V293),$V$2:$V$1001,0),1)&gt;=100000,INDEX($AC$1005:$AS$1005,1,MATCH(COLUMNS($AC$1006:AQ1006),$AC$1006:$AS$1006,0))&gt;=100000), " ",IF(INDEX($AC$2:$AS$1001,MATCH(ROWS($V$2:V293),$V$2:$V$1001,0),MATCH(COLUMNS($AC$1006:AQ1006),$AC$1006:$AS$1006,0)), HYPERLINK("#",""), HYPERLINK(CONCATENATE("#metadata!", ADDRESS(INDEX($X$2:$X$1001,MATCH(ROWS($V$2:V293),$V$2:$V$1001,0),0), INDEX($AC$1004:$AS$1004,1,MATCH(COLUMNS($AC$1006:AQ1006),$AC$1006:$AS$1006,0)))),"Fix")))</f>
        <v xml:space="preserve"> </v>
      </c>
      <c r="Q293" s="4" t="str">
        <f ca="1">IF(OR(INDEX($W$2:$W$1001,MATCH(ROWS($V$2:V293),$V$2:$V$1001,0),1)&gt;=100000,INDEX($AC$1005:$AS$1005,1,MATCH(COLUMNS($AC$1006:AR1006),$AC$1006:$AS$1006,0))&gt;=100000), " ",IF(INDEX($AC$2:$AS$1001,MATCH(ROWS($V$2:V293),$V$2:$V$1001,0),MATCH(COLUMNS($AC$1006:AR1006),$AC$1006:$AS$1006,0)), HYPERLINK("#",""), HYPERLINK(CONCATENATE("#metadata!", ADDRESS(INDEX($X$2:$X$1001,MATCH(ROWS($V$2:V293),$V$2:$V$1001,0),0), INDEX($AC$1004:$AS$1004,1,MATCH(COLUMNS($AC$1006:AR1006),$AC$1006:$AS$1006,0)))),"Fix")))</f>
        <v xml:space="preserve"> </v>
      </c>
      <c r="R293" s="4" t="str">
        <f ca="1">IF(OR(INDEX($W$2:$W$1001,MATCH(ROWS($V$2:V293),$V$2:$V$1001,0),1)&gt;=100000,INDEX($AC$1005:$AS$1005,1,MATCH(COLUMNS($AC$1006:AS1006),$AC$1006:$AS$1006,0))&gt;=100000), " ",IF(INDEX($AC$2:$AS$1001,MATCH(ROWS($V$2:V293),$V$2:$V$1001,0),MATCH(COLUMNS($AC$1006:AS1006),$AC$1006:$AS$1006,0)), HYPERLINK("#",""), HYPERLINK(CONCATENATE("#metadata!", ADDRESS(INDEX($X$2:$X$1001,MATCH(ROWS($V$2:V293),$V$2:$V$1001,0),0), INDEX($AC$1004:$AS$1004,1,MATCH(COLUMNS($AC$1006:AS1006),$AC$1006:$AS$1006,0)))),"Fix")))</f>
        <v xml:space="preserve"> </v>
      </c>
      <c r="V293">
        <v>292</v>
      </c>
      <c r="W293">
        <v>100293</v>
      </c>
      <c r="X293">
        <v>293</v>
      </c>
      <c r="Y293" t="b">
        <f t="shared" si="4"/>
        <v>1</v>
      </c>
      <c r="Z293" t="b">
        <f>COUNTBLANK(metadata!B293:R293)=COLUMNS(metadata!B293:R293)</f>
        <v>1</v>
      </c>
      <c r="AA293" t="str">
        <v/>
      </c>
      <c r="AC293" t="b">
        <f ca="1"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AD293" t="b">
        <f>IF(metadata!C293="",FALSE,ISNUMBER(VALUE(metadata!C293)))</f>
        <v>0</v>
      </c>
      <c r="AE293" t="b">
        <f>AND(IF(metadata!D293="",FALSE,TRUE),EXACT(metadata!D293,"years"))</f>
        <v>0</v>
      </c>
      <c r="AF293" t="b">
        <f>OR(AND(IF(metadata!E293="",FALSE,TRUE),OR(EXACT(metadata!E293,"not applicable"),EXACT(metadata!E293,"missing: not collected"),EXACT(metadata!E293,"missing: not provided"),EXACT(metadata!E293,"missing: restricted access"))),AND(IF(metadata!E293="",FALSE,ISNUMBER(VALUE(metadata!E293))),metadata!E293&gt;0))</f>
        <v>0</v>
      </c>
      <c r="AG293" t="b">
        <f>AND(IF(metadata!F293="",FALSE,TRUE),EXACT(metadata!F293,"Not applicable"))</f>
        <v>0</v>
      </c>
      <c r="AH293" t="b">
        <f>AND(IF(metadata!G293="",FALSE,TRUE),EXACT(metadata!G293,"urban biome"))</f>
        <v>0</v>
      </c>
      <c r="AI293" t="b">
        <f>AND(IF(metadata!H293="",FALSE,TRUE),EXACT(metadata!H293,"human-associated habitat"))</f>
        <v>0</v>
      </c>
      <c r="AJ293" t="b">
        <f>AND(IF(metadata!I293="",FALSE,TRUE),OR(EXACT(metadata!I293,"human-associated"),EXACT(metadata!I293,"human-skin"),EXACT(metadata!I293,"human-oral"),EXACT(metadata!I293,"human-gut"),EXACT(metadata!I293,"human-vaginal")))</f>
        <v>0</v>
      </c>
      <c r="AK293" t="b">
        <f>IF(metadata!J293="",FALSE,ISNUMBER(VALUE(metadata!J293)))</f>
        <v>0</v>
      </c>
      <c r="AL293" t="b">
        <f>AND(IF(metadata!K293="",FALSE,TRUE),EXACT(metadata!K293,"cm"))</f>
        <v>0</v>
      </c>
      <c r="AM293" t="b">
        <f>AND(IF(metadata!L293="",FALSE,TRUE),EXACT(metadata!L293,"human"))</f>
        <v>0</v>
      </c>
      <c r="AN293" t="b">
        <f>AND(IF(metadata!M293="",FALSE,TRUE),EXACT(metadata!M293,"Homo sapiens"))</f>
        <v>0</v>
      </c>
      <c r="AO293" t="b">
        <f>AND(IF(metadata!N293="",FALSE,TRUE),EXACT(metadata!N293,"9606"))</f>
        <v>0</v>
      </c>
      <c r="AP293" t="b">
        <f>IF(metadata!O293="",FALSE,TRUE)</f>
        <v>0</v>
      </c>
      <c r="AQ293" t="b">
        <f>IF(metadata!P293="",FALSE,TRUE)</f>
        <v>0</v>
      </c>
      <c r="AR293" t="b">
        <f>IF(metadata!Q293="",FALSE,ISNUMBER(VALUE(metadata!Q293)))</f>
        <v>0</v>
      </c>
      <c r="AS293" t="b">
        <f>AND(IF(metadata!R293="",FALSE,TRUE),EXACT(metadata!R293,"kg"))</f>
        <v>0</v>
      </c>
    </row>
    <row r="294" spans="1:45" x14ac:dyDescent="0.2">
      <c r="A294" s="5" t="str">
        <f ca="1">IF(B294=" "," ",HYPERLINK(CONCATENATE("#metadata!",ADDRESS(INDEX($X$2:$X$1001,MATCH(ROWS($V$2:V294),$V$2:$V$1001,0),0),1)),INDEX($AA$2:$AA$1001,MATCH(ROWS($V$2:V294),$V$2:$V$1001,0),0)))</f>
        <v xml:space="preserve"> </v>
      </c>
      <c r="B294" s="4" t="str">
        <f ca="1">IF(OR(INDEX($W$2:$W$1001,MATCH(ROWS($V$2:V294),$V$2:$V$1001,0),1)&gt;=100000,INDEX($AC$1005:$AS$1005,1,MATCH(COLUMNS($AC$1006:AC1006),$AC$1006:$AS$1006,0))&gt;=100000), " ",IF(INDEX($AC$2:$AS$1001,MATCH(ROWS($V$2:V294),$V$2:$V$1001,0),MATCH(COLUMNS($AC$1006:AC1006),$AC$1006:$AS$1006,0)), HYPERLINK("#",""), HYPERLINK(CONCATENATE("#metadata!", ADDRESS(INDEX($X$2:$X$1001,MATCH(ROWS($V$2:V294),$V$2:$V$1001,0),0), INDEX($AC$1004:$AS$1004,1,MATCH(COLUMNS($AC$1006:AC1006),$AC$1006:$AS$1006,0)))),"Fix")))</f>
        <v xml:space="preserve"> </v>
      </c>
      <c r="C294" s="4" t="str">
        <f ca="1">IF(OR(INDEX($W$2:$W$1001,MATCH(ROWS($V$2:V294),$V$2:$V$1001,0),1)&gt;=100000,INDEX($AC$1005:$AS$1005,1,MATCH(COLUMNS($AC$1006:AD1006),$AC$1006:$AS$1006,0))&gt;=100000), " ",IF(INDEX($AC$2:$AS$1001,MATCH(ROWS($V$2:V294),$V$2:$V$1001,0),MATCH(COLUMNS($AC$1006:AD1006),$AC$1006:$AS$1006,0)), HYPERLINK("#",""), HYPERLINK(CONCATENATE("#metadata!", ADDRESS(INDEX($X$2:$X$1001,MATCH(ROWS($V$2:V294),$V$2:$V$1001,0),0), INDEX($AC$1004:$AS$1004,1,MATCH(COLUMNS($AC$1006:AD1006),$AC$1006:$AS$1006,0)))),"Fix")))</f>
        <v xml:space="preserve"> </v>
      </c>
      <c r="D294" s="4" t="str">
        <f ca="1">IF(OR(INDEX($W$2:$W$1001,MATCH(ROWS($V$2:V294),$V$2:$V$1001,0),1)&gt;=100000,INDEX($AC$1005:$AS$1005,1,MATCH(COLUMNS($AC$1006:AE1006),$AC$1006:$AS$1006,0))&gt;=100000), " ",IF(INDEX($AC$2:$AS$1001,MATCH(ROWS($V$2:V294),$V$2:$V$1001,0),MATCH(COLUMNS($AC$1006:AE1006),$AC$1006:$AS$1006,0)), HYPERLINK("#",""), HYPERLINK(CONCATENATE("#metadata!", ADDRESS(INDEX($X$2:$X$1001,MATCH(ROWS($V$2:V294),$V$2:$V$1001,0),0), INDEX($AC$1004:$AS$1004,1,MATCH(COLUMNS($AC$1006:AE1006),$AC$1006:$AS$1006,0)))),"Fix")))</f>
        <v xml:space="preserve"> </v>
      </c>
      <c r="E294" s="4" t="str">
        <f ca="1">IF(OR(INDEX($W$2:$W$1001,MATCH(ROWS($V$2:V294),$V$2:$V$1001,0),1)&gt;=100000,INDEX($AC$1005:$AS$1005,1,MATCH(COLUMNS($AC$1006:AF1006),$AC$1006:$AS$1006,0))&gt;=100000), " ",IF(INDEX($AC$2:$AS$1001,MATCH(ROWS($V$2:V294),$V$2:$V$1001,0),MATCH(COLUMNS($AC$1006:AF1006),$AC$1006:$AS$1006,0)), HYPERLINK("#",""), HYPERLINK(CONCATENATE("#metadata!", ADDRESS(INDEX($X$2:$X$1001,MATCH(ROWS($V$2:V294),$V$2:$V$1001,0),0), INDEX($AC$1004:$AS$1004,1,MATCH(COLUMNS($AC$1006:AF1006),$AC$1006:$AS$1006,0)))),"Fix")))</f>
        <v xml:space="preserve"> </v>
      </c>
      <c r="F294" s="4" t="str">
        <f ca="1">IF(OR(INDEX($W$2:$W$1001,MATCH(ROWS($V$2:V294),$V$2:$V$1001,0),1)&gt;=100000,INDEX($AC$1005:$AS$1005,1,MATCH(COLUMNS($AC$1006:AG1006),$AC$1006:$AS$1006,0))&gt;=100000), " ",IF(INDEX($AC$2:$AS$1001,MATCH(ROWS($V$2:V294),$V$2:$V$1001,0),MATCH(COLUMNS($AC$1006:AG1006),$AC$1006:$AS$1006,0)), HYPERLINK("#",""), HYPERLINK(CONCATENATE("#metadata!", ADDRESS(INDEX($X$2:$X$1001,MATCH(ROWS($V$2:V294),$V$2:$V$1001,0),0), INDEX($AC$1004:$AS$1004,1,MATCH(COLUMNS($AC$1006:AG1006),$AC$1006:$AS$1006,0)))),"Fix")))</f>
        <v xml:space="preserve"> </v>
      </c>
      <c r="G294" s="4" t="str">
        <f ca="1">IF(OR(INDEX($W$2:$W$1001,MATCH(ROWS($V$2:V294),$V$2:$V$1001,0),1)&gt;=100000,INDEX($AC$1005:$AS$1005,1,MATCH(COLUMNS($AC$1006:AH1006),$AC$1006:$AS$1006,0))&gt;=100000), " ",IF(INDEX($AC$2:$AS$1001,MATCH(ROWS($V$2:V294),$V$2:$V$1001,0),MATCH(COLUMNS($AC$1006:AH1006),$AC$1006:$AS$1006,0)), HYPERLINK("#",""), HYPERLINK(CONCATENATE("#metadata!", ADDRESS(INDEX($X$2:$X$1001,MATCH(ROWS($V$2:V294),$V$2:$V$1001,0),0), INDEX($AC$1004:$AS$1004,1,MATCH(COLUMNS($AC$1006:AH1006),$AC$1006:$AS$1006,0)))),"Fix")))</f>
        <v xml:space="preserve"> </v>
      </c>
      <c r="H294" s="4" t="str">
        <f ca="1">IF(OR(INDEX($W$2:$W$1001,MATCH(ROWS($V$2:V294),$V$2:$V$1001,0),1)&gt;=100000,INDEX($AC$1005:$AS$1005,1,MATCH(COLUMNS($AC$1006:AI1006),$AC$1006:$AS$1006,0))&gt;=100000), " ",IF(INDEX($AC$2:$AS$1001,MATCH(ROWS($V$2:V294),$V$2:$V$1001,0),MATCH(COLUMNS($AC$1006:AI1006),$AC$1006:$AS$1006,0)), HYPERLINK("#",""), HYPERLINK(CONCATENATE("#metadata!", ADDRESS(INDEX($X$2:$X$1001,MATCH(ROWS($V$2:V294),$V$2:$V$1001,0),0), INDEX($AC$1004:$AS$1004,1,MATCH(COLUMNS($AC$1006:AI1006),$AC$1006:$AS$1006,0)))),"Fix")))</f>
        <v xml:space="preserve"> </v>
      </c>
      <c r="I294" s="4" t="str">
        <f ca="1">IF(OR(INDEX($W$2:$W$1001,MATCH(ROWS($V$2:V294),$V$2:$V$1001,0),1)&gt;=100000,INDEX($AC$1005:$AS$1005,1,MATCH(COLUMNS($AC$1006:AJ1006),$AC$1006:$AS$1006,0))&gt;=100000), " ",IF(INDEX($AC$2:$AS$1001,MATCH(ROWS($V$2:V294),$V$2:$V$1001,0),MATCH(COLUMNS($AC$1006:AJ1006),$AC$1006:$AS$1006,0)), HYPERLINK("#",""), HYPERLINK(CONCATENATE("#metadata!", ADDRESS(INDEX($X$2:$X$1001,MATCH(ROWS($V$2:V294),$V$2:$V$1001,0),0), INDEX($AC$1004:$AS$1004,1,MATCH(COLUMNS($AC$1006:AJ1006),$AC$1006:$AS$1006,0)))),"Fix")))</f>
        <v xml:space="preserve"> </v>
      </c>
      <c r="J294" s="4" t="str">
        <f ca="1">IF(OR(INDEX($W$2:$W$1001,MATCH(ROWS($V$2:V294),$V$2:$V$1001,0),1)&gt;=100000,INDEX($AC$1005:$AS$1005,1,MATCH(COLUMNS($AC$1006:AK1006),$AC$1006:$AS$1006,0))&gt;=100000), " ",IF(INDEX($AC$2:$AS$1001,MATCH(ROWS($V$2:V294),$V$2:$V$1001,0),MATCH(COLUMNS($AC$1006:AK1006),$AC$1006:$AS$1006,0)), HYPERLINK("#",""), HYPERLINK(CONCATENATE("#metadata!", ADDRESS(INDEX($X$2:$X$1001,MATCH(ROWS($V$2:V294),$V$2:$V$1001,0),0), INDEX($AC$1004:$AS$1004,1,MATCH(COLUMNS($AC$1006:AK1006),$AC$1006:$AS$1006,0)))),"Fix")))</f>
        <v xml:space="preserve"> </v>
      </c>
      <c r="K294" s="4" t="str">
        <f ca="1">IF(OR(INDEX($W$2:$W$1001,MATCH(ROWS($V$2:V294),$V$2:$V$1001,0),1)&gt;=100000,INDEX($AC$1005:$AS$1005,1,MATCH(COLUMNS($AC$1006:AL1006),$AC$1006:$AS$1006,0))&gt;=100000), " ",IF(INDEX($AC$2:$AS$1001,MATCH(ROWS($V$2:V294),$V$2:$V$1001,0),MATCH(COLUMNS($AC$1006:AL1006),$AC$1006:$AS$1006,0)), HYPERLINK("#",""), HYPERLINK(CONCATENATE("#metadata!", ADDRESS(INDEX($X$2:$X$1001,MATCH(ROWS($V$2:V294),$V$2:$V$1001,0),0), INDEX($AC$1004:$AS$1004,1,MATCH(COLUMNS($AC$1006:AL1006),$AC$1006:$AS$1006,0)))),"Fix")))</f>
        <v xml:space="preserve"> </v>
      </c>
      <c r="L294" s="4" t="str">
        <f ca="1">IF(OR(INDEX($W$2:$W$1001,MATCH(ROWS($V$2:V294),$V$2:$V$1001,0),1)&gt;=100000,INDEX($AC$1005:$AS$1005,1,MATCH(COLUMNS($AC$1006:AM1006),$AC$1006:$AS$1006,0))&gt;=100000), " ",IF(INDEX($AC$2:$AS$1001,MATCH(ROWS($V$2:V294),$V$2:$V$1001,0),MATCH(COLUMNS($AC$1006:AM1006),$AC$1006:$AS$1006,0)), HYPERLINK("#",""), HYPERLINK(CONCATENATE("#metadata!", ADDRESS(INDEX($X$2:$X$1001,MATCH(ROWS($V$2:V294),$V$2:$V$1001,0),0), INDEX($AC$1004:$AS$1004,1,MATCH(COLUMNS($AC$1006:AM1006),$AC$1006:$AS$1006,0)))),"Fix")))</f>
        <v xml:space="preserve"> </v>
      </c>
      <c r="M294" s="4" t="str">
        <f ca="1">IF(OR(INDEX($W$2:$W$1001,MATCH(ROWS($V$2:V294),$V$2:$V$1001,0),1)&gt;=100000,INDEX($AC$1005:$AS$1005,1,MATCH(COLUMNS($AC$1006:AN1006),$AC$1006:$AS$1006,0))&gt;=100000), " ",IF(INDEX($AC$2:$AS$1001,MATCH(ROWS($V$2:V294),$V$2:$V$1001,0),MATCH(COLUMNS($AC$1006:AN1006),$AC$1006:$AS$1006,0)), HYPERLINK("#",""), HYPERLINK(CONCATENATE("#metadata!", ADDRESS(INDEX($X$2:$X$1001,MATCH(ROWS($V$2:V294),$V$2:$V$1001,0),0), INDEX($AC$1004:$AS$1004,1,MATCH(COLUMNS($AC$1006:AN1006),$AC$1006:$AS$1006,0)))),"Fix")))</f>
        <v xml:space="preserve"> </v>
      </c>
      <c r="N294" s="4" t="str">
        <f ca="1">IF(OR(INDEX($W$2:$W$1001,MATCH(ROWS($V$2:V294),$V$2:$V$1001,0),1)&gt;=100000,INDEX($AC$1005:$AS$1005,1,MATCH(COLUMNS($AC$1006:AO1006),$AC$1006:$AS$1006,0))&gt;=100000), " ",IF(INDEX($AC$2:$AS$1001,MATCH(ROWS($V$2:V294),$V$2:$V$1001,0),MATCH(COLUMNS($AC$1006:AO1006),$AC$1006:$AS$1006,0)), HYPERLINK("#",""), HYPERLINK(CONCATENATE("#metadata!", ADDRESS(INDEX($X$2:$X$1001,MATCH(ROWS($V$2:V294),$V$2:$V$1001,0),0), INDEX($AC$1004:$AS$1004,1,MATCH(COLUMNS($AC$1006:AO1006),$AC$1006:$AS$1006,0)))),"Fix")))</f>
        <v xml:space="preserve"> </v>
      </c>
      <c r="O294" s="4" t="str">
        <f ca="1">IF(OR(INDEX($W$2:$W$1001,MATCH(ROWS($V$2:V294),$V$2:$V$1001,0),1)&gt;=100000,INDEX($AC$1005:$AS$1005,1,MATCH(COLUMNS($AC$1006:AP1006),$AC$1006:$AS$1006,0))&gt;=100000), " ",IF(INDEX($AC$2:$AS$1001,MATCH(ROWS($V$2:V294),$V$2:$V$1001,0),MATCH(COLUMNS($AC$1006:AP1006),$AC$1006:$AS$1006,0)), HYPERLINK("#",""), HYPERLINK(CONCATENATE("#metadata!", ADDRESS(INDEX($X$2:$X$1001,MATCH(ROWS($V$2:V294),$V$2:$V$1001,0),0), INDEX($AC$1004:$AS$1004,1,MATCH(COLUMNS($AC$1006:AP1006),$AC$1006:$AS$1006,0)))),"Fix")))</f>
        <v xml:space="preserve"> </v>
      </c>
      <c r="P294" s="4" t="str">
        <f ca="1">IF(OR(INDEX($W$2:$W$1001,MATCH(ROWS($V$2:V294),$V$2:$V$1001,0),1)&gt;=100000,INDEX($AC$1005:$AS$1005,1,MATCH(COLUMNS($AC$1006:AQ1006),$AC$1006:$AS$1006,0))&gt;=100000), " ",IF(INDEX($AC$2:$AS$1001,MATCH(ROWS($V$2:V294),$V$2:$V$1001,0),MATCH(COLUMNS($AC$1006:AQ1006),$AC$1006:$AS$1006,0)), HYPERLINK("#",""), HYPERLINK(CONCATENATE("#metadata!", ADDRESS(INDEX($X$2:$X$1001,MATCH(ROWS($V$2:V294),$V$2:$V$1001,0),0), INDEX($AC$1004:$AS$1004,1,MATCH(COLUMNS($AC$1006:AQ1006),$AC$1006:$AS$1006,0)))),"Fix")))</f>
        <v xml:space="preserve"> </v>
      </c>
      <c r="Q294" s="4" t="str">
        <f ca="1">IF(OR(INDEX($W$2:$W$1001,MATCH(ROWS($V$2:V294),$V$2:$V$1001,0),1)&gt;=100000,INDEX($AC$1005:$AS$1005,1,MATCH(COLUMNS($AC$1006:AR1006),$AC$1006:$AS$1006,0))&gt;=100000), " ",IF(INDEX($AC$2:$AS$1001,MATCH(ROWS($V$2:V294),$V$2:$V$1001,0),MATCH(COLUMNS($AC$1006:AR1006),$AC$1006:$AS$1006,0)), HYPERLINK("#",""), HYPERLINK(CONCATENATE("#metadata!", ADDRESS(INDEX($X$2:$X$1001,MATCH(ROWS($V$2:V294),$V$2:$V$1001,0),0), INDEX($AC$1004:$AS$1004,1,MATCH(COLUMNS($AC$1006:AR1006),$AC$1006:$AS$1006,0)))),"Fix")))</f>
        <v xml:space="preserve"> </v>
      </c>
      <c r="R294" s="4" t="str">
        <f ca="1">IF(OR(INDEX($W$2:$W$1001,MATCH(ROWS($V$2:V294),$V$2:$V$1001,0),1)&gt;=100000,INDEX($AC$1005:$AS$1005,1,MATCH(COLUMNS($AC$1006:AS1006),$AC$1006:$AS$1006,0))&gt;=100000), " ",IF(INDEX($AC$2:$AS$1001,MATCH(ROWS($V$2:V294),$V$2:$V$1001,0),MATCH(COLUMNS($AC$1006:AS1006),$AC$1006:$AS$1006,0)), HYPERLINK("#",""), HYPERLINK(CONCATENATE("#metadata!", ADDRESS(INDEX($X$2:$X$1001,MATCH(ROWS($V$2:V294),$V$2:$V$1001,0),0), INDEX($AC$1004:$AS$1004,1,MATCH(COLUMNS($AC$1006:AS1006),$AC$1006:$AS$1006,0)))),"Fix")))</f>
        <v xml:space="preserve"> </v>
      </c>
      <c r="V294">
        <v>293</v>
      </c>
      <c r="W294">
        <v>100294</v>
      </c>
      <c r="X294">
        <v>294</v>
      </c>
      <c r="Y294" t="b">
        <f t="shared" si="4"/>
        <v>1</v>
      </c>
      <c r="Z294" t="b">
        <f>COUNTBLANK(metadata!B294:R294)=COLUMNS(metadata!B294:R294)</f>
        <v>1</v>
      </c>
      <c r="AA294" t="str">
        <v/>
      </c>
      <c r="AC294" t="b">
        <f ca="1"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AD294" t="b">
        <f>IF(metadata!C294="",FALSE,ISNUMBER(VALUE(metadata!C294)))</f>
        <v>0</v>
      </c>
      <c r="AE294" t="b">
        <f>AND(IF(metadata!D294="",FALSE,TRUE),EXACT(metadata!D294,"years"))</f>
        <v>0</v>
      </c>
      <c r="AF294" t="b">
        <f>OR(AND(IF(metadata!E294="",FALSE,TRUE),OR(EXACT(metadata!E294,"not applicable"),EXACT(metadata!E294,"missing: not collected"),EXACT(metadata!E294,"missing: not provided"),EXACT(metadata!E294,"missing: restricted access"))),AND(IF(metadata!E294="",FALSE,ISNUMBER(VALUE(metadata!E294))),metadata!E294&gt;0))</f>
        <v>0</v>
      </c>
      <c r="AG294" t="b">
        <f>AND(IF(metadata!F294="",FALSE,TRUE),EXACT(metadata!F294,"Not applicable"))</f>
        <v>0</v>
      </c>
      <c r="AH294" t="b">
        <f>AND(IF(metadata!G294="",FALSE,TRUE),EXACT(metadata!G294,"urban biome"))</f>
        <v>0</v>
      </c>
      <c r="AI294" t="b">
        <f>AND(IF(metadata!H294="",FALSE,TRUE),EXACT(metadata!H294,"human-associated habitat"))</f>
        <v>0</v>
      </c>
      <c r="AJ294" t="b">
        <f>AND(IF(metadata!I294="",FALSE,TRUE),OR(EXACT(metadata!I294,"human-associated"),EXACT(metadata!I294,"human-skin"),EXACT(metadata!I294,"human-oral"),EXACT(metadata!I294,"human-gut"),EXACT(metadata!I294,"human-vaginal")))</f>
        <v>0</v>
      </c>
      <c r="AK294" t="b">
        <f>IF(metadata!J294="",FALSE,ISNUMBER(VALUE(metadata!J294)))</f>
        <v>0</v>
      </c>
      <c r="AL294" t="b">
        <f>AND(IF(metadata!K294="",FALSE,TRUE),EXACT(metadata!K294,"cm"))</f>
        <v>0</v>
      </c>
      <c r="AM294" t="b">
        <f>AND(IF(metadata!L294="",FALSE,TRUE),EXACT(metadata!L294,"human"))</f>
        <v>0</v>
      </c>
      <c r="AN294" t="b">
        <f>AND(IF(metadata!M294="",FALSE,TRUE),EXACT(metadata!M294,"Homo sapiens"))</f>
        <v>0</v>
      </c>
      <c r="AO294" t="b">
        <f>AND(IF(metadata!N294="",FALSE,TRUE),EXACT(metadata!N294,"9606"))</f>
        <v>0</v>
      </c>
      <c r="AP294" t="b">
        <f>IF(metadata!O294="",FALSE,TRUE)</f>
        <v>0</v>
      </c>
      <c r="AQ294" t="b">
        <f>IF(metadata!P294="",FALSE,TRUE)</f>
        <v>0</v>
      </c>
      <c r="AR294" t="b">
        <f>IF(metadata!Q294="",FALSE,ISNUMBER(VALUE(metadata!Q294)))</f>
        <v>0</v>
      </c>
      <c r="AS294" t="b">
        <f>AND(IF(metadata!R294="",FALSE,TRUE),EXACT(metadata!R294,"kg"))</f>
        <v>0</v>
      </c>
    </row>
    <row r="295" spans="1:45" x14ac:dyDescent="0.2">
      <c r="A295" s="5" t="str">
        <f ca="1">IF(B295=" "," ",HYPERLINK(CONCATENATE("#metadata!",ADDRESS(INDEX($X$2:$X$1001,MATCH(ROWS($V$2:V295),$V$2:$V$1001,0),0),1)),INDEX($AA$2:$AA$1001,MATCH(ROWS($V$2:V295),$V$2:$V$1001,0),0)))</f>
        <v xml:space="preserve"> </v>
      </c>
      <c r="B295" s="4" t="str">
        <f ca="1">IF(OR(INDEX($W$2:$W$1001,MATCH(ROWS($V$2:V295),$V$2:$V$1001,0),1)&gt;=100000,INDEX($AC$1005:$AS$1005,1,MATCH(COLUMNS($AC$1006:AC1006),$AC$1006:$AS$1006,0))&gt;=100000), " ",IF(INDEX($AC$2:$AS$1001,MATCH(ROWS($V$2:V295),$V$2:$V$1001,0),MATCH(COLUMNS($AC$1006:AC1006),$AC$1006:$AS$1006,0)), HYPERLINK("#",""), HYPERLINK(CONCATENATE("#metadata!", ADDRESS(INDEX($X$2:$X$1001,MATCH(ROWS($V$2:V295),$V$2:$V$1001,0),0), INDEX($AC$1004:$AS$1004,1,MATCH(COLUMNS($AC$1006:AC1006),$AC$1006:$AS$1006,0)))),"Fix")))</f>
        <v xml:space="preserve"> </v>
      </c>
      <c r="C295" s="4" t="str">
        <f ca="1">IF(OR(INDEX($W$2:$W$1001,MATCH(ROWS($V$2:V295),$V$2:$V$1001,0),1)&gt;=100000,INDEX($AC$1005:$AS$1005,1,MATCH(COLUMNS($AC$1006:AD1006),$AC$1006:$AS$1006,0))&gt;=100000), " ",IF(INDEX($AC$2:$AS$1001,MATCH(ROWS($V$2:V295),$V$2:$V$1001,0),MATCH(COLUMNS($AC$1006:AD1006),$AC$1006:$AS$1006,0)), HYPERLINK("#",""), HYPERLINK(CONCATENATE("#metadata!", ADDRESS(INDEX($X$2:$X$1001,MATCH(ROWS($V$2:V295),$V$2:$V$1001,0),0), INDEX($AC$1004:$AS$1004,1,MATCH(COLUMNS($AC$1006:AD1006),$AC$1006:$AS$1006,0)))),"Fix")))</f>
        <v xml:space="preserve"> </v>
      </c>
      <c r="D295" s="4" t="str">
        <f ca="1">IF(OR(INDEX($W$2:$W$1001,MATCH(ROWS($V$2:V295),$V$2:$V$1001,0),1)&gt;=100000,INDEX($AC$1005:$AS$1005,1,MATCH(COLUMNS($AC$1006:AE1006),$AC$1006:$AS$1006,0))&gt;=100000), " ",IF(INDEX($AC$2:$AS$1001,MATCH(ROWS($V$2:V295),$V$2:$V$1001,0),MATCH(COLUMNS($AC$1006:AE1006),$AC$1006:$AS$1006,0)), HYPERLINK("#",""), HYPERLINK(CONCATENATE("#metadata!", ADDRESS(INDEX($X$2:$X$1001,MATCH(ROWS($V$2:V295),$V$2:$V$1001,0),0), INDEX($AC$1004:$AS$1004,1,MATCH(COLUMNS($AC$1006:AE1006),$AC$1006:$AS$1006,0)))),"Fix")))</f>
        <v xml:space="preserve"> </v>
      </c>
      <c r="E295" s="4" t="str">
        <f ca="1">IF(OR(INDEX($W$2:$W$1001,MATCH(ROWS($V$2:V295),$V$2:$V$1001,0),1)&gt;=100000,INDEX($AC$1005:$AS$1005,1,MATCH(COLUMNS($AC$1006:AF1006),$AC$1006:$AS$1006,0))&gt;=100000), " ",IF(INDEX($AC$2:$AS$1001,MATCH(ROWS($V$2:V295),$V$2:$V$1001,0),MATCH(COLUMNS($AC$1006:AF1006),$AC$1006:$AS$1006,0)), HYPERLINK("#",""), HYPERLINK(CONCATENATE("#metadata!", ADDRESS(INDEX($X$2:$X$1001,MATCH(ROWS($V$2:V295),$V$2:$V$1001,0),0), INDEX($AC$1004:$AS$1004,1,MATCH(COLUMNS($AC$1006:AF1006),$AC$1006:$AS$1006,0)))),"Fix")))</f>
        <v xml:space="preserve"> </v>
      </c>
      <c r="F295" s="4" t="str">
        <f ca="1">IF(OR(INDEX($W$2:$W$1001,MATCH(ROWS($V$2:V295),$V$2:$V$1001,0),1)&gt;=100000,INDEX($AC$1005:$AS$1005,1,MATCH(COLUMNS($AC$1006:AG1006),$AC$1006:$AS$1006,0))&gt;=100000), " ",IF(INDEX($AC$2:$AS$1001,MATCH(ROWS($V$2:V295),$V$2:$V$1001,0),MATCH(COLUMNS($AC$1006:AG1006),$AC$1006:$AS$1006,0)), HYPERLINK("#",""), HYPERLINK(CONCATENATE("#metadata!", ADDRESS(INDEX($X$2:$X$1001,MATCH(ROWS($V$2:V295),$V$2:$V$1001,0),0), INDEX($AC$1004:$AS$1004,1,MATCH(COLUMNS($AC$1006:AG1006),$AC$1006:$AS$1006,0)))),"Fix")))</f>
        <v xml:space="preserve"> </v>
      </c>
      <c r="G295" s="4" t="str">
        <f ca="1">IF(OR(INDEX($W$2:$W$1001,MATCH(ROWS($V$2:V295),$V$2:$V$1001,0),1)&gt;=100000,INDEX($AC$1005:$AS$1005,1,MATCH(COLUMNS($AC$1006:AH1006),$AC$1006:$AS$1006,0))&gt;=100000), " ",IF(INDEX($AC$2:$AS$1001,MATCH(ROWS($V$2:V295),$V$2:$V$1001,0),MATCH(COLUMNS($AC$1006:AH1006),$AC$1006:$AS$1006,0)), HYPERLINK("#",""), HYPERLINK(CONCATENATE("#metadata!", ADDRESS(INDEX($X$2:$X$1001,MATCH(ROWS($V$2:V295),$V$2:$V$1001,0),0), INDEX($AC$1004:$AS$1004,1,MATCH(COLUMNS($AC$1006:AH1006),$AC$1006:$AS$1006,0)))),"Fix")))</f>
        <v xml:space="preserve"> </v>
      </c>
      <c r="H295" s="4" t="str">
        <f ca="1">IF(OR(INDEX($W$2:$W$1001,MATCH(ROWS($V$2:V295),$V$2:$V$1001,0),1)&gt;=100000,INDEX($AC$1005:$AS$1005,1,MATCH(COLUMNS($AC$1006:AI1006),$AC$1006:$AS$1006,0))&gt;=100000), " ",IF(INDEX($AC$2:$AS$1001,MATCH(ROWS($V$2:V295),$V$2:$V$1001,0),MATCH(COLUMNS($AC$1006:AI1006),$AC$1006:$AS$1006,0)), HYPERLINK("#",""), HYPERLINK(CONCATENATE("#metadata!", ADDRESS(INDEX($X$2:$X$1001,MATCH(ROWS($V$2:V295),$V$2:$V$1001,0),0), INDEX($AC$1004:$AS$1004,1,MATCH(COLUMNS($AC$1006:AI1006),$AC$1006:$AS$1006,0)))),"Fix")))</f>
        <v xml:space="preserve"> </v>
      </c>
      <c r="I295" s="4" t="str">
        <f ca="1">IF(OR(INDEX($W$2:$W$1001,MATCH(ROWS($V$2:V295),$V$2:$V$1001,0),1)&gt;=100000,INDEX($AC$1005:$AS$1005,1,MATCH(COLUMNS($AC$1006:AJ1006),$AC$1006:$AS$1006,0))&gt;=100000), " ",IF(INDEX($AC$2:$AS$1001,MATCH(ROWS($V$2:V295),$V$2:$V$1001,0),MATCH(COLUMNS($AC$1006:AJ1006),$AC$1006:$AS$1006,0)), HYPERLINK("#",""), HYPERLINK(CONCATENATE("#metadata!", ADDRESS(INDEX($X$2:$X$1001,MATCH(ROWS($V$2:V295),$V$2:$V$1001,0),0), INDEX($AC$1004:$AS$1004,1,MATCH(COLUMNS($AC$1006:AJ1006),$AC$1006:$AS$1006,0)))),"Fix")))</f>
        <v xml:space="preserve"> </v>
      </c>
      <c r="J295" s="4" t="str">
        <f ca="1">IF(OR(INDEX($W$2:$W$1001,MATCH(ROWS($V$2:V295),$V$2:$V$1001,0),1)&gt;=100000,INDEX($AC$1005:$AS$1005,1,MATCH(COLUMNS($AC$1006:AK1006),$AC$1006:$AS$1006,0))&gt;=100000), " ",IF(INDEX($AC$2:$AS$1001,MATCH(ROWS($V$2:V295),$V$2:$V$1001,0),MATCH(COLUMNS($AC$1006:AK1006),$AC$1006:$AS$1006,0)), HYPERLINK("#",""), HYPERLINK(CONCATENATE("#metadata!", ADDRESS(INDEX($X$2:$X$1001,MATCH(ROWS($V$2:V295),$V$2:$V$1001,0),0), INDEX($AC$1004:$AS$1004,1,MATCH(COLUMNS($AC$1006:AK1006),$AC$1006:$AS$1006,0)))),"Fix")))</f>
        <v xml:space="preserve"> </v>
      </c>
      <c r="K295" s="4" t="str">
        <f ca="1">IF(OR(INDEX($W$2:$W$1001,MATCH(ROWS($V$2:V295),$V$2:$V$1001,0),1)&gt;=100000,INDEX($AC$1005:$AS$1005,1,MATCH(COLUMNS($AC$1006:AL1006),$AC$1006:$AS$1006,0))&gt;=100000), " ",IF(INDEX($AC$2:$AS$1001,MATCH(ROWS($V$2:V295),$V$2:$V$1001,0),MATCH(COLUMNS($AC$1006:AL1006),$AC$1006:$AS$1006,0)), HYPERLINK("#",""), HYPERLINK(CONCATENATE("#metadata!", ADDRESS(INDEX($X$2:$X$1001,MATCH(ROWS($V$2:V295),$V$2:$V$1001,0),0), INDEX($AC$1004:$AS$1004,1,MATCH(COLUMNS($AC$1006:AL1006),$AC$1006:$AS$1006,0)))),"Fix")))</f>
        <v xml:space="preserve"> </v>
      </c>
      <c r="L295" s="4" t="str">
        <f ca="1">IF(OR(INDEX($W$2:$W$1001,MATCH(ROWS($V$2:V295),$V$2:$V$1001,0),1)&gt;=100000,INDEX($AC$1005:$AS$1005,1,MATCH(COLUMNS($AC$1006:AM1006),$AC$1006:$AS$1006,0))&gt;=100000), " ",IF(INDEX($AC$2:$AS$1001,MATCH(ROWS($V$2:V295),$V$2:$V$1001,0),MATCH(COLUMNS($AC$1006:AM1006),$AC$1006:$AS$1006,0)), HYPERLINK("#",""), HYPERLINK(CONCATENATE("#metadata!", ADDRESS(INDEX($X$2:$X$1001,MATCH(ROWS($V$2:V295),$V$2:$V$1001,0),0), INDEX($AC$1004:$AS$1004,1,MATCH(COLUMNS($AC$1006:AM1006),$AC$1006:$AS$1006,0)))),"Fix")))</f>
        <v xml:space="preserve"> </v>
      </c>
      <c r="M295" s="4" t="str">
        <f ca="1">IF(OR(INDEX($W$2:$W$1001,MATCH(ROWS($V$2:V295),$V$2:$V$1001,0),1)&gt;=100000,INDEX($AC$1005:$AS$1005,1,MATCH(COLUMNS($AC$1006:AN1006),$AC$1006:$AS$1006,0))&gt;=100000), " ",IF(INDEX($AC$2:$AS$1001,MATCH(ROWS($V$2:V295),$V$2:$V$1001,0),MATCH(COLUMNS($AC$1006:AN1006),$AC$1006:$AS$1006,0)), HYPERLINK("#",""), HYPERLINK(CONCATENATE("#metadata!", ADDRESS(INDEX($X$2:$X$1001,MATCH(ROWS($V$2:V295),$V$2:$V$1001,0),0), INDEX($AC$1004:$AS$1004,1,MATCH(COLUMNS($AC$1006:AN1006),$AC$1006:$AS$1006,0)))),"Fix")))</f>
        <v xml:space="preserve"> </v>
      </c>
      <c r="N295" s="4" t="str">
        <f ca="1">IF(OR(INDEX($W$2:$W$1001,MATCH(ROWS($V$2:V295),$V$2:$V$1001,0),1)&gt;=100000,INDEX($AC$1005:$AS$1005,1,MATCH(COLUMNS($AC$1006:AO1006),$AC$1006:$AS$1006,0))&gt;=100000), " ",IF(INDEX($AC$2:$AS$1001,MATCH(ROWS($V$2:V295),$V$2:$V$1001,0),MATCH(COLUMNS($AC$1006:AO1006),$AC$1006:$AS$1006,0)), HYPERLINK("#",""), HYPERLINK(CONCATENATE("#metadata!", ADDRESS(INDEX($X$2:$X$1001,MATCH(ROWS($V$2:V295),$V$2:$V$1001,0),0), INDEX($AC$1004:$AS$1004,1,MATCH(COLUMNS($AC$1006:AO1006),$AC$1006:$AS$1006,0)))),"Fix")))</f>
        <v xml:space="preserve"> </v>
      </c>
      <c r="O295" s="4" t="str">
        <f ca="1">IF(OR(INDEX($W$2:$W$1001,MATCH(ROWS($V$2:V295),$V$2:$V$1001,0),1)&gt;=100000,INDEX($AC$1005:$AS$1005,1,MATCH(COLUMNS($AC$1006:AP1006),$AC$1006:$AS$1006,0))&gt;=100000), " ",IF(INDEX($AC$2:$AS$1001,MATCH(ROWS($V$2:V295),$V$2:$V$1001,0),MATCH(COLUMNS($AC$1006:AP1006),$AC$1006:$AS$1006,0)), HYPERLINK("#",""), HYPERLINK(CONCATENATE("#metadata!", ADDRESS(INDEX($X$2:$X$1001,MATCH(ROWS($V$2:V295),$V$2:$V$1001,0),0), INDEX($AC$1004:$AS$1004,1,MATCH(COLUMNS($AC$1006:AP1006),$AC$1006:$AS$1006,0)))),"Fix")))</f>
        <v xml:space="preserve"> </v>
      </c>
      <c r="P295" s="4" t="str">
        <f ca="1">IF(OR(INDEX($W$2:$W$1001,MATCH(ROWS($V$2:V295),$V$2:$V$1001,0),1)&gt;=100000,INDEX($AC$1005:$AS$1005,1,MATCH(COLUMNS($AC$1006:AQ1006),$AC$1006:$AS$1006,0))&gt;=100000), " ",IF(INDEX($AC$2:$AS$1001,MATCH(ROWS($V$2:V295),$V$2:$V$1001,0),MATCH(COLUMNS($AC$1006:AQ1006),$AC$1006:$AS$1006,0)), HYPERLINK("#",""), HYPERLINK(CONCATENATE("#metadata!", ADDRESS(INDEX($X$2:$X$1001,MATCH(ROWS($V$2:V295),$V$2:$V$1001,0),0), INDEX($AC$1004:$AS$1004,1,MATCH(COLUMNS($AC$1006:AQ1006),$AC$1006:$AS$1006,0)))),"Fix")))</f>
        <v xml:space="preserve"> </v>
      </c>
      <c r="Q295" s="4" t="str">
        <f ca="1">IF(OR(INDEX($W$2:$W$1001,MATCH(ROWS($V$2:V295),$V$2:$V$1001,0),1)&gt;=100000,INDEX($AC$1005:$AS$1005,1,MATCH(COLUMNS($AC$1006:AR1006),$AC$1006:$AS$1006,0))&gt;=100000), " ",IF(INDEX($AC$2:$AS$1001,MATCH(ROWS($V$2:V295),$V$2:$V$1001,0),MATCH(COLUMNS($AC$1006:AR1006),$AC$1006:$AS$1006,0)), HYPERLINK("#",""), HYPERLINK(CONCATENATE("#metadata!", ADDRESS(INDEX($X$2:$X$1001,MATCH(ROWS($V$2:V295),$V$2:$V$1001,0),0), INDEX($AC$1004:$AS$1004,1,MATCH(COLUMNS($AC$1006:AR1006),$AC$1006:$AS$1006,0)))),"Fix")))</f>
        <v xml:space="preserve"> </v>
      </c>
      <c r="R295" s="4" t="str">
        <f ca="1">IF(OR(INDEX($W$2:$W$1001,MATCH(ROWS($V$2:V295),$V$2:$V$1001,0),1)&gt;=100000,INDEX($AC$1005:$AS$1005,1,MATCH(COLUMNS($AC$1006:AS1006),$AC$1006:$AS$1006,0))&gt;=100000), " ",IF(INDEX($AC$2:$AS$1001,MATCH(ROWS($V$2:V295),$V$2:$V$1001,0),MATCH(COLUMNS($AC$1006:AS1006),$AC$1006:$AS$1006,0)), HYPERLINK("#",""), HYPERLINK(CONCATENATE("#metadata!", ADDRESS(INDEX($X$2:$X$1001,MATCH(ROWS($V$2:V295),$V$2:$V$1001,0),0), INDEX($AC$1004:$AS$1004,1,MATCH(COLUMNS($AC$1006:AS1006),$AC$1006:$AS$1006,0)))),"Fix")))</f>
        <v xml:space="preserve"> </v>
      </c>
      <c r="V295">
        <v>294</v>
      </c>
      <c r="W295">
        <v>100295</v>
      </c>
      <c r="X295">
        <v>295</v>
      </c>
      <c r="Y295" t="b">
        <f t="shared" si="4"/>
        <v>1</v>
      </c>
      <c r="Z295" t="b">
        <f>COUNTBLANK(metadata!B295:R295)=COLUMNS(metadata!B295:R295)</f>
        <v>1</v>
      </c>
      <c r="AA295" t="str">
        <v/>
      </c>
      <c r="AC295" t="b">
        <f ca="1"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AD295" t="b">
        <f>IF(metadata!C295="",FALSE,ISNUMBER(VALUE(metadata!C295)))</f>
        <v>0</v>
      </c>
      <c r="AE295" t="b">
        <f>AND(IF(metadata!D295="",FALSE,TRUE),EXACT(metadata!D295,"years"))</f>
        <v>0</v>
      </c>
      <c r="AF295" t="b">
        <f>OR(AND(IF(metadata!E295="",FALSE,TRUE),OR(EXACT(metadata!E295,"not applicable"),EXACT(metadata!E295,"missing: not collected"),EXACT(metadata!E295,"missing: not provided"),EXACT(metadata!E295,"missing: restricted access"))),AND(IF(metadata!E295="",FALSE,ISNUMBER(VALUE(metadata!E295))),metadata!E295&gt;0))</f>
        <v>0</v>
      </c>
      <c r="AG295" t="b">
        <f>AND(IF(metadata!F295="",FALSE,TRUE),EXACT(metadata!F295,"Not applicable"))</f>
        <v>0</v>
      </c>
      <c r="AH295" t="b">
        <f>AND(IF(metadata!G295="",FALSE,TRUE),EXACT(metadata!G295,"urban biome"))</f>
        <v>0</v>
      </c>
      <c r="AI295" t="b">
        <f>AND(IF(metadata!H295="",FALSE,TRUE),EXACT(metadata!H295,"human-associated habitat"))</f>
        <v>0</v>
      </c>
      <c r="AJ295" t="b">
        <f>AND(IF(metadata!I295="",FALSE,TRUE),OR(EXACT(metadata!I295,"human-associated"),EXACT(metadata!I295,"human-skin"),EXACT(metadata!I295,"human-oral"),EXACT(metadata!I295,"human-gut"),EXACT(metadata!I295,"human-vaginal")))</f>
        <v>0</v>
      </c>
      <c r="AK295" t="b">
        <f>IF(metadata!J295="",FALSE,ISNUMBER(VALUE(metadata!J295)))</f>
        <v>0</v>
      </c>
      <c r="AL295" t="b">
        <f>AND(IF(metadata!K295="",FALSE,TRUE),EXACT(metadata!K295,"cm"))</f>
        <v>0</v>
      </c>
      <c r="AM295" t="b">
        <f>AND(IF(metadata!L295="",FALSE,TRUE),EXACT(metadata!L295,"human"))</f>
        <v>0</v>
      </c>
      <c r="AN295" t="b">
        <f>AND(IF(metadata!M295="",FALSE,TRUE),EXACT(metadata!M295,"Homo sapiens"))</f>
        <v>0</v>
      </c>
      <c r="AO295" t="b">
        <f>AND(IF(metadata!N295="",FALSE,TRUE),EXACT(metadata!N295,"9606"))</f>
        <v>0</v>
      </c>
      <c r="AP295" t="b">
        <f>IF(metadata!O295="",FALSE,TRUE)</f>
        <v>0</v>
      </c>
      <c r="AQ295" t="b">
        <f>IF(metadata!P295="",FALSE,TRUE)</f>
        <v>0</v>
      </c>
      <c r="AR295" t="b">
        <f>IF(metadata!Q295="",FALSE,ISNUMBER(VALUE(metadata!Q295)))</f>
        <v>0</v>
      </c>
      <c r="AS295" t="b">
        <f>AND(IF(metadata!R295="",FALSE,TRUE),EXACT(metadata!R295,"kg"))</f>
        <v>0</v>
      </c>
    </row>
    <row r="296" spans="1:45" x14ac:dyDescent="0.2">
      <c r="A296" s="5" t="str">
        <f ca="1">IF(B296=" "," ",HYPERLINK(CONCATENATE("#metadata!",ADDRESS(INDEX($X$2:$X$1001,MATCH(ROWS($V$2:V296),$V$2:$V$1001,0),0),1)),INDEX($AA$2:$AA$1001,MATCH(ROWS($V$2:V296),$V$2:$V$1001,0),0)))</f>
        <v xml:space="preserve"> </v>
      </c>
      <c r="B296" s="4" t="str">
        <f ca="1">IF(OR(INDEX($W$2:$W$1001,MATCH(ROWS($V$2:V296),$V$2:$V$1001,0),1)&gt;=100000,INDEX($AC$1005:$AS$1005,1,MATCH(COLUMNS($AC$1006:AC1006),$AC$1006:$AS$1006,0))&gt;=100000), " ",IF(INDEX($AC$2:$AS$1001,MATCH(ROWS($V$2:V296),$V$2:$V$1001,0),MATCH(COLUMNS($AC$1006:AC1006),$AC$1006:$AS$1006,0)), HYPERLINK("#",""), HYPERLINK(CONCATENATE("#metadata!", ADDRESS(INDEX($X$2:$X$1001,MATCH(ROWS($V$2:V296),$V$2:$V$1001,0),0), INDEX($AC$1004:$AS$1004,1,MATCH(COLUMNS($AC$1006:AC1006),$AC$1006:$AS$1006,0)))),"Fix")))</f>
        <v xml:space="preserve"> </v>
      </c>
      <c r="C296" s="4" t="str">
        <f ca="1">IF(OR(INDEX($W$2:$W$1001,MATCH(ROWS($V$2:V296),$V$2:$V$1001,0),1)&gt;=100000,INDEX($AC$1005:$AS$1005,1,MATCH(COLUMNS($AC$1006:AD1006),$AC$1006:$AS$1006,0))&gt;=100000), " ",IF(INDEX($AC$2:$AS$1001,MATCH(ROWS($V$2:V296),$V$2:$V$1001,0),MATCH(COLUMNS($AC$1006:AD1006),$AC$1006:$AS$1006,0)), HYPERLINK("#",""), HYPERLINK(CONCATENATE("#metadata!", ADDRESS(INDEX($X$2:$X$1001,MATCH(ROWS($V$2:V296),$V$2:$V$1001,0),0), INDEX($AC$1004:$AS$1004,1,MATCH(COLUMNS($AC$1006:AD1006),$AC$1006:$AS$1006,0)))),"Fix")))</f>
        <v xml:space="preserve"> </v>
      </c>
      <c r="D296" s="4" t="str">
        <f ca="1">IF(OR(INDEX($W$2:$W$1001,MATCH(ROWS($V$2:V296),$V$2:$V$1001,0),1)&gt;=100000,INDEX($AC$1005:$AS$1005,1,MATCH(COLUMNS($AC$1006:AE1006),$AC$1006:$AS$1006,0))&gt;=100000), " ",IF(INDEX($AC$2:$AS$1001,MATCH(ROWS($V$2:V296),$V$2:$V$1001,0),MATCH(COLUMNS($AC$1006:AE1006),$AC$1006:$AS$1006,0)), HYPERLINK("#",""), HYPERLINK(CONCATENATE("#metadata!", ADDRESS(INDEX($X$2:$X$1001,MATCH(ROWS($V$2:V296),$V$2:$V$1001,0),0), INDEX($AC$1004:$AS$1004,1,MATCH(COLUMNS($AC$1006:AE1006),$AC$1006:$AS$1006,0)))),"Fix")))</f>
        <v xml:space="preserve"> </v>
      </c>
      <c r="E296" s="4" t="str">
        <f ca="1">IF(OR(INDEX($W$2:$W$1001,MATCH(ROWS($V$2:V296),$V$2:$V$1001,0),1)&gt;=100000,INDEX($AC$1005:$AS$1005,1,MATCH(COLUMNS($AC$1006:AF1006),$AC$1006:$AS$1006,0))&gt;=100000), " ",IF(INDEX($AC$2:$AS$1001,MATCH(ROWS($V$2:V296),$V$2:$V$1001,0),MATCH(COLUMNS($AC$1006:AF1006),$AC$1006:$AS$1006,0)), HYPERLINK("#",""), HYPERLINK(CONCATENATE("#metadata!", ADDRESS(INDEX($X$2:$X$1001,MATCH(ROWS($V$2:V296),$V$2:$V$1001,0),0), INDEX($AC$1004:$AS$1004,1,MATCH(COLUMNS($AC$1006:AF1006),$AC$1006:$AS$1006,0)))),"Fix")))</f>
        <v xml:space="preserve"> </v>
      </c>
      <c r="F296" s="4" t="str">
        <f ca="1">IF(OR(INDEX($W$2:$W$1001,MATCH(ROWS($V$2:V296),$V$2:$V$1001,0),1)&gt;=100000,INDEX($AC$1005:$AS$1005,1,MATCH(COLUMNS($AC$1006:AG1006),$AC$1006:$AS$1006,0))&gt;=100000), " ",IF(INDEX($AC$2:$AS$1001,MATCH(ROWS($V$2:V296),$V$2:$V$1001,0),MATCH(COLUMNS($AC$1006:AG1006),$AC$1006:$AS$1006,0)), HYPERLINK("#",""), HYPERLINK(CONCATENATE("#metadata!", ADDRESS(INDEX($X$2:$X$1001,MATCH(ROWS($V$2:V296),$V$2:$V$1001,0),0), INDEX($AC$1004:$AS$1004,1,MATCH(COLUMNS($AC$1006:AG1006),$AC$1006:$AS$1006,0)))),"Fix")))</f>
        <v xml:space="preserve"> </v>
      </c>
      <c r="G296" s="4" t="str">
        <f ca="1">IF(OR(INDEX($W$2:$W$1001,MATCH(ROWS($V$2:V296),$V$2:$V$1001,0),1)&gt;=100000,INDEX($AC$1005:$AS$1005,1,MATCH(COLUMNS($AC$1006:AH1006),$AC$1006:$AS$1006,0))&gt;=100000), " ",IF(INDEX($AC$2:$AS$1001,MATCH(ROWS($V$2:V296),$V$2:$V$1001,0),MATCH(COLUMNS($AC$1006:AH1006),$AC$1006:$AS$1006,0)), HYPERLINK("#",""), HYPERLINK(CONCATENATE("#metadata!", ADDRESS(INDEX($X$2:$X$1001,MATCH(ROWS($V$2:V296),$V$2:$V$1001,0),0), INDEX($AC$1004:$AS$1004,1,MATCH(COLUMNS($AC$1006:AH1006),$AC$1006:$AS$1006,0)))),"Fix")))</f>
        <v xml:space="preserve"> </v>
      </c>
      <c r="H296" s="4" t="str">
        <f ca="1">IF(OR(INDEX($W$2:$W$1001,MATCH(ROWS($V$2:V296),$V$2:$V$1001,0),1)&gt;=100000,INDEX($AC$1005:$AS$1005,1,MATCH(COLUMNS($AC$1006:AI1006),$AC$1006:$AS$1006,0))&gt;=100000), " ",IF(INDEX($AC$2:$AS$1001,MATCH(ROWS($V$2:V296),$V$2:$V$1001,0),MATCH(COLUMNS($AC$1006:AI1006),$AC$1006:$AS$1006,0)), HYPERLINK("#",""), HYPERLINK(CONCATENATE("#metadata!", ADDRESS(INDEX($X$2:$X$1001,MATCH(ROWS($V$2:V296),$V$2:$V$1001,0),0), INDEX($AC$1004:$AS$1004,1,MATCH(COLUMNS($AC$1006:AI1006),$AC$1006:$AS$1006,0)))),"Fix")))</f>
        <v xml:space="preserve"> </v>
      </c>
      <c r="I296" s="4" t="str">
        <f ca="1">IF(OR(INDEX($W$2:$W$1001,MATCH(ROWS($V$2:V296),$V$2:$V$1001,0),1)&gt;=100000,INDEX($AC$1005:$AS$1005,1,MATCH(COLUMNS($AC$1006:AJ1006),$AC$1006:$AS$1006,0))&gt;=100000), " ",IF(INDEX($AC$2:$AS$1001,MATCH(ROWS($V$2:V296),$V$2:$V$1001,0),MATCH(COLUMNS($AC$1006:AJ1006),$AC$1006:$AS$1006,0)), HYPERLINK("#",""), HYPERLINK(CONCATENATE("#metadata!", ADDRESS(INDEX($X$2:$X$1001,MATCH(ROWS($V$2:V296),$V$2:$V$1001,0),0), INDEX($AC$1004:$AS$1004,1,MATCH(COLUMNS($AC$1006:AJ1006),$AC$1006:$AS$1006,0)))),"Fix")))</f>
        <v xml:space="preserve"> </v>
      </c>
      <c r="J296" s="4" t="str">
        <f ca="1">IF(OR(INDEX($W$2:$W$1001,MATCH(ROWS($V$2:V296),$V$2:$V$1001,0),1)&gt;=100000,INDEX($AC$1005:$AS$1005,1,MATCH(COLUMNS($AC$1006:AK1006),$AC$1006:$AS$1006,0))&gt;=100000), " ",IF(INDEX($AC$2:$AS$1001,MATCH(ROWS($V$2:V296),$V$2:$V$1001,0),MATCH(COLUMNS($AC$1006:AK1006),$AC$1006:$AS$1006,0)), HYPERLINK("#",""), HYPERLINK(CONCATENATE("#metadata!", ADDRESS(INDEX($X$2:$X$1001,MATCH(ROWS($V$2:V296),$V$2:$V$1001,0),0), INDEX($AC$1004:$AS$1004,1,MATCH(COLUMNS($AC$1006:AK1006),$AC$1006:$AS$1006,0)))),"Fix")))</f>
        <v xml:space="preserve"> </v>
      </c>
      <c r="K296" s="4" t="str">
        <f ca="1">IF(OR(INDEX($W$2:$W$1001,MATCH(ROWS($V$2:V296),$V$2:$V$1001,0),1)&gt;=100000,INDEX($AC$1005:$AS$1005,1,MATCH(COLUMNS($AC$1006:AL1006),$AC$1006:$AS$1006,0))&gt;=100000), " ",IF(INDEX($AC$2:$AS$1001,MATCH(ROWS($V$2:V296),$V$2:$V$1001,0),MATCH(COLUMNS($AC$1006:AL1006),$AC$1006:$AS$1006,0)), HYPERLINK("#",""), HYPERLINK(CONCATENATE("#metadata!", ADDRESS(INDEX($X$2:$X$1001,MATCH(ROWS($V$2:V296),$V$2:$V$1001,0),0), INDEX($AC$1004:$AS$1004,1,MATCH(COLUMNS($AC$1006:AL1006),$AC$1006:$AS$1006,0)))),"Fix")))</f>
        <v xml:space="preserve"> </v>
      </c>
      <c r="L296" s="4" t="str">
        <f ca="1">IF(OR(INDEX($W$2:$W$1001,MATCH(ROWS($V$2:V296),$V$2:$V$1001,0),1)&gt;=100000,INDEX($AC$1005:$AS$1005,1,MATCH(COLUMNS($AC$1006:AM1006),$AC$1006:$AS$1006,0))&gt;=100000), " ",IF(INDEX($AC$2:$AS$1001,MATCH(ROWS($V$2:V296),$V$2:$V$1001,0),MATCH(COLUMNS($AC$1006:AM1006),$AC$1006:$AS$1006,0)), HYPERLINK("#",""), HYPERLINK(CONCATENATE("#metadata!", ADDRESS(INDEX($X$2:$X$1001,MATCH(ROWS($V$2:V296),$V$2:$V$1001,0),0), INDEX($AC$1004:$AS$1004,1,MATCH(COLUMNS($AC$1006:AM1006),$AC$1006:$AS$1006,0)))),"Fix")))</f>
        <v xml:space="preserve"> </v>
      </c>
      <c r="M296" s="4" t="str">
        <f ca="1">IF(OR(INDEX($W$2:$W$1001,MATCH(ROWS($V$2:V296),$V$2:$V$1001,0),1)&gt;=100000,INDEX($AC$1005:$AS$1005,1,MATCH(COLUMNS($AC$1006:AN1006),$AC$1006:$AS$1006,0))&gt;=100000), " ",IF(INDEX($AC$2:$AS$1001,MATCH(ROWS($V$2:V296),$V$2:$V$1001,0),MATCH(COLUMNS($AC$1006:AN1006),$AC$1006:$AS$1006,0)), HYPERLINK("#",""), HYPERLINK(CONCATENATE("#metadata!", ADDRESS(INDEX($X$2:$X$1001,MATCH(ROWS($V$2:V296),$V$2:$V$1001,0),0), INDEX($AC$1004:$AS$1004,1,MATCH(COLUMNS($AC$1006:AN1006),$AC$1006:$AS$1006,0)))),"Fix")))</f>
        <v xml:space="preserve"> </v>
      </c>
      <c r="N296" s="4" t="str">
        <f ca="1">IF(OR(INDEX($W$2:$W$1001,MATCH(ROWS($V$2:V296),$V$2:$V$1001,0),1)&gt;=100000,INDEX($AC$1005:$AS$1005,1,MATCH(COLUMNS($AC$1006:AO1006),$AC$1006:$AS$1006,0))&gt;=100000), " ",IF(INDEX($AC$2:$AS$1001,MATCH(ROWS($V$2:V296),$V$2:$V$1001,0),MATCH(COLUMNS($AC$1006:AO1006),$AC$1006:$AS$1006,0)), HYPERLINK("#",""), HYPERLINK(CONCATENATE("#metadata!", ADDRESS(INDEX($X$2:$X$1001,MATCH(ROWS($V$2:V296),$V$2:$V$1001,0),0), INDEX($AC$1004:$AS$1004,1,MATCH(COLUMNS($AC$1006:AO1006),$AC$1006:$AS$1006,0)))),"Fix")))</f>
        <v xml:space="preserve"> </v>
      </c>
      <c r="O296" s="4" t="str">
        <f ca="1">IF(OR(INDEX($W$2:$W$1001,MATCH(ROWS($V$2:V296),$V$2:$V$1001,0),1)&gt;=100000,INDEX($AC$1005:$AS$1005,1,MATCH(COLUMNS($AC$1006:AP1006),$AC$1006:$AS$1006,0))&gt;=100000), " ",IF(INDEX($AC$2:$AS$1001,MATCH(ROWS($V$2:V296),$V$2:$V$1001,0),MATCH(COLUMNS($AC$1006:AP1006),$AC$1006:$AS$1006,0)), HYPERLINK("#",""), HYPERLINK(CONCATENATE("#metadata!", ADDRESS(INDEX($X$2:$X$1001,MATCH(ROWS($V$2:V296),$V$2:$V$1001,0),0), INDEX($AC$1004:$AS$1004,1,MATCH(COLUMNS($AC$1006:AP1006),$AC$1006:$AS$1006,0)))),"Fix")))</f>
        <v xml:space="preserve"> </v>
      </c>
      <c r="P296" s="4" t="str">
        <f ca="1">IF(OR(INDEX($W$2:$W$1001,MATCH(ROWS($V$2:V296),$V$2:$V$1001,0),1)&gt;=100000,INDEX($AC$1005:$AS$1005,1,MATCH(COLUMNS($AC$1006:AQ1006),$AC$1006:$AS$1006,0))&gt;=100000), " ",IF(INDEX($AC$2:$AS$1001,MATCH(ROWS($V$2:V296),$V$2:$V$1001,0),MATCH(COLUMNS($AC$1006:AQ1006),$AC$1006:$AS$1006,0)), HYPERLINK("#",""), HYPERLINK(CONCATENATE("#metadata!", ADDRESS(INDEX($X$2:$X$1001,MATCH(ROWS($V$2:V296),$V$2:$V$1001,0),0), INDEX($AC$1004:$AS$1004,1,MATCH(COLUMNS($AC$1006:AQ1006),$AC$1006:$AS$1006,0)))),"Fix")))</f>
        <v xml:space="preserve"> </v>
      </c>
      <c r="Q296" s="4" t="str">
        <f ca="1">IF(OR(INDEX($W$2:$W$1001,MATCH(ROWS($V$2:V296),$V$2:$V$1001,0),1)&gt;=100000,INDEX($AC$1005:$AS$1005,1,MATCH(COLUMNS($AC$1006:AR1006),$AC$1006:$AS$1006,0))&gt;=100000), " ",IF(INDEX($AC$2:$AS$1001,MATCH(ROWS($V$2:V296),$V$2:$V$1001,0),MATCH(COLUMNS($AC$1006:AR1006),$AC$1006:$AS$1006,0)), HYPERLINK("#",""), HYPERLINK(CONCATENATE("#metadata!", ADDRESS(INDEX($X$2:$X$1001,MATCH(ROWS($V$2:V296),$V$2:$V$1001,0),0), INDEX($AC$1004:$AS$1004,1,MATCH(COLUMNS($AC$1006:AR1006),$AC$1006:$AS$1006,0)))),"Fix")))</f>
        <v xml:space="preserve"> </v>
      </c>
      <c r="R296" s="4" t="str">
        <f ca="1">IF(OR(INDEX($W$2:$W$1001,MATCH(ROWS($V$2:V296),$V$2:$V$1001,0),1)&gt;=100000,INDEX($AC$1005:$AS$1005,1,MATCH(COLUMNS($AC$1006:AS1006),$AC$1006:$AS$1006,0))&gt;=100000), " ",IF(INDEX($AC$2:$AS$1001,MATCH(ROWS($V$2:V296),$V$2:$V$1001,0),MATCH(COLUMNS($AC$1006:AS1006),$AC$1006:$AS$1006,0)), HYPERLINK("#",""), HYPERLINK(CONCATENATE("#metadata!", ADDRESS(INDEX($X$2:$X$1001,MATCH(ROWS($V$2:V296),$V$2:$V$1001,0),0), INDEX($AC$1004:$AS$1004,1,MATCH(COLUMNS($AC$1006:AS1006),$AC$1006:$AS$1006,0)))),"Fix")))</f>
        <v xml:space="preserve"> </v>
      </c>
      <c r="V296">
        <v>295</v>
      </c>
      <c r="W296">
        <v>100296</v>
      </c>
      <c r="X296">
        <v>296</v>
      </c>
      <c r="Y296" t="b">
        <f t="shared" si="4"/>
        <v>1</v>
      </c>
      <c r="Z296" t="b">
        <f>COUNTBLANK(metadata!B296:R296)=COLUMNS(metadata!B296:R296)</f>
        <v>1</v>
      </c>
      <c r="AA296" t="str">
        <v/>
      </c>
      <c r="AC296" t="b">
        <f ca="1"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AD296" t="b">
        <f>IF(metadata!C296="",FALSE,ISNUMBER(VALUE(metadata!C296)))</f>
        <v>0</v>
      </c>
      <c r="AE296" t="b">
        <f>AND(IF(metadata!D296="",FALSE,TRUE),EXACT(metadata!D296,"years"))</f>
        <v>0</v>
      </c>
      <c r="AF296" t="b">
        <f>OR(AND(IF(metadata!E296="",FALSE,TRUE),OR(EXACT(metadata!E296,"not applicable"),EXACT(metadata!E296,"missing: not collected"),EXACT(metadata!E296,"missing: not provided"),EXACT(metadata!E296,"missing: restricted access"))),AND(IF(metadata!E296="",FALSE,ISNUMBER(VALUE(metadata!E296))),metadata!E296&gt;0))</f>
        <v>0</v>
      </c>
      <c r="AG296" t="b">
        <f>AND(IF(metadata!F296="",FALSE,TRUE),EXACT(metadata!F296,"Not applicable"))</f>
        <v>0</v>
      </c>
      <c r="AH296" t="b">
        <f>AND(IF(metadata!G296="",FALSE,TRUE),EXACT(metadata!G296,"urban biome"))</f>
        <v>0</v>
      </c>
      <c r="AI296" t="b">
        <f>AND(IF(metadata!H296="",FALSE,TRUE),EXACT(metadata!H296,"human-associated habitat"))</f>
        <v>0</v>
      </c>
      <c r="AJ296" t="b">
        <f>AND(IF(metadata!I296="",FALSE,TRUE),OR(EXACT(metadata!I296,"human-associated"),EXACT(metadata!I296,"human-skin"),EXACT(metadata!I296,"human-oral"),EXACT(metadata!I296,"human-gut"),EXACT(metadata!I296,"human-vaginal")))</f>
        <v>0</v>
      </c>
      <c r="AK296" t="b">
        <f>IF(metadata!J296="",FALSE,ISNUMBER(VALUE(metadata!J296)))</f>
        <v>0</v>
      </c>
      <c r="AL296" t="b">
        <f>AND(IF(metadata!K296="",FALSE,TRUE),EXACT(metadata!K296,"cm"))</f>
        <v>0</v>
      </c>
      <c r="AM296" t="b">
        <f>AND(IF(metadata!L296="",FALSE,TRUE),EXACT(metadata!L296,"human"))</f>
        <v>0</v>
      </c>
      <c r="AN296" t="b">
        <f>AND(IF(metadata!M296="",FALSE,TRUE),EXACT(metadata!M296,"Homo sapiens"))</f>
        <v>0</v>
      </c>
      <c r="AO296" t="b">
        <f>AND(IF(metadata!N296="",FALSE,TRUE),EXACT(metadata!N296,"9606"))</f>
        <v>0</v>
      </c>
      <c r="AP296" t="b">
        <f>IF(metadata!O296="",FALSE,TRUE)</f>
        <v>0</v>
      </c>
      <c r="AQ296" t="b">
        <f>IF(metadata!P296="",FALSE,TRUE)</f>
        <v>0</v>
      </c>
      <c r="AR296" t="b">
        <f>IF(metadata!Q296="",FALSE,ISNUMBER(VALUE(metadata!Q296)))</f>
        <v>0</v>
      </c>
      <c r="AS296" t="b">
        <f>AND(IF(metadata!R296="",FALSE,TRUE),EXACT(metadata!R296,"kg"))</f>
        <v>0</v>
      </c>
    </row>
    <row r="297" spans="1:45" x14ac:dyDescent="0.2">
      <c r="A297" s="5" t="str">
        <f ca="1">IF(B297=" "," ",HYPERLINK(CONCATENATE("#metadata!",ADDRESS(INDEX($X$2:$X$1001,MATCH(ROWS($V$2:V297),$V$2:$V$1001,0),0),1)),INDEX($AA$2:$AA$1001,MATCH(ROWS($V$2:V297),$V$2:$V$1001,0),0)))</f>
        <v xml:space="preserve"> </v>
      </c>
      <c r="B297" s="4" t="str">
        <f ca="1">IF(OR(INDEX($W$2:$W$1001,MATCH(ROWS($V$2:V297),$V$2:$V$1001,0),1)&gt;=100000,INDEX($AC$1005:$AS$1005,1,MATCH(COLUMNS($AC$1006:AC1006),$AC$1006:$AS$1006,0))&gt;=100000), " ",IF(INDEX($AC$2:$AS$1001,MATCH(ROWS($V$2:V297),$V$2:$V$1001,0),MATCH(COLUMNS($AC$1006:AC1006),$AC$1006:$AS$1006,0)), HYPERLINK("#",""), HYPERLINK(CONCATENATE("#metadata!", ADDRESS(INDEX($X$2:$X$1001,MATCH(ROWS($V$2:V297),$V$2:$V$1001,0),0), INDEX($AC$1004:$AS$1004,1,MATCH(COLUMNS($AC$1006:AC1006),$AC$1006:$AS$1006,0)))),"Fix")))</f>
        <v xml:space="preserve"> </v>
      </c>
      <c r="C297" s="4" t="str">
        <f ca="1">IF(OR(INDEX($W$2:$W$1001,MATCH(ROWS($V$2:V297),$V$2:$V$1001,0),1)&gt;=100000,INDEX($AC$1005:$AS$1005,1,MATCH(COLUMNS($AC$1006:AD1006),$AC$1006:$AS$1006,0))&gt;=100000), " ",IF(INDEX($AC$2:$AS$1001,MATCH(ROWS($V$2:V297),$V$2:$V$1001,0),MATCH(COLUMNS($AC$1006:AD1006),$AC$1006:$AS$1006,0)), HYPERLINK("#",""), HYPERLINK(CONCATENATE("#metadata!", ADDRESS(INDEX($X$2:$X$1001,MATCH(ROWS($V$2:V297),$V$2:$V$1001,0),0), INDEX($AC$1004:$AS$1004,1,MATCH(COLUMNS($AC$1006:AD1006),$AC$1006:$AS$1006,0)))),"Fix")))</f>
        <v xml:space="preserve"> </v>
      </c>
      <c r="D297" s="4" t="str">
        <f ca="1">IF(OR(INDEX($W$2:$W$1001,MATCH(ROWS($V$2:V297),$V$2:$V$1001,0),1)&gt;=100000,INDEX($AC$1005:$AS$1005,1,MATCH(COLUMNS($AC$1006:AE1006),$AC$1006:$AS$1006,0))&gt;=100000), " ",IF(INDEX($AC$2:$AS$1001,MATCH(ROWS($V$2:V297),$V$2:$V$1001,0),MATCH(COLUMNS($AC$1006:AE1006),$AC$1006:$AS$1006,0)), HYPERLINK("#",""), HYPERLINK(CONCATENATE("#metadata!", ADDRESS(INDEX($X$2:$X$1001,MATCH(ROWS($V$2:V297),$V$2:$V$1001,0),0), INDEX($AC$1004:$AS$1004,1,MATCH(COLUMNS($AC$1006:AE1006),$AC$1006:$AS$1006,0)))),"Fix")))</f>
        <v xml:space="preserve"> </v>
      </c>
      <c r="E297" s="4" t="str">
        <f ca="1">IF(OR(INDEX($W$2:$W$1001,MATCH(ROWS($V$2:V297),$V$2:$V$1001,0),1)&gt;=100000,INDEX($AC$1005:$AS$1005,1,MATCH(COLUMNS($AC$1006:AF1006),$AC$1006:$AS$1006,0))&gt;=100000), " ",IF(INDEX($AC$2:$AS$1001,MATCH(ROWS($V$2:V297),$V$2:$V$1001,0),MATCH(COLUMNS($AC$1006:AF1006),$AC$1006:$AS$1006,0)), HYPERLINK("#",""), HYPERLINK(CONCATENATE("#metadata!", ADDRESS(INDEX($X$2:$X$1001,MATCH(ROWS($V$2:V297),$V$2:$V$1001,0),0), INDEX($AC$1004:$AS$1004,1,MATCH(COLUMNS($AC$1006:AF1006),$AC$1006:$AS$1006,0)))),"Fix")))</f>
        <v xml:space="preserve"> </v>
      </c>
      <c r="F297" s="4" t="str">
        <f ca="1">IF(OR(INDEX($W$2:$W$1001,MATCH(ROWS($V$2:V297),$V$2:$V$1001,0),1)&gt;=100000,INDEX($AC$1005:$AS$1005,1,MATCH(COLUMNS($AC$1006:AG1006),$AC$1006:$AS$1006,0))&gt;=100000), " ",IF(INDEX($AC$2:$AS$1001,MATCH(ROWS($V$2:V297),$V$2:$V$1001,0),MATCH(COLUMNS($AC$1006:AG1006),$AC$1006:$AS$1006,0)), HYPERLINK("#",""), HYPERLINK(CONCATENATE("#metadata!", ADDRESS(INDEX($X$2:$X$1001,MATCH(ROWS($V$2:V297),$V$2:$V$1001,0),0), INDEX($AC$1004:$AS$1004,1,MATCH(COLUMNS($AC$1006:AG1006),$AC$1006:$AS$1006,0)))),"Fix")))</f>
        <v xml:space="preserve"> </v>
      </c>
      <c r="G297" s="4" t="str">
        <f ca="1">IF(OR(INDEX($W$2:$W$1001,MATCH(ROWS($V$2:V297),$V$2:$V$1001,0),1)&gt;=100000,INDEX($AC$1005:$AS$1005,1,MATCH(COLUMNS($AC$1006:AH1006),$AC$1006:$AS$1006,0))&gt;=100000), " ",IF(INDEX($AC$2:$AS$1001,MATCH(ROWS($V$2:V297),$V$2:$V$1001,0),MATCH(COLUMNS($AC$1006:AH1006),$AC$1006:$AS$1006,0)), HYPERLINK("#",""), HYPERLINK(CONCATENATE("#metadata!", ADDRESS(INDEX($X$2:$X$1001,MATCH(ROWS($V$2:V297),$V$2:$V$1001,0),0), INDEX($AC$1004:$AS$1004,1,MATCH(COLUMNS($AC$1006:AH1006),$AC$1006:$AS$1006,0)))),"Fix")))</f>
        <v xml:space="preserve"> </v>
      </c>
      <c r="H297" s="4" t="str">
        <f ca="1">IF(OR(INDEX($W$2:$W$1001,MATCH(ROWS($V$2:V297),$V$2:$V$1001,0),1)&gt;=100000,INDEX($AC$1005:$AS$1005,1,MATCH(COLUMNS($AC$1006:AI1006),$AC$1006:$AS$1006,0))&gt;=100000), " ",IF(INDEX($AC$2:$AS$1001,MATCH(ROWS($V$2:V297),$V$2:$V$1001,0),MATCH(COLUMNS($AC$1006:AI1006),$AC$1006:$AS$1006,0)), HYPERLINK("#",""), HYPERLINK(CONCATENATE("#metadata!", ADDRESS(INDEX($X$2:$X$1001,MATCH(ROWS($V$2:V297),$V$2:$V$1001,0),0), INDEX($AC$1004:$AS$1004,1,MATCH(COLUMNS($AC$1006:AI1006),$AC$1006:$AS$1006,0)))),"Fix")))</f>
        <v xml:space="preserve"> </v>
      </c>
      <c r="I297" s="4" t="str">
        <f ca="1">IF(OR(INDEX($W$2:$W$1001,MATCH(ROWS($V$2:V297),$V$2:$V$1001,0),1)&gt;=100000,INDEX($AC$1005:$AS$1005,1,MATCH(COLUMNS($AC$1006:AJ1006),$AC$1006:$AS$1006,0))&gt;=100000), " ",IF(INDEX($AC$2:$AS$1001,MATCH(ROWS($V$2:V297),$V$2:$V$1001,0),MATCH(COLUMNS($AC$1006:AJ1006),$AC$1006:$AS$1006,0)), HYPERLINK("#",""), HYPERLINK(CONCATENATE("#metadata!", ADDRESS(INDEX($X$2:$X$1001,MATCH(ROWS($V$2:V297),$V$2:$V$1001,0),0), INDEX($AC$1004:$AS$1004,1,MATCH(COLUMNS($AC$1006:AJ1006),$AC$1006:$AS$1006,0)))),"Fix")))</f>
        <v xml:space="preserve"> </v>
      </c>
      <c r="J297" s="4" t="str">
        <f ca="1">IF(OR(INDEX($W$2:$W$1001,MATCH(ROWS($V$2:V297),$V$2:$V$1001,0),1)&gt;=100000,INDEX($AC$1005:$AS$1005,1,MATCH(COLUMNS($AC$1006:AK1006),$AC$1006:$AS$1006,0))&gt;=100000), " ",IF(INDEX($AC$2:$AS$1001,MATCH(ROWS($V$2:V297),$V$2:$V$1001,0),MATCH(COLUMNS($AC$1006:AK1006),$AC$1006:$AS$1006,0)), HYPERLINK("#",""), HYPERLINK(CONCATENATE("#metadata!", ADDRESS(INDEX($X$2:$X$1001,MATCH(ROWS($V$2:V297),$V$2:$V$1001,0),0), INDEX($AC$1004:$AS$1004,1,MATCH(COLUMNS($AC$1006:AK1006),$AC$1006:$AS$1006,0)))),"Fix")))</f>
        <v xml:space="preserve"> </v>
      </c>
      <c r="K297" s="4" t="str">
        <f ca="1">IF(OR(INDEX($W$2:$W$1001,MATCH(ROWS($V$2:V297),$V$2:$V$1001,0),1)&gt;=100000,INDEX($AC$1005:$AS$1005,1,MATCH(COLUMNS($AC$1006:AL1006),$AC$1006:$AS$1006,0))&gt;=100000), " ",IF(INDEX($AC$2:$AS$1001,MATCH(ROWS($V$2:V297),$V$2:$V$1001,0),MATCH(COLUMNS($AC$1006:AL1006),$AC$1006:$AS$1006,0)), HYPERLINK("#",""), HYPERLINK(CONCATENATE("#metadata!", ADDRESS(INDEX($X$2:$X$1001,MATCH(ROWS($V$2:V297),$V$2:$V$1001,0),0), INDEX($AC$1004:$AS$1004,1,MATCH(COLUMNS($AC$1006:AL1006),$AC$1006:$AS$1006,0)))),"Fix")))</f>
        <v xml:space="preserve"> </v>
      </c>
      <c r="L297" s="4" t="str">
        <f ca="1">IF(OR(INDEX($W$2:$W$1001,MATCH(ROWS($V$2:V297),$V$2:$V$1001,0),1)&gt;=100000,INDEX($AC$1005:$AS$1005,1,MATCH(COLUMNS($AC$1006:AM1006),$AC$1006:$AS$1006,0))&gt;=100000), " ",IF(INDEX($AC$2:$AS$1001,MATCH(ROWS($V$2:V297),$V$2:$V$1001,0),MATCH(COLUMNS($AC$1006:AM1006),$AC$1006:$AS$1006,0)), HYPERLINK("#",""), HYPERLINK(CONCATENATE("#metadata!", ADDRESS(INDEX($X$2:$X$1001,MATCH(ROWS($V$2:V297),$V$2:$V$1001,0),0), INDEX($AC$1004:$AS$1004,1,MATCH(COLUMNS($AC$1006:AM1006),$AC$1006:$AS$1006,0)))),"Fix")))</f>
        <v xml:space="preserve"> </v>
      </c>
      <c r="M297" s="4" t="str">
        <f ca="1">IF(OR(INDEX($W$2:$W$1001,MATCH(ROWS($V$2:V297),$V$2:$V$1001,0),1)&gt;=100000,INDEX($AC$1005:$AS$1005,1,MATCH(COLUMNS($AC$1006:AN1006),$AC$1006:$AS$1006,0))&gt;=100000), " ",IF(INDEX($AC$2:$AS$1001,MATCH(ROWS($V$2:V297),$V$2:$V$1001,0),MATCH(COLUMNS($AC$1006:AN1006),$AC$1006:$AS$1006,0)), HYPERLINK("#",""), HYPERLINK(CONCATENATE("#metadata!", ADDRESS(INDEX($X$2:$X$1001,MATCH(ROWS($V$2:V297),$V$2:$V$1001,0),0), INDEX($AC$1004:$AS$1004,1,MATCH(COLUMNS($AC$1006:AN1006),$AC$1006:$AS$1006,0)))),"Fix")))</f>
        <v xml:space="preserve"> </v>
      </c>
      <c r="N297" s="4" t="str">
        <f ca="1">IF(OR(INDEX($W$2:$W$1001,MATCH(ROWS($V$2:V297),$V$2:$V$1001,0),1)&gt;=100000,INDEX($AC$1005:$AS$1005,1,MATCH(COLUMNS($AC$1006:AO1006),$AC$1006:$AS$1006,0))&gt;=100000), " ",IF(INDEX($AC$2:$AS$1001,MATCH(ROWS($V$2:V297),$V$2:$V$1001,0),MATCH(COLUMNS($AC$1006:AO1006),$AC$1006:$AS$1006,0)), HYPERLINK("#",""), HYPERLINK(CONCATENATE("#metadata!", ADDRESS(INDEX($X$2:$X$1001,MATCH(ROWS($V$2:V297),$V$2:$V$1001,0),0), INDEX($AC$1004:$AS$1004,1,MATCH(COLUMNS($AC$1006:AO1006),$AC$1006:$AS$1006,0)))),"Fix")))</f>
        <v xml:space="preserve"> </v>
      </c>
      <c r="O297" s="4" t="str">
        <f ca="1">IF(OR(INDEX($W$2:$W$1001,MATCH(ROWS($V$2:V297),$V$2:$V$1001,0),1)&gt;=100000,INDEX($AC$1005:$AS$1005,1,MATCH(COLUMNS($AC$1006:AP1006),$AC$1006:$AS$1006,0))&gt;=100000), " ",IF(INDEX($AC$2:$AS$1001,MATCH(ROWS($V$2:V297),$V$2:$V$1001,0),MATCH(COLUMNS($AC$1006:AP1006),$AC$1006:$AS$1006,0)), HYPERLINK("#",""), HYPERLINK(CONCATENATE("#metadata!", ADDRESS(INDEX($X$2:$X$1001,MATCH(ROWS($V$2:V297),$V$2:$V$1001,0),0), INDEX($AC$1004:$AS$1004,1,MATCH(COLUMNS($AC$1006:AP1006),$AC$1006:$AS$1006,0)))),"Fix")))</f>
        <v xml:space="preserve"> </v>
      </c>
      <c r="P297" s="4" t="str">
        <f ca="1">IF(OR(INDEX($W$2:$W$1001,MATCH(ROWS($V$2:V297),$V$2:$V$1001,0),1)&gt;=100000,INDEX($AC$1005:$AS$1005,1,MATCH(COLUMNS($AC$1006:AQ1006),$AC$1006:$AS$1006,0))&gt;=100000), " ",IF(INDEX($AC$2:$AS$1001,MATCH(ROWS($V$2:V297),$V$2:$V$1001,0),MATCH(COLUMNS($AC$1006:AQ1006),$AC$1006:$AS$1006,0)), HYPERLINK("#",""), HYPERLINK(CONCATENATE("#metadata!", ADDRESS(INDEX($X$2:$X$1001,MATCH(ROWS($V$2:V297),$V$2:$V$1001,0),0), INDEX($AC$1004:$AS$1004,1,MATCH(COLUMNS($AC$1006:AQ1006),$AC$1006:$AS$1006,0)))),"Fix")))</f>
        <v xml:space="preserve"> </v>
      </c>
      <c r="Q297" s="4" t="str">
        <f ca="1">IF(OR(INDEX($W$2:$W$1001,MATCH(ROWS($V$2:V297),$V$2:$V$1001,0),1)&gt;=100000,INDEX($AC$1005:$AS$1005,1,MATCH(COLUMNS($AC$1006:AR1006),$AC$1006:$AS$1006,0))&gt;=100000), " ",IF(INDEX($AC$2:$AS$1001,MATCH(ROWS($V$2:V297),$V$2:$V$1001,0),MATCH(COLUMNS($AC$1006:AR1006),$AC$1006:$AS$1006,0)), HYPERLINK("#",""), HYPERLINK(CONCATENATE("#metadata!", ADDRESS(INDEX($X$2:$X$1001,MATCH(ROWS($V$2:V297),$V$2:$V$1001,0),0), INDEX($AC$1004:$AS$1004,1,MATCH(COLUMNS($AC$1006:AR1006),$AC$1006:$AS$1006,0)))),"Fix")))</f>
        <v xml:space="preserve"> </v>
      </c>
      <c r="R297" s="4" t="str">
        <f ca="1">IF(OR(INDEX($W$2:$W$1001,MATCH(ROWS($V$2:V297),$V$2:$V$1001,0),1)&gt;=100000,INDEX($AC$1005:$AS$1005,1,MATCH(COLUMNS($AC$1006:AS1006),$AC$1006:$AS$1006,0))&gt;=100000), " ",IF(INDEX($AC$2:$AS$1001,MATCH(ROWS($V$2:V297),$V$2:$V$1001,0),MATCH(COLUMNS($AC$1006:AS1006),$AC$1006:$AS$1006,0)), HYPERLINK("#",""), HYPERLINK(CONCATENATE("#metadata!", ADDRESS(INDEX($X$2:$X$1001,MATCH(ROWS($V$2:V297),$V$2:$V$1001,0),0), INDEX($AC$1004:$AS$1004,1,MATCH(COLUMNS($AC$1006:AS1006),$AC$1006:$AS$1006,0)))),"Fix")))</f>
        <v xml:space="preserve"> </v>
      </c>
      <c r="V297">
        <v>296</v>
      </c>
      <c r="W297">
        <v>100297</v>
      </c>
      <c r="X297">
        <v>297</v>
      </c>
      <c r="Y297" t="b">
        <f t="shared" si="4"/>
        <v>1</v>
      </c>
      <c r="Z297" t="b">
        <f>COUNTBLANK(metadata!B297:R297)=COLUMNS(metadata!B297:R297)</f>
        <v>1</v>
      </c>
      <c r="AA297" t="str">
        <v/>
      </c>
      <c r="AC297" t="b">
        <f ca="1"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AD297" t="b">
        <f>IF(metadata!C297="",FALSE,ISNUMBER(VALUE(metadata!C297)))</f>
        <v>0</v>
      </c>
      <c r="AE297" t="b">
        <f>AND(IF(metadata!D297="",FALSE,TRUE),EXACT(metadata!D297,"years"))</f>
        <v>0</v>
      </c>
      <c r="AF297" t="b">
        <f>OR(AND(IF(metadata!E297="",FALSE,TRUE),OR(EXACT(metadata!E297,"not applicable"),EXACT(metadata!E297,"missing: not collected"),EXACT(metadata!E297,"missing: not provided"),EXACT(metadata!E297,"missing: restricted access"))),AND(IF(metadata!E297="",FALSE,ISNUMBER(VALUE(metadata!E297))),metadata!E297&gt;0))</f>
        <v>0</v>
      </c>
      <c r="AG297" t="b">
        <f>AND(IF(metadata!F297="",FALSE,TRUE),EXACT(metadata!F297,"Not applicable"))</f>
        <v>0</v>
      </c>
      <c r="AH297" t="b">
        <f>AND(IF(metadata!G297="",FALSE,TRUE),EXACT(metadata!G297,"urban biome"))</f>
        <v>0</v>
      </c>
      <c r="AI297" t="b">
        <f>AND(IF(metadata!H297="",FALSE,TRUE),EXACT(metadata!H297,"human-associated habitat"))</f>
        <v>0</v>
      </c>
      <c r="AJ297" t="b">
        <f>AND(IF(metadata!I297="",FALSE,TRUE),OR(EXACT(metadata!I297,"human-associated"),EXACT(metadata!I297,"human-skin"),EXACT(metadata!I297,"human-oral"),EXACT(metadata!I297,"human-gut"),EXACT(metadata!I297,"human-vaginal")))</f>
        <v>0</v>
      </c>
      <c r="AK297" t="b">
        <f>IF(metadata!J297="",FALSE,ISNUMBER(VALUE(metadata!J297)))</f>
        <v>0</v>
      </c>
      <c r="AL297" t="b">
        <f>AND(IF(metadata!K297="",FALSE,TRUE),EXACT(metadata!K297,"cm"))</f>
        <v>0</v>
      </c>
      <c r="AM297" t="b">
        <f>AND(IF(metadata!L297="",FALSE,TRUE),EXACT(metadata!L297,"human"))</f>
        <v>0</v>
      </c>
      <c r="AN297" t="b">
        <f>AND(IF(metadata!M297="",FALSE,TRUE),EXACT(metadata!M297,"Homo sapiens"))</f>
        <v>0</v>
      </c>
      <c r="AO297" t="b">
        <f>AND(IF(metadata!N297="",FALSE,TRUE),EXACT(metadata!N297,"9606"))</f>
        <v>0</v>
      </c>
      <c r="AP297" t="b">
        <f>IF(metadata!O297="",FALSE,TRUE)</f>
        <v>0</v>
      </c>
      <c r="AQ297" t="b">
        <f>IF(metadata!P297="",FALSE,TRUE)</f>
        <v>0</v>
      </c>
      <c r="AR297" t="b">
        <f>IF(metadata!Q297="",FALSE,ISNUMBER(VALUE(metadata!Q297)))</f>
        <v>0</v>
      </c>
      <c r="AS297" t="b">
        <f>AND(IF(metadata!R297="",FALSE,TRUE),EXACT(metadata!R297,"kg"))</f>
        <v>0</v>
      </c>
    </row>
    <row r="298" spans="1:45" x14ac:dyDescent="0.2">
      <c r="A298" s="5" t="str">
        <f ca="1">IF(B298=" "," ",HYPERLINK(CONCATENATE("#metadata!",ADDRESS(INDEX($X$2:$X$1001,MATCH(ROWS($V$2:V298),$V$2:$V$1001,0),0),1)),INDEX($AA$2:$AA$1001,MATCH(ROWS($V$2:V298),$V$2:$V$1001,0),0)))</f>
        <v xml:space="preserve"> </v>
      </c>
      <c r="B298" s="4" t="str">
        <f ca="1">IF(OR(INDEX($W$2:$W$1001,MATCH(ROWS($V$2:V298),$V$2:$V$1001,0),1)&gt;=100000,INDEX($AC$1005:$AS$1005,1,MATCH(COLUMNS($AC$1006:AC1006),$AC$1006:$AS$1006,0))&gt;=100000), " ",IF(INDEX($AC$2:$AS$1001,MATCH(ROWS($V$2:V298),$V$2:$V$1001,0),MATCH(COLUMNS($AC$1006:AC1006),$AC$1006:$AS$1006,0)), HYPERLINK("#",""), HYPERLINK(CONCATENATE("#metadata!", ADDRESS(INDEX($X$2:$X$1001,MATCH(ROWS($V$2:V298),$V$2:$V$1001,0),0), INDEX($AC$1004:$AS$1004,1,MATCH(COLUMNS($AC$1006:AC1006),$AC$1006:$AS$1006,0)))),"Fix")))</f>
        <v xml:space="preserve"> </v>
      </c>
      <c r="C298" s="4" t="str">
        <f ca="1">IF(OR(INDEX($W$2:$W$1001,MATCH(ROWS($V$2:V298),$V$2:$V$1001,0),1)&gt;=100000,INDEX($AC$1005:$AS$1005,1,MATCH(COLUMNS($AC$1006:AD1006),$AC$1006:$AS$1006,0))&gt;=100000), " ",IF(INDEX($AC$2:$AS$1001,MATCH(ROWS($V$2:V298),$V$2:$V$1001,0),MATCH(COLUMNS($AC$1006:AD1006),$AC$1006:$AS$1006,0)), HYPERLINK("#",""), HYPERLINK(CONCATENATE("#metadata!", ADDRESS(INDEX($X$2:$X$1001,MATCH(ROWS($V$2:V298),$V$2:$V$1001,0),0), INDEX($AC$1004:$AS$1004,1,MATCH(COLUMNS($AC$1006:AD1006),$AC$1006:$AS$1006,0)))),"Fix")))</f>
        <v xml:space="preserve"> </v>
      </c>
      <c r="D298" s="4" t="str">
        <f ca="1">IF(OR(INDEX($W$2:$W$1001,MATCH(ROWS($V$2:V298),$V$2:$V$1001,0),1)&gt;=100000,INDEX($AC$1005:$AS$1005,1,MATCH(COLUMNS($AC$1006:AE1006),$AC$1006:$AS$1006,0))&gt;=100000), " ",IF(INDEX($AC$2:$AS$1001,MATCH(ROWS($V$2:V298),$V$2:$V$1001,0),MATCH(COLUMNS($AC$1006:AE1006),$AC$1006:$AS$1006,0)), HYPERLINK("#",""), HYPERLINK(CONCATENATE("#metadata!", ADDRESS(INDEX($X$2:$X$1001,MATCH(ROWS($V$2:V298),$V$2:$V$1001,0),0), INDEX($AC$1004:$AS$1004,1,MATCH(COLUMNS($AC$1006:AE1006),$AC$1006:$AS$1006,0)))),"Fix")))</f>
        <v xml:space="preserve"> </v>
      </c>
      <c r="E298" s="4" t="str">
        <f ca="1">IF(OR(INDEX($W$2:$W$1001,MATCH(ROWS($V$2:V298),$V$2:$V$1001,0),1)&gt;=100000,INDEX($AC$1005:$AS$1005,1,MATCH(COLUMNS($AC$1006:AF1006),$AC$1006:$AS$1006,0))&gt;=100000), " ",IF(INDEX($AC$2:$AS$1001,MATCH(ROWS($V$2:V298),$V$2:$V$1001,0),MATCH(COLUMNS($AC$1006:AF1006),$AC$1006:$AS$1006,0)), HYPERLINK("#",""), HYPERLINK(CONCATENATE("#metadata!", ADDRESS(INDEX($X$2:$X$1001,MATCH(ROWS($V$2:V298),$V$2:$V$1001,0),0), INDEX($AC$1004:$AS$1004,1,MATCH(COLUMNS($AC$1006:AF1006),$AC$1006:$AS$1006,0)))),"Fix")))</f>
        <v xml:space="preserve"> </v>
      </c>
      <c r="F298" s="4" t="str">
        <f ca="1">IF(OR(INDEX($W$2:$W$1001,MATCH(ROWS($V$2:V298),$V$2:$V$1001,0),1)&gt;=100000,INDEX($AC$1005:$AS$1005,1,MATCH(COLUMNS($AC$1006:AG1006),$AC$1006:$AS$1006,0))&gt;=100000), " ",IF(INDEX($AC$2:$AS$1001,MATCH(ROWS($V$2:V298),$V$2:$V$1001,0),MATCH(COLUMNS($AC$1006:AG1006),$AC$1006:$AS$1006,0)), HYPERLINK("#",""), HYPERLINK(CONCATENATE("#metadata!", ADDRESS(INDEX($X$2:$X$1001,MATCH(ROWS($V$2:V298),$V$2:$V$1001,0),0), INDEX($AC$1004:$AS$1004,1,MATCH(COLUMNS($AC$1006:AG1006),$AC$1006:$AS$1006,0)))),"Fix")))</f>
        <v xml:space="preserve"> </v>
      </c>
      <c r="G298" s="4" t="str">
        <f ca="1">IF(OR(INDEX($W$2:$W$1001,MATCH(ROWS($V$2:V298),$V$2:$V$1001,0),1)&gt;=100000,INDEX($AC$1005:$AS$1005,1,MATCH(COLUMNS($AC$1006:AH1006),$AC$1006:$AS$1006,0))&gt;=100000), " ",IF(INDEX($AC$2:$AS$1001,MATCH(ROWS($V$2:V298),$V$2:$V$1001,0),MATCH(COLUMNS($AC$1006:AH1006),$AC$1006:$AS$1006,0)), HYPERLINK("#",""), HYPERLINK(CONCATENATE("#metadata!", ADDRESS(INDEX($X$2:$X$1001,MATCH(ROWS($V$2:V298),$V$2:$V$1001,0),0), INDEX($AC$1004:$AS$1004,1,MATCH(COLUMNS($AC$1006:AH1006),$AC$1006:$AS$1006,0)))),"Fix")))</f>
        <v xml:space="preserve"> </v>
      </c>
      <c r="H298" s="4" t="str">
        <f ca="1">IF(OR(INDEX($W$2:$W$1001,MATCH(ROWS($V$2:V298),$V$2:$V$1001,0),1)&gt;=100000,INDEX($AC$1005:$AS$1005,1,MATCH(COLUMNS($AC$1006:AI1006),$AC$1006:$AS$1006,0))&gt;=100000), " ",IF(INDEX($AC$2:$AS$1001,MATCH(ROWS($V$2:V298),$V$2:$V$1001,0),MATCH(COLUMNS($AC$1006:AI1006),$AC$1006:$AS$1006,0)), HYPERLINK("#",""), HYPERLINK(CONCATENATE("#metadata!", ADDRESS(INDEX($X$2:$X$1001,MATCH(ROWS($V$2:V298),$V$2:$V$1001,0),0), INDEX($AC$1004:$AS$1004,1,MATCH(COLUMNS($AC$1006:AI1006),$AC$1006:$AS$1006,0)))),"Fix")))</f>
        <v xml:space="preserve"> </v>
      </c>
      <c r="I298" s="4" t="str">
        <f ca="1">IF(OR(INDEX($W$2:$W$1001,MATCH(ROWS($V$2:V298),$V$2:$V$1001,0),1)&gt;=100000,INDEX($AC$1005:$AS$1005,1,MATCH(COLUMNS($AC$1006:AJ1006),$AC$1006:$AS$1006,0))&gt;=100000), " ",IF(INDEX($AC$2:$AS$1001,MATCH(ROWS($V$2:V298),$V$2:$V$1001,0),MATCH(COLUMNS($AC$1006:AJ1006),$AC$1006:$AS$1006,0)), HYPERLINK("#",""), HYPERLINK(CONCATENATE("#metadata!", ADDRESS(INDEX($X$2:$X$1001,MATCH(ROWS($V$2:V298),$V$2:$V$1001,0),0), INDEX($AC$1004:$AS$1004,1,MATCH(COLUMNS($AC$1006:AJ1006),$AC$1006:$AS$1006,0)))),"Fix")))</f>
        <v xml:space="preserve"> </v>
      </c>
      <c r="J298" s="4" t="str">
        <f ca="1">IF(OR(INDEX($W$2:$W$1001,MATCH(ROWS($V$2:V298),$V$2:$V$1001,0),1)&gt;=100000,INDEX($AC$1005:$AS$1005,1,MATCH(COLUMNS($AC$1006:AK1006),$AC$1006:$AS$1006,0))&gt;=100000), " ",IF(INDEX($AC$2:$AS$1001,MATCH(ROWS($V$2:V298),$V$2:$V$1001,0),MATCH(COLUMNS($AC$1006:AK1006),$AC$1006:$AS$1006,0)), HYPERLINK("#",""), HYPERLINK(CONCATENATE("#metadata!", ADDRESS(INDEX($X$2:$X$1001,MATCH(ROWS($V$2:V298),$V$2:$V$1001,0),0), INDEX($AC$1004:$AS$1004,1,MATCH(COLUMNS($AC$1006:AK1006),$AC$1006:$AS$1006,0)))),"Fix")))</f>
        <v xml:space="preserve"> </v>
      </c>
      <c r="K298" s="4" t="str">
        <f ca="1">IF(OR(INDEX($W$2:$W$1001,MATCH(ROWS($V$2:V298),$V$2:$V$1001,0),1)&gt;=100000,INDEX($AC$1005:$AS$1005,1,MATCH(COLUMNS($AC$1006:AL1006),$AC$1006:$AS$1006,0))&gt;=100000), " ",IF(INDEX($AC$2:$AS$1001,MATCH(ROWS($V$2:V298),$V$2:$V$1001,0),MATCH(COLUMNS($AC$1006:AL1006),$AC$1006:$AS$1006,0)), HYPERLINK("#",""), HYPERLINK(CONCATENATE("#metadata!", ADDRESS(INDEX($X$2:$X$1001,MATCH(ROWS($V$2:V298),$V$2:$V$1001,0),0), INDEX($AC$1004:$AS$1004,1,MATCH(COLUMNS($AC$1006:AL1006),$AC$1006:$AS$1006,0)))),"Fix")))</f>
        <v xml:space="preserve"> </v>
      </c>
      <c r="L298" s="4" t="str">
        <f ca="1">IF(OR(INDEX($W$2:$W$1001,MATCH(ROWS($V$2:V298),$V$2:$V$1001,0),1)&gt;=100000,INDEX($AC$1005:$AS$1005,1,MATCH(COLUMNS($AC$1006:AM1006),$AC$1006:$AS$1006,0))&gt;=100000), " ",IF(INDEX($AC$2:$AS$1001,MATCH(ROWS($V$2:V298),$V$2:$V$1001,0),MATCH(COLUMNS($AC$1006:AM1006),$AC$1006:$AS$1006,0)), HYPERLINK("#",""), HYPERLINK(CONCATENATE("#metadata!", ADDRESS(INDEX($X$2:$X$1001,MATCH(ROWS($V$2:V298),$V$2:$V$1001,0),0), INDEX($AC$1004:$AS$1004,1,MATCH(COLUMNS($AC$1006:AM1006),$AC$1006:$AS$1006,0)))),"Fix")))</f>
        <v xml:space="preserve"> </v>
      </c>
      <c r="M298" s="4" t="str">
        <f ca="1">IF(OR(INDEX($W$2:$W$1001,MATCH(ROWS($V$2:V298),$V$2:$V$1001,0),1)&gt;=100000,INDEX($AC$1005:$AS$1005,1,MATCH(COLUMNS($AC$1006:AN1006),$AC$1006:$AS$1006,0))&gt;=100000), " ",IF(INDEX($AC$2:$AS$1001,MATCH(ROWS($V$2:V298),$V$2:$V$1001,0),MATCH(COLUMNS($AC$1006:AN1006),$AC$1006:$AS$1006,0)), HYPERLINK("#",""), HYPERLINK(CONCATENATE("#metadata!", ADDRESS(INDEX($X$2:$X$1001,MATCH(ROWS($V$2:V298),$V$2:$V$1001,0),0), INDEX($AC$1004:$AS$1004,1,MATCH(COLUMNS($AC$1006:AN1006),$AC$1006:$AS$1006,0)))),"Fix")))</f>
        <v xml:space="preserve"> </v>
      </c>
      <c r="N298" s="4" t="str">
        <f ca="1">IF(OR(INDEX($W$2:$W$1001,MATCH(ROWS($V$2:V298),$V$2:$V$1001,0),1)&gt;=100000,INDEX($AC$1005:$AS$1005,1,MATCH(COLUMNS($AC$1006:AO1006),$AC$1006:$AS$1006,0))&gt;=100000), " ",IF(INDEX($AC$2:$AS$1001,MATCH(ROWS($V$2:V298),$V$2:$V$1001,0),MATCH(COLUMNS($AC$1006:AO1006),$AC$1006:$AS$1006,0)), HYPERLINK("#",""), HYPERLINK(CONCATENATE("#metadata!", ADDRESS(INDEX($X$2:$X$1001,MATCH(ROWS($V$2:V298),$V$2:$V$1001,0),0), INDEX($AC$1004:$AS$1004,1,MATCH(COLUMNS($AC$1006:AO1006),$AC$1006:$AS$1006,0)))),"Fix")))</f>
        <v xml:space="preserve"> </v>
      </c>
      <c r="O298" s="4" t="str">
        <f ca="1">IF(OR(INDEX($W$2:$W$1001,MATCH(ROWS($V$2:V298),$V$2:$V$1001,0),1)&gt;=100000,INDEX($AC$1005:$AS$1005,1,MATCH(COLUMNS($AC$1006:AP1006),$AC$1006:$AS$1006,0))&gt;=100000), " ",IF(INDEX($AC$2:$AS$1001,MATCH(ROWS($V$2:V298),$V$2:$V$1001,0),MATCH(COLUMNS($AC$1006:AP1006),$AC$1006:$AS$1006,0)), HYPERLINK("#",""), HYPERLINK(CONCATENATE("#metadata!", ADDRESS(INDEX($X$2:$X$1001,MATCH(ROWS($V$2:V298),$V$2:$V$1001,0),0), INDEX($AC$1004:$AS$1004,1,MATCH(COLUMNS($AC$1006:AP1006),$AC$1006:$AS$1006,0)))),"Fix")))</f>
        <v xml:space="preserve"> </v>
      </c>
      <c r="P298" s="4" t="str">
        <f ca="1">IF(OR(INDEX($W$2:$W$1001,MATCH(ROWS($V$2:V298),$V$2:$V$1001,0),1)&gt;=100000,INDEX($AC$1005:$AS$1005,1,MATCH(COLUMNS($AC$1006:AQ1006),$AC$1006:$AS$1006,0))&gt;=100000), " ",IF(INDEX($AC$2:$AS$1001,MATCH(ROWS($V$2:V298),$V$2:$V$1001,0),MATCH(COLUMNS($AC$1006:AQ1006),$AC$1006:$AS$1006,0)), HYPERLINK("#",""), HYPERLINK(CONCATENATE("#metadata!", ADDRESS(INDEX($X$2:$X$1001,MATCH(ROWS($V$2:V298),$V$2:$V$1001,0),0), INDEX($AC$1004:$AS$1004,1,MATCH(COLUMNS($AC$1006:AQ1006),$AC$1006:$AS$1006,0)))),"Fix")))</f>
        <v xml:space="preserve"> </v>
      </c>
      <c r="Q298" s="4" t="str">
        <f ca="1">IF(OR(INDEX($W$2:$W$1001,MATCH(ROWS($V$2:V298),$V$2:$V$1001,0),1)&gt;=100000,INDEX($AC$1005:$AS$1005,1,MATCH(COLUMNS($AC$1006:AR1006),$AC$1006:$AS$1006,0))&gt;=100000), " ",IF(INDEX($AC$2:$AS$1001,MATCH(ROWS($V$2:V298),$V$2:$V$1001,0),MATCH(COLUMNS($AC$1006:AR1006),$AC$1006:$AS$1006,0)), HYPERLINK("#",""), HYPERLINK(CONCATENATE("#metadata!", ADDRESS(INDEX($X$2:$X$1001,MATCH(ROWS($V$2:V298),$V$2:$V$1001,0),0), INDEX($AC$1004:$AS$1004,1,MATCH(COLUMNS($AC$1006:AR1006),$AC$1006:$AS$1006,0)))),"Fix")))</f>
        <v xml:space="preserve"> </v>
      </c>
      <c r="R298" s="4" t="str">
        <f ca="1">IF(OR(INDEX($W$2:$W$1001,MATCH(ROWS($V$2:V298),$V$2:$V$1001,0),1)&gt;=100000,INDEX($AC$1005:$AS$1005,1,MATCH(COLUMNS($AC$1006:AS1006),$AC$1006:$AS$1006,0))&gt;=100000), " ",IF(INDEX($AC$2:$AS$1001,MATCH(ROWS($V$2:V298),$V$2:$V$1001,0),MATCH(COLUMNS($AC$1006:AS1006),$AC$1006:$AS$1006,0)), HYPERLINK("#",""), HYPERLINK(CONCATENATE("#metadata!", ADDRESS(INDEX($X$2:$X$1001,MATCH(ROWS($V$2:V298),$V$2:$V$1001,0),0), INDEX($AC$1004:$AS$1004,1,MATCH(COLUMNS($AC$1006:AS1006),$AC$1006:$AS$1006,0)))),"Fix")))</f>
        <v xml:space="preserve"> </v>
      </c>
      <c r="V298">
        <v>297</v>
      </c>
      <c r="W298">
        <v>100298</v>
      </c>
      <c r="X298">
        <v>298</v>
      </c>
      <c r="Y298" t="b">
        <f t="shared" si="4"/>
        <v>1</v>
      </c>
      <c r="Z298" t="b">
        <f>COUNTBLANK(metadata!B298:R298)=COLUMNS(metadata!B298:R298)</f>
        <v>1</v>
      </c>
      <c r="AA298" t="str">
        <v/>
      </c>
      <c r="AC298" t="b">
        <f ca="1"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AD298" t="b">
        <f>IF(metadata!C298="",FALSE,ISNUMBER(VALUE(metadata!C298)))</f>
        <v>0</v>
      </c>
      <c r="AE298" t="b">
        <f>AND(IF(metadata!D298="",FALSE,TRUE),EXACT(metadata!D298,"years"))</f>
        <v>0</v>
      </c>
      <c r="AF298" t="b">
        <f>OR(AND(IF(metadata!E298="",FALSE,TRUE),OR(EXACT(metadata!E298,"not applicable"),EXACT(metadata!E298,"missing: not collected"),EXACT(metadata!E298,"missing: not provided"),EXACT(metadata!E298,"missing: restricted access"))),AND(IF(metadata!E298="",FALSE,ISNUMBER(VALUE(metadata!E298))),metadata!E298&gt;0))</f>
        <v>0</v>
      </c>
      <c r="AG298" t="b">
        <f>AND(IF(metadata!F298="",FALSE,TRUE),EXACT(metadata!F298,"Not applicable"))</f>
        <v>0</v>
      </c>
      <c r="AH298" t="b">
        <f>AND(IF(metadata!G298="",FALSE,TRUE),EXACT(metadata!G298,"urban biome"))</f>
        <v>0</v>
      </c>
      <c r="AI298" t="b">
        <f>AND(IF(metadata!H298="",FALSE,TRUE),EXACT(metadata!H298,"human-associated habitat"))</f>
        <v>0</v>
      </c>
      <c r="AJ298" t="b">
        <f>AND(IF(metadata!I298="",FALSE,TRUE),OR(EXACT(metadata!I298,"human-associated"),EXACT(metadata!I298,"human-skin"),EXACT(metadata!I298,"human-oral"),EXACT(metadata!I298,"human-gut"),EXACT(metadata!I298,"human-vaginal")))</f>
        <v>0</v>
      </c>
      <c r="AK298" t="b">
        <f>IF(metadata!J298="",FALSE,ISNUMBER(VALUE(metadata!J298)))</f>
        <v>0</v>
      </c>
      <c r="AL298" t="b">
        <f>AND(IF(metadata!K298="",FALSE,TRUE),EXACT(metadata!K298,"cm"))</f>
        <v>0</v>
      </c>
      <c r="AM298" t="b">
        <f>AND(IF(metadata!L298="",FALSE,TRUE),EXACT(metadata!L298,"human"))</f>
        <v>0</v>
      </c>
      <c r="AN298" t="b">
        <f>AND(IF(metadata!M298="",FALSE,TRUE),EXACT(metadata!M298,"Homo sapiens"))</f>
        <v>0</v>
      </c>
      <c r="AO298" t="b">
        <f>AND(IF(metadata!N298="",FALSE,TRUE),EXACT(metadata!N298,"9606"))</f>
        <v>0</v>
      </c>
      <c r="AP298" t="b">
        <f>IF(metadata!O298="",FALSE,TRUE)</f>
        <v>0</v>
      </c>
      <c r="AQ298" t="b">
        <f>IF(metadata!P298="",FALSE,TRUE)</f>
        <v>0</v>
      </c>
      <c r="AR298" t="b">
        <f>IF(metadata!Q298="",FALSE,ISNUMBER(VALUE(metadata!Q298)))</f>
        <v>0</v>
      </c>
      <c r="AS298" t="b">
        <f>AND(IF(metadata!R298="",FALSE,TRUE),EXACT(metadata!R298,"kg"))</f>
        <v>0</v>
      </c>
    </row>
    <row r="299" spans="1:45" x14ac:dyDescent="0.2">
      <c r="A299" s="5" t="str">
        <f ca="1">IF(B299=" "," ",HYPERLINK(CONCATENATE("#metadata!",ADDRESS(INDEX($X$2:$X$1001,MATCH(ROWS($V$2:V299),$V$2:$V$1001,0),0),1)),INDEX($AA$2:$AA$1001,MATCH(ROWS($V$2:V299),$V$2:$V$1001,0),0)))</f>
        <v xml:space="preserve"> </v>
      </c>
      <c r="B299" s="4" t="str">
        <f ca="1">IF(OR(INDEX($W$2:$W$1001,MATCH(ROWS($V$2:V299),$V$2:$V$1001,0),1)&gt;=100000,INDEX($AC$1005:$AS$1005,1,MATCH(COLUMNS($AC$1006:AC1006),$AC$1006:$AS$1006,0))&gt;=100000), " ",IF(INDEX($AC$2:$AS$1001,MATCH(ROWS($V$2:V299),$V$2:$V$1001,0),MATCH(COLUMNS($AC$1006:AC1006),$AC$1006:$AS$1006,0)), HYPERLINK("#",""), HYPERLINK(CONCATENATE("#metadata!", ADDRESS(INDEX($X$2:$X$1001,MATCH(ROWS($V$2:V299),$V$2:$V$1001,0),0), INDEX($AC$1004:$AS$1004,1,MATCH(COLUMNS($AC$1006:AC1006),$AC$1006:$AS$1006,0)))),"Fix")))</f>
        <v xml:space="preserve"> </v>
      </c>
      <c r="C299" s="4" t="str">
        <f ca="1">IF(OR(INDEX($W$2:$W$1001,MATCH(ROWS($V$2:V299),$V$2:$V$1001,0),1)&gt;=100000,INDEX($AC$1005:$AS$1005,1,MATCH(COLUMNS($AC$1006:AD1006),$AC$1006:$AS$1006,0))&gt;=100000), " ",IF(INDEX($AC$2:$AS$1001,MATCH(ROWS($V$2:V299),$V$2:$V$1001,0),MATCH(COLUMNS($AC$1006:AD1006),$AC$1006:$AS$1006,0)), HYPERLINK("#",""), HYPERLINK(CONCATENATE("#metadata!", ADDRESS(INDEX($X$2:$X$1001,MATCH(ROWS($V$2:V299),$V$2:$V$1001,0),0), INDEX($AC$1004:$AS$1004,1,MATCH(COLUMNS($AC$1006:AD1006),$AC$1006:$AS$1006,0)))),"Fix")))</f>
        <v xml:space="preserve"> </v>
      </c>
      <c r="D299" s="4" t="str">
        <f ca="1">IF(OR(INDEX($W$2:$W$1001,MATCH(ROWS($V$2:V299),$V$2:$V$1001,0),1)&gt;=100000,INDEX($AC$1005:$AS$1005,1,MATCH(COLUMNS($AC$1006:AE1006),$AC$1006:$AS$1006,0))&gt;=100000), " ",IF(INDEX($AC$2:$AS$1001,MATCH(ROWS($V$2:V299),$V$2:$V$1001,0),MATCH(COLUMNS($AC$1006:AE1006),$AC$1006:$AS$1006,0)), HYPERLINK("#",""), HYPERLINK(CONCATENATE("#metadata!", ADDRESS(INDEX($X$2:$X$1001,MATCH(ROWS($V$2:V299),$V$2:$V$1001,0),0), INDEX($AC$1004:$AS$1004,1,MATCH(COLUMNS($AC$1006:AE1006),$AC$1006:$AS$1006,0)))),"Fix")))</f>
        <v xml:space="preserve"> </v>
      </c>
      <c r="E299" s="4" t="str">
        <f ca="1">IF(OR(INDEX($W$2:$W$1001,MATCH(ROWS($V$2:V299),$V$2:$V$1001,0),1)&gt;=100000,INDEX($AC$1005:$AS$1005,1,MATCH(COLUMNS($AC$1006:AF1006),$AC$1006:$AS$1006,0))&gt;=100000), " ",IF(INDEX($AC$2:$AS$1001,MATCH(ROWS($V$2:V299),$V$2:$V$1001,0),MATCH(COLUMNS($AC$1006:AF1006),$AC$1006:$AS$1006,0)), HYPERLINK("#",""), HYPERLINK(CONCATENATE("#metadata!", ADDRESS(INDEX($X$2:$X$1001,MATCH(ROWS($V$2:V299),$V$2:$V$1001,0),0), INDEX($AC$1004:$AS$1004,1,MATCH(COLUMNS($AC$1006:AF1006),$AC$1006:$AS$1006,0)))),"Fix")))</f>
        <v xml:space="preserve"> </v>
      </c>
      <c r="F299" s="4" t="str">
        <f ca="1">IF(OR(INDEX($W$2:$W$1001,MATCH(ROWS($V$2:V299),$V$2:$V$1001,0),1)&gt;=100000,INDEX($AC$1005:$AS$1005,1,MATCH(COLUMNS($AC$1006:AG1006),$AC$1006:$AS$1006,0))&gt;=100000), " ",IF(INDEX($AC$2:$AS$1001,MATCH(ROWS($V$2:V299),$V$2:$V$1001,0),MATCH(COLUMNS($AC$1006:AG1006),$AC$1006:$AS$1006,0)), HYPERLINK("#",""), HYPERLINK(CONCATENATE("#metadata!", ADDRESS(INDEX($X$2:$X$1001,MATCH(ROWS($V$2:V299),$V$2:$V$1001,0),0), INDEX($AC$1004:$AS$1004,1,MATCH(COLUMNS($AC$1006:AG1006),$AC$1006:$AS$1006,0)))),"Fix")))</f>
        <v xml:space="preserve"> </v>
      </c>
      <c r="G299" s="4" t="str">
        <f ca="1">IF(OR(INDEX($W$2:$W$1001,MATCH(ROWS($V$2:V299),$V$2:$V$1001,0),1)&gt;=100000,INDEX($AC$1005:$AS$1005,1,MATCH(COLUMNS($AC$1006:AH1006),$AC$1006:$AS$1006,0))&gt;=100000), " ",IF(INDEX($AC$2:$AS$1001,MATCH(ROWS($V$2:V299),$V$2:$V$1001,0),MATCH(COLUMNS($AC$1006:AH1006),$AC$1006:$AS$1006,0)), HYPERLINK("#",""), HYPERLINK(CONCATENATE("#metadata!", ADDRESS(INDEX($X$2:$X$1001,MATCH(ROWS($V$2:V299),$V$2:$V$1001,0),0), INDEX($AC$1004:$AS$1004,1,MATCH(COLUMNS($AC$1006:AH1006),$AC$1006:$AS$1006,0)))),"Fix")))</f>
        <v xml:space="preserve"> </v>
      </c>
      <c r="H299" s="4" t="str">
        <f ca="1">IF(OR(INDEX($W$2:$W$1001,MATCH(ROWS($V$2:V299),$V$2:$V$1001,0),1)&gt;=100000,INDEX($AC$1005:$AS$1005,1,MATCH(COLUMNS($AC$1006:AI1006),$AC$1006:$AS$1006,0))&gt;=100000), " ",IF(INDEX($AC$2:$AS$1001,MATCH(ROWS($V$2:V299),$V$2:$V$1001,0),MATCH(COLUMNS($AC$1006:AI1006),$AC$1006:$AS$1006,0)), HYPERLINK("#",""), HYPERLINK(CONCATENATE("#metadata!", ADDRESS(INDEX($X$2:$X$1001,MATCH(ROWS($V$2:V299),$V$2:$V$1001,0),0), INDEX($AC$1004:$AS$1004,1,MATCH(COLUMNS($AC$1006:AI1006),$AC$1006:$AS$1006,0)))),"Fix")))</f>
        <v xml:space="preserve"> </v>
      </c>
      <c r="I299" s="4" t="str">
        <f ca="1">IF(OR(INDEX($W$2:$W$1001,MATCH(ROWS($V$2:V299),$V$2:$V$1001,0),1)&gt;=100000,INDEX($AC$1005:$AS$1005,1,MATCH(COLUMNS($AC$1006:AJ1006),$AC$1006:$AS$1006,0))&gt;=100000), " ",IF(INDEX($AC$2:$AS$1001,MATCH(ROWS($V$2:V299),$V$2:$V$1001,0),MATCH(COLUMNS($AC$1006:AJ1006),$AC$1006:$AS$1006,0)), HYPERLINK("#",""), HYPERLINK(CONCATENATE("#metadata!", ADDRESS(INDEX($X$2:$X$1001,MATCH(ROWS($V$2:V299),$V$2:$V$1001,0),0), INDEX($AC$1004:$AS$1004,1,MATCH(COLUMNS($AC$1006:AJ1006),$AC$1006:$AS$1006,0)))),"Fix")))</f>
        <v xml:space="preserve"> </v>
      </c>
      <c r="J299" s="4" t="str">
        <f ca="1">IF(OR(INDEX($W$2:$W$1001,MATCH(ROWS($V$2:V299),$V$2:$V$1001,0),1)&gt;=100000,INDEX($AC$1005:$AS$1005,1,MATCH(COLUMNS($AC$1006:AK1006),$AC$1006:$AS$1006,0))&gt;=100000), " ",IF(INDEX($AC$2:$AS$1001,MATCH(ROWS($V$2:V299),$V$2:$V$1001,0),MATCH(COLUMNS($AC$1006:AK1006),$AC$1006:$AS$1006,0)), HYPERLINK("#",""), HYPERLINK(CONCATENATE("#metadata!", ADDRESS(INDEX($X$2:$X$1001,MATCH(ROWS($V$2:V299),$V$2:$V$1001,0),0), INDEX($AC$1004:$AS$1004,1,MATCH(COLUMNS($AC$1006:AK1006),$AC$1006:$AS$1006,0)))),"Fix")))</f>
        <v xml:space="preserve"> </v>
      </c>
      <c r="K299" s="4" t="str">
        <f ca="1">IF(OR(INDEX($W$2:$W$1001,MATCH(ROWS($V$2:V299),$V$2:$V$1001,0),1)&gt;=100000,INDEX($AC$1005:$AS$1005,1,MATCH(COLUMNS($AC$1006:AL1006),$AC$1006:$AS$1006,0))&gt;=100000), " ",IF(INDEX($AC$2:$AS$1001,MATCH(ROWS($V$2:V299),$V$2:$V$1001,0),MATCH(COLUMNS($AC$1006:AL1006),$AC$1006:$AS$1006,0)), HYPERLINK("#",""), HYPERLINK(CONCATENATE("#metadata!", ADDRESS(INDEX($X$2:$X$1001,MATCH(ROWS($V$2:V299),$V$2:$V$1001,0),0), INDEX($AC$1004:$AS$1004,1,MATCH(COLUMNS($AC$1006:AL1006),$AC$1006:$AS$1006,0)))),"Fix")))</f>
        <v xml:space="preserve"> </v>
      </c>
      <c r="L299" s="4" t="str">
        <f ca="1">IF(OR(INDEX($W$2:$W$1001,MATCH(ROWS($V$2:V299),$V$2:$V$1001,0),1)&gt;=100000,INDEX($AC$1005:$AS$1005,1,MATCH(COLUMNS($AC$1006:AM1006),$AC$1006:$AS$1006,0))&gt;=100000), " ",IF(INDEX($AC$2:$AS$1001,MATCH(ROWS($V$2:V299),$V$2:$V$1001,0),MATCH(COLUMNS($AC$1006:AM1006),$AC$1006:$AS$1006,0)), HYPERLINK("#",""), HYPERLINK(CONCATENATE("#metadata!", ADDRESS(INDEX($X$2:$X$1001,MATCH(ROWS($V$2:V299),$V$2:$V$1001,0),0), INDEX($AC$1004:$AS$1004,1,MATCH(COLUMNS($AC$1006:AM1006),$AC$1006:$AS$1006,0)))),"Fix")))</f>
        <v xml:space="preserve"> </v>
      </c>
      <c r="M299" s="4" t="str">
        <f ca="1">IF(OR(INDEX($W$2:$W$1001,MATCH(ROWS($V$2:V299),$V$2:$V$1001,0),1)&gt;=100000,INDEX($AC$1005:$AS$1005,1,MATCH(COLUMNS($AC$1006:AN1006),$AC$1006:$AS$1006,0))&gt;=100000), " ",IF(INDEX($AC$2:$AS$1001,MATCH(ROWS($V$2:V299),$V$2:$V$1001,0),MATCH(COLUMNS($AC$1006:AN1006),$AC$1006:$AS$1006,0)), HYPERLINK("#",""), HYPERLINK(CONCATENATE("#metadata!", ADDRESS(INDEX($X$2:$X$1001,MATCH(ROWS($V$2:V299),$V$2:$V$1001,0),0), INDEX($AC$1004:$AS$1004,1,MATCH(COLUMNS($AC$1006:AN1006),$AC$1006:$AS$1006,0)))),"Fix")))</f>
        <v xml:space="preserve"> </v>
      </c>
      <c r="N299" s="4" t="str">
        <f ca="1">IF(OR(INDEX($W$2:$W$1001,MATCH(ROWS($V$2:V299),$V$2:$V$1001,0),1)&gt;=100000,INDEX($AC$1005:$AS$1005,1,MATCH(COLUMNS($AC$1006:AO1006),$AC$1006:$AS$1006,0))&gt;=100000), " ",IF(INDEX($AC$2:$AS$1001,MATCH(ROWS($V$2:V299),$V$2:$V$1001,0),MATCH(COLUMNS($AC$1006:AO1006),$AC$1006:$AS$1006,0)), HYPERLINK("#",""), HYPERLINK(CONCATENATE("#metadata!", ADDRESS(INDEX($X$2:$X$1001,MATCH(ROWS($V$2:V299),$V$2:$V$1001,0),0), INDEX($AC$1004:$AS$1004,1,MATCH(COLUMNS($AC$1006:AO1006),$AC$1006:$AS$1006,0)))),"Fix")))</f>
        <v xml:space="preserve"> </v>
      </c>
      <c r="O299" s="4" t="str">
        <f ca="1">IF(OR(INDEX($W$2:$W$1001,MATCH(ROWS($V$2:V299),$V$2:$V$1001,0),1)&gt;=100000,INDEX($AC$1005:$AS$1005,1,MATCH(COLUMNS($AC$1006:AP1006),$AC$1006:$AS$1006,0))&gt;=100000), " ",IF(INDEX($AC$2:$AS$1001,MATCH(ROWS($V$2:V299),$V$2:$V$1001,0),MATCH(COLUMNS($AC$1006:AP1006),$AC$1006:$AS$1006,0)), HYPERLINK("#",""), HYPERLINK(CONCATENATE("#metadata!", ADDRESS(INDEX($X$2:$X$1001,MATCH(ROWS($V$2:V299),$V$2:$V$1001,0),0), INDEX($AC$1004:$AS$1004,1,MATCH(COLUMNS($AC$1006:AP1006),$AC$1006:$AS$1006,0)))),"Fix")))</f>
        <v xml:space="preserve"> </v>
      </c>
      <c r="P299" s="4" t="str">
        <f ca="1">IF(OR(INDEX($W$2:$W$1001,MATCH(ROWS($V$2:V299),$V$2:$V$1001,0),1)&gt;=100000,INDEX($AC$1005:$AS$1005,1,MATCH(COLUMNS($AC$1006:AQ1006),$AC$1006:$AS$1006,0))&gt;=100000), " ",IF(INDEX($AC$2:$AS$1001,MATCH(ROWS($V$2:V299),$V$2:$V$1001,0),MATCH(COLUMNS($AC$1006:AQ1006),$AC$1006:$AS$1006,0)), HYPERLINK("#",""), HYPERLINK(CONCATENATE("#metadata!", ADDRESS(INDEX($X$2:$X$1001,MATCH(ROWS($V$2:V299),$V$2:$V$1001,0),0), INDEX($AC$1004:$AS$1004,1,MATCH(COLUMNS($AC$1006:AQ1006),$AC$1006:$AS$1006,0)))),"Fix")))</f>
        <v xml:space="preserve"> </v>
      </c>
      <c r="Q299" s="4" t="str">
        <f ca="1">IF(OR(INDEX($W$2:$W$1001,MATCH(ROWS($V$2:V299),$V$2:$V$1001,0),1)&gt;=100000,INDEX($AC$1005:$AS$1005,1,MATCH(COLUMNS($AC$1006:AR1006),$AC$1006:$AS$1006,0))&gt;=100000), " ",IF(INDEX($AC$2:$AS$1001,MATCH(ROWS($V$2:V299),$V$2:$V$1001,0),MATCH(COLUMNS($AC$1006:AR1006),$AC$1006:$AS$1006,0)), HYPERLINK("#",""), HYPERLINK(CONCATENATE("#metadata!", ADDRESS(INDEX($X$2:$X$1001,MATCH(ROWS($V$2:V299),$V$2:$V$1001,0),0), INDEX($AC$1004:$AS$1004,1,MATCH(COLUMNS($AC$1006:AR1006),$AC$1006:$AS$1006,0)))),"Fix")))</f>
        <v xml:space="preserve"> </v>
      </c>
      <c r="R299" s="4" t="str">
        <f ca="1">IF(OR(INDEX($W$2:$W$1001,MATCH(ROWS($V$2:V299),$V$2:$V$1001,0),1)&gt;=100000,INDEX($AC$1005:$AS$1005,1,MATCH(COLUMNS($AC$1006:AS1006),$AC$1006:$AS$1006,0))&gt;=100000), " ",IF(INDEX($AC$2:$AS$1001,MATCH(ROWS($V$2:V299),$V$2:$V$1001,0),MATCH(COLUMNS($AC$1006:AS1006),$AC$1006:$AS$1006,0)), HYPERLINK("#",""), HYPERLINK(CONCATENATE("#metadata!", ADDRESS(INDEX($X$2:$X$1001,MATCH(ROWS($V$2:V299),$V$2:$V$1001,0),0), INDEX($AC$1004:$AS$1004,1,MATCH(COLUMNS($AC$1006:AS1006),$AC$1006:$AS$1006,0)))),"Fix")))</f>
        <v xml:space="preserve"> </v>
      </c>
      <c r="V299">
        <v>298</v>
      </c>
      <c r="W299">
        <v>100299</v>
      </c>
      <c r="X299">
        <v>299</v>
      </c>
      <c r="Y299" t="b">
        <f t="shared" si="4"/>
        <v>1</v>
      </c>
      <c r="Z299" t="b">
        <f>COUNTBLANK(metadata!B299:R299)=COLUMNS(metadata!B299:R299)</f>
        <v>1</v>
      </c>
      <c r="AA299" t="str">
        <v/>
      </c>
      <c r="AC299" t="b">
        <f ca="1"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AD299" t="b">
        <f>IF(metadata!C299="",FALSE,ISNUMBER(VALUE(metadata!C299)))</f>
        <v>0</v>
      </c>
      <c r="AE299" t="b">
        <f>AND(IF(metadata!D299="",FALSE,TRUE),EXACT(metadata!D299,"years"))</f>
        <v>0</v>
      </c>
      <c r="AF299" t="b">
        <f>OR(AND(IF(metadata!E299="",FALSE,TRUE),OR(EXACT(metadata!E299,"not applicable"),EXACT(metadata!E299,"missing: not collected"),EXACT(metadata!E299,"missing: not provided"),EXACT(metadata!E299,"missing: restricted access"))),AND(IF(metadata!E299="",FALSE,ISNUMBER(VALUE(metadata!E299))),metadata!E299&gt;0))</f>
        <v>0</v>
      </c>
      <c r="AG299" t="b">
        <f>AND(IF(metadata!F299="",FALSE,TRUE),EXACT(metadata!F299,"Not applicable"))</f>
        <v>0</v>
      </c>
      <c r="AH299" t="b">
        <f>AND(IF(metadata!G299="",FALSE,TRUE),EXACT(metadata!G299,"urban biome"))</f>
        <v>0</v>
      </c>
      <c r="AI299" t="b">
        <f>AND(IF(metadata!H299="",FALSE,TRUE),EXACT(metadata!H299,"human-associated habitat"))</f>
        <v>0</v>
      </c>
      <c r="AJ299" t="b">
        <f>AND(IF(metadata!I299="",FALSE,TRUE),OR(EXACT(metadata!I299,"human-associated"),EXACT(metadata!I299,"human-skin"),EXACT(metadata!I299,"human-oral"),EXACT(metadata!I299,"human-gut"),EXACT(metadata!I299,"human-vaginal")))</f>
        <v>0</v>
      </c>
      <c r="AK299" t="b">
        <f>IF(metadata!J299="",FALSE,ISNUMBER(VALUE(metadata!J299)))</f>
        <v>0</v>
      </c>
      <c r="AL299" t="b">
        <f>AND(IF(metadata!K299="",FALSE,TRUE),EXACT(metadata!K299,"cm"))</f>
        <v>0</v>
      </c>
      <c r="AM299" t="b">
        <f>AND(IF(metadata!L299="",FALSE,TRUE),EXACT(metadata!L299,"human"))</f>
        <v>0</v>
      </c>
      <c r="AN299" t="b">
        <f>AND(IF(metadata!M299="",FALSE,TRUE),EXACT(metadata!M299,"Homo sapiens"))</f>
        <v>0</v>
      </c>
      <c r="AO299" t="b">
        <f>AND(IF(metadata!N299="",FALSE,TRUE),EXACT(metadata!N299,"9606"))</f>
        <v>0</v>
      </c>
      <c r="AP299" t="b">
        <f>IF(metadata!O299="",FALSE,TRUE)</f>
        <v>0</v>
      </c>
      <c r="AQ299" t="b">
        <f>IF(metadata!P299="",FALSE,TRUE)</f>
        <v>0</v>
      </c>
      <c r="AR299" t="b">
        <f>IF(metadata!Q299="",FALSE,ISNUMBER(VALUE(metadata!Q299)))</f>
        <v>0</v>
      </c>
      <c r="AS299" t="b">
        <f>AND(IF(metadata!R299="",FALSE,TRUE),EXACT(metadata!R299,"kg"))</f>
        <v>0</v>
      </c>
    </row>
    <row r="300" spans="1:45" x14ac:dyDescent="0.2">
      <c r="A300" s="5" t="str">
        <f ca="1">IF(B300=" "," ",HYPERLINK(CONCATENATE("#metadata!",ADDRESS(INDEX($X$2:$X$1001,MATCH(ROWS($V$2:V300),$V$2:$V$1001,0),0),1)),INDEX($AA$2:$AA$1001,MATCH(ROWS($V$2:V300),$V$2:$V$1001,0),0)))</f>
        <v xml:space="preserve"> </v>
      </c>
      <c r="B300" s="4" t="str">
        <f ca="1">IF(OR(INDEX($W$2:$W$1001,MATCH(ROWS($V$2:V300),$V$2:$V$1001,0),1)&gt;=100000,INDEX($AC$1005:$AS$1005,1,MATCH(COLUMNS($AC$1006:AC1006),$AC$1006:$AS$1006,0))&gt;=100000), " ",IF(INDEX($AC$2:$AS$1001,MATCH(ROWS($V$2:V300),$V$2:$V$1001,0),MATCH(COLUMNS($AC$1006:AC1006),$AC$1006:$AS$1006,0)), HYPERLINK("#",""), HYPERLINK(CONCATENATE("#metadata!", ADDRESS(INDEX($X$2:$X$1001,MATCH(ROWS($V$2:V300),$V$2:$V$1001,0),0), INDEX($AC$1004:$AS$1004,1,MATCH(COLUMNS($AC$1006:AC1006),$AC$1006:$AS$1006,0)))),"Fix")))</f>
        <v xml:space="preserve"> </v>
      </c>
      <c r="C300" s="4" t="str">
        <f ca="1">IF(OR(INDEX($W$2:$W$1001,MATCH(ROWS($V$2:V300),$V$2:$V$1001,0),1)&gt;=100000,INDEX($AC$1005:$AS$1005,1,MATCH(COLUMNS($AC$1006:AD1006),$AC$1006:$AS$1006,0))&gt;=100000), " ",IF(INDEX($AC$2:$AS$1001,MATCH(ROWS($V$2:V300),$V$2:$V$1001,0),MATCH(COLUMNS($AC$1006:AD1006),$AC$1006:$AS$1006,0)), HYPERLINK("#",""), HYPERLINK(CONCATENATE("#metadata!", ADDRESS(INDEX($X$2:$X$1001,MATCH(ROWS($V$2:V300),$V$2:$V$1001,0),0), INDEX($AC$1004:$AS$1004,1,MATCH(COLUMNS($AC$1006:AD1006),$AC$1006:$AS$1006,0)))),"Fix")))</f>
        <v xml:space="preserve"> </v>
      </c>
      <c r="D300" s="4" t="str">
        <f ca="1">IF(OR(INDEX($W$2:$W$1001,MATCH(ROWS($V$2:V300),$V$2:$V$1001,0),1)&gt;=100000,INDEX($AC$1005:$AS$1005,1,MATCH(COLUMNS($AC$1006:AE1006),$AC$1006:$AS$1006,0))&gt;=100000), " ",IF(INDEX($AC$2:$AS$1001,MATCH(ROWS($V$2:V300),$V$2:$V$1001,0),MATCH(COLUMNS($AC$1006:AE1006),$AC$1006:$AS$1006,0)), HYPERLINK("#",""), HYPERLINK(CONCATENATE("#metadata!", ADDRESS(INDEX($X$2:$X$1001,MATCH(ROWS($V$2:V300),$V$2:$V$1001,0),0), INDEX($AC$1004:$AS$1004,1,MATCH(COLUMNS($AC$1006:AE1006),$AC$1006:$AS$1006,0)))),"Fix")))</f>
        <v xml:space="preserve"> </v>
      </c>
      <c r="E300" s="4" t="str">
        <f ca="1">IF(OR(INDEX($W$2:$W$1001,MATCH(ROWS($V$2:V300),$V$2:$V$1001,0),1)&gt;=100000,INDEX($AC$1005:$AS$1005,1,MATCH(COLUMNS($AC$1006:AF1006),$AC$1006:$AS$1006,0))&gt;=100000), " ",IF(INDEX($AC$2:$AS$1001,MATCH(ROWS($V$2:V300),$V$2:$V$1001,0),MATCH(COLUMNS($AC$1006:AF1006),$AC$1006:$AS$1006,0)), HYPERLINK("#",""), HYPERLINK(CONCATENATE("#metadata!", ADDRESS(INDEX($X$2:$X$1001,MATCH(ROWS($V$2:V300),$V$2:$V$1001,0),0), INDEX($AC$1004:$AS$1004,1,MATCH(COLUMNS($AC$1006:AF1006),$AC$1006:$AS$1006,0)))),"Fix")))</f>
        <v xml:space="preserve"> </v>
      </c>
      <c r="F300" s="4" t="str">
        <f ca="1">IF(OR(INDEX($W$2:$W$1001,MATCH(ROWS($V$2:V300),$V$2:$V$1001,0),1)&gt;=100000,INDEX($AC$1005:$AS$1005,1,MATCH(COLUMNS($AC$1006:AG1006),$AC$1006:$AS$1006,0))&gt;=100000), " ",IF(INDEX($AC$2:$AS$1001,MATCH(ROWS($V$2:V300),$V$2:$V$1001,0),MATCH(COLUMNS($AC$1006:AG1006),$AC$1006:$AS$1006,0)), HYPERLINK("#",""), HYPERLINK(CONCATENATE("#metadata!", ADDRESS(INDEX($X$2:$X$1001,MATCH(ROWS($V$2:V300),$V$2:$V$1001,0),0), INDEX($AC$1004:$AS$1004,1,MATCH(COLUMNS($AC$1006:AG1006),$AC$1006:$AS$1006,0)))),"Fix")))</f>
        <v xml:space="preserve"> </v>
      </c>
      <c r="G300" s="4" t="str">
        <f ca="1">IF(OR(INDEX($W$2:$W$1001,MATCH(ROWS($V$2:V300),$V$2:$V$1001,0),1)&gt;=100000,INDEX($AC$1005:$AS$1005,1,MATCH(COLUMNS($AC$1006:AH1006),$AC$1006:$AS$1006,0))&gt;=100000), " ",IF(INDEX($AC$2:$AS$1001,MATCH(ROWS($V$2:V300),$V$2:$V$1001,0),MATCH(COLUMNS($AC$1006:AH1006),$AC$1006:$AS$1006,0)), HYPERLINK("#",""), HYPERLINK(CONCATENATE("#metadata!", ADDRESS(INDEX($X$2:$X$1001,MATCH(ROWS($V$2:V300),$V$2:$V$1001,0),0), INDEX($AC$1004:$AS$1004,1,MATCH(COLUMNS($AC$1006:AH1006),$AC$1006:$AS$1006,0)))),"Fix")))</f>
        <v xml:space="preserve"> </v>
      </c>
      <c r="H300" s="4" t="str">
        <f ca="1">IF(OR(INDEX($W$2:$W$1001,MATCH(ROWS($V$2:V300),$V$2:$V$1001,0),1)&gt;=100000,INDEX($AC$1005:$AS$1005,1,MATCH(COLUMNS($AC$1006:AI1006),$AC$1006:$AS$1006,0))&gt;=100000), " ",IF(INDEX($AC$2:$AS$1001,MATCH(ROWS($V$2:V300),$V$2:$V$1001,0),MATCH(COLUMNS($AC$1006:AI1006),$AC$1006:$AS$1006,0)), HYPERLINK("#",""), HYPERLINK(CONCATENATE("#metadata!", ADDRESS(INDEX($X$2:$X$1001,MATCH(ROWS($V$2:V300),$V$2:$V$1001,0),0), INDEX($AC$1004:$AS$1004,1,MATCH(COLUMNS($AC$1006:AI1006),$AC$1006:$AS$1006,0)))),"Fix")))</f>
        <v xml:space="preserve"> </v>
      </c>
      <c r="I300" s="4" t="str">
        <f ca="1">IF(OR(INDEX($W$2:$W$1001,MATCH(ROWS($V$2:V300),$V$2:$V$1001,0),1)&gt;=100000,INDEX($AC$1005:$AS$1005,1,MATCH(COLUMNS($AC$1006:AJ1006),$AC$1006:$AS$1006,0))&gt;=100000), " ",IF(INDEX($AC$2:$AS$1001,MATCH(ROWS($V$2:V300),$V$2:$V$1001,0),MATCH(COLUMNS($AC$1006:AJ1006),$AC$1006:$AS$1006,0)), HYPERLINK("#",""), HYPERLINK(CONCATENATE("#metadata!", ADDRESS(INDEX($X$2:$X$1001,MATCH(ROWS($V$2:V300),$V$2:$V$1001,0),0), INDEX($AC$1004:$AS$1004,1,MATCH(COLUMNS($AC$1006:AJ1006),$AC$1006:$AS$1006,0)))),"Fix")))</f>
        <v xml:space="preserve"> </v>
      </c>
      <c r="J300" s="4" t="str">
        <f ca="1">IF(OR(INDEX($W$2:$W$1001,MATCH(ROWS($V$2:V300),$V$2:$V$1001,0),1)&gt;=100000,INDEX($AC$1005:$AS$1005,1,MATCH(COLUMNS($AC$1006:AK1006),$AC$1006:$AS$1006,0))&gt;=100000), " ",IF(INDEX($AC$2:$AS$1001,MATCH(ROWS($V$2:V300),$V$2:$V$1001,0),MATCH(COLUMNS($AC$1006:AK1006),$AC$1006:$AS$1006,0)), HYPERLINK("#",""), HYPERLINK(CONCATENATE("#metadata!", ADDRESS(INDEX($X$2:$X$1001,MATCH(ROWS($V$2:V300),$V$2:$V$1001,0),0), INDEX($AC$1004:$AS$1004,1,MATCH(COLUMNS($AC$1006:AK1006),$AC$1006:$AS$1006,0)))),"Fix")))</f>
        <v xml:space="preserve"> </v>
      </c>
      <c r="K300" s="4" t="str">
        <f ca="1">IF(OR(INDEX($W$2:$W$1001,MATCH(ROWS($V$2:V300),$V$2:$V$1001,0),1)&gt;=100000,INDEX($AC$1005:$AS$1005,1,MATCH(COLUMNS($AC$1006:AL1006),$AC$1006:$AS$1006,0))&gt;=100000), " ",IF(INDEX($AC$2:$AS$1001,MATCH(ROWS($V$2:V300),$V$2:$V$1001,0),MATCH(COLUMNS($AC$1006:AL1006),$AC$1006:$AS$1006,0)), HYPERLINK("#",""), HYPERLINK(CONCATENATE("#metadata!", ADDRESS(INDEX($X$2:$X$1001,MATCH(ROWS($V$2:V300),$V$2:$V$1001,0),0), INDEX($AC$1004:$AS$1004,1,MATCH(COLUMNS($AC$1006:AL1006),$AC$1006:$AS$1006,0)))),"Fix")))</f>
        <v xml:space="preserve"> </v>
      </c>
      <c r="L300" s="4" t="str">
        <f ca="1">IF(OR(INDEX($W$2:$W$1001,MATCH(ROWS($V$2:V300),$V$2:$V$1001,0),1)&gt;=100000,INDEX($AC$1005:$AS$1005,1,MATCH(COLUMNS($AC$1006:AM1006),$AC$1006:$AS$1006,0))&gt;=100000), " ",IF(INDEX($AC$2:$AS$1001,MATCH(ROWS($V$2:V300),$V$2:$V$1001,0),MATCH(COLUMNS($AC$1006:AM1006),$AC$1006:$AS$1006,0)), HYPERLINK("#",""), HYPERLINK(CONCATENATE("#metadata!", ADDRESS(INDEX($X$2:$X$1001,MATCH(ROWS($V$2:V300),$V$2:$V$1001,0),0), INDEX($AC$1004:$AS$1004,1,MATCH(COLUMNS($AC$1006:AM1006),$AC$1006:$AS$1006,0)))),"Fix")))</f>
        <v xml:space="preserve"> </v>
      </c>
      <c r="M300" s="4" t="str">
        <f ca="1">IF(OR(INDEX($W$2:$W$1001,MATCH(ROWS($V$2:V300),$V$2:$V$1001,0),1)&gt;=100000,INDEX($AC$1005:$AS$1005,1,MATCH(COLUMNS($AC$1006:AN1006),$AC$1006:$AS$1006,0))&gt;=100000), " ",IF(INDEX($AC$2:$AS$1001,MATCH(ROWS($V$2:V300),$V$2:$V$1001,0),MATCH(COLUMNS($AC$1006:AN1006),$AC$1006:$AS$1006,0)), HYPERLINK("#",""), HYPERLINK(CONCATENATE("#metadata!", ADDRESS(INDEX($X$2:$X$1001,MATCH(ROWS($V$2:V300),$V$2:$V$1001,0),0), INDEX($AC$1004:$AS$1004,1,MATCH(COLUMNS($AC$1006:AN1006),$AC$1006:$AS$1006,0)))),"Fix")))</f>
        <v xml:space="preserve"> </v>
      </c>
      <c r="N300" s="4" t="str">
        <f ca="1">IF(OR(INDEX($W$2:$W$1001,MATCH(ROWS($V$2:V300),$V$2:$V$1001,0),1)&gt;=100000,INDEX($AC$1005:$AS$1005,1,MATCH(COLUMNS($AC$1006:AO1006),$AC$1006:$AS$1006,0))&gt;=100000), " ",IF(INDEX($AC$2:$AS$1001,MATCH(ROWS($V$2:V300),$V$2:$V$1001,0),MATCH(COLUMNS($AC$1006:AO1006),$AC$1006:$AS$1006,0)), HYPERLINK("#",""), HYPERLINK(CONCATENATE("#metadata!", ADDRESS(INDEX($X$2:$X$1001,MATCH(ROWS($V$2:V300),$V$2:$V$1001,0),0), INDEX($AC$1004:$AS$1004,1,MATCH(COLUMNS($AC$1006:AO1006),$AC$1006:$AS$1006,0)))),"Fix")))</f>
        <v xml:space="preserve"> </v>
      </c>
      <c r="O300" s="4" t="str">
        <f ca="1">IF(OR(INDEX($W$2:$W$1001,MATCH(ROWS($V$2:V300),$V$2:$V$1001,0),1)&gt;=100000,INDEX($AC$1005:$AS$1005,1,MATCH(COLUMNS($AC$1006:AP1006),$AC$1006:$AS$1006,0))&gt;=100000), " ",IF(INDEX($AC$2:$AS$1001,MATCH(ROWS($V$2:V300),$V$2:$V$1001,0),MATCH(COLUMNS($AC$1006:AP1006),$AC$1006:$AS$1006,0)), HYPERLINK("#",""), HYPERLINK(CONCATENATE("#metadata!", ADDRESS(INDEX($X$2:$X$1001,MATCH(ROWS($V$2:V300),$V$2:$V$1001,0),0), INDEX($AC$1004:$AS$1004,1,MATCH(COLUMNS($AC$1006:AP1006),$AC$1006:$AS$1006,0)))),"Fix")))</f>
        <v xml:space="preserve"> </v>
      </c>
      <c r="P300" s="4" t="str">
        <f ca="1">IF(OR(INDEX($W$2:$W$1001,MATCH(ROWS($V$2:V300),$V$2:$V$1001,0),1)&gt;=100000,INDEX($AC$1005:$AS$1005,1,MATCH(COLUMNS($AC$1006:AQ1006),$AC$1006:$AS$1006,0))&gt;=100000), " ",IF(INDEX($AC$2:$AS$1001,MATCH(ROWS($V$2:V300),$V$2:$V$1001,0),MATCH(COLUMNS($AC$1006:AQ1006),$AC$1006:$AS$1006,0)), HYPERLINK("#",""), HYPERLINK(CONCATENATE("#metadata!", ADDRESS(INDEX($X$2:$X$1001,MATCH(ROWS($V$2:V300),$V$2:$V$1001,0),0), INDEX($AC$1004:$AS$1004,1,MATCH(COLUMNS($AC$1006:AQ1006),$AC$1006:$AS$1006,0)))),"Fix")))</f>
        <v xml:space="preserve"> </v>
      </c>
      <c r="Q300" s="4" t="str">
        <f ca="1">IF(OR(INDEX($W$2:$W$1001,MATCH(ROWS($V$2:V300),$V$2:$V$1001,0),1)&gt;=100000,INDEX($AC$1005:$AS$1005,1,MATCH(COLUMNS($AC$1006:AR1006),$AC$1006:$AS$1006,0))&gt;=100000), " ",IF(INDEX($AC$2:$AS$1001,MATCH(ROWS($V$2:V300),$V$2:$V$1001,0),MATCH(COLUMNS($AC$1006:AR1006),$AC$1006:$AS$1006,0)), HYPERLINK("#",""), HYPERLINK(CONCATENATE("#metadata!", ADDRESS(INDEX($X$2:$X$1001,MATCH(ROWS($V$2:V300),$V$2:$V$1001,0),0), INDEX($AC$1004:$AS$1004,1,MATCH(COLUMNS($AC$1006:AR1006),$AC$1006:$AS$1006,0)))),"Fix")))</f>
        <v xml:space="preserve"> </v>
      </c>
      <c r="R300" s="4" t="str">
        <f ca="1">IF(OR(INDEX($W$2:$W$1001,MATCH(ROWS($V$2:V300),$V$2:$V$1001,0),1)&gt;=100000,INDEX($AC$1005:$AS$1005,1,MATCH(COLUMNS($AC$1006:AS1006),$AC$1006:$AS$1006,0))&gt;=100000), " ",IF(INDEX($AC$2:$AS$1001,MATCH(ROWS($V$2:V300),$V$2:$V$1001,0),MATCH(COLUMNS($AC$1006:AS1006),$AC$1006:$AS$1006,0)), HYPERLINK("#",""), HYPERLINK(CONCATENATE("#metadata!", ADDRESS(INDEX($X$2:$X$1001,MATCH(ROWS($V$2:V300),$V$2:$V$1001,0),0), INDEX($AC$1004:$AS$1004,1,MATCH(COLUMNS($AC$1006:AS1006),$AC$1006:$AS$1006,0)))),"Fix")))</f>
        <v xml:space="preserve"> </v>
      </c>
      <c r="V300">
        <v>299</v>
      </c>
      <c r="W300">
        <v>100300</v>
      </c>
      <c r="X300">
        <v>300</v>
      </c>
      <c r="Y300" t="b">
        <f t="shared" si="4"/>
        <v>1</v>
      </c>
      <c r="Z300" t="b">
        <f>COUNTBLANK(metadata!B300:R300)=COLUMNS(metadata!B300:R300)</f>
        <v>1</v>
      </c>
      <c r="AA300" t="str">
        <v/>
      </c>
      <c r="AC300" t="b">
        <f ca="1"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AD300" t="b">
        <f>IF(metadata!C300="",FALSE,ISNUMBER(VALUE(metadata!C300)))</f>
        <v>0</v>
      </c>
      <c r="AE300" t="b">
        <f>AND(IF(metadata!D300="",FALSE,TRUE),EXACT(metadata!D300,"years"))</f>
        <v>0</v>
      </c>
      <c r="AF300" t="b">
        <f>OR(AND(IF(metadata!E300="",FALSE,TRUE),OR(EXACT(metadata!E300,"not applicable"),EXACT(metadata!E300,"missing: not collected"),EXACT(metadata!E300,"missing: not provided"),EXACT(metadata!E300,"missing: restricted access"))),AND(IF(metadata!E300="",FALSE,ISNUMBER(VALUE(metadata!E300))),metadata!E300&gt;0))</f>
        <v>0</v>
      </c>
      <c r="AG300" t="b">
        <f>AND(IF(metadata!F300="",FALSE,TRUE),EXACT(metadata!F300,"Not applicable"))</f>
        <v>0</v>
      </c>
      <c r="AH300" t="b">
        <f>AND(IF(metadata!G300="",FALSE,TRUE),EXACT(metadata!G300,"urban biome"))</f>
        <v>0</v>
      </c>
      <c r="AI300" t="b">
        <f>AND(IF(metadata!H300="",FALSE,TRUE),EXACT(metadata!H300,"human-associated habitat"))</f>
        <v>0</v>
      </c>
      <c r="AJ300" t="b">
        <f>AND(IF(metadata!I300="",FALSE,TRUE),OR(EXACT(metadata!I300,"human-associated"),EXACT(metadata!I300,"human-skin"),EXACT(metadata!I300,"human-oral"),EXACT(metadata!I300,"human-gut"),EXACT(metadata!I300,"human-vaginal")))</f>
        <v>0</v>
      </c>
      <c r="AK300" t="b">
        <f>IF(metadata!J300="",FALSE,ISNUMBER(VALUE(metadata!J300)))</f>
        <v>0</v>
      </c>
      <c r="AL300" t="b">
        <f>AND(IF(metadata!K300="",FALSE,TRUE),EXACT(metadata!K300,"cm"))</f>
        <v>0</v>
      </c>
      <c r="AM300" t="b">
        <f>AND(IF(metadata!L300="",FALSE,TRUE),EXACT(metadata!L300,"human"))</f>
        <v>0</v>
      </c>
      <c r="AN300" t="b">
        <f>AND(IF(metadata!M300="",FALSE,TRUE),EXACT(metadata!M300,"Homo sapiens"))</f>
        <v>0</v>
      </c>
      <c r="AO300" t="b">
        <f>AND(IF(metadata!N300="",FALSE,TRUE),EXACT(metadata!N300,"9606"))</f>
        <v>0</v>
      </c>
      <c r="AP300" t="b">
        <f>IF(metadata!O300="",FALSE,TRUE)</f>
        <v>0</v>
      </c>
      <c r="AQ300" t="b">
        <f>IF(metadata!P300="",FALSE,TRUE)</f>
        <v>0</v>
      </c>
      <c r="AR300" t="b">
        <f>IF(metadata!Q300="",FALSE,ISNUMBER(VALUE(metadata!Q300)))</f>
        <v>0</v>
      </c>
      <c r="AS300" t="b">
        <f>AND(IF(metadata!R300="",FALSE,TRUE),EXACT(metadata!R300,"kg"))</f>
        <v>0</v>
      </c>
    </row>
    <row r="301" spans="1:45" x14ac:dyDescent="0.2">
      <c r="A301" s="5" t="str">
        <f ca="1">IF(B301=" "," ",HYPERLINK(CONCATENATE("#metadata!",ADDRESS(INDEX($X$2:$X$1001,MATCH(ROWS($V$2:V301),$V$2:$V$1001,0),0),1)),INDEX($AA$2:$AA$1001,MATCH(ROWS($V$2:V301),$V$2:$V$1001,0),0)))</f>
        <v xml:space="preserve"> </v>
      </c>
      <c r="B301" s="4" t="str">
        <f ca="1">IF(OR(INDEX($W$2:$W$1001,MATCH(ROWS($V$2:V301),$V$2:$V$1001,0),1)&gt;=100000,INDEX($AC$1005:$AS$1005,1,MATCH(COLUMNS($AC$1006:AC1006),$AC$1006:$AS$1006,0))&gt;=100000), " ",IF(INDEX($AC$2:$AS$1001,MATCH(ROWS($V$2:V301),$V$2:$V$1001,0),MATCH(COLUMNS($AC$1006:AC1006),$AC$1006:$AS$1006,0)), HYPERLINK("#",""), HYPERLINK(CONCATENATE("#metadata!", ADDRESS(INDEX($X$2:$X$1001,MATCH(ROWS($V$2:V301),$V$2:$V$1001,0),0), INDEX($AC$1004:$AS$1004,1,MATCH(COLUMNS($AC$1006:AC1006),$AC$1006:$AS$1006,0)))),"Fix")))</f>
        <v xml:space="preserve"> </v>
      </c>
      <c r="C301" s="4" t="str">
        <f ca="1">IF(OR(INDEX($W$2:$W$1001,MATCH(ROWS($V$2:V301),$V$2:$V$1001,0),1)&gt;=100000,INDEX($AC$1005:$AS$1005,1,MATCH(COLUMNS($AC$1006:AD1006),$AC$1006:$AS$1006,0))&gt;=100000), " ",IF(INDEX($AC$2:$AS$1001,MATCH(ROWS($V$2:V301),$V$2:$V$1001,0),MATCH(COLUMNS($AC$1006:AD1006),$AC$1006:$AS$1006,0)), HYPERLINK("#",""), HYPERLINK(CONCATENATE("#metadata!", ADDRESS(INDEX($X$2:$X$1001,MATCH(ROWS($V$2:V301),$V$2:$V$1001,0),0), INDEX($AC$1004:$AS$1004,1,MATCH(COLUMNS($AC$1006:AD1006),$AC$1006:$AS$1006,0)))),"Fix")))</f>
        <v xml:space="preserve"> </v>
      </c>
      <c r="D301" s="4" t="str">
        <f ca="1">IF(OR(INDEX($W$2:$W$1001,MATCH(ROWS($V$2:V301),$V$2:$V$1001,0),1)&gt;=100000,INDEX($AC$1005:$AS$1005,1,MATCH(COLUMNS($AC$1006:AE1006),$AC$1006:$AS$1006,0))&gt;=100000), " ",IF(INDEX($AC$2:$AS$1001,MATCH(ROWS($V$2:V301),$V$2:$V$1001,0),MATCH(COLUMNS($AC$1006:AE1006),$AC$1006:$AS$1006,0)), HYPERLINK("#",""), HYPERLINK(CONCATENATE("#metadata!", ADDRESS(INDEX($X$2:$X$1001,MATCH(ROWS($V$2:V301),$V$2:$V$1001,0),0), INDEX($AC$1004:$AS$1004,1,MATCH(COLUMNS($AC$1006:AE1006),$AC$1006:$AS$1006,0)))),"Fix")))</f>
        <v xml:space="preserve"> </v>
      </c>
      <c r="E301" s="4" t="str">
        <f ca="1">IF(OR(INDEX($W$2:$W$1001,MATCH(ROWS($V$2:V301),$V$2:$V$1001,0),1)&gt;=100000,INDEX($AC$1005:$AS$1005,1,MATCH(COLUMNS($AC$1006:AF1006),$AC$1006:$AS$1006,0))&gt;=100000), " ",IF(INDEX($AC$2:$AS$1001,MATCH(ROWS($V$2:V301),$V$2:$V$1001,0),MATCH(COLUMNS($AC$1006:AF1006),$AC$1006:$AS$1006,0)), HYPERLINK("#",""), HYPERLINK(CONCATENATE("#metadata!", ADDRESS(INDEX($X$2:$X$1001,MATCH(ROWS($V$2:V301),$V$2:$V$1001,0),0), INDEX($AC$1004:$AS$1004,1,MATCH(COLUMNS($AC$1006:AF1006),$AC$1006:$AS$1006,0)))),"Fix")))</f>
        <v xml:space="preserve"> </v>
      </c>
      <c r="F301" s="4" t="str">
        <f ca="1">IF(OR(INDEX($W$2:$W$1001,MATCH(ROWS($V$2:V301),$V$2:$V$1001,0),1)&gt;=100000,INDEX($AC$1005:$AS$1005,1,MATCH(COLUMNS($AC$1006:AG1006),$AC$1006:$AS$1006,0))&gt;=100000), " ",IF(INDEX($AC$2:$AS$1001,MATCH(ROWS($V$2:V301),$V$2:$V$1001,0),MATCH(COLUMNS($AC$1006:AG1006),$AC$1006:$AS$1006,0)), HYPERLINK("#",""), HYPERLINK(CONCATENATE("#metadata!", ADDRESS(INDEX($X$2:$X$1001,MATCH(ROWS($V$2:V301),$V$2:$V$1001,0),0), INDEX($AC$1004:$AS$1004,1,MATCH(COLUMNS($AC$1006:AG1006),$AC$1006:$AS$1006,0)))),"Fix")))</f>
        <v xml:space="preserve"> </v>
      </c>
      <c r="G301" s="4" t="str">
        <f ca="1">IF(OR(INDEX($W$2:$W$1001,MATCH(ROWS($V$2:V301),$V$2:$V$1001,0),1)&gt;=100000,INDEX($AC$1005:$AS$1005,1,MATCH(COLUMNS($AC$1006:AH1006),$AC$1006:$AS$1006,0))&gt;=100000), " ",IF(INDEX($AC$2:$AS$1001,MATCH(ROWS($V$2:V301),$V$2:$V$1001,0),MATCH(COLUMNS($AC$1006:AH1006),$AC$1006:$AS$1006,0)), HYPERLINK("#",""), HYPERLINK(CONCATENATE("#metadata!", ADDRESS(INDEX($X$2:$X$1001,MATCH(ROWS($V$2:V301),$V$2:$V$1001,0),0), INDEX($AC$1004:$AS$1004,1,MATCH(COLUMNS($AC$1006:AH1006),$AC$1006:$AS$1006,0)))),"Fix")))</f>
        <v xml:space="preserve"> </v>
      </c>
      <c r="H301" s="4" t="str">
        <f ca="1">IF(OR(INDEX($W$2:$W$1001,MATCH(ROWS($V$2:V301),$V$2:$V$1001,0),1)&gt;=100000,INDEX($AC$1005:$AS$1005,1,MATCH(COLUMNS($AC$1006:AI1006),$AC$1006:$AS$1006,0))&gt;=100000), " ",IF(INDEX($AC$2:$AS$1001,MATCH(ROWS($V$2:V301),$V$2:$V$1001,0),MATCH(COLUMNS($AC$1006:AI1006),$AC$1006:$AS$1006,0)), HYPERLINK("#",""), HYPERLINK(CONCATENATE("#metadata!", ADDRESS(INDEX($X$2:$X$1001,MATCH(ROWS($V$2:V301),$V$2:$V$1001,0),0), INDEX($AC$1004:$AS$1004,1,MATCH(COLUMNS($AC$1006:AI1006),$AC$1006:$AS$1006,0)))),"Fix")))</f>
        <v xml:space="preserve"> </v>
      </c>
      <c r="I301" s="4" t="str">
        <f ca="1">IF(OR(INDEX($W$2:$W$1001,MATCH(ROWS($V$2:V301),$V$2:$V$1001,0),1)&gt;=100000,INDEX($AC$1005:$AS$1005,1,MATCH(COLUMNS($AC$1006:AJ1006),$AC$1006:$AS$1006,0))&gt;=100000), " ",IF(INDEX($AC$2:$AS$1001,MATCH(ROWS($V$2:V301),$V$2:$V$1001,0),MATCH(COLUMNS($AC$1006:AJ1006),$AC$1006:$AS$1006,0)), HYPERLINK("#",""), HYPERLINK(CONCATENATE("#metadata!", ADDRESS(INDEX($X$2:$X$1001,MATCH(ROWS($V$2:V301),$V$2:$V$1001,0),0), INDEX($AC$1004:$AS$1004,1,MATCH(COLUMNS($AC$1006:AJ1006),$AC$1006:$AS$1006,0)))),"Fix")))</f>
        <v xml:space="preserve"> </v>
      </c>
      <c r="J301" s="4" t="str">
        <f ca="1">IF(OR(INDEX($W$2:$W$1001,MATCH(ROWS($V$2:V301),$V$2:$V$1001,0),1)&gt;=100000,INDEX($AC$1005:$AS$1005,1,MATCH(COLUMNS($AC$1006:AK1006),$AC$1006:$AS$1006,0))&gt;=100000), " ",IF(INDEX($AC$2:$AS$1001,MATCH(ROWS($V$2:V301),$V$2:$V$1001,0),MATCH(COLUMNS($AC$1006:AK1006),$AC$1006:$AS$1006,0)), HYPERLINK("#",""), HYPERLINK(CONCATENATE("#metadata!", ADDRESS(INDEX($X$2:$X$1001,MATCH(ROWS($V$2:V301),$V$2:$V$1001,0),0), INDEX($AC$1004:$AS$1004,1,MATCH(COLUMNS($AC$1006:AK1006),$AC$1006:$AS$1006,0)))),"Fix")))</f>
        <v xml:space="preserve"> </v>
      </c>
      <c r="K301" s="4" t="str">
        <f ca="1">IF(OR(INDEX($W$2:$W$1001,MATCH(ROWS($V$2:V301),$V$2:$V$1001,0),1)&gt;=100000,INDEX($AC$1005:$AS$1005,1,MATCH(COLUMNS($AC$1006:AL1006),$AC$1006:$AS$1006,0))&gt;=100000), " ",IF(INDEX($AC$2:$AS$1001,MATCH(ROWS($V$2:V301),$V$2:$V$1001,0),MATCH(COLUMNS($AC$1006:AL1006),$AC$1006:$AS$1006,0)), HYPERLINK("#",""), HYPERLINK(CONCATENATE("#metadata!", ADDRESS(INDEX($X$2:$X$1001,MATCH(ROWS($V$2:V301),$V$2:$V$1001,0),0), INDEX($AC$1004:$AS$1004,1,MATCH(COLUMNS($AC$1006:AL1006),$AC$1006:$AS$1006,0)))),"Fix")))</f>
        <v xml:space="preserve"> </v>
      </c>
      <c r="L301" s="4" t="str">
        <f ca="1">IF(OR(INDEX($W$2:$W$1001,MATCH(ROWS($V$2:V301),$V$2:$V$1001,0),1)&gt;=100000,INDEX($AC$1005:$AS$1005,1,MATCH(COLUMNS($AC$1006:AM1006),$AC$1006:$AS$1006,0))&gt;=100000), " ",IF(INDEX($AC$2:$AS$1001,MATCH(ROWS($V$2:V301),$V$2:$V$1001,0),MATCH(COLUMNS($AC$1006:AM1006),$AC$1006:$AS$1006,0)), HYPERLINK("#",""), HYPERLINK(CONCATENATE("#metadata!", ADDRESS(INDEX($X$2:$X$1001,MATCH(ROWS($V$2:V301),$V$2:$V$1001,0),0), INDEX($AC$1004:$AS$1004,1,MATCH(COLUMNS($AC$1006:AM1006),$AC$1006:$AS$1006,0)))),"Fix")))</f>
        <v xml:space="preserve"> </v>
      </c>
      <c r="M301" s="4" t="str">
        <f ca="1">IF(OR(INDEX($W$2:$W$1001,MATCH(ROWS($V$2:V301),$V$2:$V$1001,0),1)&gt;=100000,INDEX($AC$1005:$AS$1005,1,MATCH(COLUMNS($AC$1006:AN1006),$AC$1006:$AS$1006,0))&gt;=100000), " ",IF(INDEX($AC$2:$AS$1001,MATCH(ROWS($V$2:V301),$V$2:$V$1001,0),MATCH(COLUMNS($AC$1006:AN1006),$AC$1006:$AS$1006,0)), HYPERLINK("#",""), HYPERLINK(CONCATENATE("#metadata!", ADDRESS(INDEX($X$2:$X$1001,MATCH(ROWS($V$2:V301),$V$2:$V$1001,0),0), INDEX($AC$1004:$AS$1004,1,MATCH(COLUMNS($AC$1006:AN1006),$AC$1006:$AS$1006,0)))),"Fix")))</f>
        <v xml:space="preserve"> </v>
      </c>
      <c r="N301" s="4" t="str">
        <f ca="1">IF(OR(INDEX($W$2:$W$1001,MATCH(ROWS($V$2:V301),$V$2:$V$1001,0),1)&gt;=100000,INDEX($AC$1005:$AS$1005,1,MATCH(COLUMNS($AC$1006:AO1006),$AC$1006:$AS$1006,0))&gt;=100000), " ",IF(INDEX($AC$2:$AS$1001,MATCH(ROWS($V$2:V301),$V$2:$V$1001,0),MATCH(COLUMNS($AC$1006:AO1006),$AC$1006:$AS$1006,0)), HYPERLINK("#",""), HYPERLINK(CONCATENATE("#metadata!", ADDRESS(INDEX($X$2:$X$1001,MATCH(ROWS($V$2:V301),$V$2:$V$1001,0),0), INDEX($AC$1004:$AS$1004,1,MATCH(COLUMNS($AC$1006:AO1006),$AC$1006:$AS$1006,0)))),"Fix")))</f>
        <v xml:space="preserve"> </v>
      </c>
      <c r="O301" s="4" t="str">
        <f ca="1">IF(OR(INDEX($W$2:$W$1001,MATCH(ROWS($V$2:V301),$V$2:$V$1001,0),1)&gt;=100000,INDEX($AC$1005:$AS$1005,1,MATCH(COLUMNS($AC$1006:AP1006),$AC$1006:$AS$1006,0))&gt;=100000), " ",IF(INDEX($AC$2:$AS$1001,MATCH(ROWS($V$2:V301),$V$2:$V$1001,0),MATCH(COLUMNS($AC$1006:AP1006),$AC$1006:$AS$1006,0)), HYPERLINK("#",""), HYPERLINK(CONCATENATE("#metadata!", ADDRESS(INDEX($X$2:$X$1001,MATCH(ROWS($V$2:V301),$V$2:$V$1001,0),0), INDEX($AC$1004:$AS$1004,1,MATCH(COLUMNS($AC$1006:AP1006),$AC$1006:$AS$1006,0)))),"Fix")))</f>
        <v xml:space="preserve"> </v>
      </c>
      <c r="P301" s="4" t="str">
        <f ca="1">IF(OR(INDEX($W$2:$W$1001,MATCH(ROWS($V$2:V301),$V$2:$V$1001,0),1)&gt;=100000,INDEX($AC$1005:$AS$1005,1,MATCH(COLUMNS($AC$1006:AQ1006),$AC$1006:$AS$1006,0))&gt;=100000), " ",IF(INDEX($AC$2:$AS$1001,MATCH(ROWS($V$2:V301),$V$2:$V$1001,0),MATCH(COLUMNS($AC$1006:AQ1006),$AC$1006:$AS$1006,0)), HYPERLINK("#",""), HYPERLINK(CONCATENATE("#metadata!", ADDRESS(INDEX($X$2:$X$1001,MATCH(ROWS($V$2:V301),$V$2:$V$1001,0),0), INDEX($AC$1004:$AS$1004,1,MATCH(COLUMNS($AC$1006:AQ1006),$AC$1006:$AS$1006,0)))),"Fix")))</f>
        <v xml:space="preserve"> </v>
      </c>
      <c r="Q301" s="4" t="str">
        <f ca="1">IF(OR(INDEX($W$2:$W$1001,MATCH(ROWS($V$2:V301),$V$2:$V$1001,0),1)&gt;=100000,INDEX($AC$1005:$AS$1005,1,MATCH(COLUMNS($AC$1006:AR1006),$AC$1006:$AS$1006,0))&gt;=100000), " ",IF(INDEX($AC$2:$AS$1001,MATCH(ROWS($V$2:V301),$V$2:$V$1001,0),MATCH(COLUMNS($AC$1006:AR1006),$AC$1006:$AS$1006,0)), HYPERLINK("#",""), HYPERLINK(CONCATENATE("#metadata!", ADDRESS(INDEX($X$2:$X$1001,MATCH(ROWS($V$2:V301),$V$2:$V$1001,0),0), INDEX($AC$1004:$AS$1004,1,MATCH(COLUMNS($AC$1006:AR1006),$AC$1006:$AS$1006,0)))),"Fix")))</f>
        <v xml:space="preserve"> </v>
      </c>
      <c r="R301" s="4" t="str">
        <f ca="1">IF(OR(INDEX($W$2:$W$1001,MATCH(ROWS($V$2:V301),$V$2:$V$1001,0),1)&gt;=100000,INDEX($AC$1005:$AS$1005,1,MATCH(COLUMNS($AC$1006:AS1006),$AC$1006:$AS$1006,0))&gt;=100000), " ",IF(INDEX($AC$2:$AS$1001,MATCH(ROWS($V$2:V301),$V$2:$V$1001,0),MATCH(COLUMNS($AC$1006:AS1006),$AC$1006:$AS$1006,0)), HYPERLINK("#",""), HYPERLINK(CONCATENATE("#metadata!", ADDRESS(INDEX($X$2:$X$1001,MATCH(ROWS($V$2:V301),$V$2:$V$1001,0),0), INDEX($AC$1004:$AS$1004,1,MATCH(COLUMNS($AC$1006:AS1006),$AC$1006:$AS$1006,0)))),"Fix")))</f>
        <v xml:space="preserve"> </v>
      </c>
      <c r="V301">
        <v>300</v>
      </c>
      <c r="W301">
        <v>100301</v>
      </c>
      <c r="X301">
        <v>301</v>
      </c>
      <c r="Y301" t="b">
        <f t="shared" si="4"/>
        <v>1</v>
      </c>
      <c r="Z301" t="b">
        <f>COUNTBLANK(metadata!B301:R301)=COLUMNS(metadata!B301:R301)</f>
        <v>1</v>
      </c>
      <c r="AA301" t="str">
        <v/>
      </c>
      <c r="AC301" t="b">
        <f ca="1"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AD301" t="b">
        <f>IF(metadata!C301="",FALSE,ISNUMBER(VALUE(metadata!C301)))</f>
        <v>0</v>
      </c>
      <c r="AE301" t="b">
        <f>AND(IF(metadata!D301="",FALSE,TRUE),EXACT(metadata!D301,"years"))</f>
        <v>0</v>
      </c>
      <c r="AF301" t="b">
        <f>OR(AND(IF(metadata!E301="",FALSE,TRUE),OR(EXACT(metadata!E301,"not applicable"),EXACT(metadata!E301,"missing: not collected"),EXACT(metadata!E301,"missing: not provided"),EXACT(metadata!E301,"missing: restricted access"))),AND(IF(metadata!E301="",FALSE,ISNUMBER(VALUE(metadata!E301))),metadata!E301&gt;0))</f>
        <v>0</v>
      </c>
      <c r="AG301" t="b">
        <f>AND(IF(metadata!F301="",FALSE,TRUE),EXACT(metadata!F301,"Not applicable"))</f>
        <v>0</v>
      </c>
      <c r="AH301" t="b">
        <f>AND(IF(metadata!G301="",FALSE,TRUE),EXACT(metadata!G301,"urban biome"))</f>
        <v>0</v>
      </c>
      <c r="AI301" t="b">
        <f>AND(IF(metadata!H301="",FALSE,TRUE),EXACT(metadata!H301,"human-associated habitat"))</f>
        <v>0</v>
      </c>
      <c r="AJ301" t="b">
        <f>AND(IF(metadata!I301="",FALSE,TRUE),OR(EXACT(metadata!I301,"human-associated"),EXACT(metadata!I301,"human-skin"),EXACT(metadata!I301,"human-oral"),EXACT(metadata!I301,"human-gut"),EXACT(metadata!I301,"human-vaginal")))</f>
        <v>0</v>
      </c>
      <c r="AK301" t="b">
        <f>IF(metadata!J301="",FALSE,ISNUMBER(VALUE(metadata!J301)))</f>
        <v>0</v>
      </c>
      <c r="AL301" t="b">
        <f>AND(IF(metadata!K301="",FALSE,TRUE),EXACT(metadata!K301,"cm"))</f>
        <v>0</v>
      </c>
      <c r="AM301" t="b">
        <f>AND(IF(metadata!L301="",FALSE,TRUE),EXACT(metadata!L301,"human"))</f>
        <v>0</v>
      </c>
      <c r="AN301" t="b">
        <f>AND(IF(metadata!M301="",FALSE,TRUE),EXACT(metadata!M301,"Homo sapiens"))</f>
        <v>0</v>
      </c>
      <c r="AO301" t="b">
        <f>AND(IF(metadata!N301="",FALSE,TRUE),EXACT(metadata!N301,"9606"))</f>
        <v>0</v>
      </c>
      <c r="AP301" t="b">
        <f>IF(metadata!O301="",FALSE,TRUE)</f>
        <v>0</v>
      </c>
      <c r="AQ301" t="b">
        <f>IF(metadata!P301="",FALSE,TRUE)</f>
        <v>0</v>
      </c>
      <c r="AR301" t="b">
        <f>IF(metadata!Q301="",FALSE,ISNUMBER(VALUE(metadata!Q301)))</f>
        <v>0</v>
      </c>
      <c r="AS301" t="b">
        <f>AND(IF(metadata!R301="",FALSE,TRUE),EXACT(metadata!R301,"kg"))</f>
        <v>0</v>
      </c>
    </row>
    <row r="302" spans="1:45" x14ac:dyDescent="0.2">
      <c r="A302" s="5" t="str">
        <f ca="1">IF(B302=" "," ",HYPERLINK(CONCATENATE("#metadata!",ADDRESS(INDEX($X$2:$X$1001,MATCH(ROWS($V$2:V302),$V$2:$V$1001,0),0),1)),INDEX($AA$2:$AA$1001,MATCH(ROWS($V$2:V302),$V$2:$V$1001,0),0)))</f>
        <v xml:space="preserve"> </v>
      </c>
      <c r="B302" s="4" t="str">
        <f ca="1">IF(OR(INDEX($W$2:$W$1001,MATCH(ROWS($V$2:V302),$V$2:$V$1001,0),1)&gt;=100000,INDEX($AC$1005:$AS$1005,1,MATCH(COLUMNS($AC$1006:AC1006),$AC$1006:$AS$1006,0))&gt;=100000), " ",IF(INDEX($AC$2:$AS$1001,MATCH(ROWS($V$2:V302),$V$2:$V$1001,0),MATCH(COLUMNS($AC$1006:AC1006),$AC$1006:$AS$1006,0)), HYPERLINK("#",""), HYPERLINK(CONCATENATE("#metadata!", ADDRESS(INDEX($X$2:$X$1001,MATCH(ROWS($V$2:V302),$V$2:$V$1001,0),0), INDEX($AC$1004:$AS$1004,1,MATCH(COLUMNS($AC$1006:AC1006),$AC$1006:$AS$1006,0)))),"Fix")))</f>
        <v xml:space="preserve"> </v>
      </c>
      <c r="C302" s="4" t="str">
        <f ca="1">IF(OR(INDEX($W$2:$W$1001,MATCH(ROWS($V$2:V302),$V$2:$V$1001,0),1)&gt;=100000,INDEX($AC$1005:$AS$1005,1,MATCH(COLUMNS($AC$1006:AD1006),$AC$1006:$AS$1006,0))&gt;=100000), " ",IF(INDEX($AC$2:$AS$1001,MATCH(ROWS($V$2:V302),$V$2:$V$1001,0),MATCH(COLUMNS($AC$1006:AD1006),$AC$1006:$AS$1006,0)), HYPERLINK("#",""), HYPERLINK(CONCATENATE("#metadata!", ADDRESS(INDEX($X$2:$X$1001,MATCH(ROWS($V$2:V302),$V$2:$V$1001,0),0), INDEX($AC$1004:$AS$1004,1,MATCH(COLUMNS($AC$1006:AD1006),$AC$1006:$AS$1006,0)))),"Fix")))</f>
        <v xml:space="preserve"> </v>
      </c>
      <c r="D302" s="4" t="str">
        <f ca="1">IF(OR(INDEX($W$2:$W$1001,MATCH(ROWS($V$2:V302),$V$2:$V$1001,0),1)&gt;=100000,INDEX($AC$1005:$AS$1005,1,MATCH(COLUMNS($AC$1006:AE1006),$AC$1006:$AS$1006,0))&gt;=100000), " ",IF(INDEX($AC$2:$AS$1001,MATCH(ROWS($V$2:V302),$V$2:$V$1001,0),MATCH(COLUMNS($AC$1006:AE1006),$AC$1006:$AS$1006,0)), HYPERLINK("#",""), HYPERLINK(CONCATENATE("#metadata!", ADDRESS(INDEX($X$2:$X$1001,MATCH(ROWS($V$2:V302),$V$2:$V$1001,0),0), INDEX($AC$1004:$AS$1004,1,MATCH(COLUMNS($AC$1006:AE1006),$AC$1006:$AS$1006,0)))),"Fix")))</f>
        <v xml:space="preserve"> </v>
      </c>
      <c r="E302" s="4" t="str">
        <f ca="1">IF(OR(INDEX($W$2:$W$1001,MATCH(ROWS($V$2:V302),$V$2:$V$1001,0),1)&gt;=100000,INDEX($AC$1005:$AS$1005,1,MATCH(COLUMNS($AC$1006:AF1006),$AC$1006:$AS$1006,0))&gt;=100000), " ",IF(INDEX($AC$2:$AS$1001,MATCH(ROWS($V$2:V302),$V$2:$V$1001,0),MATCH(COLUMNS($AC$1006:AF1006),$AC$1006:$AS$1006,0)), HYPERLINK("#",""), HYPERLINK(CONCATENATE("#metadata!", ADDRESS(INDEX($X$2:$X$1001,MATCH(ROWS($V$2:V302),$V$2:$V$1001,0),0), INDEX($AC$1004:$AS$1004,1,MATCH(COLUMNS($AC$1006:AF1006),$AC$1006:$AS$1006,0)))),"Fix")))</f>
        <v xml:space="preserve"> </v>
      </c>
      <c r="F302" s="4" t="str">
        <f ca="1">IF(OR(INDEX($W$2:$W$1001,MATCH(ROWS($V$2:V302),$V$2:$V$1001,0),1)&gt;=100000,INDEX($AC$1005:$AS$1005,1,MATCH(COLUMNS($AC$1006:AG1006),$AC$1006:$AS$1006,0))&gt;=100000), " ",IF(INDEX($AC$2:$AS$1001,MATCH(ROWS($V$2:V302),$V$2:$V$1001,0),MATCH(COLUMNS($AC$1006:AG1006),$AC$1006:$AS$1006,0)), HYPERLINK("#",""), HYPERLINK(CONCATENATE("#metadata!", ADDRESS(INDEX($X$2:$X$1001,MATCH(ROWS($V$2:V302),$V$2:$V$1001,0),0), INDEX($AC$1004:$AS$1004,1,MATCH(COLUMNS($AC$1006:AG1006),$AC$1006:$AS$1006,0)))),"Fix")))</f>
        <v xml:space="preserve"> </v>
      </c>
      <c r="G302" s="4" t="str">
        <f ca="1">IF(OR(INDEX($W$2:$W$1001,MATCH(ROWS($V$2:V302),$V$2:$V$1001,0),1)&gt;=100000,INDEX($AC$1005:$AS$1005,1,MATCH(COLUMNS($AC$1006:AH1006),$AC$1006:$AS$1006,0))&gt;=100000), " ",IF(INDEX($AC$2:$AS$1001,MATCH(ROWS($V$2:V302),$V$2:$V$1001,0),MATCH(COLUMNS($AC$1006:AH1006),$AC$1006:$AS$1006,0)), HYPERLINK("#",""), HYPERLINK(CONCATENATE("#metadata!", ADDRESS(INDEX($X$2:$X$1001,MATCH(ROWS($V$2:V302),$V$2:$V$1001,0),0), INDEX($AC$1004:$AS$1004,1,MATCH(COLUMNS($AC$1006:AH1006),$AC$1006:$AS$1006,0)))),"Fix")))</f>
        <v xml:space="preserve"> </v>
      </c>
      <c r="H302" s="4" t="str">
        <f ca="1">IF(OR(INDEX($W$2:$W$1001,MATCH(ROWS($V$2:V302),$V$2:$V$1001,0),1)&gt;=100000,INDEX($AC$1005:$AS$1005,1,MATCH(COLUMNS($AC$1006:AI1006),$AC$1006:$AS$1006,0))&gt;=100000), " ",IF(INDEX($AC$2:$AS$1001,MATCH(ROWS($V$2:V302),$V$2:$V$1001,0),MATCH(COLUMNS($AC$1006:AI1006),$AC$1006:$AS$1006,0)), HYPERLINK("#",""), HYPERLINK(CONCATENATE("#metadata!", ADDRESS(INDEX($X$2:$X$1001,MATCH(ROWS($V$2:V302),$V$2:$V$1001,0),0), INDEX($AC$1004:$AS$1004,1,MATCH(COLUMNS($AC$1006:AI1006),$AC$1006:$AS$1006,0)))),"Fix")))</f>
        <v xml:space="preserve"> </v>
      </c>
      <c r="I302" s="4" t="str">
        <f ca="1">IF(OR(INDEX($W$2:$W$1001,MATCH(ROWS($V$2:V302),$V$2:$V$1001,0),1)&gt;=100000,INDEX($AC$1005:$AS$1005,1,MATCH(COLUMNS($AC$1006:AJ1006),$AC$1006:$AS$1006,0))&gt;=100000), " ",IF(INDEX($AC$2:$AS$1001,MATCH(ROWS($V$2:V302),$V$2:$V$1001,0),MATCH(COLUMNS($AC$1006:AJ1006),$AC$1006:$AS$1006,0)), HYPERLINK("#",""), HYPERLINK(CONCATENATE("#metadata!", ADDRESS(INDEX($X$2:$X$1001,MATCH(ROWS($V$2:V302),$V$2:$V$1001,0),0), INDEX($AC$1004:$AS$1004,1,MATCH(COLUMNS($AC$1006:AJ1006),$AC$1006:$AS$1006,0)))),"Fix")))</f>
        <v xml:space="preserve"> </v>
      </c>
      <c r="J302" s="4" t="str">
        <f ca="1">IF(OR(INDEX($W$2:$W$1001,MATCH(ROWS($V$2:V302),$V$2:$V$1001,0),1)&gt;=100000,INDEX($AC$1005:$AS$1005,1,MATCH(COLUMNS($AC$1006:AK1006),$AC$1006:$AS$1006,0))&gt;=100000), " ",IF(INDEX($AC$2:$AS$1001,MATCH(ROWS($V$2:V302),$V$2:$V$1001,0),MATCH(COLUMNS($AC$1006:AK1006),$AC$1006:$AS$1006,0)), HYPERLINK("#",""), HYPERLINK(CONCATENATE("#metadata!", ADDRESS(INDEX($X$2:$X$1001,MATCH(ROWS($V$2:V302),$V$2:$V$1001,0),0), INDEX($AC$1004:$AS$1004,1,MATCH(COLUMNS($AC$1006:AK1006),$AC$1006:$AS$1006,0)))),"Fix")))</f>
        <v xml:space="preserve"> </v>
      </c>
      <c r="K302" s="4" t="str">
        <f ca="1">IF(OR(INDEX($W$2:$W$1001,MATCH(ROWS($V$2:V302),$V$2:$V$1001,0),1)&gt;=100000,INDEX($AC$1005:$AS$1005,1,MATCH(COLUMNS($AC$1006:AL1006),$AC$1006:$AS$1006,0))&gt;=100000), " ",IF(INDEX($AC$2:$AS$1001,MATCH(ROWS($V$2:V302),$V$2:$V$1001,0),MATCH(COLUMNS($AC$1006:AL1006),$AC$1006:$AS$1006,0)), HYPERLINK("#",""), HYPERLINK(CONCATENATE("#metadata!", ADDRESS(INDEX($X$2:$X$1001,MATCH(ROWS($V$2:V302),$V$2:$V$1001,0),0), INDEX($AC$1004:$AS$1004,1,MATCH(COLUMNS($AC$1006:AL1006),$AC$1006:$AS$1006,0)))),"Fix")))</f>
        <v xml:space="preserve"> </v>
      </c>
      <c r="L302" s="4" t="str">
        <f ca="1">IF(OR(INDEX($W$2:$W$1001,MATCH(ROWS($V$2:V302),$V$2:$V$1001,0),1)&gt;=100000,INDEX($AC$1005:$AS$1005,1,MATCH(COLUMNS($AC$1006:AM1006),$AC$1006:$AS$1006,0))&gt;=100000), " ",IF(INDEX($AC$2:$AS$1001,MATCH(ROWS($V$2:V302),$V$2:$V$1001,0),MATCH(COLUMNS($AC$1006:AM1006),$AC$1006:$AS$1006,0)), HYPERLINK("#",""), HYPERLINK(CONCATENATE("#metadata!", ADDRESS(INDEX($X$2:$X$1001,MATCH(ROWS($V$2:V302),$V$2:$V$1001,0),0), INDEX($AC$1004:$AS$1004,1,MATCH(COLUMNS($AC$1006:AM1006),$AC$1006:$AS$1006,0)))),"Fix")))</f>
        <v xml:space="preserve"> </v>
      </c>
      <c r="M302" s="4" t="str">
        <f ca="1">IF(OR(INDEX($W$2:$W$1001,MATCH(ROWS($V$2:V302),$V$2:$V$1001,0),1)&gt;=100000,INDEX($AC$1005:$AS$1005,1,MATCH(COLUMNS($AC$1006:AN1006),$AC$1006:$AS$1006,0))&gt;=100000), " ",IF(INDEX($AC$2:$AS$1001,MATCH(ROWS($V$2:V302),$V$2:$V$1001,0),MATCH(COLUMNS($AC$1006:AN1006),$AC$1006:$AS$1006,0)), HYPERLINK("#",""), HYPERLINK(CONCATENATE("#metadata!", ADDRESS(INDEX($X$2:$X$1001,MATCH(ROWS($V$2:V302),$V$2:$V$1001,0),0), INDEX($AC$1004:$AS$1004,1,MATCH(COLUMNS($AC$1006:AN1006),$AC$1006:$AS$1006,0)))),"Fix")))</f>
        <v xml:space="preserve"> </v>
      </c>
      <c r="N302" s="4" t="str">
        <f ca="1">IF(OR(INDEX($W$2:$W$1001,MATCH(ROWS($V$2:V302),$V$2:$V$1001,0),1)&gt;=100000,INDEX($AC$1005:$AS$1005,1,MATCH(COLUMNS($AC$1006:AO1006),$AC$1006:$AS$1006,0))&gt;=100000), " ",IF(INDEX($AC$2:$AS$1001,MATCH(ROWS($V$2:V302),$V$2:$V$1001,0),MATCH(COLUMNS($AC$1006:AO1006),$AC$1006:$AS$1006,0)), HYPERLINK("#",""), HYPERLINK(CONCATENATE("#metadata!", ADDRESS(INDEX($X$2:$X$1001,MATCH(ROWS($V$2:V302),$V$2:$V$1001,0),0), INDEX($AC$1004:$AS$1004,1,MATCH(COLUMNS($AC$1006:AO1006),$AC$1006:$AS$1006,0)))),"Fix")))</f>
        <v xml:space="preserve"> </v>
      </c>
      <c r="O302" s="4" t="str">
        <f ca="1">IF(OR(INDEX($W$2:$W$1001,MATCH(ROWS($V$2:V302),$V$2:$V$1001,0),1)&gt;=100000,INDEX($AC$1005:$AS$1005,1,MATCH(COLUMNS($AC$1006:AP1006),$AC$1006:$AS$1006,0))&gt;=100000), " ",IF(INDEX($AC$2:$AS$1001,MATCH(ROWS($V$2:V302),$V$2:$V$1001,0),MATCH(COLUMNS($AC$1006:AP1006),$AC$1006:$AS$1006,0)), HYPERLINK("#",""), HYPERLINK(CONCATENATE("#metadata!", ADDRESS(INDEX($X$2:$X$1001,MATCH(ROWS($V$2:V302),$V$2:$V$1001,0),0), INDEX($AC$1004:$AS$1004,1,MATCH(COLUMNS($AC$1006:AP1006),$AC$1006:$AS$1006,0)))),"Fix")))</f>
        <v xml:space="preserve"> </v>
      </c>
      <c r="P302" s="4" t="str">
        <f ca="1">IF(OR(INDEX($W$2:$W$1001,MATCH(ROWS($V$2:V302),$V$2:$V$1001,0),1)&gt;=100000,INDEX($AC$1005:$AS$1005,1,MATCH(COLUMNS($AC$1006:AQ1006),$AC$1006:$AS$1006,0))&gt;=100000), " ",IF(INDEX($AC$2:$AS$1001,MATCH(ROWS($V$2:V302),$V$2:$V$1001,0),MATCH(COLUMNS($AC$1006:AQ1006),$AC$1006:$AS$1006,0)), HYPERLINK("#",""), HYPERLINK(CONCATENATE("#metadata!", ADDRESS(INDEX($X$2:$X$1001,MATCH(ROWS($V$2:V302),$V$2:$V$1001,0),0), INDEX($AC$1004:$AS$1004,1,MATCH(COLUMNS($AC$1006:AQ1006),$AC$1006:$AS$1006,0)))),"Fix")))</f>
        <v xml:space="preserve"> </v>
      </c>
      <c r="Q302" s="4" t="str">
        <f ca="1">IF(OR(INDEX($W$2:$W$1001,MATCH(ROWS($V$2:V302),$V$2:$V$1001,0),1)&gt;=100000,INDEX($AC$1005:$AS$1005,1,MATCH(COLUMNS($AC$1006:AR1006),$AC$1006:$AS$1006,0))&gt;=100000), " ",IF(INDEX($AC$2:$AS$1001,MATCH(ROWS($V$2:V302),$V$2:$V$1001,0),MATCH(COLUMNS($AC$1006:AR1006),$AC$1006:$AS$1006,0)), HYPERLINK("#",""), HYPERLINK(CONCATENATE("#metadata!", ADDRESS(INDEX($X$2:$X$1001,MATCH(ROWS($V$2:V302),$V$2:$V$1001,0),0), INDEX($AC$1004:$AS$1004,1,MATCH(COLUMNS($AC$1006:AR1006),$AC$1006:$AS$1006,0)))),"Fix")))</f>
        <v xml:space="preserve"> </v>
      </c>
      <c r="R302" s="4" t="str">
        <f ca="1">IF(OR(INDEX($W$2:$W$1001,MATCH(ROWS($V$2:V302),$V$2:$V$1001,0),1)&gt;=100000,INDEX($AC$1005:$AS$1005,1,MATCH(COLUMNS($AC$1006:AS1006),$AC$1006:$AS$1006,0))&gt;=100000), " ",IF(INDEX($AC$2:$AS$1001,MATCH(ROWS($V$2:V302),$V$2:$V$1001,0),MATCH(COLUMNS($AC$1006:AS1006),$AC$1006:$AS$1006,0)), HYPERLINK("#",""), HYPERLINK(CONCATENATE("#metadata!", ADDRESS(INDEX($X$2:$X$1001,MATCH(ROWS($V$2:V302),$V$2:$V$1001,0),0), INDEX($AC$1004:$AS$1004,1,MATCH(COLUMNS($AC$1006:AS1006),$AC$1006:$AS$1006,0)))),"Fix")))</f>
        <v xml:space="preserve"> </v>
      </c>
      <c r="V302">
        <v>301</v>
      </c>
      <c r="W302">
        <v>100302</v>
      </c>
      <c r="X302">
        <v>302</v>
      </c>
      <c r="Y302" t="b">
        <f t="shared" si="4"/>
        <v>1</v>
      </c>
      <c r="Z302" t="b">
        <f>COUNTBLANK(metadata!B302:R302)=COLUMNS(metadata!B302:R302)</f>
        <v>1</v>
      </c>
      <c r="AA302" t="str">
        <v/>
      </c>
      <c r="AC302" t="b">
        <f ca="1"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AD302" t="b">
        <f>IF(metadata!C302="",FALSE,ISNUMBER(VALUE(metadata!C302)))</f>
        <v>0</v>
      </c>
      <c r="AE302" t="b">
        <f>AND(IF(metadata!D302="",FALSE,TRUE),EXACT(metadata!D302,"years"))</f>
        <v>0</v>
      </c>
      <c r="AF302" t="b">
        <f>OR(AND(IF(metadata!E302="",FALSE,TRUE),OR(EXACT(metadata!E302,"not applicable"),EXACT(metadata!E302,"missing: not collected"),EXACT(metadata!E302,"missing: not provided"),EXACT(metadata!E302,"missing: restricted access"))),AND(IF(metadata!E302="",FALSE,ISNUMBER(VALUE(metadata!E302))),metadata!E302&gt;0))</f>
        <v>0</v>
      </c>
      <c r="AG302" t="b">
        <f>AND(IF(metadata!F302="",FALSE,TRUE),EXACT(metadata!F302,"Not applicable"))</f>
        <v>0</v>
      </c>
      <c r="AH302" t="b">
        <f>AND(IF(metadata!G302="",FALSE,TRUE),EXACT(metadata!G302,"urban biome"))</f>
        <v>0</v>
      </c>
      <c r="AI302" t="b">
        <f>AND(IF(metadata!H302="",FALSE,TRUE),EXACT(metadata!H302,"human-associated habitat"))</f>
        <v>0</v>
      </c>
      <c r="AJ302" t="b">
        <f>AND(IF(metadata!I302="",FALSE,TRUE),OR(EXACT(metadata!I302,"human-associated"),EXACT(metadata!I302,"human-skin"),EXACT(metadata!I302,"human-oral"),EXACT(metadata!I302,"human-gut"),EXACT(metadata!I302,"human-vaginal")))</f>
        <v>0</v>
      </c>
      <c r="AK302" t="b">
        <f>IF(metadata!J302="",FALSE,ISNUMBER(VALUE(metadata!J302)))</f>
        <v>0</v>
      </c>
      <c r="AL302" t="b">
        <f>AND(IF(metadata!K302="",FALSE,TRUE),EXACT(metadata!K302,"cm"))</f>
        <v>0</v>
      </c>
      <c r="AM302" t="b">
        <f>AND(IF(metadata!L302="",FALSE,TRUE),EXACT(metadata!L302,"human"))</f>
        <v>0</v>
      </c>
      <c r="AN302" t="b">
        <f>AND(IF(metadata!M302="",FALSE,TRUE),EXACT(metadata!M302,"Homo sapiens"))</f>
        <v>0</v>
      </c>
      <c r="AO302" t="b">
        <f>AND(IF(metadata!N302="",FALSE,TRUE),EXACT(metadata!N302,"9606"))</f>
        <v>0</v>
      </c>
      <c r="AP302" t="b">
        <f>IF(metadata!O302="",FALSE,TRUE)</f>
        <v>0</v>
      </c>
      <c r="AQ302" t="b">
        <f>IF(metadata!P302="",FALSE,TRUE)</f>
        <v>0</v>
      </c>
      <c r="AR302" t="b">
        <f>IF(metadata!Q302="",FALSE,ISNUMBER(VALUE(metadata!Q302)))</f>
        <v>0</v>
      </c>
      <c r="AS302" t="b">
        <f>AND(IF(metadata!R302="",FALSE,TRUE),EXACT(metadata!R302,"kg"))</f>
        <v>0</v>
      </c>
    </row>
    <row r="303" spans="1:45" x14ac:dyDescent="0.2">
      <c r="A303" s="5" t="str">
        <f ca="1">IF(B303=" "," ",HYPERLINK(CONCATENATE("#metadata!",ADDRESS(INDEX($X$2:$X$1001,MATCH(ROWS($V$2:V303),$V$2:$V$1001,0),0),1)),INDEX($AA$2:$AA$1001,MATCH(ROWS($V$2:V303),$V$2:$V$1001,0),0)))</f>
        <v xml:space="preserve"> </v>
      </c>
      <c r="B303" s="4" t="str">
        <f ca="1">IF(OR(INDEX($W$2:$W$1001,MATCH(ROWS($V$2:V303),$V$2:$V$1001,0),1)&gt;=100000,INDEX($AC$1005:$AS$1005,1,MATCH(COLUMNS($AC$1006:AC1006),$AC$1006:$AS$1006,0))&gt;=100000), " ",IF(INDEX($AC$2:$AS$1001,MATCH(ROWS($V$2:V303),$V$2:$V$1001,0),MATCH(COLUMNS($AC$1006:AC1006),$AC$1006:$AS$1006,0)), HYPERLINK("#",""), HYPERLINK(CONCATENATE("#metadata!", ADDRESS(INDEX($X$2:$X$1001,MATCH(ROWS($V$2:V303),$V$2:$V$1001,0),0), INDEX($AC$1004:$AS$1004,1,MATCH(COLUMNS($AC$1006:AC1006),$AC$1006:$AS$1006,0)))),"Fix")))</f>
        <v xml:space="preserve"> </v>
      </c>
      <c r="C303" s="4" t="str">
        <f ca="1">IF(OR(INDEX($W$2:$W$1001,MATCH(ROWS($V$2:V303),$V$2:$V$1001,0),1)&gt;=100000,INDEX($AC$1005:$AS$1005,1,MATCH(COLUMNS($AC$1006:AD1006),$AC$1006:$AS$1006,0))&gt;=100000), " ",IF(INDEX($AC$2:$AS$1001,MATCH(ROWS($V$2:V303),$V$2:$V$1001,0),MATCH(COLUMNS($AC$1006:AD1006),$AC$1006:$AS$1006,0)), HYPERLINK("#",""), HYPERLINK(CONCATENATE("#metadata!", ADDRESS(INDEX($X$2:$X$1001,MATCH(ROWS($V$2:V303),$V$2:$V$1001,0),0), INDEX($AC$1004:$AS$1004,1,MATCH(COLUMNS($AC$1006:AD1006),$AC$1006:$AS$1006,0)))),"Fix")))</f>
        <v xml:space="preserve"> </v>
      </c>
      <c r="D303" s="4" t="str">
        <f ca="1">IF(OR(INDEX($W$2:$W$1001,MATCH(ROWS($V$2:V303),$V$2:$V$1001,0),1)&gt;=100000,INDEX($AC$1005:$AS$1005,1,MATCH(COLUMNS($AC$1006:AE1006),$AC$1006:$AS$1006,0))&gt;=100000), " ",IF(INDEX($AC$2:$AS$1001,MATCH(ROWS($V$2:V303),$V$2:$V$1001,0),MATCH(COLUMNS($AC$1006:AE1006),$AC$1006:$AS$1006,0)), HYPERLINK("#",""), HYPERLINK(CONCATENATE("#metadata!", ADDRESS(INDEX($X$2:$X$1001,MATCH(ROWS($V$2:V303),$V$2:$V$1001,0),0), INDEX($AC$1004:$AS$1004,1,MATCH(COLUMNS($AC$1006:AE1006),$AC$1006:$AS$1006,0)))),"Fix")))</f>
        <v xml:space="preserve"> </v>
      </c>
      <c r="E303" s="4" t="str">
        <f ca="1">IF(OR(INDEX($W$2:$W$1001,MATCH(ROWS($V$2:V303),$V$2:$V$1001,0),1)&gt;=100000,INDEX($AC$1005:$AS$1005,1,MATCH(COLUMNS($AC$1006:AF1006),$AC$1006:$AS$1006,0))&gt;=100000), " ",IF(INDEX($AC$2:$AS$1001,MATCH(ROWS($V$2:V303),$V$2:$V$1001,0),MATCH(COLUMNS($AC$1006:AF1006),$AC$1006:$AS$1006,0)), HYPERLINK("#",""), HYPERLINK(CONCATENATE("#metadata!", ADDRESS(INDEX($X$2:$X$1001,MATCH(ROWS($V$2:V303),$V$2:$V$1001,0),0), INDEX($AC$1004:$AS$1004,1,MATCH(COLUMNS($AC$1006:AF1006),$AC$1006:$AS$1006,0)))),"Fix")))</f>
        <v xml:space="preserve"> </v>
      </c>
      <c r="F303" s="4" t="str">
        <f ca="1">IF(OR(INDEX($W$2:$W$1001,MATCH(ROWS($V$2:V303),$V$2:$V$1001,0),1)&gt;=100000,INDEX($AC$1005:$AS$1005,1,MATCH(COLUMNS($AC$1006:AG1006),$AC$1006:$AS$1006,0))&gt;=100000), " ",IF(INDEX($AC$2:$AS$1001,MATCH(ROWS($V$2:V303),$V$2:$V$1001,0),MATCH(COLUMNS($AC$1006:AG1006),$AC$1006:$AS$1006,0)), HYPERLINK("#",""), HYPERLINK(CONCATENATE("#metadata!", ADDRESS(INDEX($X$2:$X$1001,MATCH(ROWS($V$2:V303),$V$2:$V$1001,0),0), INDEX($AC$1004:$AS$1004,1,MATCH(COLUMNS($AC$1006:AG1006),$AC$1006:$AS$1006,0)))),"Fix")))</f>
        <v xml:space="preserve"> </v>
      </c>
      <c r="G303" s="4" t="str">
        <f ca="1">IF(OR(INDEX($W$2:$W$1001,MATCH(ROWS($V$2:V303),$V$2:$V$1001,0),1)&gt;=100000,INDEX($AC$1005:$AS$1005,1,MATCH(COLUMNS($AC$1006:AH1006),$AC$1006:$AS$1006,0))&gt;=100000), " ",IF(INDEX($AC$2:$AS$1001,MATCH(ROWS($V$2:V303),$V$2:$V$1001,0),MATCH(COLUMNS($AC$1006:AH1006),$AC$1006:$AS$1006,0)), HYPERLINK("#",""), HYPERLINK(CONCATENATE("#metadata!", ADDRESS(INDEX($X$2:$X$1001,MATCH(ROWS($V$2:V303),$V$2:$V$1001,0),0), INDEX($AC$1004:$AS$1004,1,MATCH(COLUMNS($AC$1006:AH1006),$AC$1006:$AS$1006,0)))),"Fix")))</f>
        <v xml:space="preserve"> </v>
      </c>
      <c r="H303" s="4" t="str">
        <f ca="1">IF(OR(INDEX($W$2:$W$1001,MATCH(ROWS($V$2:V303),$V$2:$V$1001,0),1)&gt;=100000,INDEX($AC$1005:$AS$1005,1,MATCH(COLUMNS($AC$1006:AI1006),$AC$1006:$AS$1006,0))&gt;=100000), " ",IF(INDEX($AC$2:$AS$1001,MATCH(ROWS($V$2:V303),$V$2:$V$1001,0),MATCH(COLUMNS($AC$1006:AI1006),$AC$1006:$AS$1006,0)), HYPERLINK("#",""), HYPERLINK(CONCATENATE("#metadata!", ADDRESS(INDEX($X$2:$X$1001,MATCH(ROWS($V$2:V303),$V$2:$V$1001,0),0), INDEX($AC$1004:$AS$1004,1,MATCH(COLUMNS($AC$1006:AI1006),$AC$1006:$AS$1006,0)))),"Fix")))</f>
        <v xml:space="preserve"> </v>
      </c>
      <c r="I303" s="4" t="str">
        <f ca="1">IF(OR(INDEX($W$2:$W$1001,MATCH(ROWS($V$2:V303),$V$2:$V$1001,0),1)&gt;=100000,INDEX($AC$1005:$AS$1005,1,MATCH(COLUMNS($AC$1006:AJ1006),$AC$1006:$AS$1006,0))&gt;=100000), " ",IF(INDEX($AC$2:$AS$1001,MATCH(ROWS($V$2:V303),$V$2:$V$1001,0),MATCH(COLUMNS($AC$1006:AJ1006),$AC$1006:$AS$1006,0)), HYPERLINK("#",""), HYPERLINK(CONCATENATE("#metadata!", ADDRESS(INDEX($X$2:$X$1001,MATCH(ROWS($V$2:V303),$V$2:$V$1001,0),0), INDEX($AC$1004:$AS$1004,1,MATCH(COLUMNS($AC$1006:AJ1006),$AC$1006:$AS$1006,0)))),"Fix")))</f>
        <v xml:space="preserve"> </v>
      </c>
      <c r="J303" s="4" t="str">
        <f ca="1">IF(OR(INDEX($W$2:$W$1001,MATCH(ROWS($V$2:V303),$V$2:$V$1001,0),1)&gt;=100000,INDEX($AC$1005:$AS$1005,1,MATCH(COLUMNS($AC$1006:AK1006),$AC$1006:$AS$1006,0))&gt;=100000), " ",IF(INDEX($AC$2:$AS$1001,MATCH(ROWS($V$2:V303),$V$2:$V$1001,0),MATCH(COLUMNS($AC$1006:AK1006),$AC$1006:$AS$1006,0)), HYPERLINK("#",""), HYPERLINK(CONCATENATE("#metadata!", ADDRESS(INDEX($X$2:$X$1001,MATCH(ROWS($V$2:V303),$V$2:$V$1001,0),0), INDEX($AC$1004:$AS$1004,1,MATCH(COLUMNS($AC$1006:AK1006),$AC$1006:$AS$1006,0)))),"Fix")))</f>
        <v xml:space="preserve"> </v>
      </c>
      <c r="K303" s="4" t="str">
        <f ca="1">IF(OR(INDEX($W$2:$W$1001,MATCH(ROWS($V$2:V303),$V$2:$V$1001,0),1)&gt;=100000,INDEX($AC$1005:$AS$1005,1,MATCH(COLUMNS($AC$1006:AL1006),$AC$1006:$AS$1006,0))&gt;=100000), " ",IF(INDEX($AC$2:$AS$1001,MATCH(ROWS($V$2:V303),$V$2:$V$1001,0),MATCH(COLUMNS($AC$1006:AL1006),$AC$1006:$AS$1006,0)), HYPERLINK("#",""), HYPERLINK(CONCATENATE("#metadata!", ADDRESS(INDEX($X$2:$X$1001,MATCH(ROWS($V$2:V303),$V$2:$V$1001,0),0), INDEX($AC$1004:$AS$1004,1,MATCH(COLUMNS($AC$1006:AL1006),$AC$1006:$AS$1006,0)))),"Fix")))</f>
        <v xml:space="preserve"> </v>
      </c>
      <c r="L303" s="4" t="str">
        <f ca="1">IF(OR(INDEX($W$2:$W$1001,MATCH(ROWS($V$2:V303),$V$2:$V$1001,0),1)&gt;=100000,INDEX($AC$1005:$AS$1005,1,MATCH(COLUMNS($AC$1006:AM1006),$AC$1006:$AS$1006,0))&gt;=100000), " ",IF(INDEX($AC$2:$AS$1001,MATCH(ROWS($V$2:V303),$V$2:$V$1001,0),MATCH(COLUMNS($AC$1006:AM1006),$AC$1006:$AS$1006,0)), HYPERLINK("#",""), HYPERLINK(CONCATENATE("#metadata!", ADDRESS(INDEX($X$2:$X$1001,MATCH(ROWS($V$2:V303),$V$2:$V$1001,0),0), INDEX($AC$1004:$AS$1004,1,MATCH(COLUMNS($AC$1006:AM1006),$AC$1006:$AS$1006,0)))),"Fix")))</f>
        <v xml:space="preserve"> </v>
      </c>
      <c r="M303" s="4" t="str">
        <f ca="1">IF(OR(INDEX($W$2:$W$1001,MATCH(ROWS($V$2:V303),$V$2:$V$1001,0),1)&gt;=100000,INDEX($AC$1005:$AS$1005,1,MATCH(COLUMNS($AC$1006:AN1006),$AC$1006:$AS$1006,0))&gt;=100000), " ",IF(INDEX($AC$2:$AS$1001,MATCH(ROWS($V$2:V303),$V$2:$V$1001,0),MATCH(COLUMNS($AC$1006:AN1006),$AC$1006:$AS$1006,0)), HYPERLINK("#",""), HYPERLINK(CONCATENATE("#metadata!", ADDRESS(INDEX($X$2:$X$1001,MATCH(ROWS($V$2:V303),$V$2:$V$1001,0),0), INDEX($AC$1004:$AS$1004,1,MATCH(COLUMNS($AC$1006:AN1006),$AC$1006:$AS$1006,0)))),"Fix")))</f>
        <v xml:space="preserve"> </v>
      </c>
      <c r="N303" s="4" t="str">
        <f ca="1">IF(OR(INDEX($W$2:$W$1001,MATCH(ROWS($V$2:V303),$V$2:$V$1001,0),1)&gt;=100000,INDEX($AC$1005:$AS$1005,1,MATCH(COLUMNS($AC$1006:AO1006),$AC$1006:$AS$1006,0))&gt;=100000), " ",IF(INDEX($AC$2:$AS$1001,MATCH(ROWS($V$2:V303),$V$2:$V$1001,0),MATCH(COLUMNS($AC$1006:AO1006),$AC$1006:$AS$1006,0)), HYPERLINK("#",""), HYPERLINK(CONCATENATE("#metadata!", ADDRESS(INDEX($X$2:$X$1001,MATCH(ROWS($V$2:V303),$V$2:$V$1001,0),0), INDEX($AC$1004:$AS$1004,1,MATCH(COLUMNS($AC$1006:AO1006),$AC$1006:$AS$1006,0)))),"Fix")))</f>
        <v xml:space="preserve"> </v>
      </c>
      <c r="O303" s="4" t="str">
        <f ca="1">IF(OR(INDEX($W$2:$W$1001,MATCH(ROWS($V$2:V303),$V$2:$V$1001,0),1)&gt;=100000,INDEX($AC$1005:$AS$1005,1,MATCH(COLUMNS($AC$1006:AP1006),$AC$1006:$AS$1006,0))&gt;=100000), " ",IF(INDEX($AC$2:$AS$1001,MATCH(ROWS($V$2:V303),$V$2:$V$1001,0),MATCH(COLUMNS($AC$1006:AP1006),$AC$1006:$AS$1006,0)), HYPERLINK("#",""), HYPERLINK(CONCATENATE("#metadata!", ADDRESS(INDEX($X$2:$X$1001,MATCH(ROWS($V$2:V303),$V$2:$V$1001,0),0), INDEX($AC$1004:$AS$1004,1,MATCH(COLUMNS($AC$1006:AP1006),$AC$1006:$AS$1006,0)))),"Fix")))</f>
        <v xml:space="preserve"> </v>
      </c>
      <c r="P303" s="4" t="str">
        <f ca="1">IF(OR(INDEX($W$2:$W$1001,MATCH(ROWS($V$2:V303),$V$2:$V$1001,0),1)&gt;=100000,INDEX($AC$1005:$AS$1005,1,MATCH(COLUMNS($AC$1006:AQ1006),$AC$1006:$AS$1006,0))&gt;=100000), " ",IF(INDEX($AC$2:$AS$1001,MATCH(ROWS($V$2:V303),$V$2:$V$1001,0),MATCH(COLUMNS($AC$1006:AQ1006),$AC$1006:$AS$1006,0)), HYPERLINK("#",""), HYPERLINK(CONCATENATE("#metadata!", ADDRESS(INDEX($X$2:$X$1001,MATCH(ROWS($V$2:V303),$V$2:$V$1001,0),0), INDEX($AC$1004:$AS$1004,1,MATCH(COLUMNS($AC$1006:AQ1006),$AC$1006:$AS$1006,0)))),"Fix")))</f>
        <v xml:space="preserve"> </v>
      </c>
      <c r="Q303" s="4" t="str">
        <f ca="1">IF(OR(INDEX($W$2:$W$1001,MATCH(ROWS($V$2:V303),$V$2:$V$1001,0),1)&gt;=100000,INDEX($AC$1005:$AS$1005,1,MATCH(COLUMNS($AC$1006:AR1006),$AC$1006:$AS$1006,0))&gt;=100000), " ",IF(INDEX($AC$2:$AS$1001,MATCH(ROWS($V$2:V303),$V$2:$V$1001,0),MATCH(COLUMNS($AC$1006:AR1006),$AC$1006:$AS$1006,0)), HYPERLINK("#",""), HYPERLINK(CONCATENATE("#metadata!", ADDRESS(INDEX($X$2:$X$1001,MATCH(ROWS($V$2:V303),$V$2:$V$1001,0),0), INDEX($AC$1004:$AS$1004,1,MATCH(COLUMNS($AC$1006:AR1006),$AC$1006:$AS$1006,0)))),"Fix")))</f>
        <v xml:space="preserve"> </v>
      </c>
      <c r="R303" s="4" t="str">
        <f ca="1">IF(OR(INDEX($W$2:$W$1001,MATCH(ROWS($V$2:V303),$V$2:$V$1001,0),1)&gt;=100000,INDEX($AC$1005:$AS$1005,1,MATCH(COLUMNS($AC$1006:AS1006),$AC$1006:$AS$1006,0))&gt;=100000), " ",IF(INDEX($AC$2:$AS$1001,MATCH(ROWS($V$2:V303),$V$2:$V$1001,0),MATCH(COLUMNS($AC$1006:AS1006),$AC$1006:$AS$1006,0)), HYPERLINK("#",""), HYPERLINK(CONCATENATE("#metadata!", ADDRESS(INDEX($X$2:$X$1001,MATCH(ROWS($V$2:V303),$V$2:$V$1001,0),0), INDEX($AC$1004:$AS$1004,1,MATCH(COLUMNS($AC$1006:AS1006),$AC$1006:$AS$1006,0)))),"Fix")))</f>
        <v xml:space="preserve"> </v>
      </c>
      <c r="V303">
        <v>302</v>
      </c>
      <c r="W303">
        <v>100303</v>
      </c>
      <c r="X303">
        <v>303</v>
      </c>
      <c r="Y303" t="b">
        <f t="shared" si="4"/>
        <v>1</v>
      </c>
      <c r="Z303" t="b">
        <f>COUNTBLANK(metadata!B303:R303)=COLUMNS(metadata!B303:R303)</f>
        <v>1</v>
      </c>
      <c r="AA303" t="str">
        <v/>
      </c>
      <c r="AC303" t="b">
        <f ca="1"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AD303" t="b">
        <f>IF(metadata!C303="",FALSE,ISNUMBER(VALUE(metadata!C303)))</f>
        <v>0</v>
      </c>
      <c r="AE303" t="b">
        <f>AND(IF(metadata!D303="",FALSE,TRUE),EXACT(metadata!D303,"years"))</f>
        <v>0</v>
      </c>
      <c r="AF303" t="b">
        <f>OR(AND(IF(metadata!E303="",FALSE,TRUE),OR(EXACT(metadata!E303,"not applicable"),EXACT(metadata!E303,"missing: not collected"),EXACT(metadata!E303,"missing: not provided"),EXACT(metadata!E303,"missing: restricted access"))),AND(IF(metadata!E303="",FALSE,ISNUMBER(VALUE(metadata!E303))),metadata!E303&gt;0))</f>
        <v>0</v>
      </c>
      <c r="AG303" t="b">
        <f>AND(IF(metadata!F303="",FALSE,TRUE),EXACT(metadata!F303,"Not applicable"))</f>
        <v>0</v>
      </c>
      <c r="AH303" t="b">
        <f>AND(IF(metadata!G303="",FALSE,TRUE),EXACT(metadata!G303,"urban biome"))</f>
        <v>0</v>
      </c>
      <c r="AI303" t="b">
        <f>AND(IF(metadata!H303="",FALSE,TRUE),EXACT(metadata!H303,"human-associated habitat"))</f>
        <v>0</v>
      </c>
      <c r="AJ303" t="b">
        <f>AND(IF(metadata!I303="",FALSE,TRUE),OR(EXACT(metadata!I303,"human-associated"),EXACT(metadata!I303,"human-skin"),EXACT(metadata!I303,"human-oral"),EXACT(metadata!I303,"human-gut"),EXACT(metadata!I303,"human-vaginal")))</f>
        <v>0</v>
      </c>
      <c r="AK303" t="b">
        <f>IF(metadata!J303="",FALSE,ISNUMBER(VALUE(metadata!J303)))</f>
        <v>0</v>
      </c>
      <c r="AL303" t="b">
        <f>AND(IF(metadata!K303="",FALSE,TRUE),EXACT(metadata!K303,"cm"))</f>
        <v>0</v>
      </c>
      <c r="AM303" t="b">
        <f>AND(IF(metadata!L303="",FALSE,TRUE),EXACT(metadata!L303,"human"))</f>
        <v>0</v>
      </c>
      <c r="AN303" t="b">
        <f>AND(IF(metadata!M303="",FALSE,TRUE),EXACT(metadata!M303,"Homo sapiens"))</f>
        <v>0</v>
      </c>
      <c r="AO303" t="b">
        <f>AND(IF(metadata!N303="",FALSE,TRUE),EXACT(metadata!N303,"9606"))</f>
        <v>0</v>
      </c>
      <c r="AP303" t="b">
        <f>IF(metadata!O303="",FALSE,TRUE)</f>
        <v>0</v>
      </c>
      <c r="AQ303" t="b">
        <f>IF(metadata!P303="",FALSE,TRUE)</f>
        <v>0</v>
      </c>
      <c r="AR303" t="b">
        <f>IF(metadata!Q303="",FALSE,ISNUMBER(VALUE(metadata!Q303)))</f>
        <v>0</v>
      </c>
      <c r="AS303" t="b">
        <f>AND(IF(metadata!R303="",FALSE,TRUE),EXACT(metadata!R303,"kg"))</f>
        <v>0</v>
      </c>
    </row>
    <row r="304" spans="1:45" x14ac:dyDescent="0.2">
      <c r="A304" s="5" t="str">
        <f ca="1">IF(B304=" "," ",HYPERLINK(CONCATENATE("#metadata!",ADDRESS(INDEX($X$2:$X$1001,MATCH(ROWS($V$2:V304),$V$2:$V$1001,0),0),1)),INDEX($AA$2:$AA$1001,MATCH(ROWS($V$2:V304),$V$2:$V$1001,0),0)))</f>
        <v xml:space="preserve"> </v>
      </c>
      <c r="B304" s="4" t="str">
        <f ca="1">IF(OR(INDEX($W$2:$W$1001,MATCH(ROWS($V$2:V304),$V$2:$V$1001,0),1)&gt;=100000,INDEX($AC$1005:$AS$1005,1,MATCH(COLUMNS($AC$1006:AC1006),$AC$1006:$AS$1006,0))&gt;=100000), " ",IF(INDEX($AC$2:$AS$1001,MATCH(ROWS($V$2:V304),$V$2:$V$1001,0),MATCH(COLUMNS($AC$1006:AC1006),$AC$1006:$AS$1006,0)), HYPERLINK("#",""), HYPERLINK(CONCATENATE("#metadata!", ADDRESS(INDEX($X$2:$X$1001,MATCH(ROWS($V$2:V304),$V$2:$V$1001,0),0), INDEX($AC$1004:$AS$1004,1,MATCH(COLUMNS($AC$1006:AC1006),$AC$1006:$AS$1006,0)))),"Fix")))</f>
        <v xml:space="preserve"> </v>
      </c>
      <c r="C304" s="4" t="str">
        <f ca="1">IF(OR(INDEX($W$2:$W$1001,MATCH(ROWS($V$2:V304),$V$2:$V$1001,0),1)&gt;=100000,INDEX($AC$1005:$AS$1005,1,MATCH(COLUMNS($AC$1006:AD1006),$AC$1006:$AS$1006,0))&gt;=100000), " ",IF(INDEX($AC$2:$AS$1001,MATCH(ROWS($V$2:V304),$V$2:$V$1001,0),MATCH(COLUMNS($AC$1006:AD1006),$AC$1006:$AS$1006,0)), HYPERLINK("#",""), HYPERLINK(CONCATENATE("#metadata!", ADDRESS(INDEX($X$2:$X$1001,MATCH(ROWS($V$2:V304),$V$2:$V$1001,0),0), INDEX($AC$1004:$AS$1004,1,MATCH(COLUMNS($AC$1006:AD1006),$AC$1006:$AS$1006,0)))),"Fix")))</f>
        <v xml:space="preserve"> </v>
      </c>
      <c r="D304" s="4" t="str">
        <f ca="1">IF(OR(INDEX($W$2:$W$1001,MATCH(ROWS($V$2:V304),$V$2:$V$1001,0),1)&gt;=100000,INDEX($AC$1005:$AS$1005,1,MATCH(COLUMNS($AC$1006:AE1006),$AC$1006:$AS$1006,0))&gt;=100000), " ",IF(INDEX($AC$2:$AS$1001,MATCH(ROWS($V$2:V304),$V$2:$V$1001,0),MATCH(COLUMNS($AC$1006:AE1006),$AC$1006:$AS$1006,0)), HYPERLINK("#",""), HYPERLINK(CONCATENATE("#metadata!", ADDRESS(INDEX($X$2:$X$1001,MATCH(ROWS($V$2:V304),$V$2:$V$1001,0),0), INDEX($AC$1004:$AS$1004,1,MATCH(COLUMNS($AC$1006:AE1006),$AC$1006:$AS$1006,0)))),"Fix")))</f>
        <v xml:space="preserve"> </v>
      </c>
      <c r="E304" s="4" t="str">
        <f ca="1">IF(OR(INDEX($W$2:$W$1001,MATCH(ROWS($V$2:V304),$V$2:$V$1001,0),1)&gt;=100000,INDEX($AC$1005:$AS$1005,1,MATCH(COLUMNS($AC$1006:AF1006),$AC$1006:$AS$1006,0))&gt;=100000), " ",IF(INDEX($AC$2:$AS$1001,MATCH(ROWS($V$2:V304),$V$2:$V$1001,0),MATCH(COLUMNS($AC$1006:AF1006),$AC$1006:$AS$1006,0)), HYPERLINK("#",""), HYPERLINK(CONCATENATE("#metadata!", ADDRESS(INDEX($X$2:$X$1001,MATCH(ROWS($V$2:V304),$V$2:$V$1001,0),0), INDEX($AC$1004:$AS$1004,1,MATCH(COLUMNS($AC$1006:AF1006),$AC$1006:$AS$1006,0)))),"Fix")))</f>
        <v xml:space="preserve"> </v>
      </c>
      <c r="F304" s="4" t="str">
        <f ca="1">IF(OR(INDEX($W$2:$W$1001,MATCH(ROWS($V$2:V304),$V$2:$V$1001,0),1)&gt;=100000,INDEX($AC$1005:$AS$1005,1,MATCH(COLUMNS($AC$1006:AG1006),$AC$1006:$AS$1006,0))&gt;=100000), " ",IF(INDEX($AC$2:$AS$1001,MATCH(ROWS($V$2:V304),$V$2:$V$1001,0),MATCH(COLUMNS($AC$1006:AG1006),$AC$1006:$AS$1006,0)), HYPERLINK("#",""), HYPERLINK(CONCATENATE("#metadata!", ADDRESS(INDEX($X$2:$X$1001,MATCH(ROWS($V$2:V304),$V$2:$V$1001,0),0), INDEX($AC$1004:$AS$1004,1,MATCH(COLUMNS($AC$1006:AG1006),$AC$1006:$AS$1006,0)))),"Fix")))</f>
        <v xml:space="preserve"> </v>
      </c>
      <c r="G304" s="4" t="str">
        <f ca="1">IF(OR(INDEX($W$2:$W$1001,MATCH(ROWS($V$2:V304),$V$2:$V$1001,0),1)&gt;=100000,INDEX($AC$1005:$AS$1005,1,MATCH(COLUMNS($AC$1006:AH1006),$AC$1006:$AS$1006,0))&gt;=100000), " ",IF(INDEX($AC$2:$AS$1001,MATCH(ROWS($V$2:V304),$V$2:$V$1001,0),MATCH(COLUMNS($AC$1006:AH1006),$AC$1006:$AS$1006,0)), HYPERLINK("#",""), HYPERLINK(CONCATENATE("#metadata!", ADDRESS(INDEX($X$2:$X$1001,MATCH(ROWS($V$2:V304),$V$2:$V$1001,0),0), INDEX($AC$1004:$AS$1004,1,MATCH(COLUMNS($AC$1006:AH1006),$AC$1006:$AS$1006,0)))),"Fix")))</f>
        <v xml:space="preserve"> </v>
      </c>
      <c r="H304" s="4" t="str">
        <f ca="1">IF(OR(INDEX($W$2:$W$1001,MATCH(ROWS($V$2:V304),$V$2:$V$1001,0),1)&gt;=100000,INDEX($AC$1005:$AS$1005,1,MATCH(COLUMNS($AC$1006:AI1006),$AC$1006:$AS$1006,0))&gt;=100000), " ",IF(INDEX($AC$2:$AS$1001,MATCH(ROWS($V$2:V304),$V$2:$V$1001,0),MATCH(COLUMNS($AC$1006:AI1006),$AC$1006:$AS$1006,0)), HYPERLINK("#",""), HYPERLINK(CONCATENATE("#metadata!", ADDRESS(INDEX($X$2:$X$1001,MATCH(ROWS($V$2:V304),$V$2:$V$1001,0),0), INDEX($AC$1004:$AS$1004,1,MATCH(COLUMNS($AC$1006:AI1006),$AC$1006:$AS$1006,0)))),"Fix")))</f>
        <v xml:space="preserve"> </v>
      </c>
      <c r="I304" s="4" t="str">
        <f ca="1">IF(OR(INDEX($W$2:$W$1001,MATCH(ROWS($V$2:V304),$V$2:$V$1001,0),1)&gt;=100000,INDEX($AC$1005:$AS$1005,1,MATCH(COLUMNS($AC$1006:AJ1006),$AC$1006:$AS$1006,0))&gt;=100000), " ",IF(INDEX($AC$2:$AS$1001,MATCH(ROWS($V$2:V304),$V$2:$V$1001,0),MATCH(COLUMNS($AC$1006:AJ1006),$AC$1006:$AS$1006,0)), HYPERLINK("#",""), HYPERLINK(CONCATENATE("#metadata!", ADDRESS(INDEX($X$2:$X$1001,MATCH(ROWS($V$2:V304),$V$2:$V$1001,0),0), INDEX($AC$1004:$AS$1004,1,MATCH(COLUMNS($AC$1006:AJ1006),$AC$1006:$AS$1006,0)))),"Fix")))</f>
        <v xml:space="preserve"> </v>
      </c>
      <c r="J304" s="4" t="str">
        <f ca="1">IF(OR(INDEX($W$2:$W$1001,MATCH(ROWS($V$2:V304),$V$2:$V$1001,0),1)&gt;=100000,INDEX($AC$1005:$AS$1005,1,MATCH(COLUMNS($AC$1006:AK1006),$AC$1006:$AS$1006,0))&gt;=100000), " ",IF(INDEX($AC$2:$AS$1001,MATCH(ROWS($V$2:V304),$V$2:$V$1001,0),MATCH(COLUMNS($AC$1006:AK1006),$AC$1006:$AS$1006,0)), HYPERLINK("#",""), HYPERLINK(CONCATENATE("#metadata!", ADDRESS(INDEX($X$2:$X$1001,MATCH(ROWS($V$2:V304),$V$2:$V$1001,0),0), INDEX($AC$1004:$AS$1004,1,MATCH(COLUMNS($AC$1006:AK1006),$AC$1006:$AS$1006,0)))),"Fix")))</f>
        <v xml:space="preserve"> </v>
      </c>
      <c r="K304" s="4" t="str">
        <f ca="1">IF(OR(INDEX($W$2:$W$1001,MATCH(ROWS($V$2:V304),$V$2:$V$1001,0),1)&gt;=100000,INDEX($AC$1005:$AS$1005,1,MATCH(COLUMNS($AC$1006:AL1006),$AC$1006:$AS$1006,0))&gt;=100000), " ",IF(INDEX($AC$2:$AS$1001,MATCH(ROWS($V$2:V304),$V$2:$V$1001,0),MATCH(COLUMNS($AC$1006:AL1006),$AC$1006:$AS$1006,0)), HYPERLINK("#",""), HYPERLINK(CONCATENATE("#metadata!", ADDRESS(INDEX($X$2:$X$1001,MATCH(ROWS($V$2:V304),$V$2:$V$1001,0),0), INDEX($AC$1004:$AS$1004,1,MATCH(COLUMNS($AC$1006:AL1006),$AC$1006:$AS$1006,0)))),"Fix")))</f>
        <v xml:space="preserve"> </v>
      </c>
      <c r="L304" s="4" t="str">
        <f ca="1">IF(OR(INDEX($W$2:$W$1001,MATCH(ROWS($V$2:V304),$V$2:$V$1001,0),1)&gt;=100000,INDEX($AC$1005:$AS$1005,1,MATCH(COLUMNS($AC$1006:AM1006),$AC$1006:$AS$1006,0))&gt;=100000), " ",IF(INDEX($AC$2:$AS$1001,MATCH(ROWS($V$2:V304),$V$2:$V$1001,0),MATCH(COLUMNS($AC$1006:AM1006),$AC$1006:$AS$1006,0)), HYPERLINK("#",""), HYPERLINK(CONCATENATE("#metadata!", ADDRESS(INDEX($X$2:$X$1001,MATCH(ROWS($V$2:V304),$V$2:$V$1001,0),0), INDEX($AC$1004:$AS$1004,1,MATCH(COLUMNS($AC$1006:AM1006),$AC$1006:$AS$1006,0)))),"Fix")))</f>
        <v xml:space="preserve"> </v>
      </c>
      <c r="M304" s="4" t="str">
        <f ca="1">IF(OR(INDEX($W$2:$W$1001,MATCH(ROWS($V$2:V304),$V$2:$V$1001,0),1)&gt;=100000,INDEX($AC$1005:$AS$1005,1,MATCH(COLUMNS($AC$1006:AN1006),$AC$1006:$AS$1006,0))&gt;=100000), " ",IF(INDEX($AC$2:$AS$1001,MATCH(ROWS($V$2:V304),$V$2:$V$1001,0),MATCH(COLUMNS($AC$1006:AN1006),$AC$1006:$AS$1006,0)), HYPERLINK("#",""), HYPERLINK(CONCATENATE("#metadata!", ADDRESS(INDEX($X$2:$X$1001,MATCH(ROWS($V$2:V304),$V$2:$V$1001,0),0), INDEX($AC$1004:$AS$1004,1,MATCH(COLUMNS($AC$1006:AN1006),$AC$1006:$AS$1006,0)))),"Fix")))</f>
        <v xml:space="preserve"> </v>
      </c>
      <c r="N304" s="4" t="str">
        <f ca="1">IF(OR(INDEX($W$2:$W$1001,MATCH(ROWS($V$2:V304),$V$2:$V$1001,0),1)&gt;=100000,INDEX($AC$1005:$AS$1005,1,MATCH(COLUMNS($AC$1006:AO1006),$AC$1006:$AS$1006,0))&gt;=100000), " ",IF(INDEX($AC$2:$AS$1001,MATCH(ROWS($V$2:V304),$V$2:$V$1001,0),MATCH(COLUMNS($AC$1006:AO1006),$AC$1006:$AS$1006,0)), HYPERLINK("#",""), HYPERLINK(CONCATENATE("#metadata!", ADDRESS(INDEX($X$2:$X$1001,MATCH(ROWS($V$2:V304),$V$2:$V$1001,0),0), INDEX($AC$1004:$AS$1004,1,MATCH(COLUMNS($AC$1006:AO1006),$AC$1006:$AS$1006,0)))),"Fix")))</f>
        <v xml:space="preserve"> </v>
      </c>
      <c r="O304" s="4" t="str">
        <f ca="1">IF(OR(INDEX($W$2:$W$1001,MATCH(ROWS($V$2:V304),$V$2:$V$1001,0),1)&gt;=100000,INDEX($AC$1005:$AS$1005,1,MATCH(COLUMNS($AC$1006:AP1006),$AC$1006:$AS$1006,0))&gt;=100000), " ",IF(INDEX($AC$2:$AS$1001,MATCH(ROWS($V$2:V304),$V$2:$V$1001,0),MATCH(COLUMNS($AC$1006:AP1006),$AC$1006:$AS$1006,0)), HYPERLINK("#",""), HYPERLINK(CONCATENATE("#metadata!", ADDRESS(INDEX($X$2:$X$1001,MATCH(ROWS($V$2:V304),$V$2:$V$1001,0),0), INDEX($AC$1004:$AS$1004,1,MATCH(COLUMNS($AC$1006:AP1006),$AC$1006:$AS$1006,0)))),"Fix")))</f>
        <v xml:space="preserve"> </v>
      </c>
      <c r="P304" s="4" t="str">
        <f ca="1">IF(OR(INDEX($W$2:$W$1001,MATCH(ROWS($V$2:V304),$V$2:$V$1001,0),1)&gt;=100000,INDEX($AC$1005:$AS$1005,1,MATCH(COLUMNS($AC$1006:AQ1006),$AC$1006:$AS$1006,0))&gt;=100000), " ",IF(INDEX($AC$2:$AS$1001,MATCH(ROWS($V$2:V304),$V$2:$V$1001,0),MATCH(COLUMNS($AC$1006:AQ1006),$AC$1006:$AS$1006,0)), HYPERLINK("#",""), HYPERLINK(CONCATENATE("#metadata!", ADDRESS(INDEX($X$2:$X$1001,MATCH(ROWS($V$2:V304),$V$2:$V$1001,0),0), INDEX($AC$1004:$AS$1004,1,MATCH(COLUMNS($AC$1006:AQ1006),$AC$1006:$AS$1006,0)))),"Fix")))</f>
        <v xml:space="preserve"> </v>
      </c>
      <c r="Q304" s="4" t="str">
        <f ca="1">IF(OR(INDEX($W$2:$W$1001,MATCH(ROWS($V$2:V304),$V$2:$V$1001,0),1)&gt;=100000,INDEX($AC$1005:$AS$1005,1,MATCH(COLUMNS($AC$1006:AR1006),$AC$1006:$AS$1006,0))&gt;=100000), " ",IF(INDEX($AC$2:$AS$1001,MATCH(ROWS($V$2:V304),$V$2:$V$1001,0),MATCH(COLUMNS($AC$1006:AR1006),$AC$1006:$AS$1006,0)), HYPERLINK("#",""), HYPERLINK(CONCATENATE("#metadata!", ADDRESS(INDEX($X$2:$X$1001,MATCH(ROWS($V$2:V304),$V$2:$V$1001,0),0), INDEX($AC$1004:$AS$1004,1,MATCH(COLUMNS($AC$1006:AR1006),$AC$1006:$AS$1006,0)))),"Fix")))</f>
        <v xml:space="preserve"> </v>
      </c>
      <c r="R304" s="4" t="str">
        <f ca="1">IF(OR(INDEX($W$2:$W$1001,MATCH(ROWS($V$2:V304),$V$2:$V$1001,0),1)&gt;=100000,INDEX($AC$1005:$AS$1005,1,MATCH(COLUMNS($AC$1006:AS1006),$AC$1006:$AS$1006,0))&gt;=100000), " ",IF(INDEX($AC$2:$AS$1001,MATCH(ROWS($V$2:V304),$V$2:$V$1001,0),MATCH(COLUMNS($AC$1006:AS1006),$AC$1006:$AS$1006,0)), HYPERLINK("#",""), HYPERLINK(CONCATENATE("#metadata!", ADDRESS(INDEX($X$2:$X$1001,MATCH(ROWS($V$2:V304),$V$2:$V$1001,0),0), INDEX($AC$1004:$AS$1004,1,MATCH(COLUMNS($AC$1006:AS1006),$AC$1006:$AS$1006,0)))),"Fix")))</f>
        <v xml:space="preserve"> </v>
      </c>
      <c r="V304">
        <v>303</v>
      </c>
      <c r="W304">
        <v>100304</v>
      </c>
      <c r="X304">
        <v>304</v>
      </c>
      <c r="Y304" t="b">
        <f t="shared" si="4"/>
        <v>1</v>
      </c>
      <c r="Z304" t="b">
        <f>COUNTBLANK(metadata!B304:R304)=COLUMNS(metadata!B304:R304)</f>
        <v>1</v>
      </c>
      <c r="AA304" t="str">
        <v/>
      </c>
      <c r="AC304" t="b">
        <f ca="1"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AD304" t="b">
        <f>IF(metadata!C304="",FALSE,ISNUMBER(VALUE(metadata!C304)))</f>
        <v>0</v>
      </c>
      <c r="AE304" t="b">
        <f>AND(IF(metadata!D304="",FALSE,TRUE),EXACT(metadata!D304,"years"))</f>
        <v>0</v>
      </c>
      <c r="AF304" t="b">
        <f>OR(AND(IF(metadata!E304="",FALSE,TRUE),OR(EXACT(metadata!E304,"not applicable"),EXACT(metadata!E304,"missing: not collected"),EXACT(metadata!E304,"missing: not provided"),EXACT(metadata!E304,"missing: restricted access"))),AND(IF(metadata!E304="",FALSE,ISNUMBER(VALUE(metadata!E304))),metadata!E304&gt;0))</f>
        <v>0</v>
      </c>
      <c r="AG304" t="b">
        <f>AND(IF(metadata!F304="",FALSE,TRUE),EXACT(metadata!F304,"Not applicable"))</f>
        <v>0</v>
      </c>
      <c r="AH304" t="b">
        <f>AND(IF(metadata!G304="",FALSE,TRUE),EXACT(metadata!G304,"urban biome"))</f>
        <v>0</v>
      </c>
      <c r="AI304" t="b">
        <f>AND(IF(metadata!H304="",FALSE,TRUE),EXACT(metadata!H304,"human-associated habitat"))</f>
        <v>0</v>
      </c>
      <c r="AJ304" t="b">
        <f>AND(IF(metadata!I304="",FALSE,TRUE),OR(EXACT(metadata!I304,"human-associated"),EXACT(metadata!I304,"human-skin"),EXACT(metadata!I304,"human-oral"),EXACT(metadata!I304,"human-gut"),EXACT(metadata!I304,"human-vaginal")))</f>
        <v>0</v>
      </c>
      <c r="AK304" t="b">
        <f>IF(metadata!J304="",FALSE,ISNUMBER(VALUE(metadata!J304)))</f>
        <v>0</v>
      </c>
      <c r="AL304" t="b">
        <f>AND(IF(metadata!K304="",FALSE,TRUE),EXACT(metadata!K304,"cm"))</f>
        <v>0</v>
      </c>
      <c r="AM304" t="b">
        <f>AND(IF(metadata!L304="",FALSE,TRUE),EXACT(metadata!L304,"human"))</f>
        <v>0</v>
      </c>
      <c r="AN304" t="b">
        <f>AND(IF(metadata!M304="",FALSE,TRUE),EXACT(metadata!M304,"Homo sapiens"))</f>
        <v>0</v>
      </c>
      <c r="AO304" t="b">
        <f>AND(IF(metadata!N304="",FALSE,TRUE),EXACT(metadata!N304,"9606"))</f>
        <v>0</v>
      </c>
      <c r="AP304" t="b">
        <f>IF(metadata!O304="",FALSE,TRUE)</f>
        <v>0</v>
      </c>
      <c r="AQ304" t="b">
        <f>IF(metadata!P304="",FALSE,TRUE)</f>
        <v>0</v>
      </c>
      <c r="AR304" t="b">
        <f>IF(metadata!Q304="",FALSE,ISNUMBER(VALUE(metadata!Q304)))</f>
        <v>0</v>
      </c>
      <c r="AS304" t="b">
        <f>AND(IF(metadata!R304="",FALSE,TRUE),EXACT(metadata!R304,"kg"))</f>
        <v>0</v>
      </c>
    </row>
    <row r="305" spans="1:45" x14ac:dyDescent="0.2">
      <c r="A305" s="5" t="str">
        <f ca="1">IF(B305=" "," ",HYPERLINK(CONCATENATE("#metadata!",ADDRESS(INDEX($X$2:$X$1001,MATCH(ROWS($V$2:V305),$V$2:$V$1001,0),0),1)),INDEX($AA$2:$AA$1001,MATCH(ROWS($V$2:V305),$V$2:$V$1001,0),0)))</f>
        <v xml:space="preserve"> </v>
      </c>
      <c r="B305" s="4" t="str">
        <f ca="1">IF(OR(INDEX($W$2:$W$1001,MATCH(ROWS($V$2:V305),$V$2:$V$1001,0),1)&gt;=100000,INDEX($AC$1005:$AS$1005,1,MATCH(COLUMNS($AC$1006:AC1006),$AC$1006:$AS$1006,0))&gt;=100000), " ",IF(INDEX($AC$2:$AS$1001,MATCH(ROWS($V$2:V305),$V$2:$V$1001,0),MATCH(COLUMNS($AC$1006:AC1006),$AC$1006:$AS$1006,0)), HYPERLINK("#",""), HYPERLINK(CONCATENATE("#metadata!", ADDRESS(INDEX($X$2:$X$1001,MATCH(ROWS($V$2:V305),$V$2:$V$1001,0),0), INDEX($AC$1004:$AS$1004,1,MATCH(COLUMNS($AC$1006:AC1006),$AC$1006:$AS$1006,0)))),"Fix")))</f>
        <v xml:space="preserve"> </v>
      </c>
      <c r="C305" s="4" t="str">
        <f ca="1">IF(OR(INDEX($W$2:$W$1001,MATCH(ROWS($V$2:V305),$V$2:$V$1001,0),1)&gt;=100000,INDEX($AC$1005:$AS$1005,1,MATCH(COLUMNS($AC$1006:AD1006),$AC$1006:$AS$1006,0))&gt;=100000), " ",IF(INDEX($AC$2:$AS$1001,MATCH(ROWS($V$2:V305),$V$2:$V$1001,0),MATCH(COLUMNS($AC$1006:AD1006),$AC$1006:$AS$1006,0)), HYPERLINK("#",""), HYPERLINK(CONCATENATE("#metadata!", ADDRESS(INDEX($X$2:$X$1001,MATCH(ROWS($V$2:V305),$V$2:$V$1001,0),0), INDEX($AC$1004:$AS$1004,1,MATCH(COLUMNS($AC$1006:AD1006),$AC$1006:$AS$1006,0)))),"Fix")))</f>
        <v xml:space="preserve"> </v>
      </c>
      <c r="D305" s="4" t="str">
        <f ca="1">IF(OR(INDEX($W$2:$W$1001,MATCH(ROWS($V$2:V305),$V$2:$V$1001,0),1)&gt;=100000,INDEX($AC$1005:$AS$1005,1,MATCH(COLUMNS($AC$1006:AE1006),$AC$1006:$AS$1006,0))&gt;=100000), " ",IF(INDEX($AC$2:$AS$1001,MATCH(ROWS($V$2:V305),$V$2:$V$1001,0),MATCH(COLUMNS($AC$1006:AE1006),$AC$1006:$AS$1006,0)), HYPERLINK("#",""), HYPERLINK(CONCATENATE("#metadata!", ADDRESS(INDEX($X$2:$X$1001,MATCH(ROWS($V$2:V305),$V$2:$V$1001,0),0), INDEX($AC$1004:$AS$1004,1,MATCH(COLUMNS($AC$1006:AE1006),$AC$1006:$AS$1006,0)))),"Fix")))</f>
        <v xml:space="preserve"> </v>
      </c>
      <c r="E305" s="4" t="str">
        <f ca="1">IF(OR(INDEX($W$2:$W$1001,MATCH(ROWS($V$2:V305),$V$2:$V$1001,0),1)&gt;=100000,INDEX($AC$1005:$AS$1005,1,MATCH(COLUMNS($AC$1006:AF1006),$AC$1006:$AS$1006,0))&gt;=100000), " ",IF(INDEX($AC$2:$AS$1001,MATCH(ROWS($V$2:V305),$V$2:$V$1001,0),MATCH(COLUMNS($AC$1006:AF1006),$AC$1006:$AS$1006,0)), HYPERLINK("#",""), HYPERLINK(CONCATENATE("#metadata!", ADDRESS(INDEX($X$2:$X$1001,MATCH(ROWS($V$2:V305),$V$2:$V$1001,0),0), INDEX($AC$1004:$AS$1004,1,MATCH(COLUMNS($AC$1006:AF1006),$AC$1006:$AS$1006,0)))),"Fix")))</f>
        <v xml:space="preserve"> </v>
      </c>
      <c r="F305" s="4" t="str">
        <f ca="1">IF(OR(INDEX($W$2:$W$1001,MATCH(ROWS($V$2:V305),$V$2:$V$1001,0),1)&gt;=100000,INDEX($AC$1005:$AS$1005,1,MATCH(COLUMNS($AC$1006:AG1006),$AC$1006:$AS$1006,0))&gt;=100000), " ",IF(INDEX($AC$2:$AS$1001,MATCH(ROWS($V$2:V305),$V$2:$V$1001,0),MATCH(COLUMNS($AC$1006:AG1006),$AC$1006:$AS$1006,0)), HYPERLINK("#",""), HYPERLINK(CONCATENATE("#metadata!", ADDRESS(INDEX($X$2:$X$1001,MATCH(ROWS($V$2:V305),$V$2:$V$1001,0),0), INDEX($AC$1004:$AS$1004,1,MATCH(COLUMNS($AC$1006:AG1006),$AC$1006:$AS$1006,0)))),"Fix")))</f>
        <v xml:space="preserve"> </v>
      </c>
      <c r="G305" s="4" t="str">
        <f ca="1">IF(OR(INDEX($W$2:$W$1001,MATCH(ROWS($V$2:V305),$V$2:$V$1001,0),1)&gt;=100000,INDEX($AC$1005:$AS$1005,1,MATCH(COLUMNS($AC$1006:AH1006),$AC$1006:$AS$1006,0))&gt;=100000), " ",IF(INDEX($AC$2:$AS$1001,MATCH(ROWS($V$2:V305),$V$2:$V$1001,0),MATCH(COLUMNS($AC$1006:AH1006),$AC$1006:$AS$1006,0)), HYPERLINK("#",""), HYPERLINK(CONCATENATE("#metadata!", ADDRESS(INDEX($X$2:$X$1001,MATCH(ROWS($V$2:V305),$V$2:$V$1001,0),0), INDEX($AC$1004:$AS$1004,1,MATCH(COLUMNS($AC$1006:AH1006),$AC$1006:$AS$1006,0)))),"Fix")))</f>
        <v xml:space="preserve"> </v>
      </c>
      <c r="H305" s="4" t="str">
        <f ca="1">IF(OR(INDEX($W$2:$W$1001,MATCH(ROWS($V$2:V305),$V$2:$V$1001,0),1)&gt;=100000,INDEX($AC$1005:$AS$1005,1,MATCH(COLUMNS($AC$1006:AI1006),$AC$1006:$AS$1006,0))&gt;=100000), " ",IF(INDEX($AC$2:$AS$1001,MATCH(ROWS($V$2:V305),$V$2:$V$1001,0),MATCH(COLUMNS($AC$1006:AI1006),$AC$1006:$AS$1006,0)), HYPERLINK("#",""), HYPERLINK(CONCATENATE("#metadata!", ADDRESS(INDEX($X$2:$X$1001,MATCH(ROWS($V$2:V305),$V$2:$V$1001,0),0), INDEX($AC$1004:$AS$1004,1,MATCH(COLUMNS($AC$1006:AI1006),$AC$1006:$AS$1006,0)))),"Fix")))</f>
        <v xml:space="preserve"> </v>
      </c>
      <c r="I305" s="4" t="str">
        <f ca="1">IF(OR(INDEX($W$2:$W$1001,MATCH(ROWS($V$2:V305),$V$2:$V$1001,0),1)&gt;=100000,INDEX($AC$1005:$AS$1005,1,MATCH(COLUMNS($AC$1006:AJ1006),$AC$1006:$AS$1006,0))&gt;=100000), " ",IF(INDEX($AC$2:$AS$1001,MATCH(ROWS($V$2:V305),$V$2:$V$1001,0),MATCH(COLUMNS($AC$1006:AJ1006),$AC$1006:$AS$1006,0)), HYPERLINK("#",""), HYPERLINK(CONCATENATE("#metadata!", ADDRESS(INDEX($X$2:$X$1001,MATCH(ROWS($V$2:V305),$V$2:$V$1001,0),0), INDEX($AC$1004:$AS$1004,1,MATCH(COLUMNS($AC$1006:AJ1006),$AC$1006:$AS$1006,0)))),"Fix")))</f>
        <v xml:space="preserve"> </v>
      </c>
      <c r="J305" s="4" t="str">
        <f ca="1">IF(OR(INDEX($W$2:$W$1001,MATCH(ROWS($V$2:V305),$V$2:$V$1001,0),1)&gt;=100000,INDEX($AC$1005:$AS$1005,1,MATCH(COLUMNS($AC$1006:AK1006),$AC$1006:$AS$1006,0))&gt;=100000), " ",IF(INDEX($AC$2:$AS$1001,MATCH(ROWS($V$2:V305),$V$2:$V$1001,0),MATCH(COLUMNS($AC$1006:AK1006),$AC$1006:$AS$1006,0)), HYPERLINK("#",""), HYPERLINK(CONCATENATE("#metadata!", ADDRESS(INDEX($X$2:$X$1001,MATCH(ROWS($V$2:V305),$V$2:$V$1001,0),0), INDEX($AC$1004:$AS$1004,1,MATCH(COLUMNS($AC$1006:AK1006),$AC$1006:$AS$1006,0)))),"Fix")))</f>
        <v xml:space="preserve"> </v>
      </c>
      <c r="K305" s="4" t="str">
        <f ca="1">IF(OR(INDEX($W$2:$W$1001,MATCH(ROWS($V$2:V305),$V$2:$V$1001,0),1)&gt;=100000,INDEX($AC$1005:$AS$1005,1,MATCH(COLUMNS($AC$1006:AL1006),$AC$1006:$AS$1006,0))&gt;=100000), " ",IF(INDEX($AC$2:$AS$1001,MATCH(ROWS($V$2:V305),$V$2:$V$1001,0),MATCH(COLUMNS($AC$1006:AL1006),$AC$1006:$AS$1006,0)), HYPERLINK("#",""), HYPERLINK(CONCATENATE("#metadata!", ADDRESS(INDEX($X$2:$X$1001,MATCH(ROWS($V$2:V305),$V$2:$V$1001,0),0), INDEX($AC$1004:$AS$1004,1,MATCH(COLUMNS($AC$1006:AL1006),$AC$1006:$AS$1006,0)))),"Fix")))</f>
        <v xml:space="preserve"> </v>
      </c>
      <c r="L305" s="4" t="str">
        <f ca="1">IF(OR(INDEX($W$2:$W$1001,MATCH(ROWS($V$2:V305),$V$2:$V$1001,0),1)&gt;=100000,INDEX($AC$1005:$AS$1005,1,MATCH(COLUMNS($AC$1006:AM1006),$AC$1006:$AS$1006,0))&gt;=100000), " ",IF(INDEX($AC$2:$AS$1001,MATCH(ROWS($V$2:V305),$V$2:$V$1001,0),MATCH(COLUMNS($AC$1006:AM1006),$AC$1006:$AS$1006,0)), HYPERLINK("#",""), HYPERLINK(CONCATENATE("#metadata!", ADDRESS(INDEX($X$2:$X$1001,MATCH(ROWS($V$2:V305),$V$2:$V$1001,0),0), INDEX($AC$1004:$AS$1004,1,MATCH(COLUMNS($AC$1006:AM1006),$AC$1006:$AS$1006,0)))),"Fix")))</f>
        <v xml:space="preserve"> </v>
      </c>
      <c r="M305" s="4" t="str">
        <f ca="1">IF(OR(INDEX($W$2:$W$1001,MATCH(ROWS($V$2:V305),$V$2:$V$1001,0),1)&gt;=100000,INDEX($AC$1005:$AS$1005,1,MATCH(COLUMNS($AC$1006:AN1006),$AC$1006:$AS$1006,0))&gt;=100000), " ",IF(INDEX($AC$2:$AS$1001,MATCH(ROWS($V$2:V305),$V$2:$V$1001,0),MATCH(COLUMNS($AC$1006:AN1006),$AC$1006:$AS$1006,0)), HYPERLINK("#",""), HYPERLINK(CONCATENATE("#metadata!", ADDRESS(INDEX($X$2:$X$1001,MATCH(ROWS($V$2:V305),$V$2:$V$1001,0),0), INDEX($AC$1004:$AS$1004,1,MATCH(COLUMNS($AC$1006:AN1006),$AC$1006:$AS$1006,0)))),"Fix")))</f>
        <v xml:space="preserve"> </v>
      </c>
      <c r="N305" s="4" t="str">
        <f ca="1">IF(OR(INDEX($W$2:$W$1001,MATCH(ROWS($V$2:V305),$V$2:$V$1001,0),1)&gt;=100000,INDEX($AC$1005:$AS$1005,1,MATCH(COLUMNS($AC$1006:AO1006),$AC$1006:$AS$1006,0))&gt;=100000), " ",IF(INDEX($AC$2:$AS$1001,MATCH(ROWS($V$2:V305),$V$2:$V$1001,0),MATCH(COLUMNS($AC$1006:AO1006),$AC$1006:$AS$1006,0)), HYPERLINK("#",""), HYPERLINK(CONCATENATE("#metadata!", ADDRESS(INDEX($X$2:$X$1001,MATCH(ROWS($V$2:V305),$V$2:$V$1001,0),0), INDEX($AC$1004:$AS$1004,1,MATCH(COLUMNS($AC$1006:AO1006),$AC$1006:$AS$1006,0)))),"Fix")))</f>
        <v xml:space="preserve"> </v>
      </c>
      <c r="O305" s="4" t="str">
        <f ca="1">IF(OR(INDEX($W$2:$W$1001,MATCH(ROWS($V$2:V305),$V$2:$V$1001,0),1)&gt;=100000,INDEX($AC$1005:$AS$1005,1,MATCH(COLUMNS($AC$1006:AP1006),$AC$1006:$AS$1006,0))&gt;=100000), " ",IF(INDEX($AC$2:$AS$1001,MATCH(ROWS($V$2:V305),$V$2:$V$1001,0),MATCH(COLUMNS($AC$1006:AP1006),$AC$1006:$AS$1006,0)), HYPERLINK("#",""), HYPERLINK(CONCATENATE("#metadata!", ADDRESS(INDEX($X$2:$X$1001,MATCH(ROWS($V$2:V305),$V$2:$V$1001,0),0), INDEX($AC$1004:$AS$1004,1,MATCH(COLUMNS($AC$1006:AP1006),$AC$1006:$AS$1006,0)))),"Fix")))</f>
        <v xml:space="preserve"> </v>
      </c>
      <c r="P305" s="4" t="str">
        <f ca="1">IF(OR(INDEX($W$2:$W$1001,MATCH(ROWS($V$2:V305),$V$2:$V$1001,0),1)&gt;=100000,INDEX($AC$1005:$AS$1005,1,MATCH(COLUMNS($AC$1006:AQ1006),$AC$1006:$AS$1006,0))&gt;=100000), " ",IF(INDEX($AC$2:$AS$1001,MATCH(ROWS($V$2:V305),$V$2:$V$1001,0),MATCH(COLUMNS($AC$1006:AQ1006),$AC$1006:$AS$1006,0)), HYPERLINK("#",""), HYPERLINK(CONCATENATE("#metadata!", ADDRESS(INDEX($X$2:$X$1001,MATCH(ROWS($V$2:V305),$V$2:$V$1001,0),0), INDEX($AC$1004:$AS$1004,1,MATCH(COLUMNS($AC$1006:AQ1006),$AC$1006:$AS$1006,0)))),"Fix")))</f>
        <v xml:space="preserve"> </v>
      </c>
      <c r="Q305" s="4" t="str">
        <f ca="1">IF(OR(INDEX($W$2:$W$1001,MATCH(ROWS($V$2:V305),$V$2:$V$1001,0),1)&gt;=100000,INDEX($AC$1005:$AS$1005,1,MATCH(COLUMNS($AC$1006:AR1006),$AC$1006:$AS$1006,0))&gt;=100000), " ",IF(INDEX($AC$2:$AS$1001,MATCH(ROWS($V$2:V305),$V$2:$V$1001,0),MATCH(COLUMNS($AC$1006:AR1006),$AC$1006:$AS$1006,0)), HYPERLINK("#",""), HYPERLINK(CONCATENATE("#metadata!", ADDRESS(INDEX($X$2:$X$1001,MATCH(ROWS($V$2:V305),$V$2:$V$1001,0),0), INDEX($AC$1004:$AS$1004,1,MATCH(COLUMNS($AC$1006:AR1006),$AC$1006:$AS$1006,0)))),"Fix")))</f>
        <v xml:space="preserve"> </v>
      </c>
      <c r="R305" s="4" t="str">
        <f ca="1">IF(OR(INDEX($W$2:$W$1001,MATCH(ROWS($V$2:V305),$V$2:$V$1001,0),1)&gt;=100000,INDEX($AC$1005:$AS$1005,1,MATCH(COLUMNS($AC$1006:AS1006),$AC$1006:$AS$1006,0))&gt;=100000), " ",IF(INDEX($AC$2:$AS$1001,MATCH(ROWS($V$2:V305),$V$2:$V$1001,0),MATCH(COLUMNS($AC$1006:AS1006),$AC$1006:$AS$1006,0)), HYPERLINK("#",""), HYPERLINK(CONCATENATE("#metadata!", ADDRESS(INDEX($X$2:$X$1001,MATCH(ROWS($V$2:V305),$V$2:$V$1001,0),0), INDEX($AC$1004:$AS$1004,1,MATCH(COLUMNS($AC$1006:AS1006),$AC$1006:$AS$1006,0)))),"Fix")))</f>
        <v xml:space="preserve"> </v>
      </c>
      <c r="V305">
        <v>304</v>
      </c>
      <c r="W305">
        <v>100305</v>
      </c>
      <c r="X305">
        <v>305</v>
      </c>
      <c r="Y305" t="b">
        <f t="shared" si="4"/>
        <v>1</v>
      </c>
      <c r="Z305" t="b">
        <f>COUNTBLANK(metadata!B305:R305)=COLUMNS(metadata!B305:R305)</f>
        <v>1</v>
      </c>
      <c r="AA305" t="str">
        <v/>
      </c>
      <c r="AC305" t="b">
        <f ca="1"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AD305" t="b">
        <f>IF(metadata!C305="",FALSE,ISNUMBER(VALUE(metadata!C305)))</f>
        <v>0</v>
      </c>
      <c r="AE305" t="b">
        <f>AND(IF(metadata!D305="",FALSE,TRUE),EXACT(metadata!D305,"years"))</f>
        <v>0</v>
      </c>
      <c r="AF305" t="b">
        <f>OR(AND(IF(metadata!E305="",FALSE,TRUE),OR(EXACT(metadata!E305,"not applicable"),EXACT(metadata!E305,"missing: not collected"),EXACT(metadata!E305,"missing: not provided"),EXACT(metadata!E305,"missing: restricted access"))),AND(IF(metadata!E305="",FALSE,ISNUMBER(VALUE(metadata!E305))),metadata!E305&gt;0))</f>
        <v>0</v>
      </c>
      <c r="AG305" t="b">
        <f>AND(IF(metadata!F305="",FALSE,TRUE),EXACT(metadata!F305,"Not applicable"))</f>
        <v>0</v>
      </c>
      <c r="AH305" t="b">
        <f>AND(IF(metadata!G305="",FALSE,TRUE),EXACT(metadata!G305,"urban biome"))</f>
        <v>0</v>
      </c>
      <c r="AI305" t="b">
        <f>AND(IF(metadata!H305="",FALSE,TRUE),EXACT(metadata!H305,"human-associated habitat"))</f>
        <v>0</v>
      </c>
      <c r="AJ305" t="b">
        <f>AND(IF(metadata!I305="",FALSE,TRUE),OR(EXACT(metadata!I305,"human-associated"),EXACT(metadata!I305,"human-skin"),EXACT(metadata!I305,"human-oral"),EXACT(metadata!I305,"human-gut"),EXACT(metadata!I305,"human-vaginal")))</f>
        <v>0</v>
      </c>
      <c r="AK305" t="b">
        <f>IF(metadata!J305="",FALSE,ISNUMBER(VALUE(metadata!J305)))</f>
        <v>0</v>
      </c>
      <c r="AL305" t="b">
        <f>AND(IF(metadata!K305="",FALSE,TRUE),EXACT(metadata!K305,"cm"))</f>
        <v>0</v>
      </c>
      <c r="AM305" t="b">
        <f>AND(IF(metadata!L305="",FALSE,TRUE),EXACT(metadata!L305,"human"))</f>
        <v>0</v>
      </c>
      <c r="AN305" t="b">
        <f>AND(IF(metadata!M305="",FALSE,TRUE),EXACT(metadata!M305,"Homo sapiens"))</f>
        <v>0</v>
      </c>
      <c r="AO305" t="b">
        <f>AND(IF(metadata!N305="",FALSE,TRUE),EXACT(metadata!N305,"9606"))</f>
        <v>0</v>
      </c>
      <c r="AP305" t="b">
        <f>IF(metadata!O305="",FALSE,TRUE)</f>
        <v>0</v>
      </c>
      <c r="AQ305" t="b">
        <f>IF(metadata!P305="",FALSE,TRUE)</f>
        <v>0</v>
      </c>
      <c r="AR305" t="b">
        <f>IF(metadata!Q305="",FALSE,ISNUMBER(VALUE(metadata!Q305)))</f>
        <v>0</v>
      </c>
      <c r="AS305" t="b">
        <f>AND(IF(metadata!R305="",FALSE,TRUE),EXACT(metadata!R305,"kg"))</f>
        <v>0</v>
      </c>
    </row>
    <row r="306" spans="1:45" x14ac:dyDescent="0.2">
      <c r="A306" s="5" t="str">
        <f ca="1">IF(B306=" "," ",HYPERLINK(CONCATENATE("#metadata!",ADDRESS(INDEX($X$2:$X$1001,MATCH(ROWS($V$2:V306),$V$2:$V$1001,0),0),1)),INDEX($AA$2:$AA$1001,MATCH(ROWS($V$2:V306),$V$2:$V$1001,0),0)))</f>
        <v xml:space="preserve"> </v>
      </c>
      <c r="B306" s="4" t="str">
        <f ca="1">IF(OR(INDEX($W$2:$W$1001,MATCH(ROWS($V$2:V306),$V$2:$V$1001,0),1)&gt;=100000,INDEX($AC$1005:$AS$1005,1,MATCH(COLUMNS($AC$1006:AC1006),$AC$1006:$AS$1006,0))&gt;=100000), " ",IF(INDEX($AC$2:$AS$1001,MATCH(ROWS($V$2:V306),$V$2:$V$1001,0),MATCH(COLUMNS($AC$1006:AC1006),$AC$1006:$AS$1006,0)), HYPERLINK("#",""), HYPERLINK(CONCATENATE("#metadata!", ADDRESS(INDEX($X$2:$X$1001,MATCH(ROWS($V$2:V306),$V$2:$V$1001,0),0), INDEX($AC$1004:$AS$1004,1,MATCH(COLUMNS($AC$1006:AC1006),$AC$1006:$AS$1006,0)))),"Fix")))</f>
        <v xml:space="preserve"> </v>
      </c>
      <c r="C306" s="4" t="str">
        <f ca="1">IF(OR(INDEX($W$2:$W$1001,MATCH(ROWS($V$2:V306),$V$2:$V$1001,0),1)&gt;=100000,INDEX($AC$1005:$AS$1005,1,MATCH(COLUMNS($AC$1006:AD1006),$AC$1006:$AS$1006,0))&gt;=100000), " ",IF(INDEX($AC$2:$AS$1001,MATCH(ROWS($V$2:V306),$V$2:$V$1001,0),MATCH(COLUMNS($AC$1006:AD1006),$AC$1006:$AS$1006,0)), HYPERLINK("#",""), HYPERLINK(CONCATENATE("#metadata!", ADDRESS(INDEX($X$2:$X$1001,MATCH(ROWS($V$2:V306),$V$2:$V$1001,0),0), INDEX($AC$1004:$AS$1004,1,MATCH(COLUMNS($AC$1006:AD1006),$AC$1006:$AS$1006,0)))),"Fix")))</f>
        <v xml:space="preserve"> </v>
      </c>
      <c r="D306" s="4" t="str">
        <f ca="1">IF(OR(INDEX($W$2:$W$1001,MATCH(ROWS($V$2:V306),$V$2:$V$1001,0),1)&gt;=100000,INDEX($AC$1005:$AS$1005,1,MATCH(COLUMNS($AC$1006:AE1006),$AC$1006:$AS$1006,0))&gt;=100000), " ",IF(INDEX($AC$2:$AS$1001,MATCH(ROWS($V$2:V306),$V$2:$V$1001,0),MATCH(COLUMNS($AC$1006:AE1006),$AC$1006:$AS$1006,0)), HYPERLINK("#",""), HYPERLINK(CONCATENATE("#metadata!", ADDRESS(INDEX($X$2:$X$1001,MATCH(ROWS($V$2:V306),$V$2:$V$1001,0),0), INDEX($AC$1004:$AS$1004,1,MATCH(COLUMNS($AC$1006:AE1006),$AC$1006:$AS$1006,0)))),"Fix")))</f>
        <v xml:space="preserve"> </v>
      </c>
      <c r="E306" s="4" t="str">
        <f ca="1">IF(OR(INDEX($W$2:$W$1001,MATCH(ROWS($V$2:V306),$V$2:$V$1001,0),1)&gt;=100000,INDEX($AC$1005:$AS$1005,1,MATCH(COLUMNS($AC$1006:AF1006),$AC$1006:$AS$1006,0))&gt;=100000), " ",IF(INDEX($AC$2:$AS$1001,MATCH(ROWS($V$2:V306),$V$2:$V$1001,0),MATCH(COLUMNS($AC$1006:AF1006),$AC$1006:$AS$1006,0)), HYPERLINK("#",""), HYPERLINK(CONCATENATE("#metadata!", ADDRESS(INDEX($X$2:$X$1001,MATCH(ROWS($V$2:V306),$V$2:$V$1001,0),0), INDEX($AC$1004:$AS$1004,1,MATCH(COLUMNS($AC$1006:AF1006),$AC$1006:$AS$1006,0)))),"Fix")))</f>
        <v xml:space="preserve"> </v>
      </c>
      <c r="F306" s="4" t="str">
        <f ca="1">IF(OR(INDEX($W$2:$W$1001,MATCH(ROWS($V$2:V306),$V$2:$V$1001,0),1)&gt;=100000,INDEX($AC$1005:$AS$1005,1,MATCH(COLUMNS($AC$1006:AG1006),$AC$1006:$AS$1006,0))&gt;=100000), " ",IF(INDEX($AC$2:$AS$1001,MATCH(ROWS($V$2:V306),$V$2:$V$1001,0),MATCH(COLUMNS($AC$1006:AG1006),$AC$1006:$AS$1006,0)), HYPERLINK("#",""), HYPERLINK(CONCATENATE("#metadata!", ADDRESS(INDEX($X$2:$X$1001,MATCH(ROWS($V$2:V306),$V$2:$V$1001,0),0), INDEX($AC$1004:$AS$1004,1,MATCH(COLUMNS($AC$1006:AG1006),$AC$1006:$AS$1006,0)))),"Fix")))</f>
        <v xml:space="preserve"> </v>
      </c>
      <c r="G306" s="4" t="str">
        <f ca="1">IF(OR(INDEX($W$2:$W$1001,MATCH(ROWS($V$2:V306),$V$2:$V$1001,0),1)&gt;=100000,INDEX($AC$1005:$AS$1005,1,MATCH(COLUMNS($AC$1006:AH1006),$AC$1006:$AS$1006,0))&gt;=100000), " ",IF(INDEX($AC$2:$AS$1001,MATCH(ROWS($V$2:V306),$V$2:$V$1001,0),MATCH(COLUMNS($AC$1006:AH1006),$AC$1006:$AS$1006,0)), HYPERLINK("#",""), HYPERLINK(CONCATENATE("#metadata!", ADDRESS(INDEX($X$2:$X$1001,MATCH(ROWS($V$2:V306),$V$2:$V$1001,0),0), INDEX($AC$1004:$AS$1004,1,MATCH(COLUMNS($AC$1006:AH1006),$AC$1006:$AS$1006,0)))),"Fix")))</f>
        <v xml:space="preserve"> </v>
      </c>
      <c r="H306" s="4" t="str">
        <f ca="1">IF(OR(INDEX($W$2:$W$1001,MATCH(ROWS($V$2:V306),$V$2:$V$1001,0),1)&gt;=100000,INDEX($AC$1005:$AS$1005,1,MATCH(COLUMNS($AC$1006:AI1006),$AC$1006:$AS$1006,0))&gt;=100000), " ",IF(INDEX($AC$2:$AS$1001,MATCH(ROWS($V$2:V306),$V$2:$V$1001,0),MATCH(COLUMNS($AC$1006:AI1006),$AC$1006:$AS$1006,0)), HYPERLINK("#",""), HYPERLINK(CONCATENATE("#metadata!", ADDRESS(INDEX($X$2:$X$1001,MATCH(ROWS($V$2:V306),$V$2:$V$1001,0),0), INDEX($AC$1004:$AS$1004,1,MATCH(COLUMNS($AC$1006:AI1006),$AC$1006:$AS$1006,0)))),"Fix")))</f>
        <v xml:space="preserve"> </v>
      </c>
      <c r="I306" s="4" t="str">
        <f ca="1">IF(OR(INDEX($W$2:$W$1001,MATCH(ROWS($V$2:V306),$V$2:$V$1001,0),1)&gt;=100000,INDEX($AC$1005:$AS$1005,1,MATCH(COLUMNS($AC$1006:AJ1006),$AC$1006:$AS$1006,0))&gt;=100000), " ",IF(INDEX($AC$2:$AS$1001,MATCH(ROWS($V$2:V306),$V$2:$V$1001,0),MATCH(COLUMNS($AC$1006:AJ1006),$AC$1006:$AS$1006,0)), HYPERLINK("#",""), HYPERLINK(CONCATENATE("#metadata!", ADDRESS(INDEX($X$2:$X$1001,MATCH(ROWS($V$2:V306),$V$2:$V$1001,0),0), INDEX($AC$1004:$AS$1004,1,MATCH(COLUMNS($AC$1006:AJ1006),$AC$1006:$AS$1006,0)))),"Fix")))</f>
        <v xml:space="preserve"> </v>
      </c>
      <c r="J306" s="4" t="str">
        <f ca="1">IF(OR(INDEX($W$2:$W$1001,MATCH(ROWS($V$2:V306),$V$2:$V$1001,0),1)&gt;=100000,INDEX($AC$1005:$AS$1005,1,MATCH(COLUMNS($AC$1006:AK1006),$AC$1006:$AS$1006,0))&gt;=100000), " ",IF(INDEX($AC$2:$AS$1001,MATCH(ROWS($V$2:V306),$V$2:$V$1001,0),MATCH(COLUMNS($AC$1006:AK1006),$AC$1006:$AS$1006,0)), HYPERLINK("#",""), HYPERLINK(CONCATENATE("#metadata!", ADDRESS(INDEX($X$2:$X$1001,MATCH(ROWS($V$2:V306),$V$2:$V$1001,0),0), INDEX($AC$1004:$AS$1004,1,MATCH(COLUMNS($AC$1006:AK1006),$AC$1006:$AS$1006,0)))),"Fix")))</f>
        <v xml:space="preserve"> </v>
      </c>
      <c r="K306" s="4" t="str">
        <f ca="1">IF(OR(INDEX($W$2:$W$1001,MATCH(ROWS($V$2:V306),$V$2:$V$1001,0),1)&gt;=100000,INDEX($AC$1005:$AS$1005,1,MATCH(COLUMNS($AC$1006:AL1006),$AC$1006:$AS$1006,0))&gt;=100000), " ",IF(INDEX($AC$2:$AS$1001,MATCH(ROWS($V$2:V306),$V$2:$V$1001,0),MATCH(COLUMNS($AC$1006:AL1006),$AC$1006:$AS$1006,0)), HYPERLINK("#",""), HYPERLINK(CONCATENATE("#metadata!", ADDRESS(INDEX($X$2:$X$1001,MATCH(ROWS($V$2:V306),$V$2:$V$1001,0),0), INDEX($AC$1004:$AS$1004,1,MATCH(COLUMNS($AC$1006:AL1006),$AC$1006:$AS$1006,0)))),"Fix")))</f>
        <v xml:space="preserve"> </v>
      </c>
      <c r="L306" s="4" t="str">
        <f ca="1">IF(OR(INDEX($W$2:$W$1001,MATCH(ROWS($V$2:V306),$V$2:$V$1001,0),1)&gt;=100000,INDEX($AC$1005:$AS$1005,1,MATCH(COLUMNS($AC$1006:AM1006),$AC$1006:$AS$1006,0))&gt;=100000), " ",IF(INDEX($AC$2:$AS$1001,MATCH(ROWS($V$2:V306),$V$2:$V$1001,0),MATCH(COLUMNS($AC$1006:AM1006),$AC$1006:$AS$1006,0)), HYPERLINK("#",""), HYPERLINK(CONCATENATE("#metadata!", ADDRESS(INDEX($X$2:$X$1001,MATCH(ROWS($V$2:V306),$V$2:$V$1001,0),0), INDEX($AC$1004:$AS$1004,1,MATCH(COLUMNS($AC$1006:AM1006),$AC$1006:$AS$1006,0)))),"Fix")))</f>
        <v xml:space="preserve"> </v>
      </c>
      <c r="M306" s="4" t="str">
        <f ca="1">IF(OR(INDEX($W$2:$W$1001,MATCH(ROWS($V$2:V306),$V$2:$V$1001,0),1)&gt;=100000,INDEX($AC$1005:$AS$1005,1,MATCH(COLUMNS($AC$1006:AN1006),$AC$1006:$AS$1006,0))&gt;=100000), " ",IF(INDEX($AC$2:$AS$1001,MATCH(ROWS($V$2:V306),$V$2:$V$1001,0),MATCH(COLUMNS($AC$1006:AN1006),$AC$1006:$AS$1006,0)), HYPERLINK("#",""), HYPERLINK(CONCATENATE("#metadata!", ADDRESS(INDEX($X$2:$X$1001,MATCH(ROWS($V$2:V306),$V$2:$V$1001,0),0), INDEX($AC$1004:$AS$1004,1,MATCH(COLUMNS($AC$1006:AN1006),$AC$1006:$AS$1006,0)))),"Fix")))</f>
        <v xml:space="preserve"> </v>
      </c>
      <c r="N306" s="4" t="str">
        <f ca="1">IF(OR(INDEX($W$2:$W$1001,MATCH(ROWS($V$2:V306),$V$2:$V$1001,0),1)&gt;=100000,INDEX($AC$1005:$AS$1005,1,MATCH(COLUMNS($AC$1006:AO1006),$AC$1006:$AS$1006,0))&gt;=100000), " ",IF(INDEX($AC$2:$AS$1001,MATCH(ROWS($V$2:V306),$V$2:$V$1001,0),MATCH(COLUMNS($AC$1006:AO1006),$AC$1006:$AS$1006,0)), HYPERLINK("#",""), HYPERLINK(CONCATENATE("#metadata!", ADDRESS(INDEX($X$2:$X$1001,MATCH(ROWS($V$2:V306),$V$2:$V$1001,0),0), INDEX($AC$1004:$AS$1004,1,MATCH(COLUMNS($AC$1006:AO1006),$AC$1006:$AS$1006,0)))),"Fix")))</f>
        <v xml:space="preserve"> </v>
      </c>
      <c r="O306" s="4" t="str">
        <f ca="1">IF(OR(INDEX($W$2:$W$1001,MATCH(ROWS($V$2:V306),$V$2:$V$1001,0),1)&gt;=100000,INDEX($AC$1005:$AS$1005,1,MATCH(COLUMNS($AC$1006:AP1006),$AC$1006:$AS$1006,0))&gt;=100000), " ",IF(INDEX($AC$2:$AS$1001,MATCH(ROWS($V$2:V306),$V$2:$V$1001,0),MATCH(COLUMNS($AC$1006:AP1006),$AC$1006:$AS$1006,0)), HYPERLINK("#",""), HYPERLINK(CONCATENATE("#metadata!", ADDRESS(INDEX($X$2:$X$1001,MATCH(ROWS($V$2:V306),$V$2:$V$1001,0),0), INDEX($AC$1004:$AS$1004,1,MATCH(COLUMNS($AC$1006:AP1006),$AC$1006:$AS$1006,0)))),"Fix")))</f>
        <v xml:space="preserve"> </v>
      </c>
      <c r="P306" s="4" t="str">
        <f ca="1">IF(OR(INDEX($W$2:$W$1001,MATCH(ROWS($V$2:V306),$V$2:$V$1001,0),1)&gt;=100000,INDEX($AC$1005:$AS$1005,1,MATCH(COLUMNS($AC$1006:AQ1006),$AC$1006:$AS$1006,0))&gt;=100000), " ",IF(INDEX($AC$2:$AS$1001,MATCH(ROWS($V$2:V306),$V$2:$V$1001,0),MATCH(COLUMNS($AC$1006:AQ1006),$AC$1006:$AS$1006,0)), HYPERLINK("#",""), HYPERLINK(CONCATENATE("#metadata!", ADDRESS(INDEX($X$2:$X$1001,MATCH(ROWS($V$2:V306),$V$2:$V$1001,0),0), INDEX($AC$1004:$AS$1004,1,MATCH(COLUMNS($AC$1006:AQ1006),$AC$1006:$AS$1006,0)))),"Fix")))</f>
        <v xml:space="preserve"> </v>
      </c>
      <c r="Q306" s="4" t="str">
        <f ca="1">IF(OR(INDEX($W$2:$W$1001,MATCH(ROWS($V$2:V306),$V$2:$V$1001,0),1)&gt;=100000,INDEX($AC$1005:$AS$1005,1,MATCH(COLUMNS($AC$1006:AR1006),$AC$1006:$AS$1006,0))&gt;=100000), " ",IF(INDEX($AC$2:$AS$1001,MATCH(ROWS($V$2:V306),$V$2:$V$1001,0),MATCH(COLUMNS($AC$1006:AR1006),$AC$1006:$AS$1006,0)), HYPERLINK("#",""), HYPERLINK(CONCATENATE("#metadata!", ADDRESS(INDEX($X$2:$X$1001,MATCH(ROWS($V$2:V306),$V$2:$V$1001,0),0), INDEX($AC$1004:$AS$1004,1,MATCH(COLUMNS($AC$1006:AR1006),$AC$1006:$AS$1006,0)))),"Fix")))</f>
        <v xml:space="preserve"> </v>
      </c>
      <c r="R306" s="4" t="str">
        <f ca="1">IF(OR(INDEX($W$2:$W$1001,MATCH(ROWS($V$2:V306),$V$2:$V$1001,0),1)&gt;=100000,INDEX($AC$1005:$AS$1005,1,MATCH(COLUMNS($AC$1006:AS1006),$AC$1006:$AS$1006,0))&gt;=100000), " ",IF(INDEX($AC$2:$AS$1001,MATCH(ROWS($V$2:V306),$V$2:$V$1001,0),MATCH(COLUMNS($AC$1006:AS1006),$AC$1006:$AS$1006,0)), HYPERLINK("#",""), HYPERLINK(CONCATENATE("#metadata!", ADDRESS(INDEX($X$2:$X$1001,MATCH(ROWS($V$2:V306),$V$2:$V$1001,0),0), INDEX($AC$1004:$AS$1004,1,MATCH(COLUMNS($AC$1006:AS1006),$AC$1006:$AS$1006,0)))),"Fix")))</f>
        <v xml:space="preserve"> </v>
      </c>
      <c r="V306">
        <v>305</v>
      </c>
      <c r="W306">
        <v>100306</v>
      </c>
      <c r="X306">
        <v>306</v>
      </c>
      <c r="Y306" t="b">
        <f t="shared" si="4"/>
        <v>1</v>
      </c>
      <c r="Z306" t="b">
        <f>COUNTBLANK(metadata!B306:R306)=COLUMNS(metadata!B306:R306)</f>
        <v>1</v>
      </c>
      <c r="AA306" t="str">
        <v/>
      </c>
      <c r="AC306" t="b">
        <f ca="1"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AD306" t="b">
        <f>IF(metadata!C306="",FALSE,ISNUMBER(VALUE(metadata!C306)))</f>
        <v>0</v>
      </c>
      <c r="AE306" t="b">
        <f>AND(IF(metadata!D306="",FALSE,TRUE),EXACT(metadata!D306,"years"))</f>
        <v>0</v>
      </c>
      <c r="AF306" t="b">
        <f>OR(AND(IF(metadata!E306="",FALSE,TRUE),OR(EXACT(metadata!E306,"not applicable"),EXACT(metadata!E306,"missing: not collected"),EXACT(metadata!E306,"missing: not provided"),EXACT(metadata!E306,"missing: restricted access"))),AND(IF(metadata!E306="",FALSE,ISNUMBER(VALUE(metadata!E306))),metadata!E306&gt;0))</f>
        <v>0</v>
      </c>
      <c r="AG306" t="b">
        <f>AND(IF(metadata!F306="",FALSE,TRUE),EXACT(metadata!F306,"Not applicable"))</f>
        <v>0</v>
      </c>
      <c r="AH306" t="b">
        <f>AND(IF(metadata!G306="",FALSE,TRUE),EXACT(metadata!G306,"urban biome"))</f>
        <v>0</v>
      </c>
      <c r="AI306" t="b">
        <f>AND(IF(metadata!H306="",FALSE,TRUE),EXACT(metadata!H306,"human-associated habitat"))</f>
        <v>0</v>
      </c>
      <c r="AJ306" t="b">
        <f>AND(IF(metadata!I306="",FALSE,TRUE),OR(EXACT(metadata!I306,"human-associated"),EXACT(metadata!I306,"human-skin"),EXACT(metadata!I306,"human-oral"),EXACT(metadata!I306,"human-gut"),EXACT(metadata!I306,"human-vaginal")))</f>
        <v>0</v>
      </c>
      <c r="AK306" t="b">
        <f>IF(metadata!J306="",FALSE,ISNUMBER(VALUE(metadata!J306)))</f>
        <v>0</v>
      </c>
      <c r="AL306" t="b">
        <f>AND(IF(metadata!K306="",FALSE,TRUE),EXACT(metadata!K306,"cm"))</f>
        <v>0</v>
      </c>
      <c r="AM306" t="b">
        <f>AND(IF(metadata!L306="",FALSE,TRUE),EXACT(metadata!L306,"human"))</f>
        <v>0</v>
      </c>
      <c r="AN306" t="b">
        <f>AND(IF(metadata!M306="",FALSE,TRUE),EXACT(metadata!M306,"Homo sapiens"))</f>
        <v>0</v>
      </c>
      <c r="AO306" t="b">
        <f>AND(IF(metadata!N306="",FALSE,TRUE),EXACT(metadata!N306,"9606"))</f>
        <v>0</v>
      </c>
      <c r="AP306" t="b">
        <f>IF(metadata!O306="",FALSE,TRUE)</f>
        <v>0</v>
      </c>
      <c r="AQ306" t="b">
        <f>IF(metadata!P306="",FALSE,TRUE)</f>
        <v>0</v>
      </c>
      <c r="AR306" t="b">
        <f>IF(metadata!Q306="",FALSE,ISNUMBER(VALUE(metadata!Q306)))</f>
        <v>0</v>
      </c>
      <c r="AS306" t="b">
        <f>AND(IF(metadata!R306="",FALSE,TRUE),EXACT(metadata!R306,"kg"))</f>
        <v>0</v>
      </c>
    </row>
    <row r="307" spans="1:45" x14ac:dyDescent="0.2">
      <c r="A307" s="5" t="str">
        <f ca="1">IF(B307=" "," ",HYPERLINK(CONCATENATE("#metadata!",ADDRESS(INDEX($X$2:$X$1001,MATCH(ROWS($V$2:V307),$V$2:$V$1001,0),0),1)),INDEX($AA$2:$AA$1001,MATCH(ROWS($V$2:V307),$V$2:$V$1001,0),0)))</f>
        <v xml:space="preserve"> </v>
      </c>
      <c r="B307" s="4" t="str">
        <f ca="1">IF(OR(INDEX($W$2:$W$1001,MATCH(ROWS($V$2:V307),$V$2:$V$1001,0),1)&gt;=100000,INDEX($AC$1005:$AS$1005,1,MATCH(COLUMNS($AC$1006:AC1006),$AC$1006:$AS$1006,0))&gt;=100000), " ",IF(INDEX($AC$2:$AS$1001,MATCH(ROWS($V$2:V307),$V$2:$V$1001,0),MATCH(COLUMNS($AC$1006:AC1006),$AC$1006:$AS$1006,0)), HYPERLINK("#",""), HYPERLINK(CONCATENATE("#metadata!", ADDRESS(INDEX($X$2:$X$1001,MATCH(ROWS($V$2:V307),$V$2:$V$1001,0),0), INDEX($AC$1004:$AS$1004,1,MATCH(COLUMNS($AC$1006:AC1006),$AC$1006:$AS$1006,0)))),"Fix")))</f>
        <v xml:space="preserve"> </v>
      </c>
      <c r="C307" s="4" t="str">
        <f ca="1">IF(OR(INDEX($W$2:$W$1001,MATCH(ROWS($V$2:V307),$V$2:$V$1001,0),1)&gt;=100000,INDEX($AC$1005:$AS$1005,1,MATCH(COLUMNS($AC$1006:AD1006),$AC$1006:$AS$1006,0))&gt;=100000), " ",IF(INDEX($AC$2:$AS$1001,MATCH(ROWS($V$2:V307),$V$2:$V$1001,0),MATCH(COLUMNS($AC$1006:AD1006),$AC$1006:$AS$1006,0)), HYPERLINK("#",""), HYPERLINK(CONCATENATE("#metadata!", ADDRESS(INDEX($X$2:$X$1001,MATCH(ROWS($V$2:V307),$V$2:$V$1001,0),0), INDEX($AC$1004:$AS$1004,1,MATCH(COLUMNS($AC$1006:AD1006),$AC$1006:$AS$1006,0)))),"Fix")))</f>
        <v xml:space="preserve"> </v>
      </c>
      <c r="D307" s="4" t="str">
        <f ca="1">IF(OR(INDEX($W$2:$W$1001,MATCH(ROWS($V$2:V307),$V$2:$V$1001,0),1)&gt;=100000,INDEX($AC$1005:$AS$1005,1,MATCH(COLUMNS($AC$1006:AE1006),$AC$1006:$AS$1006,0))&gt;=100000), " ",IF(INDEX($AC$2:$AS$1001,MATCH(ROWS($V$2:V307),$V$2:$V$1001,0),MATCH(COLUMNS($AC$1006:AE1006),$AC$1006:$AS$1006,0)), HYPERLINK("#",""), HYPERLINK(CONCATENATE("#metadata!", ADDRESS(INDEX($X$2:$X$1001,MATCH(ROWS($V$2:V307),$V$2:$V$1001,0),0), INDEX($AC$1004:$AS$1004,1,MATCH(COLUMNS($AC$1006:AE1006),$AC$1006:$AS$1006,0)))),"Fix")))</f>
        <v xml:space="preserve"> </v>
      </c>
      <c r="E307" s="4" t="str">
        <f ca="1">IF(OR(INDEX($W$2:$W$1001,MATCH(ROWS($V$2:V307),$V$2:$V$1001,0),1)&gt;=100000,INDEX($AC$1005:$AS$1005,1,MATCH(COLUMNS($AC$1006:AF1006),$AC$1006:$AS$1006,0))&gt;=100000), " ",IF(INDEX($AC$2:$AS$1001,MATCH(ROWS($V$2:V307),$V$2:$V$1001,0),MATCH(COLUMNS($AC$1006:AF1006),$AC$1006:$AS$1006,0)), HYPERLINK("#",""), HYPERLINK(CONCATENATE("#metadata!", ADDRESS(INDEX($X$2:$X$1001,MATCH(ROWS($V$2:V307),$V$2:$V$1001,0),0), INDEX($AC$1004:$AS$1004,1,MATCH(COLUMNS($AC$1006:AF1006),$AC$1006:$AS$1006,0)))),"Fix")))</f>
        <v xml:space="preserve"> </v>
      </c>
      <c r="F307" s="4" t="str">
        <f ca="1">IF(OR(INDEX($W$2:$W$1001,MATCH(ROWS($V$2:V307),$V$2:$V$1001,0),1)&gt;=100000,INDEX($AC$1005:$AS$1005,1,MATCH(COLUMNS($AC$1006:AG1006),$AC$1006:$AS$1006,0))&gt;=100000), " ",IF(INDEX($AC$2:$AS$1001,MATCH(ROWS($V$2:V307),$V$2:$V$1001,0),MATCH(COLUMNS($AC$1006:AG1006),$AC$1006:$AS$1006,0)), HYPERLINK("#",""), HYPERLINK(CONCATENATE("#metadata!", ADDRESS(INDEX($X$2:$X$1001,MATCH(ROWS($V$2:V307),$V$2:$V$1001,0),0), INDEX($AC$1004:$AS$1004,1,MATCH(COLUMNS($AC$1006:AG1006),$AC$1006:$AS$1006,0)))),"Fix")))</f>
        <v xml:space="preserve"> </v>
      </c>
      <c r="G307" s="4" t="str">
        <f ca="1">IF(OR(INDEX($W$2:$W$1001,MATCH(ROWS($V$2:V307),$V$2:$V$1001,0),1)&gt;=100000,INDEX($AC$1005:$AS$1005,1,MATCH(COLUMNS($AC$1006:AH1006),$AC$1006:$AS$1006,0))&gt;=100000), " ",IF(INDEX($AC$2:$AS$1001,MATCH(ROWS($V$2:V307),$V$2:$V$1001,0),MATCH(COLUMNS($AC$1006:AH1006),$AC$1006:$AS$1006,0)), HYPERLINK("#",""), HYPERLINK(CONCATENATE("#metadata!", ADDRESS(INDEX($X$2:$X$1001,MATCH(ROWS($V$2:V307),$V$2:$V$1001,0),0), INDEX($AC$1004:$AS$1004,1,MATCH(COLUMNS($AC$1006:AH1006),$AC$1006:$AS$1006,0)))),"Fix")))</f>
        <v xml:space="preserve"> </v>
      </c>
      <c r="H307" s="4" t="str">
        <f ca="1">IF(OR(INDEX($W$2:$W$1001,MATCH(ROWS($V$2:V307),$V$2:$V$1001,0),1)&gt;=100000,INDEX($AC$1005:$AS$1005,1,MATCH(COLUMNS($AC$1006:AI1006),$AC$1006:$AS$1006,0))&gt;=100000), " ",IF(INDEX($AC$2:$AS$1001,MATCH(ROWS($V$2:V307),$V$2:$V$1001,0),MATCH(COLUMNS($AC$1006:AI1006),$AC$1006:$AS$1006,0)), HYPERLINK("#",""), HYPERLINK(CONCATENATE("#metadata!", ADDRESS(INDEX($X$2:$X$1001,MATCH(ROWS($V$2:V307),$V$2:$V$1001,0),0), INDEX($AC$1004:$AS$1004,1,MATCH(COLUMNS($AC$1006:AI1006),$AC$1006:$AS$1006,0)))),"Fix")))</f>
        <v xml:space="preserve"> </v>
      </c>
      <c r="I307" s="4" t="str">
        <f ca="1">IF(OR(INDEX($W$2:$W$1001,MATCH(ROWS($V$2:V307),$V$2:$V$1001,0),1)&gt;=100000,INDEX($AC$1005:$AS$1005,1,MATCH(COLUMNS($AC$1006:AJ1006),$AC$1006:$AS$1006,0))&gt;=100000), " ",IF(INDEX($AC$2:$AS$1001,MATCH(ROWS($V$2:V307),$V$2:$V$1001,0),MATCH(COLUMNS($AC$1006:AJ1006),$AC$1006:$AS$1006,0)), HYPERLINK("#",""), HYPERLINK(CONCATENATE("#metadata!", ADDRESS(INDEX($X$2:$X$1001,MATCH(ROWS($V$2:V307),$V$2:$V$1001,0),0), INDEX($AC$1004:$AS$1004,1,MATCH(COLUMNS($AC$1006:AJ1006),$AC$1006:$AS$1006,0)))),"Fix")))</f>
        <v xml:space="preserve"> </v>
      </c>
      <c r="J307" s="4" t="str">
        <f ca="1">IF(OR(INDEX($W$2:$W$1001,MATCH(ROWS($V$2:V307),$V$2:$V$1001,0),1)&gt;=100000,INDEX($AC$1005:$AS$1005,1,MATCH(COLUMNS($AC$1006:AK1006),$AC$1006:$AS$1006,0))&gt;=100000), " ",IF(INDEX($AC$2:$AS$1001,MATCH(ROWS($V$2:V307),$V$2:$V$1001,0),MATCH(COLUMNS($AC$1006:AK1006),$AC$1006:$AS$1006,0)), HYPERLINK("#",""), HYPERLINK(CONCATENATE("#metadata!", ADDRESS(INDEX($X$2:$X$1001,MATCH(ROWS($V$2:V307),$V$2:$V$1001,0),0), INDEX($AC$1004:$AS$1004,1,MATCH(COLUMNS($AC$1006:AK1006),$AC$1006:$AS$1006,0)))),"Fix")))</f>
        <v xml:space="preserve"> </v>
      </c>
      <c r="K307" s="4" t="str">
        <f ca="1">IF(OR(INDEX($W$2:$W$1001,MATCH(ROWS($V$2:V307),$V$2:$V$1001,0),1)&gt;=100000,INDEX($AC$1005:$AS$1005,1,MATCH(COLUMNS($AC$1006:AL1006),$AC$1006:$AS$1006,0))&gt;=100000), " ",IF(INDEX($AC$2:$AS$1001,MATCH(ROWS($V$2:V307),$V$2:$V$1001,0),MATCH(COLUMNS($AC$1006:AL1006),$AC$1006:$AS$1006,0)), HYPERLINK("#",""), HYPERLINK(CONCATENATE("#metadata!", ADDRESS(INDEX($X$2:$X$1001,MATCH(ROWS($V$2:V307),$V$2:$V$1001,0),0), INDEX($AC$1004:$AS$1004,1,MATCH(COLUMNS($AC$1006:AL1006),$AC$1006:$AS$1006,0)))),"Fix")))</f>
        <v xml:space="preserve"> </v>
      </c>
      <c r="L307" s="4" t="str">
        <f ca="1">IF(OR(INDEX($W$2:$W$1001,MATCH(ROWS($V$2:V307),$V$2:$V$1001,0),1)&gt;=100000,INDEX($AC$1005:$AS$1005,1,MATCH(COLUMNS($AC$1006:AM1006),$AC$1006:$AS$1006,0))&gt;=100000), " ",IF(INDEX($AC$2:$AS$1001,MATCH(ROWS($V$2:V307),$V$2:$V$1001,0),MATCH(COLUMNS($AC$1006:AM1006),$AC$1006:$AS$1006,0)), HYPERLINK("#",""), HYPERLINK(CONCATENATE("#metadata!", ADDRESS(INDEX($X$2:$X$1001,MATCH(ROWS($V$2:V307),$V$2:$V$1001,0),0), INDEX($AC$1004:$AS$1004,1,MATCH(COLUMNS($AC$1006:AM1006),$AC$1006:$AS$1006,0)))),"Fix")))</f>
        <v xml:space="preserve"> </v>
      </c>
      <c r="M307" s="4" t="str">
        <f ca="1">IF(OR(INDEX($W$2:$W$1001,MATCH(ROWS($V$2:V307),$V$2:$V$1001,0),1)&gt;=100000,INDEX($AC$1005:$AS$1005,1,MATCH(COLUMNS($AC$1006:AN1006),$AC$1006:$AS$1006,0))&gt;=100000), " ",IF(INDEX($AC$2:$AS$1001,MATCH(ROWS($V$2:V307),$V$2:$V$1001,0),MATCH(COLUMNS($AC$1006:AN1006),$AC$1006:$AS$1006,0)), HYPERLINK("#",""), HYPERLINK(CONCATENATE("#metadata!", ADDRESS(INDEX($X$2:$X$1001,MATCH(ROWS($V$2:V307),$V$2:$V$1001,0),0), INDEX($AC$1004:$AS$1004,1,MATCH(COLUMNS($AC$1006:AN1006),$AC$1006:$AS$1006,0)))),"Fix")))</f>
        <v xml:space="preserve"> </v>
      </c>
      <c r="N307" s="4" t="str">
        <f ca="1">IF(OR(INDEX($W$2:$W$1001,MATCH(ROWS($V$2:V307),$V$2:$V$1001,0),1)&gt;=100000,INDEX($AC$1005:$AS$1005,1,MATCH(COLUMNS($AC$1006:AO1006),$AC$1006:$AS$1006,0))&gt;=100000), " ",IF(INDEX($AC$2:$AS$1001,MATCH(ROWS($V$2:V307),$V$2:$V$1001,0),MATCH(COLUMNS($AC$1006:AO1006),$AC$1006:$AS$1006,0)), HYPERLINK("#",""), HYPERLINK(CONCATENATE("#metadata!", ADDRESS(INDEX($X$2:$X$1001,MATCH(ROWS($V$2:V307),$V$2:$V$1001,0),0), INDEX($AC$1004:$AS$1004,1,MATCH(COLUMNS($AC$1006:AO1006),$AC$1006:$AS$1006,0)))),"Fix")))</f>
        <v xml:space="preserve"> </v>
      </c>
      <c r="O307" s="4" t="str">
        <f ca="1">IF(OR(INDEX($W$2:$W$1001,MATCH(ROWS($V$2:V307),$V$2:$V$1001,0),1)&gt;=100000,INDEX($AC$1005:$AS$1005,1,MATCH(COLUMNS($AC$1006:AP1006),$AC$1006:$AS$1006,0))&gt;=100000), " ",IF(INDEX($AC$2:$AS$1001,MATCH(ROWS($V$2:V307),$V$2:$V$1001,0),MATCH(COLUMNS($AC$1006:AP1006),$AC$1006:$AS$1006,0)), HYPERLINK("#",""), HYPERLINK(CONCATENATE("#metadata!", ADDRESS(INDEX($X$2:$X$1001,MATCH(ROWS($V$2:V307),$V$2:$V$1001,0),0), INDEX($AC$1004:$AS$1004,1,MATCH(COLUMNS($AC$1006:AP1006),$AC$1006:$AS$1006,0)))),"Fix")))</f>
        <v xml:space="preserve"> </v>
      </c>
      <c r="P307" s="4" t="str">
        <f ca="1">IF(OR(INDEX($W$2:$W$1001,MATCH(ROWS($V$2:V307),$V$2:$V$1001,0),1)&gt;=100000,INDEX($AC$1005:$AS$1005,1,MATCH(COLUMNS($AC$1006:AQ1006),$AC$1006:$AS$1006,0))&gt;=100000), " ",IF(INDEX($AC$2:$AS$1001,MATCH(ROWS($V$2:V307),$V$2:$V$1001,0),MATCH(COLUMNS($AC$1006:AQ1006),$AC$1006:$AS$1006,0)), HYPERLINK("#",""), HYPERLINK(CONCATENATE("#metadata!", ADDRESS(INDEX($X$2:$X$1001,MATCH(ROWS($V$2:V307),$V$2:$V$1001,0),0), INDEX($AC$1004:$AS$1004,1,MATCH(COLUMNS($AC$1006:AQ1006),$AC$1006:$AS$1006,0)))),"Fix")))</f>
        <v xml:space="preserve"> </v>
      </c>
      <c r="Q307" s="4" t="str">
        <f ca="1">IF(OR(INDEX($W$2:$W$1001,MATCH(ROWS($V$2:V307),$V$2:$V$1001,0),1)&gt;=100000,INDEX($AC$1005:$AS$1005,1,MATCH(COLUMNS($AC$1006:AR1006),$AC$1006:$AS$1006,0))&gt;=100000), " ",IF(INDEX($AC$2:$AS$1001,MATCH(ROWS($V$2:V307),$V$2:$V$1001,0),MATCH(COLUMNS($AC$1006:AR1006),$AC$1006:$AS$1006,0)), HYPERLINK("#",""), HYPERLINK(CONCATENATE("#metadata!", ADDRESS(INDEX($X$2:$X$1001,MATCH(ROWS($V$2:V307),$V$2:$V$1001,0),0), INDEX($AC$1004:$AS$1004,1,MATCH(COLUMNS($AC$1006:AR1006),$AC$1006:$AS$1006,0)))),"Fix")))</f>
        <v xml:space="preserve"> </v>
      </c>
      <c r="R307" s="4" t="str">
        <f ca="1">IF(OR(INDEX($W$2:$W$1001,MATCH(ROWS($V$2:V307),$V$2:$V$1001,0),1)&gt;=100000,INDEX($AC$1005:$AS$1005,1,MATCH(COLUMNS($AC$1006:AS1006),$AC$1006:$AS$1006,0))&gt;=100000), " ",IF(INDEX($AC$2:$AS$1001,MATCH(ROWS($V$2:V307),$V$2:$V$1001,0),MATCH(COLUMNS($AC$1006:AS1006),$AC$1006:$AS$1006,0)), HYPERLINK("#",""), HYPERLINK(CONCATENATE("#metadata!", ADDRESS(INDEX($X$2:$X$1001,MATCH(ROWS($V$2:V307),$V$2:$V$1001,0),0), INDEX($AC$1004:$AS$1004,1,MATCH(COLUMNS($AC$1006:AS1006),$AC$1006:$AS$1006,0)))),"Fix")))</f>
        <v xml:space="preserve"> </v>
      </c>
      <c r="V307">
        <v>306</v>
      </c>
      <c r="W307">
        <v>100307</v>
      </c>
      <c r="X307">
        <v>307</v>
      </c>
      <c r="Y307" t="b">
        <f t="shared" si="4"/>
        <v>1</v>
      </c>
      <c r="Z307" t="b">
        <f>COUNTBLANK(metadata!B307:R307)=COLUMNS(metadata!B307:R307)</f>
        <v>1</v>
      </c>
      <c r="AA307" t="str">
        <v/>
      </c>
      <c r="AC307" t="b">
        <f ca="1"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AD307" t="b">
        <f>IF(metadata!C307="",FALSE,ISNUMBER(VALUE(metadata!C307)))</f>
        <v>0</v>
      </c>
      <c r="AE307" t="b">
        <f>AND(IF(metadata!D307="",FALSE,TRUE),EXACT(metadata!D307,"years"))</f>
        <v>0</v>
      </c>
      <c r="AF307" t="b">
        <f>OR(AND(IF(metadata!E307="",FALSE,TRUE),OR(EXACT(metadata!E307,"not applicable"),EXACT(metadata!E307,"missing: not collected"),EXACT(metadata!E307,"missing: not provided"),EXACT(metadata!E307,"missing: restricted access"))),AND(IF(metadata!E307="",FALSE,ISNUMBER(VALUE(metadata!E307))),metadata!E307&gt;0))</f>
        <v>0</v>
      </c>
      <c r="AG307" t="b">
        <f>AND(IF(metadata!F307="",FALSE,TRUE),EXACT(metadata!F307,"Not applicable"))</f>
        <v>0</v>
      </c>
      <c r="AH307" t="b">
        <f>AND(IF(metadata!G307="",FALSE,TRUE),EXACT(metadata!G307,"urban biome"))</f>
        <v>0</v>
      </c>
      <c r="AI307" t="b">
        <f>AND(IF(metadata!H307="",FALSE,TRUE),EXACT(metadata!H307,"human-associated habitat"))</f>
        <v>0</v>
      </c>
      <c r="AJ307" t="b">
        <f>AND(IF(metadata!I307="",FALSE,TRUE),OR(EXACT(metadata!I307,"human-associated"),EXACT(metadata!I307,"human-skin"),EXACT(metadata!I307,"human-oral"),EXACT(metadata!I307,"human-gut"),EXACT(metadata!I307,"human-vaginal")))</f>
        <v>0</v>
      </c>
      <c r="AK307" t="b">
        <f>IF(metadata!J307="",FALSE,ISNUMBER(VALUE(metadata!J307)))</f>
        <v>0</v>
      </c>
      <c r="AL307" t="b">
        <f>AND(IF(metadata!K307="",FALSE,TRUE),EXACT(metadata!K307,"cm"))</f>
        <v>0</v>
      </c>
      <c r="AM307" t="b">
        <f>AND(IF(metadata!L307="",FALSE,TRUE),EXACT(metadata!L307,"human"))</f>
        <v>0</v>
      </c>
      <c r="AN307" t="b">
        <f>AND(IF(metadata!M307="",FALSE,TRUE),EXACT(metadata!M307,"Homo sapiens"))</f>
        <v>0</v>
      </c>
      <c r="AO307" t="b">
        <f>AND(IF(metadata!N307="",FALSE,TRUE),EXACT(metadata!N307,"9606"))</f>
        <v>0</v>
      </c>
      <c r="AP307" t="b">
        <f>IF(metadata!O307="",FALSE,TRUE)</f>
        <v>0</v>
      </c>
      <c r="AQ307" t="b">
        <f>IF(metadata!P307="",FALSE,TRUE)</f>
        <v>0</v>
      </c>
      <c r="AR307" t="b">
        <f>IF(metadata!Q307="",FALSE,ISNUMBER(VALUE(metadata!Q307)))</f>
        <v>0</v>
      </c>
      <c r="AS307" t="b">
        <f>AND(IF(metadata!R307="",FALSE,TRUE),EXACT(metadata!R307,"kg"))</f>
        <v>0</v>
      </c>
    </row>
    <row r="308" spans="1:45" x14ac:dyDescent="0.2">
      <c r="A308" s="5" t="str">
        <f ca="1">IF(B308=" "," ",HYPERLINK(CONCATENATE("#metadata!",ADDRESS(INDEX($X$2:$X$1001,MATCH(ROWS($V$2:V308),$V$2:$V$1001,0),0),1)),INDEX($AA$2:$AA$1001,MATCH(ROWS($V$2:V308),$V$2:$V$1001,0),0)))</f>
        <v xml:space="preserve"> </v>
      </c>
      <c r="B308" s="4" t="str">
        <f ca="1">IF(OR(INDEX($W$2:$W$1001,MATCH(ROWS($V$2:V308),$V$2:$V$1001,0),1)&gt;=100000,INDEX($AC$1005:$AS$1005,1,MATCH(COLUMNS($AC$1006:AC1006),$AC$1006:$AS$1006,0))&gt;=100000), " ",IF(INDEX($AC$2:$AS$1001,MATCH(ROWS($V$2:V308),$V$2:$V$1001,0),MATCH(COLUMNS($AC$1006:AC1006),$AC$1006:$AS$1006,0)), HYPERLINK("#",""), HYPERLINK(CONCATENATE("#metadata!", ADDRESS(INDEX($X$2:$X$1001,MATCH(ROWS($V$2:V308),$V$2:$V$1001,0),0), INDEX($AC$1004:$AS$1004,1,MATCH(COLUMNS($AC$1006:AC1006),$AC$1006:$AS$1006,0)))),"Fix")))</f>
        <v xml:space="preserve"> </v>
      </c>
      <c r="C308" s="4" t="str">
        <f ca="1">IF(OR(INDEX($W$2:$W$1001,MATCH(ROWS($V$2:V308),$V$2:$V$1001,0),1)&gt;=100000,INDEX($AC$1005:$AS$1005,1,MATCH(COLUMNS($AC$1006:AD1006),$AC$1006:$AS$1006,0))&gt;=100000), " ",IF(INDEX($AC$2:$AS$1001,MATCH(ROWS($V$2:V308),$V$2:$V$1001,0),MATCH(COLUMNS($AC$1006:AD1006),$AC$1006:$AS$1006,0)), HYPERLINK("#",""), HYPERLINK(CONCATENATE("#metadata!", ADDRESS(INDEX($X$2:$X$1001,MATCH(ROWS($V$2:V308),$V$2:$V$1001,0),0), INDEX($AC$1004:$AS$1004,1,MATCH(COLUMNS($AC$1006:AD1006),$AC$1006:$AS$1006,0)))),"Fix")))</f>
        <v xml:space="preserve"> </v>
      </c>
      <c r="D308" s="4" t="str">
        <f ca="1">IF(OR(INDEX($W$2:$W$1001,MATCH(ROWS($V$2:V308),$V$2:$V$1001,0),1)&gt;=100000,INDEX($AC$1005:$AS$1005,1,MATCH(COLUMNS($AC$1006:AE1006),$AC$1006:$AS$1006,0))&gt;=100000), " ",IF(INDEX($AC$2:$AS$1001,MATCH(ROWS($V$2:V308),$V$2:$V$1001,0),MATCH(COLUMNS($AC$1006:AE1006),$AC$1006:$AS$1006,0)), HYPERLINK("#",""), HYPERLINK(CONCATENATE("#metadata!", ADDRESS(INDEX($X$2:$X$1001,MATCH(ROWS($V$2:V308),$V$2:$V$1001,0),0), INDEX($AC$1004:$AS$1004,1,MATCH(COLUMNS($AC$1006:AE1006),$AC$1006:$AS$1006,0)))),"Fix")))</f>
        <v xml:space="preserve"> </v>
      </c>
      <c r="E308" s="4" t="str">
        <f ca="1">IF(OR(INDEX($W$2:$W$1001,MATCH(ROWS($V$2:V308),$V$2:$V$1001,0),1)&gt;=100000,INDEX($AC$1005:$AS$1005,1,MATCH(COLUMNS($AC$1006:AF1006),$AC$1006:$AS$1006,0))&gt;=100000), " ",IF(INDEX($AC$2:$AS$1001,MATCH(ROWS($V$2:V308),$V$2:$V$1001,0),MATCH(COLUMNS($AC$1006:AF1006),$AC$1006:$AS$1006,0)), HYPERLINK("#",""), HYPERLINK(CONCATENATE("#metadata!", ADDRESS(INDEX($X$2:$X$1001,MATCH(ROWS($V$2:V308),$V$2:$V$1001,0),0), INDEX($AC$1004:$AS$1004,1,MATCH(COLUMNS($AC$1006:AF1006),$AC$1006:$AS$1006,0)))),"Fix")))</f>
        <v xml:space="preserve"> </v>
      </c>
      <c r="F308" s="4" t="str">
        <f ca="1">IF(OR(INDEX($W$2:$W$1001,MATCH(ROWS($V$2:V308),$V$2:$V$1001,0),1)&gt;=100000,INDEX($AC$1005:$AS$1005,1,MATCH(COLUMNS($AC$1006:AG1006),$AC$1006:$AS$1006,0))&gt;=100000), " ",IF(INDEX($AC$2:$AS$1001,MATCH(ROWS($V$2:V308),$V$2:$V$1001,0),MATCH(COLUMNS($AC$1006:AG1006),$AC$1006:$AS$1006,0)), HYPERLINK("#",""), HYPERLINK(CONCATENATE("#metadata!", ADDRESS(INDEX($X$2:$X$1001,MATCH(ROWS($V$2:V308),$V$2:$V$1001,0),0), INDEX($AC$1004:$AS$1004,1,MATCH(COLUMNS($AC$1006:AG1006),$AC$1006:$AS$1006,0)))),"Fix")))</f>
        <v xml:space="preserve"> </v>
      </c>
      <c r="G308" s="4" t="str">
        <f ca="1">IF(OR(INDEX($W$2:$W$1001,MATCH(ROWS($V$2:V308),$V$2:$V$1001,0),1)&gt;=100000,INDEX($AC$1005:$AS$1005,1,MATCH(COLUMNS($AC$1006:AH1006),$AC$1006:$AS$1006,0))&gt;=100000), " ",IF(INDEX($AC$2:$AS$1001,MATCH(ROWS($V$2:V308),$V$2:$V$1001,0),MATCH(COLUMNS($AC$1006:AH1006),$AC$1006:$AS$1006,0)), HYPERLINK("#",""), HYPERLINK(CONCATENATE("#metadata!", ADDRESS(INDEX($X$2:$X$1001,MATCH(ROWS($V$2:V308),$V$2:$V$1001,0),0), INDEX($AC$1004:$AS$1004,1,MATCH(COLUMNS($AC$1006:AH1006),$AC$1006:$AS$1006,0)))),"Fix")))</f>
        <v xml:space="preserve"> </v>
      </c>
      <c r="H308" s="4" t="str">
        <f ca="1">IF(OR(INDEX($W$2:$W$1001,MATCH(ROWS($V$2:V308),$V$2:$V$1001,0),1)&gt;=100000,INDEX($AC$1005:$AS$1005,1,MATCH(COLUMNS($AC$1006:AI1006),$AC$1006:$AS$1006,0))&gt;=100000), " ",IF(INDEX($AC$2:$AS$1001,MATCH(ROWS($V$2:V308),$V$2:$V$1001,0),MATCH(COLUMNS($AC$1006:AI1006),$AC$1006:$AS$1006,0)), HYPERLINK("#",""), HYPERLINK(CONCATENATE("#metadata!", ADDRESS(INDEX($X$2:$X$1001,MATCH(ROWS($V$2:V308),$V$2:$V$1001,0),0), INDEX($AC$1004:$AS$1004,1,MATCH(COLUMNS($AC$1006:AI1006),$AC$1006:$AS$1006,0)))),"Fix")))</f>
        <v xml:space="preserve"> </v>
      </c>
      <c r="I308" s="4" t="str">
        <f ca="1">IF(OR(INDEX($W$2:$W$1001,MATCH(ROWS($V$2:V308),$V$2:$V$1001,0),1)&gt;=100000,INDEX($AC$1005:$AS$1005,1,MATCH(COLUMNS($AC$1006:AJ1006),$AC$1006:$AS$1006,0))&gt;=100000), " ",IF(INDEX($AC$2:$AS$1001,MATCH(ROWS($V$2:V308),$V$2:$V$1001,0),MATCH(COLUMNS($AC$1006:AJ1006),$AC$1006:$AS$1006,0)), HYPERLINK("#",""), HYPERLINK(CONCATENATE("#metadata!", ADDRESS(INDEX($X$2:$X$1001,MATCH(ROWS($V$2:V308),$V$2:$V$1001,0),0), INDEX($AC$1004:$AS$1004,1,MATCH(COLUMNS($AC$1006:AJ1006),$AC$1006:$AS$1006,0)))),"Fix")))</f>
        <v xml:space="preserve"> </v>
      </c>
      <c r="J308" s="4" t="str">
        <f ca="1">IF(OR(INDEX($W$2:$W$1001,MATCH(ROWS($V$2:V308),$V$2:$V$1001,0),1)&gt;=100000,INDEX($AC$1005:$AS$1005,1,MATCH(COLUMNS($AC$1006:AK1006),$AC$1006:$AS$1006,0))&gt;=100000), " ",IF(INDEX($AC$2:$AS$1001,MATCH(ROWS($V$2:V308),$V$2:$V$1001,0),MATCH(COLUMNS($AC$1006:AK1006),$AC$1006:$AS$1006,0)), HYPERLINK("#",""), HYPERLINK(CONCATENATE("#metadata!", ADDRESS(INDEX($X$2:$X$1001,MATCH(ROWS($V$2:V308),$V$2:$V$1001,0),0), INDEX($AC$1004:$AS$1004,1,MATCH(COLUMNS($AC$1006:AK1006),$AC$1006:$AS$1006,0)))),"Fix")))</f>
        <v xml:space="preserve"> </v>
      </c>
      <c r="K308" s="4" t="str">
        <f ca="1">IF(OR(INDEX($W$2:$W$1001,MATCH(ROWS($V$2:V308),$V$2:$V$1001,0),1)&gt;=100000,INDEX($AC$1005:$AS$1005,1,MATCH(COLUMNS($AC$1006:AL1006),$AC$1006:$AS$1006,0))&gt;=100000), " ",IF(INDEX($AC$2:$AS$1001,MATCH(ROWS($V$2:V308),$V$2:$V$1001,0),MATCH(COLUMNS($AC$1006:AL1006),$AC$1006:$AS$1006,0)), HYPERLINK("#",""), HYPERLINK(CONCATENATE("#metadata!", ADDRESS(INDEX($X$2:$X$1001,MATCH(ROWS($V$2:V308),$V$2:$V$1001,0),0), INDEX($AC$1004:$AS$1004,1,MATCH(COLUMNS($AC$1006:AL1006),$AC$1006:$AS$1006,0)))),"Fix")))</f>
        <v xml:space="preserve"> </v>
      </c>
      <c r="L308" s="4" t="str">
        <f ca="1">IF(OR(INDEX($W$2:$W$1001,MATCH(ROWS($V$2:V308),$V$2:$V$1001,0),1)&gt;=100000,INDEX($AC$1005:$AS$1005,1,MATCH(COLUMNS($AC$1006:AM1006),$AC$1006:$AS$1006,0))&gt;=100000), " ",IF(INDEX($AC$2:$AS$1001,MATCH(ROWS($V$2:V308),$V$2:$V$1001,0),MATCH(COLUMNS($AC$1006:AM1006),$AC$1006:$AS$1006,0)), HYPERLINK("#",""), HYPERLINK(CONCATENATE("#metadata!", ADDRESS(INDEX($X$2:$X$1001,MATCH(ROWS($V$2:V308),$V$2:$V$1001,0),0), INDEX($AC$1004:$AS$1004,1,MATCH(COLUMNS($AC$1006:AM1006),$AC$1006:$AS$1006,0)))),"Fix")))</f>
        <v xml:space="preserve"> </v>
      </c>
      <c r="M308" s="4" t="str">
        <f ca="1">IF(OR(INDEX($W$2:$W$1001,MATCH(ROWS($V$2:V308),$V$2:$V$1001,0),1)&gt;=100000,INDEX($AC$1005:$AS$1005,1,MATCH(COLUMNS($AC$1006:AN1006),$AC$1006:$AS$1006,0))&gt;=100000), " ",IF(INDEX($AC$2:$AS$1001,MATCH(ROWS($V$2:V308),$V$2:$V$1001,0),MATCH(COLUMNS($AC$1006:AN1006),$AC$1006:$AS$1006,0)), HYPERLINK("#",""), HYPERLINK(CONCATENATE("#metadata!", ADDRESS(INDEX($X$2:$X$1001,MATCH(ROWS($V$2:V308),$V$2:$V$1001,0),0), INDEX($AC$1004:$AS$1004,1,MATCH(COLUMNS($AC$1006:AN1006),$AC$1006:$AS$1006,0)))),"Fix")))</f>
        <v xml:space="preserve"> </v>
      </c>
      <c r="N308" s="4" t="str">
        <f ca="1">IF(OR(INDEX($W$2:$W$1001,MATCH(ROWS($V$2:V308),$V$2:$V$1001,0),1)&gt;=100000,INDEX($AC$1005:$AS$1005,1,MATCH(COLUMNS($AC$1006:AO1006),$AC$1006:$AS$1006,0))&gt;=100000), " ",IF(INDEX($AC$2:$AS$1001,MATCH(ROWS($V$2:V308),$V$2:$V$1001,0),MATCH(COLUMNS($AC$1006:AO1006),$AC$1006:$AS$1006,0)), HYPERLINK("#",""), HYPERLINK(CONCATENATE("#metadata!", ADDRESS(INDEX($X$2:$X$1001,MATCH(ROWS($V$2:V308),$V$2:$V$1001,0),0), INDEX($AC$1004:$AS$1004,1,MATCH(COLUMNS($AC$1006:AO1006),$AC$1006:$AS$1006,0)))),"Fix")))</f>
        <v xml:space="preserve"> </v>
      </c>
      <c r="O308" s="4" t="str">
        <f ca="1">IF(OR(INDEX($W$2:$W$1001,MATCH(ROWS($V$2:V308),$V$2:$V$1001,0),1)&gt;=100000,INDEX($AC$1005:$AS$1005,1,MATCH(COLUMNS($AC$1006:AP1006),$AC$1006:$AS$1006,0))&gt;=100000), " ",IF(INDEX($AC$2:$AS$1001,MATCH(ROWS($V$2:V308),$V$2:$V$1001,0),MATCH(COLUMNS($AC$1006:AP1006),$AC$1006:$AS$1006,0)), HYPERLINK("#",""), HYPERLINK(CONCATENATE("#metadata!", ADDRESS(INDEX($X$2:$X$1001,MATCH(ROWS($V$2:V308),$V$2:$V$1001,0),0), INDEX($AC$1004:$AS$1004,1,MATCH(COLUMNS($AC$1006:AP1006),$AC$1006:$AS$1006,0)))),"Fix")))</f>
        <v xml:space="preserve"> </v>
      </c>
      <c r="P308" s="4" t="str">
        <f ca="1">IF(OR(INDEX($W$2:$W$1001,MATCH(ROWS($V$2:V308),$V$2:$V$1001,0),1)&gt;=100000,INDEX($AC$1005:$AS$1005,1,MATCH(COLUMNS($AC$1006:AQ1006),$AC$1006:$AS$1006,0))&gt;=100000), " ",IF(INDEX($AC$2:$AS$1001,MATCH(ROWS($V$2:V308),$V$2:$V$1001,0),MATCH(COLUMNS($AC$1006:AQ1006),$AC$1006:$AS$1006,0)), HYPERLINK("#",""), HYPERLINK(CONCATENATE("#metadata!", ADDRESS(INDEX($X$2:$X$1001,MATCH(ROWS($V$2:V308),$V$2:$V$1001,0),0), INDEX($AC$1004:$AS$1004,1,MATCH(COLUMNS($AC$1006:AQ1006),$AC$1006:$AS$1006,0)))),"Fix")))</f>
        <v xml:space="preserve"> </v>
      </c>
      <c r="Q308" s="4" t="str">
        <f ca="1">IF(OR(INDEX($W$2:$W$1001,MATCH(ROWS($V$2:V308),$V$2:$V$1001,0),1)&gt;=100000,INDEX($AC$1005:$AS$1005,1,MATCH(COLUMNS($AC$1006:AR1006),$AC$1006:$AS$1006,0))&gt;=100000), " ",IF(INDEX($AC$2:$AS$1001,MATCH(ROWS($V$2:V308),$V$2:$V$1001,0),MATCH(COLUMNS($AC$1006:AR1006),$AC$1006:$AS$1006,0)), HYPERLINK("#",""), HYPERLINK(CONCATENATE("#metadata!", ADDRESS(INDEX($X$2:$X$1001,MATCH(ROWS($V$2:V308),$V$2:$V$1001,0),0), INDEX($AC$1004:$AS$1004,1,MATCH(COLUMNS($AC$1006:AR1006),$AC$1006:$AS$1006,0)))),"Fix")))</f>
        <v xml:space="preserve"> </v>
      </c>
      <c r="R308" s="4" t="str">
        <f ca="1">IF(OR(INDEX($W$2:$W$1001,MATCH(ROWS($V$2:V308),$V$2:$V$1001,0),1)&gt;=100000,INDEX($AC$1005:$AS$1005,1,MATCH(COLUMNS($AC$1006:AS1006),$AC$1006:$AS$1006,0))&gt;=100000), " ",IF(INDEX($AC$2:$AS$1001,MATCH(ROWS($V$2:V308),$V$2:$V$1001,0),MATCH(COLUMNS($AC$1006:AS1006),$AC$1006:$AS$1006,0)), HYPERLINK("#",""), HYPERLINK(CONCATENATE("#metadata!", ADDRESS(INDEX($X$2:$X$1001,MATCH(ROWS($V$2:V308),$V$2:$V$1001,0),0), INDEX($AC$1004:$AS$1004,1,MATCH(COLUMNS($AC$1006:AS1006),$AC$1006:$AS$1006,0)))),"Fix")))</f>
        <v xml:space="preserve"> </v>
      </c>
      <c r="V308">
        <v>307</v>
      </c>
      <c r="W308">
        <v>100308</v>
      </c>
      <c r="X308">
        <v>308</v>
      </c>
      <c r="Y308" t="b">
        <f t="shared" si="4"/>
        <v>1</v>
      </c>
      <c r="Z308" t="b">
        <f>COUNTBLANK(metadata!B308:R308)=COLUMNS(metadata!B308:R308)</f>
        <v>1</v>
      </c>
      <c r="AA308" t="str">
        <v/>
      </c>
      <c r="AC308" t="b">
        <f ca="1"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AD308" t="b">
        <f>IF(metadata!C308="",FALSE,ISNUMBER(VALUE(metadata!C308)))</f>
        <v>0</v>
      </c>
      <c r="AE308" t="b">
        <f>AND(IF(metadata!D308="",FALSE,TRUE),EXACT(metadata!D308,"years"))</f>
        <v>0</v>
      </c>
      <c r="AF308" t="b">
        <f>OR(AND(IF(metadata!E308="",FALSE,TRUE),OR(EXACT(metadata!E308,"not applicable"),EXACT(metadata!E308,"missing: not collected"),EXACT(metadata!E308,"missing: not provided"),EXACT(metadata!E308,"missing: restricted access"))),AND(IF(metadata!E308="",FALSE,ISNUMBER(VALUE(metadata!E308))),metadata!E308&gt;0))</f>
        <v>0</v>
      </c>
      <c r="AG308" t="b">
        <f>AND(IF(metadata!F308="",FALSE,TRUE),EXACT(metadata!F308,"Not applicable"))</f>
        <v>0</v>
      </c>
      <c r="AH308" t="b">
        <f>AND(IF(metadata!G308="",FALSE,TRUE),EXACT(metadata!G308,"urban biome"))</f>
        <v>0</v>
      </c>
      <c r="AI308" t="b">
        <f>AND(IF(metadata!H308="",FALSE,TRUE),EXACT(metadata!H308,"human-associated habitat"))</f>
        <v>0</v>
      </c>
      <c r="AJ308" t="b">
        <f>AND(IF(metadata!I308="",FALSE,TRUE),OR(EXACT(metadata!I308,"human-associated"),EXACT(metadata!I308,"human-skin"),EXACT(metadata!I308,"human-oral"),EXACT(metadata!I308,"human-gut"),EXACT(metadata!I308,"human-vaginal")))</f>
        <v>0</v>
      </c>
      <c r="AK308" t="b">
        <f>IF(metadata!J308="",FALSE,ISNUMBER(VALUE(metadata!J308)))</f>
        <v>0</v>
      </c>
      <c r="AL308" t="b">
        <f>AND(IF(metadata!K308="",FALSE,TRUE),EXACT(metadata!K308,"cm"))</f>
        <v>0</v>
      </c>
      <c r="AM308" t="b">
        <f>AND(IF(metadata!L308="",FALSE,TRUE),EXACT(metadata!L308,"human"))</f>
        <v>0</v>
      </c>
      <c r="AN308" t="b">
        <f>AND(IF(metadata!M308="",FALSE,TRUE),EXACT(metadata!M308,"Homo sapiens"))</f>
        <v>0</v>
      </c>
      <c r="AO308" t="b">
        <f>AND(IF(metadata!N308="",FALSE,TRUE),EXACT(metadata!N308,"9606"))</f>
        <v>0</v>
      </c>
      <c r="AP308" t="b">
        <f>IF(metadata!O308="",FALSE,TRUE)</f>
        <v>0</v>
      </c>
      <c r="AQ308" t="b">
        <f>IF(metadata!P308="",FALSE,TRUE)</f>
        <v>0</v>
      </c>
      <c r="AR308" t="b">
        <f>IF(metadata!Q308="",FALSE,ISNUMBER(VALUE(metadata!Q308)))</f>
        <v>0</v>
      </c>
      <c r="AS308" t="b">
        <f>AND(IF(metadata!R308="",FALSE,TRUE),EXACT(metadata!R308,"kg"))</f>
        <v>0</v>
      </c>
    </row>
    <row r="309" spans="1:45" x14ac:dyDescent="0.2">
      <c r="A309" s="5" t="str">
        <f ca="1">IF(B309=" "," ",HYPERLINK(CONCATENATE("#metadata!",ADDRESS(INDEX($X$2:$X$1001,MATCH(ROWS($V$2:V309),$V$2:$V$1001,0),0),1)),INDEX($AA$2:$AA$1001,MATCH(ROWS($V$2:V309),$V$2:$V$1001,0),0)))</f>
        <v xml:space="preserve"> </v>
      </c>
      <c r="B309" s="4" t="str">
        <f ca="1">IF(OR(INDEX($W$2:$W$1001,MATCH(ROWS($V$2:V309),$V$2:$V$1001,0),1)&gt;=100000,INDEX($AC$1005:$AS$1005,1,MATCH(COLUMNS($AC$1006:AC1006),$AC$1006:$AS$1006,0))&gt;=100000), " ",IF(INDEX($AC$2:$AS$1001,MATCH(ROWS($V$2:V309),$V$2:$V$1001,0),MATCH(COLUMNS($AC$1006:AC1006),$AC$1006:$AS$1006,0)), HYPERLINK("#",""), HYPERLINK(CONCATENATE("#metadata!", ADDRESS(INDEX($X$2:$X$1001,MATCH(ROWS($V$2:V309),$V$2:$V$1001,0),0), INDEX($AC$1004:$AS$1004,1,MATCH(COLUMNS($AC$1006:AC1006),$AC$1006:$AS$1006,0)))),"Fix")))</f>
        <v xml:space="preserve"> </v>
      </c>
      <c r="C309" s="4" t="str">
        <f ca="1">IF(OR(INDEX($W$2:$W$1001,MATCH(ROWS($V$2:V309),$V$2:$V$1001,0),1)&gt;=100000,INDEX($AC$1005:$AS$1005,1,MATCH(COLUMNS($AC$1006:AD1006),$AC$1006:$AS$1006,0))&gt;=100000), " ",IF(INDEX($AC$2:$AS$1001,MATCH(ROWS($V$2:V309),$V$2:$V$1001,0),MATCH(COLUMNS($AC$1006:AD1006),$AC$1006:$AS$1006,0)), HYPERLINK("#",""), HYPERLINK(CONCATENATE("#metadata!", ADDRESS(INDEX($X$2:$X$1001,MATCH(ROWS($V$2:V309),$V$2:$V$1001,0),0), INDEX($AC$1004:$AS$1004,1,MATCH(COLUMNS($AC$1006:AD1006),$AC$1006:$AS$1006,0)))),"Fix")))</f>
        <v xml:space="preserve"> </v>
      </c>
      <c r="D309" s="4" t="str">
        <f ca="1">IF(OR(INDEX($W$2:$W$1001,MATCH(ROWS($V$2:V309),$V$2:$V$1001,0),1)&gt;=100000,INDEX($AC$1005:$AS$1005,1,MATCH(COLUMNS($AC$1006:AE1006),$AC$1006:$AS$1006,0))&gt;=100000), " ",IF(INDEX($AC$2:$AS$1001,MATCH(ROWS($V$2:V309),$V$2:$V$1001,0),MATCH(COLUMNS($AC$1006:AE1006),$AC$1006:$AS$1006,0)), HYPERLINK("#",""), HYPERLINK(CONCATENATE("#metadata!", ADDRESS(INDEX($X$2:$X$1001,MATCH(ROWS($V$2:V309),$V$2:$V$1001,0),0), INDEX($AC$1004:$AS$1004,1,MATCH(COLUMNS($AC$1006:AE1006),$AC$1006:$AS$1006,0)))),"Fix")))</f>
        <v xml:space="preserve"> </v>
      </c>
      <c r="E309" s="4" t="str">
        <f ca="1">IF(OR(INDEX($W$2:$W$1001,MATCH(ROWS($V$2:V309),$V$2:$V$1001,0),1)&gt;=100000,INDEX($AC$1005:$AS$1005,1,MATCH(COLUMNS($AC$1006:AF1006),$AC$1006:$AS$1006,0))&gt;=100000), " ",IF(INDEX($AC$2:$AS$1001,MATCH(ROWS($V$2:V309),$V$2:$V$1001,0),MATCH(COLUMNS($AC$1006:AF1006),$AC$1006:$AS$1006,0)), HYPERLINK("#",""), HYPERLINK(CONCATENATE("#metadata!", ADDRESS(INDEX($X$2:$X$1001,MATCH(ROWS($V$2:V309),$V$2:$V$1001,0),0), INDEX($AC$1004:$AS$1004,1,MATCH(COLUMNS($AC$1006:AF1006),$AC$1006:$AS$1006,0)))),"Fix")))</f>
        <v xml:space="preserve"> </v>
      </c>
      <c r="F309" s="4" t="str">
        <f ca="1">IF(OR(INDEX($W$2:$W$1001,MATCH(ROWS($V$2:V309),$V$2:$V$1001,0),1)&gt;=100000,INDEX($AC$1005:$AS$1005,1,MATCH(COLUMNS($AC$1006:AG1006),$AC$1006:$AS$1006,0))&gt;=100000), " ",IF(INDEX($AC$2:$AS$1001,MATCH(ROWS($V$2:V309),$V$2:$V$1001,0),MATCH(COLUMNS($AC$1006:AG1006),$AC$1006:$AS$1006,0)), HYPERLINK("#",""), HYPERLINK(CONCATENATE("#metadata!", ADDRESS(INDEX($X$2:$X$1001,MATCH(ROWS($V$2:V309),$V$2:$V$1001,0),0), INDEX($AC$1004:$AS$1004,1,MATCH(COLUMNS($AC$1006:AG1006),$AC$1006:$AS$1006,0)))),"Fix")))</f>
        <v xml:space="preserve"> </v>
      </c>
      <c r="G309" s="4" t="str">
        <f ca="1">IF(OR(INDEX($W$2:$W$1001,MATCH(ROWS($V$2:V309),$V$2:$V$1001,0),1)&gt;=100000,INDEX($AC$1005:$AS$1005,1,MATCH(COLUMNS($AC$1006:AH1006),$AC$1006:$AS$1006,0))&gt;=100000), " ",IF(INDEX($AC$2:$AS$1001,MATCH(ROWS($V$2:V309),$V$2:$V$1001,0),MATCH(COLUMNS($AC$1006:AH1006),$AC$1006:$AS$1006,0)), HYPERLINK("#",""), HYPERLINK(CONCATENATE("#metadata!", ADDRESS(INDEX($X$2:$X$1001,MATCH(ROWS($V$2:V309),$V$2:$V$1001,0),0), INDEX($AC$1004:$AS$1004,1,MATCH(COLUMNS($AC$1006:AH1006),$AC$1006:$AS$1006,0)))),"Fix")))</f>
        <v xml:space="preserve"> </v>
      </c>
      <c r="H309" s="4" t="str">
        <f ca="1">IF(OR(INDEX($W$2:$W$1001,MATCH(ROWS($V$2:V309),$V$2:$V$1001,0),1)&gt;=100000,INDEX($AC$1005:$AS$1005,1,MATCH(COLUMNS($AC$1006:AI1006),$AC$1006:$AS$1006,0))&gt;=100000), " ",IF(INDEX($AC$2:$AS$1001,MATCH(ROWS($V$2:V309),$V$2:$V$1001,0),MATCH(COLUMNS($AC$1006:AI1006),$AC$1006:$AS$1006,0)), HYPERLINK("#",""), HYPERLINK(CONCATENATE("#metadata!", ADDRESS(INDEX($X$2:$X$1001,MATCH(ROWS($V$2:V309),$V$2:$V$1001,0),0), INDEX($AC$1004:$AS$1004,1,MATCH(COLUMNS($AC$1006:AI1006),$AC$1006:$AS$1006,0)))),"Fix")))</f>
        <v xml:space="preserve"> </v>
      </c>
      <c r="I309" s="4" t="str">
        <f ca="1">IF(OR(INDEX($W$2:$W$1001,MATCH(ROWS($V$2:V309),$V$2:$V$1001,0),1)&gt;=100000,INDEX($AC$1005:$AS$1005,1,MATCH(COLUMNS($AC$1006:AJ1006),$AC$1006:$AS$1006,0))&gt;=100000), " ",IF(INDEX($AC$2:$AS$1001,MATCH(ROWS($V$2:V309),$V$2:$V$1001,0),MATCH(COLUMNS($AC$1006:AJ1006),$AC$1006:$AS$1006,0)), HYPERLINK("#",""), HYPERLINK(CONCATENATE("#metadata!", ADDRESS(INDEX($X$2:$X$1001,MATCH(ROWS($V$2:V309),$V$2:$V$1001,0),0), INDEX($AC$1004:$AS$1004,1,MATCH(COLUMNS($AC$1006:AJ1006),$AC$1006:$AS$1006,0)))),"Fix")))</f>
        <v xml:space="preserve"> </v>
      </c>
      <c r="J309" s="4" t="str">
        <f ca="1">IF(OR(INDEX($W$2:$W$1001,MATCH(ROWS($V$2:V309),$V$2:$V$1001,0),1)&gt;=100000,INDEX($AC$1005:$AS$1005,1,MATCH(COLUMNS($AC$1006:AK1006),$AC$1006:$AS$1006,0))&gt;=100000), " ",IF(INDEX($AC$2:$AS$1001,MATCH(ROWS($V$2:V309),$V$2:$V$1001,0),MATCH(COLUMNS($AC$1006:AK1006),$AC$1006:$AS$1006,0)), HYPERLINK("#",""), HYPERLINK(CONCATENATE("#metadata!", ADDRESS(INDEX($X$2:$X$1001,MATCH(ROWS($V$2:V309),$V$2:$V$1001,0),0), INDEX($AC$1004:$AS$1004,1,MATCH(COLUMNS($AC$1006:AK1006),$AC$1006:$AS$1006,0)))),"Fix")))</f>
        <v xml:space="preserve"> </v>
      </c>
      <c r="K309" s="4" t="str">
        <f ca="1">IF(OR(INDEX($W$2:$W$1001,MATCH(ROWS($V$2:V309),$V$2:$V$1001,0),1)&gt;=100000,INDEX($AC$1005:$AS$1005,1,MATCH(COLUMNS($AC$1006:AL1006),$AC$1006:$AS$1006,0))&gt;=100000), " ",IF(INDEX($AC$2:$AS$1001,MATCH(ROWS($V$2:V309),$V$2:$V$1001,0),MATCH(COLUMNS($AC$1006:AL1006),$AC$1006:$AS$1006,0)), HYPERLINK("#",""), HYPERLINK(CONCATENATE("#metadata!", ADDRESS(INDEX($X$2:$X$1001,MATCH(ROWS($V$2:V309),$V$2:$V$1001,0),0), INDEX($AC$1004:$AS$1004,1,MATCH(COLUMNS($AC$1006:AL1006),$AC$1006:$AS$1006,0)))),"Fix")))</f>
        <v xml:space="preserve"> </v>
      </c>
      <c r="L309" s="4" t="str">
        <f ca="1">IF(OR(INDEX($W$2:$W$1001,MATCH(ROWS($V$2:V309),$V$2:$V$1001,0),1)&gt;=100000,INDEX($AC$1005:$AS$1005,1,MATCH(COLUMNS($AC$1006:AM1006),$AC$1006:$AS$1006,0))&gt;=100000), " ",IF(INDEX($AC$2:$AS$1001,MATCH(ROWS($V$2:V309),$V$2:$V$1001,0),MATCH(COLUMNS($AC$1006:AM1006),$AC$1006:$AS$1006,0)), HYPERLINK("#",""), HYPERLINK(CONCATENATE("#metadata!", ADDRESS(INDEX($X$2:$X$1001,MATCH(ROWS($V$2:V309),$V$2:$V$1001,0),0), INDEX($AC$1004:$AS$1004,1,MATCH(COLUMNS($AC$1006:AM1006),$AC$1006:$AS$1006,0)))),"Fix")))</f>
        <v xml:space="preserve"> </v>
      </c>
      <c r="M309" s="4" t="str">
        <f ca="1">IF(OR(INDEX($W$2:$W$1001,MATCH(ROWS($V$2:V309),$V$2:$V$1001,0),1)&gt;=100000,INDEX($AC$1005:$AS$1005,1,MATCH(COLUMNS($AC$1006:AN1006),$AC$1006:$AS$1006,0))&gt;=100000), " ",IF(INDEX($AC$2:$AS$1001,MATCH(ROWS($V$2:V309),$V$2:$V$1001,0),MATCH(COLUMNS($AC$1006:AN1006),$AC$1006:$AS$1006,0)), HYPERLINK("#",""), HYPERLINK(CONCATENATE("#metadata!", ADDRESS(INDEX($X$2:$X$1001,MATCH(ROWS($V$2:V309),$V$2:$V$1001,0),0), INDEX($AC$1004:$AS$1004,1,MATCH(COLUMNS($AC$1006:AN1006),$AC$1006:$AS$1006,0)))),"Fix")))</f>
        <v xml:space="preserve"> </v>
      </c>
      <c r="N309" s="4" t="str">
        <f ca="1">IF(OR(INDEX($W$2:$W$1001,MATCH(ROWS($V$2:V309),$V$2:$V$1001,0),1)&gt;=100000,INDEX($AC$1005:$AS$1005,1,MATCH(COLUMNS($AC$1006:AO1006),$AC$1006:$AS$1006,0))&gt;=100000), " ",IF(INDEX($AC$2:$AS$1001,MATCH(ROWS($V$2:V309),$V$2:$V$1001,0),MATCH(COLUMNS($AC$1006:AO1006),$AC$1006:$AS$1006,0)), HYPERLINK("#",""), HYPERLINK(CONCATENATE("#metadata!", ADDRESS(INDEX($X$2:$X$1001,MATCH(ROWS($V$2:V309),$V$2:$V$1001,0),0), INDEX($AC$1004:$AS$1004,1,MATCH(COLUMNS($AC$1006:AO1006),$AC$1006:$AS$1006,0)))),"Fix")))</f>
        <v xml:space="preserve"> </v>
      </c>
      <c r="O309" s="4" t="str">
        <f ca="1">IF(OR(INDEX($W$2:$W$1001,MATCH(ROWS($V$2:V309),$V$2:$V$1001,0),1)&gt;=100000,INDEX($AC$1005:$AS$1005,1,MATCH(COLUMNS($AC$1006:AP1006),$AC$1006:$AS$1006,0))&gt;=100000), " ",IF(INDEX($AC$2:$AS$1001,MATCH(ROWS($V$2:V309),$V$2:$V$1001,0),MATCH(COLUMNS($AC$1006:AP1006),$AC$1006:$AS$1006,0)), HYPERLINK("#",""), HYPERLINK(CONCATENATE("#metadata!", ADDRESS(INDEX($X$2:$X$1001,MATCH(ROWS($V$2:V309),$V$2:$V$1001,0),0), INDEX($AC$1004:$AS$1004,1,MATCH(COLUMNS($AC$1006:AP1006),$AC$1006:$AS$1006,0)))),"Fix")))</f>
        <v xml:space="preserve"> </v>
      </c>
      <c r="P309" s="4" t="str">
        <f ca="1">IF(OR(INDEX($W$2:$W$1001,MATCH(ROWS($V$2:V309),$V$2:$V$1001,0),1)&gt;=100000,INDEX($AC$1005:$AS$1005,1,MATCH(COLUMNS($AC$1006:AQ1006),$AC$1006:$AS$1006,0))&gt;=100000), " ",IF(INDEX($AC$2:$AS$1001,MATCH(ROWS($V$2:V309),$V$2:$V$1001,0),MATCH(COLUMNS($AC$1006:AQ1006),$AC$1006:$AS$1006,0)), HYPERLINK("#",""), HYPERLINK(CONCATENATE("#metadata!", ADDRESS(INDEX($X$2:$X$1001,MATCH(ROWS($V$2:V309),$V$2:$V$1001,0),0), INDEX($AC$1004:$AS$1004,1,MATCH(COLUMNS($AC$1006:AQ1006),$AC$1006:$AS$1006,0)))),"Fix")))</f>
        <v xml:space="preserve"> </v>
      </c>
      <c r="Q309" s="4" t="str">
        <f ca="1">IF(OR(INDEX($W$2:$W$1001,MATCH(ROWS($V$2:V309),$V$2:$V$1001,0),1)&gt;=100000,INDEX($AC$1005:$AS$1005,1,MATCH(COLUMNS($AC$1006:AR1006),$AC$1006:$AS$1006,0))&gt;=100000), " ",IF(INDEX($AC$2:$AS$1001,MATCH(ROWS($V$2:V309),$V$2:$V$1001,0),MATCH(COLUMNS($AC$1006:AR1006),$AC$1006:$AS$1006,0)), HYPERLINK("#",""), HYPERLINK(CONCATENATE("#metadata!", ADDRESS(INDEX($X$2:$X$1001,MATCH(ROWS($V$2:V309),$V$2:$V$1001,0),0), INDEX($AC$1004:$AS$1004,1,MATCH(COLUMNS($AC$1006:AR1006),$AC$1006:$AS$1006,0)))),"Fix")))</f>
        <v xml:space="preserve"> </v>
      </c>
      <c r="R309" s="4" t="str">
        <f ca="1">IF(OR(INDEX($W$2:$W$1001,MATCH(ROWS($V$2:V309),$V$2:$V$1001,0),1)&gt;=100000,INDEX($AC$1005:$AS$1005,1,MATCH(COLUMNS($AC$1006:AS1006),$AC$1006:$AS$1006,0))&gt;=100000), " ",IF(INDEX($AC$2:$AS$1001,MATCH(ROWS($V$2:V309),$V$2:$V$1001,0),MATCH(COLUMNS($AC$1006:AS1006),$AC$1006:$AS$1006,0)), HYPERLINK("#",""), HYPERLINK(CONCATENATE("#metadata!", ADDRESS(INDEX($X$2:$X$1001,MATCH(ROWS($V$2:V309),$V$2:$V$1001,0),0), INDEX($AC$1004:$AS$1004,1,MATCH(COLUMNS($AC$1006:AS1006),$AC$1006:$AS$1006,0)))),"Fix")))</f>
        <v xml:space="preserve"> </v>
      </c>
      <c r="V309">
        <v>308</v>
      </c>
      <c r="W309">
        <v>100309</v>
      </c>
      <c r="X309">
        <v>309</v>
      </c>
      <c r="Y309" t="b">
        <f t="shared" si="4"/>
        <v>1</v>
      </c>
      <c r="Z309" t="b">
        <f>COUNTBLANK(metadata!B309:R309)=COLUMNS(metadata!B309:R309)</f>
        <v>1</v>
      </c>
      <c r="AA309" t="str">
        <v/>
      </c>
      <c r="AC309" t="b">
        <f ca="1"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AD309" t="b">
        <f>IF(metadata!C309="",FALSE,ISNUMBER(VALUE(metadata!C309)))</f>
        <v>0</v>
      </c>
      <c r="AE309" t="b">
        <f>AND(IF(metadata!D309="",FALSE,TRUE),EXACT(metadata!D309,"years"))</f>
        <v>0</v>
      </c>
      <c r="AF309" t="b">
        <f>OR(AND(IF(metadata!E309="",FALSE,TRUE),OR(EXACT(metadata!E309,"not applicable"),EXACT(metadata!E309,"missing: not collected"),EXACT(metadata!E309,"missing: not provided"),EXACT(metadata!E309,"missing: restricted access"))),AND(IF(metadata!E309="",FALSE,ISNUMBER(VALUE(metadata!E309))),metadata!E309&gt;0))</f>
        <v>0</v>
      </c>
      <c r="AG309" t="b">
        <f>AND(IF(metadata!F309="",FALSE,TRUE),EXACT(metadata!F309,"Not applicable"))</f>
        <v>0</v>
      </c>
      <c r="AH309" t="b">
        <f>AND(IF(metadata!G309="",FALSE,TRUE),EXACT(metadata!G309,"urban biome"))</f>
        <v>0</v>
      </c>
      <c r="AI309" t="b">
        <f>AND(IF(metadata!H309="",FALSE,TRUE),EXACT(metadata!H309,"human-associated habitat"))</f>
        <v>0</v>
      </c>
      <c r="AJ309" t="b">
        <f>AND(IF(metadata!I309="",FALSE,TRUE),OR(EXACT(metadata!I309,"human-associated"),EXACT(metadata!I309,"human-skin"),EXACT(metadata!I309,"human-oral"),EXACT(metadata!I309,"human-gut"),EXACT(metadata!I309,"human-vaginal")))</f>
        <v>0</v>
      </c>
      <c r="AK309" t="b">
        <f>IF(metadata!J309="",FALSE,ISNUMBER(VALUE(metadata!J309)))</f>
        <v>0</v>
      </c>
      <c r="AL309" t="b">
        <f>AND(IF(metadata!K309="",FALSE,TRUE),EXACT(metadata!K309,"cm"))</f>
        <v>0</v>
      </c>
      <c r="AM309" t="b">
        <f>AND(IF(metadata!L309="",FALSE,TRUE),EXACT(metadata!L309,"human"))</f>
        <v>0</v>
      </c>
      <c r="AN309" t="b">
        <f>AND(IF(metadata!M309="",FALSE,TRUE),EXACT(metadata!M309,"Homo sapiens"))</f>
        <v>0</v>
      </c>
      <c r="AO309" t="b">
        <f>AND(IF(metadata!N309="",FALSE,TRUE),EXACT(metadata!N309,"9606"))</f>
        <v>0</v>
      </c>
      <c r="AP309" t="b">
        <f>IF(metadata!O309="",FALSE,TRUE)</f>
        <v>0</v>
      </c>
      <c r="AQ309" t="b">
        <f>IF(metadata!P309="",FALSE,TRUE)</f>
        <v>0</v>
      </c>
      <c r="AR309" t="b">
        <f>IF(metadata!Q309="",FALSE,ISNUMBER(VALUE(metadata!Q309)))</f>
        <v>0</v>
      </c>
      <c r="AS309" t="b">
        <f>AND(IF(metadata!R309="",FALSE,TRUE),EXACT(metadata!R309,"kg"))</f>
        <v>0</v>
      </c>
    </row>
    <row r="310" spans="1:45" x14ac:dyDescent="0.2">
      <c r="A310" s="5" t="str">
        <f ca="1">IF(B310=" "," ",HYPERLINK(CONCATENATE("#metadata!",ADDRESS(INDEX($X$2:$X$1001,MATCH(ROWS($V$2:V310),$V$2:$V$1001,0),0),1)),INDEX($AA$2:$AA$1001,MATCH(ROWS($V$2:V310),$V$2:$V$1001,0),0)))</f>
        <v xml:space="preserve"> </v>
      </c>
      <c r="B310" s="4" t="str">
        <f ca="1">IF(OR(INDEX($W$2:$W$1001,MATCH(ROWS($V$2:V310),$V$2:$V$1001,0),1)&gt;=100000,INDEX($AC$1005:$AS$1005,1,MATCH(COLUMNS($AC$1006:AC1006),$AC$1006:$AS$1006,0))&gt;=100000), " ",IF(INDEX($AC$2:$AS$1001,MATCH(ROWS($V$2:V310),$V$2:$V$1001,0),MATCH(COLUMNS($AC$1006:AC1006),$AC$1006:$AS$1006,0)), HYPERLINK("#",""), HYPERLINK(CONCATENATE("#metadata!", ADDRESS(INDEX($X$2:$X$1001,MATCH(ROWS($V$2:V310),$V$2:$V$1001,0),0), INDEX($AC$1004:$AS$1004,1,MATCH(COLUMNS($AC$1006:AC1006),$AC$1006:$AS$1006,0)))),"Fix")))</f>
        <v xml:space="preserve"> </v>
      </c>
      <c r="C310" s="4" t="str">
        <f ca="1">IF(OR(INDEX($W$2:$W$1001,MATCH(ROWS($V$2:V310),$V$2:$V$1001,0),1)&gt;=100000,INDEX($AC$1005:$AS$1005,1,MATCH(COLUMNS($AC$1006:AD1006),$AC$1006:$AS$1006,0))&gt;=100000), " ",IF(INDEX($AC$2:$AS$1001,MATCH(ROWS($V$2:V310),$V$2:$V$1001,0),MATCH(COLUMNS($AC$1006:AD1006),$AC$1006:$AS$1006,0)), HYPERLINK("#",""), HYPERLINK(CONCATENATE("#metadata!", ADDRESS(INDEX($X$2:$X$1001,MATCH(ROWS($V$2:V310),$V$2:$V$1001,0),0), INDEX($AC$1004:$AS$1004,1,MATCH(COLUMNS($AC$1006:AD1006),$AC$1006:$AS$1006,0)))),"Fix")))</f>
        <v xml:space="preserve"> </v>
      </c>
      <c r="D310" s="4" t="str">
        <f ca="1">IF(OR(INDEX($W$2:$W$1001,MATCH(ROWS($V$2:V310),$V$2:$V$1001,0),1)&gt;=100000,INDEX($AC$1005:$AS$1005,1,MATCH(COLUMNS($AC$1006:AE1006),$AC$1006:$AS$1006,0))&gt;=100000), " ",IF(INDEX($AC$2:$AS$1001,MATCH(ROWS($V$2:V310),$V$2:$V$1001,0),MATCH(COLUMNS($AC$1006:AE1006),$AC$1006:$AS$1006,0)), HYPERLINK("#",""), HYPERLINK(CONCATENATE("#metadata!", ADDRESS(INDEX($X$2:$X$1001,MATCH(ROWS($V$2:V310),$V$2:$V$1001,0),0), INDEX($AC$1004:$AS$1004,1,MATCH(COLUMNS($AC$1006:AE1006),$AC$1006:$AS$1006,0)))),"Fix")))</f>
        <v xml:space="preserve"> </v>
      </c>
      <c r="E310" s="4" t="str">
        <f ca="1">IF(OR(INDEX($W$2:$W$1001,MATCH(ROWS($V$2:V310),$V$2:$V$1001,0),1)&gt;=100000,INDEX($AC$1005:$AS$1005,1,MATCH(COLUMNS($AC$1006:AF1006),$AC$1006:$AS$1006,0))&gt;=100000), " ",IF(INDEX($AC$2:$AS$1001,MATCH(ROWS($V$2:V310),$V$2:$V$1001,0),MATCH(COLUMNS($AC$1006:AF1006),$AC$1006:$AS$1006,0)), HYPERLINK("#",""), HYPERLINK(CONCATENATE("#metadata!", ADDRESS(INDEX($X$2:$X$1001,MATCH(ROWS($V$2:V310),$V$2:$V$1001,0),0), INDEX($AC$1004:$AS$1004,1,MATCH(COLUMNS($AC$1006:AF1006),$AC$1006:$AS$1006,0)))),"Fix")))</f>
        <v xml:space="preserve"> </v>
      </c>
      <c r="F310" s="4" t="str">
        <f ca="1">IF(OR(INDEX($W$2:$W$1001,MATCH(ROWS($V$2:V310),$V$2:$V$1001,0),1)&gt;=100000,INDEX($AC$1005:$AS$1005,1,MATCH(COLUMNS($AC$1006:AG1006),$AC$1006:$AS$1006,0))&gt;=100000), " ",IF(INDEX($AC$2:$AS$1001,MATCH(ROWS($V$2:V310),$V$2:$V$1001,0),MATCH(COLUMNS($AC$1006:AG1006),$AC$1006:$AS$1006,0)), HYPERLINK("#",""), HYPERLINK(CONCATENATE("#metadata!", ADDRESS(INDEX($X$2:$X$1001,MATCH(ROWS($V$2:V310),$V$2:$V$1001,0),0), INDEX($AC$1004:$AS$1004,1,MATCH(COLUMNS($AC$1006:AG1006),$AC$1006:$AS$1006,0)))),"Fix")))</f>
        <v xml:space="preserve"> </v>
      </c>
      <c r="G310" s="4" t="str">
        <f ca="1">IF(OR(INDEX($W$2:$W$1001,MATCH(ROWS($V$2:V310),$V$2:$V$1001,0),1)&gt;=100000,INDEX($AC$1005:$AS$1005,1,MATCH(COLUMNS($AC$1006:AH1006),$AC$1006:$AS$1006,0))&gt;=100000), " ",IF(INDEX($AC$2:$AS$1001,MATCH(ROWS($V$2:V310),$V$2:$V$1001,0),MATCH(COLUMNS($AC$1006:AH1006),$AC$1006:$AS$1006,0)), HYPERLINK("#",""), HYPERLINK(CONCATENATE("#metadata!", ADDRESS(INDEX($X$2:$X$1001,MATCH(ROWS($V$2:V310),$V$2:$V$1001,0),0), INDEX($AC$1004:$AS$1004,1,MATCH(COLUMNS($AC$1006:AH1006),$AC$1006:$AS$1006,0)))),"Fix")))</f>
        <v xml:space="preserve"> </v>
      </c>
      <c r="H310" s="4" t="str">
        <f ca="1">IF(OR(INDEX($W$2:$W$1001,MATCH(ROWS($V$2:V310),$V$2:$V$1001,0),1)&gt;=100000,INDEX($AC$1005:$AS$1005,1,MATCH(COLUMNS($AC$1006:AI1006),$AC$1006:$AS$1006,0))&gt;=100000), " ",IF(INDEX($AC$2:$AS$1001,MATCH(ROWS($V$2:V310),$V$2:$V$1001,0),MATCH(COLUMNS($AC$1006:AI1006),$AC$1006:$AS$1006,0)), HYPERLINK("#",""), HYPERLINK(CONCATENATE("#metadata!", ADDRESS(INDEX($X$2:$X$1001,MATCH(ROWS($V$2:V310),$V$2:$V$1001,0),0), INDEX($AC$1004:$AS$1004,1,MATCH(COLUMNS($AC$1006:AI1006),$AC$1006:$AS$1006,0)))),"Fix")))</f>
        <v xml:space="preserve"> </v>
      </c>
      <c r="I310" s="4" t="str">
        <f ca="1">IF(OR(INDEX($W$2:$W$1001,MATCH(ROWS($V$2:V310),$V$2:$V$1001,0),1)&gt;=100000,INDEX($AC$1005:$AS$1005,1,MATCH(COLUMNS($AC$1006:AJ1006),$AC$1006:$AS$1006,0))&gt;=100000), " ",IF(INDEX($AC$2:$AS$1001,MATCH(ROWS($V$2:V310),$V$2:$V$1001,0),MATCH(COLUMNS($AC$1006:AJ1006),$AC$1006:$AS$1006,0)), HYPERLINK("#",""), HYPERLINK(CONCATENATE("#metadata!", ADDRESS(INDEX($X$2:$X$1001,MATCH(ROWS($V$2:V310),$V$2:$V$1001,0),0), INDEX($AC$1004:$AS$1004,1,MATCH(COLUMNS($AC$1006:AJ1006),$AC$1006:$AS$1006,0)))),"Fix")))</f>
        <v xml:space="preserve"> </v>
      </c>
      <c r="J310" s="4" t="str">
        <f ca="1">IF(OR(INDEX($W$2:$W$1001,MATCH(ROWS($V$2:V310),$V$2:$V$1001,0),1)&gt;=100000,INDEX($AC$1005:$AS$1005,1,MATCH(COLUMNS($AC$1006:AK1006),$AC$1006:$AS$1006,0))&gt;=100000), " ",IF(INDEX($AC$2:$AS$1001,MATCH(ROWS($V$2:V310),$V$2:$V$1001,0),MATCH(COLUMNS($AC$1006:AK1006),$AC$1006:$AS$1006,0)), HYPERLINK("#",""), HYPERLINK(CONCATENATE("#metadata!", ADDRESS(INDEX($X$2:$X$1001,MATCH(ROWS($V$2:V310),$V$2:$V$1001,0),0), INDEX($AC$1004:$AS$1004,1,MATCH(COLUMNS($AC$1006:AK1006),$AC$1006:$AS$1006,0)))),"Fix")))</f>
        <v xml:space="preserve"> </v>
      </c>
      <c r="K310" s="4" t="str">
        <f ca="1">IF(OR(INDEX($W$2:$W$1001,MATCH(ROWS($V$2:V310),$V$2:$V$1001,0),1)&gt;=100000,INDEX($AC$1005:$AS$1005,1,MATCH(COLUMNS($AC$1006:AL1006),$AC$1006:$AS$1006,0))&gt;=100000), " ",IF(INDEX($AC$2:$AS$1001,MATCH(ROWS($V$2:V310),$V$2:$V$1001,0),MATCH(COLUMNS($AC$1006:AL1006),$AC$1006:$AS$1006,0)), HYPERLINK("#",""), HYPERLINK(CONCATENATE("#metadata!", ADDRESS(INDEX($X$2:$X$1001,MATCH(ROWS($V$2:V310),$V$2:$V$1001,0),0), INDEX($AC$1004:$AS$1004,1,MATCH(COLUMNS($AC$1006:AL1006),$AC$1006:$AS$1006,0)))),"Fix")))</f>
        <v xml:space="preserve"> </v>
      </c>
      <c r="L310" s="4" t="str">
        <f ca="1">IF(OR(INDEX($W$2:$W$1001,MATCH(ROWS($V$2:V310),$V$2:$V$1001,0),1)&gt;=100000,INDEX($AC$1005:$AS$1005,1,MATCH(COLUMNS($AC$1006:AM1006),$AC$1006:$AS$1006,0))&gt;=100000), " ",IF(INDEX($AC$2:$AS$1001,MATCH(ROWS($V$2:V310),$V$2:$V$1001,0),MATCH(COLUMNS($AC$1006:AM1006),$AC$1006:$AS$1006,0)), HYPERLINK("#",""), HYPERLINK(CONCATENATE("#metadata!", ADDRESS(INDEX($X$2:$X$1001,MATCH(ROWS($V$2:V310),$V$2:$V$1001,0),0), INDEX($AC$1004:$AS$1004,1,MATCH(COLUMNS($AC$1006:AM1006),$AC$1006:$AS$1006,0)))),"Fix")))</f>
        <v xml:space="preserve"> </v>
      </c>
      <c r="M310" s="4" t="str">
        <f ca="1">IF(OR(INDEX($W$2:$W$1001,MATCH(ROWS($V$2:V310),$V$2:$V$1001,0),1)&gt;=100000,INDEX($AC$1005:$AS$1005,1,MATCH(COLUMNS($AC$1006:AN1006),$AC$1006:$AS$1006,0))&gt;=100000), " ",IF(INDEX($AC$2:$AS$1001,MATCH(ROWS($V$2:V310),$V$2:$V$1001,0),MATCH(COLUMNS($AC$1006:AN1006),$AC$1006:$AS$1006,0)), HYPERLINK("#",""), HYPERLINK(CONCATENATE("#metadata!", ADDRESS(INDEX($X$2:$X$1001,MATCH(ROWS($V$2:V310),$V$2:$V$1001,0),0), INDEX($AC$1004:$AS$1004,1,MATCH(COLUMNS($AC$1006:AN1006),$AC$1006:$AS$1006,0)))),"Fix")))</f>
        <v xml:space="preserve"> </v>
      </c>
      <c r="N310" s="4" t="str">
        <f ca="1">IF(OR(INDEX($W$2:$W$1001,MATCH(ROWS($V$2:V310),$V$2:$V$1001,0),1)&gt;=100000,INDEX($AC$1005:$AS$1005,1,MATCH(COLUMNS($AC$1006:AO1006),$AC$1006:$AS$1006,0))&gt;=100000), " ",IF(INDEX($AC$2:$AS$1001,MATCH(ROWS($V$2:V310),$V$2:$V$1001,0),MATCH(COLUMNS($AC$1006:AO1006),$AC$1006:$AS$1006,0)), HYPERLINK("#",""), HYPERLINK(CONCATENATE("#metadata!", ADDRESS(INDEX($X$2:$X$1001,MATCH(ROWS($V$2:V310),$V$2:$V$1001,0),0), INDEX($AC$1004:$AS$1004,1,MATCH(COLUMNS($AC$1006:AO1006),$AC$1006:$AS$1006,0)))),"Fix")))</f>
        <v xml:space="preserve"> </v>
      </c>
      <c r="O310" s="4" t="str">
        <f ca="1">IF(OR(INDEX($W$2:$W$1001,MATCH(ROWS($V$2:V310),$V$2:$V$1001,0),1)&gt;=100000,INDEX($AC$1005:$AS$1005,1,MATCH(COLUMNS($AC$1006:AP1006),$AC$1006:$AS$1006,0))&gt;=100000), " ",IF(INDEX($AC$2:$AS$1001,MATCH(ROWS($V$2:V310),$V$2:$V$1001,0),MATCH(COLUMNS($AC$1006:AP1006),$AC$1006:$AS$1006,0)), HYPERLINK("#",""), HYPERLINK(CONCATENATE("#metadata!", ADDRESS(INDEX($X$2:$X$1001,MATCH(ROWS($V$2:V310),$V$2:$V$1001,0),0), INDEX($AC$1004:$AS$1004,1,MATCH(COLUMNS($AC$1006:AP1006),$AC$1006:$AS$1006,0)))),"Fix")))</f>
        <v xml:space="preserve"> </v>
      </c>
      <c r="P310" s="4" t="str">
        <f ca="1">IF(OR(INDEX($W$2:$W$1001,MATCH(ROWS($V$2:V310),$V$2:$V$1001,0),1)&gt;=100000,INDEX($AC$1005:$AS$1005,1,MATCH(COLUMNS($AC$1006:AQ1006),$AC$1006:$AS$1006,0))&gt;=100000), " ",IF(INDEX($AC$2:$AS$1001,MATCH(ROWS($V$2:V310),$V$2:$V$1001,0),MATCH(COLUMNS($AC$1006:AQ1006),$AC$1006:$AS$1006,0)), HYPERLINK("#",""), HYPERLINK(CONCATENATE("#metadata!", ADDRESS(INDEX($X$2:$X$1001,MATCH(ROWS($V$2:V310),$V$2:$V$1001,0),0), INDEX($AC$1004:$AS$1004,1,MATCH(COLUMNS($AC$1006:AQ1006),$AC$1006:$AS$1006,0)))),"Fix")))</f>
        <v xml:space="preserve"> </v>
      </c>
      <c r="Q310" s="4" t="str">
        <f ca="1">IF(OR(INDEX($W$2:$W$1001,MATCH(ROWS($V$2:V310),$V$2:$V$1001,0),1)&gt;=100000,INDEX($AC$1005:$AS$1005,1,MATCH(COLUMNS($AC$1006:AR1006),$AC$1006:$AS$1006,0))&gt;=100000), " ",IF(INDEX($AC$2:$AS$1001,MATCH(ROWS($V$2:V310),$V$2:$V$1001,0),MATCH(COLUMNS($AC$1006:AR1006),$AC$1006:$AS$1006,0)), HYPERLINK("#",""), HYPERLINK(CONCATENATE("#metadata!", ADDRESS(INDEX($X$2:$X$1001,MATCH(ROWS($V$2:V310),$V$2:$V$1001,0),0), INDEX($AC$1004:$AS$1004,1,MATCH(COLUMNS($AC$1006:AR1006),$AC$1006:$AS$1006,0)))),"Fix")))</f>
        <v xml:space="preserve"> </v>
      </c>
      <c r="R310" s="4" t="str">
        <f ca="1">IF(OR(INDEX($W$2:$W$1001,MATCH(ROWS($V$2:V310),$V$2:$V$1001,0),1)&gt;=100000,INDEX($AC$1005:$AS$1005,1,MATCH(COLUMNS($AC$1006:AS1006),$AC$1006:$AS$1006,0))&gt;=100000), " ",IF(INDEX($AC$2:$AS$1001,MATCH(ROWS($V$2:V310),$V$2:$V$1001,0),MATCH(COLUMNS($AC$1006:AS1006),$AC$1006:$AS$1006,0)), HYPERLINK("#",""), HYPERLINK(CONCATENATE("#metadata!", ADDRESS(INDEX($X$2:$X$1001,MATCH(ROWS($V$2:V310),$V$2:$V$1001,0),0), INDEX($AC$1004:$AS$1004,1,MATCH(COLUMNS($AC$1006:AS1006),$AC$1006:$AS$1006,0)))),"Fix")))</f>
        <v xml:space="preserve"> </v>
      </c>
      <c r="V310">
        <v>309</v>
      </c>
      <c r="W310">
        <v>100310</v>
      </c>
      <c r="X310">
        <v>310</v>
      </c>
      <c r="Y310" t="b">
        <f t="shared" si="4"/>
        <v>1</v>
      </c>
      <c r="Z310" t="b">
        <f>COUNTBLANK(metadata!B310:R310)=COLUMNS(metadata!B310:R310)</f>
        <v>1</v>
      </c>
      <c r="AA310" t="str">
        <v/>
      </c>
      <c r="AC310" t="b">
        <f ca="1"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AD310" t="b">
        <f>IF(metadata!C310="",FALSE,ISNUMBER(VALUE(metadata!C310)))</f>
        <v>0</v>
      </c>
      <c r="AE310" t="b">
        <f>AND(IF(metadata!D310="",FALSE,TRUE),EXACT(metadata!D310,"years"))</f>
        <v>0</v>
      </c>
      <c r="AF310" t="b">
        <f>OR(AND(IF(metadata!E310="",FALSE,TRUE),OR(EXACT(metadata!E310,"not applicable"),EXACT(metadata!E310,"missing: not collected"),EXACT(metadata!E310,"missing: not provided"),EXACT(metadata!E310,"missing: restricted access"))),AND(IF(metadata!E310="",FALSE,ISNUMBER(VALUE(metadata!E310))),metadata!E310&gt;0))</f>
        <v>0</v>
      </c>
      <c r="AG310" t="b">
        <f>AND(IF(metadata!F310="",FALSE,TRUE),EXACT(metadata!F310,"Not applicable"))</f>
        <v>0</v>
      </c>
      <c r="AH310" t="b">
        <f>AND(IF(metadata!G310="",FALSE,TRUE),EXACT(metadata!G310,"urban biome"))</f>
        <v>0</v>
      </c>
      <c r="AI310" t="b">
        <f>AND(IF(metadata!H310="",FALSE,TRUE),EXACT(metadata!H310,"human-associated habitat"))</f>
        <v>0</v>
      </c>
      <c r="AJ310" t="b">
        <f>AND(IF(metadata!I310="",FALSE,TRUE),OR(EXACT(metadata!I310,"human-associated"),EXACT(metadata!I310,"human-skin"),EXACT(metadata!I310,"human-oral"),EXACT(metadata!I310,"human-gut"),EXACT(metadata!I310,"human-vaginal")))</f>
        <v>0</v>
      </c>
      <c r="AK310" t="b">
        <f>IF(metadata!J310="",FALSE,ISNUMBER(VALUE(metadata!J310)))</f>
        <v>0</v>
      </c>
      <c r="AL310" t="b">
        <f>AND(IF(metadata!K310="",FALSE,TRUE),EXACT(metadata!K310,"cm"))</f>
        <v>0</v>
      </c>
      <c r="AM310" t="b">
        <f>AND(IF(metadata!L310="",FALSE,TRUE),EXACT(metadata!L310,"human"))</f>
        <v>0</v>
      </c>
      <c r="AN310" t="b">
        <f>AND(IF(metadata!M310="",FALSE,TRUE),EXACT(metadata!M310,"Homo sapiens"))</f>
        <v>0</v>
      </c>
      <c r="AO310" t="b">
        <f>AND(IF(metadata!N310="",FALSE,TRUE),EXACT(metadata!N310,"9606"))</f>
        <v>0</v>
      </c>
      <c r="AP310" t="b">
        <f>IF(metadata!O310="",FALSE,TRUE)</f>
        <v>0</v>
      </c>
      <c r="AQ310" t="b">
        <f>IF(metadata!P310="",FALSE,TRUE)</f>
        <v>0</v>
      </c>
      <c r="AR310" t="b">
        <f>IF(metadata!Q310="",FALSE,ISNUMBER(VALUE(metadata!Q310)))</f>
        <v>0</v>
      </c>
      <c r="AS310" t="b">
        <f>AND(IF(metadata!R310="",FALSE,TRUE),EXACT(metadata!R310,"kg"))</f>
        <v>0</v>
      </c>
    </row>
    <row r="311" spans="1:45" x14ac:dyDescent="0.2">
      <c r="A311" s="5" t="str">
        <f ca="1">IF(B311=" "," ",HYPERLINK(CONCATENATE("#metadata!",ADDRESS(INDEX($X$2:$X$1001,MATCH(ROWS($V$2:V311),$V$2:$V$1001,0),0),1)),INDEX($AA$2:$AA$1001,MATCH(ROWS($V$2:V311),$V$2:$V$1001,0),0)))</f>
        <v xml:space="preserve"> </v>
      </c>
      <c r="B311" s="4" t="str">
        <f ca="1">IF(OR(INDEX($W$2:$W$1001,MATCH(ROWS($V$2:V311),$V$2:$V$1001,0),1)&gt;=100000,INDEX($AC$1005:$AS$1005,1,MATCH(COLUMNS($AC$1006:AC1006),$AC$1006:$AS$1006,0))&gt;=100000), " ",IF(INDEX($AC$2:$AS$1001,MATCH(ROWS($V$2:V311),$V$2:$V$1001,0),MATCH(COLUMNS($AC$1006:AC1006),$AC$1006:$AS$1006,0)), HYPERLINK("#",""), HYPERLINK(CONCATENATE("#metadata!", ADDRESS(INDEX($X$2:$X$1001,MATCH(ROWS($V$2:V311),$V$2:$V$1001,0),0), INDEX($AC$1004:$AS$1004,1,MATCH(COLUMNS($AC$1006:AC1006),$AC$1006:$AS$1006,0)))),"Fix")))</f>
        <v xml:space="preserve"> </v>
      </c>
      <c r="C311" s="4" t="str">
        <f ca="1">IF(OR(INDEX($W$2:$W$1001,MATCH(ROWS($V$2:V311),$V$2:$V$1001,0),1)&gt;=100000,INDEX($AC$1005:$AS$1005,1,MATCH(COLUMNS($AC$1006:AD1006),$AC$1006:$AS$1006,0))&gt;=100000), " ",IF(INDEX($AC$2:$AS$1001,MATCH(ROWS($V$2:V311),$V$2:$V$1001,0),MATCH(COLUMNS($AC$1006:AD1006),$AC$1006:$AS$1006,0)), HYPERLINK("#",""), HYPERLINK(CONCATENATE("#metadata!", ADDRESS(INDEX($X$2:$X$1001,MATCH(ROWS($V$2:V311),$V$2:$V$1001,0),0), INDEX($AC$1004:$AS$1004,1,MATCH(COLUMNS($AC$1006:AD1006),$AC$1006:$AS$1006,0)))),"Fix")))</f>
        <v xml:space="preserve"> </v>
      </c>
      <c r="D311" s="4" t="str">
        <f ca="1">IF(OR(INDEX($W$2:$W$1001,MATCH(ROWS($V$2:V311),$V$2:$V$1001,0),1)&gt;=100000,INDEX($AC$1005:$AS$1005,1,MATCH(COLUMNS($AC$1006:AE1006),$AC$1006:$AS$1006,0))&gt;=100000), " ",IF(INDEX($AC$2:$AS$1001,MATCH(ROWS($V$2:V311),$V$2:$V$1001,0),MATCH(COLUMNS($AC$1006:AE1006),$AC$1006:$AS$1006,0)), HYPERLINK("#",""), HYPERLINK(CONCATENATE("#metadata!", ADDRESS(INDEX($X$2:$X$1001,MATCH(ROWS($V$2:V311),$V$2:$V$1001,0),0), INDEX($AC$1004:$AS$1004,1,MATCH(COLUMNS($AC$1006:AE1006),$AC$1006:$AS$1006,0)))),"Fix")))</f>
        <v xml:space="preserve"> </v>
      </c>
      <c r="E311" s="4" t="str">
        <f ca="1">IF(OR(INDEX($W$2:$W$1001,MATCH(ROWS($V$2:V311),$V$2:$V$1001,0),1)&gt;=100000,INDEX($AC$1005:$AS$1005,1,MATCH(COLUMNS($AC$1006:AF1006),$AC$1006:$AS$1006,0))&gt;=100000), " ",IF(INDEX($AC$2:$AS$1001,MATCH(ROWS($V$2:V311),$V$2:$V$1001,0),MATCH(COLUMNS($AC$1006:AF1006),$AC$1006:$AS$1006,0)), HYPERLINK("#",""), HYPERLINK(CONCATENATE("#metadata!", ADDRESS(INDEX($X$2:$X$1001,MATCH(ROWS($V$2:V311),$V$2:$V$1001,0),0), INDEX($AC$1004:$AS$1004,1,MATCH(COLUMNS($AC$1006:AF1006),$AC$1006:$AS$1006,0)))),"Fix")))</f>
        <v xml:space="preserve"> </v>
      </c>
      <c r="F311" s="4" t="str">
        <f ca="1">IF(OR(INDEX($W$2:$W$1001,MATCH(ROWS($V$2:V311),$V$2:$V$1001,0),1)&gt;=100000,INDEX($AC$1005:$AS$1005,1,MATCH(COLUMNS($AC$1006:AG1006),$AC$1006:$AS$1006,0))&gt;=100000), " ",IF(INDEX($AC$2:$AS$1001,MATCH(ROWS($V$2:V311),$V$2:$V$1001,0),MATCH(COLUMNS($AC$1006:AG1006),$AC$1006:$AS$1006,0)), HYPERLINK("#",""), HYPERLINK(CONCATENATE("#metadata!", ADDRESS(INDEX($X$2:$X$1001,MATCH(ROWS($V$2:V311),$V$2:$V$1001,0),0), INDEX($AC$1004:$AS$1004,1,MATCH(COLUMNS($AC$1006:AG1006),$AC$1006:$AS$1006,0)))),"Fix")))</f>
        <v xml:space="preserve"> </v>
      </c>
      <c r="G311" s="4" t="str">
        <f ca="1">IF(OR(INDEX($W$2:$W$1001,MATCH(ROWS($V$2:V311),$V$2:$V$1001,0),1)&gt;=100000,INDEX($AC$1005:$AS$1005,1,MATCH(COLUMNS($AC$1006:AH1006),$AC$1006:$AS$1006,0))&gt;=100000), " ",IF(INDEX($AC$2:$AS$1001,MATCH(ROWS($V$2:V311),$V$2:$V$1001,0),MATCH(COLUMNS($AC$1006:AH1006),$AC$1006:$AS$1006,0)), HYPERLINK("#",""), HYPERLINK(CONCATENATE("#metadata!", ADDRESS(INDEX($X$2:$X$1001,MATCH(ROWS($V$2:V311),$V$2:$V$1001,0),0), INDEX($AC$1004:$AS$1004,1,MATCH(COLUMNS($AC$1006:AH1006),$AC$1006:$AS$1006,0)))),"Fix")))</f>
        <v xml:space="preserve"> </v>
      </c>
      <c r="H311" s="4" t="str">
        <f ca="1">IF(OR(INDEX($W$2:$W$1001,MATCH(ROWS($V$2:V311),$V$2:$V$1001,0),1)&gt;=100000,INDEX($AC$1005:$AS$1005,1,MATCH(COLUMNS($AC$1006:AI1006),$AC$1006:$AS$1006,0))&gt;=100000), " ",IF(INDEX($AC$2:$AS$1001,MATCH(ROWS($V$2:V311),$V$2:$V$1001,0),MATCH(COLUMNS($AC$1006:AI1006),$AC$1006:$AS$1006,0)), HYPERLINK("#",""), HYPERLINK(CONCATENATE("#metadata!", ADDRESS(INDEX($X$2:$X$1001,MATCH(ROWS($V$2:V311),$V$2:$V$1001,0),0), INDEX($AC$1004:$AS$1004,1,MATCH(COLUMNS($AC$1006:AI1006),$AC$1006:$AS$1006,0)))),"Fix")))</f>
        <v xml:space="preserve"> </v>
      </c>
      <c r="I311" s="4" t="str">
        <f ca="1">IF(OR(INDEX($W$2:$W$1001,MATCH(ROWS($V$2:V311),$V$2:$V$1001,0),1)&gt;=100000,INDEX($AC$1005:$AS$1005,1,MATCH(COLUMNS($AC$1006:AJ1006),$AC$1006:$AS$1006,0))&gt;=100000), " ",IF(INDEX($AC$2:$AS$1001,MATCH(ROWS($V$2:V311),$V$2:$V$1001,0),MATCH(COLUMNS($AC$1006:AJ1006),$AC$1006:$AS$1006,0)), HYPERLINK("#",""), HYPERLINK(CONCATENATE("#metadata!", ADDRESS(INDEX($X$2:$X$1001,MATCH(ROWS($V$2:V311),$V$2:$V$1001,0),0), INDEX($AC$1004:$AS$1004,1,MATCH(COLUMNS($AC$1006:AJ1006),$AC$1006:$AS$1006,0)))),"Fix")))</f>
        <v xml:space="preserve"> </v>
      </c>
      <c r="J311" s="4" t="str">
        <f ca="1">IF(OR(INDEX($W$2:$W$1001,MATCH(ROWS($V$2:V311),$V$2:$V$1001,0),1)&gt;=100000,INDEX($AC$1005:$AS$1005,1,MATCH(COLUMNS($AC$1006:AK1006),$AC$1006:$AS$1006,0))&gt;=100000), " ",IF(INDEX($AC$2:$AS$1001,MATCH(ROWS($V$2:V311),$V$2:$V$1001,0),MATCH(COLUMNS($AC$1006:AK1006),$AC$1006:$AS$1006,0)), HYPERLINK("#",""), HYPERLINK(CONCATENATE("#metadata!", ADDRESS(INDEX($X$2:$X$1001,MATCH(ROWS($V$2:V311),$V$2:$V$1001,0),0), INDEX($AC$1004:$AS$1004,1,MATCH(COLUMNS($AC$1006:AK1006),$AC$1006:$AS$1006,0)))),"Fix")))</f>
        <v xml:space="preserve"> </v>
      </c>
      <c r="K311" s="4" t="str">
        <f ca="1">IF(OR(INDEX($W$2:$W$1001,MATCH(ROWS($V$2:V311),$V$2:$V$1001,0),1)&gt;=100000,INDEX($AC$1005:$AS$1005,1,MATCH(COLUMNS($AC$1006:AL1006),$AC$1006:$AS$1006,0))&gt;=100000), " ",IF(INDEX($AC$2:$AS$1001,MATCH(ROWS($V$2:V311),$V$2:$V$1001,0),MATCH(COLUMNS($AC$1006:AL1006),$AC$1006:$AS$1006,0)), HYPERLINK("#",""), HYPERLINK(CONCATENATE("#metadata!", ADDRESS(INDEX($X$2:$X$1001,MATCH(ROWS($V$2:V311),$V$2:$V$1001,0),0), INDEX($AC$1004:$AS$1004,1,MATCH(COLUMNS($AC$1006:AL1006),$AC$1006:$AS$1006,0)))),"Fix")))</f>
        <v xml:space="preserve"> </v>
      </c>
      <c r="L311" s="4" t="str">
        <f ca="1">IF(OR(INDEX($W$2:$W$1001,MATCH(ROWS($V$2:V311),$V$2:$V$1001,0),1)&gt;=100000,INDEX($AC$1005:$AS$1005,1,MATCH(COLUMNS($AC$1006:AM1006),$AC$1006:$AS$1006,0))&gt;=100000), " ",IF(INDEX($AC$2:$AS$1001,MATCH(ROWS($V$2:V311),$V$2:$V$1001,0),MATCH(COLUMNS($AC$1006:AM1006),$AC$1006:$AS$1006,0)), HYPERLINK("#",""), HYPERLINK(CONCATENATE("#metadata!", ADDRESS(INDEX($X$2:$X$1001,MATCH(ROWS($V$2:V311),$V$2:$V$1001,0),0), INDEX($AC$1004:$AS$1004,1,MATCH(COLUMNS($AC$1006:AM1006),$AC$1006:$AS$1006,0)))),"Fix")))</f>
        <v xml:space="preserve"> </v>
      </c>
      <c r="M311" s="4" t="str">
        <f ca="1">IF(OR(INDEX($W$2:$W$1001,MATCH(ROWS($V$2:V311),$V$2:$V$1001,0),1)&gt;=100000,INDEX($AC$1005:$AS$1005,1,MATCH(COLUMNS($AC$1006:AN1006),$AC$1006:$AS$1006,0))&gt;=100000), " ",IF(INDEX($AC$2:$AS$1001,MATCH(ROWS($V$2:V311),$V$2:$V$1001,0),MATCH(COLUMNS($AC$1006:AN1006),$AC$1006:$AS$1006,0)), HYPERLINK("#",""), HYPERLINK(CONCATENATE("#metadata!", ADDRESS(INDEX($X$2:$X$1001,MATCH(ROWS($V$2:V311),$V$2:$V$1001,0),0), INDEX($AC$1004:$AS$1004,1,MATCH(COLUMNS($AC$1006:AN1006),$AC$1006:$AS$1006,0)))),"Fix")))</f>
        <v xml:space="preserve"> </v>
      </c>
      <c r="N311" s="4" t="str">
        <f ca="1">IF(OR(INDEX($W$2:$W$1001,MATCH(ROWS($V$2:V311),$V$2:$V$1001,0),1)&gt;=100000,INDEX($AC$1005:$AS$1005,1,MATCH(COLUMNS($AC$1006:AO1006),$AC$1006:$AS$1006,0))&gt;=100000), " ",IF(INDEX($AC$2:$AS$1001,MATCH(ROWS($V$2:V311),$V$2:$V$1001,0),MATCH(COLUMNS($AC$1006:AO1006),$AC$1006:$AS$1006,0)), HYPERLINK("#",""), HYPERLINK(CONCATENATE("#metadata!", ADDRESS(INDEX($X$2:$X$1001,MATCH(ROWS($V$2:V311),$V$2:$V$1001,0),0), INDEX($AC$1004:$AS$1004,1,MATCH(COLUMNS($AC$1006:AO1006),$AC$1006:$AS$1006,0)))),"Fix")))</f>
        <v xml:space="preserve"> </v>
      </c>
      <c r="O311" s="4" t="str">
        <f ca="1">IF(OR(INDEX($W$2:$W$1001,MATCH(ROWS($V$2:V311),$V$2:$V$1001,0),1)&gt;=100000,INDEX($AC$1005:$AS$1005,1,MATCH(COLUMNS($AC$1006:AP1006),$AC$1006:$AS$1006,0))&gt;=100000), " ",IF(INDEX($AC$2:$AS$1001,MATCH(ROWS($V$2:V311),$V$2:$V$1001,0),MATCH(COLUMNS($AC$1006:AP1006),$AC$1006:$AS$1006,0)), HYPERLINK("#",""), HYPERLINK(CONCATENATE("#metadata!", ADDRESS(INDEX($X$2:$X$1001,MATCH(ROWS($V$2:V311),$V$2:$V$1001,0),0), INDEX($AC$1004:$AS$1004,1,MATCH(COLUMNS($AC$1006:AP1006),$AC$1006:$AS$1006,0)))),"Fix")))</f>
        <v xml:space="preserve"> </v>
      </c>
      <c r="P311" s="4" t="str">
        <f ca="1">IF(OR(INDEX($W$2:$W$1001,MATCH(ROWS($V$2:V311),$V$2:$V$1001,0),1)&gt;=100000,INDEX($AC$1005:$AS$1005,1,MATCH(COLUMNS($AC$1006:AQ1006),$AC$1006:$AS$1006,0))&gt;=100000), " ",IF(INDEX($AC$2:$AS$1001,MATCH(ROWS($V$2:V311),$V$2:$V$1001,0),MATCH(COLUMNS($AC$1006:AQ1006),$AC$1006:$AS$1006,0)), HYPERLINK("#",""), HYPERLINK(CONCATENATE("#metadata!", ADDRESS(INDEX($X$2:$X$1001,MATCH(ROWS($V$2:V311),$V$2:$V$1001,0),0), INDEX($AC$1004:$AS$1004,1,MATCH(COLUMNS($AC$1006:AQ1006),$AC$1006:$AS$1006,0)))),"Fix")))</f>
        <v xml:space="preserve"> </v>
      </c>
      <c r="Q311" s="4" t="str">
        <f ca="1">IF(OR(INDEX($W$2:$W$1001,MATCH(ROWS($V$2:V311),$V$2:$V$1001,0),1)&gt;=100000,INDEX($AC$1005:$AS$1005,1,MATCH(COLUMNS($AC$1006:AR1006),$AC$1006:$AS$1006,0))&gt;=100000), " ",IF(INDEX($AC$2:$AS$1001,MATCH(ROWS($V$2:V311),$V$2:$V$1001,0),MATCH(COLUMNS($AC$1006:AR1006),$AC$1006:$AS$1006,0)), HYPERLINK("#",""), HYPERLINK(CONCATENATE("#metadata!", ADDRESS(INDEX($X$2:$X$1001,MATCH(ROWS($V$2:V311),$V$2:$V$1001,0),0), INDEX($AC$1004:$AS$1004,1,MATCH(COLUMNS($AC$1006:AR1006),$AC$1006:$AS$1006,0)))),"Fix")))</f>
        <v xml:space="preserve"> </v>
      </c>
      <c r="R311" s="4" t="str">
        <f ca="1">IF(OR(INDEX($W$2:$W$1001,MATCH(ROWS($V$2:V311),$V$2:$V$1001,0),1)&gt;=100000,INDEX($AC$1005:$AS$1005,1,MATCH(COLUMNS($AC$1006:AS1006),$AC$1006:$AS$1006,0))&gt;=100000), " ",IF(INDEX($AC$2:$AS$1001,MATCH(ROWS($V$2:V311),$V$2:$V$1001,0),MATCH(COLUMNS($AC$1006:AS1006),$AC$1006:$AS$1006,0)), HYPERLINK("#",""), HYPERLINK(CONCATENATE("#metadata!", ADDRESS(INDEX($X$2:$X$1001,MATCH(ROWS($V$2:V311),$V$2:$V$1001,0),0), INDEX($AC$1004:$AS$1004,1,MATCH(COLUMNS($AC$1006:AS1006),$AC$1006:$AS$1006,0)))),"Fix")))</f>
        <v xml:space="preserve"> </v>
      </c>
      <c r="V311">
        <v>310</v>
      </c>
      <c r="W311">
        <v>100311</v>
      </c>
      <c r="X311">
        <v>311</v>
      </c>
      <c r="Y311" t="b">
        <f t="shared" si="4"/>
        <v>1</v>
      </c>
      <c r="Z311" t="b">
        <f>COUNTBLANK(metadata!B311:R311)=COLUMNS(metadata!B311:R311)</f>
        <v>1</v>
      </c>
      <c r="AA311" t="str">
        <v/>
      </c>
      <c r="AC311" t="b">
        <f ca="1"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AD311" t="b">
        <f>IF(metadata!C311="",FALSE,ISNUMBER(VALUE(metadata!C311)))</f>
        <v>0</v>
      </c>
      <c r="AE311" t="b">
        <f>AND(IF(metadata!D311="",FALSE,TRUE),EXACT(metadata!D311,"years"))</f>
        <v>0</v>
      </c>
      <c r="AF311" t="b">
        <f>OR(AND(IF(metadata!E311="",FALSE,TRUE),OR(EXACT(metadata!E311,"not applicable"),EXACT(metadata!E311,"missing: not collected"),EXACT(metadata!E311,"missing: not provided"),EXACT(metadata!E311,"missing: restricted access"))),AND(IF(metadata!E311="",FALSE,ISNUMBER(VALUE(metadata!E311))),metadata!E311&gt;0))</f>
        <v>0</v>
      </c>
      <c r="AG311" t="b">
        <f>AND(IF(metadata!F311="",FALSE,TRUE),EXACT(metadata!F311,"Not applicable"))</f>
        <v>0</v>
      </c>
      <c r="AH311" t="b">
        <f>AND(IF(metadata!G311="",FALSE,TRUE),EXACT(metadata!G311,"urban biome"))</f>
        <v>0</v>
      </c>
      <c r="AI311" t="b">
        <f>AND(IF(metadata!H311="",FALSE,TRUE),EXACT(metadata!H311,"human-associated habitat"))</f>
        <v>0</v>
      </c>
      <c r="AJ311" t="b">
        <f>AND(IF(metadata!I311="",FALSE,TRUE),OR(EXACT(metadata!I311,"human-associated"),EXACT(metadata!I311,"human-skin"),EXACT(metadata!I311,"human-oral"),EXACT(metadata!I311,"human-gut"),EXACT(metadata!I311,"human-vaginal")))</f>
        <v>0</v>
      </c>
      <c r="AK311" t="b">
        <f>IF(metadata!J311="",FALSE,ISNUMBER(VALUE(metadata!J311)))</f>
        <v>0</v>
      </c>
      <c r="AL311" t="b">
        <f>AND(IF(metadata!K311="",FALSE,TRUE),EXACT(metadata!K311,"cm"))</f>
        <v>0</v>
      </c>
      <c r="AM311" t="b">
        <f>AND(IF(metadata!L311="",FALSE,TRUE),EXACT(metadata!L311,"human"))</f>
        <v>0</v>
      </c>
      <c r="AN311" t="b">
        <f>AND(IF(metadata!M311="",FALSE,TRUE),EXACT(metadata!M311,"Homo sapiens"))</f>
        <v>0</v>
      </c>
      <c r="AO311" t="b">
        <f>AND(IF(metadata!N311="",FALSE,TRUE),EXACT(metadata!N311,"9606"))</f>
        <v>0</v>
      </c>
      <c r="AP311" t="b">
        <f>IF(metadata!O311="",FALSE,TRUE)</f>
        <v>0</v>
      </c>
      <c r="AQ311" t="b">
        <f>IF(metadata!P311="",FALSE,TRUE)</f>
        <v>0</v>
      </c>
      <c r="AR311" t="b">
        <f>IF(metadata!Q311="",FALSE,ISNUMBER(VALUE(metadata!Q311)))</f>
        <v>0</v>
      </c>
      <c r="AS311" t="b">
        <f>AND(IF(metadata!R311="",FALSE,TRUE),EXACT(metadata!R311,"kg"))</f>
        <v>0</v>
      </c>
    </row>
    <row r="312" spans="1:45" x14ac:dyDescent="0.2">
      <c r="A312" s="5" t="str">
        <f ca="1">IF(B312=" "," ",HYPERLINK(CONCATENATE("#metadata!",ADDRESS(INDEX($X$2:$X$1001,MATCH(ROWS($V$2:V312),$V$2:$V$1001,0),0),1)),INDEX($AA$2:$AA$1001,MATCH(ROWS($V$2:V312),$V$2:$V$1001,0),0)))</f>
        <v xml:space="preserve"> </v>
      </c>
      <c r="B312" s="4" t="str">
        <f ca="1">IF(OR(INDEX($W$2:$W$1001,MATCH(ROWS($V$2:V312),$V$2:$V$1001,0),1)&gt;=100000,INDEX($AC$1005:$AS$1005,1,MATCH(COLUMNS($AC$1006:AC1006),$AC$1006:$AS$1006,0))&gt;=100000), " ",IF(INDEX($AC$2:$AS$1001,MATCH(ROWS($V$2:V312),$V$2:$V$1001,0),MATCH(COLUMNS($AC$1006:AC1006),$AC$1006:$AS$1006,0)), HYPERLINK("#",""), HYPERLINK(CONCATENATE("#metadata!", ADDRESS(INDEX($X$2:$X$1001,MATCH(ROWS($V$2:V312),$V$2:$V$1001,0),0), INDEX($AC$1004:$AS$1004,1,MATCH(COLUMNS($AC$1006:AC1006),$AC$1006:$AS$1006,0)))),"Fix")))</f>
        <v xml:space="preserve"> </v>
      </c>
      <c r="C312" s="4" t="str">
        <f ca="1">IF(OR(INDEX($W$2:$W$1001,MATCH(ROWS($V$2:V312),$V$2:$V$1001,0),1)&gt;=100000,INDEX($AC$1005:$AS$1005,1,MATCH(COLUMNS($AC$1006:AD1006),$AC$1006:$AS$1006,0))&gt;=100000), " ",IF(INDEX($AC$2:$AS$1001,MATCH(ROWS($V$2:V312),$V$2:$V$1001,0),MATCH(COLUMNS($AC$1006:AD1006),$AC$1006:$AS$1006,0)), HYPERLINK("#",""), HYPERLINK(CONCATENATE("#metadata!", ADDRESS(INDEX($X$2:$X$1001,MATCH(ROWS($V$2:V312),$V$2:$V$1001,0),0), INDEX($AC$1004:$AS$1004,1,MATCH(COLUMNS($AC$1006:AD1006),$AC$1006:$AS$1006,0)))),"Fix")))</f>
        <v xml:space="preserve"> </v>
      </c>
      <c r="D312" s="4" t="str">
        <f ca="1">IF(OR(INDEX($W$2:$W$1001,MATCH(ROWS($V$2:V312),$V$2:$V$1001,0),1)&gt;=100000,INDEX($AC$1005:$AS$1005,1,MATCH(COLUMNS($AC$1006:AE1006),$AC$1006:$AS$1006,0))&gt;=100000), " ",IF(INDEX($AC$2:$AS$1001,MATCH(ROWS($V$2:V312),$V$2:$V$1001,0),MATCH(COLUMNS($AC$1006:AE1006),$AC$1006:$AS$1006,0)), HYPERLINK("#",""), HYPERLINK(CONCATENATE("#metadata!", ADDRESS(INDEX($X$2:$X$1001,MATCH(ROWS($V$2:V312),$V$2:$V$1001,0),0), INDEX($AC$1004:$AS$1004,1,MATCH(COLUMNS($AC$1006:AE1006),$AC$1006:$AS$1006,0)))),"Fix")))</f>
        <v xml:space="preserve"> </v>
      </c>
      <c r="E312" s="4" t="str">
        <f ca="1">IF(OR(INDEX($W$2:$W$1001,MATCH(ROWS($V$2:V312),$V$2:$V$1001,0),1)&gt;=100000,INDEX($AC$1005:$AS$1005,1,MATCH(COLUMNS($AC$1006:AF1006),$AC$1006:$AS$1006,0))&gt;=100000), " ",IF(INDEX($AC$2:$AS$1001,MATCH(ROWS($V$2:V312),$V$2:$V$1001,0),MATCH(COLUMNS($AC$1006:AF1006),$AC$1006:$AS$1006,0)), HYPERLINK("#",""), HYPERLINK(CONCATENATE("#metadata!", ADDRESS(INDEX($X$2:$X$1001,MATCH(ROWS($V$2:V312),$V$2:$V$1001,0),0), INDEX($AC$1004:$AS$1004,1,MATCH(COLUMNS($AC$1006:AF1006),$AC$1006:$AS$1006,0)))),"Fix")))</f>
        <v xml:space="preserve"> </v>
      </c>
      <c r="F312" s="4" t="str">
        <f ca="1">IF(OR(INDEX($W$2:$W$1001,MATCH(ROWS($V$2:V312),$V$2:$V$1001,0),1)&gt;=100000,INDEX($AC$1005:$AS$1005,1,MATCH(COLUMNS($AC$1006:AG1006),$AC$1006:$AS$1006,0))&gt;=100000), " ",IF(INDEX($AC$2:$AS$1001,MATCH(ROWS($V$2:V312),$V$2:$V$1001,0),MATCH(COLUMNS($AC$1006:AG1006),$AC$1006:$AS$1006,0)), HYPERLINK("#",""), HYPERLINK(CONCATENATE("#metadata!", ADDRESS(INDEX($X$2:$X$1001,MATCH(ROWS($V$2:V312),$V$2:$V$1001,0),0), INDEX($AC$1004:$AS$1004,1,MATCH(COLUMNS($AC$1006:AG1006),$AC$1006:$AS$1006,0)))),"Fix")))</f>
        <v xml:space="preserve"> </v>
      </c>
      <c r="G312" s="4" t="str">
        <f ca="1">IF(OR(INDEX($W$2:$W$1001,MATCH(ROWS($V$2:V312),$V$2:$V$1001,0),1)&gt;=100000,INDEX($AC$1005:$AS$1005,1,MATCH(COLUMNS($AC$1006:AH1006),$AC$1006:$AS$1006,0))&gt;=100000), " ",IF(INDEX($AC$2:$AS$1001,MATCH(ROWS($V$2:V312),$V$2:$V$1001,0),MATCH(COLUMNS($AC$1006:AH1006),$AC$1006:$AS$1006,0)), HYPERLINK("#",""), HYPERLINK(CONCATENATE("#metadata!", ADDRESS(INDEX($X$2:$X$1001,MATCH(ROWS($V$2:V312),$V$2:$V$1001,0),0), INDEX($AC$1004:$AS$1004,1,MATCH(COLUMNS($AC$1006:AH1006),$AC$1006:$AS$1006,0)))),"Fix")))</f>
        <v xml:space="preserve"> </v>
      </c>
      <c r="H312" s="4" t="str">
        <f ca="1">IF(OR(INDEX($W$2:$W$1001,MATCH(ROWS($V$2:V312),$V$2:$V$1001,0),1)&gt;=100000,INDEX($AC$1005:$AS$1005,1,MATCH(COLUMNS($AC$1006:AI1006),$AC$1006:$AS$1006,0))&gt;=100000), " ",IF(INDEX($AC$2:$AS$1001,MATCH(ROWS($V$2:V312),$V$2:$V$1001,0),MATCH(COLUMNS($AC$1006:AI1006),$AC$1006:$AS$1006,0)), HYPERLINK("#",""), HYPERLINK(CONCATENATE("#metadata!", ADDRESS(INDEX($X$2:$X$1001,MATCH(ROWS($V$2:V312),$V$2:$V$1001,0),0), INDEX($AC$1004:$AS$1004,1,MATCH(COLUMNS($AC$1006:AI1006),$AC$1006:$AS$1006,0)))),"Fix")))</f>
        <v xml:space="preserve"> </v>
      </c>
      <c r="I312" s="4" t="str">
        <f ca="1">IF(OR(INDEX($W$2:$W$1001,MATCH(ROWS($V$2:V312),$V$2:$V$1001,0),1)&gt;=100000,INDEX($AC$1005:$AS$1005,1,MATCH(COLUMNS($AC$1006:AJ1006),$AC$1006:$AS$1006,0))&gt;=100000), " ",IF(INDEX($AC$2:$AS$1001,MATCH(ROWS($V$2:V312),$V$2:$V$1001,0),MATCH(COLUMNS($AC$1006:AJ1006),$AC$1006:$AS$1006,0)), HYPERLINK("#",""), HYPERLINK(CONCATENATE("#metadata!", ADDRESS(INDEX($X$2:$X$1001,MATCH(ROWS($V$2:V312),$V$2:$V$1001,0),0), INDEX($AC$1004:$AS$1004,1,MATCH(COLUMNS($AC$1006:AJ1006),$AC$1006:$AS$1006,0)))),"Fix")))</f>
        <v xml:space="preserve"> </v>
      </c>
      <c r="J312" s="4" t="str">
        <f ca="1">IF(OR(INDEX($W$2:$W$1001,MATCH(ROWS($V$2:V312),$V$2:$V$1001,0),1)&gt;=100000,INDEX($AC$1005:$AS$1005,1,MATCH(COLUMNS($AC$1006:AK1006),$AC$1006:$AS$1006,0))&gt;=100000), " ",IF(INDEX($AC$2:$AS$1001,MATCH(ROWS($V$2:V312),$V$2:$V$1001,0),MATCH(COLUMNS($AC$1006:AK1006),$AC$1006:$AS$1006,0)), HYPERLINK("#",""), HYPERLINK(CONCATENATE("#metadata!", ADDRESS(INDEX($X$2:$X$1001,MATCH(ROWS($V$2:V312),$V$2:$V$1001,0),0), INDEX($AC$1004:$AS$1004,1,MATCH(COLUMNS($AC$1006:AK1006),$AC$1006:$AS$1006,0)))),"Fix")))</f>
        <v xml:space="preserve"> </v>
      </c>
      <c r="K312" s="4" t="str">
        <f ca="1">IF(OR(INDEX($W$2:$W$1001,MATCH(ROWS($V$2:V312),$V$2:$V$1001,0),1)&gt;=100000,INDEX($AC$1005:$AS$1005,1,MATCH(COLUMNS($AC$1006:AL1006),$AC$1006:$AS$1006,0))&gt;=100000), " ",IF(INDEX($AC$2:$AS$1001,MATCH(ROWS($V$2:V312),$V$2:$V$1001,0),MATCH(COLUMNS($AC$1006:AL1006),$AC$1006:$AS$1006,0)), HYPERLINK("#",""), HYPERLINK(CONCATENATE("#metadata!", ADDRESS(INDEX($X$2:$X$1001,MATCH(ROWS($V$2:V312),$V$2:$V$1001,0),0), INDEX($AC$1004:$AS$1004,1,MATCH(COLUMNS($AC$1006:AL1006),$AC$1006:$AS$1006,0)))),"Fix")))</f>
        <v xml:space="preserve"> </v>
      </c>
      <c r="L312" s="4" t="str">
        <f ca="1">IF(OR(INDEX($W$2:$W$1001,MATCH(ROWS($V$2:V312),$V$2:$V$1001,0),1)&gt;=100000,INDEX($AC$1005:$AS$1005,1,MATCH(COLUMNS($AC$1006:AM1006),$AC$1006:$AS$1006,0))&gt;=100000), " ",IF(INDEX($AC$2:$AS$1001,MATCH(ROWS($V$2:V312),$V$2:$V$1001,0),MATCH(COLUMNS($AC$1006:AM1006),$AC$1006:$AS$1006,0)), HYPERLINK("#",""), HYPERLINK(CONCATENATE("#metadata!", ADDRESS(INDEX($X$2:$X$1001,MATCH(ROWS($V$2:V312),$V$2:$V$1001,0),0), INDEX($AC$1004:$AS$1004,1,MATCH(COLUMNS($AC$1006:AM1006),$AC$1006:$AS$1006,0)))),"Fix")))</f>
        <v xml:space="preserve"> </v>
      </c>
      <c r="M312" s="4" t="str">
        <f ca="1">IF(OR(INDEX($W$2:$W$1001,MATCH(ROWS($V$2:V312),$V$2:$V$1001,0),1)&gt;=100000,INDEX($AC$1005:$AS$1005,1,MATCH(COLUMNS($AC$1006:AN1006),$AC$1006:$AS$1006,0))&gt;=100000), " ",IF(INDEX($AC$2:$AS$1001,MATCH(ROWS($V$2:V312),$V$2:$V$1001,0),MATCH(COLUMNS($AC$1006:AN1006),$AC$1006:$AS$1006,0)), HYPERLINK("#",""), HYPERLINK(CONCATENATE("#metadata!", ADDRESS(INDEX($X$2:$X$1001,MATCH(ROWS($V$2:V312),$V$2:$V$1001,0),0), INDEX($AC$1004:$AS$1004,1,MATCH(COLUMNS($AC$1006:AN1006),$AC$1006:$AS$1006,0)))),"Fix")))</f>
        <v xml:space="preserve"> </v>
      </c>
      <c r="N312" s="4" t="str">
        <f ca="1">IF(OR(INDEX($W$2:$W$1001,MATCH(ROWS($V$2:V312),$V$2:$V$1001,0),1)&gt;=100000,INDEX($AC$1005:$AS$1005,1,MATCH(COLUMNS($AC$1006:AO1006),$AC$1006:$AS$1006,0))&gt;=100000), " ",IF(INDEX($AC$2:$AS$1001,MATCH(ROWS($V$2:V312),$V$2:$V$1001,0),MATCH(COLUMNS($AC$1006:AO1006),$AC$1006:$AS$1006,0)), HYPERLINK("#",""), HYPERLINK(CONCATENATE("#metadata!", ADDRESS(INDEX($X$2:$X$1001,MATCH(ROWS($V$2:V312),$V$2:$V$1001,0),0), INDEX($AC$1004:$AS$1004,1,MATCH(COLUMNS($AC$1006:AO1006),$AC$1006:$AS$1006,0)))),"Fix")))</f>
        <v xml:space="preserve"> </v>
      </c>
      <c r="O312" s="4" t="str">
        <f ca="1">IF(OR(INDEX($W$2:$W$1001,MATCH(ROWS($V$2:V312),$V$2:$V$1001,0),1)&gt;=100000,INDEX($AC$1005:$AS$1005,1,MATCH(COLUMNS($AC$1006:AP1006),$AC$1006:$AS$1006,0))&gt;=100000), " ",IF(INDEX($AC$2:$AS$1001,MATCH(ROWS($V$2:V312),$V$2:$V$1001,0),MATCH(COLUMNS($AC$1006:AP1006),$AC$1006:$AS$1006,0)), HYPERLINK("#",""), HYPERLINK(CONCATENATE("#metadata!", ADDRESS(INDEX($X$2:$X$1001,MATCH(ROWS($V$2:V312),$V$2:$V$1001,0),0), INDEX($AC$1004:$AS$1004,1,MATCH(COLUMNS($AC$1006:AP1006),$AC$1006:$AS$1006,0)))),"Fix")))</f>
        <v xml:space="preserve"> </v>
      </c>
      <c r="P312" s="4" t="str">
        <f ca="1">IF(OR(INDEX($W$2:$W$1001,MATCH(ROWS($V$2:V312),$V$2:$V$1001,0),1)&gt;=100000,INDEX($AC$1005:$AS$1005,1,MATCH(COLUMNS($AC$1006:AQ1006),$AC$1006:$AS$1006,0))&gt;=100000), " ",IF(INDEX($AC$2:$AS$1001,MATCH(ROWS($V$2:V312),$V$2:$V$1001,0),MATCH(COLUMNS($AC$1006:AQ1006),$AC$1006:$AS$1006,0)), HYPERLINK("#",""), HYPERLINK(CONCATENATE("#metadata!", ADDRESS(INDEX($X$2:$X$1001,MATCH(ROWS($V$2:V312),$V$2:$V$1001,0),0), INDEX($AC$1004:$AS$1004,1,MATCH(COLUMNS($AC$1006:AQ1006),$AC$1006:$AS$1006,0)))),"Fix")))</f>
        <v xml:space="preserve"> </v>
      </c>
      <c r="Q312" s="4" t="str">
        <f ca="1">IF(OR(INDEX($W$2:$W$1001,MATCH(ROWS($V$2:V312),$V$2:$V$1001,0),1)&gt;=100000,INDEX($AC$1005:$AS$1005,1,MATCH(COLUMNS($AC$1006:AR1006),$AC$1006:$AS$1006,0))&gt;=100000), " ",IF(INDEX($AC$2:$AS$1001,MATCH(ROWS($V$2:V312),$V$2:$V$1001,0),MATCH(COLUMNS($AC$1006:AR1006),$AC$1006:$AS$1006,0)), HYPERLINK("#",""), HYPERLINK(CONCATENATE("#metadata!", ADDRESS(INDEX($X$2:$X$1001,MATCH(ROWS($V$2:V312),$V$2:$V$1001,0),0), INDEX($AC$1004:$AS$1004,1,MATCH(COLUMNS($AC$1006:AR1006),$AC$1006:$AS$1006,0)))),"Fix")))</f>
        <v xml:space="preserve"> </v>
      </c>
      <c r="R312" s="4" t="str">
        <f ca="1">IF(OR(INDEX($W$2:$W$1001,MATCH(ROWS($V$2:V312),$V$2:$V$1001,0),1)&gt;=100000,INDEX($AC$1005:$AS$1005,1,MATCH(COLUMNS($AC$1006:AS1006),$AC$1006:$AS$1006,0))&gt;=100000), " ",IF(INDEX($AC$2:$AS$1001,MATCH(ROWS($V$2:V312),$V$2:$V$1001,0),MATCH(COLUMNS($AC$1006:AS1006),$AC$1006:$AS$1006,0)), HYPERLINK("#",""), HYPERLINK(CONCATENATE("#metadata!", ADDRESS(INDEX($X$2:$X$1001,MATCH(ROWS($V$2:V312),$V$2:$V$1001,0),0), INDEX($AC$1004:$AS$1004,1,MATCH(COLUMNS($AC$1006:AS1006),$AC$1006:$AS$1006,0)))),"Fix")))</f>
        <v xml:space="preserve"> </v>
      </c>
      <c r="V312">
        <v>311</v>
      </c>
      <c r="W312">
        <v>100312</v>
      </c>
      <c r="X312">
        <v>312</v>
      </c>
      <c r="Y312" t="b">
        <f t="shared" si="4"/>
        <v>1</v>
      </c>
      <c r="Z312" t="b">
        <f>COUNTBLANK(metadata!B312:R312)=COLUMNS(metadata!B312:R312)</f>
        <v>1</v>
      </c>
      <c r="AA312" t="str">
        <v/>
      </c>
      <c r="AC312" t="b">
        <f ca="1"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AD312" t="b">
        <f>IF(metadata!C312="",FALSE,ISNUMBER(VALUE(metadata!C312)))</f>
        <v>0</v>
      </c>
      <c r="AE312" t="b">
        <f>AND(IF(metadata!D312="",FALSE,TRUE),EXACT(metadata!D312,"years"))</f>
        <v>0</v>
      </c>
      <c r="AF312" t="b">
        <f>OR(AND(IF(metadata!E312="",FALSE,TRUE),OR(EXACT(metadata!E312,"not applicable"),EXACT(metadata!E312,"missing: not collected"),EXACT(metadata!E312,"missing: not provided"),EXACT(metadata!E312,"missing: restricted access"))),AND(IF(metadata!E312="",FALSE,ISNUMBER(VALUE(metadata!E312))),metadata!E312&gt;0))</f>
        <v>0</v>
      </c>
      <c r="AG312" t="b">
        <f>AND(IF(metadata!F312="",FALSE,TRUE),EXACT(metadata!F312,"Not applicable"))</f>
        <v>0</v>
      </c>
      <c r="AH312" t="b">
        <f>AND(IF(metadata!G312="",FALSE,TRUE),EXACT(metadata!G312,"urban biome"))</f>
        <v>0</v>
      </c>
      <c r="AI312" t="b">
        <f>AND(IF(metadata!H312="",FALSE,TRUE),EXACT(metadata!H312,"human-associated habitat"))</f>
        <v>0</v>
      </c>
      <c r="AJ312" t="b">
        <f>AND(IF(metadata!I312="",FALSE,TRUE),OR(EXACT(metadata!I312,"human-associated"),EXACT(metadata!I312,"human-skin"),EXACT(metadata!I312,"human-oral"),EXACT(metadata!I312,"human-gut"),EXACT(metadata!I312,"human-vaginal")))</f>
        <v>0</v>
      </c>
      <c r="AK312" t="b">
        <f>IF(metadata!J312="",FALSE,ISNUMBER(VALUE(metadata!J312)))</f>
        <v>0</v>
      </c>
      <c r="AL312" t="b">
        <f>AND(IF(metadata!K312="",FALSE,TRUE),EXACT(metadata!K312,"cm"))</f>
        <v>0</v>
      </c>
      <c r="AM312" t="b">
        <f>AND(IF(metadata!L312="",FALSE,TRUE),EXACT(metadata!L312,"human"))</f>
        <v>0</v>
      </c>
      <c r="AN312" t="b">
        <f>AND(IF(metadata!M312="",FALSE,TRUE),EXACT(metadata!M312,"Homo sapiens"))</f>
        <v>0</v>
      </c>
      <c r="AO312" t="b">
        <f>AND(IF(metadata!N312="",FALSE,TRUE),EXACT(metadata!N312,"9606"))</f>
        <v>0</v>
      </c>
      <c r="AP312" t="b">
        <f>IF(metadata!O312="",FALSE,TRUE)</f>
        <v>0</v>
      </c>
      <c r="AQ312" t="b">
        <f>IF(metadata!P312="",FALSE,TRUE)</f>
        <v>0</v>
      </c>
      <c r="AR312" t="b">
        <f>IF(metadata!Q312="",FALSE,ISNUMBER(VALUE(metadata!Q312)))</f>
        <v>0</v>
      </c>
      <c r="AS312" t="b">
        <f>AND(IF(metadata!R312="",FALSE,TRUE),EXACT(metadata!R312,"kg"))</f>
        <v>0</v>
      </c>
    </row>
    <row r="313" spans="1:45" x14ac:dyDescent="0.2">
      <c r="A313" s="5" t="str">
        <f ca="1">IF(B313=" "," ",HYPERLINK(CONCATENATE("#metadata!",ADDRESS(INDEX($X$2:$X$1001,MATCH(ROWS($V$2:V313),$V$2:$V$1001,0),0),1)),INDEX($AA$2:$AA$1001,MATCH(ROWS($V$2:V313),$V$2:$V$1001,0),0)))</f>
        <v xml:space="preserve"> </v>
      </c>
      <c r="B313" s="4" t="str">
        <f ca="1">IF(OR(INDEX($W$2:$W$1001,MATCH(ROWS($V$2:V313),$V$2:$V$1001,0),1)&gt;=100000,INDEX($AC$1005:$AS$1005,1,MATCH(COLUMNS($AC$1006:AC1006),$AC$1006:$AS$1006,0))&gt;=100000), " ",IF(INDEX($AC$2:$AS$1001,MATCH(ROWS($V$2:V313),$V$2:$V$1001,0),MATCH(COLUMNS($AC$1006:AC1006),$AC$1006:$AS$1006,0)), HYPERLINK("#",""), HYPERLINK(CONCATENATE("#metadata!", ADDRESS(INDEX($X$2:$X$1001,MATCH(ROWS($V$2:V313),$V$2:$V$1001,0),0), INDEX($AC$1004:$AS$1004,1,MATCH(COLUMNS($AC$1006:AC1006),$AC$1006:$AS$1006,0)))),"Fix")))</f>
        <v xml:space="preserve"> </v>
      </c>
      <c r="C313" s="4" t="str">
        <f ca="1">IF(OR(INDEX($W$2:$W$1001,MATCH(ROWS($V$2:V313),$V$2:$V$1001,0),1)&gt;=100000,INDEX($AC$1005:$AS$1005,1,MATCH(COLUMNS($AC$1006:AD1006),$AC$1006:$AS$1006,0))&gt;=100000), " ",IF(INDEX($AC$2:$AS$1001,MATCH(ROWS($V$2:V313),$V$2:$V$1001,0),MATCH(COLUMNS($AC$1006:AD1006),$AC$1006:$AS$1006,0)), HYPERLINK("#",""), HYPERLINK(CONCATENATE("#metadata!", ADDRESS(INDEX($X$2:$X$1001,MATCH(ROWS($V$2:V313),$V$2:$V$1001,0),0), INDEX($AC$1004:$AS$1004,1,MATCH(COLUMNS($AC$1006:AD1006),$AC$1006:$AS$1006,0)))),"Fix")))</f>
        <v xml:space="preserve"> </v>
      </c>
      <c r="D313" s="4" t="str">
        <f ca="1">IF(OR(INDEX($W$2:$W$1001,MATCH(ROWS($V$2:V313),$V$2:$V$1001,0),1)&gt;=100000,INDEX($AC$1005:$AS$1005,1,MATCH(COLUMNS($AC$1006:AE1006),$AC$1006:$AS$1006,0))&gt;=100000), " ",IF(INDEX($AC$2:$AS$1001,MATCH(ROWS($V$2:V313),$V$2:$V$1001,0),MATCH(COLUMNS($AC$1006:AE1006),$AC$1006:$AS$1006,0)), HYPERLINK("#",""), HYPERLINK(CONCATENATE("#metadata!", ADDRESS(INDEX($X$2:$X$1001,MATCH(ROWS($V$2:V313),$V$2:$V$1001,0),0), INDEX($AC$1004:$AS$1004,1,MATCH(COLUMNS($AC$1006:AE1006),$AC$1006:$AS$1006,0)))),"Fix")))</f>
        <v xml:space="preserve"> </v>
      </c>
      <c r="E313" s="4" t="str">
        <f ca="1">IF(OR(INDEX($W$2:$W$1001,MATCH(ROWS($V$2:V313),$V$2:$V$1001,0),1)&gt;=100000,INDEX($AC$1005:$AS$1005,1,MATCH(COLUMNS($AC$1006:AF1006),$AC$1006:$AS$1006,0))&gt;=100000), " ",IF(INDEX($AC$2:$AS$1001,MATCH(ROWS($V$2:V313),$V$2:$V$1001,0),MATCH(COLUMNS($AC$1006:AF1006),$AC$1006:$AS$1006,0)), HYPERLINK("#",""), HYPERLINK(CONCATENATE("#metadata!", ADDRESS(INDEX($X$2:$X$1001,MATCH(ROWS($V$2:V313),$V$2:$V$1001,0),0), INDEX($AC$1004:$AS$1004,1,MATCH(COLUMNS($AC$1006:AF1006),$AC$1006:$AS$1006,0)))),"Fix")))</f>
        <v xml:space="preserve"> </v>
      </c>
      <c r="F313" s="4" t="str">
        <f ca="1">IF(OR(INDEX($W$2:$W$1001,MATCH(ROWS($V$2:V313),$V$2:$V$1001,0),1)&gt;=100000,INDEX($AC$1005:$AS$1005,1,MATCH(COLUMNS($AC$1006:AG1006),$AC$1006:$AS$1006,0))&gt;=100000), " ",IF(INDEX($AC$2:$AS$1001,MATCH(ROWS($V$2:V313),$V$2:$V$1001,0),MATCH(COLUMNS($AC$1006:AG1006),$AC$1006:$AS$1006,0)), HYPERLINK("#",""), HYPERLINK(CONCATENATE("#metadata!", ADDRESS(INDEX($X$2:$X$1001,MATCH(ROWS($V$2:V313),$V$2:$V$1001,0),0), INDEX($AC$1004:$AS$1004,1,MATCH(COLUMNS($AC$1006:AG1006),$AC$1006:$AS$1006,0)))),"Fix")))</f>
        <v xml:space="preserve"> </v>
      </c>
      <c r="G313" s="4" t="str">
        <f ca="1">IF(OR(INDEX($W$2:$W$1001,MATCH(ROWS($V$2:V313),$V$2:$V$1001,0),1)&gt;=100000,INDEX($AC$1005:$AS$1005,1,MATCH(COLUMNS($AC$1006:AH1006),$AC$1006:$AS$1006,0))&gt;=100000), " ",IF(INDEX($AC$2:$AS$1001,MATCH(ROWS($V$2:V313),$V$2:$V$1001,0),MATCH(COLUMNS($AC$1006:AH1006),$AC$1006:$AS$1006,0)), HYPERLINK("#",""), HYPERLINK(CONCATENATE("#metadata!", ADDRESS(INDEX($X$2:$X$1001,MATCH(ROWS($V$2:V313),$V$2:$V$1001,0),0), INDEX($AC$1004:$AS$1004,1,MATCH(COLUMNS($AC$1006:AH1006),$AC$1006:$AS$1006,0)))),"Fix")))</f>
        <v xml:space="preserve"> </v>
      </c>
      <c r="H313" s="4" t="str">
        <f ca="1">IF(OR(INDEX($W$2:$W$1001,MATCH(ROWS($V$2:V313),$V$2:$V$1001,0),1)&gt;=100000,INDEX($AC$1005:$AS$1005,1,MATCH(COLUMNS($AC$1006:AI1006),$AC$1006:$AS$1006,0))&gt;=100000), " ",IF(INDEX($AC$2:$AS$1001,MATCH(ROWS($V$2:V313),$V$2:$V$1001,0),MATCH(COLUMNS($AC$1006:AI1006),$AC$1006:$AS$1006,0)), HYPERLINK("#",""), HYPERLINK(CONCATENATE("#metadata!", ADDRESS(INDEX($X$2:$X$1001,MATCH(ROWS($V$2:V313),$V$2:$V$1001,0),0), INDEX($AC$1004:$AS$1004,1,MATCH(COLUMNS($AC$1006:AI1006),$AC$1006:$AS$1006,0)))),"Fix")))</f>
        <v xml:space="preserve"> </v>
      </c>
      <c r="I313" s="4" t="str">
        <f ca="1">IF(OR(INDEX($W$2:$W$1001,MATCH(ROWS($V$2:V313),$V$2:$V$1001,0),1)&gt;=100000,INDEX($AC$1005:$AS$1005,1,MATCH(COLUMNS($AC$1006:AJ1006),$AC$1006:$AS$1006,0))&gt;=100000), " ",IF(INDEX($AC$2:$AS$1001,MATCH(ROWS($V$2:V313),$V$2:$V$1001,0),MATCH(COLUMNS($AC$1006:AJ1006),$AC$1006:$AS$1006,0)), HYPERLINK("#",""), HYPERLINK(CONCATENATE("#metadata!", ADDRESS(INDEX($X$2:$X$1001,MATCH(ROWS($V$2:V313),$V$2:$V$1001,0),0), INDEX($AC$1004:$AS$1004,1,MATCH(COLUMNS($AC$1006:AJ1006),$AC$1006:$AS$1006,0)))),"Fix")))</f>
        <v xml:space="preserve"> </v>
      </c>
      <c r="J313" s="4" t="str">
        <f ca="1">IF(OR(INDEX($W$2:$W$1001,MATCH(ROWS($V$2:V313),$V$2:$V$1001,0),1)&gt;=100000,INDEX($AC$1005:$AS$1005,1,MATCH(COLUMNS($AC$1006:AK1006),$AC$1006:$AS$1006,0))&gt;=100000), " ",IF(INDEX($AC$2:$AS$1001,MATCH(ROWS($V$2:V313),$V$2:$V$1001,0),MATCH(COLUMNS($AC$1006:AK1006),$AC$1006:$AS$1006,0)), HYPERLINK("#",""), HYPERLINK(CONCATENATE("#metadata!", ADDRESS(INDEX($X$2:$X$1001,MATCH(ROWS($V$2:V313),$V$2:$V$1001,0),0), INDEX($AC$1004:$AS$1004,1,MATCH(COLUMNS($AC$1006:AK1006),$AC$1006:$AS$1006,0)))),"Fix")))</f>
        <v xml:space="preserve"> </v>
      </c>
      <c r="K313" s="4" t="str">
        <f ca="1">IF(OR(INDEX($W$2:$W$1001,MATCH(ROWS($V$2:V313),$V$2:$V$1001,0),1)&gt;=100000,INDEX($AC$1005:$AS$1005,1,MATCH(COLUMNS($AC$1006:AL1006),$AC$1006:$AS$1006,0))&gt;=100000), " ",IF(INDEX($AC$2:$AS$1001,MATCH(ROWS($V$2:V313),$V$2:$V$1001,0),MATCH(COLUMNS($AC$1006:AL1006),$AC$1006:$AS$1006,0)), HYPERLINK("#",""), HYPERLINK(CONCATENATE("#metadata!", ADDRESS(INDEX($X$2:$X$1001,MATCH(ROWS($V$2:V313),$V$2:$V$1001,0),0), INDEX($AC$1004:$AS$1004,1,MATCH(COLUMNS($AC$1006:AL1006),$AC$1006:$AS$1006,0)))),"Fix")))</f>
        <v xml:space="preserve"> </v>
      </c>
      <c r="L313" s="4" t="str">
        <f ca="1">IF(OR(INDEX($W$2:$W$1001,MATCH(ROWS($V$2:V313),$V$2:$V$1001,0),1)&gt;=100000,INDEX($AC$1005:$AS$1005,1,MATCH(COLUMNS($AC$1006:AM1006),$AC$1006:$AS$1006,0))&gt;=100000), " ",IF(INDEX($AC$2:$AS$1001,MATCH(ROWS($V$2:V313),$V$2:$V$1001,0),MATCH(COLUMNS($AC$1006:AM1006),$AC$1006:$AS$1006,0)), HYPERLINK("#",""), HYPERLINK(CONCATENATE("#metadata!", ADDRESS(INDEX($X$2:$X$1001,MATCH(ROWS($V$2:V313),$V$2:$V$1001,0),0), INDEX($AC$1004:$AS$1004,1,MATCH(COLUMNS($AC$1006:AM1006),$AC$1006:$AS$1006,0)))),"Fix")))</f>
        <v xml:space="preserve"> </v>
      </c>
      <c r="M313" s="4" t="str">
        <f ca="1">IF(OR(INDEX($W$2:$W$1001,MATCH(ROWS($V$2:V313),$V$2:$V$1001,0),1)&gt;=100000,INDEX($AC$1005:$AS$1005,1,MATCH(COLUMNS($AC$1006:AN1006),$AC$1006:$AS$1006,0))&gt;=100000), " ",IF(INDEX($AC$2:$AS$1001,MATCH(ROWS($V$2:V313),$V$2:$V$1001,0),MATCH(COLUMNS($AC$1006:AN1006),$AC$1006:$AS$1006,0)), HYPERLINK("#",""), HYPERLINK(CONCATENATE("#metadata!", ADDRESS(INDEX($X$2:$X$1001,MATCH(ROWS($V$2:V313),$V$2:$V$1001,0),0), INDEX($AC$1004:$AS$1004,1,MATCH(COLUMNS($AC$1006:AN1006),$AC$1006:$AS$1006,0)))),"Fix")))</f>
        <v xml:space="preserve"> </v>
      </c>
      <c r="N313" s="4" t="str">
        <f ca="1">IF(OR(INDEX($W$2:$W$1001,MATCH(ROWS($V$2:V313),$V$2:$V$1001,0),1)&gt;=100000,INDEX($AC$1005:$AS$1005,1,MATCH(COLUMNS($AC$1006:AO1006),$AC$1006:$AS$1006,0))&gt;=100000), " ",IF(INDEX($AC$2:$AS$1001,MATCH(ROWS($V$2:V313),$V$2:$V$1001,0),MATCH(COLUMNS($AC$1006:AO1006),$AC$1006:$AS$1006,0)), HYPERLINK("#",""), HYPERLINK(CONCATENATE("#metadata!", ADDRESS(INDEX($X$2:$X$1001,MATCH(ROWS($V$2:V313),$V$2:$V$1001,0),0), INDEX($AC$1004:$AS$1004,1,MATCH(COLUMNS($AC$1006:AO1006),$AC$1006:$AS$1006,0)))),"Fix")))</f>
        <v xml:space="preserve"> </v>
      </c>
      <c r="O313" s="4" t="str">
        <f ca="1">IF(OR(INDEX($W$2:$W$1001,MATCH(ROWS($V$2:V313),$V$2:$V$1001,0),1)&gt;=100000,INDEX($AC$1005:$AS$1005,1,MATCH(COLUMNS($AC$1006:AP1006),$AC$1006:$AS$1006,0))&gt;=100000), " ",IF(INDEX($AC$2:$AS$1001,MATCH(ROWS($V$2:V313),$V$2:$V$1001,0),MATCH(COLUMNS($AC$1006:AP1006),$AC$1006:$AS$1006,0)), HYPERLINK("#",""), HYPERLINK(CONCATENATE("#metadata!", ADDRESS(INDEX($X$2:$X$1001,MATCH(ROWS($V$2:V313),$V$2:$V$1001,0),0), INDEX($AC$1004:$AS$1004,1,MATCH(COLUMNS($AC$1006:AP1006),$AC$1006:$AS$1006,0)))),"Fix")))</f>
        <v xml:space="preserve"> </v>
      </c>
      <c r="P313" s="4" t="str">
        <f ca="1">IF(OR(INDEX($W$2:$W$1001,MATCH(ROWS($V$2:V313),$V$2:$V$1001,0),1)&gt;=100000,INDEX($AC$1005:$AS$1005,1,MATCH(COLUMNS($AC$1006:AQ1006),$AC$1006:$AS$1006,0))&gt;=100000), " ",IF(INDEX($AC$2:$AS$1001,MATCH(ROWS($V$2:V313),$V$2:$V$1001,0),MATCH(COLUMNS($AC$1006:AQ1006),$AC$1006:$AS$1006,0)), HYPERLINK("#",""), HYPERLINK(CONCATENATE("#metadata!", ADDRESS(INDEX($X$2:$X$1001,MATCH(ROWS($V$2:V313),$V$2:$V$1001,0),0), INDEX($AC$1004:$AS$1004,1,MATCH(COLUMNS($AC$1006:AQ1006),$AC$1006:$AS$1006,0)))),"Fix")))</f>
        <v xml:space="preserve"> </v>
      </c>
      <c r="Q313" s="4" t="str">
        <f ca="1">IF(OR(INDEX($W$2:$W$1001,MATCH(ROWS($V$2:V313),$V$2:$V$1001,0),1)&gt;=100000,INDEX($AC$1005:$AS$1005,1,MATCH(COLUMNS($AC$1006:AR1006),$AC$1006:$AS$1006,0))&gt;=100000), " ",IF(INDEX($AC$2:$AS$1001,MATCH(ROWS($V$2:V313),$V$2:$V$1001,0),MATCH(COLUMNS($AC$1006:AR1006),$AC$1006:$AS$1006,0)), HYPERLINK("#",""), HYPERLINK(CONCATENATE("#metadata!", ADDRESS(INDEX($X$2:$X$1001,MATCH(ROWS($V$2:V313),$V$2:$V$1001,0),0), INDEX($AC$1004:$AS$1004,1,MATCH(COLUMNS($AC$1006:AR1006),$AC$1006:$AS$1006,0)))),"Fix")))</f>
        <v xml:space="preserve"> </v>
      </c>
      <c r="R313" s="4" t="str">
        <f ca="1">IF(OR(INDEX($W$2:$W$1001,MATCH(ROWS($V$2:V313),$V$2:$V$1001,0),1)&gt;=100000,INDEX($AC$1005:$AS$1005,1,MATCH(COLUMNS($AC$1006:AS1006),$AC$1006:$AS$1006,0))&gt;=100000), " ",IF(INDEX($AC$2:$AS$1001,MATCH(ROWS($V$2:V313),$V$2:$V$1001,0),MATCH(COLUMNS($AC$1006:AS1006),$AC$1006:$AS$1006,0)), HYPERLINK("#",""), HYPERLINK(CONCATENATE("#metadata!", ADDRESS(INDEX($X$2:$X$1001,MATCH(ROWS($V$2:V313),$V$2:$V$1001,0),0), INDEX($AC$1004:$AS$1004,1,MATCH(COLUMNS($AC$1006:AS1006),$AC$1006:$AS$1006,0)))),"Fix")))</f>
        <v xml:space="preserve"> </v>
      </c>
      <c r="V313">
        <v>312</v>
      </c>
      <c r="W313">
        <v>100313</v>
      </c>
      <c r="X313">
        <v>313</v>
      </c>
      <c r="Y313" t="b">
        <f t="shared" si="4"/>
        <v>1</v>
      </c>
      <c r="Z313" t="b">
        <f>COUNTBLANK(metadata!B313:R313)=COLUMNS(metadata!B313:R313)</f>
        <v>1</v>
      </c>
      <c r="AA313" t="str">
        <v/>
      </c>
      <c r="AC313" t="b">
        <f ca="1"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AD313" t="b">
        <f>IF(metadata!C313="",FALSE,ISNUMBER(VALUE(metadata!C313)))</f>
        <v>0</v>
      </c>
      <c r="AE313" t="b">
        <f>AND(IF(metadata!D313="",FALSE,TRUE),EXACT(metadata!D313,"years"))</f>
        <v>0</v>
      </c>
      <c r="AF313" t="b">
        <f>OR(AND(IF(metadata!E313="",FALSE,TRUE),OR(EXACT(metadata!E313,"not applicable"),EXACT(metadata!E313,"missing: not collected"),EXACT(metadata!E313,"missing: not provided"),EXACT(metadata!E313,"missing: restricted access"))),AND(IF(metadata!E313="",FALSE,ISNUMBER(VALUE(metadata!E313))),metadata!E313&gt;0))</f>
        <v>0</v>
      </c>
      <c r="AG313" t="b">
        <f>AND(IF(metadata!F313="",FALSE,TRUE),EXACT(metadata!F313,"Not applicable"))</f>
        <v>0</v>
      </c>
      <c r="AH313" t="b">
        <f>AND(IF(metadata!G313="",FALSE,TRUE),EXACT(metadata!G313,"urban biome"))</f>
        <v>0</v>
      </c>
      <c r="AI313" t="b">
        <f>AND(IF(metadata!H313="",FALSE,TRUE),EXACT(metadata!H313,"human-associated habitat"))</f>
        <v>0</v>
      </c>
      <c r="AJ313" t="b">
        <f>AND(IF(metadata!I313="",FALSE,TRUE),OR(EXACT(metadata!I313,"human-associated"),EXACT(metadata!I313,"human-skin"),EXACT(metadata!I313,"human-oral"),EXACT(metadata!I313,"human-gut"),EXACT(metadata!I313,"human-vaginal")))</f>
        <v>0</v>
      </c>
      <c r="AK313" t="b">
        <f>IF(metadata!J313="",FALSE,ISNUMBER(VALUE(metadata!J313)))</f>
        <v>0</v>
      </c>
      <c r="AL313" t="b">
        <f>AND(IF(metadata!K313="",FALSE,TRUE),EXACT(metadata!K313,"cm"))</f>
        <v>0</v>
      </c>
      <c r="AM313" t="b">
        <f>AND(IF(metadata!L313="",FALSE,TRUE),EXACT(metadata!L313,"human"))</f>
        <v>0</v>
      </c>
      <c r="AN313" t="b">
        <f>AND(IF(metadata!M313="",FALSE,TRUE),EXACT(metadata!M313,"Homo sapiens"))</f>
        <v>0</v>
      </c>
      <c r="AO313" t="b">
        <f>AND(IF(metadata!N313="",FALSE,TRUE),EXACT(metadata!N313,"9606"))</f>
        <v>0</v>
      </c>
      <c r="AP313" t="b">
        <f>IF(metadata!O313="",FALSE,TRUE)</f>
        <v>0</v>
      </c>
      <c r="AQ313" t="b">
        <f>IF(metadata!P313="",FALSE,TRUE)</f>
        <v>0</v>
      </c>
      <c r="AR313" t="b">
        <f>IF(metadata!Q313="",FALSE,ISNUMBER(VALUE(metadata!Q313)))</f>
        <v>0</v>
      </c>
      <c r="AS313" t="b">
        <f>AND(IF(metadata!R313="",FALSE,TRUE),EXACT(metadata!R313,"kg"))</f>
        <v>0</v>
      </c>
    </row>
    <row r="314" spans="1:45" x14ac:dyDescent="0.2">
      <c r="A314" s="5" t="str">
        <f ca="1">IF(B314=" "," ",HYPERLINK(CONCATENATE("#metadata!",ADDRESS(INDEX($X$2:$X$1001,MATCH(ROWS($V$2:V314),$V$2:$V$1001,0),0),1)),INDEX($AA$2:$AA$1001,MATCH(ROWS($V$2:V314),$V$2:$V$1001,0),0)))</f>
        <v xml:space="preserve"> </v>
      </c>
      <c r="B314" s="4" t="str">
        <f ca="1">IF(OR(INDEX($W$2:$W$1001,MATCH(ROWS($V$2:V314),$V$2:$V$1001,0),1)&gt;=100000,INDEX($AC$1005:$AS$1005,1,MATCH(COLUMNS($AC$1006:AC1006),$AC$1006:$AS$1006,0))&gt;=100000), " ",IF(INDEX($AC$2:$AS$1001,MATCH(ROWS($V$2:V314),$V$2:$V$1001,0),MATCH(COLUMNS($AC$1006:AC1006),$AC$1006:$AS$1006,0)), HYPERLINK("#",""), HYPERLINK(CONCATENATE("#metadata!", ADDRESS(INDEX($X$2:$X$1001,MATCH(ROWS($V$2:V314),$V$2:$V$1001,0),0), INDEX($AC$1004:$AS$1004,1,MATCH(COLUMNS($AC$1006:AC1006),$AC$1006:$AS$1006,0)))),"Fix")))</f>
        <v xml:space="preserve"> </v>
      </c>
      <c r="C314" s="4" t="str">
        <f ca="1">IF(OR(INDEX($W$2:$W$1001,MATCH(ROWS($V$2:V314),$V$2:$V$1001,0),1)&gt;=100000,INDEX($AC$1005:$AS$1005,1,MATCH(COLUMNS($AC$1006:AD1006),$AC$1006:$AS$1006,0))&gt;=100000), " ",IF(INDEX($AC$2:$AS$1001,MATCH(ROWS($V$2:V314),$V$2:$V$1001,0),MATCH(COLUMNS($AC$1006:AD1006),$AC$1006:$AS$1006,0)), HYPERLINK("#",""), HYPERLINK(CONCATENATE("#metadata!", ADDRESS(INDEX($X$2:$X$1001,MATCH(ROWS($V$2:V314),$V$2:$V$1001,0),0), INDEX($AC$1004:$AS$1004,1,MATCH(COLUMNS($AC$1006:AD1006),$AC$1006:$AS$1006,0)))),"Fix")))</f>
        <v xml:space="preserve"> </v>
      </c>
      <c r="D314" s="4" t="str">
        <f ca="1">IF(OR(INDEX($W$2:$W$1001,MATCH(ROWS($V$2:V314),$V$2:$V$1001,0),1)&gt;=100000,INDEX($AC$1005:$AS$1005,1,MATCH(COLUMNS($AC$1006:AE1006),$AC$1006:$AS$1006,0))&gt;=100000), " ",IF(INDEX($AC$2:$AS$1001,MATCH(ROWS($V$2:V314),$V$2:$V$1001,0),MATCH(COLUMNS($AC$1006:AE1006),$AC$1006:$AS$1006,0)), HYPERLINK("#",""), HYPERLINK(CONCATENATE("#metadata!", ADDRESS(INDEX($X$2:$X$1001,MATCH(ROWS($V$2:V314),$V$2:$V$1001,0),0), INDEX($AC$1004:$AS$1004,1,MATCH(COLUMNS($AC$1006:AE1006),$AC$1006:$AS$1006,0)))),"Fix")))</f>
        <v xml:space="preserve"> </v>
      </c>
      <c r="E314" s="4" t="str">
        <f ca="1">IF(OR(INDEX($W$2:$W$1001,MATCH(ROWS($V$2:V314),$V$2:$V$1001,0),1)&gt;=100000,INDEX($AC$1005:$AS$1005,1,MATCH(COLUMNS($AC$1006:AF1006),$AC$1006:$AS$1006,0))&gt;=100000), " ",IF(INDEX($AC$2:$AS$1001,MATCH(ROWS($V$2:V314),$V$2:$V$1001,0),MATCH(COLUMNS($AC$1006:AF1006),$AC$1006:$AS$1006,0)), HYPERLINK("#",""), HYPERLINK(CONCATENATE("#metadata!", ADDRESS(INDEX($X$2:$X$1001,MATCH(ROWS($V$2:V314),$V$2:$V$1001,0),0), INDEX($AC$1004:$AS$1004,1,MATCH(COLUMNS($AC$1006:AF1006),$AC$1006:$AS$1006,0)))),"Fix")))</f>
        <v xml:space="preserve"> </v>
      </c>
      <c r="F314" s="4" t="str">
        <f ca="1">IF(OR(INDEX($W$2:$W$1001,MATCH(ROWS($V$2:V314),$V$2:$V$1001,0),1)&gt;=100000,INDEX($AC$1005:$AS$1005,1,MATCH(COLUMNS($AC$1006:AG1006),$AC$1006:$AS$1006,0))&gt;=100000), " ",IF(INDEX($AC$2:$AS$1001,MATCH(ROWS($V$2:V314),$V$2:$V$1001,0),MATCH(COLUMNS($AC$1006:AG1006),$AC$1006:$AS$1006,0)), HYPERLINK("#",""), HYPERLINK(CONCATENATE("#metadata!", ADDRESS(INDEX($X$2:$X$1001,MATCH(ROWS($V$2:V314),$V$2:$V$1001,0),0), INDEX($AC$1004:$AS$1004,1,MATCH(COLUMNS($AC$1006:AG1006),$AC$1006:$AS$1006,0)))),"Fix")))</f>
        <v xml:space="preserve"> </v>
      </c>
      <c r="G314" s="4" t="str">
        <f ca="1">IF(OR(INDEX($W$2:$W$1001,MATCH(ROWS($V$2:V314),$V$2:$V$1001,0),1)&gt;=100000,INDEX($AC$1005:$AS$1005,1,MATCH(COLUMNS($AC$1006:AH1006),$AC$1006:$AS$1006,0))&gt;=100000), " ",IF(INDEX($AC$2:$AS$1001,MATCH(ROWS($V$2:V314),$V$2:$V$1001,0),MATCH(COLUMNS($AC$1006:AH1006),$AC$1006:$AS$1006,0)), HYPERLINK("#",""), HYPERLINK(CONCATENATE("#metadata!", ADDRESS(INDEX($X$2:$X$1001,MATCH(ROWS($V$2:V314),$V$2:$V$1001,0),0), INDEX($AC$1004:$AS$1004,1,MATCH(COLUMNS($AC$1006:AH1006),$AC$1006:$AS$1006,0)))),"Fix")))</f>
        <v xml:space="preserve"> </v>
      </c>
      <c r="H314" s="4" t="str">
        <f ca="1">IF(OR(INDEX($W$2:$W$1001,MATCH(ROWS($V$2:V314),$V$2:$V$1001,0),1)&gt;=100000,INDEX($AC$1005:$AS$1005,1,MATCH(COLUMNS($AC$1006:AI1006),$AC$1006:$AS$1006,0))&gt;=100000), " ",IF(INDEX($AC$2:$AS$1001,MATCH(ROWS($V$2:V314),$V$2:$V$1001,0),MATCH(COLUMNS($AC$1006:AI1006),$AC$1006:$AS$1006,0)), HYPERLINK("#",""), HYPERLINK(CONCATENATE("#metadata!", ADDRESS(INDEX($X$2:$X$1001,MATCH(ROWS($V$2:V314),$V$2:$V$1001,0),0), INDEX($AC$1004:$AS$1004,1,MATCH(COLUMNS($AC$1006:AI1006),$AC$1006:$AS$1006,0)))),"Fix")))</f>
        <v xml:space="preserve"> </v>
      </c>
      <c r="I314" s="4" t="str">
        <f ca="1">IF(OR(INDEX($W$2:$W$1001,MATCH(ROWS($V$2:V314),$V$2:$V$1001,0),1)&gt;=100000,INDEX($AC$1005:$AS$1005,1,MATCH(COLUMNS($AC$1006:AJ1006),$AC$1006:$AS$1006,0))&gt;=100000), " ",IF(INDEX($AC$2:$AS$1001,MATCH(ROWS($V$2:V314),$V$2:$V$1001,0),MATCH(COLUMNS($AC$1006:AJ1006),$AC$1006:$AS$1006,0)), HYPERLINK("#",""), HYPERLINK(CONCATENATE("#metadata!", ADDRESS(INDEX($X$2:$X$1001,MATCH(ROWS($V$2:V314),$V$2:$V$1001,0),0), INDEX($AC$1004:$AS$1004,1,MATCH(COLUMNS($AC$1006:AJ1006),$AC$1006:$AS$1006,0)))),"Fix")))</f>
        <v xml:space="preserve"> </v>
      </c>
      <c r="J314" s="4" t="str">
        <f ca="1">IF(OR(INDEX($W$2:$W$1001,MATCH(ROWS($V$2:V314),$V$2:$V$1001,0),1)&gt;=100000,INDEX($AC$1005:$AS$1005,1,MATCH(COLUMNS($AC$1006:AK1006),$AC$1006:$AS$1006,0))&gt;=100000), " ",IF(INDEX($AC$2:$AS$1001,MATCH(ROWS($V$2:V314),$V$2:$V$1001,0),MATCH(COLUMNS($AC$1006:AK1006),$AC$1006:$AS$1006,0)), HYPERLINK("#",""), HYPERLINK(CONCATENATE("#metadata!", ADDRESS(INDEX($X$2:$X$1001,MATCH(ROWS($V$2:V314),$V$2:$V$1001,0),0), INDEX($AC$1004:$AS$1004,1,MATCH(COLUMNS($AC$1006:AK1006),$AC$1006:$AS$1006,0)))),"Fix")))</f>
        <v xml:space="preserve"> </v>
      </c>
      <c r="K314" s="4" t="str">
        <f ca="1">IF(OR(INDEX($W$2:$W$1001,MATCH(ROWS($V$2:V314),$V$2:$V$1001,0),1)&gt;=100000,INDEX($AC$1005:$AS$1005,1,MATCH(COLUMNS($AC$1006:AL1006),$AC$1006:$AS$1006,0))&gt;=100000), " ",IF(INDEX($AC$2:$AS$1001,MATCH(ROWS($V$2:V314),$V$2:$V$1001,0),MATCH(COLUMNS($AC$1006:AL1006),$AC$1006:$AS$1006,0)), HYPERLINK("#",""), HYPERLINK(CONCATENATE("#metadata!", ADDRESS(INDEX($X$2:$X$1001,MATCH(ROWS($V$2:V314),$V$2:$V$1001,0),0), INDEX($AC$1004:$AS$1004,1,MATCH(COLUMNS($AC$1006:AL1006),$AC$1006:$AS$1006,0)))),"Fix")))</f>
        <v xml:space="preserve"> </v>
      </c>
      <c r="L314" s="4" t="str">
        <f ca="1">IF(OR(INDEX($W$2:$W$1001,MATCH(ROWS($V$2:V314),$V$2:$V$1001,0),1)&gt;=100000,INDEX($AC$1005:$AS$1005,1,MATCH(COLUMNS($AC$1006:AM1006),$AC$1006:$AS$1006,0))&gt;=100000), " ",IF(INDEX($AC$2:$AS$1001,MATCH(ROWS($V$2:V314),$V$2:$V$1001,0),MATCH(COLUMNS($AC$1006:AM1006),$AC$1006:$AS$1006,0)), HYPERLINK("#",""), HYPERLINK(CONCATENATE("#metadata!", ADDRESS(INDEX($X$2:$X$1001,MATCH(ROWS($V$2:V314),$V$2:$V$1001,0),0), INDEX($AC$1004:$AS$1004,1,MATCH(COLUMNS($AC$1006:AM1006),$AC$1006:$AS$1006,0)))),"Fix")))</f>
        <v xml:space="preserve"> </v>
      </c>
      <c r="M314" s="4" t="str">
        <f ca="1">IF(OR(INDEX($W$2:$W$1001,MATCH(ROWS($V$2:V314),$V$2:$V$1001,0),1)&gt;=100000,INDEX($AC$1005:$AS$1005,1,MATCH(COLUMNS($AC$1006:AN1006),$AC$1006:$AS$1006,0))&gt;=100000), " ",IF(INDEX($AC$2:$AS$1001,MATCH(ROWS($V$2:V314),$V$2:$V$1001,0),MATCH(COLUMNS($AC$1006:AN1006),$AC$1006:$AS$1006,0)), HYPERLINK("#",""), HYPERLINK(CONCATENATE("#metadata!", ADDRESS(INDEX($X$2:$X$1001,MATCH(ROWS($V$2:V314),$V$2:$V$1001,0),0), INDEX($AC$1004:$AS$1004,1,MATCH(COLUMNS($AC$1006:AN1006),$AC$1006:$AS$1006,0)))),"Fix")))</f>
        <v xml:space="preserve"> </v>
      </c>
      <c r="N314" s="4" t="str">
        <f ca="1">IF(OR(INDEX($W$2:$W$1001,MATCH(ROWS($V$2:V314),$V$2:$V$1001,0),1)&gt;=100000,INDEX($AC$1005:$AS$1005,1,MATCH(COLUMNS($AC$1006:AO1006),$AC$1006:$AS$1006,0))&gt;=100000), " ",IF(INDEX($AC$2:$AS$1001,MATCH(ROWS($V$2:V314),$V$2:$V$1001,0),MATCH(COLUMNS($AC$1006:AO1006),$AC$1006:$AS$1006,0)), HYPERLINK("#",""), HYPERLINK(CONCATENATE("#metadata!", ADDRESS(INDEX($X$2:$X$1001,MATCH(ROWS($V$2:V314),$V$2:$V$1001,0),0), INDEX($AC$1004:$AS$1004,1,MATCH(COLUMNS($AC$1006:AO1006),$AC$1006:$AS$1006,0)))),"Fix")))</f>
        <v xml:space="preserve"> </v>
      </c>
      <c r="O314" s="4" t="str">
        <f ca="1">IF(OR(INDEX($W$2:$W$1001,MATCH(ROWS($V$2:V314),$V$2:$V$1001,0),1)&gt;=100000,INDEX($AC$1005:$AS$1005,1,MATCH(COLUMNS($AC$1006:AP1006),$AC$1006:$AS$1006,0))&gt;=100000), " ",IF(INDEX($AC$2:$AS$1001,MATCH(ROWS($V$2:V314),$V$2:$V$1001,0),MATCH(COLUMNS($AC$1006:AP1006),$AC$1006:$AS$1006,0)), HYPERLINK("#",""), HYPERLINK(CONCATENATE("#metadata!", ADDRESS(INDEX($X$2:$X$1001,MATCH(ROWS($V$2:V314),$V$2:$V$1001,0),0), INDEX($AC$1004:$AS$1004,1,MATCH(COLUMNS($AC$1006:AP1006),$AC$1006:$AS$1006,0)))),"Fix")))</f>
        <v xml:space="preserve"> </v>
      </c>
      <c r="P314" s="4" t="str">
        <f ca="1">IF(OR(INDEX($W$2:$W$1001,MATCH(ROWS($V$2:V314),$V$2:$V$1001,0),1)&gt;=100000,INDEX($AC$1005:$AS$1005,1,MATCH(COLUMNS($AC$1006:AQ1006),$AC$1006:$AS$1006,0))&gt;=100000), " ",IF(INDEX($AC$2:$AS$1001,MATCH(ROWS($V$2:V314),$V$2:$V$1001,0),MATCH(COLUMNS($AC$1006:AQ1006),$AC$1006:$AS$1006,0)), HYPERLINK("#",""), HYPERLINK(CONCATENATE("#metadata!", ADDRESS(INDEX($X$2:$X$1001,MATCH(ROWS($V$2:V314),$V$2:$V$1001,0),0), INDEX($AC$1004:$AS$1004,1,MATCH(COLUMNS($AC$1006:AQ1006),$AC$1006:$AS$1006,0)))),"Fix")))</f>
        <v xml:space="preserve"> </v>
      </c>
      <c r="Q314" s="4" t="str">
        <f ca="1">IF(OR(INDEX($W$2:$W$1001,MATCH(ROWS($V$2:V314),$V$2:$V$1001,0),1)&gt;=100000,INDEX($AC$1005:$AS$1005,1,MATCH(COLUMNS($AC$1006:AR1006),$AC$1006:$AS$1006,0))&gt;=100000), " ",IF(INDEX($AC$2:$AS$1001,MATCH(ROWS($V$2:V314),$V$2:$V$1001,0),MATCH(COLUMNS($AC$1006:AR1006),$AC$1006:$AS$1006,0)), HYPERLINK("#",""), HYPERLINK(CONCATENATE("#metadata!", ADDRESS(INDEX($X$2:$X$1001,MATCH(ROWS($V$2:V314),$V$2:$V$1001,0),0), INDEX($AC$1004:$AS$1004,1,MATCH(COLUMNS($AC$1006:AR1006),$AC$1006:$AS$1006,0)))),"Fix")))</f>
        <v xml:space="preserve"> </v>
      </c>
      <c r="R314" s="4" t="str">
        <f ca="1">IF(OR(INDEX($W$2:$W$1001,MATCH(ROWS($V$2:V314),$V$2:$V$1001,0),1)&gt;=100000,INDEX($AC$1005:$AS$1005,1,MATCH(COLUMNS($AC$1006:AS1006),$AC$1006:$AS$1006,0))&gt;=100000), " ",IF(INDEX($AC$2:$AS$1001,MATCH(ROWS($V$2:V314),$V$2:$V$1001,0),MATCH(COLUMNS($AC$1006:AS1006),$AC$1006:$AS$1006,0)), HYPERLINK("#",""), HYPERLINK(CONCATENATE("#metadata!", ADDRESS(INDEX($X$2:$X$1001,MATCH(ROWS($V$2:V314),$V$2:$V$1001,0),0), INDEX($AC$1004:$AS$1004,1,MATCH(COLUMNS($AC$1006:AS1006),$AC$1006:$AS$1006,0)))),"Fix")))</f>
        <v xml:space="preserve"> </v>
      </c>
      <c r="V314">
        <v>313</v>
      </c>
      <c r="W314">
        <v>100314</v>
      </c>
      <c r="X314">
        <v>314</v>
      </c>
      <c r="Y314" t="b">
        <f t="shared" si="4"/>
        <v>1</v>
      </c>
      <c r="Z314" t="b">
        <f>COUNTBLANK(metadata!B314:R314)=COLUMNS(metadata!B314:R314)</f>
        <v>1</v>
      </c>
      <c r="AA314" t="str">
        <v/>
      </c>
      <c r="AC314" t="b">
        <f ca="1"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AD314" t="b">
        <f>IF(metadata!C314="",FALSE,ISNUMBER(VALUE(metadata!C314)))</f>
        <v>0</v>
      </c>
      <c r="AE314" t="b">
        <f>AND(IF(metadata!D314="",FALSE,TRUE),EXACT(metadata!D314,"years"))</f>
        <v>0</v>
      </c>
      <c r="AF314" t="b">
        <f>OR(AND(IF(metadata!E314="",FALSE,TRUE),OR(EXACT(metadata!E314,"not applicable"),EXACT(metadata!E314,"missing: not collected"),EXACT(metadata!E314,"missing: not provided"),EXACT(metadata!E314,"missing: restricted access"))),AND(IF(metadata!E314="",FALSE,ISNUMBER(VALUE(metadata!E314))),metadata!E314&gt;0))</f>
        <v>0</v>
      </c>
      <c r="AG314" t="b">
        <f>AND(IF(metadata!F314="",FALSE,TRUE),EXACT(metadata!F314,"Not applicable"))</f>
        <v>0</v>
      </c>
      <c r="AH314" t="b">
        <f>AND(IF(metadata!G314="",FALSE,TRUE),EXACT(metadata!G314,"urban biome"))</f>
        <v>0</v>
      </c>
      <c r="AI314" t="b">
        <f>AND(IF(metadata!H314="",FALSE,TRUE),EXACT(metadata!H314,"human-associated habitat"))</f>
        <v>0</v>
      </c>
      <c r="AJ314" t="b">
        <f>AND(IF(metadata!I314="",FALSE,TRUE),OR(EXACT(metadata!I314,"human-associated"),EXACT(metadata!I314,"human-skin"),EXACT(metadata!I314,"human-oral"),EXACT(metadata!I314,"human-gut"),EXACT(metadata!I314,"human-vaginal")))</f>
        <v>0</v>
      </c>
      <c r="AK314" t="b">
        <f>IF(metadata!J314="",FALSE,ISNUMBER(VALUE(metadata!J314)))</f>
        <v>0</v>
      </c>
      <c r="AL314" t="b">
        <f>AND(IF(metadata!K314="",FALSE,TRUE),EXACT(metadata!K314,"cm"))</f>
        <v>0</v>
      </c>
      <c r="AM314" t="b">
        <f>AND(IF(metadata!L314="",FALSE,TRUE),EXACT(metadata!L314,"human"))</f>
        <v>0</v>
      </c>
      <c r="AN314" t="b">
        <f>AND(IF(metadata!M314="",FALSE,TRUE),EXACT(metadata!M314,"Homo sapiens"))</f>
        <v>0</v>
      </c>
      <c r="AO314" t="b">
        <f>AND(IF(metadata!N314="",FALSE,TRUE),EXACT(metadata!N314,"9606"))</f>
        <v>0</v>
      </c>
      <c r="AP314" t="b">
        <f>IF(metadata!O314="",FALSE,TRUE)</f>
        <v>0</v>
      </c>
      <c r="AQ314" t="b">
        <f>IF(metadata!P314="",FALSE,TRUE)</f>
        <v>0</v>
      </c>
      <c r="AR314" t="b">
        <f>IF(metadata!Q314="",FALSE,ISNUMBER(VALUE(metadata!Q314)))</f>
        <v>0</v>
      </c>
      <c r="AS314" t="b">
        <f>AND(IF(metadata!R314="",FALSE,TRUE),EXACT(metadata!R314,"kg"))</f>
        <v>0</v>
      </c>
    </row>
    <row r="315" spans="1:45" x14ac:dyDescent="0.2">
      <c r="A315" s="5" t="str">
        <f ca="1">IF(B315=" "," ",HYPERLINK(CONCATENATE("#metadata!",ADDRESS(INDEX($X$2:$X$1001,MATCH(ROWS($V$2:V315),$V$2:$V$1001,0),0),1)),INDEX($AA$2:$AA$1001,MATCH(ROWS($V$2:V315),$V$2:$V$1001,0),0)))</f>
        <v xml:space="preserve"> </v>
      </c>
      <c r="B315" s="4" t="str">
        <f ca="1">IF(OR(INDEX($W$2:$W$1001,MATCH(ROWS($V$2:V315),$V$2:$V$1001,0),1)&gt;=100000,INDEX($AC$1005:$AS$1005,1,MATCH(COLUMNS($AC$1006:AC1006),$AC$1006:$AS$1006,0))&gt;=100000), " ",IF(INDEX($AC$2:$AS$1001,MATCH(ROWS($V$2:V315),$V$2:$V$1001,0),MATCH(COLUMNS($AC$1006:AC1006),$AC$1006:$AS$1006,0)), HYPERLINK("#",""), HYPERLINK(CONCATENATE("#metadata!", ADDRESS(INDEX($X$2:$X$1001,MATCH(ROWS($V$2:V315),$V$2:$V$1001,0),0), INDEX($AC$1004:$AS$1004,1,MATCH(COLUMNS($AC$1006:AC1006),$AC$1006:$AS$1006,0)))),"Fix")))</f>
        <v xml:space="preserve"> </v>
      </c>
      <c r="C315" s="4" t="str">
        <f ca="1">IF(OR(INDEX($W$2:$W$1001,MATCH(ROWS($V$2:V315),$V$2:$V$1001,0),1)&gt;=100000,INDEX($AC$1005:$AS$1005,1,MATCH(COLUMNS($AC$1006:AD1006),$AC$1006:$AS$1006,0))&gt;=100000), " ",IF(INDEX($AC$2:$AS$1001,MATCH(ROWS($V$2:V315),$V$2:$V$1001,0),MATCH(COLUMNS($AC$1006:AD1006),$AC$1006:$AS$1006,0)), HYPERLINK("#",""), HYPERLINK(CONCATENATE("#metadata!", ADDRESS(INDEX($X$2:$X$1001,MATCH(ROWS($V$2:V315),$V$2:$V$1001,0),0), INDEX($AC$1004:$AS$1004,1,MATCH(COLUMNS($AC$1006:AD1006),$AC$1006:$AS$1006,0)))),"Fix")))</f>
        <v xml:space="preserve"> </v>
      </c>
      <c r="D315" s="4" t="str">
        <f ca="1">IF(OR(INDEX($W$2:$W$1001,MATCH(ROWS($V$2:V315),$V$2:$V$1001,0),1)&gt;=100000,INDEX($AC$1005:$AS$1005,1,MATCH(COLUMNS($AC$1006:AE1006),$AC$1006:$AS$1006,0))&gt;=100000), " ",IF(INDEX($AC$2:$AS$1001,MATCH(ROWS($V$2:V315),$V$2:$V$1001,0),MATCH(COLUMNS($AC$1006:AE1006),$AC$1006:$AS$1006,0)), HYPERLINK("#",""), HYPERLINK(CONCATENATE("#metadata!", ADDRESS(INDEX($X$2:$X$1001,MATCH(ROWS($V$2:V315),$V$2:$V$1001,0),0), INDEX($AC$1004:$AS$1004,1,MATCH(COLUMNS($AC$1006:AE1006),$AC$1006:$AS$1006,0)))),"Fix")))</f>
        <v xml:space="preserve"> </v>
      </c>
      <c r="E315" s="4" t="str">
        <f ca="1">IF(OR(INDEX($W$2:$W$1001,MATCH(ROWS($V$2:V315),$V$2:$V$1001,0),1)&gt;=100000,INDEX($AC$1005:$AS$1005,1,MATCH(COLUMNS($AC$1006:AF1006),$AC$1006:$AS$1006,0))&gt;=100000), " ",IF(INDEX($AC$2:$AS$1001,MATCH(ROWS($V$2:V315),$V$2:$V$1001,0),MATCH(COLUMNS($AC$1006:AF1006),$AC$1006:$AS$1006,0)), HYPERLINK("#",""), HYPERLINK(CONCATENATE("#metadata!", ADDRESS(INDEX($X$2:$X$1001,MATCH(ROWS($V$2:V315),$V$2:$V$1001,0),0), INDEX($AC$1004:$AS$1004,1,MATCH(COLUMNS($AC$1006:AF1006),$AC$1006:$AS$1006,0)))),"Fix")))</f>
        <v xml:space="preserve"> </v>
      </c>
      <c r="F315" s="4" t="str">
        <f ca="1">IF(OR(INDEX($W$2:$W$1001,MATCH(ROWS($V$2:V315),$V$2:$V$1001,0),1)&gt;=100000,INDEX($AC$1005:$AS$1005,1,MATCH(COLUMNS($AC$1006:AG1006),$AC$1006:$AS$1006,0))&gt;=100000), " ",IF(INDEX($AC$2:$AS$1001,MATCH(ROWS($V$2:V315),$V$2:$V$1001,0),MATCH(COLUMNS($AC$1006:AG1006),$AC$1006:$AS$1006,0)), HYPERLINK("#",""), HYPERLINK(CONCATENATE("#metadata!", ADDRESS(INDEX($X$2:$X$1001,MATCH(ROWS($V$2:V315),$V$2:$V$1001,0),0), INDEX($AC$1004:$AS$1004,1,MATCH(COLUMNS($AC$1006:AG1006),$AC$1006:$AS$1006,0)))),"Fix")))</f>
        <v xml:space="preserve"> </v>
      </c>
      <c r="G315" s="4" t="str">
        <f ca="1">IF(OR(INDEX($W$2:$W$1001,MATCH(ROWS($V$2:V315),$V$2:$V$1001,0),1)&gt;=100000,INDEX($AC$1005:$AS$1005,1,MATCH(COLUMNS($AC$1006:AH1006),$AC$1006:$AS$1006,0))&gt;=100000), " ",IF(INDEX($AC$2:$AS$1001,MATCH(ROWS($V$2:V315),$V$2:$V$1001,0),MATCH(COLUMNS($AC$1006:AH1006),$AC$1006:$AS$1006,0)), HYPERLINK("#",""), HYPERLINK(CONCATENATE("#metadata!", ADDRESS(INDEX($X$2:$X$1001,MATCH(ROWS($V$2:V315),$V$2:$V$1001,0),0), INDEX($AC$1004:$AS$1004,1,MATCH(COLUMNS($AC$1006:AH1006),$AC$1006:$AS$1006,0)))),"Fix")))</f>
        <v xml:space="preserve"> </v>
      </c>
      <c r="H315" s="4" t="str">
        <f ca="1">IF(OR(INDEX($W$2:$W$1001,MATCH(ROWS($V$2:V315),$V$2:$V$1001,0),1)&gt;=100000,INDEX($AC$1005:$AS$1005,1,MATCH(COLUMNS($AC$1006:AI1006),$AC$1006:$AS$1006,0))&gt;=100000), " ",IF(INDEX($AC$2:$AS$1001,MATCH(ROWS($V$2:V315),$V$2:$V$1001,0),MATCH(COLUMNS($AC$1006:AI1006),$AC$1006:$AS$1006,0)), HYPERLINK("#",""), HYPERLINK(CONCATENATE("#metadata!", ADDRESS(INDEX($X$2:$X$1001,MATCH(ROWS($V$2:V315),$V$2:$V$1001,0),0), INDEX($AC$1004:$AS$1004,1,MATCH(COLUMNS($AC$1006:AI1006),$AC$1006:$AS$1006,0)))),"Fix")))</f>
        <v xml:space="preserve"> </v>
      </c>
      <c r="I315" s="4" t="str">
        <f ca="1">IF(OR(INDEX($W$2:$W$1001,MATCH(ROWS($V$2:V315),$V$2:$V$1001,0),1)&gt;=100000,INDEX($AC$1005:$AS$1005,1,MATCH(COLUMNS($AC$1006:AJ1006),$AC$1006:$AS$1006,0))&gt;=100000), " ",IF(INDEX($AC$2:$AS$1001,MATCH(ROWS($V$2:V315),$V$2:$V$1001,0),MATCH(COLUMNS($AC$1006:AJ1006),$AC$1006:$AS$1006,0)), HYPERLINK("#",""), HYPERLINK(CONCATENATE("#metadata!", ADDRESS(INDEX($X$2:$X$1001,MATCH(ROWS($V$2:V315),$V$2:$V$1001,0),0), INDEX($AC$1004:$AS$1004,1,MATCH(COLUMNS($AC$1006:AJ1006),$AC$1006:$AS$1006,0)))),"Fix")))</f>
        <v xml:space="preserve"> </v>
      </c>
      <c r="J315" s="4" t="str">
        <f ca="1">IF(OR(INDEX($W$2:$W$1001,MATCH(ROWS($V$2:V315),$V$2:$V$1001,0),1)&gt;=100000,INDEX($AC$1005:$AS$1005,1,MATCH(COLUMNS($AC$1006:AK1006),$AC$1006:$AS$1006,0))&gt;=100000), " ",IF(INDEX($AC$2:$AS$1001,MATCH(ROWS($V$2:V315),$V$2:$V$1001,0),MATCH(COLUMNS($AC$1006:AK1006),$AC$1006:$AS$1006,0)), HYPERLINK("#",""), HYPERLINK(CONCATENATE("#metadata!", ADDRESS(INDEX($X$2:$X$1001,MATCH(ROWS($V$2:V315),$V$2:$V$1001,0),0), INDEX($AC$1004:$AS$1004,1,MATCH(COLUMNS($AC$1006:AK1006),$AC$1006:$AS$1006,0)))),"Fix")))</f>
        <v xml:space="preserve"> </v>
      </c>
      <c r="K315" s="4" t="str">
        <f ca="1">IF(OR(INDEX($W$2:$W$1001,MATCH(ROWS($V$2:V315),$V$2:$V$1001,0),1)&gt;=100000,INDEX($AC$1005:$AS$1005,1,MATCH(COLUMNS($AC$1006:AL1006),$AC$1006:$AS$1006,0))&gt;=100000), " ",IF(INDEX($AC$2:$AS$1001,MATCH(ROWS($V$2:V315),$V$2:$V$1001,0),MATCH(COLUMNS($AC$1006:AL1006),$AC$1006:$AS$1006,0)), HYPERLINK("#",""), HYPERLINK(CONCATENATE("#metadata!", ADDRESS(INDEX($X$2:$X$1001,MATCH(ROWS($V$2:V315),$V$2:$V$1001,0),0), INDEX($AC$1004:$AS$1004,1,MATCH(COLUMNS($AC$1006:AL1006),$AC$1006:$AS$1006,0)))),"Fix")))</f>
        <v xml:space="preserve"> </v>
      </c>
      <c r="L315" s="4" t="str">
        <f ca="1">IF(OR(INDEX($W$2:$W$1001,MATCH(ROWS($V$2:V315),$V$2:$V$1001,0),1)&gt;=100000,INDEX($AC$1005:$AS$1005,1,MATCH(COLUMNS($AC$1006:AM1006),$AC$1006:$AS$1006,0))&gt;=100000), " ",IF(INDEX($AC$2:$AS$1001,MATCH(ROWS($V$2:V315),$V$2:$V$1001,0),MATCH(COLUMNS($AC$1006:AM1006),$AC$1006:$AS$1006,0)), HYPERLINK("#",""), HYPERLINK(CONCATENATE("#metadata!", ADDRESS(INDEX($X$2:$X$1001,MATCH(ROWS($V$2:V315),$V$2:$V$1001,0),0), INDEX($AC$1004:$AS$1004,1,MATCH(COLUMNS($AC$1006:AM1006),$AC$1006:$AS$1006,0)))),"Fix")))</f>
        <v xml:space="preserve"> </v>
      </c>
      <c r="M315" s="4" t="str">
        <f ca="1">IF(OR(INDEX($W$2:$W$1001,MATCH(ROWS($V$2:V315),$V$2:$V$1001,0),1)&gt;=100000,INDEX($AC$1005:$AS$1005,1,MATCH(COLUMNS($AC$1006:AN1006),$AC$1006:$AS$1006,0))&gt;=100000), " ",IF(INDEX($AC$2:$AS$1001,MATCH(ROWS($V$2:V315),$V$2:$V$1001,0),MATCH(COLUMNS($AC$1006:AN1006),$AC$1006:$AS$1006,0)), HYPERLINK("#",""), HYPERLINK(CONCATENATE("#metadata!", ADDRESS(INDEX($X$2:$X$1001,MATCH(ROWS($V$2:V315),$V$2:$V$1001,0),0), INDEX($AC$1004:$AS$1004,1,MATCH(COLUMNS($AC$1006:AN1006),$AC$1006:$AS$1006,0)))),"Fix")))</f>
        <v xml:space="preserve"> </v>
      </c>
      <c r="N315" s="4" t="str">
        <f ca="1">IF(OR(INDEX($W$2:$W$1001,MATCH(ROWS($V$2:V315),$V$2:$V$1001,0),1)&gt;=100000,INDEX($AC$1005:$AS$1005,1,MATCH(COLUMNS($AC$1006:AO1006),$AC$1006:$AS$1006,0))&gt;=100000), " ",IF(INDEX($AC$2:$AS$1001,MATCH(ROWS($V$2:V315),$V$2:$V$1001,0),MATCH(COLUMNS($AC$1006:AO1006),$AC$1006:$AS$1006,0)), HYPERLINK("#",""), HYPERLINK(CONCATENATE("#metadata!", ADDRESS(INDEX($X$2:$X$1001,MATCH(ROWS($V$2:V315),$V$2:$V$1001,0),0), INDEX($AC$1004:$AS$1004,1,MATCH(COLUMNS($AC$1006:AO1006),$AC$1006:$AS$1006,0)))),"Fix")))</f>
        <v xml:space="preserve"> </v>
      </c>
      <c r="O315" s="4" t="str">
        <f ca="1">IF(OR(INDEX($W$2:$W$1001,MATCH(ROWS($V$2:V315),$V$2:$V$1001,0),1)&gt;=100000,INDEX($AC$1005:$AS$1005,1,MATCH(COLUMNS($AC$1006:AP1006),$AC$1006:$AS$1006,0))&gt;=100000), " ",IF(INDEX($AC$2:$AS$1001,MATCH(ROWS($V$2:V315),$V$2:$V$1001,0),MATCH(COLUMNS($AC$1006:AP1006),$AC$1006:$AS$1006,0)), HYPERLINK("#",""), HYPERLINK(CONCATENATE("#metadata!", ADDRESS(INDEX($X$2:$X$1001,MATCH(ROWS($V$2:V315),$V$2:$V$1001,0),0), INDEX($AC$1004:$AS$1004,1,MATCH(COLUMNS($AC$1006:AP1006),$AC$1006:$AS$1006,0)))),"Fix")))</f>
        <v xml:space="preserve"> </v>
      </c>
      <c r="P315" s="4" t="str">
        <f ca="1">IF(OR(INDEX($W$2:$W$1001,MATCH(ROWS($V$2:V315),$V$2:$V$1001,0),1)&gt;=100000,INDEX($AC$1005:$AS$1005,1,MATCH(COLUMNS($AC$1006:AQ1006),$AC$1006:$AS$1006,0))&gt;=100000), " ",IF(INDEX($AC$2:$AS$1001,MATCH(ROWS($V$2:V315),$V$2:$V$1001,0),MATCH(COLUMNS($AC$1006:AQ1006),$AC$1006:$AS$1006,0)), HYPERLINK("#",""), HYPERLINK(CONCATENATE("#metadata!", ADDRESS(INDEX($X$2:$X$1001,MATCH(ROWS($V$2:V315),$V$2:$V$1001,0),0), INDEX($AC$1004:$AS$1004,1,MATCH(COLUMNS($AC$1006:AQ1006),$AC$1006:$AS$1006,0)))),"Fix")))</f>
        <v xml:space="preserve"> </v>
      </c>
      <c r="Q315" s="4" t="str">
        <f ca="1">IF(OR(INDEX($W$2:$W$1001,MATCH(ROWS($V$2:V315),$V$2:$V$1001,0),1)&gt;=100000,INDEX($AC$1005:$AS$1005,1,MATCH(COLUMNS($AC$1006:AR1006),$AC$1006:$AS$1006,0))&gt;=100000), " ",IF(INDEX($AC$2:$AS$1001,MATCH(ROWS($V$2:V315),$V$2:$V$1001,0),MATCH(COLUMNS($AC$1006:AR1006),$AC$1006:$AS$1006,0)), HYPERLINK("#",""), HYPERLINK(CONCATENATE("#metadata!", ADDRESS(INDEX($X$2:$X$1001,MATCH(ROWS($V$2:V315),$V$2:$V$1001,0),0), INDEX($AC$1004:$AS$1004,1,MATCH(COLUMNS($AC$1006:AR1006),$AC$1006:$AS$1006,0)))),"Fix")))</f>
        <v xml:space="preserve"> </v>
      </c>
      <c r="R315" s="4" t="str">
        <f ca="1">IF(OR(INDEX($W$2:$W$1001,MATCH(ROWS($V$2:V315),$V$2:$V$1001,0),1)&gt;=100000,INDEX($AC$1005:$AS$1005,1,MATCH(COLUMNS($AC$1006:AS1006),$AC$1006:$AS$1006,0))&gt;=100000), " ",IF(INDEX($AC$2:$AS$1001,MATCH(ROWS($V$2:V315),$V$2:$V$1001,0),MATCH(COLUMNS($AC$1006:AS1006),$AC$1006:$AS$1006,0)), HYPERLINK("#",""), HYPERLINK(CONCATENATE("#metadata!", ADDRESS(INDEX($X$2:$X$1001,MATCH(ROWS($V$2:V315),$V$2:$V$1001,0),0), INDEX($AC$1004:$AS$1004,1,MATCH(COLUMNS($AC$1006:AS1006),$AC$1006:$AS$1006,0)))),"Fix")))</f>
        <v xml:space="preserve"> </v>
      </c>
      <c r="V315">
        <v>314</v>
      </c>
      <c r="W315">
        <v>100315</v>
      </c>
      <c r="X315">
        <v>315</v>
      </c>
      <c r="Y315" t="b">
        <f t="shared" si="4"/>
        <v>1</v>
      </c>
      <c r="Z315" t="b">
        <f>COUNTBLANK(metadata!B315:R315)=COLUMNS(metadata!B315:R315)</f>
        <v>1</v>
      </c>
      <c r="AA315" t="str">
        <v/>
      </c>
      <c r="AC315" t="b">
        <f ca="1"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AD315" t="b">
        <f>IF(metadata!C315="",FALSE,ISNUMBER(VALUE(metadata!C315)))</f>
        <v>0</v>
      </c>
      <c r="AE315" t="b">
        <f>AND(IF(metadata!D315="",FALSE,TRUE),EXACT(metadata!D315,"years"))</f>
        <v>0</v>
      </c>
      <c r="AF315" t="b">
        <f>OR(AND(IF(metadata!E315="",FALSE,TRUE),OR(EXACT(metadata!E315,"not applicable"),EXACT(metadata!E315,"missing: not collected"),EXACT(metadata!E315,"missing: not provided"),EXACT(metadata!E315,"missing: restricted access"))),AND(IF(metadata!E315="",FALSE,ISNUMBER(VALUE(metadata!E315))),metadata!E315&gt;0))</f>
        <v>0</v>
      </c>
      <c r="AG315" t="b">
        <f>AND(IF(metadata!F315="",FALSE,TRUE),EXACT(metadata!F315,"Not applicable"))</f>
        <v>0</v>
      </c>
      <c r="AH315" t="b">
        <f>AND(IF(metadata!G315="",FALSE,TRUE),EXACT(metadata!G315,"urban biome"))</f>
        <v>0</v>
      </c>
      <c r="AI315" t="b">
        <f>AND(IF(metadata!H315="",FALSE,TRUE),EXACT(metadata!H315,"human-associated habitat"))</f>
        <v>0</v>
      </c>
      <c r="AJ315" t="b">
        <f>AND(IF(metadata!I315="",FALSE,TRUE),OR(EXACT(metadata!I315,"human-associated"),EXACT(metadata!I315,"human-skin"),EXACT(metadata!I315,"human-oral"),EXACT(metadata!I315,"human-gut"),EXACT(metadata!I315,"human-vaginal")))</f>
        <v>0</v>
      </c>
      <c r="AK315" t="b">
        <f>IF(metadata!J315="",FALSE,ISNUMBER(VALUE(metadata!J315)))</f>
        <v>0</v>
      </c>
      <c r="AL315" t="b">
        <f>AND(IF(metadata!K315="",FALSE,TRUE),EXACT(metadata!K315,"cm"))</f>
        <v>0</v>
      </c>
      <c r="AM315" t="b">
        <f>AND(IF(metadata!L315="",FALSE,TRUE),EXACT(metadata!L315,"human"))</f>
        <v>0</v>
      </c>
      <c r="AN315" t="b">
        <f>AND(IF(metadata!M315="",FALSE,TRUE),EXACT(metadata!M315,"Homo sapiens"))</f>
        <v>0</v>
      </c>
      <c r="AO315" t="b">
        <f>AND(IF(metadata!N315="",FALSE,TRUE),EXACT(metadata!N315,"9606"))</f>
        <v>0</v>
      </c>
      <c r="AP315" t="b">
        <f>IF(metadata!O315="",FALSE,TRUE)</f>
        <v>0</v>
      </c>
      <c r="AQ315" t="b">
        <f>IF(metadata!P315="",FALSE,TRUE)</f>
        <v>0</v>
      </c>
      <c r="AR315" t="b">
        <f>IF(metadata!Q315="",FALSE,ISNUMBER(VALUE(metadata!Q315)))</f>
        <v>0</v>
      </c>
      <c r="AS315" t="b">
        <f>AND(IF(metadata!R315="",FALSE,TRUE),EXACT(metadata!R315,"kg"))</f>
        <v>0</v>
      </c>
    </row>
    <row r="316" spans="1:45" x14ac:dyDescent="0.2">
      <c r="A316" s="5" t="str">
        <f ca="1">IF(B316=" "," ",HYPERLINK(CONCATENATE("#metadata!",ADDRESS(INDEX($X$2:$X$1001,MATCH(ROWS($V$2:V316),$V$2:$V$1001,0),0),1)),INDEX($AA$2:$AA$1001,MATCH(ROWS($V$2:V316),$V$2:$V$1001,0),0)))</f>
        <v xml:space="preserve"> </v>
      </c>
      <c r="B316" s="4" t="str">
        <f ca="1">IF(OR(INDEX($W$2:$W$1001,MATCH(ROWS($V$2:V316),$V$2:$V$1001,0),1)&gt;=100000,INDEX($AC$1005:$AS$1005,1,MATCH(COLUMNS($AC$1006:AC1006),$AC$1006:$AS$1006,0))&gt;=100000), " ",IF(INDEX($AC$2:$AS$1001,MATCH(ROWS($V$2:V316),$V$2:$V$1001,0),MATCH(COLUMNS($AC$1006:AC1006),$AC$1006:$AS$1006,0)), HYPERLINK("#",""), HYPERLINK(CONCATENATE("#metadata!", ADDRESS(INDEX($X$2:$X$1001,MATCH(ROWS($V$2:V316),$V$2:$V$1001,0),0), INDEX($AC$1004:$AS$1004,1,MATCH(COLUMNS($AC$1006:AC1006),$AC$1006:$AS$1006,0)))),"Fix")))</f>
        <v xml:space="preserve"> </v>
      </c>
      <c r="C316" s="4" t="str">
        <f ca="1">IF(OR(INDEX($W$2:$W$1001,MATCH(ROWS($V$2:V316),$V$2:$V$1001,0),1)&gt;=100000,INDEX($AC$1005:$AS$1005,1,MATCH(COLUMNS($AC$1006:AD1006),$AC$1006:$AS$1006,0))&gt;=100000), " ",IF(INDEX($AC$2:$AS$1001,MATCH(ROWS($V$2:V316),$V$2:$V$1001,0),MATCH(COLUMNS($AC$1006:AD1006),$AC$1006:$AS$1006,0)), HYPERLINK("#",""), HYPERLINK(CONCATENATE("#metadata!", ADDRESS(INDEX($X$2:$X$1001,MATCH(ROWS($V$2:V316),$V$2:$V$1001,0),0), INDEX($AC$1004:$AS$1004,1,MATCH(COLUMNS($AC$1006:AD1006),$AC$1006:$AS$1006,0)))),"Fix")))</f>
        <v xml:space="preserve"> </v>
      </c>
      <c r="D316" s="4" t="str">
        <f ca="1">IF(OR(INDEX($W$2:$W$1001,MATCH(ROWS($V$2:V316),$V$2:$V$1001,0),1)&gt;=100000,INDEX($AC$1005:$AS$1005,1,MATCH(COLUMNS($AC$1006:AE1006),$AC$1006:$AS$1006,0))&gt;=100000), " ",IF(INDEX($AC$2:$AS$1001,MATCH(ROWS($V$2:V316),$V$2:$V$1001,0),MATCH(COLUMNS($AC$1006:AE1006),$AC$1006:$AS$1006,0)), HYPERLINK("#",""), HYPERLINK(CONCATENATE("#metadata!", ADDRESS(INDEX($X$2:$X$1001,MATCH(ROWS($V$2:V316),$V$2:$V$1001,0),0), INDEX($AC$1004:$AS$1004,1,MATCH(COLUMNS($AC$1006:AE1006),$AC$1006:$AS$1006,0)))),"Fix")))</f>
        <v xml:space="preserve"> </v>
      </c>
      <c r="E316" s="4" t="str">
        <f ca="1">IF(OR(INDEX($W$2:$W$1001,MATCH(ROWS($V$2:V316),$V$2:$V$1001,0),1)&gt;=100000,INDEX($AC$1005:$AS$1005,1,MATCH(COLUMNS($AC$1006:AF1006),$AC$1006:$AS$1006,0))&gt;=100000), " ",IF(INDEX($AC$2:$AS$1001,MATCH(ROWS($V$2:V316),$V$2:$V$1001,0),MATCH(COLUMNS($AC$1006:AF1006),$AC$1006:$AS$1006,0)), HYPERLINK("#",""), HYPERLINK(CONCATENATE("#metadata!", ADDRESS(INDEX($X$2:$X$1001,MATCH(ROWS($V$2:V316),$V$2:$V$1001,0),0), INDEX($AC$1004:$AS$1004,1,MATCH(COLUMNS($AC$1006:AF1006),$AC$1006:$AS$1006,0)))),"Fix")))</f>
        <v xml:space="preserve"> </v>
      </c>
      <c r="F316" s="4" t="str">
        <f ca="1">IF(OR(INDEX($W$2:$W$1001,MATCH(ROWS($V$2:V316),$V$2:$V$1001,0),1)&gt;=100000,INDEX($AC$1005:$AS$1005,1,MATCH(COLUMNS($AC$1006:AG1006),$AC$1006:$AS$1006,0))&gt;=100000), " ",IF(INDEX($AC$2:$AS$1001,MATCH(ROWS($V$2:V316),$V$2:$V$1001,0),MATCH(COLUMNS($AC$1006:AG1006),$AC$1006:$AS$1006,0)), HYPERLINK("#",""), HYPERLINK(CONCATENATE("#metadata!", ADDRESS(INDEX($X$2:$X$1001,MATCH(ROWS($V$2:V316),$V$2:$V$1001,0),0), INDEX($AC$1004:$AS$1004,1,MATCH(COLUMNS($AC$1006:AG1006),$AC$1006:$AS$1006,0)))),"Fix")))</f>
        <v xml:space="preserve"> </v>
      </c>
      <c r="G316" s="4" t="str">
        <f ca="1">IF(OR(INDEX($W$2:$W$1001,MATCH(ROWS($V$2:V316),$V$2:$V$1001,0),1)&gt;=100000,INDEX($AC$1005:$AS$1005,1,MATCH(COLUMNS($AC$1006:AH1006),$AC$1006:$AS$1006,0))&gt;=100000), " ",IF(INDEX($AC$2:$AS$1001,MATCH(ROWS($V$2:V316),$V$2:$V$1001,0),MATCH(COLUMNS($AC$1006:AH1006),$AC$1006:$AS$1006,0)), HYPERLINK("#",""), HYPERLINK(CONCATENATE("#metadata!", ADDRESS(INDEX($X$2:$X$1001,MATCH(ROWS($V$2:V316),$V$2:$V$1001,0),0), INDEX($AC$1004:$AS$1004,1,MATCH(COLUMNS($AC$1006:AH1006),$AC$1006:$AS$1006,0)))),"Fix")))</f>
        <v xml:space="preserve"> </v>
      </c>
      <c r="H316" s="4" t="str">
        <f ca="1">IF(OR(INDEX($W$2:$W$1001,MATCH(ROWS($V$2:V316),$V$2:$V$1001,0),1)&gt;=100000,INDEX($AC$1005:$AS$1005,1,MATCH(COLUMNS($AC$1006:AI1006),$AC$1006:$AS$1006,0))&gt;=100000), " ",IF(INDEX($AC$2:$AS$1001,MATCH(ROWS($V$2:V316),$V$2:$V$1001,0),MATCH(COLUMNS($AC$1006:AI1006),$AC$1006:$AS$1006,0)), HYPERLINK("#",""), HYPERLINK(CONCATENATE("#metadata!", ADDRESS(INDEX($X$2:$X$1001,MATCH(ROWS($V$2:V316),$V$2:$V$1001,0),0), INDEX($AC$1004:$AS$1004,1,MATCH(COLUMNS($AC$1006:AI1006),$AC$1006:$AS$1006,0)))),"Fix")))</f>
        <v xml:space="preserve"> </v>
      </c>
      <c r="I316" s="4" t="str">
        <f ca="1">IF(OR(INDEX($W$2:$W$1001,MATCH(ROWS($V$2:V316),$V$2:$V$1001,0),1)&gt;=100000,INDEX($AC$1005:$AS$1005,1,MATCH(COLUMNS($AC$1006:AJ1006),$AC$1006:$AS$1006,0))&gt;=100000), " ",IF(INDEX($AC$2:$AS$1001,MATCH(ROWS($V$2:V316),$V$2:$V$1001,0),MATCH(COLUMNS($AC$1006:AJ1006),$AC$1006:$AS$1006,0)), HYPERLINK("#",""), HYPERLINK(CONCATENATE("#metadata!", ADDRESS(INDEX($X$2:$X$1001,MATCH(ROWS($V$2:V316),$V$2:$V$1001,0),0), INDEX($AC$1004:$AS$1004,1,MATCH(COLUMNS($AC$1006:AJ1006),$AC$1006:$AS$1006,0)))),"Fix")))</f>
        <v xml:space="preserve"> </v>
      </c>
      <c r="J316" s="4" t="str">
        <f ca="1">IF(OR(INDEX($W$2:$W$1001,MATCH(ROWS($V$2:V316),$V$2:$V$1001,0),1)&gt;=100000,INDEX($AC$1005:$AS$1005,1,MATCH(COLUMNS($AC$1006:AK1006),$AC$1006:$AS$1006,0))&gt;=100000), " ",IF(INDEX($AC$2:$AS$1001,MATCH(ROWS($V$2:V316),$V$2:$V$1001,0),MATCH(COLUMNS($AC$1006:AK1006),$AC$1006:$AS$1006,0)), HYPERLINK("#",""), HYPERLINK(CONCATENATE("#metadata!", ADDRESS(INDEX($X$2:$X$1001,MATCH(ROWS($V$2:V316),$V$2:$V$1001,0),0), INDEX($AC$1004:$AS$1004,1,MATCH(COLUMNS($AC$1006:AK1006),$AC$1006:$AS$1006,0)))),"Fix")))</f>
        <v xml:space="preserve"> </v>
      </c>
      <c r="K316" s="4" t="str">
        <f ca="1">IF(OR(INDEX($W$2:$W$1001,MATCH(ROWS($V$2:V316),$V$2:$V$1001,0),1)&gt;=100000,INDEX($AC$1005:$AS$1005,1,MATCH(COLUMNS($AC$1006:AL1006),$AC$1006:$AS$1006,0))&gt;=100000), " ",IF(INDEX($AC$2:$AS$1001,MATCH(ROWS($V$2:V316),$V$2:$V$1001,0),MATCH(COLUMNS($AC$1006:AL1006),$AC$1006:$AS$1006,0)), HYPERLINK("#",""), HYPERLINK(CONCATENATE("#metadata!", ADDRESS(INDEX($X$2:$X$1001,MATCH(ROWS($V$2:V316),$V$2:$V$1001,0),0), INDEX($AC$1004:$AS$1004,1,MATCH(COLUMNS($AC$1006:AL1006),$AC$1006:$AS$1006,0)))),"Fix")))</f>
        <v xml:space="preserve"> </v>
      </c>
      <c r="L316" s="4" t="str">
        <f ca="1">IF(OR(INDEX($W$2:$W$1001,MATCH(ROWS($V$2:V316),$V$2:$V$1001,0),1)&gt;=100000,INDEX($AC$1005:$AS$1005,1,MATCH(COLUMNS($AC$1006:AM1006),$AC$1006:$AS$1006,0))&gt;=100000), " ",IF(INDEX($AC$2:$AS$1001,MATCH(ROWS($V$2:V316),$V$2:$V$1001,0),MATCH(COLUMNS($AC$1006:AM1006),$AC$1006:$AS$1006,0)), HYPERLINK("#",""), HYPERLINK(CONCATENATE("#metadata!", ADDRESS(INDEX($X$2:$X$1001,MATCH(ROWS($V$2:V316),$V$2:$V$1001,0),0), INDEX($AC$1004:$AS$1004,1,MATCH(COLUMNS($AC$1006:AM1006),$AC$1006:$AS$1006,0)))),"Fix")))</f>
        <v xml:space="preserve"> </v>
      </c>
      <c r="M316" s="4" t="str">
        <f ca="1">IF(OR(INDEX($W$2:$W$1001,MATCH(ROWS($V$2:V316),$V$2:$V$1001,0),1)&gt;=100000,INDEX($AC$1005:$AS$1005,1,MATCH(COLUMNS($AC$1006:AN1006),$AC$1006:$AS$1006,0))&gt;=100000), " ",IF(INDEX($AC$2:$AS$1001,MATCH(ROWS($V$2:V316),$V$2:$V$1001,0),MATCH(COLUMNS($AC$1006:AN1006),$AC$1006:$AS$1006,0)), HYPERLINK("#",""), HYPERLINK(CONCATENATE("#metadata!", ADDRESS(INDEX($X$2:$X$1001,MATCH(ROWS($V$2:V316),$V$2:$V$1001,0),0), INDEX($AC$1004:$AS$1004,1,MATCH(COLUMNS($AC$1006:AN1006),$AC$1006:$AS$1006,0)))),"Fix")))</f>
        <v xml:space="preserve"> </v>
      </c>
      <c r="N316" s="4" t="str">
        <f ca="1">IF(OR(INDEX($W$2:$W$1001,MATCH(ROWS($V$2:V316),$V$2:$V$1001,0),1)&gt;=100000,INDEX($AC$1005:$AS$1005,1,MATCH(COLUMNS($AC$1006:AO1006),$AC$1006:$AS$1006,0))&gt;=100000), " ",IF(INDEX($AC$2:$AS$1001,MATCH(ROWS($V$2:V316),$V$2:$V$1001,0),MATCH(COLUMNS($AC$1006:AO1006),$AC$1006:$AS$1006,0)), HYPERLINK("#",""), HYPERLINK(CONCATENATE("#metadata!", ADDRESS(INDEX($X$2:$X$1001,MATCH(ROWS($V$2:V316),$V$2:$V$1001,0),0), INDEX($AC$1004:$AS$1004,1,MATCH(COLUMNS($AC$1006:AO1006),$AC$1006:$AS$1006,0)))),"Fix")))</f>
        <v xml:space="preserve"> </v>
      </c>
      <c r="O316" s="4" t="str">
        <f ca="1">IF(OR(INDEX($W$2:$W$1001,MATCH(ROWS($V$2:V316),$V$2:$V$1001,0),1)&gt;=100000,INDEX($AC$1005:$AS$1005,1,MATCH(COLUMNS($AC$1006:AP1006),$AC$1006:$AS$1006,0))&gt;=100000), " ",IF(INDEX($AC$2:$AS$1001,MATCH(ROWS($V$2:V316),$V$2:$V$1001,0),MATCH(COLUMNS($AC$1006:AP1006),$AC$1006:$AS$1006,0)), HYPERLINK("#",""), HYPERLINK(CONCATENATE("#metadata!", ADDRESS(INDEX($X$2:$X$1001,MATCH(ROWS($V$2:V316),$V$2:$V$1001,0),0), INDEX($AC$1004:$AS$1004,1,MATCH(COLUMNS($AC$1006:AP1006),$AC$1006:$AS$1006,0)))),"Fix")))</f>
        <v xml:space="preserve"> </v>
      </c>
      <c r="P316" s="4" t="str">
        <f ca="1">IF(OR(INDEX($W$2:$W$1001,MATCH(ROWS($V$2:V316),$V$2:$V$1001,0),1)&gt;=100000,INDEX($AC$1005:$AS$1005,1,MATCH(COLUMNS($AC$1006:AQ1006),$AC$1006:$AS$1006,0))&gt;=100000), " ",IF(INDEX($AC$2:$AS$1001,MATCH(ROWS($V$2:V316),$V$2:$V$1001,0),MATCH(COLUMNS($AC$1006:AQ1006),$AC$1006:$AS$1006,0)), HYPERLINK("#",""), HYPERLINK(CONCATENATE("#metadata!", ADDRESS(INDEX($X$2:$X$1001,MATCH(ROWS($V$2:V316),$V$2:$V$1001,0),0), INDEX($AC$1004:$AS$1004,1,MATCH(COLUMNS($AC$1006:AQ1006),$AC$1006:$AS$1006,0)))),"Fix")))</f>
        <v xml:space="preserve"> </v>
      </c>
      <c r="Q316" s="4" t="str">
        <f ca="1">IF(OR(INDEX($W$2:$W$1001,MATCH(ROWS($V$2:V316),$V$2:$V$1001,0),1)&gt;=100000,INDEX($AC$1005:$AS$1005,1,MATCH(COLUMNS($AC$1006:AR1006),$AC$1006:$AS$1006,0))&gt;=100000), " ",IF(INDEX($AC$2:$AS$1001,MATCH(ROWS($V$2:V316),$V$2:$V$1001,0),MATCH(COLUMNS($AC$1006:AR1006),$AC$1006:$AS$1006,0)), HYPERLINK("#",""), HYPERLINK(CONCATENATE("#metadata!", ADDRESS(INDEX($X$2:$X$1001,MATCH(ROWS($V$2:V316),$V$2:$V$1001,0),0), INDEX($AC$1004:$AS$1004,1,MATCH(COLUMNS($AC$1006:AR1006),$AC$1006:$AS$1006,0)))),"Fix")))</f>
        <v xml:space="preserve"> </v>
      </c>
      <c r="R316" s="4" t="str">
        <f ca="1">IF(OR(INDEX($W$2:$W$1001,MATCH(ROWS($V$2:V316),$V$2:$V$1001,0),1)&gt;=100000,INDEX($AC$1005:$AS$1005,1,MATCH(COLUMNS($AC$1006:AS1006),$AC$1006:$AS$1006,0))&gt;=100000), " ",IF(INDEX($AC$2:$AS$1001,MATCH(ROWS($V$2:V316),$V$2:$V$1001,0),MATCH(COLUMNS($AC$1006:AS1006),$AC$1006:$AS$1006,0)), HYPERLINK("#",""), HYPERLINK(CONCATENATE("#metadata!", ADDRESS(INDEX($X$2:$X$1001,MATCH(ROWS($V$2:V316),$V$2:$V$1001,0),0), INDEX($AC$1004:$AS$1004,1,MATCH(COLUMNS($AC$1006:AS1006),$AC$1006:$AS$1006,0)))),"Fix")))</f>
        <v xml:space="preserve"> </v>
      </c>
      <c r="V316">
        <v>315</v>
      </c>
      <c r="W316">
        <v>100316</v>
      </c>
      <c r="X316">
        <v>316</v>
      </c>
      <c r="Y316" t="b">
        <f t="shared" si="4"/>
        <v>1</v>
      </c>
      <c r="Z316" t="b">
        <f>COUNTBLANK(metadata!B316:R316)=COLUMNS(metadata!B316:R316)</f>
        <v>1</v>
      </c>
      <c r="AA316" t="str">
        <v/>
      </c>
      <c r="AC316" t="b">
        <f ca="1"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AD316" t="b">
        <f>IF(metadata!C316="",FALSE,ISNUMBER(VALUE(metadata!C316)))</f>
        <v>0</v>
      </c>
      <c r="AE316" t="b">
        <f>AND(IF(metadata!D316="",FALSE,TRUE),EXACT(metadata!D316,"years"))</f>
        <v>0</v>
      </c>
      <c r="AF316" t="b">
        <f>OR(AND(IF(metadata!E316="",FALSE,TRUE),OR(EXACT(metadata!E316,"not applicable"),EXACT(metadata!E316,"missing: not collected"),EXACT(metadata!E316,"missing: not provided"),EXACT(metadata!E316,"missing: restricted access"))),AND(IF(metadata!E316="",FALSE,ISNUMBER(VALUE(metadata!E316))),metadata!E316&gt;0))</f>
        <v>0</v>
      </c>
      <c r="AG316" t="b">
        <f>AND(IF(metadata!F316="",FALSE,TRUE),EXACT(metadata!F316,"Not applicable"))</f>
        <v>0</v>
      </c>
      <c r="AH316" t="b">
        <f>AND(IF(metadata!G316="",FALSE,TRUE),EXACT(metadata!G316,"urban biome"))</f>
        <v>0</v>
      </c>
      <c r="AI316" t="b">
        <f>AND(IF(metadata!H316="",FALSE,TRUE),EXACT(metadata!H316,"human-associated habitat"))</f>
        <v>0</v>
      </c>
      <c r="AJ316" t="b">
        <f>AND(IF(metadata!I316="",FALSE,TRUE),OR(EXACT(metadata!I316,"human-associated"),EXACT(metadata!I316,"human-skin"),EXACT(metadata!I316,"human-oral"),EXACT(metadata!I316,"human-gut"),EXACT(metadata!I316,"human-vaginal")))</f>
        <v>0</v>
      </c>
      <c r="AK316" t="b">
        <f>IF(metadata!J316="",FALSE,ISNUMBER(VALUE(metadata!J316)))</f>
        <v>0</v>
      </c>
      <c r="AL316" t="b">
        <f>AND(IF(metadata!K316="",FALSE,TRUE),EXACT(metadata!K316,"cm"))</f>
        <v>0</v>
      </c>
      <c r="AM316" t="b">
        <f>AND(IF(metadata!L316="",FALSE,TRUE),EXACT(metadata!L316,"human"))</f>
        <v>0</v>
      </c>
      <c r="AN316" t="b">
        <f>AND(IF(metadata!M316="",FALSE,TRUE),EXACT(metadata!M316,"Homo sapiens"))</f>
        <v>0</v>
      </c>
      <c r="AO316" t="b">
        <f>AND(IF(metadata!N316="",FALSE,TRUE),EXACT(metadata!N316,"9606"))</f>
        <v>0</v>
      </c>
      <c r="AP316" t="b">
        <f>IF(metadata!O316="",FALSE,TRUE)</f>
        <v>0</v>
      </c>
      <c r="AQ316" t="b">
        <f>IF(metadata!P316="",FALSE,TRUE)</f>
        <v>0</v>
      </c>
      <c r="AR316" t="b">
        <f>IF(metadata!Q316="",FALSE,ISNUMBER(VALUE(metadata!Q316)))</f>
        <v>0</v>
      </c>
      <c r="AS316" t="b">
        <f>AND(IF(metadata!R316="",FALSE,TRUE),EXACT(metadata!R316,"kg"))</f>
        <v>0</v>
      </c>
    </row>
    <row r="317" spans="1:45" x14ac:dyDescent="0.2">
      <c r="A317" s="5" t="str">
        <f ca="1">IF(B317=" "," ",HYPERLINK(CONCATENATE("#metadata!",ADDRESS(INDEX($X$2:$X$1001,MATCH(ROWS($V$2:V317),$V$2:$V$1001,0),0),1)),INDEX($AA$2:$AA$1001,MATCH(ROWS($V$2:V317),$V$2:$V$1001,0),0)))</f>
        <v xml:space="preserve"> </v>
      </c>
      <c r="B317" s="4" t="str">
        <f ca="1">IF(OR(INDEX($W$2:$W$1001,MATCH(ROWS($V$2:V317),$V$2:$V$1001,0),1)&gt;=100000,INDEX($AC$1005:$AS$1005,1,MATCH(COLUMNS($AC$1006:AC1006),$AC$1006:$AS$1006,0))&gt;=100000), " ",IF(INDEX($AC$2:$AS$1001,MATCH(ROWS($V$2:V317),$V$2:$V$1001,0),MATCH(COLUMNS($AC$1006:AC1006),$AC$1006:$AS$1006,0)), HYPERLINK("#",""), HYPERLINK(CONCATENATE("#metadata!", ADDRESS(INDEX($X$2:$X$1001,MATCH(ROWS($V$2:V317),$V$2:$V$1001,0),0), INDEX($AC$1004:$AS$1004,1,MATCH(COLUMNS($AC$1006:AC1006),$AC$1006:$AS$1006,0)))),"Fix")))</f>
        <v xml:space="preserve"> </v>
      </c>
      <c r="C317" s="4" t="str">
        <f ca="1">IF(OR(INDEX($W$2:$W$1001,MATCH(ROWS($V$2:V317),$V$2:$V$1001,0),1)&gt;=100000,INDEX($AC$1005:$AS$1005,1,MATCH(COLUMNS($AC$1006:AD1006),$AC$1006:$AS$1006,0))&gt;=100000), " ",IF(INDEX($AC$2:$AS$1001,MATCH(ROWS($V$2:V317),$V$2:$V$1001,0),MATCH(COLUMNS($AC$1006:AD1006),$AC$1006:$AS$1006,0)), HYPERLINK("#",""), HYPERLINK(CONCATENATE("#metadata!", ADDRESS(INDEX($X$2:$X$1001,MATCH(ROWS($V$2:V317),$V$2:$V$1001,0),0), INDEX($AC$1004:$AS$1004,1,MATCH(COLUMNS($AC$1006:AD1006),$AC$1006:$AS$1006,0)))),"Fix")))</f>
        <v xml:space="preserve"> </v>
      </c>
      <c r="D317" s="4" t="str">
        <f ca="1">IF(OR(INDEX($W$2:$W$1001,MATCH(ROWS($V$2:V317),$V$2:$V$1001,0),1)&gt;=100000,INDEX($AC$1005:$AS$1005,1,MATCH(COLUMNS($AC$1006:AE1006),$AC$1006:$AS$1006,0))&gt;=100000), " ",IF(INDEX($AC$2:$AS$1001,MATCH(ROWS($V$2:V317),$V$2:$V$1001,0),MATCH(COLUMNS($AC$1006:AE1006),$AC$1006:$AS$1006,0)), HYPERLINK("#",""), HYPERLINK(CONCATENATE("#metadata!", ADDRESS(INDEX($X$2:$X$1001,MATCH(ROWS($V$2:V317),$V$2:$V$1001,0),0), INDEX($AC$1004:$AS$1004,1,MATCH(COLUMNS($AC$1006:AE1006),$AC$1006:$AS$1006,0)))),"Fix")))</f>
        <v xml:space="preserve"> </v>
      </c>
      <c r="E317" s="4" t="str">
        <f ca="1">IF(OR(INDEX($W$2:$W$1001,MATCH(ROWS($V$2:V317),$V$2:$V$1001,0),1)&gt;=100000,INDEX($AC$1005:$AS$1005,1,MATCH(COLUMNS($AC$1006:AF1006),$AC$1006:$AS$1006,0))&gt;=100000), " ",IF(INDEX($AC$2:$AS$1001,MATCH(ROWS($V$2:V317),$V$2:$V$1001,0),MATCH(COLUMNS($AC$1006:AF1006),$AC$1006:$AS$1006,0)), HYPERLINK("#",""), HYPERLINK(CONCATENATE("#metadata!", ADDRESS(INDEX($X$2:$X$1001,MATCH(ROWS($V$2:V317),$V$2:$V$1001,0),0), INDEX($AC$1004:$AS$1004,1,MATCH(COLUMNS($AC$1006:AF1006),$AC$1006:$AS$1006,0)))),"Fix")))</f>
        <v xml:space="preserve"> </v>
      </c>
      <c r="F317" s="4" t="str">
        <f ca="1">IF(OR(INDEX($W$2:$W$1001,MATCH(ROWS($V$2:V317),$V$2:$V$1001,0),1)&gt;=100000,INDEX($AC$1005:$AS$1005,1,MATCH(COLUMNS($AC$1006:AG1006),$AC$1006:$AS$1006,0))&gt;=100000), " ",IF(INDEX($AC$2:$AS$1001,MATCH(ROWS($V$2:V317),$V$2:$V$1001,0),MATCH(COLUMNS($AC$1006:AG1006),$AC$1006:$AS$1006,0)), HYPERLINK("#",""), HYPERLINK(CONCATENATE("#metadata!", ADDRESS(INDEX($X$2:$X$1001,MATCH(ROWS($V$2:V317),$V$2:$V$1001,0),0), INDEX($AC$1004:$AS$1004,1,MATCH(COLUMNS($AC$1006:AG1006),$AC$1006:$AS$1006,0)))),"Fix")))</f>
        <v xml:space="preserve"> </v>
      </c>
      <c r="G317" s="4" t="str">
        <f ca="1">IF(OR(INDEX($W$2:$W$1001,MATCH(ROWS($V$2:V317),$V$2:$V$1001,0),1)&gt;=100000,INDEX($AC$1005:$AS$1005,1,MATCH(COLUMNS($AC$1006:AH1006),$AC$1006:$AS$1006,0))&gt;=100000), " ",IF(INDEX($AC$2:$AS$1001,MATCH(ROWS($V$2:V317),$V$2:$V$1001,0),MATCH(COLUMNS($AC$1006:AH1006),$AC$1006:$AS$1006,0)), HYPERLINK("#",""), HYPERLINK(CONCATENATE("#metadata!", ADDRESS(INDEX($X$2:$X$1001,MATCH(ROWS($V$2:V317),$V$2:$V$1001,0),0), INDEX($AC$1004:$AS$1004,1,MATCH(COLUMNS($AC$1006:AH1006),$AC$1006:$AS$1006,0)))),"Fix")))</f>
        <v xml:space="preserve"> </v>
      </c>
      <c r="H317" s="4" t="str">
        <f ca="1">IF(OR(INDEX($W$2:$W$1001,MATCH(ROWS($V$2:V317),$V$2:$V$1001,0),1)&gt;=100000,INDEX($AC$1005:$AS$1005,1,MATCH(COLUMNS($AC$1006:AI1006),$AC$1006:$AS$1006,0))&gt;=100000), " ",IF(INDEX($AC$2:$AS$1001,MATCH(ROWS($V$2:V317),$V$2:$V$1001,0),MATCH(COLUMNS($AC$1006:AI1006),$AC$1006:$AS$1006,0)), HYPERLINK("#",""), HYPERLINK(CONCATENATE("#metadata!", ADDRESS(INDEX($X$2:$X$1001,MATCH(ROWS($V$2:V317),$V$2:$V$1001,0),0), INDEX($AC$1004:$AS$1004,1,MATCH(COLUMNS($AC$1006:AI1006),$AC$1006:$AS$1006,0)))),"Fix")))</f>
        <v xml:space="preserve"> </v>
      </c>
      <c r="I317" s="4" t="str">
        <f ca="1">IF(OR(INDEX($W$2:$W$1001,MATCH(ROWS($V$2:V317),$V$2:$V$1001,0),1)&gt;=100000,INDEX($AC$1005:$AS$1005,1,MATCH(COLUMNS($AC$1006:AJ1006),$AC$1006:$AS$1006,0))&gt;=100000), " ",IF(INDEX($AC$2:$AS$1001,MATCH(ROWS($V$2:V317),$V$2:$V$1001,0),MATCH(COLUMNS($AC$1006:AJ1006),$AC$1006:$AS$1006,0)), HYPERLINK("#",""), HYPERLINK(CONCATENATE("#metadata!", ADDRESS(INDEX($X$2:$X$1001,MATCH(ROWS($V$2:V317),$V$2:$V$1001,0),0), INDEX($AC$1004:$AS$1004,1,MATCH(COLUMNS($AC$1006:AJ1006),$AC$1006:$AS$1006,0)))),"Fix")))</f>
        <v xml:space="preserve"> </v>
      </c>
      <c r="J317" s="4" t="str">
        <f ca="1">IF(OR(INDEX($W$2:$W$1001,MATCH(ROWS($V$2:V317),$V$2:$V$1001,0),1)&gt;=100000,INDEX($AC$1005:$AS$1005,1,MATCH(COLUMNS($AC$1006:AK1006),$AC$1006:$AS$1006,0))&gt;=100000), " ",IF(INDEX($AC$2:$AS$1001,MATCH(ROWS($V$2:V317),$V$2:$V$1001,0),MATCH(COLUMNS($AC$1006:AK1006),$AC$1006:$AS$1006,0)), HYPERLINK("#",""), HYPERLINK(CONCATENATE("#metadata!", ADDRESS(INDEX($X$2:$X$1001,MATCH(ROWS($V$2:V317),$V$2:$V$1001,0),0), INDEX($AC$1004:$AS$1004,1,MATCH(COLUMNS($AC$1006:AK1006),$AC$1006:$AS$1006,0)))),"Fix")))</f>
        <v xml:space="preserve"> </v>
      </c>
      <c r="K317" s="4" t="str">
        <f ca="1">IF(OR(INDEX($W$2:$W$1001,MATCH(ROWS($V$2:V317),$V$2:$V$1001,0),1)&gt;=100000,INDEX($AC$1005:$AS$1005,1,MATCH(COLUMNS($AC$1006:AL1006),$AC$1006:$AS$1006,0))&gt;=100000), " ",IF(INDEX($AC$2:$AS$1001,MATCH(ROWS($V$2:V317),$V$2:$V$1001,0),MATCH(COLUMNS($AC$1006:AL1006),$AC$1006:$AS$1006,0)), HYPERLINK("#",""), HYPERLINK(CONCATENATE("#metadata!", ADDRESS(INDEX($X$2:$X$1001,MATCH(ROWS($V$2:V317),$V$2:$V$1001,0),0), INDEX($AC$1004:$AS$1004,1,MATCH(COLUMNS($AC$1006:AL1006),$AC$1006:$AS$1006,0)))),"Fix")))</f>
        <v xml:space="preserve"> </v>
      </c>
      <c r="L317" s="4" t="str">
        <f ca="1">IF(OR(INDEX($W$2:$W$1001,MATCH(ROWS($V$2:V317),$V$2:$V$1001,0),1)&gt;=100000,INDEX($AC$1005:$AS$1005,1,MATCH(COLUMNS($AC$1006:AM1006),$AC$1006:$AS$1006,0))&gt;=100000), " ",IF(INDEX($AC$2:$AS$1001,MATCH(ROWS($V$2:V317),$V$2:$V$1001,0),MATCH(COLUMNS($AC$1006:AM1006),$AC$1006:$AS$1006,0)), HYPERLINK("#",""), HYPERLINK(CONCATENATE("#metadata!", ADDRESS(INDEX($X$2:$X$1001,MATCH(ROWS($V$2:V317),$V$2:$V$1001,0),0), INDEX($AC$1004:$AS$1004,1,MATCH(COLUMNS($AC$1006:AM1006),$AC$1006:$AS$1006,0)))),"Fix")))</f>
        <v xml:space="preserve"> </v>
      </c>
      <c r="M317" s="4" t="str">
        <f ca="1">IF(OR(INDEX($W$2:$W$1001,MATCH(ROWS($V$2:V317),$V$2:$V$1001,0),1)&gt;=100000,INDEX($AC$1005:$AS$1005,1,MATCH(COLUMNS($AC$1006:AN1006),$AC$1006:$AS$1006,0))&gt;=100000), " ",IF(INDEX($AC$2:$AS$1001,MATCH(ROWS($V$2:V317),$V$2:$V$1001,0),MATCH(COLUMNS($AC$1006:AN1006),$AC$1006:$AS$1006,0)), HYPERLINK("#",""), HYPERLINK(CONCATENATE("#metadata!", ADDRESS(INDEX($X$2:$X$1001,MATCH(ROWS($V$2:V317),$V$2:$V$1001,0),0), INDEX($AC$1004:$AS$1004,1,MATCH(COLUMNS($AC$1006:AN1006),$AC$1006:$AS$1006,0)))),"Fix")))</f>
        <v xml:space="preserve"> </v>
      </c>
      <c r="N317" s="4" t="str">
        <f ca="1">IF(OR(INDEX($W$2:$W$1001,MATCH(ROWS($V$2:V317),$V$2:$V$1001,0),1)&gt;=100000,INDEX($AC$1005:$AS$1005,1,MATCH(COLUMNS($AC$1006:AO1006),$AC$1006:$AS$1006,0))&gt;=100000), " ",IF(INDEX($AC$2:$AS$1001,MATCH(ROWS($V$2:V317),$V$2:$V$1001,0),MATCH(COLUMNS($AC$1006:AO1006),$AC$1006:$AS$1006,0)), HYPERLINK("#",""), HYPERLINK(CONCATENATE("#metadata!", ADDRESS(INDEX($X$2:$X$1001,MATCH(ROWS($V$2:V317),$V$2:$V$1001,0),0), INDEX($AC$1004:$AS$1004,1,MATCH(COLUMNS($AC$1006:AO1006),$AC$1006:$AS$1006,0)))),"Fix")))</f>
        <v xml:space="preserve"> </v>
      </c>
      <c r="O317" s="4" t="str">
        <f ca="1">IF(OR(INDEX($W$2:$W$1001,MATCH(ROWS($V$2:V317),$V$2:$V$1001,0),1)&gt;=100000,INDEX($AC$1005:$AS$1005,1,MATCH(COLUMNS($AC$1006:AP1006),$AC$1006:$AS$1006,0))&gt;=100000), " ",IF(INDEX($AC$2:$AS$1001,MATCH(ROWS($V$2:V317),$V$2:$V$1001,0),MATCH(COLUMNS($AC$1006:AP1006),$AC$1006:$AS$1006,0)), HYPERLINK("#",""), HYPERLINK(CONCATENATE("#metadata!", ADDRESS(INDEX($X$2:$X$1001,MATCH(ROWS($V$2:V317),$V$2:$V$1001,0),0), INDEX($AC$1004:$AS$1004,1,MATCH(COLUMNS($AC$1006:AP1006),$AC$1006:$AS$1006,0)))),"Fix")))</f>
        <v xml:space="preserve"> </v>
      </c>
      <c r="P317" s="4" t="str">
        <f ca="1">IF(OR(INDEX($W$2:$W$1001,MATCH(ROWS($V$2:V317),$V$2:$V$1001,0),1)&gt;=100000,INDEX($AC$1005:$AS$1005,1,MATCH(COLUMNS($AC$1006:AQ1006),$AC$1006:$AS$1006,0))&gt;=100000), " ",IF(INDEX($AC$2:$AS$1001,MATCH(ROWS($V$2:V317),$V$2:$V$1001,0),MATCH(COLUMNS($AC$1006:AQ1006),$AC$1006:$AS$1006,0)), HYPERLINK("#",""), HYPERLINK(CONCATENATE("#metadata!", ADDRESS(INDEX($X$2:$X$1001,MATCH(ROWS($V$2:V317),$V$2:$V$1001,0),0), INDEX($AC$1004:$AS$1004,1,MATCH(COLUMNS($AC$1006:AQ1006),$AC$1006:$AS$1006,0)))),"Fix")))</f>
        <v xml:space="preserve"> </v>
      </c>
      <c r="Q317" s="4" t="str">
        <f ca="1">IF(OR(INDEX($W$2:$W$1001,MATCH(ROWS($V$2:V317),$V$2:$V$1001,0),1)&gt;=100000,INDEX($AC$1005:$AS$1005,1,MATCH(COLUMNS($AC$1006:AR1006),$AC$1006:$AS$1006,0))&gt;=100000), " ",IF(INDEX($AC$2:$AS$1001,MATCH(ROWS($V$2:V317),$V$2:$V$1001,0),MATCH(COLUMNS($AC$1006:AR1006),$AC$1006:$AS$1006,0)), HYPERLINK("#",""), HYPERLINK(CONCATENATE("#metadata!", ADDRESS(INDEX($X$2:$X$1001,MATCH(ROWS($V$2:V317),$V$2:$V$1001,0),0), INDEX($AC$1004:$AS$1004,1,MATCH(COLUMNS($AC$1006:AR1006),$AC$1006:$AS$1006,0)))),"Fix")))</f>
        <v xml:space="preserve"> </v>
      </c>
      <c r="R317" s="4" t="str">
        <f ca="1">IF(OR(INDEX($W$2:$W$1001,MATCH(ROWS($V$2:V317),$V$2:$V$1001,0),1)&gt;=100000,INDEX($AC$1005:$AS$1005,1,MATCH(COLUMNS($AC$1006:AS1006),$AC$1006:$AS$1006,0))&gt;=100000), " ",IF(INDEX($AC$2:$AS$1001,MATCH(ROWS($V$2:V317),$V$2:$V$1001,0),MATCH(COLUMNS($AC$1006:AS1006),$AC$1006:$AS$1006,0)), HYPERLINK("#",""), HYPERLINK(CONCATENATE("#metadata!", ADDRESS(INDEX($X$2:$X$1001,MATCH(ROWS($V$2:V317),$V$2:$V$1001,0),0), INDEX($AC$1004:$AS$1004,1,MATCH(COLUMNS($AC$1006:AS1006),$AC$1006:$AS$1006,0)))),"Fix")))</f>
        <v xml:space="preserve"> </v>
      </c>
      <c r="V317">
        <v>316</v>
      </c>
      <c r="W317">
        <v>100317</v>
      </c>
      <c r="X317">
        <v>317</v>
      </c>
      <c r="Y317" t="b">
        <f t="shared" si="4"/>
        <v>1</v>
      </c>
      <c r="Z317" t="b">
        <f>COUNTBLANK(metadata!B317:R317)=COLUMNS(metadata!B317:R317)</f>
        <v>1</v>
      </c>
      <c r="AA317" t="str">
        <v/>
      </c>
      <c r="AC317" t="b">
        <f ca="1"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AD317" t="b">
        <f>IF(metadata!C317="",FALSE,ISNUMBER(VALUE(metadata!C317)))</f>
        <v>0</v>
      </c>
      <c r="AE317" t="b">
        <f>AND(IF(metadata!D317="",FALSE,TRUE),EXACT(metadata!D317,"years"))</f>
        <v>0</v>
      </c>
      <c r="AF317" t="b">
        <f>OR(AND(IF(metadata!E317="",FALSE,TRUE),OR(EXACT(metadata!E317,"not applicable"),EXACT(metadata!E317,"missing: not collected"),EXACT(metadata!E317,"missing: not provided"),EXACT(metadata!E317,"missing: restricted access"))),AND(IF(metadata!E317="",FALSE,ISNUMBER(VALUE(metadata!E317))),metadata!E317&gt;0))</f>
        <v>0</v>
      </c>
      <c r="AG317" t="b">
        <f>AND(IF(metadata!F317="",FALSE,TRUE),EXACT(metadata!F317,"Not applicable"))</f>
        <v>0</v>
      </c>
      <c r="AH317" t="b">
        <f>AND(IF(metadata!G317="",FALSE,TRUE),EXACT(metadata!G317,"urban biome"))</f>
        <v>0</v>
      </c>
      <c r="AI317" t="b">
        <f>AND(IF(metadata!H317="",FALSE,TRUE),EXACT(metadata!H317,"human-associated habitat"))</f>
        <v>0</v>
      </c>
      <c r="AJ317" t="b">
        <f>AND(IF(metadata!I317="",FALSE,TRUE),OR(EXACT(metadata!I317,"human-associated"),EXACT(metadata!I317,"human-skin"),EXACT(metadata!I317,"human-oral"),EXACT(metadata!I317,"human-gut"),EXACT(metadata!I317,"human-vaginal")))</f>
        <v>0</v>
      </c>
      <c r="AK317" t="b">
        <f>IF(metadata!J317="",FALSE,ISNUMBER(VALUE(metadata!J317)))</f>
        <v>0</v>
      </c>
      <c r="AL317" t="b">
        <f>AND(IF(metadata!K317="",FALSE,TRUE),EXACT(metadata!K317,"cm"))</f>
        <v>0</v>
      </c>
      <c r="AM317" t="b">
        <f>AND(IF(metadata!L317="",FALSE,TRUE),EXACT(metadata!L317,"human"))</f>
        <v>0</v>
      </c>
      <c r="AN317" t="b">
        <f>AND(IF(metadata!M317="",FALSE,TRUE),EXACT(metadata!M317,"Homo sapiens"))</f>
        <v>0</v>
      </c>
      <c r="AO317" t="b">
        <f>AND(IF(metadata!N317="",FALSE,TRUE),EXACT(metadata!N317,"9606"))</f>
        <v>0</v>
      </c>
      <c r="AP317" t="b">
        <f>IF(metadata!O317="",FALSE,TRUE)</f>
        <v>0</v>
      </c>
      <c r="AQ317" t="b">
        <f>IF(metadata!P317="",FALSE,TRUE)</f>
        <v>0</v>
      </c>
      <c r="AR317" t="b">
        <f>IF(metadata!Q317="",FALSE,ISNUMBER(VALUE(metadata!Q317)))</f>
        <v>0</v>
      </c>
      <c r="AS317" t="b">
        <f>AND(IF(metadata!R317="",FALSE,TRUE),EXACT(metadata!R317,"kg"))</f>
        <v>0</v>
      </c>
    </row>
    <row r="318" spans="1:45" x14ac:dyDescent="0.2">
      <c r="A318" s="5" t="str">
        <f ca="1">IF(B318=" "," ",HYPERLINK(CONCATENATE("#metadata!",ADDRESS(INDEX($X$2:$X$1001,MATCH(ROWS($V$2:V318),$V$2:$V$1001,0),0),1)),INDEX($AA$2:$AA$1001,MATCH(ROWS($V$2:V318),$V$2:$V$1001,0),0)))</f>
        <v xml:space="preserve"> </v>
      </c>
      <c r="B318" s="4" t="str">
        <f ca="1">IF(OR(INDEX($W$2:$W$1001,MATCH(ROWS($V$2:V318),$V$2:$V$1001,0),1)&gt;=100000,INDEX($AC$1005:$AS$1005,1,MATCH(COLUMNS($AC$1006:AC1006),$AC$1006:$AS$1006,0))&gt;=100000), " ",IF(INDEX($AC$2:$AS$1001,MATCH(ROWS($V$2:V318),$V$2:$V$1001,0),MATCH(COLUMNS($AC$1006:AC1006),$AC$1006:$AS$1006,0)), HYPERLINK("#",""), HYPERLINK(CONCATENATE("#metadata!", ADDRESS(INDEX($X$2:$X$1001,MATCH(ROWS($V$2:V318),$V$2:$V$1001,0),0), INDEX($AC$1004:$AS$1004,1,MATCH(COLUMNS($AC$1006:AC1006),$AC$1006:$AS$1006,0)))),"Fix")))</f>
        <v xml:space="preserve"> </v>
      </c>
      <c r="C318" s="4" t="str">
        <f ca="1">IF(OR(INDEX($W$2:$W$1001,MATCH(ROWS($V$2:V318),$V$2:$V$1001,0),1)&gt;=100000,INDEX($AC$1005:$AS$1005,1,MATCH(COLUMNS($AC$1006:AD1006),$AC$1006:$AS$1006,0))&gt;=100000), " ",IF(INDEX($AC$2:$AS$1001,MATCH(ROWS($V$2:V318),$V$2:$V$1001,0),MATCH(COLUMNS($AC$1006:AD1006),$AC$1006:$AS$1006,0)), HYPERLINK("#",""), HYPERLINK(CONCATENATE("#metadata!", ADDRESS(INDEX($X$2:$X$1001,MATCH(ROWS($V$2:V318),$V$2:$V$1001,0),0), INDEX($AC$1004:$AS$1004,1,MATCH(COLUMNS($AC$1006:AD1006),$AC$1006:$AS$1006,0)))),"Fix")))</f>
        <v xml:space="preserve"> </v>
      </c>
      <c r="D318" s="4" t="str">
        <f ca="1">IF(OR(INDEX($W$2:$W$1001,MATCH(ROWS($V$2:V318),$V$2:$V$1001,0),1)&gt;=100000,INDEX($AC$1005:$AS$1005,1,MATCH(COLUMNS($AC$1006:AE1006),$AC$1006:$AS$1006,0))&gt;=100000), " ",IF(INDEX($AC$2:$AS$1001,MATCH(ROWS($V$2:V318),$V$2:$V$1001,0),MATCH(COLUMNS($AC$1006:AE1006),$AC$1006:$AS$1006,0)), HYPERLINK("#",""), HYPERLINK(CONCATENATE("#metadata!", ADDRESS(INDEX($X$2:$X$1001,MATCH(ROWS($V$2:V318),$V$2:$V$1001,0),0), INDEX($AC$1004:$AS$1004,1,MATCH(COLUMNS($AC$1006:AE1006),$AC$1006:$AS$1006,0)))),"Fix")))</f>
        <v xml:space="preserve"> </v>
      </c>
      <c r="E318" s="4" t="str">
        <f ca="1">IF(OR(INDEX($W$2:$W$1001,MATCH(ROWS($V$2:V318),$V$2:$V$1001,0),1)&gt;=100000,INDEX($AC$1005:$AS$1005,1,MATCH(COLUMNS($AC$1006:AF1006),$AC$1006:$AS$1006,0))&gt;=100000), " ",IF(INDEX($AC$2:$AS$1001,MATCH(ROWS($V$2:V318),$V$2:$V$1001,0),MATCH(COLUMNS($AC$1006:AF1006),$AC$1006:$AS$1006,0)), HYPERLINK("#",""), HYPERLINK(CONCATENATE("#metadata!", ADDRESS(INDEX($X$2:$X$1001,MATCH(ROWS($V$2:V318),$V$2:$V$1001,0),0), INDEX($AC$1004:$AS$1004,1,MATCH(COLUMNS($AC$1006:AF1006),$AC$1006:$AS$1006,0)))),"Fix")))</f>
        <v xml:space="preserve"> </v>
      </c>
      <c r="F318" s="4" t="str">
        <f ca="1">IF(OR(INDEX($W$2:$W$1001,MATCH(ROWS($V$2:V318),$V$2:$V$1001,0),1)&gt;=100000,INDEX($AC$1005:$AS$1005,1,MATCH(COLUMNS($AC$1006:AG1006),$AC$1006:$AS$1006,0))&gt;=100000), " ",IF(INDEX($AC$2:$AS$1001,MATCH(ROWS($V$2:V318),$V$2:$V$1001,0),MATCH(COLUMNS($AC$1006:AG1006),$AC$1006:$AS$1006,0)), HYPERLINK("#",""), HYPERLINK(CONCATENATE("#metadata!", ADDRESS(INDEX($X$2:$X$1001,MATCH(ROWS($V$2:V318),$V$2:$V$1001,0),0), INDEX($AC$1004:$AS$1004,1,MATCH(COLUMNS($AC$1006:AG1006),$AC$1006:$AS$1006,0)))),"Fix")))</f>
        <v xml:space="preserve"> </v>
      </c>
      <c r="G318" s="4" t="str">
        <f ca="1">IF(OR(INDEX($W$2:$W$1001,MATCH(ROWS($V$2:V318),$V$2:$V$1001,0),1)&gt;=100000,INDEX($AC$1005:$AS$1005,1,MATCH(COLUMNS($AC$1006:AH1006),$AC$1006:$AS$1006,0))&gt;=100000), " ",IF(INDEX($AC$2:$AS$1001,MATCH(ROWS($V$2:V318),$V$2:$V$1001,0),MATCH(COLUMNS($AC$1006:AH1006),$AC$1006:$AS$1006,0)), HYPERLINK("#",""), HYPERLINK(CONCATENATE("#metadata!", ADDRESS(INDEX($X$2:$X$1001,MATCH(ROWS($V$2:V318),$V$2:$V$1001,0),0), INDEX($AC$1004:$AS$1004,1,MATCH(COLUMNS($AC$1006:AH1006),$AC$1006:$AS$1006,0)))),"Fix")))</f>
        <v xml:space="preserve"> </v>
      </c>
      <c r="H318" s="4" t="str">
        <f ca="1">IF(OR(INDEX($W$2:$W$1001,MATCH(ROWS($V$2:V318),$V$2:$V$1001,0),1)&gt;=100000,INDEX($AC$1005:$AS$1005,1,MATCH(COLUMNS($AC$1006:AI1006),$AC$1006:$AS$1006,0))&gt;=100000), " ",IF(INDEX($AC$2:$AS$1001,MATCH(ROWS($V$2:V318),$V$2:$V$1001,0),MATCH(COLUMNS($AC$1006:AI1006),$AC$1006:$AS$1006,0)), HYPERLINK("#",""), HYPERLINK(CONCATENATE("#metadata!", ADDRESS(INDEX($X$2:$X$1001,MATCH(ROWS($V$2:V318),$V$2:$V$1001,0),0), INDEX($AC$1004:$AS$1004,1,MATCH(COLUMNS($AC$1006:AI1006),$AC$1006:$AS$1006,0)))),"Fix")))</f>
        <v xml:space="preserve"> </v>
      </c>
      <c r="I318" s="4" t="str">
        <f ca="1">IF(OR(INDEX($W$2:$W$1001,MATCH(ROWS($V$2:V318),$V$2:$V$1001,0),1)&gt;=100000,INDEX($AC$1005:$AS$1005,1,MATCH(COLUMNS($AC$1006:AJ1006),$AC$1006:$AS$1006,0))&gt;=100000), " ",IF(INDEX($AC$2:$AS$1001,MATCH(ROWS($V$2:V318),$V$2:$V$1001,0),MATCH(COLUMNS($AC$1006:AJ1006),$AC$1006:$AS$1006,0)), HYPERLINK("#",""), HYPERLINK(CONCATENATE("#metadata!", ADDRESS(INDEX($X$2:$X$1001,MATCH(ROWS($V$2:V318),$V$2:$V$1001,0),0), INDEX($AC$1004:$AS$1004,1,MATCH(COLUMNS($AC$1006:AJ1006),$AC$1006:$AS$1006,0)))),"Fix")))</f>
        <v xml:space="preserve"> </v>
      </c>
      <c r="J318" s="4" t="str">
        <f ca="1">IF(OR(INDEX($W$2:$W$1001,MATCH(ROWS($V$2:V318),$V$2:$V$1001,0),1)&gt;=100000,INDEX($AC$1005:$AS$1005,1,MATCH(COLUMNS($AC$1006:AK1006),$AC$1006:$AS$1006,0))&gt;=100000), " ",IF(INDEX($AC$2:$AS$1001,MATCH(ROWS($V$2:V318),$V$2:$V$1001,0),MATCH(COLUMNS($AC$1006:AK1006),$AC$1006:$AS$1006,0)), HYPERLINK("#",""), HYPERLINK(CONCATENATE("#metadata!", ADDRESS(INDEX($X$2:$X$1001,MATCH(ROWS($V$2:V318),$V$2:$V$1001,0),0), INDEX($AC$1004:$AS$1004,1,MATCH(COLUMNS($AC$1006:AK1006),$AC$1006:$AS$1006,0)))),"Fix")))</f>
        <v xml:space="preserve"> </v>
      </c>
      <c r="K318" s="4" t="str">
        <f ca="1">IF(OR(INDEX($W$2:$W$1001,MATCH(ROWS($V$2:V318),$V$2:$V$1001,0),1)&gt;=100000,INDEX($AC$1005:$AS$1005,1,MATCH(COLUMNS($AC$1006:AL1006),$AC$1006:$AS$1006,0))&gt;=100000), " ",IF(INDEX($AC$2:$AS$1001,MATCH(ROWS($V$2:V318),$V$2:$V$1001,0),MATCH(COLUMNS($AC$1006:AL1006),$AC$1006:$AS$1006,0)), HYPERLINK("#",""), HYPERLINK(CONCATENATE("#metadata!", ADDRESS(INDEX($X$2:$X$1001,MATCH(ROWS($V$2:V318),$V$2:$V$1001,0),0), INDEX($AC$1004:$AS$1004,1,MATCH(COLUMNS($AC$1006:AL1006),$AC$1006:$AS$1006,0)))),"Fix")))</f>
        <v xml:space="preserve"> </v>
      </c>
      <c r="L318" s="4" t="str">
        <f ca="1">IF(OR(INDEX($W$2:$W$1001,MATCH(ROWS($V$2:V318),$V$2:$V$1001,0),1)&gt;=100000,INDEX($AC$1005:$AS$1005,1,MATCH(COLUMNS($AC$1006:AM1006),$AC$1006:$AS$1006,0))&gt;=100000), " ",IF(INDEX($AC$2:$AS$1001,MATCH(ROWS($V$2:V318),$V$2:$V$1001,0),MATCH(COLUMNS($AC$1006:AM1006),$AC$1006:$AS$1006,0)), HYPERLINK("#",""), HYPERLINK(CONCATENATE("#metadata!", ADDRESS(INDEX($X$2:$X$1001,MATCH(ROWS($V$2:V318),$V$2:$V$1001,0),0), INDEX($AC$1004:$AS$1004,1,MATCH(COLUMNS($AC$1006:AM1006),$AC$1006:$AS$1006,0)))),"Fix")))</f>
        <v xml:space="preserve"> </v>
      </c>
      <c r="M318" s="4" t="str">
        <f ca="1">IF(OR(INDEX($W$2:$W$1001,MATCH(ROWS($V$2:V318),$V$2:$V$1001,0),1)&gt;=100000,INDEX($AC$1005:$AS$1005,1,MATCH(COLUMNS($AC$1006:AN1006),$AC$1006:$AS$1006,0))&gt;=100000), " ",IF(INDEX($AC$2:$AS$1001,MATCH(ROWS($V$2:V318),$V$2:$V$1001,0),MATCH(COLUMNS($AC$1006:AN1006),$AC$1006:$AS$1006,0)), HYPERLINK("#",""), HYPERLINK(CONCATENATE("#metadata!", ADDRESS(INDEX($X$2:$X$1001,MATCH(ROWS($V$2:V318),$V$2:$V$1001,0),0), INDEX($AC$1004:$AS$1004,1,MATCH(COLUMNS($AC$1006:AN1006),$AC$1006:$AS$1006,0)))),"Fix")))</f>
        <v xml:space="preserve"> </v>
      </c>
      <c r="N318" s="4" t="str">
        <f ca="1">IF(OR(INDEX($W$2:$W$1001,MATCH(ROWS($V$2:V318),$V$2:$V$1001,0),1)&gt;=100000,INDEX($AC$1005:$AS$1005,1,MATCH(COLUMNS($AC$1006:AO1006),$AC$1006:$AS$1006,0))&gt;=100000), " ",IF(INDEX($AC$2:$AS$1001,MATCH(ROWS($V$2:V318),$V$2:$V$1001,0),MATCH(COLUMNS($AC$1006:AO1006),$AC$1006:$AS$1006,0)), HYPERLINK("#",""), HYPERLINK(CONCATENATE("#metadata!", ADDRESS(INDEX($X$2:$X$1001,MATCH(ROWS($V$2:V318),$V$2:$V$1001,0),0), INDEX($AC$1004:$AS$1004,1,MATCH(COLUMNS($AC$1006:AO1006),$AC$1006:$AS$1006,0)))),"Fix")))</f>
        <v xml:space="preserve"> </v>
      </c>
      <c r="O318" s="4" t="str">
        <f ca="1">IF(OR(INDEX($W$2:$W$1001,MATCH(ROWS($V$2:V318),$V$2:$V$1001,0),1)&gt;=100000,INDEX($AC$1005:$AS$1005,1,MATCH(COLUMNS($AC$1006:AP1006),$AC$1006:$AS$1006,0))&gt;=100000), " ",IF(INDEX($AC$2:$AS$1001,MATCH(ROWS($V$2:V318),$V$2:$V$1001,0),MATCH(COLUMNS($AC$1006:AP1006),$AC$1006:$AS$1006,0)), HYPERLINK("#",""), HYPERLINK(CONCATENATE("#metadata!", ADDRESS(INDEX($X$2:$X$1001,MATCH(ROWS($V$2:V318),$V$2:$V$1001,0),0), INDEX($AC$1004:$AS$1004,1,MATCH(COLUMNS($AC$1006:AP1006),$AC$1006:$AS$1006,0)))),"Fix")))</f>
        <v xml:space="preserve"> </v>
      </c>
      <c r="P318" s="4" t="str">
        <f ca="1">IF(OR(INDEX($W$2:$W$1001,MATCH(ROWS($V$2:V318),$V$2:$V$1001,0),1)&gt;=100000,INDEX($AC$1005:$AS$1005,1,MATCH(COLUMNS($AC$1006:AQ1006),$AC$1006:$AS$1006,0))&gt;=100000), " ",IF(INDEX($AC$2:$AS$1001,MATCH(ROWS($V$2:V318),$V$2:$V$1001,0),MATCH(COLUMNS($AC$1006:AQ1006),$AC$1006:$AS$1006,0)), HYPERLINK("#",""), HYPERLINK(CONCATENATE("#metadata!", ADDRESS(INDEX($X$2:$X$1001,MATCH(ROWS($V$2:V318),$V$2:$V$1001,0),0), INDEX($AC$1004:$AS$1004,1,MATCH(COLUMNS($AC$1006:AQ1006),$AC$1006:$AS$1006,0)))),"Fix")))</f>
        <v xml:space="preserve"> </v>
      </c>
      <c r="Q318" s="4" t="str">
        <f ca="1">IF(OR(INDEX($W$2:$W$1001,MATCH(ROWS($V$2:V318),$V$2:$V$1001,0),1)&gt;=100000,INDEX($AC$1005:$AS$1005,1,MATCH(COLUMNS($AC$1006:AR1006),$AC$1006:$AS$1006,0))&gt;=100000), " ",IF(INDEX($AC$2:$AS$1001,MATCH(ROWS($V$2:V318),$V$2:$V$1001,0),MATCH(COLUMNS($AC$1006:AR1006),$AC$1006:$AS$1006,0)), HYPERLINK("#",""), HYPERLINK(CONCATENATE("#metadata!", ADDRESS(INDEX($X$2:$X$1001,MATCH(ROWS($V$2:V318),$V$2:$V$1001,0),0), INDEX($AC$1004:$AS$1004,1,MATCH(COLUMNS($AC$1006:AR1006),$AC$1006:$AS$1006,0)))),"Fix")))</f>
        <v xml:space="preserve"> </v>
      </c>
      <c r="R318" s="4" t="str">
        <f ca="1">IF(OR(INDEX($W$2:$W$1001,MATCH(ROWS($V$2:V318),$V$2:$V$1001,0),1)&gt;=100000,INDEX($AC$1005:$AS$1005,1,MATCH(COLUMNS($AC$1006:AS1006),$AC$1006:$AS$1006,0))&gt;=100000), " ",IF(INDEX($AC$2:$AS$1001,MATCH(ROWS($V$2:V318),$V$2:$V$1001,0),MATCH(COLUMNS($AC$1006:AS1006),$AC$1006:$AS$1006,0)), HYPERLINK("#",""), HYPERLINK(CONCATENATE("#metadata!", ADDRESS(INDEX($X$2:$X$1001,MATCH(ROWS($V$2:V318),$V$2:$V$1001,0),0), INDEX($AC$1004:$AS$1004,1,MATCH(COLUMNS($AC$1006:AS1006),$AC$1006:$AS$1006,0)))),"Fix")))</f>
        <v xml:space="preserve"> </v>
      </c>
      <c r="V318">
        <v>317</v>
      </c>
      <c r="W318">
        <v>100318</v>
      </c>
      <c r="X318">
        <v>318</v>
      </c>
      <c r="Y318" t="b">
        <f t="shared" si="4"/>
        <v>1</v>
      </c>
      <c r="Z318" t="b">
        <f>COUNTBLANK(metadata!B318:R318)=COLUMNS(metadata!B318:R318)</f>
        <v>1</v>
      </c>
      <c r="AA318" t="str">
        <v/>
      </c>
      <c r="AC318" t="b">
        <f ca="1"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AD318" t="b">
        <f>IF(metadata!C318="",FALSE,ISNUMBER(VALUE(metadata!C318)))</f>
        <v>0</v>
      </c>
      <c r="AE318" t="b">
        <f>AND(IF(metadata!D318="",FALSE,TRUE),EXACT(metadata!D318,"years"))</f>
        <v>0</v>
      </c>
      <c r="AF318" t="b">
        <f>OR(AND(IF(metadata!E318="",FALSE,TRUE),OR(EXACT(metadata!E318,"not applicable"),EXACT(metadata!E318,"missing: not collected"),EXACT(metadata!E318,"missing: not provided"),EXACT(metadata!E318,"missing: restricted access"))),AND(IF(metadata!E318="",FALSE,ISNUMBER(VALUE(metadata!E318))),metadata!E318&gt;0))</f>
        <v>0</v>
      </c>
      <c r="AG318" t="b">
        <f>AND(IF(metadata!F318="",FALSE,TRUE),EXACT(metadata!F318,"Not applicable"))</f>
        <v>0</v>
      </c>
      <c r="AH318" t="b">
        <f>AND(IF(metadata!G318="",FALSE,TRUE),EXACT(metadata!G318,"urban biome"))</f>
        <v>0</v>
      </c>
      <c r="AI318" t="b">
        <f>AND(IF(metadata!H318="",FALSE,TRUE),EXACT(metadata!H318,"human-associated habitat"))</f>
        <v>0</v>
      </c>
      <c r="AJ318" t="b">
        <f>AND(IF(metadata!I318="",FALSE,TRUE),OR(EXACT(metadata!I318,"human-associated"),EXACT(metadata!I318,"human-skin"),EXACT(metadata!I318,"human-oral"),EXACT(metadata!I318,"human-gut"),EXACT(metadata!I318,"human-vaginal")))</f>
        <v>0</v>
      </c>
      <c r="AK318" t="b">
        <f>IF(metadata!J318="",FALSE,ISNUMBER(VALUE(metadata!J318)))</f>
        <v>0</v>
      </c>
      <c r="AL318" t="b">
        <f>AND(IF(metadata!K318="",FALSE,TRUE),EXACT(metadata!K318,"cm"))</f>
        <v>0</v>
      </c>
      <c r="AM318" t="b">
        <f>AND(IF(metadata!L318="",FALSE,TRUE),EXACT(metadata!L318,"human"))</f>
        <v>0</v>
      </c>
      <c r="AN318" t="b">
        <f>AND(IF(metadata!M318="",FALSE,TRUE),EXACT(metadata!M318,"Homo sapiens"))</f>
        <v>0</v>
      </c>
      <c r="AO318" t="b">
        <f>AND(IF(metadata!N318="",FALSE,TRUE),EXACT(metadata!N318,"9606"))</f>
        <v>0</v>
      </c>
      <c r="AP318" t="b">
        <f>IF(metadata!O318="",FALSE,TRUE)</f>
        <v>0</v>
      </c>
      <c r="AQ318" t="b">
        <f>IF(metadata!P318="",FALSE,TRUE)</f>
        <v>0</v>
      </c>
      <c r="AR318" t="b">
        <f>IF(metadata!Q318="",FALSE,ISNUMBER(VALUE(metadata!Q318)))</f>
        <v>0</v>
      </c>
      <c r="AS318" t="b">
        <f>AND(IF(metadata!R318="",FALSE,TRUE),EXACT(metadata!R318,"kg"))</f>
        <v>0</v>
      </c>
    </row>
    <row r="319" spans="1:45" x14ac:dyDescent="0.2">
      <c r="A319" s="5" t="str">
        <f ca="1">IF(B319=" "," ",HYPERLINK(CONCATENATE("#metadata!",ADDRESS(INDEX($X$2:$X$1001,MATCH(ROWS($V$2:V319),$V$2:$V$1001,0),0),1)),INDEX($AA$2:$AA$1001,MATCH(ROWS($V$2:V319),$V$2:$V$1001,0),0)))</f>
        <v xml:space="preserve"> </v>
      </c>
      <c r="B319" s="4" t="str">
        <f ca="1">IF(OR(INDEX($W$2:$W$1001,MATCH(ROWS($V$2:V319),$V$2:$V$1001,0),1)&gt;=100000,INDEX($AC$1005:$AS$1005,1,MATCH(COLUMNS($AC$1006:AC1006),$AC$1006:$AS$1006,0))&gt;=100000), " ",IF(INDEX($AC$2:$AS$1001,MATCH(ROWS($V$2:V319),$V$2:$V$1001,0),MATCH(COLUMNS($AC$1006:AC1006),$AC$1006:$AS$1006,0)), HYPERLINK("#",""), HYPERLINK(CONCATENATE("#metadata!", ADDRESS(INDEX($X$2:$X$1001,MATCH(ROWS($V$2:V319),$V$2:$V$1001,0),0), INDEX($AC$1004:$AS$1004,1,MATCH(COLUMNS($AC$1006:AC1006),$AC$1006:$AS$1006,0)))),"Fix")))</f>
        <v xml:space="preserve"> </v>
      </c>
      <c r="C319" s="4" t="str">
        <f ca="1">IF(OR(INDEX($W$2:$W$1001,MATCH(ROWS($V$2:V319),$V$2:$V$1001,0),1)&gt;=100000,INDEX($AC$1005:$AS$1005,1,MATCH(COLUMNS($AC$1006:AD1006),$AC$1006:$AS$1006,0))&gt;=100000), " ",IF(INDEX($AC$2:$AS$1001,MATCH(ROWS($V$2:V319),$V$2:$V$1001,0),MATCH(COLUMNS($AC$1006:AD1006),$AC$1006:$AS$1006,0)), HYPERLINK("#",""), HYPERLINK(CONCATENATE("#metadata!", ADDRESS(INDEX($X$2:$X$1001,MATCH(ROWS($V$2:V319),$V$2:$V$1001,0),0), INDEX($AC$1004:$AS$1004,1,MATCH(COLUMNS($AC$1006:AD1006),$AC$1006:$AS$1006,0)))),"Fix")))</f>
        <v xml:space="preserve"> </v>
      </c>
      <c r="D319" s="4" t="str">
        <f ca="1">IF(OR(INDEX($W$2:$W$1001,MATCH(ROWS($V$2:V319),$V$2:$V$1001,0),1)&gt;=100000,INDEX($AC$1005:$AS$1005,1,MATCH(COLUMNS($AC$1006:AE1006),$AC$1006:$AS$1006,0))&gt;=100000), " ",IF(INDEX($AC$2:$AS$1001,MATCH(ROWS($V$2:V319),$V$2:$V$1001,0),MATCH(COLUMNS($AC$1006:AE1006),$AC$1006:$AS$1006,0)), HYPERLINK("#",""), HYPERLINK(CONCATENATE("#metadata!", ADDRESS(INDEX($X$2:$X$1001,MATCH(ROWS($V$2:V319),$V$2:$V$1001,0),0), INDEX($AC$1004:$AS$1004,1,MATCH(COLUMNS($AC$1006:AE1006),$AC$1006:$AS$1006,0)))),"Fix")))</f>
        <v xml:space="preserve"> </v>
      </c>
      <c r="E319" s="4" t="str">
        <f ca="1">IF(OR(INDEX($W$2:$W$1001,MATCH(ROWS($V$2:V319),$V$2:$V$1001,0),1)&gt;=100000,INDEX($AC$1005:$AS$1005,1,MATCH(COLUMNS($AC$1006:AF1006),$AC$1006:$AS$1006,0))&gt;=100000), " ",IF(INDEX($AC$2:$AS$1001,MATCH(ROWS($V$2:V319),$V$2:$V$1001,0),MATCH(COLUMNS($AC$1006:AF1006),$AC$1006:$AS$1006,0)), HYPERLINK("#",""), HYPERLINK(CONCATENATE("#metadata!", ADDRESS(INDEX($X$2:$X$1001,MATCH(ROWS($V$2:V319),$V$2:$V$1001,0),0), INDEX($AC$1004:$AS$1004,1,MATCH(COLUMNS($AC$1006:AF1006),$AC$1006:$AS$1006,0)))),"Fix")))</f>
        <v xml:space="preserve"> </v>
      </c>
      <c r="F319" s="4" t="str">
        <f ca="1">IF(OR(INDEX($W$2:$W$1001,MATCH(ROWS($V$2:V319),$V$2:$V$1001,0),1)&gt;=100000,INDEX($AC$1005:$AS$1005,1,MATCH(COLUMNS($AC$1006:AG1006),$AC$1006:$AS$1006,0))&gt;=100000), " ",IF(INDEX($AC$2:$AS$1001,MATCH(ROWS($V$2:V319),$V$2:$V$1001,0),MATCH(COLUMNS($AC$1006:AG1006),$AC$1006:$AS$1006,0)), HYPERLINK("#",""), HYPERLINK(CONCATENATE("#metadata!", ADDRESS(INDEX($X$2:$X$1001,MATCH(ROWS($V$2:V319),$V$2:$V$1001,0),0), INDEX($AC$1004:$AS$1004,1,MATCH(COLUMNS($AC$1006:AG1006),$AC$1006:$AS$1006,0)))),"Fix")))</f>
        <v xml:space="preserve"> </v>
      </c>
      <c r="G319" s="4" t="str">
        <f ca="1">IF(OR(INDEX($W$2:$W$1001,MATCH(ROWS($V$2:V319),$V$2:$V$1001,0),1)&gt;=100000,INDEX($AC$1005:$AS$1005,1,MATCH(COLUMNS($AC$1006:AH1006),$AC$1006:$AS$1006,0))&gt;=100000), " ",IF(INDEX($AC$2:$AS$1001,MATCH(ROWS($V$2:V319),$V$2:$V$1001,0),MATCH(COLUMNS($AC$1006:AH1006),$AC$1006:$AS$1006,0)), HYPERLINK("#",""), HYPERLINK(CONCATENATE("#metadata!", ADDRESS(INDEX($X$2:$X$1001,MATCH(ROWS($V$2:V319),$V$2:$V$1001,0),0), INDEX($AC$1004:$AS$1004,1,MATCH(COLUMNS($AC$1006:AH1006),$AC$1006:$AS$1006,0)))),"Fix")))</f>
        <v xml:space="preserve"> </v>
      </c>
      <c r="H319" s="4" t="str">
        <f ca="1">IF(OR(INDEX($W$2:$W$1001,MATCH(ROWS($V$2:V319),$V$2:$V$1001,0),1)&gt;=100000,INDEX($AC$1005:$AS$1005,1,MATCH(COLUMNS($AC$1006:AI1006),$AC$1006:$AS$1006,0))&gt;=100000), " ",IF(INDEX($AC$2:$AS$1001,MATCH(ROWS($V$2:V319),$V$2:$V$1001,0),MATCH(COLUMNS($AC$1006:AI1006),$AC$1006:$AS$1006,0)), HYPERLINK("#",""), HYPERLINK(CONCATENATE("#metadata!", ADDRESS(INDEX($X$2:$X$1001,MATCH(ROWS($V$2:V319),$V$2:$V$1001,0),0), INDEX($AC$1004:$AS$1004,1,MATCH(COLUMNS($AC$1006:AI1006),$AC$1006:$AS$1006,0)))),"Fix")))</f>
        <v xml:space="preserve"> </v>
      </c>
      <c r="I319" s="4" t="str">
        <f ca="1">IF(OR(INDEX($W$2:$W$1001,MATCH(ROWS($V$2:V319),$V$2:$V$1001,0),1)&gt;=100000,INDEX($AC$1005:$AS$1005,1,MATCH(COLUMNS($AC$1006:AJ1006),$AC$1006:$AS$1006,0))&gt;=100000), " ",IF(INDEX($AC$2:$AS$1001,MATCH(ROWS($V$2:V319),$V$2:$V$1001,0),MATCH(COLUMNS($AC$1006:AJ1006),$AC$1006:$AS$1006,0)), HYPERLINK("#",""), HYPERLINK(CONCATENATE("#metadata!", ADDRESS(INDEX($X$2:$X$1001,MATCH(ROWS($V$2:V319),$V$2:$V$1001,0),0), INDEX($AC$1004:$AS$1004,1,MATCH(COLUMNS($AC$1006:AJ1006),$AC$1006:$AS$1006,0)))),"Fix")))</f>
        <v xml:space="preserve"> </v>
      </c>
      <c r="J319" s="4" t="str">
        <f ca="1">IF(OR(INDEX($W$2:$W$1001,MATCH(ROWS($V$2:V319),$V$2:$V$1001,0),1)&gt;=100000,INDEX($AC$1005:$AS$1005,1,MATCH(COLUMNS($AC$1006:AK1006),$AC$1006:$AS$1006,0))&gt;=100000), " ",IF(INDEX($AC$2:$AS$1001,MATCH(ROWS($V$2:V319),$V$2:$V$1001,0),MATCH(COLUMNS($AC$1006:AK1006),$AC$1006:$AS$1006,0)), HYPERLINK("#",""), HYPERLINK(CONCATENATE("#metadata!", ADDRESS(INDEX($X$2:$X$1001,MATCH(ROWS($V$2:V319),$V$2:$V$1001,0),0), INDEX($AC$1004:$AS$1004,1,MATCH(COLUMNS($AC$1006:AK1006),$AC$1006:$AS$1006,0)))),"Fix")))</f>
        <v xml:space="preserve"> </v>
      </c>
      <c r="K319" s="4" t="str">
        <f ca="1">IF(OR(INDEX($W$2:$W$1001,MATCH(ROWS($V$2:V319),$V$2:$V$1001,0),1)&gt;=100000,INDEX($AC$1005:$AS$1005,1,MATCH(COLUMNS($AC$1006:AL1006),$AC$1006:$AS$1006,0))&gt;=100000), " ",IF(INDEX($AC$2:$AS$1001,MATCH(ROWS($V$2:V319),$V$2:$V$1001,0),MATCH(COLUMNS($AC$1006:AL1006),$AC$1006:$AS$1006,0)), HYPERLINK("#",""), HYPERLINK(CONCATENATE("#metadata!", ADDRESS(INDEX($X$2:$X$1001,MATCH(ROWS($V$2:V319),$V$2:$V$1001,0),0), INDEX($AC$1004:$AS$1004,1,MATCH(COLUMNS($AC$1006:AL1006),$AC$1006:$AS$1006,0)))),"Fix")))</f>
        <v xml:space="preserve"> </v>
      </c>
      <c r="L319" s="4" t="str">
        <f ca="1">IF(OR(INDEX($W$2:$W$1001,MATCH(ROWS($V$2:V319),$V$2:$V$1001,0),1)&gt;=100000,INDEX($AC$1005:$AS$1005,1,MATCH(COLUMNS($AC$1006:AM1006),$AC$1006:$AS$1006,0))&gt;=100000), " ",IF(INDEX($AC$2:$AS$1001,MATCH(ROWS($V$2:V319),$V$2:$V$1001,0),MATCH(COLUMNS($AC$1006:AM1006),$AC$1006:$AS$1006,0)), HYPERLINK("#",""), HYPERLINK(CONCATENATE("#metadata!", ADDRESS(INDEX($X$2:$X$1001,MATCH(ROWS($V$2:V319),$V$2:$V$1001,0),0), INDEX($AC$1004:$AS$1004,1,MATCH(COLUMNS($AC$1006:AM1006),$AC$1006:$AS$1006,0)))),"Fix")))</f>
        <v xml:space="preserve"> </v>
      </c>
      <c r="M319" s="4" t="str">
        <f ca="1">IF(OR(INDEX($W$2:$W$1001,MATCH(ROWS($V$2:V319),$V$2:$V$1001,0),1)&gt;=100000,INDEX($AC$1005:$AS$1005,1,MATCH(COLUMNS($AC$1006:AN1006),$AC$1006:$AS$1006,0))&gt;=100000), " ",IF(INDEX($AC$2:$AS$1001,MATCH(ROWS($V$2:V319),$V$2:$V$1001,0),MATCH(COLUMNS($AC$1006:AN1006),$AC$1006:$AS$1006,0)), HYPERLINK("#",""), HYPERLINK(CONCATENATE("#metadata!", ADDRESS(INDEX($X$2:$X$1001,MATCH(ROWS($V$2:V319),$V$2:$V$1001,0),0), INDEX($AC$1004:$AS$1004,1,MATCH(COLUMNS($AC$1006:AN1006),$AC$1006:$AS$1006,0)))),"Fix")))</f>
        <v xml:space="preserve"> </v>
      </c>
      <c r="N319" s="4" t="str">
        <f ca="1">IF(OR(INDEX($W$2:$W$1001,MATCH(ROWS($V$2:V319),$V$2:$V$1001,0),1)&gt;=100000,INDEX($AC$1005:$AS$1005,1,MATCH(COLUMNS($AC$1006:AO1006),$AC$1006:$AS$1006,0))&gt;=100000), " ",IF(INDEX($AC$2:$AS$1001,MATCH(ROWS($V$2:V319),$V$2:$V$1001,0),MATCH(COLUMNS($AC$1006:AO1006),$AC$1006:$AS$1006,0)), HYPERLINK("#",""), HYPERLINK(CONCATENATE("#metadata!", ADDRESS(INDEX($X$2:$X$1001,MATCH(ROWS($V$2:V319),$V$2:$V$1001,0),0), INDEX($AC$1004:$AS$1004,1,MATCH(COLUMNS($AC$1006:AO1006),$AC$1006:$AS$1006,0)))),"Fix")))</f>
        <v xml:space="preserve"> </v>
      </c>
      <c r="O319" s="4" t="str">
        <f ca="1">IF(OR(INDEX($W$2:$W$1001,MATCH(ROWS($V$2:V319),$V$2:$V$1001,0),1)&gt;=100000,INDEX($AC$1005:$AS$1005,1,MATCH(COLUMNS($AC$1006:AP1006),$AC$1006:$AS$1006,0))&gt;=100000), " ",IF(INDEX($AC$2:$AS$1001,MATCH(ROWS($V$2:V319),$V$2:$V$1001,0),MATCH(COLUMNS($AC$1006:AP1006),$AC$1006:$AS$1006,0)), HYPERLINK("#",""), HYPERLINK(CONCATENATE("#metadata!", ADDRESS(INDEX($X$2:$X$1001,MATCH(ROWS($V$2:V319),$V$2:$V$1001,0),0), INDEX($AC$1004:$AS$1004,1,MATCH(COLUMNS($AC$1006:AP1006),$AC$1006:$AS$1006,0)))),"Fix")))</f>
        <v xml:space="preserve"> </v>
      </c>
      <c r="P319" s="4" t="str">
        <f ca="1">IF(OR(INDEX($W$2:$W$1001,MATCH(ROWS($V$2:V319),$V$2:$V$1001,0),1)&gt;=100000,INDEX($AC$1005:$AS$1005,1,MATCH(COLUMNS($AC$1006:AQ1006),$AC$1006:$AS$1006,0))&gt;=100000), " ",IF(INDEX($AC$2:$AS$1001,MATCH(ROWS($V$2:V319),$V$2:$V$1001,0),MATCH(COLUMNS($AC$1006:AQ1006),$AC$1006:$AS$1006,0)), HYPERLINK("#",""), HYPERLINK(CONCATENATE("#metadata!", ADDRESS(INDEX($X$2:$X$1001,MATCH(ROWS($V$2:V319),$V$2:$V$1001,0),0), INDEX($AC$1004:$AS$1004,1,MATCH(COLUMNS($AC$1006:AQ1006),$AC$1006:$AS$1006,0)))),"Fix")))</f>
        <v xml:space="preserve"> </v>
      </c>
      <c r="Q319" s="4" t="str">
        <f ca="1">IF(OR(INDEX($W$2:$W$1001,MATCH(ROWS($V$2:V319),$V$2:$V$1001,0),1)&gt;=100000,INDEX($AC$1005:$AS$1005,1,MATCH(COLUMNS($AC$1006:AR1006),$AC$1006:$AS$1006,0))&gt;=100000), " ",IF(INDEX($AC$2:$AS$1001,MATCH(ROWS($V$2:V319),$V$2:$V$1001,0),MATCH(COLUMNS($AC$1006:AR1006),$AC$1006:$AS$1006,0)), HYPERLINK("#",""), HYPERLINK(CONCATENATE("#metadata!", ADDRESS(INDEX($X$2:$X$1001,MATCH(ROWS($V$2:V319),$V$2:$V$1001,0),0), INDEX($AC$1004:$AS$1004,1,MATCH(COLUMNS($AC$1006:AR1006),$AC$1006:$AS$1006,0)))),"Fix")))</f>
        <v xml:space="preserve"> </v>
      </c>
      <c r="R319" s="4" t="str">
        <f ca="1">IF(OR(INDEX($W$2:$W$1001,MATCH(ROWS($V$2:V319),$V$2:$V$1001,0),1)&gt;=100000,INDEX($AC$1005:$AS$1005,1,MATCH(COLUMNS($AC$1006:AS1006),$AC$1006:$AS$1006,0))&gt;=100000), " ",IF(INDEX($AC$2:$AS$1001,MATCH(ROWS($V$2:V319),$V$2:$V$1001,0),MATCH(COLUMNS($AC$1006:AS1006),$AC$1006:$AS$1006,0)), HYPERLINK("#",""), HYPERLINK(CONCATENATE("#metadata!", ADDRESS(INDEX($X$2:$X$1001,MATCH(ROWS($V$2:V319),$V$2:$V$1001,0),0), INDEX($AC$1004:$AS$1004,1,MATCH(COLUMNS($AC$1006:AS1006),$AC$1006:$AS$1006,0)))),"Fix")))</f>
        <v xml:space="preserve"> </v>
      </c>
      <c r="V319">
        <v>318</v>
      </c>
      <c r="W319">
        <v>100319</v>
      </c>
      <c r="X319">
        <v>319</v>
      </c>
      <c r="Y319" t="b">
        <f t="shared" si="4"/>
        <v>1</v>
      </c>
      <c r="Z319" t="b">
        <f>COUNTBLANK(metadata!B319:R319)=COLUMNS(metadata!B319:R319)</f>
        <v>1</v>
      </c>
      <c r="AA319" t="str">
        <v/>
      </c>
      <c r="AC319" t="b">
        <f ca="1"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AD319" t="b">
        <f>IF(metadata!C319="",FALSE,ISNUMBER(VALUE(metadata!C319)))</f>
        <v>0</v>
      </c>
      <c r="AE319" t="b">
        <f>AND(IF(metadata!D319="",FALSE,TRUE),EXACT(metadata!D319,"years"))</f>
        <v>0</v>
      </c>
      <c r="AF319" t="b">
        <f>OR(AND(IF(metadata!E319="",FALSE,TRUE),OR(EXACT(metadata!E319,"not applicable"),EXACT(metadata!E319,"missing: not collected"),EXACT(metadata!E319,"missing: not provided"),EXACT(metadata!E319,"missing: restricted access"))),AND(IF(metadata!E319="",FALSE,ISNUMBER(VALUE(metadata!E319))),metadata!E319&gt;0))</f>
        <v>0</v>
      </c>
      <c r="AG319" t="b">
        <f>AND(IF(metadata!F319="",FALSE,TRUE),EXACT(metadata!F319,"Not applicable"))</f>
        <v>0</v>
      </c>
      <c r="AH319" t="b">
        <f>AND(IF(metadata!G319="",FALSE,TRUE),EXACT(metadata!G319,"urban biome"))</f>
        <v>0</v>
      </c>
      <c r="AI319" t="b">
        <f>AND(IF(metadata!H319="",FALSE,TRUE),EXACT(metadata!H319,"human-associated habitat"))</f>
        <v>0</v>
      </c>
      <c r="AJ319" t="b">
        <f>AND(IF(metadata!I319="",FALSE,TRUE),OR(EXACT(metadata!I319,"human-associated"),EXACT(metadata!I319,"human-skin"),EXACT(metadata!I319,"human-oral"),EXACT(metadata!I319,"human-gut"),EXACT(metadata!I319,"human-vaginal")))</f>
        <v>0</v>
      </c>
      <c r="AK319" t="b">
        <f>IF(metadata!J319="",FALSE,ISNUMBER(VALUE(metadata!J319)))</f>
        <v>0</v>
      </c>
      <c r="AL319" t="b">
        <f>AND(IF(metadata!K319="",FALSE,TRUE),EXACT(metadata!K319,"cm"))</f>
        <v>0</v>
      </c>
      <c r="AM319" t="b">
        <f>AND(IF(metadata!L319="",FALSE,TRUE),EXACT(metadata!L319,"human"))</f>
        <v>0</v>
      </c>
      <c r="AN319" t="b">
        <f>AND(IF(metadata!M319="",FALSE,TRUE),EXACT(metadata!M319,"Homo sapiens"))</f>
        <v>0</v>
      </c>
      <c r="AO319" t="b">
        <f>AND(IF(metadata!N319="",FALSE,TRUE),EXACT(metadata!N319,"9606"))</f>
        <v>0</v>
      </c>
      <c r="AP319" t="b">
        <f>IF(metadata!O319="",FALSE,TRUE)</f>
        <v>0</v>
      </c>
      <c r="AQ319" t="b">
        <f>IF(metadata!P319="",FALSE,TRUE)</f>
        <v>0</v>
      </c>
      <c r="AR319" t="b">
        <f>IF(metadata!Q319="",FALSE,ISNUMBER(VALUE(metadata!Q319)))</f>
        <v>0</v>
      </c>
      <c r="AS319" t="b">
        <f>AND(IF(metadata!R319="",FALSE,TRUE),EXACT(metadata!R319,"kg"))</f>
        <v>0</v>
      </c>
    </row>
    <row r="320" spans="1:45" x14ac:dyDescent="0.2">
      <c r="A320" s="5" t="str">
        <f ca="1">IF(B320=" "," ",HYPERLINK(CONCATENATE("#metadata!",ADDRESS(INDEX($X$2:$X$1001,MATCH(ROWS($V$2:V320),$V$2:$V$1001,0),0),1)),INDEX($AA$2:$AA$1001,MATCH(ROWS($V$2:V320),$V$2:$V$1001,0),0)))</f>
        <v xml:space="preserve"> </v>
      </c>
      <c r="B320" s="4" t="str">
        <f ca="1">IF(OR(INDEX($W$2:$W$1001,MATCH(ROWS($V$2:V320),$V$2:$V$1001,0),1)&gt;=100000,INDEX($AC$1005:$AS$1005,1,MATCH(COLUMNS($AC$1006:AC1006),$AC$1006:$AS$1006,0))&gt;=100000), " ",IF(INDEX($AC$2:$AS$1001,MATCH(ROWS($V$2:V320),$V$2:$V$1001,0),MATCH(COLUMNS($AC$1006:AC1006),$AC$1006:$AS$1006,0)), HYPERLINK("#",""), HYPERLINK(CONCATENATE("#metadata!", ADDRESS(INDEX($X$2:$X$1001,MATCH(ROWS($V$2:V320),$V$2:$V$1001,0),0), INDEX($AC$1004:$AS$1004,1,MATCH(COLUMNS($AC$1006:AC1006),$AC$1006:$AS$1006,0)))),"Fix")))</f>
        <v xml:space="preserve"> </v>
      </c>
      <c r="C320" s="4" t="str">
        <f ca="1">IF(OR(INDEX($W$2:$W$1001,MATCH(ROWS($V$2:V320),$V$2:$V$1001,0),1)&gt;=100000,INDEX($AC$1005:$AS$1005,1,MATCH(COLUMNS($AC$1006:AD1006),$AC$1006:$AS$1006,0))&gt;=100000), " ",IF(INDEX($AC$2:$AS$1001,MATCH(ROWS($V$2:V320),$V$2:$V$1001,0),MATCH(COLUMNS($AC$1006:AD1006),$AC$1006:$AS$1006,0)), HYPERLINK("#",""), HYPERLINK(CONCATENATE("#metadata!", ADDRESS(INDEX($X$2:$X$1001,MATCH(ROWS($V$2:V320),$V$2:$V$1001,0),0), INDEX($AC$1004:$AS$1004,1,MATCH(COLUMNS($AC$1006:AD1006),$AC$1006:$AS$1006,0)))),"Fix")))</f>
        <v xml:space="preserve"> </v>
      </c>
      <c r="D320" s="4" t="str">
        <f ca="1">IF(OR(INDEX($W$2:$W$1001,MATCH(ROWS($V$2:V320),$V$2:$V$1001,0),1)&gt;=100000,INDEX($AC$1005:$AS$1005,1,MATCH(COLUMNS($AC$1006:AE1006),$AC$1006:$AS$1006,0))&gt;=100000), " ",IF(INDEX($AC$2:$AS$1001,MATCH(ROWS($V$2:V320),$V$2:$V$1001,0),MATCH(COLUMNS($AC$1006:AE1006),$AC$1006:$AS$1006,0)), HYPERLINK("#",""), HYPERLINK(CONCATENATE("#metadata!", ADDRESS(INDEX($X$2:$X$1001,MATCH(ROWS($V$2:V320),$V$2:$V$1001,0),0), INDEX($AC$1004:$AS$1004,1,MATCH(COLUMNS($AC$1006:AE1006),$AC$1006:$AS$1006,0)))),"Fix")))</f>
        <v xml:space="preserve"> </v>
      </c>
      <c r="E320" s="4" t="str">
        <f ca="1">IF(OR(INDEX($W$2:$W$1001,MATCH(ROWS($V$2:V320),$V$2:$V$1001,0),1)&gt;=100000,INDEX($AC$1005:$AS$1005,1,MATCH(COLUMNS($AC$1006:AF1006),$AC$1006:$AS$1006,0))&gt;=100000), " ",IF(INDEX($AC$2:$AS$1001,MATCH(ROWS($V$2:V320),$V$2:$V$1001,0),MATCH(COLUMNS($AC$1006:AF1006),$AC$1006:$AS$1006,0)), HYPERLINK("#",""), HYPERLINK(CONCATENATE("#metadata!", ADDRESS(INDEX($X$2:$X$1001,MATCH(ROWS($V$2:V320),$V$2:$V$1001,0),0), INDEX($AC$1004:$AS$1004,1,MATCH(COLUMNS($AC$1006:AF1006),$AC$1006:$AS$1006,0)))),"Fix")))</f>
        <v xml:space="preserve"> </v>
      </c>
      <c r="F320" s="4" t="str">
        <f ca="1">IF(OR(INDEX($W$2:$W$1001,MATCH(ROWS($V$2:V320),$V$2:$V$1001,0),1)&gt;=100000,INDEX($AC$1005:$AS$1005,1,MATCH(COLUMNS($AC$1006:AG1006),$AC$1006:$AS$1006,0))&gt;=100000), " ",IF(INDEX($AC$2:$AS$1001,MATCH(ROWS($V$2:V320),$V$2:$V$1001,0),MATCH(COLUMNS($AC$1006:AG1006),$AC$1006:$AS$1006,0)), HYPERLINK("#",""), HYPERLINK(CONCATENATE("#metadata!", ADDRESS(INDEX($X$2:$X$1001,MATCH(ROWS($V$2:V320),$V$2:$V$1001,0),0), INDEX($AC$1004:$AS$1004,1,MATCH(COLUMNS($AC$1006:AG1006),$AC$1006:$AS$1006,0)))),"Fix")))</f>
        <v xml:space="preserve"> </v>
      </c>
      <c r="G320" s="4" t="str">
        <f ca="1">IF(OR(INDEX($W$2:$W$1001,MATCH(ROWS($V$2:V320),$V$2:$V$1001,0),1)&gt;=100000,INDEX($AC$1005:$AS$1005,1,MATCH(COLUMNS($AC$1006:AH1006),$AC$1006:$AS$1006,0))&gt;=100000), " ",IF(INDEX($AC$2:$AS$1001,MATCH(ROWS($V$2:V320),$V$2:$V$1001,0),MATCH(COLUMNS($AC$1006:AH1006),$AC$1006:$AS$1006,0)), HYPERLINK("#",""), HYPERLINK(CONCATENATE("#metadata!", ADDRESS(INDEX($X$2:$X$1001,MATCH(ROWS($V$2:V320),$V$2:$V$1001,0),0), INDEX($AC$1004:$AS$1004,1,MATCH(COLUMNS($AC$1006:AH1006),$AC$1006:$AS$1006,0)))),"Fix")))</f>
        <v xml:space="preserve"> </v>
      </c>
      <c r="H320" s="4" t="str">
        <f ca="1">IF(OR(INDEX($W$2:$W$1001,MATCH(ROWS($V$2:V320),$V$2:$V$1001,0),1)&gt;=100000,INDEX($AC$1005:$AS$1005,1,MATCH(COLUMNS($AC$1006:AI1006),$AC$1006:$AS$1006,0))&gt;=100000), " ",IF(INDEX($AC$2:$AS$1001,MATCH(ROWS($V$2:V320),$V$2:$V$1001,0),MATCH(COLUMNS($AC$1006:AI1006),$AC$1006:$AS$1006,0)), HYPERLINK("#",""), HYPERLINK(CONCATENATE("#metadata!", ADDRESS(INDEX($X$2:$X$1001,MATCH(ROWS($V$2:V320),$V$2:$V$1001,0),0), INDEX($AC$1004:$AS$1004,1,MATCH(COLUMNS($AC$1006:AI1006),$AC$1006:$AS$1006,0)))),"Fix")))</f>
        <v xml:space="preserve"> </v>
      </c>
      <c r="I320" s="4" t="str">
        <f ca="1">IF(OR(INDEX($W$2:$W$1001,MATCH(ROWS($V$2:V320),$V$2:$V$1001,0),1)&gt;=100000,INDEX($AC$1005:$AS$1005,1,MATCH(COLUMNS($AC$1006:AJ1006),$AC$1006:$AS$1006,0))&gt;=100000), " ",IF(INDEX($AC$2:$AS$1001,MATCH(ROWS($V$2:V320),$V$2:$V$1001,0),MATCH(COLUMNS($AC$1006:AJ1006),$AC$1006:$AS$1006,0)), HYPERLINK("#",""), HYPERLINK(CONCATENATE("#metadata!", ADDRESS(INDEX($X$2:$X$1001,MATCH(ROWS($V$2:V320),$V$2:$V$1001,0),0), INDEX($AC$1004:$AS$1004,1,MATCH(COLUMNS($AC$1006:AJ1006),$AC$1006:$AS$1006,0)))),"Fix")))</f>
        <v xml:space="preserve"> </v>
      </c>
      <c r="J320" s="4" t="str">
        <f ca="1">IF(OR(INDEX($W$2:$W$1001,MATCH(ROWS($V$2:V320),$V$2:$V$1001,0),1)&gt;=100000,INDEX($AC$1005:$AS$1005,1,MATCH(COLUMNS($AC$1006:AK1006),$AC$1006:$AS$1006,0))&gt;=100000), " ",IF(INDEX($AC$2:$AS$1001,MATCH(ROWS($V$2:V320),$V$2:$V$1001,0),MATCH(COLUMNS($AC$1006:AK1006),$AC$1006:$AS$1006,0)), HYPERLINK("#",""), HYPERLINK(CONCATENATE("#metadata!", ADDRESS(INDEX($X$2:$X$1001,MATCH(ROWS($V$2:V320),$V$2:$V$1001,0),0), INDEX($AC$1004:$AS$1004,1,MATCH(COLUMNS($AC$1006:AK1006),$AC$1006:$AS$1006,0)))),"Fix")))</f>
        <v xml:space="preserve"> </v>
      </c>
      <c r="K320" s="4" t="str">
        <f ca="1">IF(OR(INDEX($W$2:$W$1001,MATCH(ROWS($V$2:V320),$V$2:$V$1001,0),1)&gt;=100000,INDEX($AC$1005:$AS$1005,1,MATCH(COLUMNS($AC$1006:AL1006),$AC$1006:$AS$1006,0))&gt;=100000), " ",IF(INDEX($AC$2:$AS$1001,MATCH(ROWS($V$2:V320),$V$2:$V$1001,0),MATCH(COLUMNS($AC$1006:AL1006),$AC$1006:$AS$1006,0)), HYPERLINK("#",""), HYPERLINK(CONCATENATE("#metadata!", ADDRESS(INDEX($X$2:$X$1001,MATCH(ROWS($V$2:V320),$V$2:$V$1001,0),0), INDEX($AC$1004:$AS$1004,1,MATCH(COLUMNS($AC$1006:AL1006),$AC$1006:$AS$1006,0)))),"Fix")))</f>
        <v xml:space="preserve"> </v>
      </c>
      <c r="L320" s="4" t="str">
        <f ca="1">IF(OR(INDEX($W$2:$W$1001,MATCH(ROWS($V$2:V320),$V$2:$V$1001,0),1)&gt;=100000,INDEX($AC$1005:$AS$1005,1,MATCH(COLUMNS($AC$1006:AM1006),$AC$1006:$AS$1006,0))&gt;=100000), " ",IF(INDEX($AC$2:$AS$1001,MATCH(ROWS($V$2:V320),$V$2:$V$1001,0),MATCH(COLUMNS($AC$1006:AM1006),$AC$1006:$AS$1006,0)), HYPERLINK("#",""), HYPERLINK(CONCATENATE("#metadata!", ADDRESS(INDEX($X$2:$X$1001,MATCH(ROWS($V$2:V320),$V$2:$V$1001,0),0), INDEX($AC$1004:$AS$1004,1,MATCH(COLUMNS($AC$1006:AM1006),$AC$1006:$AS$1006,0)))),"Fix")))</f>
        <v xml:space="preserve"> </v>
      </c>
      <c r="M320" s="4" t="str">
        <f ca="1">IF(OR(INDEX($W$2:$W$1001,MATCH(ROWS($V$2:V320),$V$2:$V$1001,0),1)&gt;=100000,INDEX($AC$1005:$AS$1005,1,MATCH(COLUMNS($AC$1006:AN1006),$AC$1006:$AS$1006,0))&gt;=100000), " ",IF(INDEX($AC$2:$AS$1001,MATCH(ROWS($V$2:V320),$V$2:$V$1001,0),MATCH(COLUMNS($AC$1006:AN1006),$AC$1006:$AS$1006,0)), HYPERLINK("#",""), HYPERLINK(CONCATENATE("#metadata!", ADDRESS(INDEX($X$2:$X$1001,MATCH(ROWS($V$2:V320),$V$2:$V$1001,0),0), INDEX($AC$1004:$AS$1004,1,MATCH(COLUMNS($AC$1006:AN1006),$AC$1006:$AS$1006,0)))),"Fix")))</f>
        <v xml:space="preserve"> </v>
      </c>
      <c r="N320" s="4" t="str">
        <f ca="1">IF(OR(INDEX($W$2:$W$1001,MATCH(ROWS($V$2:V320),$V$2:$V$1001,0),1)&gt;=100000,INDEX($AC$1005:$AS$1005,1,MATCH(COLUMNS($AC$1006:AO1006),$AC$1006:$AS$1006,0))&gt;=100000), " ",IF(INDEX($AC$2:$AS$1001,MATCH(ROWS($V$2:V320),$V$2:$V$1001,0),MATCH(COLUMNS($AC$1006:AO1006),$AC$1006:$AS$1006,0)), HYPERLINK("#",""), HYPERLINK(CONCATENATE("#metadata!", ADDRESS(INDEX($X$2:$X$1001,MATCH(ROWS($V$2:V320),$V$2:$V$1001,0),0), INDEX($AC$1004:$AS$1004,1,MATCH(COLUMNS($AC$1006:AO1006),$AC$1006:$AS$1006,0)))),"Fix")))</f>
        <v xml:space="preserve"> </v>
      </c>
      <c r="O320" s="4" t="str">
        <f ca="1">IF(OR(INDEX($W$2:$W$1001,MATCH(ROWS($V$2:V320),$V$2:$V$1001,0),1)&gt;=100000,INDEX($AC$1005:$AS$1005,1,MATCH(COLUMNS($AC$1006:AP1006),$AC$1006:$AS$1006,0))&gt;=100000), " ",IF(INDEX($AC$2:$AS$1001,MATCH(ROWS($V$2:V320),$V$2:$V$1001,0),MATCH(COLUMNS($AC$1006:AP1006),$AC$1006:$AS$1006,0)), HYPERLINK("#",""), HYPERLINK(CONCATENATE("#metadata!", ADDRESS(INDEX($X$2:$X$1001,MATCH(ROWS($V$2:V320),$V$2:$V$1001,0),0), INDEX($AC$1004:$AS$1004,1,MATCH(COLUMNS($AC$1006:AP1006),$AC$1006:$AS$1006,0)))),"Fix")))</f>
        <v xml:space="preserve"> </v>
      </c>
      <c r="P320" s="4" t="str">
        <f ca="1">IF(OR(INDEX($W$2:$W$1001,MATCH(ROWS($V$2:V320),$V$2:$V$1001,0),1)&gt;=100000,INDEX($AC$1005:$AS$1005,1,MATCH(COLUMNS($AC$1006:AQ1006),$AC$1006:$AS$1006,0))&gt;=100000), " ",IF(INDEX($AC$2:$AS$1001,MATCH(ROWS($V$2:V320),$V$2:$V$1001,0),MATCH(COLUMNS($AC$1006:AQ1006),$AC$1006:$AS$1006,0)), HYPERLINK("#",""), HYPERLINK(CONCATENATE("#metadata!", ADDRESS(INDEX($X$2:$X$1001,MATCH(ROWS($V$2:V320),$V$2:$V$1001,0),0), INDEX($AC$1004:$AS$1004,1,MATCH(COLUMNS($AC$1006:AQ1006),$AC$1006:$AS$1006,0)))),"Fix")))</f>
        <v xml:space="preserve"> </v>
      </c>
      <c r="Q320" s="4" t="str">
        <f ca="1">IF(OR(INDEX($W$2:$W$1001,MATCH(ROWS($V$2:V320),$V$2:$V$1001,0),1)&gt;=100000,INDEX($AC$1005:$AS$1005,1,MATCH(COLUMNS($AC$1006:AR1006),$AC$1006:$AS$1006,0))&gt;=100000), " ",IF(INDEX($AC$2:$AS$1001,MATCH(ROWS($V$2:V320),$V$2:$V$1001,0),MATCH(COLUMNS($AC$1006:AR1006),$AC$1006:$AS$1006,0)), HYPERLINK("#",""), HYPERLINK(CONCATENATE("#metadata!", ADDRESS(INDEX($X$2:$X$1001,MATCH(ROWS($V$2:V320),$V$2:$V$1001,0),0), INDEX($AC$1004:$AS$1004,1,MATCH(COLUMNS($AC$1006:AR1006),$AC$1006:$AS$1006,0)))),"Fix")))</f>
        <v xml:space="preserve"> </v>
      </c>
      <c r="R320" s="4" t="str">
        <f ca="1">IF(OR(INDEX($W$2:$W$1001,MATCH(ROWS($V$2:V320),$V$2:$V$1001,0),1)&gt;=100000,INDEX($AC$1005:$AS$1005,1,MATCH(COLUMNS($AC$1006:AS1006),$AC$1006:$AS$1006,0))&gt;=100000), " ",IF(INDEX($AC$2:$AS$1001,MATCH(ROWS($V$2:V320),$V$2:$V$1001,0),MATCH(COLUMNS($AC$1006:AS1006),$AC$1006:$AS$1006,0)), HYPERLINK("#",""), HYPERLINK(CONCATENATE("#metadata!", ADDRESS(INDEX($X$2:$X$1001,MATCH(ROWS($V$2:V320),$V$2:$V$1001,0),0), INDEX($AC$1004:$AS$1004,1,MATCH(COLUMNS($AC$1006:AS1006),$AC$1006:$AS$1006,0)))),"Fix")))</f>
        <v xml:space="preserve"> </v>
      </c>
      <c r="V320">
        <v>319</v>
      </c>
      <c r="W320">
        <v>100320</v>
      </c>
      <c r="X320">
        <v>320</v>
      </c>
      <c r="Y320" t="b">
        <f t="shared" si="4"/>
        <v>1</v>
      </c>
      <c r="Z320" t="b">
        <f>COUNTBLANK(metadata!B320:R320)=COLUMNS(metadata!B320:R320)</f>
        <v>1</v>
      </c>
      <c r="AA320" t="str">
        <v/>
      </c>
      <c r="AC320" t="b">
        <f ca="1"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AD320" t="b">
        <f>IF(metadata!C320="",FALSE,ISNUMBER(VALUE(metadata!C320)))</f>
        <v>0</v>
      </c>
      <c r="AE320" t="b">
        <f>AND(IF(metadata!D320="",FALSE,TRUE),EXACT(metadata!D320,"years"))</f>
        <v>0</v>
      </c>
      <c r="AF320" t="b">
        <f>OR(AND(IF(metadata!E320="",FALSE,TRUE),OR(EXACT(metadata!E320,"not applicable"),EXACT(metadata!E320,"missing: not collected"),EXACT(metadata!E320,"missing: not provided"),EXACT(metadata!E320,"missing: restricted access"))),AND(IF(metadata!E320="",FALSE,ISNUMBER(VALUE(metadata!E320))),metadata!E320&gt;0))</f>
        <v>0</v>
      </c>
      <c r="AG320" t="b">
        <f>AND(IF(metadata!F320="",FALSE,TRUE),EXACT(metadata!F320,"Not applicable"))</f>
        <v>0</v>
      </c>
      <c r="AH320" t="b">
        <f>AND(IF(metadata!G320="",FALSE,TRUE),EXACT(metadata!G320,"urban biome"))</f>
        <v>0</v>
      </c>
      <c r="AI320" t="b">
        <f>AND(IF(metadata!H320="",FALSE,TRUE),EXACT(metadata!H320,"human-associated habitat"))</f>
        <v>0</v>
      </c>
      <c r="AJ320" t="b">
        <f>AND(IF(metadata!I320="",FALSE,TRUE),OR(EXACT(metadata!I320,"human-associated"),EXACT(metadata!I320,"human-skin"),EXACT(metadata!I320,"human-oral"),EXACT(metadata!I320,"human-gut"),EXACT(metadata!I320,"human-vaginal")))</f>
        <v>0</v>
      </c>
      <c r="AK320" t="b">
        <f>IF(metadata!J320="",FALSE,ISNUMBER(VALUE(metadata!J320)))</f>
        <v>0</v>
      </c>
      <c r="AL320" t="b">
        <f>AND(IF(metadata!K320="",FALSE,TRUE),EXACT(metadata!K320,"cm"))</f>
        <v>0</v>
      </c>
      <c r="AM320" t="b">
        <f>AND(IF(metadata!L320="",FALSE,TRUE),EXACT(metadata!L320,"human"))</f>
        <v>0</v>
      </c>
      <c r="AN320" t="b">
        <f>AND(IF(metadata!M320="",FALSE,TRUE),EXACT(metadata!M320,"Homo sapiens"))</f>
        <v>0</v>
      </c>
      <c r="AO320" t="b">
        <f>AND(IF(metadata!N320="",FALSE,TRUE),EXACT(metadata!N320,"9606"))</f>
        <v>0</v>
      </c>
      <c r="AP320" t="b">
        <f>IF(metadata!O320="",FALSE,TRUE)</f>
        <v>0</v>
      </c>
      <c r="AQ320" t="b">
        <f>IF(metadata!P320="",FALSE,TRUE)</f>
        <v>0</v>
      </c>
      <c r="AR320" t="b">
        <f>IF(metadata!Q320="",FALSE,ISNUMBER(VALUE(metadata!Q320)))</f>
        <v>0</v>
      </c>
      <c r="AS320" t="b">
        <f>AND(IF(metadata!R320="",FALSE,TRUE),EXACT(metadata!R320,"kg"))</f>
        <v>0</v>
      </c>
    </row>
    <row r="321" spans="1:45" x14ac:dyDescent="0.2">
      <c r="A321" s="5" t="str">
        <f ca="1">IF(B321=" "," ",HYPERLINK(CONCATENATE("#metadata!",ADDRESS(INDEX($X$2:$X$1001,MATCH(ROWS($V$2:V321),$V$2:$V$1001,0),0),1)),INDEX($AA$2:$AA$1001,MATCH(ROWS($V$2:V321),$V$2:$V$1001,0),0)))</f>
        <v xml:space="preserve"> </v>
      </c>
      <c r="B321" s="4" t="str">
        <f ca="1">IF(OR(INDEX($W$2:$W$1001,MATCH(ROWS($V$2:V321),$V$2:$V$1001,0),1)&gt;=100000,INDEX($AC$1005:$AS$1005,1,MATCH(COLUMNS($AC$1006:AC1006),$AC$1006:$AS$1006,0))&gt;=100000), " ",IF(INDEX($AC$2:$AS$1001,MATCH(ROWS($V$2:V321),$V$2:$V$1001,0),MATCH(COLUMNS($AC$1006:AC1006),$AC$1006:$AS$1006,0)), HYPERLINK("#",""), HYPERLINK(CONCATENATE("#metadata!", ADDRESS(INDEX($X$2:$X$1001,MATCH(ROWS($V$2:V321),$V$2:$V$1001,0),0), INDEX($AC$1004:$AS$1004,1,MATCH(COLUMNS($AC$1006:AC1006),$AC$1006:$AS$1006,0)))),"Fix")))</f>
        <v xml:space="preserve"> </v>
      </c>
      <c r="C321" s="4" t="str">
        <f ca="1">IF(OR(INDEX($W$2:$W$1001,MATCH(ROWS($V$2:V321),$V$2:$V$1001,0),1)&gt;=100000,INDEX($AC$1005:$AS$1005,1,MATCH(COLUMNS($AC$1006:AD1006),$AC$1006:$AS$1006,0))&gt;=100000), " ",IF(INDEX($AC$2:$AS$1001,MATCH(ROWS($V$2:V321),$V$2:$V$1001,0),MATCH(COLUMNS($AC$1006:AD1006),$AC$1006:$AS$1006,0)), HYPERLINK("#",""), HYPERLINK(CONCATENATE("#metadata!", ADDRESS(INDEX($X$2:$X$1001,MATCH(ROWS($V$2:V321),$V$2:$V$1001,0),0), INDEX($AC$1004:$AS$1004,1,MATCH(COLUMNS($AC$1006:AD1006),$AC$1006:$AS$1006,0)))),"Fix")))</f>
        <v xml:space="preserve"> </v>
      </c>
      <c r="D321" s="4" t="str">
        <f ca="1">IF(OR(INDEX($W$2:$W$1001,MATCH(ROWS($V$2:V321),$V$2:$V$1001,0),1)&gt;=100000,INDEX($AC$1005:$AS$1005,1,MATCH(COLUMNS($AC$1006:AE1006),$AC$1006:$AS$1006,0))&gt;=100000), " ",IF(INDEX($AC$2:$AS$1001,MATCH(ROWS($V$2:V321),$V$2:$V$1001,0),MATCH(COLUMNS($AC$1006:AE1006),$AC$1006:$AS$1006,0)), HYPERLINK("#",""), HYPERLINK(CONCATENATE("#metadata!", ADDRESS(INDEX($X$2:$X$1001,MATCH(ROWS($V$2:V321),$V$2:$V$1001,0),0), INDEX($AC$1004:$AS$1004,1,MATCH(COLUMNS($AC$1006:AE1006),$AC$1006:$AS$1006,0)))),"Fix")))</f>
        <v xml:space="preserve"> </v>
      </c>
      <c r="E321" s="4" t="str">
        <f ca="1">IF(OR(INDEX($W$2:$W$1001,MATCH(ROWS($V$2:V321),$V$2:$V$1001,0),1)&gt;=100000,INDEX($AC$1005:$AS$1005,1,MATCH(COLUMNS($AC$1006:AF1006),$AC$1006:$AS$1006,0))&gt;=100000), " ",IF(INDEX($AC$2:$AS$1001,MATCH(ROWS($V$2:V321),$V$2:$V$1001,0),MATCH(COLUMNS($AC$1006:AF1006),$AC$1006:$AS$1006,0)), HYPERLINK("#",""), HYPERLINK(CONCATENATE("#metadata!", ADDRESS(INDEX($X$2:$X$1001,MATCH(ROWS($V$2:V321),$V$2:$V$1001,0),0), INDEX($AC$1004:$AS$1004,1,MATCH(COLUMNS($AC$1006:AF1006),$AC$1006:$AS$1006,0)))),"Fix")))</f>
        <v xml:space="preserve"> </v>
      </c>
      <c r="F321" s="4" t="str">
        <f ca="1">IF(OR(INDEX($W$2:$W$1001,MATCH(ROWS($V$2:V321),$V$2:$V$1001,0),1)&gt;=100000,INDEX($AC$1005:$AS$1005,1,MATCH(COLUMNS($AC$1006:AG1006),$AC$1006:$AS$1006,0))&gt;=100000), " ",IF(INDEX($AC$2:$AS$1001,MATCH(ROWS($V$2:V321),$V$2:$V$1001,0),MATCH(COLUMNS($AC$1006:AG1006),$AC$1006:$AS$1006,0)), HYPERLINK("#",""), HYPERLINK(CONCATENATE("#metadata!", ADDRESS(INDEX($X$2:$X$1001,MATCH(ROWS($V$2:V321),$V$2:$V$1001,0),0), INDEX($AC$1004:$AS$1004,1,MATCH(COLUMNS($AC$1006:AG1006),$AC$1006:$AS$1006,0)))),"Fix")))</f>
        <v xml:space="preserve"> </v>
      </c>
      <c r="G321" s="4" t="str">
        <f ca="1">IF(OR(INDEX($W$2:$W$1001,MATCH(ROWS($V$2:V321),$V$2:$V$1001,0),1)&gt;=100000,INDEX($AC$1005:$AS$1005,1,MATCH(COLUMNS($AC$1006:AH1006),$AC$1006:$AS$1006,0))&gt;=100000), " ",IF(INDEX($AC$2:$AS$1001,MATCH(ROWS($V$2:V321),$V$2:$V$1001,0),MATCH(COLUMNS($AC$1006:AH1006),$AC$1006:$AS$1006,0)), HYPERLINK("#",""), HYPERLINK(CONCATENATE("#metadata!", ADDRESS(INDEX($X$2:$X$1001,MATCH(ROWS($V$2:V321),$V$2:$V$1001,0),0), INDEX($AC$1004:$AS$1004,1,MATCH(COLUMNS($AC$1006:AH1006),$AC$1006:$AS$1006,0)))),"Fix")))</f>
        <v xml:space="preserve"> </v>
      </c>
      <c r="H321" s="4" t="str">
        <f ca="1">IF(OR(INDEX($W$2:$W$1001,MATCH(ROWS($V$2:V321),$V$2:$V$1001,0),1)&gt;=100000,INDEX($AC$1005:$AS$1005,1,MATCH(COLUMNS($AC$1006:AI1006),$AC$1006:$AS$1006,0))&gt;=100000), " ",IF(INDEX($AC$2:$AS$1001,MATCH(ROWS($V$2:V321),$V$2:$V$1001,0),MATCH(COLUMNS($AC$1006:AI1006),$AC$1006:$AS$1006,0)), HYPERLINK("#",""), HYPERLINK(CONCATENATE("#metadata!", ADDRESS(INDEX($X$2:$X$1001,MATCH(ROWS($V$2:V321),$V$2:$V$1001,0),0), INDEX($AC$1004:$AS$1004,1,MATCH(COLUMNS($AC$1006:AI1006),$AC$1006:$AS$1006,0)))),"Fix")))</f>
        <v xml:space="preserve"> </v>
      </c>
      <c r="I321" s="4" t="str">
        <f ca="1">IF(OR(INDEX($W$2:$W$1001,MATCH(ROWS($V$2:V321),$V$2:$V$1001,0),1)&gt;=100000,INDEX($AC$1005:$AS$1005,1,MATCH(COLUMNS($AC$1006:AJ1006),$AC$1006:$AS$1006,0))&gt;=100000), " ",IF(INDEX($AC$2:$AS$1001,MATCH(ROWS($V$2:V321),$V$2:$V$1001,0),MATCH(COLUMNS($AC$1006:AJ1006),$AC$1006:$AS$1006,0)), HYPERLINK("#",""), HYPERLINK(CONCATENATE("#metadata!", ADDRESS(INDEX($X$2:$X$1001,MATCH(ROWS($V$2:V321),$V$2:$V$1001,0),0), INDEX($AC$1004:$AS$1004,1,MATCH(COLUMNS($AC$1006:AJ1006),$AC$1006:$AS$1006,0)))),"Fix")))</f>
        <v xml:space="preserve"> </v>
      </c>
      <c r="J321" s="4" t="str">
        <f ca="1">IF(OR(INDEX($W$2:$W$1001,MATCH(ROWS($V$2:V321),$V$2:$V$1001,0),1)&gt;=100000,INDEX($AC$1005:$AS$1005,1,MATCH(COLUMNS($AC$1006:AK1006),$AC$1006:$AS$1006,0))&gt;=100000), " ",IF(INDEX($AC$2:$AS$1001,MATCH(ROWS($V$2:V321),$V$2:$V$1001,0),MATCH(COLUMNS($AC$1006:AK1006),$AC$1006:$AS$1006,0)), HYPERLINK("#",""), HYPERLINK(CONCATENATE("#metadata!", ADDRESS(INDEX($X$2:$X$1001,MATCH(ROWS($V$2:V321),$V$2:$V$1001,0),0), INDEX($AC$1004:$AS$1004,1,MATCH(COLUMNS($AC$1006:AK1006),$AC$1006:$AS$1006,0)))),"Fix")))</f>
        <v xml:space="preserve"> </v>
      </c>
      <c r="K321" s="4" t="str">
        <f ca="1">IF(OR(INDEX($W$2:$W$1001,MATCH(ROWS($V$2:V321),$V$2:$V$1001,0),1)&gt;=100000,INDEX($AC$1005:$AS$1005,1,MATCH(COLUMNS($AC$1006:AL1006),$AC$1006:$AS$1006,0))&gt;=100000), " ",IF(INDEX($AC$2:$AS$1001,MATCH(ROWS($V$2:V321),$V$2:$V$1001,0),MATCH(COLUMNS($AC$1006:AL1006),$AC$1006:$AS$1006,0)), HYPERLINK("#",""), HYPERLINK(CONCATENATE("#metadata!", ADDRESS(INDEX($X$2:$X$1001,MATCH(ROWS($V$2:V321),$V$2:$V$1001,0),0), INDEX($AC$1004:$AS$1004,1,MATCH(COLUMNS($AC$1006:AL1006),$AC$1006:$AS$1006,0)))),"Fix")))</f>
        <v xml:space="preserve"> </v>
      </c>
      <c r="L321" s="4" t="str">
        <f ca="1">IF(OR(INDEX($W$2:$W$1001,MATCH(ROWS($V$2:V321),$V$2:$V$1001,0),1)&gt;=100000,INDEX($AC$1005:$AS$1005,1,MATCH(COLUMNS($AC$1006:AM1006),$AC$1006:$AS$1006,0))&gt;=100000), " ",IF(INDEX($AC$2:$AS$1001,MATCH(ROWS($V$2:V321),$V$2:$V$1001,0),MATCH(COLUMNS($AC$1006:AM1006),$AC$1006:$AS$1006,0)), HYPERLINK("#",""), HYPERLINK(CONCATENATE("#metadata!", ADDRESS(INDEX($X$2:$X$1001,MATCH(ROWS($V$2:V321),$V$2:$V$1001,0),0), INDEX($AC$1004:$AS$1004,1,MATCH(COLUMNS($AC$1006:AM1006),$AC$1006:$AS$1006,0)))),"Fix")))</f>
        <v xml:space="preserve"> </v>
      </c>
      <c r="M321" s="4" t="str">
        <f ca="1">IF(OR(INDEX($W$2:$W$1001,MATCH(ROWS($V$2:V321),$V$2:$V$1001,0),1)&gt;=100000,INDEX($AC$1005:$AS$1005,1,MATCH(COLUMNS($AC$1006:AN1006),$AC$1006:$AS$1006,0))&gt;=100000), " ",IF(INDEX($AC$2:$AS$1001,MATCH(ROWS($V$2:V321),$V$2:$V$1001,0),MATCH(COLUMNS($AC$1006:AN1006),$AC$1006:$AS$1006,0)), HYPERLINK("#",""), HYPERLINK(CONCATENATE("#metadata!", ADDRESS(INDEX($X$2:$X$1001,MATCH(ROWS($V$2:V321),$V$2:$V$1001,0),0), INDEX($AC$1004:$AS$1004,1,MATCH(COLUMNS($AC$1006:AN1006),$AC$1006:$AS$1006,0)))),"Fix")))</f>
        <v xml:space="preserve"> </v>
      </c>
      <c r="N321" s="4" t="str">
        <f ca="1">IF(OR(INDEX($W$2:$W$1001,MATCH(ROWS($V$2:V321),$V$2:$V$1001,0),1)&gt;=100000,INDEX($AC$1005:$AS$1005,1,MATCH(COLUMNS($AC$1006:AO1006),$AC$1006:$AS$1006,0))&gt;=100000), " ",IF(INDEX($AC$2:$AS$1001,MATCH(ROWS($V$2:V321),$V$2:$V$1001,0),MATCH(COLUMNS($AC$1006:AO1006),$AC$1006:$AS$1006,0)), HYPERLINK("#",""), HYPERLINK(CONCATENATE("#metadata!", ADDRESS(INDEX($X$2:$X$1001,MATCH(ROWS($V$2:V321),$V$2:$V$1001,0),0), INDEX($AC$1004:$AS$1004,1,MATCH(COLUMNS($AC$1006:AO1006),$AC$1006:$AS$1006,0)))),"Fix")))</f>
        <v xml:space="preserve"> </v>
      </c>
      <c r="O321" s="4" t="str">
        <f ca="1">IF(OR(INDEX($W$2:$W$1001,MATCH(ROWS($V$2:V321),$V$2:$V$1001,0),1)&gt;=100000,INDEX($AC$1005:$AS$1005,1,MATCH(COLUMNS($AC$1006:AP1006),$AC$1006:$AS$1006,0))&gt;=100000), " ",IF(INDEX($AC$2:$AS$1001,MATCH(ROWS($V$2:V321),$V$2:$V$1001,0),MATCH(COLUMNS($AC$1006:AP1006),$AC$1006:$AS$1006,0)), HYPERLINK("#",""), HYPERLINK(CONCATENATE("#metadata!", ADDRESS(INDEX($X$2:$X$1001,MATCH(ROWS($V$2:V321),$V$2:$V$1001,0),0), INDEX($AC$1004:$AS$1004,1,MATCH(COLUMNS($AC$1006:AP1006),$AC$1006:$AS$1006,0)))),"Fix")))</f>
        <v xml:space="preserve"> </v>
      </c>
      <c r="P321" s="4" t="str">
        <f ca="1">IF(OR(INDEX($W$2:$W$1001,MATCH(ROWS($V$2:V321),$V$2:$V$1001,0),1)&gt;=100000,INDEX($AC$1005:$AS$1005,1,MATCH(COLUMNS($AC$1006:AQ1006),$AC$1006:$AS$1006,0))&gt;=100000), " ",IF(INDEX($AC$2:$AS$1001,MATCH(ROWS($V$2:V321),$V$2:$V$1001,0),MATCH(COLUMNS($AC$1006:AQ1006),$AC$1006:$AS$1006,0)), HYPERLINK("#",""), HYPERLINK(CONCATENATE("#metadata!", ADDRESS(INDEX($X$2:$X$1001,MATCH(ROWS($V$2:V321),$V$2:$V$1001,0),0), INDEX($AC$1004:$AS$1004,1,MATCH(COLUMNS($AC$1006:AQ1006),$AC$1006:$AS$1006,0)))),"Fix")))</f>
        <v xml:space="preserve"> </v>
      </c>
      <c r="Q321" s="4" t="str">
        <f ca="1">IF(OR(INDEX($W$2:$W$1001,MATCH(ROWS($V$2:V321),$V$2:$V$1001,0),1)&gt;=100000,INDEX($AC$1005:$AS$1005,1,MATCH(COLUMNS($AC$1006:AR1006),$AC$1006:$AS$1006,0))&gt;=100000), " ",IF(INDEX($AC$2:$AS$1001,MATCH(ROWS($V$2:V321),$V$2:$V$1001,0),MATCH(COLUMNS($AC$1006:AR1006),$AC$1006:$AS$1006,0)), HYPERLINK("#",""), HYPERLINK(CONCATENATE("#metadata!", ADDRESS(INDEX($X$2:$X$1001,MATCH(ROWS($V$2:V321),$V$2:$V$1001,0),0), INDEX($AC$1004:$AS$1004,1,MATCH(COLUMNS($AC$1006:AR1006),$AC$1006:$AS$1006,0)))),"Fix")))</f>
        <v xml:space="preserve"> </v>
      </c>
      <c r="R321" s="4" t="str">
        <f ca="1">IF(OR(INDEX($W$2:$W$1001,MATCH(ROWS($V$2:V321),$V$2:$V$1001,0),1)&gt;=100000,INDEX($AC$1005:$AS$1005,1,MATCH(COLUMNS($AC$1006:AS1006),$AC$1006:$AS$1006,0))&gt;=100000), " ",IF(INDEX($AC$2:$AS$1001,MATCH(ROWS($V$2:V321),$V$2:$V$1001,0),MATCH(COLUMNS($AC$1006:AS1006),$AC$1006:$AS$1006,0)), HYPERLINK("#",""), HYPERLINK(CONCATENATE("#metadata!", ADDRESS(INDEX($X$2:$X$1001,MATCH(ROWS($V$2:V321),$V$2:$V$1001,0),0), INDEX($AC$1004:$AS$1004,1,MATCH(COLUMNS($AC$1006:AS1006),$AC$1006:$AS$1006,0)))),"Fix")))</f>
        <v xml:space="preserve"> </v>
      </c>
      <c r="V321">
        <v>320</v>
      </c>
      <c r="W321">
        <v>100321</v>
      </c>
      <c r="X321">
        <v>321</v>
      </c>
      <c r="Y321" t="b">
        <f t="shared" si="4"/>
        <v>1</v>
      </c>
      <c r="Z321" t="b">
        <f>COUNTBLANK(metadata!B321:R321)=COLUMNS(metadata!B321:R321)</f>
        <v>1</v>
      </c>
      <c r="AA321" t="str">
        <v/>
      </c>
      <c r="AC321" t="b">
        <f ca="1"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AD321" t="b">
        <f>IF(metadata!C321="",FALSE,ISNUMBER(VALUE(metadata!C321)))</f>
        <v>0</v>
      </c>
      <c r="AE321" t="b">
        <f>AND(IF(metadata!D321="",FALSE,TRUE),EXACT(metadata!D321,"years"))</f>
        <v>0</v>
      </c>
      <c r="AF321" t="b">
        <f>OR(AND(IF(metadata!E321="",FALSE,TRUE),OR(EXACT(metadata!E321,"not applicable"),EXACT(metadata!E321,"missing: not collected"),EXACT(metadata!E321,"missing: not provided"),EXACT(metadata!E321,"missing: restricted access"))),AND(IF(metadata!E321="",FALSE,ISNUMBER(VALUE(metadata!E321))),metadata!E321&gt;0))</f>
        <v>0</v>
      </c>
      <c r="AG321" t="b">
        <f>AND(IF(metadata!F321="",FALSE,TRUE),EXACT(metadata!F321,"Not applicable"))</f>
        <v>0</v>
      </c>
      <c r="AH321" t="b">
        <f>AND(IF(metadata!G321="",FALSE,TRUE),EXACT(metadata!G321,"urban biome"))</f>
        <v>0</v>
      </c>
      <c r="AI321" t="b">
        <f>AND(IF(metadata!H321="",FALSE,TRUE),EXACT(metadata!H321,"human-associated habitat"))</f>
        <v>0</v>
      </c>
      <c r="AJ321" t="b">
        <f>AND(IF(metadata!I321="",FALSE,TRUE),OR(EXACT(metadata!I321,"human-associated"),EXACT(metadata!I321,"human-skin"),EXACT(metadata!I321,"human-oral"),EXACT(metadata!I321,"human-gut"),EXACT(metadata!I321,"human-vaginal")))</f>
        <v>0</v>
      </c>
      <c r="AK321" t="b">
        <f>IF(metadata!J321="",FALSE,ISNUMBER(VALUE(metadata!J321)))</f>
        <v>0</v>
      </c>
      <c r="AL321" t="b">
        <f>AND(IF(metadata!K321="",FALSE,TRUE),EXACT(metadata!K321,"cm"))</f>
        <v>0</v>
      </c>
      <c r="AM321" t="b">
        <f>AND(IF(metadata!L321="",FALSE,TRUE),EXACT(metadata!L321,"human"))</f>
        <v>0</v>
      </c>
      <c r="AN321" t="b">
        <f>AND(IF(metadata!M321="",FALSE,TRUE),EXACT(metadata!M321,"Homo sapiens"))</f>
        <v>0</v>
      </c>
      <c r="AO321" t="b">
        <f>AND(IF(metadata!N321="",FALSE,TRUE),EXACT(metadata!N321,"9606"))</f>
        <v>0</v>
      </c>
      <c r="AP321" t="b">
        <f>IF(metadata!O321="",FALSE,TRUE)</f>
        <v>0</v>
      </c>
      <c r="AQ321" t="b">
        <f>IF(metadata!P321="",FALSE,TRUE)</f>
        <v>0</v>
      </c>
      <c r="AR321" t="b">
        <f>IF(metadata!Q321="",FALSE,ISNUMBER(VALUE(metadata!Q321)))</f>
        <v>0</v>
      </c>
      <c r="AS321" t="b">
        <f>AND(IF(metadata!R321="",FALSE,TRUE),EXACT(metadata!R321,"kg"))</f>
        <v>0</v>
      </c>
    </row>
    <row r="322" spans="1:45" x14ac:dyDescent="0.2">
      <c r="A322" s="5" t="str">
        <f ca="1">IF(B322=" "," ",HYPERLINK(CONCATENATE("#metadata!",ADDRESS(INDEX($X$2:$X$1001,MATCH(ROWS($V$2:V322),$V$2:$V$1001,0),0),1)),INDEX($AA$2:$AA$1001,MATCH(ROWS($V$2:V322),$V$2:$V$1001,0),0)))</f>
        <v xml:space="preserve"> </v>
      </c>
      <c r="B322" s="4" t="str">
        <f ca="1">IF(OR(INDEX($W$2:$W$1001,MATCH(ROWS($V$2:V322),$V$2:$V$1001,0),1)&gt;=100000,INDEX($AC$1005:$AS$1005,1,MATCH(COLUMNS($AC$1006:AC1006),$AC$1006:$AS$1006,0))&gt;=100000), " ",IF(INDEX($AC$2:$AS$1001,MATCH(ROWS($V$2:V322),$V$2:$V$1001,0),MATCH(COLUMNS($AC$1006:AC1006),$AC$1006:$AS$1006,0)), HYPERLINK("#",""), HYPERLINK(CONCATENATE("#metadata!", ADDRESS(INDEX($X$2:$X$1001,MATCH(ROWS($V$2:V322),$V$2:$V$1001,0),0), INDEX($AC$1004:$AS$1004,1,MATCH(COLUMNS($AC$1006:AC1006),$AC$1006:$AS$1006,0)))),"Fix")))</f>
        <v xml:space="preserve"> </v>
      </c>
      <c r="C322" s="4" t="str">
        <f ca="1">IF(OR(INDEX($W$2:$W$1001,MATCH(ROWS($V$2:V322),$V$2:$V$1001,0),1)&gt;=100000,INDEX($AC$1005:$AS$1005,1,MATCH(COLUMNS($AC$1006:AD1006),$AC$1006:$AS$1006,0))&gt;=100000), " ",IF(INDEX($AC$2:$AS$1001,MATCH(ROWS($V$2:V322),$V$2:$V$1001,0),MATCH(COLUMNS($AC$1006:AD1006),$AC$1006:$AS$1006,0)), HYPERLINK("#",""), HYPERLINK(CONCATENATE("#metadata!", ADDRESS(INDEX($X$2:$X$1001,MATCH(ROWS($V$2:V322),$V$2:$V$1001,0),0), INDEX($AC$1004:$AS$1004,1,MATCH(COLUMNS($AC$1006:AD1006),$AC$1006:$AS$1006,0)))),"Fix")))</f>
        <v xml:space="preserve"> </v>
      </c>
      <c r="D322" s="4" t="str">
        <f ca="1">IF(OR(INDEX($W$2:$W$1001,MATCH(ROWS($V$2:V322),$V$2:$V$1001,0),1)&gt;=100000,INDEX($AC$1005:$AS$1005,1,MATCH(COLUMNS($AC$1006:AE1006),$AC$1006:$AS$1006,0))&gt;=100000), " ",IF(INDEX($AC$2:$AS$1001,MATCH(ROWS($V$2:V322),$V$2:$V$1001,0),MATCH(COLUMNS($AC$1006:AE1006),$AC$1006:$AS$1006,0)), HYPERLINK("#",""), HYPERLINK(CONCATENATE("#metadata!", ADDRESS(INDEX($X$2:$X$1001,MATCH(ROWS($V$2:V322),$V$2:$V$1001,0),0), INDEX($AC$1004:$AS$1004,1,MATCH(COLUMNS($AC$1006:AE1006),$AC$1006:$AS$1006,0)))),"Fix")))</f>
        <v xml:space="preserve"> </v>
      </c>
      <c r="E322" s="4" t="str">
        <f ca="1">IF(OR(INDEX($W$2:$W$1001,MATCH(ROWS($V$2:V322),$V$2:$V$1001,0),1)&gt;=100000,INDEX($AC$1005:$AS$1005,1,MATCH(COLUMNS($AC$1006:AF1006),$AC$1006:$AS$1006,0))&gt;=100000), " ",IF(INDEX($AC$2:$AS$1001,MATCH(ROWS($V$2:V322),$V$2:$V$1001,0),MATCH(COLUMNS($AC$1006:AF1006),$AC$1006:$AS$1006,0)), HYPERLINK("#",""), HYPERLINK(CONCATENATE("#metadata!", ADDRESS(INDEX($X$2:$X$1001,MATCH(ROWS($V$2:V322),$V$2:$V$1001,0),0), INDEX($AC$1004:$AS$1004,1,MATCH(COLUMNS($AC$1006:AF1006),$AC$1006:$AS$1006,0)))),"Fix")))</f>
        <v xml:space="preserve"> </v>
      </c>
      <c r="F322" s="4" t="str">
        <f ca="1">IF(OR(INDEX($W$2:$W$1001,MATCH(ROWS($V$2:V322),$V$2:$V$1001,0),1)&gt;=100000,INDEX($AC$1005:$AS$1005,1,MATCH(COLUMNS($AC$1006:AG1006),$AC$1006:$AS$1006,0))&gt;=100000), " ",IF(INDEX($AC$2:$AS$1001,MATCH(ROWS($V$2:V322),$V$2:$V$1001,0),MATCH(COLUMNS($AC$1006:AG1006),$AC$1006:$AS$1006,0)), HYPERLINK("#",""), HYPERLINK(CONCATENATE("#metadata!", ADDRESS(INDEX($X$2:$X$1001,MATCH(ROWS($V$2:V322),$V$2:$V$1001,0),0), INDEX($AC$1004:$AS$1004,1,MATCH(COLUMNS($AC$1006:AG1006),$AC$1006:$AS$1006,0)))),"Fix")))</f>
        <v xml:space="preserve"> </v>
      </c>
      <c r="G322" s="4" t="str">
        <f ca="1">IF(OR(INDEX($W$2:$W$1001,MATCH(ROWS($V$2:V322),$V$2:$V$1001,0),1)&gt;=100000,INDEX($AC$1005:$AS$1005,1,MATCH(COLUMNS($AC$1006:AH1006),$AC$1006:$AS$1006,0))&gt;=100000), " ",IF(INDEX($AC$2:$AS$1001,MATCH(ROWS($V$2:V322),$V$2:$V$1001,0),MATCH(COLUMNS($AC$1006:AH1006),$AC$1006:$AS$1006,0)), HYPERLINK("#",""), HYPERLINK(CONCATENATE("#metadata!", ADDRESS(INDEX($X$2:$X$1001,MATCH(ROWS($V$2:V322),$V$2:$V$1001,0),0), INDEX($AC$1004:$AS$1004,1,MATCH(COLUMNS($AC$1006:AH1006),$AC$1006:$AS$1006,0)))),"Fix")))</f>
        <v xml:space="preserve"> </v>
      </c>
      <c r="H322" s="4" t="str">
        <f ca="1">IF(OR(INDEX($W$2:$W$1001,MATCH(ROWS($V$2:V322),$V$2:$V$1001,0),1)&gt;=100000,INDEX($AC$1005:$AS$1005,1,MATCH(COLUMNS($AC$1006:AI1006),$AC$1006:$AS$1006,0))&gt;=100000), " ",IF(INDEX($AC$2:$AS$1001,MATCH(ROWS($V$2:V322),$V$2:$V$1001,0),MATCH(COLUMNS($AC$1006:AI1006),$AC$1006:$AS$1006,0)), HYPERLINK("#",""), HYPERLINK(CONCATENATE("#metadata!", ADDRESS(INDEX($X$2:$X$1001,MATCH(ROWS($V$2:V322),$V$2:$V$1001,0),0), INDEX($AC$1004:$AS$1004,1,MATCH(COLUMNS($AC$1006:AI1006),$AC$1006:$AS$1006,0)))),"Fix")))</f>
        <v xml:space="preserve"> </v>
      </c>
      <c r="I322" s="4" t="str">
        <f ca="1">IF(OR(INDEX($W$2:$W$1001,MATCH(ROWS($V$2:V322),$V$2:$V$1001,0),1)&gt;=100000,INDEX($AC$1005:$AS$1005,1,MATCH(COLUMNS($AC$1006:AJ1006),$AC$1006:$AS$1006,0))&gt;=100000), " ",IF(INDEX($AC$2:$AS$1001,MATCH(ROWS($V$2:V322),$V$2:$V$1001,0),MATCH(COLUMNS($AC$1006:AJ1006),$AC$1006:$AS$1006,0)), HYPERLINK("#",""), HYPERLINK(CONCATENATE("#metadata!", ADDRESS(INDEX($X$2:$X$1001,MATCH(ROWS($V$2:V322),$V$2:$V$1001,0),0), INDEX($AC$1004:$AS$1004,1,MATCH(COLUMNS($AC$1006:AJ1006),$AC$1006:$AS$1006,0)))),"Fix")))</f>
        <v xml:space="preserve"> </v>
      </c>
      <c r="J322" s="4" t="str">
        <f ca="1">IF(OR(INDEX($W$2:$W$1001,MATCH(ROWS($V$2:V322),$V$2:$V$1001,0),1)&gt;=100000,INDEX($AC$1005:$AS$1005,1,MATCH(COLUMNS($AC$1006:AK1006),$AC$1006:$AS$1006,0))&gt;=100000), " ",IF(INDEX($AC$2:$AS$1001,MATCH(ROWS($V$2:V322),$V$2:$V$1001,0),MATCH(COLUMNS($AC$1006:AK1006),$AC$1006:$AS$1006,0)), HYPERLINK("#",""), HYPERLINK(CONCATENATE("#metadata!", ADDRESS(INDEX($X$2:$X$1001,MATCH(ROWS($V$2:V322),$V$2:$V$1001,0),0), INDEX($AC$1004:$AS$1004,1,MATCH(COLUMNS($AC$1006:AK1006),$AC$1006:$AS$1006,0)))),"Fix")))</f>
        <v xml:space="preserve"> </v>
      </c>
      <c r="K322" s="4" t="str">
        <f ca="1">IF(OR(INDEX($W$2:$W$1001,MATCH(ROWS($V$2:V322),$V$2:$V$1001,0),1)&gt;=100000,INDEX($AC$1005:$AS$1005,1,MATCH(COLUMNS($AC$1006:AL1006),$AC$1006:$AS$1006,0))&gt;=100000), " ",IF(INDEX($AC$2:$AS$1001,MATCH(ROWS($V$2:V322),$V$2:$V$1001,0),MATCH(COLUMNS($AC$1006:AL1006),$AC$1006:$AS$1006,0)), HYPERLINK("#",""), HYPERLINK(CONCATENATE("#metadata!", ADDRESS(INDEX($X$2:$X$1001,MATCH(ROWS($V$2:V322),$V$2:$V$1001,0),0), INDEX($AC$1004:$AS$1004,1,MATCH(COLUMNS($AC$1006:AL1006),$AC$1006:$AS$1006,0)))),"Fix")))</f>
        <v xml:space="preserve"> </v>
      </c>
      <c r="L322" s="4" t="str">
        <f ca="1">IF(OR(INDEX($W$2:$W$1001,MATCH(ROWS($V$2:V322),$V$2:$V$1001,0),1)&gt;=100000,INDEX($AC$1005:$AS$1005,1,MATCH(COLUMNS($AC$1006:AM1006),$AC$1006:$AS$1006,0))&gt;=100000), " ",IF(INDEX($AC$2:$AS$1001,MATCH(ROWS($V$2:V322),$V$2:$V$1001,0),MATCH(COLUMNS($AC$1006:AM1006),$AC$1006:$AS$1006,0)), HYPERLINK("#",""), HYPERLINK(CONCATENATE("#metadata!", ADDRESS(INDEX($X$2:$X$1001,MATCH(ROWS($V$2:V322),$V$2:$V$1001,0),0), INDEX($AC$1004:$AS$1004,1,MATCH(COLUMNS($AC$1006:AM1006),$AC$1006:$AS$1006,0)))),"Fix")))</f>
        <v xml:space="preserve"> </v>
      </c>
      <c r="M322" s="4" t="str">
        <f ca="1">IF(OR(INDEX($W$2:$W$1001,MATCH(ROWS($V$2:V322),$V$2:$V$1001,0),1)&gt;=100000,INDEX($AC$1005:$AS$1005,1,MATCH(COLUMNS($AC$1006:AN1006),$AC$1006:$AS$1006,0))&gt;=100000), " ",IF(INDEX($AC$2:$AS$1001,MATCH(ROWS($V$2:V322),$V$2:$V$1001,0),MATCH(COLUMNS($AC$1006:AN1006),$AC$1006:$AS$1006,0)), HYPERLINK("#",""), HYPERLINK(CONCATENATE("#metadata!", ADDRESS(INDEX($X$2:$X$1001,MATCH(ROWS($V$2:V322),$V$2:$V$1001,0),0), INDEX($AC$1004:$AS$1004,1,MATCH(COLUMNS($AC$1006:AN1006),$AC$1006:$AS$1006,0)))),"Fix")))</f>
        <v xml:space="preserve"> </v>
      </c>
      <c r="N322" s="4" t="str">
        <f ca="1">IF(OR(INDEX($W$2:$W$1001,MATCH(ROWS($V$2:V322),$V$2:$V$1001,0),1)&gt;=100000,INDEX($AC$1005:$AS$1005,1,MATCH(COLUMNS($AC$1006:AO1006),$AC$1006:$AS$1006,0))&gt;=100000), " ",IF(INDEX($AC$2:$AS$1001,MATCH(ROWS($V$2:V322),$V$2:$V$1001,0),MATCH(COLUMNS($AC$1006:AO1006),$AC$1006:$AS$1006,0)), HYPERLINK("#",""), HYPERLINK(CONCATENATE("#metadata!", ADDRESS(INDEX($X$2:$X$1001,MATCH(ROWS($V$2:V322),$V$2:$V$1001,0),0), INDEX($AC$1004:$AS$1004,1,MATCH(COLUMNS($AC$1006:AO1006),$AC$1006:$AS$1006,0)))),"Fix")))</f>
        <v xml:space="preserve"> </v>
      </c>
      <c r="O322" s="4" t="str">
        <f ca="1">IF(OR(INDEX($W$2:$W$1001,MATCH(ROWS($V$2:V322),$V$2:$V$1001,0),1)&gt;=100000,INDEX($AC$1005:$AS$1005,1,MATCH(COLUMNS($AC$1006:AP1006),$AC$1006:$AS$1006,0))&gt;=100000), " ",IF(INDEX($AC$2:$AS$1001,MATCH(ROWS($V$2:V322),$V$2:$V$1001,0),MATCH(COLUMNS($AC$1006:AP1006),$AC$1006:$AS$1006,0)), HYPERLINK("#",""), HYPERLINK(CONCATENATE("#metadata!", ADDRESS(INDEX($X$2:$X$1001,MATCH(ROWS($V$2:V322),$V$2:$V$1001,0),0), INDEX($AC$1004:$AS$1004,1,MATCH(COLUMNS($AC$1006:AP1006),$AC$1006:$AS$1006,0)))),"Fix")))</f>
        <v xml:space="preserve"> </v>
      </c>
      <c r="P322" s="4" t="str">
        <f ca="1">IF(OR(INDEX($W$2:$W$1001,MATCH(ROWS($V$2:V322),$V$2:$V$1001,0),1)&gt;=100000,INDEX($AC$1005:$AS$1005,1,MATCH(COLUMNS($AC$1006:AQ1006),$AC$1006:$AS$1006,0))&gt;=100000), " ",IF(INDEX($AC$2:$AS$1001,MATCH(ROWS($V$2:V322),$V$2:$V$1001,0),MATCH(COLUMNS($AC$1006:AQ1006),$AC$1006:$AS$1006,0)), HYPERLINK("#",""), HYPERLINK(CONCATENATE("#metadata!", ADDRESS(INDEX($X$2:$X$1001,MATCH(ROWS($V$2:V322),$V$2:$V$1001,0),0), INDEX($AC$1004:$AS$1004,1,MATCH(COLUMNS($AC$1006:AQ1006),$AC$1006:$AS$1006,0)))),"Fix")))</f>
        <v xml:space="preserve"> </v>
      </c>
      <c r="Q322" s="4" t="str">
        <f ca="1">IF(OR(INDEX($W$2:$W$1001,MATCH(ROWS($V$2:V322),$V$2:$V$1001,0),1)&gt;=100000,INDEX($AC$1005:$AS$1005,1,MATCH(COLUMNS($AC$1006:AR1006),$AC$1006:$AS$1006,0))&gt;=100000), " ",IF(INDEX($AC$2:$AS$1001,MATCH(ROWS($V$2:V322),$V$2:$V$1001,0),MATCH(COLUMNS($AC$1006:AR1006),$AC$1006:$AS$1006,0)), HYPERLINK("#",""), HYPERLINK(CONCATENATE("#metadata!", ADDRESS(INDEX($X$2:$X$1001,MATCH(ROWS($V$2:V322),$V$2:$V$1001,0),0), INDEX($AC$1004:$AS$1004,1,MATCH(COLUMNS($AC$1006:AR1006),$AC$1006:$AS$1006,0)))),"Fix")))</f>
        <v xml:space="preserve"> </v>
      </c>
      <c r="R322" s="4" t="str">
        <f ca="1">IF(OR(INDEX($W$2:$W$1001,MATCH(ROWS($V$2:V322),$V$2:$V$1001,0),1)&gt;=100000,INDEX($AC$1005:$AS$1005,1,MATCH(COLUMNS($AC$1006:AS1006),$AC$1006:$AS$1006,0))&gt;=100000), " ",IF(INDEX($AC$2:$AS$1001,MATCH(ROWS($V$2:V322),$V$2:$V$1001,0),MATCH(COLUMNS($AC$1006:AS1006),$AC$1006:$AS$1006,0)), HYPERLINK("#",""), HYPERLINK(CONCATENATE("#metadata!", ADDRESS(INDEX($X$2:$X$1001,MATCH(ROWS($V$2:V322),$V$2:$V$1001,0),0), INDEX($AC$1004:$AS$1004,1,MATCH(COLUMNS($AC$1006:AS1006),$AC$1006:$AS$1006,0)))),"Fix")))</f>
        <v xml:space="preserve"> </v>
      </c>
      <c r="V322">
        <v>321</v>
      </c>
      <c r="W322">
        <v>100322</v>
      </c>
      <c r="X322">
        <v>322</v>
      </c>
      <c r="Y322" t="b">
        <f t="shared" ref="Y322:Y385" si="5">IF(Z322,TRUE,AND(AC322:AS322))</f>
        <v>1</v>
      </c>
      <c r="Z322" t="b">
        <f>COUNTBLANK(metadata!B322:R322)=COLUMNS(metadata!B322:R322)</f>
        <v>1</v>
      </c>
      <c r="AA322" t="str">
        <v/>
      </c>
      <c r="AC322" t="b">
        <f ca="1"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AD322" t="b">
        <f>IF(metadata!C322="",FALSE,ISNUMBER(VALUE(metadata!C322)))</f>
        <v>0</v>
      </c>
      <c r="AE322" t="b">
        <f>AND(IF(metadata!D322="",FALSE,TRUE),EXACT(metadata!D322,"years"))</f>
        <v>0</v>
      </c>
      <c r="AF322" t="b">
        <f>OR(AND(IF(metadata!E322="",FALSE,TRUE),OR(EXACT(metadata!E322,"not applicable"),EXACT(metadata!E322,"missing: not collected"),EXACT(metadata!E322,"missing: not provided"),EXACT(metadata!E322,"missing: restricted access"))),AND(IF(metadata!E322="",FALSE,ISNUMBER(VALUE(metadata!E322))),metadata!E322&gt;0))</f>
        <v>0</v>
      </c>
      <c r="AG322" t="b">
        <f>AND(IF(metadata!F322="",FALSE,TRUE),EXACT(metadata!F322,"Not applicable"))</f>
        <v>0</v>
      </c>
      <c r="AH322" t="b">
        <f>AND(IF(metadata!G322="",FALSE,TRUE),EXACT(metadata!G322,"urban biome"))</f>
        <v>0</v>
      </c>
      <c r="AI322" t="b">
        <f>AND(IF(metadata!H322="",FALSE,TRUE),EXACT(metadata!H322,"human-associated habitat"))</f>
        <v>0</v>
      </c>
      <c r="AJ322" t="b">
        <f>AND(IF(metadata!I322="",FALSE,TRUE),OR(EXACT(metadata!I322,"human-associated"),EXACT(metadata!I322,"human-skin"),EXACT(metadata!I322,"human-oral"),EXACT(metadata!I322,"human-gut"),EXACT(metadata!I322,"human-vaginal")))</f>
        <v>0</v>
      </c>
      <c r="AK322" t="b">
        <f>IF(metadata!J322="",FALSE,ISNUMBER(VALUE(metadata!J322)))</f>
        <v>0</v>
      </c>
      <c r="AL322" t="b">
        <f>AND(IF(metadata!K322="",FALSE,TRUE),EXACT(metadata!K322,"cm"))</f>
        <v>0</v>
      </c>
      <c r="AM322" t="b">
        <f>AND(IF(metadata!L322="",FALSE,TRUE),EXACT(metadata!L322,"human"))</f>
        <v>0</v>
      </c>
      <c r="AN322" t="b">
        <f>AND(IF(metadata!M322="",FALSE,TRUE),EXACT(metadata!M322,"Homo sapiens"))</f>
        <v>0</v>
      </c>
      <c r="AO322" t="b">
        <f>AND(IF(metadata!N322="",FALSE,TRUE),EXACT(metadata!N322,"9606"))</f>
        <v>0</v>
      </c>
      <c r="AP322" t="b">
        <f>IF(metadata!O322="",FALSE,TRUE)</f>
        <v>0</v>
      </c>
      <c r="AQ322" t="b">
        <f>IF(metadata!P322="",FALSE,TRUE)</f>
        <v>0</v>
      </c>
      <c r="AR322" t="b">
        <f>IF(metadata!Q322="",FALSE,ISNUMBER(VALUE(metadata!Q322)))</f>
        <v>0</v>
      </c>
      <c r="AS322" t="b">
        <f>AND(IF(metadata!R322="",FALSE,TRUE),EXACT(metadata!R322,"kg"))</f>
        <v>0</v>
      </c>
    </row>
    <row r="323" spans="1:45" x14ac:dyDescent="0.2">
      <c r="A323" s="5" t="str">
        <f ca="1">IF(B323=" "," ",HYPERLINK(CONCATENATE("#metadata!",ADDRESS(INDEX($X$2:$X$1001,MATCH(ROWS($V$2:V323),$V$2:$V$1001,0),0),1)),INDEX($AA$2:$AA$1001,MATCH(ROWS($V$2:V323),$V$2:$V$1001,0),0)))</f>
        <v xml:space="preserve"> </v>
      </c>
      <c r="B323" s="4" t="str">
        <f ca="1">IF(OR(INDEX($W$2:$W$1001,MATCH(ROWS($V$2:V323),$V$2:$V$1001,0),1)&gt;=100000,INDEX($AC$1005:$AS$1005,1,MATCH(COLUMNS($AC$1006:AC1006),$AC$1006:$AS$1006,0))&gt;=100000), " ",IF(INDEX($AC$2:$AS$1001,MATCH(ROWS($V$2:V323),$V$2:$V$1001,0),MATCH(COLUMNS($AC$1006:AC1006),$AC$1006:$AS$1006,0)), HYPERLINK("#",""), HYPERLINK(CONCATENATE("#metadata!", ADDRESS(INDEX($X$2:$X$1001,MATCH(ROWS($V$2:V323),$V$2:$V$1001,0),0), INDEX($AC$1004:$AS$1004,1,MATCH(COLUMNS($AC$1006:AC1006),$AC$1006:$AS$1006,0)))),"Fix")))</f>
        <v xml:space="preserve"> </v>
      </c>
      <c r="C323" s="4" t="str">
        <f ca="1">IF(OR(INDEX($W$2:$W$1001,MATCH(ROWS($V$2:V323),$V$2:$V$1001,0),1)&gt;=100000,INDEX($AC$1005:$AS$1005,1,MATCH(COLUMNS($AC$1006:AD1006),$AC$1006:$AS$1006,0))&gt;=100000), " ",IF(INDEX($AC$2:$AS$1001,MATCH(ROWS($V$2:V323),$V$2:$V$1001,0),MATCH(COLUMNS($AC$1006:AD1006),$AC$1006:$AS$1006,0)), HYPERLINK("#",""), HYPERLINK(CONCATENATE("#metadata!", ADDRESS(INDEX($X$2:$X$1001,MATCH(ROWS($V$2:V323),$V$2:$V$1001,0),0), INDEX($AC$1004:$AS$1004,1,MATCH(COLUMNS($AC$1006:AD1006),$AC$1006:$AS$1006,0)))),"Fix")))</f>
        <v xml:space="preserve"> </v>
      </c>
      <c r="D323" s="4" t="str">
        <f ca="1">IF(OR(INDEX($W$2:$W$1001,MATCH(ROWS($V$2:V323),$V$2:$V$1001,0),1)&gt;=100000,INDEX($AC$1005:$AS$1005,1,MATCH(COLUMNS($AC$1006:AE1006),$AC$1006:$AS$1006,0))&gt;=100000), " ",IF(INDEX($AC$2:$AS$1001,MATCH(ROWS($V$2:V323),$V$2:$V$1001,0),MATCH(COLUMNS($AC$1006:AE1006),$AC$1006:$AS$1006,0)), HYPERLINK("#",""), HYPERLINK(CONCATENATE("#metadata!", ADDRESS(INDEX($X$2:$X$1001,MATCH(ROWS($V$2:V323),$V$2:$V$1001,0),0), INDEX($AC$1004:$AS$1004,1,MATCH(COLUMNS($AC$1006:AE1006),$AC$1006:$AS$1006,0)))),"Fix")))</f>
        <v xml:space="preserve"> </v>
      </c>
      <c r="E323" s="4" t="str">
        <f ca="1">IF(OR(INDEX($W$2:$W$1001,MATCH(ROWS($V$2:V323),$V$2:$V$1001,0),1)&gt;=100000,INDEX($AC$1005:$AS$1005,1,MATCH(COLUMNS($AC$1006:AF1006),$AC$1006:$AS$1006,0))&gt;=100000), " ",IF(INDEX($AC$2:$AS$1001,MATCH(ROWS($V$2:V323),$V$2:$V$1001,0),MATCH(COLUMNS($AC$1006:AF1006),$AC$1006:$AS$1006,0)), HYPERLINK("#",""), HYPERLINK(CONCATENATE("#metadata!", ADDRESS(INDEX($X$2:$X$1001,MATCH(ROWS($V$2:V323),$V$2:$V$1001,0),0), INDEX($AC$1004:$AS$1004,1,MATCH(COLUMNS($AC$1006:AF1006),$AC$1006:$AS$1006,0)))),"Fix")))</f>
        <v xml:space="preserve"> </v>
      </c>
      <c r="F323" s="4" t="str">
        <f ca="1">IF(OR(INDEX($W$2:$W$1001,MATCH(ROWS($V$2:V323),$V$2:$V$1001,0),1)&gt;=100000,INDEX($AC$1005:$AS$1005,1,MATCH(COLUMNS($AC$1006:AG1006),$AC$1006:$AS$1006,0))&gt;=100000), " ",IF(INDEX($AC$2:$AS$1001,MATCH(ROWS($V$2:V323),$V$2:$V$1001,0),MATCH(COLUMNS($AC$1006:AG1006),$AC$1006:$AS$1006,0)), HYPERLINK("#",""), HYPERLINK(CONCATENATE("#metadata!", ADDRESS(INDEX($X$2:$X$1001,MATCH(ROWS($V$2:V323),$V$2:$V$1001,0),0), INDEX($AC$1004:$AS$1004,1,MATCH(COLUMNS($AC$1006:AG1006),$AC$1006:$AS$1006,0)))),"Fix")))</f>
        <v xml:space="preserve"> </v>
      </c>
      <c r="G323" s="4" t="str">
        <f ca="1">IF(OR(INDEX($W$2:$W$1001,MATCH(ROWS($V$2:V323),$V$2:$V$1001,0),1)&gt;=100000,INDEX($AC$1005:$AS$1005,1,MATCH(COLUMNS($AC$1006:AH1006),$AC$1006:$AS$1006,0))&gt;=100000), " ",IF(INDEX($AC$2:$AS$1001,MATCH(ROWS($V$2:V323),$V$2:$V$1001,0),MATCH(COLUMNS($AC$1006:AH1006),$AC$1006:$AS$1006,0)), HYPERLINK("#",""), HYPERLINK(CONCATENATE("#metadata!", ADDRESS(INDEX($X$2:$X$1001,MATCH(ROWS($V$2:V323),$V$2:$V$1001,0),0), INDEX($AC$1004:$AS$1004,1,MATCH(COLUMNS($AC$1006:AH1006),$AC$1006:$AS$1006,0)))),"Fix")))</f>
        <v xml:space="preserve"> </v>
      </c>
      <c r="H323" s="4" t="str">
        <f ca="1">IF(OR(INDEX($W$2:$W$1001,MATCH(ROWS($V$2:V323),$V$2:$V$1001,0),1)&gt;=100000,INDEX($AC$1005:$AS$1005,1,MATCH(COLUMNS($AC$1006:AI1006),$AC$1006:$AS$1006,0))&gt;=100000), " ",IF(INDEX($AC$2:$AS$1001,MATCH(ROWS($V$2:V323),$V$2:$V$1001,0),MATCH(COLUMNS($AC$1006:AI1006),$AC$1006:$AS$1006,0)), HYPERLINK("#",""), HYPERLINK(CONCATENATE("#metadata!", ADDRESS(INDEX($X$2:$X$1001,MATCH(ROWS($V$2:V323),$V$2:$V$1001,0),0), INDEX($AC$1004:$AS$1004,1,MATCH(COLUMNS($AC$1006:AI1006),$AC$1006:$AS$1006,0)))),"Fix")))</f>
        <v xml:space="preserve"> </v>
      </c>
      <c r="I323" s="4" t="str">
        <f ca="1">IF(OR(INDEX($W$2:$W$1001,MATCH(ROWS($V$2:V323),$V$2:$V$1001,0),1)&gt;=100000,INDEX($AC$1005:$AS$1005,1,MATCH(COLUMNS($AC$1006:AJ1006),$AC$1006:$AS$1006,0))&gt;=100000), " ",IF(INDEX($AC$2:$AS$1001,MATCH(ROWS($V$2:V323),$V$2:$V$1001,0),MATCH(COLUMNS($AC$1006:AJ1006),$AC$1006:$AS$1006,0)), HYPERLINK("#",""), HYPERLINK(CONCATENATE("#metadata!", ADDRESS(INDEX($X$2:$X$1001,MATCH(ROWS($V$2:V323),$V$2:$V$1001,0),0), INDEX($AC$1004:$AS$1004,1,MATCH(COLUMNS($AC$1006:AJ1006),$AC$1006:$AS$1006,0)))),"Fix")))</f>
        <v xml:space="preserve"> </v>
      </c>
      <c r="J323" s="4" t="str">
        <f ca="1">IF(OR(INDEX($W$2:$W$1001,MATCH(ROWS($V$2:V323),$V$2:$V$1001,0),1)&gt;=100000,INDEX($AC$1005:$AS$1005,1,MATCH(COLUMNS($AC$1006:AK1006),$AC$1006:$AS$1006,0))&gt;=100000), " ",IF(INDEX($AC$2:$AS$1001,MATCH(ROWS($V$2:V323),$V$2:$V$1001,0),MATCH(COLUMNS($AC$1006:AK1006),$AC$1006:$AS$1006,0)), HYPERLINK("#",""), HYPERLINK(CONCATENATE("#metadata!", ADDRESS(INDEX($X$2:$X$1001,MATCH(ROWS($V$2:V323),$V$2:$V$1001,0),0), INDEX($AC$1004:$AS$1004,1,MATCH(COLUMNS($AC$1006:AK1006),$AC$1006:$AS$1006,0)))),"Fix")))</f>
        <v xml:space="preserve"> </v>
      </c>
      <c r="K323" s="4" t="str">
        <f ca="1">IF(OR(INDEX($W$2:$W$1001,MATCH(ROWS($V$2:V323),$V$2:$V$1001,0),1)&gt;=100000,INDEX($AC$1005:$AS$1005,1,MATCH(COLUMNS($AC$1006:AL1006),$AC$1006:$AS$1006,0))&gt;=100000), " ",IF(INDEX($AC$2:$AS$1001,MATCH(ROWS($V$2:V323),$V$2:$V$1001,0),MATCH(COLUMNS($AC$1006:AL1006),$AC$1006:$AS$1006,0)), HYPERLINK("#",""), HYPERLINK(CONCATENATE("#metadata!", ADDRESS(INDEX($X$2:$X$1001,MATCH(ROWS($V$2:V323),$V$2:$V$1001,0),0), INDEX($AC$1004:$AS$1004,1,MATCH(COLUMNS($AC$1006:AL1006),$AC$1006:$AS$1006,0)))),"Fix")))</f>
        <v xml:space="preserve"> </v>
      </c>
      <c r="L323" s="4" t="str">
        <f ca="1">IF(OR(INDEX($W$2:$W$1001,MATCH(ROWS($V$2:V323),$V$2:$V$1001,0),1)&gt;=100000,INDEX($AC$1005:$AS$1005,1,MATCH(COLUMNS($AC$1006:AM1006),$AC$1006:$AS$1006,0))&gt;=100000), " ",IF(INDEX($AC$2:$AS$1001,MATCH(ROWS($V$2:V323),$V$2:$V$1001,0),MATCH(COLUMNS($AC$1006:AM1006),$AC$1006:$AS$1006,0)), HYPERLINK("#",""), HYPERLINK(CONCATENATE("#metadata!", ADDRESS(INDEX($X$2:$X$1001,MATCH(ROWS($V$2:V323),$V$2:$V$1001,0),0), INDEX($AC$1004:$AS$1004,1,MATCH(COLUMNS($AC$1006:AM1006),$AC$1006:$AS$1006,0)))),"Fix")))</f>
        <v xml:space="preserve"> </v>
      </c>
      <c r="M323" s="4" t="str">
        <f ca="1">IF(OR(INDEX($W$2:$W$1001,MATCH(ROWS($V$2:V323),$V$2:$V$1001,0),1)&gt;=100000,INDEX($AC$1005:$AS$1005,1,MATCH(COLUMNS($AC$1006:AN1006),$AC$1006:$AS$1006,0))&gt;=100000), " ",IF(INDEX($AC$2:$AS$1001,MATCH(ROWS($V$2:V323),$V$2:$V$1001,0),MATCH(COLUMNS($AC$1006:AN1006),$AC$1006:$AS$1006,0)), HYPERLINK("#",""), HYPERLINK(CONCATENATE("#metadata!", ADDRESS(INDEX($X$2:$X$1001,MATCH(ROWS($V$2:V323),$V$2:$V$1001,0),0), INDEX($AC$1004:$AS$1004,1,MATCH(COLUMNS($AC$1006:AN1006),$AC$1006:$AS$1006,0)))),"Fix")))</f>
        <v xml:space="preserve"> </v>
      </c>
      <c r="N323" s="4" t="str">
        <f ca="1">IF(OR(INDEX($W$2:$W$1001,MATCH(ROWS($V$2:V323),$V$2:$V$1001,0),1)&gt;=100000,INDEX($AC$1005:$AS$1005,1,MATCH(COLUMNS($AC$1006:AO1006),$AC$1006:$AS$1006,0))&gt;=100000), " ",IF(INDEX($AC$2:$AS$1001,MATCH(ROWS($V$2:V323),$V$2:$V$1001,0),MATCH(COLUMNS($AC$1006:AO1006),$AC$1006:$AS$1006,0)), HYPERLINK("#",""), HYPERLINK(CONCATENATE("#metadata!", ADDRESS(INDEX($X$2:$X$1001,MATCH(ROWS($V$2:V323),$V$2:$V$1001,0),0), INDEX($AC$1004:$AS$1004,1,MATCH(COLUMNS($AC$1006:AO1006),$AC$1006:$AS$1006,0)))),"Fix")))</f>
        <v xml:space="preserve"> </v>
      </c>
      <c r="O323" s="4" t="str">
        <f ca="1">IF(OR(INDEX($W$2:$W$1001,MATCH(ROWS($V$2:V323),$V$2:$V$1001,0),1)&gt;=100000,INDEX($AC$1005:$AS$1005,1,MATCH(COLUMNS($AC$1006:AP1006),$AC$1006:$AS$1006,0))&gt;=100000), " ",IF(INDEX($AC$2:$AS$1001,MATCH(ROWS($V$2:V323),$V$2:$V$1001,0),MATCH(COLUMNS($AC$1006:AP1006),$AC$1006:$AS$1006,0)), HYPERLINK("#",""), HYPERLINK(CONCATENATE("#metadata!", ADDRESS(INDEX($X$2:$X$1001,MATCH(ROWS($V$2:V323),$V$2:$V$1001,0),0), INDEX($AC$1004:$AS$1004,1,MATCH(COLUMNS($AC$1006:AP1006),$AC$1006:$AS$1006,0)))),"Fix")))</f>
        <v xml:space="preserve"> </v>
      </c>
      <c r="P323" s="4" t="str">
        <f ca="1">IF(OR(INDEX($W$2:$W$1001,MATCH(ROWS($V$2:V323),$V$2:$V$1001,0),1)&gt;=100000,INDEX($AC$1005:$AS$1005,1,MATCH(COLUMNS($AC$1006:AQ1006),$AC$1006:$AS$1006,0))&gt;=100000), " ",IF(INDEX($AC$2:$AS$1001,MATCH(ROWS($V$2:V323),$V$2:$V$1001,0),MATCH(COLUMNS($AC$1006:AQ1006),$AC$1006:$AS$1006,0)), HYPERLINK("#",""), HYPERLINK(CONCATENATE("#metadata!", ADDRESS(INDEX($X$2:$X$1001,MATCH(ROWS($V$2:V323),$V$2:$V$1001,0),0), INDEX($AC$1004:$AS$1004,1,MATCH(COLUMNS($AC$1006:AQ1006),$AC$1006:$AS$1006,0)))),"Fix")))</f>
        <v xml:space="preserve"> </v>
      </c>
      <c r="Q323" s="4" t="str">
        <f ca="1">IF(OR(INDEX($W$2:$W$1001,MATCH(ROWS($V$2:V323),$V$2:$V$1001,0),1)&gt;=100000,INDEX($AC$1005:$AS$1005,1,MATCH(COLUMNS($AC$1006:AR1006),$AC$1006:$AS$1006,0))&gt;=100000), " ",IF(INDEX($AC$2:$AS$1001,MATCH(ROWS($V$2:V323),$V$2:$V$1001,0),MATCH(COLUMNS($AC$1006:AR1006),$AC$1006:$AS$1006,0)), HYPERLINK("#",""), HYPERLINK(CONCATENATE("#metadata!", ADDRESS(INDEX($X$2:$X$1001,MATCH(ROWS($V$2:V323),$V$2:$V$1001,0),0), INDEX($AC$1004:$AS$1004,1,MATCH(COLUMNS($AC$1006:AR1006),$AC$1006:$AS$1006,0)))),"Fix")))</f>
        <v xml:space="preserve"> </v>
      </c>
      <c r="R323" s="4" t="str">
        <f ca="1">IF(OR(INDEX($W$2:$W$1001,MATCH(ROWS($V$2:V323),$V$2:$V$1001,0),1)&gt;=100000,INDEX($AC$1005:$AS$1005,1,MATCH(COLUMNS($AC$1006:AS1006),$AC$1006:$AS$1006,0))&gt;=100000), " ",IF(INDEX($AC$2:$AS$1001,MATCH(ROWS($V$2:V323),$V$2:$V$1001,0),MATCH(COLUMNS($AC$1006:AS1006),$AC$1006:$AS$1006,0)), HYPERLINK("#",""), HYPERLINK(CONCATENATE("#metadata!", ADDRESS(INDEX($X$2:$X$1001,MATCH(ROWS($V$2:V323),$V$2:$V$1001,0),0), INDEX($AC$1004:$AS$1004,1,MATCH(COLUMNS($AC$1006:AS1006),$AC$1006:$AS$1006,0)))),"Fix")))</f>
        <v xml:space="preserve"> </v>
      </c>
      <c r="V323">
        <v>322</v>
      </c>
      <c r="W323">
        <v>100323</v>
      </c>
      <c r="X323">
        <v>323</v>
      </c>
      <c r="Y323" t="b">
        <f t="shared" si="5"/>
        <v>1</v>
      </c>
      <c r="Z323" t="b">
        <f>COUNTBLANK(metadata!B323:R323)=COLUMNS(metadata!B323:R323)</f>
        <v>1</v>
      </c>
      <c r="AA323" t="str">
        <v/>
      </c>
      <c r="AC323" t="b">
        <f ca="1"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AD323" t="b">
        <f>IF(metadata!C323="",FALSE,ISNUMBER(VALUE(metadata!C323)))</f>
        <v>0</v>
      </c>
      <c r="AE323" t="b">
        <f>AND(IF(metadata!D323="",FALSE,TRUE),EXACT(metadata!D323,"years"))</f>
        <v>0</v>
      </c>
      <c r="AF323" t="b">
        <f>OR(AND(IF(metadata!E323="",FALSE,TRUE),OR(EXACT(metadata!E323,"not applicable"),EXACT(metadata!E323,"missing: not collected"),EXACT(metadata!E323,"missing: not provided"),EXACT(metadata!E323,"missing: restricted access"))),AND(IF(metadata!E323="",FALSE,ISNUMBER(VALUE(metadata!E323))),metadata!E323&gt;0))</f>
        <v>0</v>
      </c>
      <c r="AG323" t="b">
        <f>AND(IF(metadata!F323="",FALSE,TRUE),EXACT(metadata!F323,"Not applicable"))</f>
        <v>0</v>
      </c>
      <c r="AH323" t="b">
        <f>AND(IF(metadata!G323="",FALSE,TRUE),EXACT(metadata!G323,"urban biome"))</f>
        <v>0</v>
      </c>
      <c r="AI323" t="b">
        <f>AND(IF(metadata!H323="",FALSE,TRUE),EXACT(metadata!H323,"human-associated habitat"))</f>
        <v>0</v>
      </c>
      <c r="AJ323" t="b">
        <f>AND(IF(metadata!I323="",FALSE,TRUE),OR(EXACT(metadata!I323,"human-associated"),EXACT(metadata!I323,"human-skin"),EXACT(metadata!I323,"human-oral"),EXACT(metadata!I323,"human-gut"),EXACT(metadata!I323,"human-vaginal")))</f>
        <v>0</v>
      </c>
      <c r="AK323" t="b">
        <f>IF(metadata!J323="",FALSE,ISNUMBER(VALUE(metadata!J323)))</f>
        <v>0</v>
      </c>
      <c r="AL323" t="b">
        <f>AND(IF(metadata!K323="",FALSE,TRUE),EXACT(metadata!K323,"cm"))</f>
        <v>0</v>
      </c>
      <c r="AM323" t="b">
        <f>AND(IF(metadata!L323="",FALSE,TRUE),EXACT(metadata!L323,"human"))</f>
        <v>0</v>
      </c>
      <c r="AN323" t="b">
        <f>AND(IF(metadata!M323="",FALSE,TRUE),EXACT(metadata!M323,"Homo sapiens"))</f>
        <v>0</v>
      </c>
      <c r="AO323" t="b">
        <f>AND(IF(metadata!N323="",FALSE,TRUE),EXACT(metadata!N323,"9606"))</f>
        <v>0</v>
      </c>
      <c r="AP323" t="b">
        <f>IF(metadata!O323="",FALSE,TRUE)</f>
        <v>0</v>
      </c>
      <c r="AQ323" t="b">
        <f>IF(metadata!P323="",FALSE,TRUE)</f>
        <v>0</v>
      </c>
      <c r="AR323" t="b">
        <f>IF(metadata!Q323="",FALSE,ISNUMBER(VALUE(metadata!Q323)))</f>
        <v>0</v>
      </c>
      <c r="AS323" t="b">
        <f>AND(IF(metadata!R323="",FALSE,TRUE),EXACT(metadata!R323,"kg"))</f>
        <v>0</v>
      </c>
    </row>
    <row r="324" spans="1:45" x14ac:dyDescent="0.2">
      <c r="A324" s="5" t="str">
        <f ca="1">IF(B324=" "," ",HYPERLINK(CONCATENATE("#metadata!",ADDRESS(INDEX($X$2:$X$1001,MATCH(ROWS($V$2:V324),$V$2:$V$1001,0),0),1)),INDEX($AA$2:$AA$1001,MATCH(ROWS($V$2:V324),$V$2:$V$1001,0),0)))</f>
        <v xml:space="preserve"> </v>
      </c>
      <c r="B324" s="4" t="str">
        <f ca="1">IF(OR(INDEX($W$2:$W$1001,MATCH(ROWS($V$2:V324),$V$2:$V$1001,0),1)&gt;=100000,INDEX($AC$1005:$AS$1005,1,MATCH(COLUMNS($AC$1006:AC1006),$AC$1006:$AS$1006,0))&gt;=100000), " ",IF(INDEX($AC$2:$AS$1001,MATCH(ROWS($V$2:V324),$V$2:$V$1001,0),MATCH(COLUMNS($AC$1006:AC1006),$AC$1006:$AS$1006,0)), HYPERLINK("#",""), HYPERLINK(CONCATENATE("#metadata!", ADDRESS(INDEX($X$2:$X$1001,MATCH(ROWS($V$2:V324),$V$2:$V$1001,0),0), INDEX($AC$1004:$AS$1004,1,MATCH(COLUMNS($AC$1006:AC1006),$AC$1006:$AS$1006,0)))),"Fix")))</f>
        <v xml:space="preserve"> </v>
      </c>
      <c r="C324" s="4" t="str">
        <f ca="1">IF(OR(INDEX($W$2:$W$1001,MATCH(ROWS($V$2:V324),$V$2:$V$1001,0),1)&gt;=100000,INDEX($AC$1005:$AS$1005,1,MATCH(COLUMNS($AC$1006:AD1006),$AC$1006:$AS$1006,0))&gt;=100000), " ",IF(INDEX($AC$2:$AS$1001,MATCH(ROWS($V$2:V324),$V$2:$V$1001,0),MATCH(COLUMNS($AC$1006:AD1006),$AC$1006:$AS$1006,0)), HYPERLINK("#",""), HYPERLINK(CONCATENATE("#metadata!", ADDRESS(INDEX($X$2:$X$1001,MATCH(ROWS($V$2:V324),$V$2:$V$1001,0),0), INDEX($AC$1004:$AS$1004,1,MATCH(COLUMNS($AC$1006:AD1006),$AC$1006:$AS$1006,0)))),"Fix")))</f>
        <v xml:space="preserve"> </v>
      </c>
      <c r="D324" s="4" t="str">
        <f ca="1">IF(OR(INDEX($W$2:$W$1001,MATCH(ROWS($V$2:V324),$V$2:$V$1001,0),1)&gt;=100000,INDEX($AC$1005:$AS$1005,1,MATCH(COLUMNS($AC$1006:AE1006),$AC$1006:$AS$1006,0))&gt;=100000), " ",IF(INDEX($AC$2:$AS$1001,MATCH(ROWS($V$2:V324),$V$2:$V$1001,0),MATCH(COLUMNS($AC$1006:AE1006),$AC$1006:$AS$1006,0)), HYPERLINK("#",""), HYPERLINK(CONCATENATE("#metadata!", ADDRESS(INDEX($X$2:$X$1001,MATCH(ROWS($V$2:V324),$V$2:$V$1001,0),0), INDEX($AC$1004:$AS$1004,1,MATCH(COLUMNS($AC$1006:AE1006),$AC$1006:$AS$1006,0)))),"Fix")))</f>
        <v xml:space="preserve"> </v>
      </c>
      <c r="E324" s="4" t="str">
        <f ca="1">IF(OR(INDEX($W$2:$W$1001,MATCH(ROWS($V$2:V324),$V$2:$V$1001,0),1)&gt;=100000,INDEX($AC$1005:$AS$1005,1,MATCH(COLUMNS($AC$1006:AF1006),$AC$1006:$AS$1006,0))&gt;=100000), " ",IF(INDEX($AC$2:$AS$1001,MATCH(ROWS($V$2:V324),$V$2:$V$1001,0),MATCH(COLUMNS($AC$1006:AF1006),$AC$1006:$AS$1006,0)), HYPERLINK("#",""), HYPERLINK(CONCATENATE("#metadata!", ADDRESS(INDEX($X$2:$X$1001,MATCH(ROWS($V$2:V324),$V$2:$V$1001,0),0), INDEX($AC$1004:$AS$1004,1,MATCH(COLUMNS($AC$1006:AF1006),$AC$1006:$AS$1006,0)))),"Fix")))</f>
        <v xml:space="preserve"> </v>
      </c>
      <c r="F324" s="4" t="str">
        <f ca="1">IF(OR(INDEX($W$2:$W$1001,MATCH(ROWS($V$2:V324),$V$2:$V$1001,0),1)&gt;=100000,INDEX($AC$1005:$AS$1005,1,MATCH(COLUMNS($AC$1006:AG1006),$AC$1006:$AS$1006,0))&gt;=100000), " ",IF(INDEX($AC$2:$AS$1001,MATCH(ROWS($V$2:V324),$V$2:$V$1001,0),MATCH(COLUMNS($AC$1006:AG1006),$AC$1006:$AS$1006,0)), HYPERLINK("#",""), HYPERLINK(CONCATENATE("#metadata!", ADDRESS(INDEX($X$2:$X$1001,MATCH(ROWS($V$2:V324),$V$2:$V$1001,0),0), INDEX($AC$1004:$AS$1004,1,MATCH(COLUMNS($AC$1006:AG1006),$AC$1006:$AS$1006,0)))),"Fix")))</f>
        <v xml:space="preserve"> </v>
      </c>
      <c r="G324" s="4" t="str">
        <f ca="1">IF(OR(INDEX($W$2:$W$1001,MATCH(ROWS($V$2:V324),$V$2:$V$1001,0),1)&gt;=100000,INDEX($AC$1005:$AS$1005,1,MATCH(COLUMNS($AC$1006:AH1006),$AC$1006:$AS$1006,0))&gt;=100000), " ",IF(INDEX($AC$2:$AS$1001,MATCH(ROWS($V$2:V324),$V$2:$V$1001,0),MATCH(COLUMNS($AC$1006:AH1006),$AC$1006:$AS$1006,0)), HYPERLINK("#",""), HYPERLINK(CONCATENATE("#metadata!", ADDRESS(INDEX($X$2:$X$1001,MATCH(ROWS($V$2:V324),$V$2:$V$1001,0),0), INDEX($AC$1004:$AS$1004,1,MATCH(COLUMNS($AC$1006:AH1006),$AC$1006:$AS$1006,0)))),"Fix")))</f>
        <v xml:space="preserve"> </v>
      </c>
      <c r="H324" s="4" t="str">
        <f ca="1">IF(OR(INDEX($W$2:$W$1001,MATCH(ROWS($V$2:V324),$V$2:$V$1001,0),1)&gt;=100000,INDEX($AC$1005:$AS$1005,1,MATCH(COLUMNS($AC$1006:AI1006),$AC$1006:$AS$1006,0))&gt;=100000), " ",IF(INDEX($AC$2:$AS$1001,MATCH(ROWS($V$2:V324),$V$2:$V$1001,0),MATCH(COLUMNS($AC$1006:AI1006),$AC$1006:$AS$1006,0)), HYPERLINK("#",""), HYPERLINK(CONCATENATE("#metadata!", ADDRESS(INDEX($X$2:$X$1001,MATCH(ROWS($V$2:V324),$V$2:$V$1001,0),0), INDEX($AC$1004:$AS$1004,1,MATCH(COLUMNS($AC$1006:AI1006),$AC$1006:$AS$1006,0)))),"Fix")))</f>
        <v xml:space="preserve"> </v>
      </c>
      <c r="I324" s="4" t="str">
        <f ca="1">IF(OR(INDEX($W$2:$W$1001,MATCH(ROWS($V$2:V324),$V$2:$V$1001,0),1)&gt;=100000,INDEX($AC$1005:$AS$1005,1,MATCH(COLUMNS($AC$1006:AJ1006),$AC$1006:$AS$1006,0))&gt;=100000), " ",IF(INDEX($AC$2:$AS$1001,MATCH(ROWS($V$2:V324),$V$2:$V$1001,0),MATCH(COLUMNS($AC$1006:AJ1006),$AC$1006:$AS$1006,0)), HYPERLINK("#",""), HYPERLINK(CONCATENATE("#metadata!", ADDRESS(INDEX($X$2:$X$1001,MATCH(ROWS($V$2:V324),$V$2:$V$1001,0),0), INDEX($AC$1004:$AS$1004,1,MATCH(COLUMNS($AC$1006:AJ1006),$AC$1006:$AS$1006,0)))),"Fix")))</f>
        <v xml:space="preserve"> </v>
      </c>
      <c r="J324" s="4" t="str">
        <f ca="1">IF(OR(INDEX($W$2:$W$1001,MATCH(ROWS($V$2:V324),$V$2:$V$1001,0),1)&gt;=100000,INDEX($AC$1005:$AS$1005,1,MATCH(COLUMNS($AC$1006:AK1006),$AC$1006:$AS$1006,0))&gt;=100000), " ",IF(INDEX($AC$2:$AS$1001,MATCH(ROWS($V$2:V324),$V$2:$V$1001,0),MATCH(COLUMNS($AC$1006:AK1006),$AC$1006:$AS$1006,0)), HYPERLINK("#",""), HYPERLINK(CONCATENATE("#metadata!", ADDRESS(INDEX($X$2:$X$1001,MATCH(ROWS($V$2:V324),$V$2:$V$1001,0),0), INDEX($AC$1004:$AS$1004,1,MATCH(COLUMNS($AC$1006:AK1006),$AC$1006:$AS$1006,0)))),"Fix")))</f>
        <v xml:space="preserve"> </v>
      </c>
      <c r="K324" s="4" t="str">
        <f ca="1">IF(OR(INDEX($W$2:$W$1001,MATCH(ROWS($V$2:V324),$V$2:$V$1001,0),1)&gt;=100000,INDEX($AC$1005:$AS$1005,1,MATCH(COLUMNS($AC$1006:AL1006),$AC$1006:$AS$1006,0))&gt;=100000), " ",IF(INDEX($AC$2:$AS$1001,MATCH(ROWS($V$2:V324),$V$2:$V$1001,0),MATCH(COLUMNS($AC$1006:AL1006),$AC$1006:$AS$1006,0)), HYPERLINK("#",""), HYPERLINK(CONCATENATE("#metadata!", ADDRESS(INDEX($X$2:$X$1001,MATCH(ROWS($V$2:V324),$V$2:$V$1001,0),0), INDEX($AC$1004:$AS$1004,1,MATCH(COLUMNS($AC$1006:AL1006),$AC$1006:$AS$1006,0)))),"Fix")))</f>
        <v xml:space="preserve"> </v>
      </c>
      <c r="L324" s="4" t="str">
        <f ca="1">IF(OR(INDEX($W$2:$W$1001,MATCH(ROWS($V$2:V324),$V$2:$V$1001,0),1)&gt;=100000,INDEX($AC$1005:$AS$1005,1,MATCH(COLUMNS($AC$1006:AM1006),$AC$1006:$AS$1006,0))&gt;=100000), " ",IF(INDEX($AC$2:$AS$1001,MATCH(ROWS($V$2:V324),$V$2:$V$1001,0),MATCH(COLUMNS($AC$1006:AM1006),$AC$1006:$AS$1006,0)), HYPERLINK("#",""), HYPERLINK(CONCATENATE("#metadata!", ADDRESS(INDEX($X$2:$X$1001,MATCH(ROWS($V$2:V324),$V$2:$V$1001,0),0), INDEX($AC$1004:$AS$1004,1,MATCH(COLUMNS($AC$1006:AM1006),$AC$1006:$AS$1006,0)))),"Fix")))</f>
        <v xml:space="preserve"> </v>
      </c>
      <c r="M324" s="4" t="str">
        <f ca="1">IF(OR(INDEX($W$2:$W$1001,MATCH(ROWS($V$2:V324),$V$2:$V$1001,0),1)&gt;=100000,INDEX($AC$1005:$AS$1005,1,MATCH(COLUMNS($AC$1006:AN1006),$AC$1006:$AS$1006,0))&gt;=100000), " ",IF(INDEX($AC$2:$AS$1001,MATCH(ROWS($V$2:V324),$V$2:$V$1001,0),MATCH(COLUMNS($AC$1006:AN1006),$AC$1006:$AS$1006,0)), HYPERLINK("#",""), HYPERLINK(CONCATENATE("#metadata!", ADDRESS(INDEX($X$2:$X$1001,MATCH(ROWS($V$2:V324),$V$2:$V$1001,0),0), INDEX($AC$1004:$AS$1004,1,MATCH(COLUMNS($AC$1006:AN1006),$AC$1006:$AS$1006,0)))),"Fix")))</f>
        <v xml:space="preserve"> </v>
      </c>
      <c r="N324" s="4" t="str">
        <f ca="1">IF(OR(INDEX($W$2:$W$1001,MATCH(ROWS($V$2:V324),$V$2:$V$1001,0),1)&gt;=100000,INDEX($AC$1005:$AS$1005,1,MATCH(COLUMNS($AC$1006:AO1006),$AC$1006:$AS$1006,0))&gt;=100000), " ",IF(INDEX($AC$2:$AS$1001,MATCH(ROWS($V$2:V324),$V$2:$V$1001,0),MATCH(COLUMNS($AC$1006:AO1006),$AC$1006:$AS$1006,0)), HYPERLINK("#",""), HYPERLINK(CONCATENATE("#metadata!", ADDRESS(INDEX($X$2:$X$1001,MATCH(ROWS($V$2:V324),$V$2:$V$1001,0),0), INDEX($AC$1004:$AS$1004,1,MATCH(COLUMNS($AC$1006:AO1006),$AC$1006:$AS$1006,0)))),"Fix")))</f>
        <v xml:space="preserve"> </v>
      </c>
      <c r="O324" s="4" t="str">
        <f ca="1">IF(OR(INDEX($W$2:$W$1001,MATCH(ROWS($V$2:V324),$V$2:$V$1001,0),1)&gt;=100000,INDEX($AC$1005:$AS$1005,1,MATCH(COLUMNS($AC$1006:AP1006),$AC$1006:$AS$1006,0))&gt;=100000), " ",IF(INDEX($AC$2:$AS$1001,MATCH(ROWS($V$2:V324),$V$2:$V$1001,0),MATCH(COLUMNS($AC$1006:AP1006),$AC$1006:$AS$1006,0)), HYPERLINK("#",""), HYPERLINK(CONCATENATE("#metadata!", ADDRESS(INDEX($X$2:$X$1001,MATCH(ROWS($V$2:V324),$V$2:$V$1001,0),0), INDEX($AC$1004:$AS$1004,1,MATCH(COLUMNS($AC$1006:AP1006),$AC$1006:$AS$1006,0)))),"Fix")))</f>
        <v xml:space="preserve"> </v>
      </c>
      <c r="P324" s="4" t="str">
        <f ca="1">IF(OR(INDEX($W$2:$W$1001,MATCH(ROWS($V$2:V324),$V$2:$V$1001,0),1)&gt;=100000,INDEX($AC$1005:$AS$1005,1,MATCH(COLUMNS($AC$1006:AQ1006),$AC$1006:$AS$1006,0))&gt;=100000), " ",IF(INDEX($AC$2:$AS$1001,MATCH(ROWS($V$2:V324),$V$2:$V$1001,0),MATCH(COLUMNS($AC$1006:AQ1006),$AC$1006:$AS$1006,0)), HYPERLINK("#",""), HYPERLINK(CONCATENATE("#metadata!", ADDRESS(INDEX($X$2:$X$1001,MATCH(ROWS($V$2:V324),$V$2:$V$1001,0),0), INDEX($AC$1004:$AS$1004,1,MATCH(COLUMNS($AC$1006:AQ1006),$AC$1006:$AS$1006,0)))),"Fix")))</f>
        <v xml:space="preserve"> </v>
      </c>
      <c r="Q324" s="4" t="str">
        <f ca="1">IF(OR(INDEX($W$2:$W$1001,MATCH(ROWS($V$2:V324),$V$2:$V$1001,0),1)&gt;=100000,INDEX($AC$1005:$AS$1005,1,MATCH(COLUMNS($AC$1006:AR1006),$AC$1006:$AS$1006,0))&gt;=100000), " ",IF(INDEX($AC$2:$AS$1001,MATCH(ROWS($V$2:V324),$V$2:$V$1001,0),MATCH(COLUMNS($AC$1006:AR1006),$AC$1006:$AS$1006,0)), HYPERLINK("#",""), HYPERLINK(CONCATENATE("#metadata!", ADDRESS(INDEX($X$2:$X$1001,MATCH(ROWS($V$2:V324),$V$2:$V$1001,0),0), INDEX($AC$1004:$AS$1004,1,MATCH(COLUMNS($AC$1006:AR1006),$AC$1006:$AS$1006,0)))),"Fix")))</f>
        <v xml:space="preserve"> </v>
      </c>
      <c r="R324" s="4" t="str">
        <f ca="1">IF(OR(INDEX($W$2:$W$1001,MATCH(ROWS($V$2:V324),$V$2:$V$1001,0),1)&gt;=100000,INDEX($AC$1005:$AS$1005,1,MATCH(COLUMNS($AC$1006:AS1006),$AC$1006:$AS$1006,0))&gt;=100000), " ",IF(INDEX($AC$2:$AS$1001,MATCH(ROWS($V$2:V324),$V$2:$V$1001,0),MATCH(COLUMNS($AC$1006:AS1006),$AC$1006:$AS$1006,0)), HYPERLINK("#",""), HYPERLINK(CONCATENATE("#metadata!", ADDRESS(INDEX($X$2:$X$1001,MATCH(ROWS($V$2:V324),$V$2:$V$1001,0),0), INDEX($AC$1004:$AS$1004,1,MATCH(COLUMNS($AC$1006:AS1006),$AC$1006:$AS$1006,0)))),"Fix")))</f>
        <v xml:space="preserve"> </v>
      </c>
      <c r="V324">
        <v>323</v>
      </c>
      <c r="W324">
        <v>100324</v>
      </c>
      <c r="X324">
        <v>324</v>
      </c>
      <c r="Y324" t="b">
        <f t="shared" si="5"/>
        <v>1</v>
      </c>
      <c r="Z324" t="b">
        <f>COUNTBLANK(metadata!B324:R324)=COLUMNS(metadata!B324:R324)</f>
        <v>1</v>
      </c>
      <c r="AA324" t="str">
        <v/>
      </c>
      <c r="AC324" t="b">
        <f ca="1"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AD324" t="b">
        <f>IF(metadata!C324="",FALSE,ISNUMBER(VALUE(metadata!C324)))</f>
        <v>0</v>
      </c>
      <c r="AE324" t="b">
        <f>AND(IF(metadata!D324="",FALSE,TRUE),EXACT(metadata!D324,"years"))</f>
        <v>0</v>
      </c>
      <c r="AF324" t="b">
        <f>OR(AND(IF(metadata!E324="",FALSE,TRUE),OR(EXACT(metadata!E324,"not applicable"),EXACT(metadata!E324,"missing: not collected"),EXACT(metadata!E324,"missing: not provided"),EXACT(metadata!E324,"missing: restricted access"))),AND(IF(metadata!E324="",FALSE,ISNUMBER(VALUE(metadata!E324))),metadata!E324&gt;0))</f>
        <v>0</v>
      </c>
      <c r="AG324" t="b">
        <f>AND(IF(metadata!F324="",FALSE,TRUE),EXACT(metadata!F324,"Not applicable"))</f>
        <v>0</v>
      </c>
      <c r="AH324" t="b">
        <f>AND(IF(metadata!G324="",FALSE,TRUE),EXACT(metadata!G324,"urban biome"))</f>
        <v>0</v>
      </c>
      <c r="AI324" t="b">
        <f>AND(IF(metadata!H324="",FALSE,TRUE),EXACT(metadata!H324,"human-associated habitat"))</f>
        <v>0</v>
      </c>
      <c r="AJ324" t="b">
        <f>AND(IF(metadata!I324="",FALSE,TRUE),OR(EXACT(metadata!I324,"human-associated"),EXACT(metadata!I324,"human-skin"),EXACT(metadata!I324,"human-oral"),EXACT(metadata!I324,"human-gut"),EXACT(metadata!I324,"human-vaginal")))</f>
        <v>0</v>
      </c>
      <c r="AK324" t="b">
        <f>IF(metadata!J324="",FALSE,ISNUMBER(VALUE(metadata!J324)))</f>
        <v>0</v>
      </c>
      <c r="AL324" t="b">
        <f>AND(IF(metadata!K324="",FALSE,TRUE),EXACT(metadata!K324,"cm"))</f>
        <v>0</v>
      </c>
      <c r="AM324" t="b">
        <f>AND(IF(metadata!L324="",FALSE,TRUE),EXACT(metadata!L324,"human"))</f>
        <v>0</v>
      </c>
      <c r="AN324" t="b">
        <f>AND(IF(metadata!M324="",FALSE,TRUE),EXACT(metadata!M324,"Homo sapiens"))</f>
        <v>0</v>
      </c>
      <c r="AO324" t="b">
        <f>AND(IF(metadata!N324="",FALSE,TRUE),EXACT(metadata!N324,"9606"))</f>
        <v>0</v>
      </c>
      <c r="AP324" t="b">
        <f>IF(metadata!O324="",FALSE,TRUE)</f>
        <v>0</v>
      </c>
      <c r="AQ324" t="b">
        <f>IF(metadata!P324="",FALSE,TRUE)</f>
        <v>0</v>
      </c>
      <c r="AR324" t="b">
        <f>IF(metadata!Q324="",FALSE,ISNUMBER(VALUE(metadata!Q324)))</f>
        <v>0</v>
      </c>
      <c r="AS324" t="b">
        <f>AND(IF(metadata!R324="",FALSE,TRUE),EXACT(metadata!R324,"kg"))</f>
        <v>0</v>
      </c>
    </row>
    <row r="325" spans="1:45" x14ac:dyDescent="0.2">
      <c r="A325" s="5" t="str">
        <f ca="1">IF(B325=" "," ",HYPERLINK(CONCATENATE("#metadata!",ADDRESS(INDEX($X$2:$X$1001,MATCH(ROWS($V$2:V325),$V$2:$V$1001,0),0),1)),INDEX($AA$2:$AA$1001,MATCH(ROWS($V$2:V325),$V$2:$V$1001,0),0)))</f>
        <v xml:space="preserve"> </v>
      </c>
      <c r="B325" s="4" t="str">
        <f ca="1">IF(OR(INDEX($W$2:$W$1001,MATCH(ROWS($V$2:V325),$V$2:$V$1001,0),1)&gt;=100000,INDEX($AC$1005:$AS$1005,1,MATCH(COLUMNS($AC$1006:AC1006),$AC$1006:$AS$1006,0))&gt;=100000), " ",IF(INDEX($AC$2:$AS$1001,MATCH(ROWS($V$2:V325),$V$2:$V$1001,0),MATCH(COLUMNS($AC$1006:AC1006),$AC$1006:$AS$1006,0)), HYPERLINK("#",""), HYPERLINK(CONCATENATE("#metadata!", ADDRESS(INDEX($X$2:$X$1001,MATCH(ROWS($V$2:V325),$V$2:$V$1001,0),0), INDEX($AC$1004:$AS$1004,1,MATCH(COLUMNS($AC$1006:AC1006),$AC$1006:$AS$1006,0)))),"Fix")))</f>
        <v xml:space="preserve"> </v>
      </c>
      <c r="C325" s="4" t="str">
        <f ca="1">IF(OR(INDEX($W$2:$W$1001,MATCH(ROWS($V$2:V325),$V$2:$V$1001,0),1)&gt;=100000,INDEX($AC$1005:$AS$1005,1,MATCH(COLUMNS($AC$1006:AD1006),$AC$1006:$AS$1006,0))&gt;=100000), " ",IF(INDEX($AC$2:$AS$1001,MATCH(ROWS($V$2:V325),$V$2:$V$1001,0),MATCH(COLUMNS($AC$1006:AD1006),$AC$1006:$AS$1006,0)), HYPERLINK("#",""), HYPERLINK(CONCATENATE("#metadata!", ADDRESS(INDEX($X$2:$X$1001,MATCH(ROWS($V$2:V325),$V$2:$V$1001,0),0), INDEX($AC$1004:$AS$1004,1,MATCH(COLUMNS($AC$1006:AD1006),$AC$1006:$AS$1006,0)))),"Fix")))</f>
        <v xml:space="preserve"> </v>
      </c>
      <c r="D325" s="4" t="str">
        <f ca="1">IF(OR(INDEX($W$2:$W$1001,MATCH(ROWS($V$2:V325),$V$2:$V$1001,0),1)&gt;=100000,INDEX($AC$1005:$AS$1005,1,MATCH(COLUMNS($AC$1006:AE1006),$AC$1006:$AS$1006,0))&gt;=100000), " ",IF(INDEX($AC$2:$AS$1001,MATCH(ROWS($V$2:V325),$V$2:$V$1001,0),MATCH(COLUMNS($AC$1006:AE1006),$AC$1006:$AS$1006,0)), HYPERLINK("#",""), HYPERLINK(CONCATENATE("#metadata!", ADDRESS(INDEX($X$2:$X$1001,MATCH(ROWS($V$2:V325),$V$2:$V$1001,0),0), INDEX($AC$1004:$AS$1004,1,MATCH(COLUMNS($AC$1006:AE1006),$AC$1006:$AS$1006,0)))),"Fix")))</f>
        <v xml:space="preserve"> </v>
      </c>
      <c r="E325" s="4" t="str">
        <f ca="1">IF(OR(INDEX($W$2:$W$1001,MATCH(ROWS($V$2:V325),$V$2:$V$1001,0),1)&gt;=100000,INDEX($AC$1005:$AS$1005,1,MATCH(COLUMNS($AC$1006:AF1006),$AC$1006:$AS$1006,0))&gt;=100000), " ",IF(INDEX($AC$2:$AS$1001,MATCH(ROWS($V$2:V325),$V$2:$V$1001,0),MATCH(COLUMNS($AC$1006:AF1006),$AC$1006:$AS$1006,0)), HYPERLINK("#",""), HYPERLINK(CONCATENATE("#metadata!", ADDRESS(INDEX($X$2:$X$1001,MATCH(ROWS($V$2:V325),$V$2:$V$1001,0),0), INDEX($AC$1004:$AS$1004,1,MATCH(COLUMNS($AC$1006:AF1006),$AC$1006:$AS$1006,0)))),"Fix")))</f>
        <v xml:space="preserve"> </v>
      </c>
      <c r="F325" s="4" t="str">
        <f ca="1">IF(OR(INDEX($W$2:$W$1001,MATCH(ROWS($V$2:V325),$V$2:$V$1001,0),1)&gt;=100000,INDEX($AC$1005:$AS$1005,1,MATCH(COLUMNS($AC$1006:AG1006),$AC$1006:$AS$1006,0))&gt;=100000), " ",IF(INDEX($AC$2:$AS$1001,MATCH(ROWS($V$2:V325),$V$2:$V$1001,0),MATCH(COLUMNS($AC$1006:AG1006),$AC$1006:$AS$1006,0)), HYPERLINK("#",""), HYPERLINK(CONCATENATE("#metadata!", ADDRESS(INDEX($X$2:$X$1001,MATCH(ROWS($V$2:V325),$V$2:$V$1001,0),0), INDEX($AC$1004:$AS$1004,1,MATCH(COLUMNS($AC$1006:AG1006),$AC$1006:$AS$1006,0)))),"Fix")))</f>
        <v xml:space="preserve"> </v>
      </c>
      <c r="G325" s="4" t="str">
        <f ca="1">IF(OR(INDEX($W$2:$W$1001,MATCH(ROWS($V$2:V325),$V$2:$V$1001,0),1)&gt;=100000,INDEX($AC$1005:$AS$1005,1,MATCH(COLUMNS($AC$1006:AH1006),$AC$1006:$AS$1006,0))&gt;=100000), " ",IF(INDEX($AC$2:$AS$1001,MATCH(ROWS($V$2:V325),$V$2:$V$1001,0),MATCH(COLUMNS($AC$1006:AH1006),$AC$1006:$AS$1006,0)), HYPERLINK("#",""), HYPERLINK(CONCATENATE("#metadata!", ADDRESS(INDEX($X$2:$X$1001,MATCH(ROWS($V$2:V325),$V$2:$V$1001,0),0), INDEX($AC$1004:$AS$1004,1,MATCH(COLUMNS($AC$1006:AH1006),$AC$1006:$AS$1006,0)))),"Fix")))</f>
        <v xml:space="preserve"> </v>
      </c>
      <c r="H325" s="4" t="str">
        <f ca="1">IF(OR(INDEX($W$2:$W$1001,MATCH(ROWS($V$2:V325),$V$2:$V$1001,0),1)&gt;=100000,INDEX($AC$1005:$AS$1005,1,MATCH(COLUMNS($AC$1006:AI1006),$AC$1006:$AS$1006,0))&gt;=100000), " ",IF(INDEX($AC$2:$AS$1001,MATCH(ROWS($V$2:V325),$V$2:$V$1001,0),MATCH(COLUMNS($AC$1006:AI1006),$AC$1006:$AS$1006,0)), HYPERLINK("#",""), HYPERLINK(CONCATENATE("#metadata!", ADDRESS(INDEX($X$2:$X$1001,MATCH(ROWS($V$2:V325),$V$2:$V$1001,0),0), INDEX($AC$1004:$AS$1004,1,MATCH(COLUMNS($AC$1006:AI1006),$AC$1006:$AS$1006,0)))),"Fix")))</f>
        <v xml:space="preserve"> </v>
      </c>
      <c r="I325" s="4" t="str">
        <f ca="1">IF(OR(INDEX($W$2:$W$1001,MATCH(ROWS($V$2:V325),$V$2:$V$1001,0),1)&gt;=100000,INDEX($AC$1005:$AS$1005,1,MATCH(COLUMNS($AC$1006:AJ1006),$AC$1006:$AS$1006,0))&gt;=100000), " ",IF(INDEX($AC$2:$AS$1001,MATCH(ROWS($V$2:V325),$V$2:$V$1001,0),MATCH(COLUMNS($AC$1006:AJ1006),$AC$1006:$AS$1006,0)), HYPERLINK("#",""), HYPERLINK(CONCATENATE("#metadata!", ADDRESS(INDEX($X$2:$X$1001,MATCH(ROWS($V$2:V325),$V$2:$V$1001,0),0), INDEX($AC$1004:$AS$1004,1,MATCH(COLUMNS($AC$1006:AJ1006),$AC$1006:$AS$1006,0)))),"Fix")))</f>
        <v xml:space="preserve"> </v>
      </c>
      <c r="J325" s="4" t="str">
        <f ca="1">IF(OR(INDEX($W$2:$W$1001,MATCH(ROWS($V$2:V325),$V$2:$V$1001,0),1)&gt;=100000,INDEX($AC$1005:$AS$1005,1,MATCH(COLUMNS($AC$1006:AK1006),$AC$1006:$AS$1006,0))&gt;=100000), " ",IF(INDEX($AC$2:$AS$1001,MATCH(ROWS($V$2:V325),$V$2:$V$1001,0),MATCH(COLUMNS($AC$1006:AK1006),$AC$1006:$AS$1006,0)), HYPERLINK("#",""), HYPERLINK(CONCATENATE("#metadata!", ADDRESS(INDEX($X$2:$X$1001,MATCH(ROWS($V$2:V325),$V$2:$V$1001,0),0), INDEX($AC$1004:$AS$1004,1,MATCH(COLUMNS($AC$1006:AK1006),$AC$1006:$AS$1006,0)))),"Fix")))</f>
        <v xml:space="preserve"> </v>
      </c>
      <c r="K325" s="4" t="str">
        <f ca="1">IF(OR(INDEX($W$2:$W$1001,MATCH(ROWS($V$2:V325),$V$2:$V$1001,0),1)&gt;=100000,INDEX($AC$1005:$AS$1005,1,MATCH(COLUMNS($AC$1006:AL1006),$AC$1006:$AS$1006,0))&gt;=100000), " ",IF(INDEX($AC$2:$AS$1001,MATCH(ROWS($V$2:V325),$V$2:$V$1001,0),MATCH(COLUMNS($AC$1006:AL1006),$AC$1006:$AS$1006,0)), HYPERLINK("#",""), HYPERLINK(CONCATENATE("#metadata!", ADDRESS(INDEX($X$2:$X$1001,MATCH(ROWS($V$2:V325),$V$2:$V$1001,0),0), INDEX($AC$1004:$AS$1004,1,MATCH(COLUMNS($AC$1006:AL1006),$AC$1006:$AS$1006,0)))),"Fix")))</f>
        <v xml:space="preserve"> </v>
      </c>
      <c r="L325" s="4" t="str">
        <f ca="1">IF(OR(INDEX($W$2:$W$1001,MATCH(ROWS($V$2:V325),$V$2:$V$1001,0),1)&gt;=100000,INDEX($AC$1005:$AS$1005,1,MATCH(COLUMNS($AC$1006:AM1006),$AC$1006:$AS$1006,0))&gt;=100000), " ",IF(INDEX($AC$2:$AS$1001,MATCH(ROWS($V$2:V325),$V$2:$V$1001,0),MATCH(COLUMNS($AC$1006:AM1006),$AC$1006:$AS$1006,0)), HYPERLINK("#",""), HYPERLINK(CONCATENATE("#metadata!", ADDRESS(INDEX($X$2:$X$1001,MATCH(ROWS($V$2:V325),$V$2:$V$1001,0),0), INDEX($AC$1004:$AS$1004,1,MATCH(COLUMNS($AC$1006:AM1006),$AC$1006:$AS$1006,0)))),"Fix")))</f>
        <v xml:space="preserve"> </v>
      </c>
      <c r="M325" s="4" t="str">
        <f ca="1">IF(OR(INDEX($W$2:$W$1001,MATCH(ROWS($V$2:V325),$V$2:$V$1001,0),1)&gt;=100000,INDEX($AC$1005:$AS$1005,1,MATCH(COLUMNS($AC$1006:AN1006),$AC$1006:$AS$1006,0))&gt;=100000), " ",IF(INDEX($AC$2:$AS$1001,MATCH(ROWS($V$2:V325),$V$2:$V$1001,0),MATCH(COLUMNS($AC$1006:AN1006),$AC$1006:$AS$1006,0)), HYPERLINK("#",""), HYPERLINK(CONCATENATE("#metadata!", ADDRESS(INDEX($X$2:$X$1001,MATCH(ROWS($V$2:V325),$V$2:$V$1001,0),0), INDEX($AC$1004:$AS$1004,1,MATCH(COLUMNS($AC$1006:AN1006),$AC$1006:$AS$1006,0)))),"Fix")))</f>
        <v xml:space="preserve"> </v>
      </c>
      <c r="N325" s="4" t="str">
        <f ca="1">IF(OR(INDEX($W$2:$W$1001,MATCH(ROWS($V$2:V325),$V$2:$V$1001,0),1)&gt;=100000,INDEX($AC$1005:$AS$1005,1,MATCH(COLUMNS($AC$1006:AO1006),$AC$1006:$AS$1006,0))&gt;=100000), " ",IF(INDEX($AC$2:$AS$1001,MATCH(ROWS($V$2:V325),$V$2:$V$1001,0),MATCH(COLUMNS($AC$1006:AO1006),$AC$1006:$AS$1006,0)), HYPERLINK("#",""), HYPERLINK(CONCATENATE("#metadata!", ADDRESS(INDEX($X$2:$X$1001,MATCH(ROWS($V$2:V325),$V$2:$V$1001,0),0), INDEX($AC$1004:$AS$1004,1,MATCH(COLUMNS($AC$1006:AO1006),$AC$1006:$AS$1006,0)))),"Fix")))</f>
        <v xml:space="preserve"> </v>
      </c>
      <c r="O325" s="4" t="str">
        <f ca="1">IF(OR(INDEX($W$2:$W$1001,MATCH(ROWS($V$2:V325),$V$2:$V$1001,0),1)&gt;=100000,INDEX($AC$1005:$AS$1005,1,MATCH(COLUMNS($AC$1006:AP1006),$AC$1006:$AS$1006,0))&gt;=100000), " ",IF(INDEX($AC$2:$AS$1001,MATCH(ROWS($V$2:V325),$V$2:$V$1001,0),MATCH(COLUMNS($AC$1006:AP1006),$AC$1006:$AS$1006,0)), HYPERLINK("#",""), HYPERLINK(CONCATENATE("#metadata!", ADDRESS(INDEX($X$2:$X$1001,MATCH(ROWS($V$2:V325),$V$2:$V$1001,0),0), INDEX($AC$1004:$AS$1004,1,MATCH(COLUMNS($AC$1006:AP1006),$AC$1006:$AS$1006,0)))),"Fix")))</f>
        <v xml:space="preserve"> </v>
      </c>
      <c r="P325" s="4" t="str">
        <f ca="1">IF(OR(INDEX($W$2:$W$1001,MATCH(ROWS($V$2:V325),$V$2:$V$1001,0),1)&gt;=100000,INDEX($AC$1005:$AS$1005,1,MATCH(COLUMNS($AC$1006:AQ1006),$AC$1006:$AS$1006,0))&gt;=100000), " ",IF(INDEX($AC$2:$AS$1001,MATCH(ROWS($V$2:V325),$V$2:$V$1001,0),MATCH(COLUMNS($AC$1006:AQ1006),$AC$1006:$AS$1006,0)), HYPERLINK("#",""), HYPERLINK(CONCATENATE("#metadata!", ADDRESS(INDEX($X$2:$X$1001,MATCH(ROWS($V$2:V325),$V$2:$V$1001,0),0), INDEX($AC$1004:$AS$1004,1,MATCH(COLUMNS($AC$1006:AQ1006),$AC$1006:$AS$1006,0)))),"Fix")))</f>
        <v xml:space="preserve"> </v>
      </c>
      <c r="Q325" s="4" t="str">
        <f ca="1">IF(OR(INDEX($W$2:$W$1001,MATCH(ROWS($V$2:V325),$V$2:$V$1001,0),1)&gt;=100000,INDEX($AC$1005:$AS$1005,1,MATCH(COLUMNS($AC$1006:AR1006),$AC$1006:$AS$1006,0))&gt;=100000), " ",IF(INDEX($AC$2:$AS$1001,MATCH(ROWS($V$2:V325),$V$2:$V$1001,0),MATCH(COLUMNS($AC$1006:AR1006),$AC$1006:$AS$1006,0)), HYPERLINK("#",""), HYPERLINK(CONCATENATE("#metadata!", ADDRESS(INDEX($X$2:$X$1001,MATCH(ROWS($V$2:V325),$V$2:$V$1001,0),0), INDEX($AC$1004:$AS$1004,1,MATCH(COLUMNS($AC$1006:AR1006),$AC$1006:$AS$1006,0)))),"Fix")))</f>
        <v xml:space="preserve"> </v>
      </c>
      <c r="R325" s="4" t="str">
        <f ca="1">IF(OR(INDEX($W$2:$W$1001,MATCH(ROWS($V$2:V325),$V$2:$V$1001,0),1)&gt;=100000,INDEX($AC$1005:$AS$1005,1,MATCH(COLUMNS($AC$1006:AS1006),$AC$1006:$AS$1006,0))&gt;=100000), " ",IF(INDEX($AC$2:$AS$1001,MATCH(ROWS($V$2:V325),$V$2:$V$1001,0),MATCH(COLUMNS($AC$1006:AS1006),$AC$1006:$AS$1006,0)), HYPERLINK("#",""), HYPERLINK(CONCATENATE("#metadata!", ADDRESS(INDEX($X$2:$X$1001,MATCH(ROWS($V$2:V325),$V$2:$V$1001,0),0), INDEX($AC$1004:$AS$1004,1,MATCH(COLUMNS($AC$1006:AS1006),$AC$1006:$AS$1006,0)))),"Fix")))</f>
        <v xml:space="preserve"> </v>
      </c>
      <c r="V325">
        <v>324</v>
      </c>
      <c r="W325">
        <v>100325</v>
      </c>
      <c r="X325">
        <v>325</v>
      </c>
      <c r="Y325" t="b">
        <f t="shared" si="5"/>
        <v>1</v>
      </c>
      <c r="Z325" t="b">
        <f>COUNTBLANK(metadata!B325:R325)=COLUMNS(metadata!B325:R325)</f>
        <v>1</v>
      </c>
      <c r="AA325" t="str">
        <v/>
      </c>
      <c r="AC325" t="b">
        <f ca="1"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AD325" t="b">
        <f>IF(metadata!C325="",FALSE,ISNUMBER(VALUE(metadata!C325)))</f>
        <v>0</v>
      </c>
      <c r="AE325" t="b">
        <f>AND(IF(metadata!D325="",FALSE,TRUE),EXACT(metadata!D325,"years"))</f>
        <v>0</v>
      </c>
      <c r="AF325" t="b">
        <f>OR(AND(IF(metadata!E325="",FALSE,TRUE),OR(EXACT(metadata!E325,"not applicable"),EXACT(metadata!E325,"missing: not collected"),EXACT(metadata!E325,"missing: not provided"),EXACT(metadata!E325,"missing: restricted access"))),AND(IF(metadata!E325="",FALSE,ISNUMBER(VALUE(metadata!E325))),metadata!E325&gt;0))</f>
        <v>0</v>
      </c>
      <c r="AG325" t="b">
        <f>AND(IF(metadata!F325="",FALSE,TRUE),EXACT(metadata!F325,"Not applicable"))</f>
        <v>0</v>
      </c>
      <c r="AH325" t="b">
        <f>AND(IF(metadata!G325="",FALSE,TRUE),EXACT(metadata!G325,"urban biome"))</f>
        <v>0</v>
      </c>
      <c r="AI325" t="b">
        <f>AND(IF(metadata!H325="",FALSE,TRUE),EXACT(metadata!H325,"human-associated habitat"))</f>
        <v>0</v>
      </c>
      <c r="AJ325" t="b">
        <f>AND(IF(metadata!I325="",FALSE,TRUE),OR(EXACT(metadata!I325,"human-associated"),EXACT(metadata!I325,"human-skin"),EXACT(metadata!I325,"human-oral"),EXACT(metadata!I325,"human-gut"),EXACT(metadata!I325,"human-vaginal")))</f>
        <v>0</v>
      </c>
      <c r="AK325" t="b">
        <f>IF(metadata!J325="",FALSE,ISNUMBER(VALUE(metadata!J325)))</f>
        <v>0</v>
      </c>
      <c r="AL325" t="b">
        <f>AND(IF(metadata!K325="",FALSE,TRUE),EXACT(metadata!K325,"cm"))</f>
        <v>0</v>
      </c>
      <c r="AM325" t="b">
        <f>AND(IF(metadata!L325="",FALSE,TRUE),EXACT(metadata!L325,"human"))</f>
        <v>0</v>
      </c>
      <c r="AN325" t="b">
        <f>AND(IF(metadata!M325="",FALSE,TRUE),EXACT(metadata!M325,"Homo sapiens"))</f>
        <v>0</v>
      </c>
      <c r="AO325" t="b">
        <f>AND(IF(metadata!N325="",FALSE,TRUE),EXACT(metadata!N325,"9606"))</f>
        <v>0</v>
      </c>
      <c r="AP325" t="b">
        <f>IF(metadata!O325="",FALSE,TRUE)</f>
        <v>0</v>
      </c>
      <c r="AQ325" t="b">
        <f>IF(metadata!P325="",FALSE,TRUE)</f>
        <v>0</v>
      </c>
      <c r="AR325" t="b">
        <f>IF(metadata!Q325="",FALSE,ISNUMBER(VALUE(metadata!Q325)))</f>
        <v>0</v>
      </c>
      <c r="AS325" t="b">
        <f>AND(IF(metadata!R325="",FALSE,TRUE),EXACT(metadata!R325,"kg"))</f>
        <v>0</v>
      </c>
    </row>
    <row r="326" spans="1:45" x14ac:dyDescent="0.2">
      <c r="A326" s="5" t="str">
        <f ca="1">IF(B326=" "," ",HYPERLINK(CONCATENATE("#metadata!",ADDRESS(INDEX($X$2:$X$1001,MATCH(ROWS($V$2:V326),$V$2:$V$1001,0),0),1)),INDEX($AA$2:$AA$1001,MATCH(ROWS($V$2:V326),$V$2:$V$1001,0),0)))</f>
        <v xml:space="preserve"> </v>
      </c>
      <c r="B326" s="4" t="str">
        <f ca="1">IF(OR(INDEX($W$2:$W$1001,MATCH(ROWS($V$2:V326),$V$2:$V$1001,0),1)&gt;=100000,INDEX($AC$1005:$AS$1005,1,MATCH(COLUMNS($AC$1006:AC1006),$AC$1006:$AS$1006,0))&gt;=100000), " ",IF(INDEX($AC$2:$AS$1001,MATCH(ROWS($V$2:V326),$V$2:$V$1001,0),MATCH(COLUMNS($AC$1006:AC1006),$AC$1006:$AS$1006,0)), HYPERLINK("#",""), HYPERLINK(CONCATENATE("#metadata!", ADDRESS(INDEX($X$2:$X$1001,MATCH(ROWS($V$2:V326),$V$2:$V$1001,0),0), INDEX($AC$1004:$AS$1004,1,MATCH(COLUMNS($AC$1006:AC1006),$AC$1006:$AS$1006,0)))),"Fix")))</f>
        <v xml:space="preserve"> </v>
      </c>
      <c r="C326" s="4" t="str">
        <f ca="1">IF(OR(INDEX($W$2:$W$1001,MATCH(ROWS($V$2:V326),$V$2:$V$1001,0),1)&gt;=100000,INDEX($AC$1005:$AS$1005,1,MATCH(COLUMNS($AC$1006:AD1006),$AC$1006:$AS$1006,0))&gt;=100000), " ",IF(INDEX($AC$2:$AS$1001,MATCH(ROWS($V$2:V326),$V$2:$V$1001,0),MATCH(COLUMNS($AC$1006:AD1006),$AC$1006:$AS$1006,0)), HYPERLINK("#",""), HYPERLINK(CONCATENATE("#metadata!", ADDRESS(INDEX($X$2:$X$1001,MATCH(ROWS($V$2:V326),$V$2:$V$1001,0),0), INDEX($AC$1004:$AS$1004,1,MATCH(COLUMNS($AC$1006:AD1006),$AC$1006:$AS$1006,0)))),"Fix")))</f>
        <v xml:space="preserve"> </v>
      </c>
      <c r="D326" s="4" t="str">
        <f ca="1">IF(OR(INDEX($W$2:$W$1001,MATCH(ROWS($V$2:V326),$V$2:$V$1001,0),1)&gt;=100000,INDEX($AC$1005:$AS$1005,1,MATCH(COLUMNS($AC$1006:AE1006),$AC$1006:$AS$1006,0))&gt;=100000), " ",IF(INDEX($AC$2:$AS$1001,MATCH(ROWS($V$2:V326),$V$2:$V$1001,0),MATCH(COLUMNS($AC$1006:AE1006),$AC$1006:$AS$1006,0)), HYPERLINK("#",""), HYPERLINK(CONCATENATE("#metadata!", ADDRESS(INDEX($X$2:$X$1001,MATCH(ROWS($V$2:V326),$V$2:$V$1001,0),0), INDEX($AC$1004:$AS$1004,1,MATCH(COLUMNS($AC$1006:AE1006),$AC$1006:$AS$1006,0)))),"Fix")))</f>
        <v xml:space="preserve"> </v>
      </c>
      <c r="E326" s="4" t="str">
        <f ca="1">IF(OR(INDEX($W$2:$W$1001,MATCH(ROWS($V$2:V326),$V$2:$V$1001,0),1)&gt;=100000,INDEX($AC$1005:$AS$1005,1,MATCH(COLUMNS($AC$1006:AF1006),$AC$1006:$AS$1006,0))&gt;=100000), " ",IF(INDEX($AC$2:$AS$1001,MATCH(ROWS($V$2:V326),$V$2:$V$1001,0),MATCH(COLUMNS($AC$1006:AF1006),$AC$1006:$AS$1006,0)), HYPERLINK("#",""), HYPERLINK(CONCATENATE("#metadata!", ADDRESS(INDEX($X$2:$X$1001,MATCH(ROWS($V$2:V326),$V$2:$V$1001,0),0), INDEX($AC$1004:$AS$1004,1,MATCH(COLUMNS($AC$1006:AF1006),$AC$1006:$AS$1006,0)))),"Fix")))</f>
        <v xml:space="preserve"> </v>
      </c>
      <c r="F326" s="4" t="str">
        <f ca="1">IF(OR(INDEX($W$2:$W$1001,MATCH(ROWS($V$2:V326),$V$2:$V$1001,0),1)&gt;=100000,INDEX($AC$1005:$AS$1005,1,MATCH(COLUMNS($AC$1006:AG1006),$AC$1006:$AS$1006,0))&gt;=100000), " ",IF(INDEX($AC$2:$AS$1001,MATCH(ROWS($V$2:V326),$V$2:$V$1001,0),MATCH(COLUMNS($AC$1006:AG1006),$AC$1006:$AS$1006,0)), HYPERLINK("#",""), HYPERLINK(CONCATENATE("#metadata!", ADDRESS(INDEX($X$2:$X$1001,MATCH(ROWS($V$2:V326),$V$2:$V$1001,0),0), INDEX($AC$1004:$AS$1004,1,MATCH(COLUMNS($AC$1006:AG1006),$AC$1006:$AS$1006,0)))),"Fix")))</f>
        <v xml:space="preserve"> </v>
      </c>
      <c r="G326" s="4" t="str">
        <f ca="1">IF(OR(INDEX($W$2:$W$1001,MATCH(ROWS($V$2:V326),$V$2:$V$1001,0),1)&gt;=100000,INDEX($AC$1005:$AS$1005,1,MATCH(COLUMNS($AC$1006:AH1006),$AC$1006:$AS$1006,0))&gt;=100000), " ",IF(INDEX($AC$2:$AS$1001,MATCH(ROWS($V$2:V326),$V$2:$V$1001,0),MATCH(COLUMNS($AC$1006:AH1006),$AC$1006:$AS$1006,0)), HYPERLINK("#",""), HYPERLINK(CONCATENATE("#metadata!", ADDRESS(INDEX($X$2:$X$1001,MATCH(ROWS($V$2:V326),$V$2:$V$1001,0),0), INDEX($AC$1004:$AS$1004,1,MATCH(COLUMNS($AC$1006:AH1006),$AC$1006:$AS$1006,0)))),"Fix")))</f>
        <v xml:space="preserve"> </v>
      </c>
      <c r="H326" s="4" t="str">
        <f ca="1">IF(OR(INDEX($W$2:$W$1001,MATCH(ROWS($V$2:V326),$V$2:$V$1001,0),1)&gt;=100000,INDEX($AC$1005:$AS$1005,1,MATCH(COLUMNS($AC$1006:AI1006),$AC$1006:$AS$1006,0))&gt;=100000), " ",IF(INDEX($AC$2:$AS$1001,MATCH(ROWS($V$2:V326),$V$2:$V$1001,0),MATCH(COLUMNS($AC$1006:AI1006),$AC$1006:$AS$1006,0)), HYPERLINK("#",""), HYPERLINK(CONCATENATE("#metadata!", ADDRESS(INDEX($X$2:$X$1001,MATCH(ROWS($V$2:V326),$V$2:$V$1001,0),0), INDEX($AC$1004:$AS$1004,1,MATCH(COLUMNS($AC$1006:AI1006),$AC$1006:$AS$1006,0)))),"Fix")))</f>
        <v xml:space="preserve"> </v>
      </c>
      <c r="I326" s="4" t="str">
        <f ca="1">IF(OR(INDEX($W$2:$W$1001,MATCH(ROWS($V$2:V326),$V$2:$V$1001,0),1)&gt;=100000,INDEX($AC$1005:$AS$1005,1,MATCH(COLUMNS($AC$1006:AJ1006),$AC$1006:$AS$1006,0))&gt;=100000), " ",IF(INDEX($AC$2:$AS$1001,MATCH(ROWS($V$2:V326),$V$2:$V$1001,0),MATCH(COLUMNS($AC$1006:AJ1006),$AC$1006:$AS$1006,0)), HYPERLINK("#",""), HYPERLINK(CONCATENATE("#metadata!", ADDRESS(INDEX($X$2:$X$1001,MATCH(ROWS($V$2:V326),$V$2:$V$1001,0),0), INDEX($AC$1004:$AS$1004,1,MATCH(COLUMNS($AC$1006:AJ1006),$AC$1006:$AS$1006,0)))),"Fix")))</f>
        <v xml:space="preserve"> </v>
      </c>
      <c r="J326" s="4" t="str">
        <f ca="1">IF(OR(INDEX($W$2:$W$1001,MATCH(ROWS($V$2:V326),$V$2:$V$1001,0),1)&gt;=100000,INDEX($AC$1005:$AS$1005,1,MATCH(COLUMNS($AC$1006:AK1006),$AC$1006:$AS$1006,0))&gt;=100000), " ",IF(INDEX($AC$2:$AS$1001,MATCH(ROWS($V$2:V326),$V$2:$V$1001,0),MATCH(COLUMNS($AC$1006:AK1006),$AC$1006:$AS$1006,0)), HYPERLINK("#",""), HYPERLINK(CONCATENATE("#metadata!", ADDRESS(INDEX($X$2:$X$1001,MATCH(ROWS($V$2:V326),$V$2:$V$1001,0),0), INDEX($AC$1004:$AS$1004,1,MATCH(COLUMNS($AC$1006:AK1006),$AC$1006:$AS$1006,0)))),"Fix")))</f>
        <v xml:space="preserve"> </v>
      </c>
      <c r="K326" s="4" t="str">
        <f ca="1">IF(OR(INDEX($W$2:$W$1001,MATCH(ROWS($V$2:V326),$V$2:$V$1001,0),1)&gt;=100000,INDEX($AC$1005:$AS$1005,1,MATCH(COLUMNS($AC$1006:AL1006),$AC$1006:$AS$1006,0))&gt;=100000), " ",IF(INDEX($AC$2:$AS$1001,MATCH(ROWS($V$2:V326),$V$2:$V$1001,0),MATCH(COLUMNS($AC$1006:AL1006),$AC$1006:$AS$1006,0)), HYPERLINK("#",""), HYPERLINK(CONCATENATE("#metadata!", ADDRESS(INDEX($X$2:$X$1001,MATCH(ROWS($V$2:V326),$V$2:$V$1001,0),0), INDEX($AC$1004:$AS$1004,1,MATCH(COLUMNS($AC$1006:AL1006),$AC$1006:$AS$1006,0)))),"Fix")))</f>
        <v xml:space="preserve"> </v>
      </c>
      <c r="L326" s="4" t="str">
        <f ca="1">IF(OR(INDEX($W$2:$W$1001,MATCH(ROWS($V$2:V326),$V$2:$V$1001,0),1)&gt;=100000,INDEX($AC$1005:$AS$1005,1,MATCH(COLUMNS($AC$1006:AM1006),$AC$1006:$AS$1006,0))&gt;=100000), " ",IF(INDEX($AC$2:$AS$1001,MATCH(ROWS($V$2:V326),$V$2:$V$1001,0),MATCH(COLUMNS($AC$1006:AM1006),$AC$1006:$AS$1006,0)), HYPERLINK("#",""), HYPERLINK(CONCATENATE("#metadata!", ADDRESS(INDEX($X$2:$X$1001,MATCH(ROWS($V$2:V326),$V$2:$V$1001,0),0), INDEX($AC$1004:$AS$1004,1,MATCH(COLUMNS($AC$1006:AM1006),$AC$1006:$AS$1006,0)))),"Fix")))</f>
        <v xml:space="preserve"> </v>
      </c>
      <c r="M326" s="4" t="str">
        <f ca="1">IF(OR(INDEX($W$2:$W$1001,MATCH(ROWS($V$2:V326),$V$2:$V$1001,0),1)&gt;=100000,INDEX($AC$1005:$AS$1005,1,MATCH(COLUMNS($AC$1006:AN1006),$AC$1006:$AS$1006,0))&gt;=100000), " ",IF(INDEX($AC$2:$AS$1001,MATCH(ROWS($V$2:V326),$V$2:$V$1001,0),MATCH(COLUMNS($AC$1006:AN1006),$AC$1006:$AS$1006,0)), HYPERLINK("#",""), HYPERLINK(CONCATENATE("#metadata!", ADDRESS(INDEX($X$2:$X$1001,MATCH(ROWS($V$2:V326),$V$2:$V$1001,0),0), INDEX($AC$1004:$AS$1004,1,MATCH(COLUMNS($AC$1006:AN1006),$AC$1006:$AS$1006,0)))),"Fix")))</f>
        <v xml:space="preserve"> </v>
      </c>
      <c r="N326" s="4" t="str">
        <f ca="1">IF(OR(INDEX($W$2:$W$1001,MATCH(ROWS($V$2:V326),$V$2:$V$1001,0),1)&gt;=100000,INDEX($AC$1005:$AS$1005,1,MATCH(COLUMNS($AC$1006:AO1006),$AC$1006:$AS$1006,0))&gt;=100000), " ",IF(INDEX($AC$2:$AS$1001,MATCH(ROWS($V$2:V326),$V$2:$V$1001,0),MATCH(COLUMNS($AC$1006:AO1006),$AC$1006:$AS$1006,0)), HYPERLINK("#",""), HYPERLINK(CONCATENATE("#metadata!", ADDRESS(INDEX($X$2:$X$1001,MATCH(ROWS($V$2:V326),$V$2:$V$1001,0),0), INDEX($AC$1004:$AS$1004,1,MATCH(COLUMNS($AC$1006:AO1006),$AC$1006:$AS$1006,0)))),"Fix")))</f>
        <v xml:space="preserve"> </v>
      </c>
      <c r="O326" s="4" t="str">
        <f ca="1">IF(OR(INDEX($W$2:$W$1001,MATCH(ROWS($V$2:V326),$V$2:$V$1001,0),1)&gt;=100000,INDEX($AC$1005:$AS$1005,1,MATCH(COLUMNS($AC$1006:AP1006),$AC$1006:$AS$1006,0))&gt;=100000), " ",IF(INDEX($AC$2:$AS$1001,MATCH(ROWS($V$2:V326),$V$2:$V$1001,0),MATCH(COLUMNS($AC$1006:AP1006),$AC$1006:$AS$1006,0)), HYPERLINK("#",""), HYPERLINK(CONCATENATE("#metadata!", ADDRESS(INDEX($X$2:$X$1001,MATCH(ROWS($V$2:V326),$V$2:$V$1001,0),0), INDEX($AC$1004:$AS$1004,1,MATCH(COLUMNS($AC$1006:AP1006),$AC$1006:$AS$1006,0)))),"Fix")))</f>
        <v xml:space="preserve"> </v>
      </c>
      <c r="P326" s="4" t="str">
        <f ca="1">IF(OR(INDEX($W$2:$W$1001,MATCH(ROWS($V$2:V326),$V$2:$V$1001,0),1)&gt;=100000,INDEX($AC$1005:$AS$1005,1,MATCH(COLUMNS($AC$1006:AQ1006),$AC$1006:$AS$1006,0))&gt;=100000), " ",IF(INDEX($AC$2:$AS$1001,MATCH(ROWS($V$2:V326),$V$2:$V$1001,0),MATCH(COLUMNS($AC$1006:AQ1006),$AC$1006:$AS$1006,0)), HYPERLINK("#",""), HYPERLINK(CONCATENATE("#metadata!", ADDRESS(INDEX($X$2:$X$1001,MATCH(ROWS($V$2:V326),$V$2:$V$1001,0),0), INDEX($AC$1004:$AS$1004,1,MATCH(COLUMNS($AC$1006:AQ1006),$AC$1006:$AS$1006,0)))),"Fix")))</f>
        <v xml:space="preserve"> </v>
      </c>
      <c r="Q326" s="4" t="str">
        <f ca="1">IF(OR(INDEX($W$2:$W$1001,MATCH(ROWS($V$2:V326),$V$2:$V$1001,0),1)&gt;=100000,INDEX($AC$1005:$AS$1005,1,MATCH(COLUMNS($AC$1006:AR1006),$AC$1006:$AS$1006,0))&gt;=100000), " ",IF(INDEX($AC$2:$AS$1001,MATCH(ROWS($V$2:V326),$V$2:$V$1001,0),MATCH(COLUMNS($AC$1006:AR1006),$AC$1006:$AS$1006,0)), HYPERLINK("#",""), HYPERLINK(CONCATENATE("#metadata!", ADDRESS(INDEX($X$2:$X$1001,MATCH(ROWS($V$2:V326),$V$2:$V$1001,0),0), INDEX($AC$1004:$AS$1004,1,MATCH(COLUMNS($AC$1006:AR1006),$AC$1006:$AS$1006,0)))),"Fix")))</f>
        <v xml:space="preserve"> </v>
      </c>
      <c r="R326" s="4" t="str">
        <f ca="1">IF(OR(INDEX($W$2:$W$1001,MATCH(ROWS($V$2:V326),$V$2:$V$1001,0),1)&gt;=100000,INDEX($AC$1005:$AS$1005,1,MATCH(COLUMNS($AC$1006:AS1006),$AC$1006:$AS$1006,0))&gt;=100000), " ",IF(INDEX($AC$2:$AS$1001,MATCH(ROWS($V$2:V326),$V$2:$V$1001,0),MATCH(COLUMNS($AC$1006:AS1006),$AC$1006:$AS$1006,0)), HYPERLINK("#",""), HYPERLINK(CONCATENATE("#metadata!", ADDRESS(INDEX($X$2:$X$1001,MATCH(ROWS($V$2:V326),$V$2:$V$1001,0),0), INDEX($AC$1004:$AS$1004,1,MATCH(COLUMNS($AC$1006:AS1006),$AC$1006:$AS$1006,0)))),"Fix")))</f>
        <v xml:space="preserve"> </v>
      </c>
      <c r="V326">
        <v>325</v>
      </c>
      <c r="W326">
        <v>100326</v>
      </c>
      <c r="X326">
        <v>326</v>
      </c>
      <c r="Y326" t="b">
        <f t="shared" si="5"/>
        <v>1</v>
      </c>
      <c r="Z326" t="b">
        <f>COUNTBLANK(metadata!B326:R326)=COLUMNS(metadata!B326:R326)</f>
        <v>1</v>
      </c>
      <c r="AA326" t="str">
        <v/>
      </c>
      <c r="AC326" t="b">
        <f ca="1"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AD326" t="b">
        <f>IF(metadata!C326="",FALSE,ISNUMBER(VALUE(metadata!C326)))</f>
        <v>0</v>
      </c>
      <c r="AE326" t="b">
        <f>AND(IF(metadata!D326="",FALSE,TRUE),EXACT(metadata!D326,"years"))</f>
        <v>0</v>
      </c>
      <c r="AF326" t="b">
        <f>OR(AND(IF(metadata!E326="",FALSE,TRUE),OR(EXACT(metadata!E326,"not applicable"),EXACT(metadata!E326,"missing: not collected"),EXACT(metadata!E326,"missing: not provided"),EXACT(metadata!E326,"missing: restricted access"))),AND(IF(metadata!E326="",FALSE,ISNUMBER(VALUE(metadata!E326))),metadata!E326&gt;0))</f>
        <v>0</v>
      </c>
      <c r="AG326" t="b">
        <f>AND(IF(metadata!F326="",FALSE,TRUE),EXACT(metadata!F326,"Not applicable"))</f>
        <v>0</v>
      </c>
      <c r="AH326" t="b">
        <f>AND(IF(metadata!G326="",FALSE,TRUE),EXACT(metadata!G326,"urban biome"))</f>
        <v>0</v>
      </c>
      <c r="AI326" t="b">
        <f>AND(IF(metadata!H326="",FALSE,TRUE),EXACT(metadata!H326,"human-associated habitat"))</f>
        <v>0</v>
      </c>
      <c r="AJ326" t="b">
        <f>AND(IF(metadata!I326="",FALSE,TRUE),OR(EXACT(metadata!I326,"human-associated"),EXACT(metadata!I326,"human-skin"),EXACT(metadata!I326,"human-oral"),EXACT(metadata!I326,"human-gut"),EXACT(metadata!I326,"human-vaginal")))</f>
        <v>0</v>
      </c>
      <c r="AK326" t="b">
        <f>IF(metadata!J326="",FALSE,ISNUMBER(VALUE(metadata!J326)))</f>
        <v>0</v>
      </c>
      <c r="AL326" t="b">
        <f>AND(IF(metadata!K326="",FALSE,TRUE),EXACT(metadata!K326,"cm"))</f>
        <v>0</v>
      </c>
      <c r="AM326" t="b">
        <f>AND(IF(metadata!L326="",FALSE,TRUE),EXACT(metadata!L326,"human"))</f>
        <v>0</v>
      </c>
      <c r="AN326" t="b">
        <f>AND(IF(metadata!M326="",FALSE,TRUE),EXACT(metadata!M326,"Homo sapiens"))</f>
        <v>0</v>
      </c>
      <c r="AO326" t="b">
        <f>AND(IF(metadata!N326="",FALSE,TRUE),EXACT(metadata!N326,"9606"))</f>
        <v>0</v>
      </c>
      <c r="AP326" t="b">
        <f>IF(metadata!O326="",FALSE,TRUE)</f>
        <v>0</v>
      </c>
      <c r="AQ326" t="b">
        <f>IF(metadata!P326="",FALSE,TRUE)</f>
        <v>0</v>
      </c>
      <c r="AR326" t="b">
        <f>IF(metadata!Q326="",FALSE,ISNUMBER(VALUE(metadata!Q326)))</f>
        <v>0</v>
      </c>
      <c r="AS326" t="b">
        <f>AND(IF(metadata!R326="",FALSE,TRUE),EXACT(metadata!R326,"kg"))</f>
        <v>0</v>
      </c>
    </row>
    <row r="327" spans="1:45" x14ac:dyDescent="0.2">
      <c r="A327" s="5" t="str">
        <f ca="1">IF(B327=" "," ",HYPERLINK(CONCATENATE("#metadata!",ADDRESS(INDEX($X$2:$X$1001,MATCH(ROWS($V$2:V327),$V$2:$V$1001,0),0),1)),INDEX($AA$2:$AA$1001,MATCH(ROWS($V$2:V327),$V$2:$V$1001,0),0)))</f>
        <v xml:space="preserve"> </v>
      </c>
      <c r="B327" s="4" t="str">
        <f ca="1">IF(OR(INDEX($W$2:$W$1001,MATCH(ROWS($V$2:V327),$V$2:$V$1001,0),1)&gt;=100000,INDEX($AC$1005:$AS$1005,1,MATCH(COLUMNS($AC$1006:AC1006),$AC$1006:$AS$1006,0))&gt;=100000), " ",IF(INDEX($AC$2:$AS$1001,MATCH(ROWS($V$2:V327),$V$2:$V$1001,0),MATCH(COLUMNS($AC$1006:AC1006),$AC$1006:$AS$1006,0)), HYPERLINK("#",""), HYPERLINK(CONCATENATE("#metadata!", ADDRESS(INDEX($X$2:$X$1001,MATCH(ROWS($V$2:V327),$V$2:$V$1001,0),0), INDEX($AC$1004:$AS$1004,1,MATCH(COLUMNS($AC$1006:AC1006),$AC$1006:$AS$1006,0)))),"Fix")))</f>
        <v xml:space="preserve"> </v>
      </c>
      <c r="C327" s="4" t="str">
        <f ca="1">IF(OR(INDEX($W$2:$W$1001,MATCH(ROWS($V$2:V327),$V$2:$V$1001,0),1)&gt;=100000,INDEX($AC$1005:$AS$1005,1,MATCH(COLUMNS($AC$1006:AD1006),$AC$1006:$AS$1006,0))&gt;=100000), " ",IF(INDEX($AC$2:$AS$1001,MATCH(ROWS($V$2:V327),$V$2:$V$1001,0),MATCH(COLUMNS($AC$1006:AD1006),$AC$1006:$AS$1006,0)), HYPERLINK("#",""), HYPERLINK(CONCATENATE("#metadata!", ADDRESS(INDEX($X$2:$X$1001,MATCH(ROWS($V$2:V327),$V$2:$V$1001,0),0), INDEX($AC$1004:$AS$1004,1,MATCH(COLUMNS($AC$1006:AD1006),$AC$1006:$AS$1006,0)))),"Fix")))</f>
        <v xml:space="preserve"> </v>
      </c>
      <c r="D327" s="4" t="str">
        <f ca="1">IF(OR(INDEX($W$2:$W$1001,MATCH(ROWS($V$2:V327),$V$2:$V$1001,0),1)&gt;=100000,INDEX($AC$1005:$AS$1005,1,MATCH(COLUMNS($AC$1006:AE1006),$AC$1006:$AS$1006,0))&gt;=100000), " ",IF(INDEX($AC$2:$AS$1001,MATCH(ROWS($V$2:V327),$V$2:$V$1001,0),MATCH(COLUMNS($AC$1006:AE1006),$AC$1006:$AS$1006,0)), HYPERLINK("#",""), HYPERLINK(CONCATENATE("#metadata!", ADDRESS(INDEX($X$2:$X$1001,MATCH(ROWS($V$2:V327),$V$2:$V$1001,0),0), INDEX($AC$1004:$AS$1004,1,MATCH(COLUMNS($AC$1006:AE1006),$AC$1006:$AS$1006,0)))),"Fix")))</f>
        <v xml:space="preserve"> </v>
      </c>
      <c r="E327" s="4" t="str">
        <f ca="1">IF(OR(INDEX($W$2:$W$1001,MATCH(ROWS($V$2:V327),$V$2:$V$1001,0),1)&gt;=100000,INDEX($AC$1005:$AS$1005,1,MATCH(COLUMNS($AC$1006:AF1006),$AC$1006:$AS$1006,0))&gt;=100000), " ",IF(INDEX($AC$2:$AS$1001,MATCH(ROWS($V$2:V327),$V$2:$V$1001,0),MATCH(COLUMNS($AC$1006:AF1006),$AC$1006:$AS$1006,0)), HYPERLINK("#",""), HYPERLINK(CONCATENATE("#metadata!", ADDRESS(INDEX($X$2:$X$1001,MATCH(ROWS($V$2:V327),$V$2:$V$1001,0),0), INDEX($AC$1004:$AS$1004,1,MATCH(COLUMNS($AC$1006:AF1006),$AC$1006:$AS$1006,0)))),"Fix")))</f>
        <v xml:space="preserve"> </v>
      </c>
      <c r="F327" s="4" t="str">
        <f ca="1">IF(OR(INDEX($W$2:$W$1001,MATCH(ROWS($V$2:V327),$V$2:$V$1001,0),1)&gt;=100000,INDEX($AC$1005:$AS$1005,1,MATCH(COLUMNS($AC$1006:AG1006),$AC$1006:$AS$1006,0))&gt;=100000), " ",IF(INDEX($AC$2:$AS$1001,MATCH(ROWS($V$2:V327),$V$2:$V$1001,0),MATCH(COLUMNS($AC$1006:AG1006),$AC$1006:$AS$1006,0)), HYPERLINK("#",""), HYPERLINK(CONCATENATE("#metadata!", ADDRESS(INDEX($X$2:$X$1001,MATCH(ROWS($V$2:V327),$V$2:$V$1001,0),0), INDEX($AC$1004:$AS$1004,1,MATCH(COLUMNS($AC$1006:AG1006),$AC$1006:$AS$1006,0)))),"Fix")))</f>
        <v xml:space="preserve"> </v>
      </c>
      <c r="G327" s="4" t="str">
        <f ca="1">IF(OR(INDEX($W$2:$W$1001,MATCH(ROWS($V$2:V327),$V$2:$V$1001,0),1)&gt;=100000,INDEX($AC$1005:$AS$1005,1,MATCH(COLUMNS($AC$1006:AH1006),$AC$1006:$AS$1006,0))&gt;=100000), " ",IF(INDEX($AC$2:$AS$1001,MATCH(ROWS($V$2:V327),$V$2:$V$1001,0),MATCH(COLUMNS($AC$1006:AH1006),$AC$1006:$AS$1006,0)), HYPERLINK("#",""), HYPERLINK(CONCATENATE("#metadata!", ADDRESS(INDEX($X$2:$X$1001,MATCH(ROWS($V$2:V327),$V$2:$V$1001,0),0), INDEX($AC$1004:$AS$1004,1,MATCH(COLUMNS($AC$1006:AH1006),$AC$1006:$AS$1006,0)))),"Fix")))</f>
        <v xml:space="preserve"> </v>
      </c>
      <c r="H327" s="4" t="str">
        <f ca="1">IF(OR(INDEX($W$2:$W$1001,MATCH(ROWS($V$2:V327),$V$2:$V$1001,0),1)&gt;=100000,INDEX($AC$1005:$AS$1005,1,MATCH(COLUMNS($AC$1006:AI1006),$AC$1006:$AS$1006,0))&gt;=100000), " ",IF(INDEX($AC$2:$AS$1001,MATCH(ROWS($V$2:V327),$V$2:$V$1001,0),MATCH(COLUMNS($AC$1006:AI1006),$AC$1006:$AS$1006,0)), HYPERLINK("#",""), HYPERLINK(CONCATENATE("#metadata!", ADDRESS(INDEX($X$2:$X$1001,MATCH(ROWS($V$2:V327),$V$2:$V$1001,0),0), INDEX($AC$1004:$AS$1004,1,MATCH(COLUMNS($AC$1006:AI1006),$AC$1006:$AS$1006,0)))),"Fix")))</f>
        <v xml:space="preserve"> </v>
      </c>
      <c r="I327" s="4" t="str">
        <f ca="1">IF(OR(INDEX($W$2:$W$1001,MATCH(ROWS($V$2:V327),$V$2:$V$1001,0),1)&gt;=100000,INDEX($AC$1005:$AS$1005,1,MATCH(COLUMNS($AC$1006:AJ1006),$AC$1006:$AS$1006,0))&gt;=100000), " ",IF(INDEX($AC$2:$AS$1001,MATCH(ROWS($V$2:V327),$V$2:$V$1001,0),MATCH(COLUMNS($AC$1006:AJ1006),$AC$1006:$AS$1006,0)), HYPERLINK("#",""), HYPERLINK(CONCATENATE("#metadata!", ADDRESS(INDEX($X$2:$X$1001,MATCH(ROWS($V$2:V327),$V$2:$V$1001,0),0), INDEX($AC$1004:$AS$1004,1,MATCH(COLUMNS($AC$1006:AJ1006),$AC$1006:$AS$1006,0)))),"Fix")))</f>
        <v xml:space="preserve"> </v>
      </c>
      <c r="J327" s="4" t="str">
        <f ca="1">IF(OR(INDEX($W$2:$W$1001,MATCH(ROWS($V$2:V327),$V$2:$V$1001,0),1)&gt;=100000,INDEX($AC$1005:$AS$1005,1,MATCH(COLUMNS($AC$1006:AK1006),$AC$1006:$AS$1006,0))&gt;=100000), " ",IF(INDEX($AC$2:$AS$1001,MATCH(ROWS($V$2:V327),$V$2:$V$1001,0),MATCH(COLUMNS($AC$1006:AK1006),$AC$1006:$AS$1006,0)), HYPERLINK("#",""), HYPERLINK(CONCATENATE("#metadata!", ADDRESS(INDEX($X$2:$X$1001,MATCH(ROWS($V$2:V327),$V$2:$V$1001,0),0), INDEX($AC$1004:$AS$1004,1,MATCH(COLUMNS($AC$1006:AK1006),$AC$1006:$AS$1006,0)))),"Fix")))</f>
        <v xml:space="preserve"> </v>
      </c>
      <c r="K327" s="4" t="str">
        <f ca="1">IF(OR(INDEX($W$2:$W$1001,MATCH(ROWS($V$2:V327),$V$2:$V$1001,0),1)&gt;=100000,INDEX($AC$1005:$AS$1005,1,MATCH(COLUMNS($AC$1006:AL1006),$AC$1006:$AS$1006,0))&gt;=100000), " ",IF(INDEX($AC$2:$AS$1001,MATCH(ROWS($V$2:V327),$V$2:$V$1001,0),MATCH(COLUMNS($AC$1006:AL1006),$AC$1006:$AS$1006,0)), HYPERLINK("#",""), HYPERLINK(CONCATENATE("#metadata!", ADDRESS(INDEX($X$2:$X$1001,MATCH(ROWS($V$2:V327),$V$2:$V$1001,0),0), INDEX($AC$1004:$AS$1004,1,MATCH(COLUMNS($AC$1006:AL1006),$AC$1006:$AS$1006,0)))),"Fix")))</f>
        <v xml:space="preserve"> </v>
      </c>
      <c r="L327" s="4" t="str">
        <f ca="1">IF(OR(INDEX($W$2:$W$1001,MATCH(ROWS($V$2:V327),$V$2:$V$1001,0),1)&gt;=100000,INDEX($AC$1005:$AS$1005,1,MATCH(COLUMNS($AC$1006:AM1006),$AC$1006:$AS$1006,0))&gt;=100000), " ",IF(INDEX($AC$2:$AS$1001,MATCH(ROWS($V$2:V327),$V$2:$V$1001,0),MATCH(COLUMNS($AC$1006:AM1006),$AC$1006:$AS$1006,0)), HYPERLINK("#",""), HYPERLINK(CONCATENATE("#metadata!", ADDRESS(INDEX($X$2:$X$1001,MATCH(ROWS($V$2:V327),$V$2:$V$1001,0),0), INDEX($AC$1004:$AS$1004,1,MATCH(COLUMNS($AC$1006:AM1006),$AC$1006:$AS$1006,0)))),"Fix")))</f>
        <v xml:space="preserve"> </v>
      </c>
      <c r="M327" s="4" t="str">
        <f ca="1">IF(OR(INDEX($W$2:$W$1001,MATCH(ROWS($V$2:V327),$V$2:$V$1001,0),1)&gt;=100000,INDEX($AC$1005:$AS$1005,1,MATCH(COLUMNS($AC$1006:AN1006),$AC$1006:$AS$1006,0))&gt;=100000), " ",IF(INDEX($AC$2:$AS$1001,MATCH(ROWS($V$2:V327),$V$2:$V$1001,0),MATCH(COLUMNS($AC$1006:AN1006),$AC$1006:$AS$1006,0)), HYPERLINK("#",""), HYPERLINK(CONCATENATE("#metadata!", ADDRESS(INDEX($X$2:$X$1001,MATCH(ROWS($V$2:V327),$V$2:$V$1001,0),0), INDEX($AC$1004:$AS$1004,1,MATCH(COLUMNS($AC$1006:AN1006),$AC$1006:$AS$1006,0)))),"Fix")))</f>
        <v xml:space="preserve"> </v>
      </c>
      <c r="N327" s="4" t="str">
        <f ca="1">IF(OR(INDEX($W$2:$W$1001,MATCH(ROWS($V$2:V327),$V$2:$V$1001,0),1)&gt;=100000,INDEX($AC$1005:$AS$1005,1,MATCH(COLUMNS($AC$1006:AO1006),$AC$1006:$AS$1006,0))&gt;=100000), " ",IF(INDEX($AC$2:$AS$1001,MATCH(ROWS($V$2:V327),$V$2:$V$1001,0),MATCH(COLUMNS($AC$1006:AO1006),$AC$1006:$AS$1006,0)), HYPERLINK("#",""), HYPERLINK(CONCATENATE("#metadata!", ADDRESS(INDEX($X$2:$X$1001,MATCH(ROWS($V$2:V327),$V$2:$V$1001,0),0), INDEX($AC$1004:$AS$1004,1,MATCH(COLUMNS($AC$1006:AO1006),$AC$1006:$AS$1006,0)))),"Fix")))</f>
        <v xml:space="preserve"> </v>
      </c>
      <c r="O327" s="4" t="str">
        <f ca="1">IF(OR(INDEX($W$2:$W$1001,MATCH(ROWS($V$2:V327),$V$2:$V$1001,0),1)&gt;=100000,INDEX($AC$1005:$AS$1005,1,MATCH(COLUMNS($AC$1006:AP1006),$AC$1006:$AS$1006,0))&gt;=100000), " ",IF(INDEX($AC$2:$AS$1001,MATCH(ROWS($V$2:V327),$V$2:$V$1001,0),MATCH(COLUMNS($AC$1006:AP1006),$AC$1006:$AS$1006,0)), HYPERLINK("#",""), HYPERLINK(CONCATENATE("#metadata!", ADDRESS(INDEX($X$2:$X$1001,MATCH(ROWS($V$2:V327),$V$2:$V$1001,0),0), INDEX($AC$1004:$AS$1004,1,MATCH(COLUMNS($AC$1006:AP1006),$AC$1006:$AS$1006,0)))),"Fix")))</f>
        <v xml:space="preserve"> </v>
      </c>
      <c r="P327" s="4" t="str">
        <f ca="1">IF(OR(INDEX($W$2:$W$1001,MATCH(ROWS($V$2:V327),$V$2:$V$1001,0),1)&gt;=100000,INDEX($AC$1005:$AS$1005,1,MATCH(COLUMNS($AC$1006:AQ1006),$AC$1006:$AS$1006,0))&gt;=100000), " ",IF(INDEX($AC$2:$AS$1001,MATCH(ROWS($V$2:V327),$V$2:$V$1001,0),MATCH(COLUMNS($AC$1006:AQ1006),$AC$1006:$AS$1006,0)), HYPERLINK("#",""), HYPERLINK(CONCATENATE("#metadata!", ADDRESS(INDEX($X$2:$X$1001,MATCH(ROWS($V$2:V327),$V$2:$V$1001,0),0), INDEX($AC$1004:$AS$1004,1,MATCH(COLUMNS($AC$1006:AQ1006),$AC$1006:$AS$1006,0)))),"Fix")))</f>
        <v xml:space="preserve"> </v>
      </c>
      <c r="Q327" s="4" t="str">
        <f ca="1">IF(OR(INDEX($W$2:$W$1001,MATCH(ROWS($V$2:V327),$V$2:$V$1001,0),1)&gt;=100000,INDEX($AC$1005:$AS$1005,1,MATCH(COLUMNS($AC$1006:AR1006),$AC$1006:$AS$1006,0))&gt;=100000), " ",IF(INDEX($AC$2:$AS$1001,MATCH(ROWS($V$2:V327),$V$2:$V$1001,0),MATCH(COLUMNS($AC$1006:AR1006),$AC$1006:$AS$1006,0)), HYPERLINK("#",""), HYPERLINK(CONCATENATE("#metadata!", ADDRESS(INDEX($X$2:$X$1001,MATCH(ROWS($V$2:V327),$V$2:$V$1001,0),0), INDEX($AC$1004:$AS$1004,1,MATCH(COLUMNS($AC$1006:AR1006),$AC$1006:$AS$1006,0)))),"Fix")))</f>
        <v xml:space="preserve"> </v>
      </c>
      <c r="R327" s="4" t="str">
        <f ca="1">IF(OR(INDEX($W$2:$W$1001,MATCH(ROWS($V$2:V327),$V$2:$V$1001,0),1)&gt;=100000,INDEX($AC$1005:$AS$1005,1,MATCH(COLUMNS($AC$1006:AS1006),$AC$1006:$AS$1006,0))&gt;=100000), " ",IF(INDEX($AC$2:$AS$1001,MATCH(ROWS($V$2:V327),$V$2:$V$1001,0),MATCH(COLUMNS($AC$1006:AS1006),$AC$1006:$AS$1006,0)), HYPERLINK("#",""), HYPERLINK(CONCATENATE("#metadata!", ADDRESS(INDEX($X$2:$X$1001,MATCH(ROWS($V$2:V327),$V$2:$V$1001,0),0), INDEX($AC$1004:$AS$1004,1,MATCH(COLUMNS($AC$1006:AS1006),$AC$1006:$AS$1006,0)))),"Fix")))</f>
        <v xml:space="preserve"> </v>
      </c>
      <c r="V327">
        <v>326</v>
      </c>
      <c r="W327">
        <v>100327</v>
      </c>
      <c r="X327">
        <v>327</v>
      </c>
      <c r="Y327" t="b">
        <f t="shared" si="5"/>
        <v>1</v>
      </c>
      <c r="Z327" t="b">
        <f>COUNTBLANK(metadata!B327:R327)=COLUMNS(metadata!B327:R327)</f>
        <v>1</v>
      </c>
      <c r="AA327" t="str">
        <v/>
      </c>
      <c r="AC327" t="b">
        <f ca="1"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AD327" t="b">
        <f>IF(metadata!C327="",FALSE,ISNUMBER(VALUE(metadata!C327)))</f>
        <v>0</v>
      </c>
      <c r="AE327" t="b">
        <f>AND(IF(metadata!D327="",FALSE,TRUE),EXACT(metadata!D327,"years"))</f>
        <v>0</v>
      </c>
      <c r="AF327" t="b">
        <f>OR(AND(IF(metadata!E327="",FALSE,TRUE),OR(EXACT(metadata!E327,"not applicable"),EXACT(metadata!E327,"missing: not collected"),EXACT(metadata!E327,"missing: not provided"),EXACT(metadata!E327,"missing: restricted access"))),AND(IF(metadata!E327="",FALSE,ISNUMBER(VALUE(metadata!E327))),metadata!E327&gt;0))</f>
        <v>0</v>
      </c>
      <c r="AG327" t="b">
        <f>AND(IF(metadata!F327="",FALSE,TRUE),EXACT(metadata!F327,"Not applicable"))</f>
        <v>0</v>
      </c>
      <c r="AH327" t="b">
        <f>AND(IF(metadata!G327="",FALSE,TRUE),EXACT(metadata!G327,"urban biome"))</f>
        <v>0</v>
      </c>
      <c r="AI327" t="b">
        <f>AND(IF(metadata!H327="",FALSE,TRUE),EXACT(metadata!H327,"human-associated habitat"))</f>
        <v>0</v>
      </c>
      <c r="AJ327" t="b">
        <f>AND(IF(metadata!I327="",FALSE,TRUE),OR(EXACT(metadata!I327,"human-associated"),EXACT(metadata!I327,"human-skin"),EXACT(metadata!I327,"human-oral"),EXACT(metadata!I327,"human-gut"),EXACT(metadata!I327,"human-vaginal")))</f>
        <v>0</v>
      </c>
      <c r="AK327" t="b">
        <f>IF(metadata!J327="",FALSE,ISNUMBER(VALUE(metadata!J327)))</f>
        <v>0</v>
      </c>
      <c r="AL327" t="b">
        <f>AND(IF(metadata!K327="",FALSE,TRUE),EXACT(metadata!K327,"cm"))</f>
        <v>0</v>
      </c>
      <c r="AM327" t="b">
        <f>AND(IF(metadata!L327="",FALSE,TRUE),EXACT(metadata!L327,"human"))</f>
        <v>0</v>
      </c>
      <c r="AN327" t="b">
        <f>AND(IF(metadata!M327="",FALSE,TRUE),EXACT(metadata!M327,"Homo sapiens"))</f>
        <v>0</v>
      </c>
      <c r="AO327" t="b">
        <f>AND(IF(metadata!N327="",FALSE,TRUE),EXACT(metadata!N327,"9606"))</f>
        <v>0</v>
      </c>
      <c r="AP327" t="b">
        <f>IF(metadata!O327="",FALSE,TRUE)</f>
        <v>0</v>
      </c>
      <c r="AQ327" t="b">
        <f>IF(metadata!P327="",FALSE,TRUE)</f>
        <v>0</v>
      </c>
      <c r="AR327" t="b">
        <f>IF(metadata!Q327="",FALSE,ISNUMBER(VALUE(metadata!Q327)))</f>
        <v>0</v>
      </c>
      <c r="AS327" t="b">
        <f>AND(IF(metadata!R327="",FALSE,TRUE),EXACT(metadata!R327,"kg"))</f>
        <v>0</v>
      </c>
    </row>
    <row r="328" spans="1:45" x14ac:dyDescent="0.2">
      <c r="A328" s="5" t="str">
        <f ca="1">IF(B328=" "," ",HYPERLINK(CONCATENATE("#metadata!",ADDRESS(INDEX($X$2:$X$1001,MATCH(ROWS($V$2:V328),$V$2:$V$1001,0),0),1)),INDEX($AA$2:$AA$1001,MATCH(ROWS($V$2:V328),$V$2:$V$1001,0),0)))</f>
        <v xml:space="preserve"> </v>
      </c>
      <c r="B328" s="4" t="str">
        <f ca="1">IF(OR(INDEX($W$2:$W$1001,MATCH(ROWS($V$2:V328),$V$2:$V$1001,0),1)&gt;=100000,INDEX($AC$1005:$AS$1005,1,MATCH(COLUMNS($AC$1006:AC1006),$AC$1006:$AS$1006,0))&gt;=100000), " ",IF(INDEX($AC$2:$AS$1001,MATCH(ROWS($V$2:V328),$V$2:$V$1001,0),MATCH(COLUMNS($AC$1006:AC1006),$AC$1006:$AS$1006,0)), HYPERLINK("#",""), HYPERLINK(CONCATENATE("#metadata!", ADDRESS(INDEX($X$2:$X$1001,MATCH(ROWS($V$2:V328),$V$2:$V$1001,0),0), INDEX($AC$1004:$AS$1004,1,MATCH(COLUMNS($AC$1006:AC1006),$AC$1006:$AS$1006,0)))),"Fix")))</f>
        <v xml:space="preserve"> </v>
      </c>
      <c r="C328" s="4" t="str">
        <f ca="1">IF(OR(INDEX($W$2:$W$1001,MATCH(ROWS($V$2:V328),$V$2:$V$1001,0),1)&gt;=100000,INDEX($AC$1005:$AS$1005,1,MATCH(COLUMNS($AC$1006:AD1006),$AC$1006:$AS$1006,0))&gt;=100000), " ",IF(INDEX($AC$2:$AS$1001,MATCH(ROWS($V$2:V328),$V$2:$V$1001,0),MATCH(COLUMNS($AC$1006:AD1006),$AC$1006:$AS$1006,0)), HYPERLINK("#",""), HYPERLINK(CONCATENATE("#metadata!", ADDRESS(INDEX($X$2:$X$1001,MATCH(ROWS($V$2:V328),$V$2:$V$1001,0),0), INDEX($AC$1004:$AS$1004,1,MATCH(COLUMNS($AC$1006:AD1006),$AC$1006:$AS$1006,0)))),"Fix")))</f>
        <v xml:space="preserve"> </v>
      </c>
      <c r="D328" s="4" t="str">
        <f ca="1">IF(OR(INDEX($W$2:$W$1001,MATCH(ROWS($V$2:V328),$V$2:$V$1001,0),1)&gt;=100000,INDEX($AC$1005:$AS$1005,1,MATCH(COLUMNS($AC$1006:AE1006),$AC$1006:$AS$1006,0))&gt;=100000), " ",IF(INDEX($AC$2:$AS$1001,MATCH(ROWS($V$2:V328),$V$2:$V$1001,0),MATCH(COLUMNS($AC$1006:AE1006),$AC$1006:$AS$1006,0)), HYPERLINK("#",""), HYPERLINK(CONCATENATE("#metadata!", ADDRESS(INDEX($X$2:$X$1001,MATCH(ROWS($V$2:V328),$V$2:$V$1001,0),0), INDEX($AC$1004:$AS$1004,1,MATCH(COLUMNS($AC$1006:AE1006),$AC$1006:$AS$1006,0)))),"Fix")))</f>
        <v xml:space="preserve"> </v>
      </c>
      <c r="E328" s="4" t="str">
        <f ca="1">IF(OR(INDEX($W$2:$W$1001,MATCH(ROWS($V$2:V328),$V$2:$V$1001,0),1)&gt;=100000,INDEX($AC$1005:$AS$1005,1,MATCH(COLUMNS($AC$1006:AF1006),$AC$1006:$AS$1006,0))&gt;=100000), " ",IF(INDEX($AC$2:$AS$1001,MATCH(ROWS($V$2:V328),$V$2:$V$1001,0),MATCH(COLUMNS($AC$1006:AF1006),$AC$1006:$AS$1006,0)), HYPERLINK("#",""), HYPERLINK(CONCATENATE("#metadata!", ADDRESS(INDEX($X$2:$X$1001,MATCH(ROWS($V$2:V328),$V$2:$V$1001,0),0), INDEX($AC$1004:$AS$1004,1,MATCH(COLUMNS($AC$1006:AF1006),$AC$1006:$AS$1006,0)))),"Fix")))</f>
        <v xml:space="preserve"> </v>
      </c>
      <c r="F328" s="4" t="str">
        <f ca="1">IF(OR(INDEX($W$2:$W$1001,MATCH(ROWS($V$2:V328),$V$2:$V$1001,0),1)&gt;=100000,INDEX($AC$1005:$AS$1005,1,MATCH(COLUMNS($AC$1006:AG1006),$AC$1006:$AS$1006,0))&gt;=100000), " ",IF(INDEX($AC$2:$AS$1001,MATCH(ROWS($V$2:V328),$V$2:$V$1001,0),MATCH(COLUMNS($AC$1006:AG1006),$AC$1006:$AS$1006,0)), HYPERLINK("#",""), HYPERLINK(CONCATENATE("#metadata!", ADDRESS(INDEX($X$2:$X$1001,MATCH(ROWS($V$2:V328),$V$2:$V$1001,0),0), INDEX($AC$1004:$AS$1004,1,MATCH(COLUMNS($AC$1006:AG1006),$AC$1006:$AS$1006,0)))),"Fix")))</f>
        <v xml:space="preserve"> </v>
      </c>
      <c r="G328" s="4" t="str">
        <f ca="1">IF(OR(INDEX($W$2:$W$1001,MATCH(ROWS($V$2:V328),$V$2:$V$1001,0),1)&gt;=100000,INDEX($AC$1005:$AS$1005,1,MATCH(COLUMNS($AC$1006:AH1006),$AC$1006:$AS$1006,0))&gt;=100000), " ",IF(INDEX($AC$2:$AS$1001,MATCH(ROWS($V$2:V328),$V$2:$V$1001,0),MATCH(COLUMNS($AC$1006:AH1006),$AC$1006:$AS$1006,0)), HYPERLINK("#",""), HYPERLINK(CONCATENATE("#metadata!", ADDRESS(INDEX($X$2:$X$1001,MATCH(ROWS($V$2:V328),$V$2:$V$1001,0),0), INDEX($AC$1004:$AS$1004,1,MATCH(COLUMNS($AC$1006:AH1006),$AC$1006:$AS$1006,0)))),"Fix")))</f>
        <v xml:space="preserve"> </v>
      </c>
      <c r="H328" s="4" t="str">
        <f ca="1">IF(OR(INDEX($W$2:$W$1001,MATCH(ROWS($V$2:V328),$V$2:$V$1001,0),1)&gt;=100000,INDEX($AC$1005:$AS$1005,1,MATCH(COLUMNS($AC$1006:AI1006),$AC$1006:$AS$1006,0))&gt;=100000), " ",IF(INDEX($AC$2:$AS$1001,MATCH(ROWS($V$2:V328),$V$2:$V$1001,0),MATCH(COLUMNS($AC$1006:AI1006),$AC$1006:$AS$1006,0)), HYPERLINK("#",""), HYPERLINK(CONCATENATE("#metadata!", ADDRESS(INDEX($X$2:$X$1001,MATCH(ROWS($V$2:V328),$V$2:$V$1001,0),0), INDEX($AC$1004:$AS$1004,1,MATCH(COLUMNS($AC$1006:AI1006),$AC$1006:$AS$1006,0)))),"Fix")))</f>
        <v xml:space="preserve"> </v>
      </c>
      <c r="I328" s="4" t="str">
        <f ca="1">IF(OR(INDEX($W$2:$W$1001,MATCH(ROWS($V$2:V328),$V$2:$V$1001,0),1)&gt;=100000,INDEX($AC$1005:$AS$1005,1,MATCH(COLUMNS($AC$1006:AJ1006),$AC$1006:$AS$1006,0))&gt;=100000), " ",IF(INDEX($AC$2:$AS$1001,MATCH(ROWS($V$2:V328),$V$2:$V$1001,0),MATCH(COLUMNS($AC$1006:AJ1006),$AC$1006:$AS$1006,0)), HYPERLINK("#",""), HYPERLINK(CONCATENATE("#metadata!", ADDRESS(INDEX($X$2:$X$1001,MATCH(ROWS($V$2:V328),$V$2:$V$1001,0),0), INDEX($AC$1004:$AS$1004,1,MATCH(COLUMNS($AC$1006:AJ1006),$AC$1006:$AS$1006,0)))),"Fix")))</f>
        <v xml:space="preserve"> </v>
      </c>
      <c r="J328" s="4" t="str">
        <f ca="1">IF(OR(INDEX($W$2:$W$1001,MATCH(ROWS($V$2:V328),$V$2:$V$1001,0),1)&gt;=100000,INDEX($AC$1005:$AS$1005,1,MATCH(COLUMNS($AC$1006:AK1006),$AC$1006:$AS$1006,0))&gt;=100000), " ",IF(INDEX($AC$2:$AS$1001,MATCH(ROWS($V$2:V328),$V$2:$V$1001,0),MATCH(COLUMNS($AC$1006:AK1006),$AC$1006:$AS$1006,0)), HYPERLINK("#",""), HYPERLINK(CONCATENATE("#metadata!", ADDRESS(INDEX($X$2:$X$1001,MATCH(ROWS($V$2:V328),$V$2:$V$1001,0),0), INDEX($AC$1004:$AS$1004,1,MATCH(COLUMNS($AC$1006:AK1006),$AC$1006:$AS$1006,0)))),"Fix")))</f>
        <v xml:space="preserve"> </v>
      </c>
      <c r="K328" s="4" t="str">
        <f ca="1">IF(OR(INDEX($W$2:$W$1001,MATCH(ROWS($V$2:V328),$V$2:$V$1001,0),1)&gt;=100000,INDEX($AC$1005:$AS$1005,1,MATCH(COLUMNS($AC$1006:AL1006),$AC$1006:$AS$1006,0))&gt;=100000), " ",IF(INDEX($AC$2:$AS$1001,MATCH(ROWS($V$2:V328),$V$2:$V$1001,0),MATCH(COLUMNS($AC$1006:AL1006),$AC$1006:$AS$1006,0)), HYPERLINK("#",""), HYPERLINK(CONCATENATE("#metadata!", ADDRESS(INDEX($X$2:$X$1001,MATCH(ROWS($V$2:V328),$V$2:$V$1001,0),0), INDEX($AC$1004:$AS$1004,1,MATCH(COLUMNS($AC$1006:AL1006),$AC$1006:$AS$1006,0)))),"Fix")))</f>
        <v xml:space="preserve"> </v>
      </c>
      <c r="L328" s="4" t="str">
        <f ca="1">IF(OR(INDEX($W$2:$W$1001,MATCH(ROWS($V$2:V328),$V$2:$V$1001,0),1)&gt;=100000,INDEX($AC$1005:$AS$1005,1,MATCH(COLUMNS($AC$1006:AM1006),$AC$1006:$AS$1006,0))&gt;=100000), " ",IF(INDEX($AC$2:$AS$1001,MATCH(ROWS($V$2:V328),$V$2:$V$1001,0),MATCH(COLUMNS($AC$1006:AM1006),$AC$1006:$AS$1006,0)), HYPERLINK("#",""), HYPERLINK(CONCATENATE("#metadata!", ADDRESS(INDEX($X$2:$X$1001,MATCH(ROWS($V$2:V328),$V$2:$V$1001,0),0), INDEX($AC$1004:$AS$1004,1,MATCH(COLUMNS($AC$1006:AM1006),$AC$1006:$AS$1006,0)))),"Fix")))</f>
        <v xml:space="preserve"> </v>
      </c>
      <c r="M328" s="4" t="str">
        <f ca="1">IF(OR(INDEX($W$2:$W$1001,MATCH(ROWS($V$2:V328),$V$2:$V$1001,0),1)&gt;=100000,INDEX($AC$1005:$AS$1005,1,MATCH(COLUMNS($AC$1006:AN1006),$AC$1006:$AS$1006,0))&gt;=100000), " ",IF(INDEX($AC$2:$AS$1001,MATCH(ROWS($V$2:V328),$V$2:$V$1001,0),MATCH(COLUMNS($AC$1006:AN1006),$AC$1006:$AS$1006,0)), HYPERLINK("#",""), HYPERLINK(CONCATENATE("#metadata!", ADDRESS(INDEX($X$2:$X$1001,MATCH(ROWS($V$2:V328),$V$2:$V$1001,0),0), INDEX($AC$1004:$AS$1004,1,MATCH(COLUMNS($AC$1006:AN1006),$AC$1006:$AS$1006,0)))),"Fix")))</f>
        <v xml:space="preserve"> </v>
      </c>
      <c r="N328" s="4" t="str">
        <f ca="1">IF(OR(INDEX($W$2:$W$1001,MATCH(ROWS($V$2:V328),$V$2:$V$1001,0),1)&gt;=100000,INDEX($AC$1005:$AS$1005,1,MATCH(COLUMNS($AC$1006:AO1006),$AC$1006:$AS$1006,0))&gt;=100000), " ",IF(INDEX($AC$2:$AS$1001,MATCH(ROWS($V$2:V328),$V$2:$V$1001,0),MATCH(COLUMNS($AC$1006:AO1006),$AC$1006:$AS$1006,0)), HYPERLINK("#",""), HYPERLINK(CONCATENATE("#metadata!", ADDRESS(INDEX($X$2:$X$1001,MATCH(ROWS($V$2:V328),$V$2:$V$1001,0),0), INDEX($AC$1004:$AS$1004,1,MATCH(COLUMNS($AC$1006:AO1006),$AC$1006:$AS$1006,0)))),"Fix")))</f>
        <v xml:space="preserve"> </v>
      </c>
      <c r="O328" s="4" t="str">
        <f ca="1">IF(OR(INDEX($W$2:$W$1001,MATCH(ROWS($V$2:V328),$V$2:$V$1001,0),1)&gt;=100000,INDEX($AC$1005:$AS$1005,1,MATCH(COLUMNS($AC$1006:AP1006),$AC$1006:$AS$1006,0))&gt;=100000), " ",IF(INDEX($AC$2:$AS$1001,MATCH(ROWS($V$2:V328),$V$2:$V$1001,0),MATCH(COLUMNS($AC$1006:AP1006),$AC$1006:$AS$1006,0)), HYPERLINK("#",""), HYPERLINK(CONCATENATE("#metadata!", ADDRESS(INDEX($X$2:$X$1001,MATCH(ROWS($V$2:V328),$V$2:$V$1001,0),0), INDEX($AC$1004:$AS$1004,1,MATCH(COLUMNS($AC$1006:AP1006),$AC$1006:$AS$1006,0)))),"Fix")))</f>
        <v xml:space="preserve"> </v>
      </c>
      <c r="P328" s="4" t="str">
        <f ca="1">IF(OR(INDEX($W$2:$W$1001,MATCH(ROWS($V$2:V328),$V$2:$V$1001,0),1)&gt;=100000,INDEX($AC$1005:$AS$1005,1,MATCH(COLUMNS($AC$1006:AQ1006),$AC$1006:$AS$1006,0))&gt;=100000), " ",IF(INDEX($AC$2:$AS$1001,MATCH(ROWS($V$2:V328),$V$2:$V$1001,0),MATCH(COLUMNS($AC$1006:AQ1006),$AC$1006:$AS$1006,0)), HYPERLINK("#",""), HYPERLINK(CONCATENATE("#metadata!", ADDRESS(INDEX($X$2:$X$1001,MATCH(ROWS($V$2:V328),$V$2:$V$1001,0),0), INDEX($AC$1004:$AS$1004,1,MATCH(COLUMNS($AC$1006:AQ1006),$AC$1006:$AS$1006,0)))),"Fix")))</f>
        <v xml:space="preserve"> </v>
      </c>
      <c r="Q328" s="4" t="str">
        <f ca="1">IF(OR(INDEX($W$2:$W$1001,MATCH(ROWS($V$2:V328),$V$2:$V$1001,0),1)&gt;=100000,INDEX($AC$1005:$AS$1005,1,MATCH(COLUMNS($AC$1006:AR1006),$AC$1006:$AS$1006,0))&gt;=100000), " ",IF(INDEX($AC$2:$AS$1001,MATCH(ROWS($V$2:V328),$V$2:$V$1001,0),MATCH(COLUMNS($AC$1006:AR1006),$AC$1006:$AS$1006,0)), HYPERLINK("#",""), HYPERLINK(CONCATENATE("#metadata!", ADDRESS(INDEX($X$2:$X$1001,MATCH(ROWS($V$2:V328),$V$2:$V$1001,0),0), INDEX($AC$1004:$AS$1004,1,MATCH(COLUMNS($AC$1006:AR1006),$AC$1006:$AS$1006,0)))),"Fix")))</f>
        <v xml:space="preserve"> </v>
      </c>
      <c r="R328" s="4" t="str">
        <f ca="1">IF(OR(INDEX($W$2:$W$1001,MATCH(ROWS($V$2:V328),$V$2:$V$1001,0),1)&gt;=100000,INDEX($AC$1005:$AS$1005,1,MATCH(COLUMNS($AC$1006:AS1006),$AC$1006:$AS$1006,0))&gt;=100000), " ",IF(INDEX($AC$2:$AS$1001,MATCH(ROWS($V$2:V328),$V$2:$V$1001,0),MATCH(COLUMNS($AC$1006:AS1006),$AC$1006:$AS$1006,0)), HYPERLINK("#",""), HYPERLINK(CONCATENATE("#metadata!", ADDRESS(INDEX($X$2:$X$1001,MATCH(ROWS($V$2:V328),$V$2:$V$1001,0),0), INDEX($AC$1004:$AS$1004,1,MATCH(COLUMNS($AC$1006:AS1006),$AC$1006:$AS$1006,0)))),"Fix")))</f>
        <v xml:space="preserve"> </v>
      </c>
      <c r="V328">
        <v>327</v>
      </c>
      <c r="W328">
        <v>100328</v>
      </c>
      <c r="X328">
        <v>328</v>
      </c>
      <c r="Y328" t="b">
        <f t="shared" si="5"/>
        <v>1</v>
      </c>
      <c r="Z328" t="b">
        <f>COUNTBLANK(metadata!B328:R328)=COLUMNS(metadata!B328:R328)</f>
        <v>1</v>
      </c>
      <c r="AA328" t="str">
        <v/>
      </c>
      <c r="AC328" t="b">
        <f ca="1"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AD328" t="b">
        <f>IF(metadata!C328="",FALSE,ISNUMBER(VALUE(metadata!C328)))</f>
        <v>0</v>
      </c>
      <c r="AE328" t="b">
        <f>AND(IF(metadata!D328="",FALSE,TRUE),EXACT(metadata!D328,"years"))</f>
        <v>0</v>
      </c>
      <c r="AF328" t="b">
        <f>OR(AND(IF(metadata!E328="",FALSE,TRUE),OR(EXACT(metadata!E328,"not applicable"),EXACT(metadata!E328,"missing: not collected"),EXACT(metadata!E328,"missing: not provided"),EXACT(metadata!E328,"missing: restricted access"))),AND(IF(metadata!E328="",FALSE,ISNUMBER(VALUE(metadata!E328))),metadata!E328&gt;0))</f>
        <v>0</v>
      </c>
      <c r="AG328" t="b">
        <f>AND(IF(metadata!F328="",FALSE,TRUE),EXACT(metadata!F328,"Not applicable"))</f>
        <v>0</v>
      </c>
      <c r="AH328" t="b">
        <f>AND(IF(metadata!G328="",FALSE,TRUE),EXACT(metadata!G328,"urban biome"))</f>
        <v>0</v>
      </c>
      <c r="AI328" t="b">
        <f>AND(IF(metadata!H328="",FALSE,TRUE),EXACT(metadata!H328,"human-associated habitat"))</f>
        <v>0</v>
      </c>
      <c r="AJ328" t="b">
        <f>AND(IF(metadata!I328="",FALSE,TRUE),OR(EXACT(metadata!I328,"human-associated"),EXACT(metadata!I328,"human-skin"),EXACT(metadata!I328,"human-oral"),EXACT(metadata!I328,"human-gut"),EXACT(metadata!I328,"human-vaginal")))</f>
        <v>0</v>
      </c>
      <c r="AK328" t="b">
        <f>IF(metadata!J328="",FALSE,ISNUMBER(VALUE(metadata!J328)))</f>
        <v>0</v>
      </c>
      <c r="AL328" t="b">
        <f>AND(IF(metadata!K328="",FALSE,TRUE),EXACT(metadata!K328,"cm"))</f>
        <v>0</v>
      </c>
      <c r="AM328" t="b">
        <f>AND(IF(metadata!L328="",FALSE,TRUE),EXACT(metadata!L328,"human"))</f>
        <v>0</v>
      </c>
      <c r="AN328" t="b">
        <f>AND(IF(metadata!M328="",FALSE,TRUE),EXACT(metadata!M328,"Homo sapiens"))</f>
        <v>0</v>
      </c>
      <c r="AO328" t="b">
        <f>AND(IF(metadata!N328="",FALSE,TRUE),EXACT(metadata!N328,"9606"))</f>
        <v>0</v>
      </c>
      <c r="AP328" t="b">
        <f>IF(metadata!O328="",FALSE,TRUE)</f>
        <v>0</v>
      </c>
      <c r="AQ328" t="b">
        <f>IF(metadata!P328="",FALSE,TRUE)</f>
        <v>0</v>
      </c>
      <c r="AR328" t="b">
        <f>IF(metadata!Q328="",FALSE,ISNUMBER(VALUE(metadata!Q328)))</f>
        <v>0</v>
      </c>
      <c r="AS328" t="b">
        <f>AND(IF(metadata!R328="",FALSE,TRUE),EXACT(metadata!R328,"kg"))</f>
        <v>0</v>
      </c>
    </row>
    <row r="329" spans="1:45" x14ac:dyDescent="0.2">
      <c r="A329" s="5" t="str">
        <f ca="1">IF(B329=" "," ",HYPERLINK(CONCATENATE("#metadata!",ADDRESS(INDEX($X$2:$X$1001,MATCH(ROWS($V$2:V329),$V$2:$V$1001,0),0),1)),INDEX($AA$2:$AA$1001,MATCH(ROWS($V$2:V329),$V$2:$V$1001,0),0)))</f>
        <v xml:space="preserve"> </v>
      </c>
      <c r="B329" s="4" t="str">
        <f ca="1">IF(OR(INDEX($W$2:$W$1001,MATCH(ROWS($V$2:V329),$V$2:$V$1001,0),1)&gt;=100000,INDEX($AC$1005:$AS$1005,1,MATCH(COLUMNS($AC$1006:AC1006),$AC$1006:$AS$1006,0))&gt;=100000), " ",IF(INDEX($AC$2:$AS$1001,MATCH(ROWS($V$2:V329),$V$2:$V$1001,0),MATCH(COLUMNS($AC$1006:AC1006),$AC$1006:$AS$1006,0)), HYPERLINK("#",""), HYPERLINK(CONCATENATE("#metadata!", ADDRESS(INDEX($X$2:$X$1001,MATCH(ROWS($V$2:V329),$V$2:$V$1001,0),0), INDEX($AC$1004:$AS$1004,1,MATCH(COLUMNS($AC$1006:AC1006),$AC$1006:$AS$1006,0)))),"Fix")))</f>
        <v xml:space="preserve"> </v>
      </c>
      <c r="C329" s="4" t="str">
        <f ca="1">IF(OR(INDEX($W$2:$W$1001,MATCH(ROWS($V$2:V329),$V$2:$V$1001,0),1)&gt;=100000,INDEX($AC$1005:$AS$1005,1,MATCH(COLUMNS($AC$1006:AD1006),$AC$1006:$AS$1006,0))&gt;=100000), " ",IF(INDEX($AC$2:$AS$1001,MATCH(ROWS($V$2:V329),$V$2:$V$1001,0),MATCH(COLUMNS($AC$1006:AD1006),$AC$1006:$AS$1006,0)), HYPERLINK("#",""), HYPERLINK(CONCATENATE("#metadata!", ADDRESS(INDEX($X$2:$X$1001,MATCH(ROWS($V$2:V329),$V$2:$V$1001,0),0), INDEX($AC$1004:$AS$1004,1,MATCH(COLUMNS($AC$1006:AD1006),$AC$1006:$AS$1006,0)))),"Fix")))</f>
        <v xml:space="preserve"> </v>
      </c>
      <c r="D329" s="4" t="str">
        <f ca="1">IF(OR(INDEX($W$2:$W$1001,MATCH(ROWS($V$2:V329),$V$2:$V$1001,0),1)&gt;=100000,INDEX($AC$1005:$AS$1005,1,MATCH(COLUMNS($AC$1006:AE1006),$AC$1006:$AS$1006,0))&gt;=100000), " ",IF(INDEX($AC$2:$AS$1001,MATCH(ROWS($V$2:V329),$V$2:$V$1001,0),MATCH(COLUMNS($AC$1006:AE1006),$AC$1006:$AS$1006,0)), HYPERLINK("#",""), HYPERLINK(CONCATENATE("#metadata!", ADDRESS(INDEX($X$2:$X$1001,MATCH(ROWS($V$2:V329),$V$2:$V$1001,0),0), INDEX($AC$1004:$AS$1004,1,MATCH(COLUMNS($AC$1006:AE1006),$AC$1006:$AS$1006,0)))),"Fix")))</f>
        <v xml:space="preserve"> </v>
      </c>
      <c r="E329" s="4" t="str">
        <f ca="1">IF(OR(INDEX($W$2:$W$1001,MATCH(ROWS($V$2:V329),$V$2:$V$1001,0),1)&gt;=100000,INDEX($AC$1005:$AS$1005,1,MATCH(COLUMNS($AC$1006:AF1006),$AC$1006:$AS$1006,0))&gt;=100000), " ",IF(INDEX($AC$2:$AS$1001,MATCH(ROWS($V$2:V329),$V$2:$V$1001,0),MATCH(COLUMNS($AC$1006:AF1006),$AC$1006:$AS$1006,0)), HYPERLINK("#",""), HYPERLINK(CONCATENATE("#metadata!", ADDRESS(INDEX($X$2:$X$1001,MATCH(ROWS($V$2:V329),$V$2:$V$1001,0),0), INDEX($AC$1004:$AS$1004,1,MATCH(COLUMNS($AC$1006:AF1006),$AC$1006:$AS$1006,0)))),"Fix")))</f>
        <v xml:space="preserve"> </v>
      </c>
      <c r="F329" s="4" t="str">
        <f ca="1">IF(OR(INDEX($W$2:$W$1001,MATCH(ROWS($V$2:V329),$V$2:$V$1001,0),1)&gt;=100000,INDEX($AC$1005:$AS$1005,1,MATCH(COLUMNS($AC$1006:AG1006),$AC$1006:$AS$1006,0))&gt;=100000), " ",IF(INDEX($AC$2:$AS$1001,MATCH(ROWS($V$2:V329),$V$2:$V$1001,0),MATCH(COLUMNS($AC$1006:AG1006),$AC$1006:$AS$1006,0)), HYPERLINK("#",""), HYPERLINK(CONCATENATE("#metadata!", ADDRESS(INDEX($X$2:$X$1001,MATCH(ROWS($V$2:V329),$V$2:$V$1001,0),0), INDEX($AC$1004:$AS$1004,1,MATCH(COLUMNS($AC$1006:AG1006),$AC$1006:$AS$1006,0)))),"Fix")))</f>
        <v xml:space="preserve"> </v>
      </c>
      <c r="G329" s="4" t="str">
        <f ca="1">IF(OR(INDEX($W$2:$W$1001,MATCH(ROWS($V$2:V329),$V$2:$V$1001,0),1)&gt;=100000,INDEX($AC$1005:$AS$1005,1,MATCH(COLUMNS($AC$1006:AH1006),$AC$1006:$AS$1006,0))&gt;=100000), " ",IF(INDEX($AC$2:$AS$1001,MATCH(ROWS($V$2:V329),$V$2:$V$1001,0),MATCH(COLUMNS($AC$1006:AH1006),$AC$1006:$AS$1006,0)), HYPERLINK("#",""), HYPERLINK(CONCATENATE("#metadata!", ADDRESS(INDEX($X$2:$X$1001,MATCH(ROWS($V$2:V329),$V$2:$V$1001,0),0), INDEX($AC$1004:$AS$1004,1,MATCH(COLUMNS($AC$1006:AH1006),$AC$1006:$AS$1006,0)))),"Fix")))</f>
        <v xml:space="preserve"> </v>
      </c>
      <c r="H329" s="4" t="str">
        <f ca="1">IF(OR(INDEX($W$2:$W$1001,MATCH(ROWS($V$2:V329),$V$2:$V$1001,0),1)&gt;=100000,INDEX($AC$1005:$AS$1005,1,MATCH(COLUMNS($AC$1006:AI1006),$AC$1006:$AS$1006,0))&gt;=100000), " ",IF(INDEX($AC$2:$AS$1001,MATCH(ROWS($V$2:V329),$V$2:$V$1001,0),MATCH(COLUMNS($AC$1006:AI1006),$AC$1006:$AS$1006,0)), HYPERLINK("#",""), HYPERLINK(CONCATENATE("#metadata!", ADDRESS(INDEX($X$2:$X$1001,MATCH(ROWS($V$2:V329),$V$2:$V$1001,0),0), INDEX($AC$1004:$AS$1004,1,MATCH(COLUMNS($AC$1006:AI1006),$AC$1006:$AS$1006,0)))),"Fix")))</f>
        <v xml:space="preserve"> </v>
      </c>
      <c r="I329" s="4" t="str">
        <f ca="1">IF(OR(INDEX($W$2:$W$1001,MATCH(ROWS($V$2:V329),$V$2:$V$1001,0),1)&gt;=100000,INDEX($AC$1005:$AS$1005,1,MATCH(COLUMNS($AC$1006:AJ1006),$AC$1006:$AS$1006,0))&gt;=100000), " ",IF(INDEX($AC$2:$AS$1001,MATCH(ROWS($V$2:V329),$V$2:$V$1001,0),MATCH(COLUMNS($AC$1006:AJ1006),$AC$1006:$AS$1006,0)), HYPERLINK("#",""), HYPERLINK(CONCATENATE("#metadata!", ADDRESS(INDEX($X$2:$X$1001,MATCH(ROWS($V$2:V329),$V$2:$V$1001,0),0), INDEX($AC$1004:$AS$1004,1,MATCH(COLUMNS($AC$1006:AJ1006),$AC$1006:$AS$1006,0)))),"Fix")))</f>
        <v xml:space="preserve"> </v>
      </c>
      <c r="J329" s="4" t="str">
        <f ca="1">IF(OR(INDEX($W$2:$W$1001,MATCH(ROWS($V$2:V329),$V$2:$V$1001,0),1)&gt;=100000,INDEX($AC$1005:$AS$1005,1,MATCH(COLUMNS($AC$1006:AK1006),$AC$1006:$AS$1006,0))&gt;=100000), " ",IF(INDEX($AC$2:$AS$1001,MATCH(ROWS($V$2:V329),$V$2:$V$1001,0),MATCH(COLUMNS($AC$1006:AK1006),$AC$1006:$AS$1006,0)), HYPERLINK("#",""), HYPERLINK(CONCATENATE("#metadata!", ADDRESS(INDEX($X$2:$X$1001,MATCH(ROWS($V$2:V329),$V$2:$V$1001,0),0), INDEX($AC$1004:$AS$1004,1,MATCH(COLUMNS($AC$1006:AK1006),$AC$1006:$AS$1006,0)))),"Fix")))</f>
        <v xml:space="preserve"> </v>
      </c>
      <c r="K329" s="4" t="str">
        <f ca="1">IF(OR(INDEX($W$2:$W$1001,MATCH(ROWS($V$2:V329),$V$2:$V$1001,0),1)&gt;=100000,INDEX($AC$1005:$AS$1005,1,MATCH(COLUMNS($AC$1006:AL1006),$AC$1006:$AS$1006,0))&gt;=100000), " ",IF(INDEX($AC$2:$AS$1001,MATCH(ROWS($V$2:V329),$V$2:$V$1001,0),MATCH(COLUMNS($AC$1006:AL1006),$AC$1006:$AS$1006,0)), HYPERLINK("#",""), HYPERLINK(CONCATENATE("#metadata!", ADDRESS(INDEX($X$2:$X$1001,MATCH(ROWS($V$2:V329),$V$2:$V$1001,0),0), INDEX($AC$1004:$AS$1004,1,MATCH(COLUMNS($AC$1006:AL1006),$AC$1006:$AS$1006,0)))),"Fix")))</f>
        <v xml:space="preserve"> </v>
      </c>
      <c r="L329" s="4" t="str">
        <f ca="1">IF(OR(INDEX($W$2:$W$1001,MATCH(ROWS($V$2:V329),$V$2:$V$1001,0),1)&gt;=100000,INDEX($AC$1005:$AS$1005,1,MATCH(COLUMNS($AC$1006:AM1006),$AC$1006:$AS$1006,0))&gt;=100000), " ",IF(INDEX($AC$2:$AS$1001,MATCH(ROWS($V$2:V329),$V$2:$V$1001,0),MATCH(COLUMNS($AC$1006:AM1006),$AC$1006:$AS$1006,0)), HYPERLINK("#",""), HYPERLINK(CONCATENATE("#metadata!", ADDRESS(INDEX($X$2:$X$1001,MATCH(ROWS($V$2:V329),$V$2:$V$1001,0),0), INDEX($AC$1004:$AS$1004,1,MATCH(COLUMNS($AC$1006:AM1006),$AC$1006:$AS$1006,0)))),"Fix")))</f>
        <v xml:space="preserve"> </v>
      </c>
      <c r="M329" s="4" t="str">
        <f ca="1">IF(OR(INDEX($W$2:$W$1001,MATCH(ROWS($V$2:V329),$V$2:$V$1001,0),1)&gt;=100000,INDEX($AC$1005:$AS$1005,1,MATCH(COLUMNS($AC$1006:AN1006),$AC$1006:$AS$1006,0))&gt;=100000), " ",IF(INDEX($AC$2:$AS$1001,MATCH(ROWS($V$2:V329),$V$2:$V$1001,0),MATCH(COLUMNS($AC$1006:AN1006),$AC$1006:$AS$1006,0)), HYPERLINK("#",""), HYPERLINK(CONCATENATE("#metadata!", ADDRESS(INDEX($X$2:$X$1001,MATCH(ROWS($V$2:V329),$V$2:$V$1001,0),0), INDEX($AC$1004:$AS$1004,1,MATCH(COLUMNS($AC$1006:AN1006),$AC$1006:$AS$1006,0)))),"Fix")))</f>
        <v xml:space="preserve"> </v>
      </c>
      <c r="N329" s="4" t="str">
        <f ca="1">IF(OR(INDEX($W$2:$W$1001,MATCH(ROWS($V$2:V329),$V$2:$V$1001,0),1)&gt;=100000,INDEX($AC$1005:$AS$1005,1,MATCH(COLUMNS($AC$1006:AO1006),$AC$1006:$AS$1006,0))&gt;=100000), " ",IF(INDEX($AC$2:$AS$1001,MATCH(ROWS($V$2:V329),$V$2:$V$1001,0),MATCH(COLUMNS($AC$1006:AO1006),$AC$1006:$AS$1006,0)), HYPERLINK("#",""), HYPERLINK(CONCATENATE("#metadata!", ADDRESS(INDEX($X$2:$X$1001,MATCH(ROWS($V$2:V329),$V$2:$V$1001,0),0), INDEX($AC$1004:$AS$1004,1,MATCH(COLUMNS($AC$1006:AO1006),$AC$1006:$AS$1006,0)))),"Fix")))</f>
        <v xml:space="preserve"> </v>
      </c>
      <c r="O329" s="4" t="str">
        <f ca="1">IF(OR(INDEX($W$2:$W$1001,MATCH(ROWS($V$2:V329),$V$2:$V$1001,0),1)&gt;=100000,INDEX($AC$1005:$AS$1005,1,MATCH(COLUMNS($AC$1006:AP1006),$AC$1006:$AS$1006,0))&gt;=100000), " ",IF(INDEX($AC$2:$AS$1001,MATCH(ROWS($V$2:V329),$V$2:$V$1001,0),MATCH(COLUMNS($AC$1006:AP1006),$AC$1006:$AS$1006,0)), HYPERLINK("#",""), HYPERLINK(CONCATENATE("#metadata!", ADDRESS(INDEX($X$2:$X$1001,MATCH(ROWS($V$2:V329),$V$2:$V$1001,0),0), INDEX($AC$1004:$AS$1004,1,MATCH(COLUMNS($AC$1006:AP1006),$AC$1006:$AS$1006,0)))),"Fix")))</f>
        <v xml:space="preserve"> </v>
      </c>
      <c r="P329" s="4" t="str">
        <f ca="1">IF(OR(INDEX($W$2:$W$1001,MATCH(ROWS($V$2:V329),$V$2:$V$1001,0),1)&gt;=100000,INDEX($AC$1005:$AS$1005,1,MATCH(COLUMNS($AC$1006:AQ1006),$AC$1006:$AS$1006,0))&gt;=100000), " ",IF(INDEX($AC$2:$AS$1001,MATCH(ROWS($V$2:V329),$V$2:$V$1001,0),MATCH(COLUMNS($AC$1006:AQ1006),$AC$1006:$AS$1006,0)), HYPERLINK("#",""), HYPERLINK(CONCATENATE("#metadata!", ADDRESS(INDEX($X$2:$X$1001,MATCH(ROWS($V$2:V329),$V$2:$V$1001,0),0), INDEX($AC$1004:$AS$1004,1,MATCH(COLUMNS($AC$1006:AQ1006),$AC$1006:$AS$1006,0)))),"Fix")))</f>
        <v xml:space="preserve"> </v>
      </c>
      <c r="Q329" s="4" t="str">
        <f ca="1">IF(OR(INDEX($W$2:$W$1001,MATCH(ROWS($V$2:V329),$V$2:$V$1001,0),1)&gt;=100000,INDEX($AC$1005:$AS$1005,1,MATCH(COLUMNS($AC$1006:AR1006),$AC$1006:$AS$1006,0))&gt;=100000), " ",IF(INDEX($AC$2:$AS$1001,MATCH(ROWS($V$2:V329),$V$2:$V$1001,0),MATCH(COLUMNS($AC$1006:AR1006),$AC$1006:$AS$1006,0)), HYPERLINK("#",""), HYPERLINK(CONCATENATE("#metadata!", ADDRESS(INDEX($X$2:$X$1001,MATCH(ROWS($V$2:V329),$V$2:$V$1001,0),0), INDEX($AC$1004:$AS$1004,1,MATCH(COLUMNS($AC$1006:AR1006),$AC$1006:$AS$1006,0)))),"Fix")))</f>
        <v xml:space="preserve"> </v>
      </c>
      <c r="R329" s="4" t="str">
        <f ca="1">IF(OR(INDEX($W$2:$W$1001,MATCH(ROWS($V$2:V329),$V$2:$V$1001,0),1)&gt;=100000,INDEX($AC$1005:$AS$1005,1,MATCH(COLUMNS($AC$1006:AS1006),$AC$1006:$AS$1006,0))&gt;=100000), " ",IF(INDEX($AC$2:$AS$1001,MATCH(ROWS($V$2:V329),$V$2:$V$1001,0),MATCH(COLUMNS($AC$1006:AS1006),$AC$1006:$AS$1006,0)), HYPERLINK("#",""), HYPERLINK(CONCATENATE("#metadata!", ADDRESS(INDEX($X$2:$X$1001,MATCH(ROWS($V$2:V329),$V$2:$V$1001,0),0), INDEX($AC$1004:$AS$1004,1,MATCH(COLUMNS($AC$1006:AS1006),$AC$1006:$AS$1006,0)))),"Fix")))</f>
        <v xml:space="preserve"> </v>
      </c>
      <c r="V329">
        <v>328</v>
      </c>
      <c r="W329">
        <v>100329</v>
      </c>
      <c r="X329">
        <v>329</v>
      </c>
      <c r="Y329" t="b">
        <f t="shared" si="5"/>
        <v>1</v>
      </c>
      <c r="Z329" t="b">
        <f>COUNTBLANK(metadata!B329:R329)=COLUMNS(metadata!B329:R329)</f>
        <v>1</v>
      </c>
      <c r="AA329" t="str">
        <v/>
      </c>
      <c r="AC329" t="b">
        <f ca="1"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AD329" t="b">
        <f>IF(metadata!C329="",FALSE,ISNUMBER(VALUE(metadata!C329)))</f>
        <v>0</v>
      </c>
      <c r="AE329" t="b">
        <f>AND(IF(metadata!D329="",FALSE,TRUE),EXACT(metadata!D329,"years"))</f>
        <v>0</v>
      </c>
      <c r="AF329" t="b">
        <f>OR(AND(IF(metadata!E329="",FALSE,TRUE),OR(EXACT(metadata!E329,"not applicable"),EXACT(metadata!E329,"missing: not collected"),EXACT(metadata!E329,"missing: not provided"),EXACT(metadata!E329,"missing: restricted access"))),AND(IF(metadata!E329="",FALSE,ISNUMBER(VALUE(metadata!E329))),metadata!E329&gt;0))</f>
        <v>0</v>
      </c>
      <c r="AG329" t="b">
        <f>AND(IF(metadata!F329="",FALSE,TRUE),EXACT(metadata!F329,"Not applicable"))</f>
        <v>0</v>
      </c>
      <c r="AH329" t="b">
        <f>AND(IF(metadata!G329="",FALSE,TRUE),EXACT(metadata!G329,"urban biome"))</f>
        <v>0</v>
      </c>
      <c r="AI329" t="b">
        <f>AND(IF(metadata!H329="",FALSE,TRUE),EXACT(metadata!H329,"human-associated habitat"))</f>
        <v>0</v>
      </c>
      <c r="AJ329" t="b">
        <f>AND(IF(metadata!I329="",FALSE,TRUE),OR(EXACT(metadata!I329,"human-associated"),EXACT(metadata!I329,"human-skin"),EXACT(metadata!I329,"human-oral"),EXACT(metadata!I329,"human-gut"),EXACT(metadata!I329,"human-vaginal")))</f>
        <v>0</v>
      </c>
      <c r="AK329" t="b">
        <f>IF(metadata!J329="",FALSE,ISNUMBER(VALUE(metadata!J329)))</f>
        <v>0</v>
      </c>
      <c r="AL329" t="b">
        <f>AND(IF(metadata!K329="",FALSE,TRUE),EXACT(metadata!K329,"cm"))</f>
        <v>0</v>
      </c>
      <c r="AM329" t="b">
        <f>AND(IF(metadata!L329="",FALSE,TRUE),EXACT(metadata!L329,"human"))</f>
        <v>0</v>
      </c>
      <c r="AN329" t="b">
        <f>AND(IF(metadata!M329="",FALSE,TRUE),EXACT(metadata!M329,"Homo sapiens"))</f>
        <v>0</v>
      </c>
      <c r="AO329" t="b">
        <f>AND(IF(metadata!N329="",FALSE,TRUE),EXACT(metadata!N329,"9606"))</f>
        <v>0</v>
      </c>
      <c r="AP329" t="b">
        <f>IF(metadata!O329="",FALSE,TRUE)</f>
        <v>0</v>
      </c>
      <c r="AQ329" t="b">
        <f>IF(metadata!P329="",FALSE,TRUE)</f>
        <v>0</v>
      </c>
      <c r="AR329" t="b">
        <f>IF(metadata!Q329="",FALSE,ISNUMBER(VALUE(metadata!Q329)))</f>
        <v>0</v>
      </c>
      <c r="AS329" t="b">
        <f>AND(IF(metadata!R329="",FALSE,TRUE),EXACT(metadata!R329,"kg"))</f>
        <v>0</v>
      </c>
    </row>
    <row r="330" spans="1:45" x14ac:dyDescent="0.2">
      <c r="A330" s="5" t="str">
        <f ca="1">IF(B330=" "," ",HYPERLINK(CONCATENATE("#metadata!",ADDRESS(INDEX($X$2:$X$1001,MATCH(ROWS($V$2:V330),$V$2:$V$1001,0),0),1)),INDEX($AA$2:$AA$1001,MATCH(ROWS($V$2:V330),$V$2:$V$1001,0),0)))</f>
        <v xml:space="preserve"> </v>
      </c>
      <c r="B330" s="4" t="str">
        <f ca="1">IF(OR(INDEX($W$2:$W$1001,MATCH(ROWS($V$2:V330),$V$2:$V$1001,0),1)&gt;=100000,INDEX($AC$1005:$AS$1005,1,MATCH(COLUMNS($AC$1006:AC1006),$AC$1006:$AS$1006,0))&gt;=100000), " ",IF(INDEX($AC$2:$AS$1001,MATCH(ROWS($V$2:V330),$V$2:$V$1001,0),MATCH(COLUMNS($AC$1006:AC1006),$AC$1006:$AS$1006,0)), HYPERLINK("#",""), HYPERLINK(CONCATENATE("#metadata!", ADDRESS(INDEX($X$2:$X$1001,MATCH(ROWS($V$2:V330),$V$2:$V$1001,0),0), INDEX($AC$1004:$AS$1004,1,MATCH(COLUMNS($AC$1006:AC1006),$AC$1006:$AS$1006,0)))),"Fix")))</f>
        <v xml:space="preserve"> </v>
      </c>
      <c r="C330" s="4" t="str">
        <f ca="1">IF(OR(INDEX($W$2:$W$1001,MATCH(ROWS($V$2:V330),$V$2:$V$1001,0),1)&gt;=100000,INDEX($AC$1005:$AS$1005,1,MATCH(COLUMNS($AC$1006:AD1006),$AC$1006:$AS$1006,0))&gt;=100000), " ",IF(INDEX($AC$2:$AS$1001,MATCH(ROWS($V$2:V330),$V$2:$V$1001,0),MATCH(COLUMNS($AC$1006:AD1006),$AC$1006:$AS$1006,0)), HYPERLINK("#",""), HYPERLINK(CONCATENATE("#metadata!", ADDRESS(INDEX($X$2:$X$1001,MATCH(ROWS($V$2:V330),$V$2:$V$1001,0),0), INDEX($AC$1004:$AS$1004,1,MATCH(COLUMNS($AC$1006:AD1006),$AC$1006:$AS$1006,0)))),"Fix")))</f>
        <v xml:space="preserve"> </v>
      </c>
      <c r="D330" s="4" t="str">
        <f ca="1">IF(OR(INDEX($W$2:$W$1001,MATCH(ROWS($V$2:V330),$V$2:$V$1001,0),1)&gt;=100000,INDEX($AC$1005:$AS$1005,1,MATCH(COLUMNS($AC$1006:AE1006),$AC$1006:$AS$1006,0))&gt;=100000), " ",IF(INDEX($AC$2:$AS$1001,MATCH(ROWS($V$2:V330),$V$2:$V$1001,0),MATCH(COLUMNS($AC$1006:AE1006),$AC$1006:$AS$1006,0)), HYPERLINK("#",""), HYPERLINK(CONCATENATE("#metadata!", ADDRESS(INDEX($X$2:$X$1001,MATCH(ROWS($V$2:V330),$V$2:$V$1001,0),0), INDEX($AC$1004:$AS$1004,1,MATCH(COLUMNS($AC$1006:AE1006),$AC$1006:$AS$1006,0)))),"Fix")))</f>
        <v xml:space="preserve"> </v>
      </c>
      <c r="E330" s="4" t="str">
        <f ca="1">IF(OR(INDEX($W$2:$W$1001,MATCH(ROWS($V$2:V330),$V$2:$V$1001,0),1)&gt;=100000,INDEX($AC$1005:$AS$1005,1,MATCH(COLUMNS($AC$1006:AF1006),$AC$1006:$AS$1006,0))&gt;=100000), " ",IF(INDEX($AC$2:$AS$1001,MATCH(ROWS($V$2:V330),$V$2:$V$1001,0),MATCH(COLUMNS($AC$1006:AF1006),$AC$1006:$AS$1006,0)), HYPERLINK("#",""), HYPERLINK(CONCATENATE("#metadata!", ADDRESS(INDEX($X$2:$X$1001,MATCH(ROWS($V$2:V330),$V$2:$V$1001,0),0), INDEX($AC$1004:$AS$1004,1,MATCH(COLUMNS($AC$1006:AF1006),$AC$1006:$AS$1006,0)))),"Fix")))</f>
        <v xml:space="preserve"> </v>
      </c>
      <c r="F330" s="4" t="str">
        <f ca="1">IF(OR(INDEX($W$2:$W$1001,MATCH(ROWS($V$2:V330),$V$2:$V$1001,0),1)&gt;=100000,INDEX($AC$1005:$AS$1005,1,MATCH(COLUMNS($AC$1006:AG1006),$AC$1006:$AS$1006,0))&gt;=100000), " ",IF(INDEX($AC$2:$AS$1001,MATCH(ROWS($V$2:V330),$V$2:$V$1001,0),MATCH(COLUMNS($AC$1006:AG1006),$AC$1006:$AS$1006,0)), HYPERLINK("#",""), HYPERLINK(CONCATENATE("#metadata!", ADDRESS(INDEX($X$2:$X$1001,MATCH(ROWS($V$2:V330),$V$2:$V$1001,0),0), INDEX($AC$1004:$AS$1004,1,MATCH(COLUMNS($AC$1006:AG1006),$AC$1006:$AS$1006,0)))),"Fix")))</f>
        <v xml:space="preserve"> </v>
      </c>
      <c r="G330" s="4" t="str">
        <f ca="1">IF(OR(INDEX($W$2:$W$1001,MATCH(ROWS($V$2:V330),$V$2:$V$1001,0),1)&gt;=100000,INDEX($AC$1005:$AS$1005,1,MATCH(COLUMNS($AC$1006:AH1006),$AC$1006:$AS$1006,0))&gt;=100000), " ",IF(INDEX($AC$2:$AS$1001,MATCH(ROWS($V$2:V330),$V$2:$V$1001,0),MATCH(COLUMNS($AC$1006:AH1006),$AC$1006:$AS$1006,0)), HYPERLINK("#",""), HYPERLINK(CONCATENATE("#metadata!", ADDRESS(INDEX($X$2:$X$1001,MATCH(ROWS($V$2:V330),$V$2:$V$1001,0),0), INDEX($AC$1004:$AS$1004,1,MATCH(COLUMNS($AC$1006:AH1006),$AC$1006:$AS$1006,0)))),"Fix")))</f>
        <v xml:space="preserve"> </v>
      </c>
      <c r="H330" s="4" t="str">
        <f ca="1">IF(OR(INDEX($W$2:$W$1001,MATCH(ROWS($V$2:V330),$V$2:$V$1001,0),1)&gt;=100000,INDEX($AC$1005:$AS$1005,1,MATCH(COLUMNS($AC$1006:AI1006),$AC$1006:$AS$1006,0))&gt;=100000), " ",IF(INDEX($AC$2:$AS$1001,MATCH(ROWS($V$2:V330),$V$2:$V$1001,0),MATCH(COLUMNS($AC$1006:AI1006),$AC$1006:$AS$1006,0)), HYPERLINK("#",""), HYPERLINK(CONCATENATE("#metadata!", ADDRESS(INDEX($X$2:$X$1001,MATCH(ROWS($V$2:V330),$V$2:$V$1001,0),0), INDEX($AC$1004:$AS$1004,1,MATCH(COLUMNS($AC$1006:AI1006),$AC$1006:$AS$1006,0)))),"Fix")))</f>
        <v xml:space="preserve"> </v>
      </c>
      <c r="I330" s="4" t="str">
        <f ca="1">IF(OR(INDEX($W$2:$W$1001,MATCH(ROWS($V$2:V330),$V$2:$V$1001,0),1)&gt;=100000,INDEX($AC$1005:$AS$1005,1,MATCH(COLUMNS($AC$1006:AJ1006),$AC$1006:$AS$1006,0))&gt;=100000), " ",IF(INDEX($AC$2:$AS$1001,MATCH(ROWS($V$2:V330),$V$2:$V$1001,0),MATCH(COLUMNS($AC$1006:AJ1006),$AC$1006:$AS$1006,0)), HYPERLINK("#",""), HYPERLINK(CONCATENATE("#metadata!", ADDRESS(INDEX($X$2:$X$1001,MATCH(ROWS($V$2:V330),$V$2:$V$1001,0),0), INDEX($AC$1004:$AS$1004,1,MATCH(COLUMNS($AC$1006:AJ1006),$AC$1006:$AS$1006,0)))),"Fix")))</f>
        <v xml:space="preserve"> </v>
      </c>
      <c r="J330" s="4" t="str">
        <f ca="1">IF(OR(INDEX($W$2:$W$1001,MATCH(ROWS($V$2:V330),$V$2:$V$1001,0),1)&gt;=100000,INDEX($AC$1005:$AS$1005,1,MATCH(COLUMNS($AC$1006:AK1006),$AC$1006:$AS$1006,0))&gt;=100000), " ",IF(INDEX($AC$2:$AS$1001,MATCH(ROWS($V$2:V330),$V$2:$V$1001,0),MATCH(COLUMNS($AC$1006:AK1006),$AC$1006:$AS$1006,0)), HYPERLINK("#",""), HYPERLINK(CONCATENATE("#metadata!", ADDRESS(INDEX($X$2:$X$1001,MATCH(ROWS($V$2:V330),$V$2:$V$1001,0),0), INDEX($AC$1004:$AS$1004,1,MATCH(COLUMNS($AC$1006:AK1006),$AC$1006:$AS$1006,0)))),"Fix")))</f>
        <v xml:space="preserve"> </v>
      </c>
      <c r="K330" s="4" t="str">
        <f ca="1">IF(OR(INDEX($W$2:$W$1001,MATCH(ROWS($V$2:V330),$V$2:$V$1001,0),1)&gt;=100000,INDEX($AC$1005:$AS$1005,1,MATCH(COLUMNS($AC$1006:AL1006),$AC$1006:$AS$1006,0))&gt;=100000), " ",IF(INDEX($AC$2:$AS$1001,MATCH(ROWS($V$2:V330),$V$2:$V$1001,0),MATCH(COLUMNS($AC$1006:AL1006),$AC$1006:$AS$1006,0)), HYPERLINK("#",""), HYPERLINK(CONCATENATE("#metadata!", ADDRESS(INDEX($X$2:$X$1001,MATCH(ROWS($V$2:V330),$V$2:$V$1001,0),0), INDEX($AC$1004:$AS$1004,1,MATCH(COLUMNS($AC$1006:AL1006),$AC$1006:$AS$1006,0)))),"Fix")))</f>
        <v xml:space="preserve"> </v>
      </c>
      <c r="L330" s="4" t="str">
        <f ca="1">IF(OR(INDEX($W$2:$W$1001,MATCH(ROWS($V$2:V330),$V$2:$V$1001,0),1)&gt;=100000,INDEX($AC$1005:$AS$1005,1,MATCH(COLUMNS($AC$1006:AM1006),$AC$1006:$AS$1006,0))&gt;=100000), " ",IF(INDEX($AC$2:$AS$1001,MATCH(ROWS($V$2:V330),$V$2:$V$1001,0),MATCH(COLUMNS($AC$1006:AM1006),$AC$1006:$AS$1006,0)), HYPERLINK("#",""), HYPERLINK(CONCATENATE("#metadata!", ADDRESS(INDEX($X$2:$X$1001,MATCH(ROWS($V$2:V330),$V$2:$V$1001,0),0), INDEX($AC$1004:$AS$1004,1,MATCH(COLUMNS($AC$1006:AM1006),$AC$1006:$AS$1006,0)))),"Fix")))</f>
        <v xml:space="preserve"> </v>
      </c>
      <c r="M330" s="4" t="str">
        <f ca="1">IF(OR(INDEX($W$2:$W$1001,MATCH(ROWS($V$2:V330),$V$2:$V$1001,0),1)&gt;=100000,INDEX($AC$1005:$AS$1005,1,MATCH(COLUMNS($AC$1006:AN1006),$AC$1006:$AS$1006,0))&gt;=100000), " ",IF(INDEX($AC$2:$AS$1001,MATCH(ROWS($V$2:V330),$V$2:$V$1001,0),MATCH(COLUMNS($AC$1006:AN1006),$AC$1006:$AS$1006,0)), HYPERLINK("#",""), HYPERLINK(CONCATENATE("#metadata!", ADDRESS(INDEX($X$2:$X$1001,MATCH(ROWS($V$2:V330),$V$2:$V$1001,0),0), INDEX($AC$1004:$AS$1004,1,MATCH(COLUMNS($AC$1006:AN1006),$AC$1006:$AS$1006,0)))),"Fix")))</f>
        <v xml:space="preserve"> </v>
      </c>
      <c r="N330" s="4" t="str">
        <f ca="1">IF(OR(INDEX($W$2:$W$1001,MATCH(ROWS($V$2:V330),$V$2:$V$1001,0),1)&gt;=100000,INDEX($AC$1005:$AS$1005,1,MATCH(COLUMNS($AC$1006:AO1006),$AC$1006:$AS$1006,0))&gt;=100000), " ",IF(INDEX($AC$2:$AS$1001,MATCH(ROWS($V$2:V330),$V$2:$V$1001,0),MATCH(COLUMNS($AC$1006:AO1006),$AC$1006:$AS$1006,0)), HYPERLINK("#",""), HYPERLINK(CONCATENATE("#metadata!", ADDRESS(INDEX($X$2:$X$1001,MATCH(ROWS($V$2:V330),$V$2:$V$1001,0),0), INDEX($AC$1004:$AS$1004,1,MATCH(COLUMNS($AC$1006:AO1006),$AC$1006:$AS$1006,0)))),"Fix")))</f>
        <v xml:space="preserve"> </v>
      </c>
      <c r="O330" s="4" t="str">
        <f ca="1">IF(OR(INDEX($W$2:$W$1001,MATCH(ROWS($V$2:V330),$V$2:$V$1001,0),1)&gt;=100000,INDEX($AC$1005:$AS$1005,1,MATCH(COLUMNS($AC$1006:AP1006),$AC$1006:$AS$1006,0))&gt;=100000), " ",IF(INDEX($AC$2:$AS$1001,MATCH(ROWS($V$2:V330),$V$2:$V$1001,0),MATCH(COLUMNS($AC$1006:AP1006),$AC$1006:$AS$1006,0)), HYPERLINK("#",""), HYPERLINK(CONCATENATE("#metadata!", ADDRESS(INDEX($X$2:$X$1001,MATCH(ROWS($V$2:V330),$V$2:$V$1001,0),0), INDEX($AC$1004:$AS$1004,1,MATCH(COLUMNS($AC$1006:AP1006),$AC$1006:$AS$1006,0)))),"Fix")))</f>
        <v xml:space="preserve"> </v>
      </c>
      <c r="P330" s="4" t="str">
        <f ca="1">IF(OR(INDEX($W$2:$W$1001,MATCH(ROWS($V$2:V330),$V$2:$V$1001,0),1)&gt;=100000,INDEX($AC$1005:$AS$1005,1,MATCH(COLUMNS($AC$1006:AQ1006),$AC$1006:$AS$1006,0))&gt;=100000), " ",IF(INDEX($AC$2:$AS$1001,MATCH(ROWS($V$2:V330),$V$2:$V$1001,0),MATCH(COLUMNS($AC$1006:AQ1006),$AC$1006:$AS$1006,0)), HYPERLINK("#",""), HYPERLINK(CONCATENATE("#metadata!", ADDRESS(INDEX($X$2:$X$1001,MATCH(ROWS($V$2:V330),$V$2:$V$1001,0),0), INDEX($AC$1004:$AS$1004,1,MATCH(COLUMNS($AC$1006:AQ1006),$AC$1006:$AS$1006,0)))),"Fix")))</f>
        <v xml:space="preserve"> </v>
      </c>
      <c r="Q330" s="4" t="str">
        <f ca="1">IF(OR(INDEX($W$2:$W$1001,MATCH(ROWS($V$2:V330),$V$2:$V$1001,0),1)&gt;=100000,INDEX($AC$1005:$AS$1005,1,MATCH(COLUMNS($AC$1006:AR1006),$AC$1006:$AS$1006,0))&gt;=100000), " ",IF(INDEX($AC$2:$AS$1001,MATCH(ROWS($V$2:V330),$V$2:$V$1001,0),MATCH(COLUMNS($AC$1006:AR1006),$AC$1006:$AS$1006,0)), HYPERLINK("#",""), HYPERLINK(CONCATENATE("#metadata!", ADDRESS(INDEX($X$2:$X$1001,MATCH(ROWS($V$2:V330),$V$2:$V$1001,0),0), INDEX($AC$1004:$AS$1004,1,MATCH(COLUMNS($AC$1006:AR1006),$AC$1006:$AS$1006,0)))),"Fix")))</f>
        <v xml:space="preserve"> </v>
      </c>
      <c r="R330" s="4" t="str">
        <f ca="1">IF(OR(INDEX($W$2:$W$1001,MATCH(ROWS($V$2:V330),$V$2:$V$1001,0),1)&gt;=100000,INDEX($AC$1005:$AS$1005,1,MATCH(COLUMNS($AC$1006:AS1006),$AC$1006:$AS$1006,0))&gt;=100000), " ",IF(INDEX($AC$2:$AS$1001,MATCH(ROWS($V$2:V330),$V$2:$V$1001,0),MATCH(COLUMNS($AC$1006:AS1006),$AC$1006:$AS$1006,0)), HYPERLINK("#",""), HYPERLINK(CONCATENATE("#metadata!", ADDRESS(INDEX($X$2:$X$1001,MATCH(ROWS($V$2:V330),$V$2:$V$1001,0),0), INDEX($AC$1004:$AS$1004,1,MATCH(COLUMNS($AC$1006:AS1006),$AC$1006:$AS$1006,0)))),"Fix")))</f>
        <v xml:space="preserve"> </v>
      </c>
      <c r="V330">
        <v>329</v>
      </c>
      <c r="W330">
        <v>100330</v>
      </c>
      <c r="X330">
        <v>330</v>
      </c>
      <c r="Y330" t="b">
        <f t="shared" si="5"/>
        <v>1</v>
      </c>
      <c r="Z330" t="b">
        <f>COUNTBLANK(metadata!B330:R330)=COLUMNS(metadata!B330:R330)</f>
        <v>1</v>
      </c>
      <c r="AA330" t="str">
        <v/>
      </c>
      <c r="AC330" t="b">
        <f ca="1"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AD330" t="b">
        <f>IF(metadata!C330="",FALSE,ISNUMBER(VALUE(metadata!C330)))</f>
        <v>0</v>
      </c>
      <c r="AE330" t="b">
        <f>AND(IF(metadata!D330="",FALSE,TRUE),EXACT(metadata!D330,"years"))</f>
        <v>0</v>
      </c>
      <c r="AF330" t="b">
        <f>OR(AND(IF(metadata!E330="",FALSE,TRUE),OR(EXACT(metadata!E330,"not applicable"),EXACT(metadata!E330,"missing: not collected"),EXACT(metadata!E330,"missing: not provided"),EXACT(metadata!E330,"missing: restricted access"))),AND(IF(metadata!E330="",FALSE,ISNUMBER(VALUE(metadata!E330))),metadata!E330&gt;0))</f>
        <v>0</v>
      </c>
      <c r="AG330" t="b">
        <f>AND(IF(metadata!F330="",FALSE,TRUE),EXACT(metadata!F330,"Not applicable"))</f>
        <v>0</v>
      </c>
      <c r="AH330" t="b">
        <f>AND(IF(metadata!G330="",FALSE,TRUE),EXACT(metadata!G330,"urban biome"))</f>
        <v>0</v>
      </c>
      <c r="AI330" t="b">
        <f>AND(IF(metadata!H330="",FALSE,TRUE),EXACT(metadata!H330,"human-associated habitat"))</f>
        <v>0</v>
      </c>
      <c r="AJ330" t="b">
        <f>AND(IF(metadata!I330="",FALSE,TRUE),OR(EXACT(metadata!I330,"human-associated"),EXACT(metadata!I330,"human-skin"),EXACT(metadata!I330,"human-oral"),EXACT(metadata!I330,"human-gut"),EXACT(metadata!I330,"human-vaginal")))</f>
        <v>0</v>
      </c>
      <c r="AK330" t="b">
        <f>IF(metadata!J330="",FALSE,ISNUMBER(VALUE(metadata!J330)))</f>
        <v>0</v>
      </c>
      <c r="AL330" t="b">
        <f>AND(IF(metadata!K330="",FALSE,TRUE),EXACT(metadata!K330,"cm"))</f>
        <v>0</v>
      </c>
      <c r="AM330" t="b">
        <f>AND(IF(metadata!L330="",FALSE,TRUE),EXACT(metadata!L330,"human"))</f>
        <v>0</v>
      </c>
      <c r="AN330" t="b">
        <f>AND(IF(metadata!M330="",FALSE,TRUE),EXACT(metadata!M330,"Homo sapiens"))</f>
        <v>0</v>
      </c>
      <c r="AO330" t="b">
        <f>AND(IF(metadata!N330="",FALSE,TRUE),EXACT(metadata!N330,"9606"))</f>
        <v>0</v>
      </c>
      <c r="AP330" t="b">
        <f>IF(metadata!O330="",FALSE,TRUE)</f>
        <v>0</v>
      </c>
      <c r="AQ330" t="b">
        <f>IF(metadata!P330="",FALSE,TRUE)</f>
        <v>0</v>
      </c>
      <c r="AR330" t="b">
        <f>IF(metadata!Q330="",FALSE,ISNUMBER(VALUE(metadata!Q330)))</f>
        <v>0</v>
      </c>
      <c r="AS330" t="b">
        <f>AND(IF(metadata!R330="",FALSE,TRUE),EXACT(metadata!R330,"kg"))</f>
        <v>0</v>
      </c>
    </row>
    <row r="331" spans="1:45" x14ac:dyDescent="0.2">
      <c r="A331" s="5" t="str">
        <f ca="1">IF(B331=" "," ",HYPERLINK(CONCATENATE("#metadata!",ADDRESS(INDEX($X$2:$X$1001,MATCH(ROWS($V$2:V331),$V$2:$V$1001,0),0),1)),INDEX($AA$2:$AA$1001,MATCH(ROWS($V$2:V331),$V$2:$V$1001,0),0)))</f>
        <v xml:space="preserve"> </v>
      </c>
      <c r="B331" s="4" t="str">
        <f ca="1">IF(OR(INDEX($W$2:$W$1001,MATCH(ROWS($V$2:V331),$V$2:$V$1001,0),1)&gt;=100000,INDEX($AC$1005:$AS$1005,1,MATCH(COLUMNS($AC$1006:AC1006),$AC$1006:$AS$1006,0))&gt;=100000), " ",IF(INDEX($AC$2:$AS$1001,MATCH(ROWS($V$2:V331),$V$2:$V$1001,0),MATCH(COLUMNS($AC$1006:AC1006),$AC$1006:$AS$1006,0)), HYPERLINK("#",""), HYPERLINK(CONCATENATE("#metadata!", ADDRESS(INDEX($X$2:$X$1001,MATCH(ROWS($V$2:V331),$V$2:$V$1001,0),0), INDEX($AC$1004:$AS$1004,1,MATCH(COLUMNS($AC$1006:AC1006),$AC$1006:$AS$1006,0)))),"Fix")))</f>
        <v xml:space="preserve"> </v>
      </c>
      <c r="C331" s="4" t="str">
        <f ca="1">IF(OR(INDEX($W$2:$W$1001,MATCH(ROWS($V$2:V331),$V$2:$V$1001,0),1)&gt;=100000,INDEX($AC$1005:$AS$1005,1,MATCH(COLUMNS($AC$1006:AD1006),$AC$1006:$AS$1006,0))&gt;=100000), " ",IF(INDEX($AC$2:$AS$1001,MATCH(ROWS($V$2:V331),$V$2:$V$1001,0),MATCH(COLUMNS($AC$1006:AD1006),$AC$1006:$AS$1006,0)), HYPERLINK("#",""), HYPERLINK(CONCATENATE("#metadata!", ADDRESS(INDEX($X$2:$X$1001,MATCH(ROWS($V$2:V331),$V$2:$V$1001,0),0), INDEX($AC$1004:$AS$1004,1,MATCH(COLUMNS($AC$1006:AD1006),$AC$1006:$AS$1006,0)))),"Fix")))</f>
        <v xml:space="preserve"> </v>
      </c>
      <c r="D331" s="4" t="str">
        <f ca="1">IF(OR(INDEX($W$2:$W$1001,MATCH(ROWS($V$2:V331),$V$2:$V$1001,0),1)&gt;=100000,INDEX($AC$1005:$AS$1005,1,MATCH(COLUMNS($AC$1006:AE1006),$AC$1006:$AS$1006,0))&gt;=100000), " ",IF(INDEX($AC$2:$AS$1001,MATCH(ROWS($V$2:V331),$V$2:$V$1001,0),MATCH(COLUMNS($AC$1006:AE1006),$AC$1006:$AS$1006,0)), HYPERLINK("#",""), HYPERLINK(CONCATENATE("#metadata!", ADDRESS(INDEX($X$2:$X$1001,MATCH(ROWS($V$2:V331),$V$2:$V$1001,0),0), INDEX($AC$1004:$AS$1004,1,MATCH(COLUMNS($AC$1006:AE1006),$AC$1006:$AS$1006,0)))),"Fix")))</f>
        <v xml:space="preserve"> </v>
      </c>
      <c r="E331" s="4" t="str">
        <f ca="1">IF(OR(INDEX($W$2:$W$1001,MATCH(ROWS($V$2:V331),$V$2:$V$1001,0),1)&gt;=100000,INDEX($AC$1005:$AS$1005,1,MATCH(COLUMNS($AC$1006:AF1006),$AC$1006:$AS$1006,0))&gt;=100000), " ",IF(INDEX($AC$2:$AS$1001,MATCH(ROWS($V$2:V331),$V$2:$V$1001,0),MATCH(COLUMNS($AC$1006:AF1006),$AC$1006:$AS$1006,0)), HYPERLINK("#",""), HYPERLINK(CONCATENATE("#metadata!", ADDRESS(INDEX($X$2:$X$1001,MATCH(ROWS($V$2:V331),$V$2:$V$1001,0),0), INDEX($AC$1004:$AS$1004,1,MATCH(COLUMNS($AC$1006:AF1006),$AC$1006:$AS$1006,0)))),"Fix")))</f>
        <v xml:space="preserve"> </v>
      </c>
      <c r="F331" s="4" t="str">
        <f ca="1">IF(OR(INDEX($W$2:$W$1001,MATCH(ROWS($V$2:V331),$V$2:$V$1001,0),1)&gt;=100000,INDEX($AC$1005:$AS$1005,1,MATCH(COLUMNS($AC$1006:AG1006),$AC$1006:$AS$1006,0))&gt;=100000), " ",IF(INDEX($AC$2:$AS$1001,MATCH(ROWS($V$2:V331),$V$2:$V$1001,0),MATCH(COLUMNS($AC$1006:AG1006),$AC$1006:$AS$1006,0)), HYPERLINK("#",""), HYPERLINK(CONCATENATE("#metadata!", ADDRESS(INDEX($X$2:$X$1001,MATCH(ROWS($V$2:V331),$V$2:$V$1001,0),0), INDEX($AC$1004:$AS$1004,1,MATCH(COLUMNS($AC$1006:AG1006),$AC$1006:$AS$1006,0)))),"Fix")))</f>
        <v xml:space="preserve"> </v>
      </c>
      <c r="G331" s="4" t="str">
        <f ca="1">IF(OR(INDEX($W$2:$W$1001,MATCH(ROWS($V$2:V331),$V$2:$V$1001,0),1)&gt;=100000,INDEX($AC$1005:$AS$1005,1,MATCH(COLUMNS($AC$1006:AH1006),$AC$1006:$AS$1006,0))&gt;=100000), " ",IF(INDEX($AC$2:$AS$1001,MATCH(ROWS($V$2:V331),$V$2:$V$1001,0),MATCH(COLUMNS($AC$1006:AH1006),$AC$1006:$AS$1006,0)), HYPERLINK("#",""), HYPERLINK(CONCATENATE("#metadata!", ADDRESS(INDEX($X$2:$X$1001,MATCH(ROWS($V$2:V331),$V$2:$V$1001,0),0), INDEX($AC$1004:$AS$1004,1,MATCH(COLUMNS($AC$1006:AH1006),$AC$1006:$AS$1006,0)))),"Fix")))</f>
        <v xml:space="preserve"> </v>
      </c>
      <c r="H331" s="4" t="str">
        <f ca="1">IF(OR(INDEX($W$2:$W$1001,MATCH(ROWS($V$2:V331),$V$2:$V$1001,0),1)&gt;=100000,INDEX($AC$1005:$AS$1005,1,MATCH(COLUMNS($AC$1006:AI1006),$AC$1006:$AS$1006,0))&gt;=100000), " ",IF(INDEX($AC$2:$AS$1001,MATCH(ROWS($V$2:V331),$V$2:$V$1001,0),MATCH(COLUMNS($AC$1006:AI1006),$AC$1006:$AS$1006,0)), HYPERLINK("#",""), HYPERLINK(CONCATENATE("#metadata!", ADDRESS(INDEX($X$2:$X$1001,MATCH(ROWS($V$2:V331),$V$2:$V$1001,0),0), INDEX($AC$1004:$AS$1004,1,MATCH(COLUMNS($AC$1006:AI1006),$AC$1006:$AS$1006,0)))),"Fix")))</f>
        <v xml:space="preserve"> </v>
      </c>
      <c r="I331" s="4" t="str">
        <f ca="1">IF(OR(INDEX($W$2:$W$1001,MATCH(ROWS($V$2:V331),$V$2:$V$1001,0),1)&gt;=100000,INDEX($AC$1005:$AS$1005,1,MATCH(COLUMNS($AC$1006:AJ1006),$AC$1006:$AS$1006,0))&gt;=100000), " ",IF(INDEX($AC$2:$AS$1001,MATCH(ROWS($V$2:V331),$V$2:$V$1001,0),MATCH(COLUMNS($AC$1006:AJ1006),$AC$1006:$AS$1006,0)), HYPERLINK("#",""), HYPERLINK(CONCATENATE("#metadata!", ADDRESS(INDEX($X$2:$X$1001,MATCH(ROWS($V$2:V331),$V$2:$V$1001,0),0), INDEX($AC$1004:$AS$1004,1,MATCH(COLUMNS($AC$1006:AJ1006),$AC$1006:$AS$1006,0)))),"Fix")))</f>
        <v xml:space="preserve"> </v>
      </c>
      <c r="J331" s="4" t="str">
        <f ca="1">IF(OR(INDEX($W$2:$W$1001,MATCH(ROWS($V$2:V331),$V$2:$V$1001,0),1)&gt;=100000,INDEX($AC$1005:$AS$1005,1,MATCH(COLUMNS($AC$1006:AK1006),$AC$1006:$AS$1006,0))&gt;=100000), " ",IF(INDEX($AC$2:$AS$1001,MATCH(ROWS($V$2:V331),$V$2:$V$1001,0),MATCH(COLUMNS($AC$1006:AK1006),$AC$1006:$AS$1006,0)), HYPERLINK("#",""), HYPERLINK(CONCATENATE("#metadata!", ADDRESS(INDEX($X$2:$X$1001,MATCH(ROWS($V$2:V331),$V$2:$V$1001,0),0), INDEX($AC$1004:$AS$1004,1,MATCH(COLUMNS($AC$1006:AK1006),$AC$1006:$AS$1006,0)))),"Fix")))</f>
        <v xml:space="preserve"> </v>
      </c>
      <c r="K331" s="4" t="str">
        <f ca="1">IF(OR(INDEX($W$2:$W$1001,MATCH(ROWS($V$2:V331),$V$2:$V$1001,0),1)&gt;=100000,INDEX($AC$1005:$AS$1005,1,MATCH(COLUMNS($AC$1006:AL1006),$AC$1006:$AS$1006,0))&gt;=100000), " ",IF(INDEX($AC$2:$AS$1001,MATCH(ROWS($V$2:V331),$V$2:$V$1001,0),MATCH(COLUMNS($AC$1006:AL1006),$AC$1006:$AS$1006,0)), HYPERLINK("#",""), HYPERLINK(CONCATENATE("#metadata!", ADDRESS(INDEX($X$2:$X$1001,MATCH(ROWS($V$2:V331),$V$2:$V$1001,0),0), INDEX($AC$1004:$AS$1004,1,MATCH(COLUMNS($AC$1006:AL1006),$AC$1006:$AS$1006,0)))),"Fix")))</f>
        <v xml:space="preserve"> </v>
      </c>
      <c r="L331" s="4" t="str">
        <f ca="1">IF(OR(INDEX($W$2:$W$1001,MATCH(ROWS($V$2:V331),$V$2:$V$1001,0),1)&gt;=100000,INDEX($AC$1005:$AS$1005,1,MATCH(COLUMNS($AC$1006:AM1006),$AC$1006:$AS$1006,0))&gt;=100000), " ",IF(INDEX($AC$2:$AS$1001,MATCH(ROWS($V$2:V331),$V$2:$V$1001,0),MATCH(COLUMNS($AC$1006:AM1006),$AC$1006:$AS$1006,0)), HYPERLINK("#",""), HYPERLINK(CONCATENATE("#metadata!", ADDRESS(INDEX($X$2:$X$1001,MATCH(ROWS($V$2:V331),$V$2:$V$1001,0),0), INDEX($AC$1004:$AS$1004,1,MATCH(COLUMNS($AC$1006:AM1006),$AC$1006:$AS$1006,0)))),"Fix")))</f>
        <v xml:space="preserve"> </v>
      </c>
      <c r="M331" s="4" t="str">
        <f ca="1">IF(OR(INDEX($W$2:$W$1001,MATCH(ROWS($V$2:V331),$V$2:$V$1001,0),1)&gt;=100000,INDEX($AC$1005:$AS$1005,1,MATCH(COLUMNS($AC$1006:AN1006),$AC$1006:$AS$1006,0))&gt;=100000), " ",IF(INDEX($AC$2:$AS$1001,MATCH(ROWS($V$2:V331),$V$2:$V$1001,0),MATCH(COLUMNS($AC$1006:AN1006),$AC$1006:$AS$1006,0)), HYPERLINK("#",""), HYPERLINK(CONCATENATE("#metadata!", ADDRESS(INDEX($X$2:$X$1001,MATCH(ROWS($V$2:V331),$V$2:$V$1001,0),0), INDEX($AC$1004:$AS$1004,1,MATCH(COLUMNS($AC$1006:AN1006),$AC$1006:$AS$1006,0)))),"Fix")))</f>
        <v xml:space="preserve"> </v>
      </c>
      <c r="N331" s="4" t="str">
        <f ca="1">IF(OR(INDEX($W$2:$W$1001,MATCH(ROWS($V$2:V331),$V$2:$V$1001,0),1)&gt;=100000,INDEX($AC$1005:$AS$1005,1,MATCH(COLUMNS($AC$1006:AO1006),$AC$1006:$AS$1006,0))&gt;=100000), " ",IF(INDEX($AC$2:$AS$1001,MATCH(ROWS($V$2:V331),$V$2:$V$1001,0),MATCH(COLUMNS($AC$1006:AO1006),$AC$1006:$AS$1006,0)), HYPERLINK("#",""), HYPERLINK(CONCATENATE("#metadata!", ADDRESS(INDEX($X$2:$X$1001,MATCH(ROWS($V$2:V331),$V$2:$V$1001,0),0), INDEX($AC$1004:$AS$1004,1,MATCH(COLUMNS($AC$1006:AO1006),$AC$1006:$AS$1006,0)))),"Fix")))</f>
        <v xml:space="preserve"> </v>
      </c>
      <c r="O331" s="4" t="str">
        <f ca="1">IF(OR(INDEX($W$2:$W$1001,MATCH(ROWS($V$2:V331),$V$2:$V$1001,0),1)&gt;=100000,INDEX($AC$1005:$AS$1005,1,MATCH(COLUMNS($AC$1006:AP1006),$AC$1006:$AS$1006,0))&gt;=100000), " ",IF(INDEX($AC$2:$AS$1001,MATCH(ROWS($V$2:V331),$V$2:$V$1001,0),MATCH(COLUMNS($AC$1006:AP1006),$AC$1006:$AS$1006,0)), HYPERLINK("#",""), HYPERLINK(CONCATENATE("#metadata!", ADDRESS(INDEX($X$2:$X$1001,MATCH(ROWS($V$2:V331),$V$2:$V$1001,0),0), INDEX($AC$1004:$AS$1004,1,MATCH(COLUMNS($AC$1006:AP1006),$AC$1006:$AS$1006,0)))),"Fix")))</f>
        <v xml:space="preserve"> </v>
      </c>
      <c r="P331" s="4" t="str">
        <f ca="1">IF(OR(INDEX($W$2:$W$1001,MATCH(ROWS($V$2:V331),$V$2:$V$1001,0),1)&gt;=100000,INDEX($AC$1005:$AS$1005,1,MATCH(COLUMNS($AC$1006:AQ1006),$AC$1006:$AS$1006,0))&gt;=100000), " ",IF(INDEX($AC$2:$AS$1001,MATCH(ROWS($V$2:V331),$V$2:$V$1001,0),MATCH(COLUMNS($AC$1006:AQ1006),$AC$1006:$AS$1006,0)), HYPERLINK("#",""), HYPERLINK(CONCATENATE("#metadata!", ADDRESS(INDEX($X$2:$X$1001,MATCH(ROWS($V$2:V331),$V$2:$V$1001,0),0), INDEX($AC$1004:$AS$1004,1,MATCH(COLUMNS($AC$1006:AQ1006),$AC$1006:$AS$1006,0)))),"Fix")))</f>
        <v xml:space="preserve"> </v>
      </c>
      <c r="Q331" s="4" t="str">
        <f ca="1">IF(OR(INDEX($W$2:$W$1001,MATCH(ROWS($V$2:V331),$V$2:$V$1001,0),1)&gt;=100000,INDEX($AC$1005:$AS$1005,1,MATCH(COLUMNS($AC$1006:AR1006),$AC$1006:$AS$1006,0))&gt;=100000), " ",IF(INDEX($AC$2:$AS$1001,MATCH(ROWS($V$2:V331),$V$2:$V$1001,0),MATCH(COLUMNS($AC$1006:AR1006),$AC$1006:$AS$1006,0)), HYPERLINK("#",""), HYPERLINK(CONCATENATE("#metadata!", ADDRESS(INDEX($X$2:$X$1001,MATCH(ROWS($V$2:V331),$V$2:$V$1001,0),0), INDEX($AC$1004:$AS$1004,1,MATCH(COLUMNS($AC$1006:AR1006),$AC$1006:$AS$1006,0)))),"Fix")))</f>
        <v xml:space="preserve"> </v>
      </c>
      <c r="R331" s="4" t="str">
        <f ca="1">IF(OR(INDEX($W$2:$W$1001,MATCH(ROWS($V$2:V331),$V$2:$V$1001,0),1)&gt;=100000,INDEX($AC$1005:$AS$1005,1,MATCH(COLUMNS($AC$1006:AS1006),$AC$1006:$AS$1006,0))&gt;=100000), " ",IF(INDEX($AC$2:$AS$1001,MATCH(ROWS($V$2:V331),$V$2:$V$1001,0),MATCH(COLUMNS($AC$1006:AS1006),$AC$1006:$AS$1006,0)), HYPERLINK("#",""), HYPERLINK(CONCATENATE("#metadata!", ADDRESS(INDEX($X$2:$X$1001,MATCH(ROWS($V$2:V331),$V$2:$V$1001,0),0), INDEX($AC$1004:$AS$1004,1,MATCH(COLUMNS($AC$1006:AS1006),$AC$1006:$AS$1006,0)))),"Fix")))</f>
        <v xml:space="preserve"> </v>
      </c>
      <c r="V331">
        <v>330</v>
      </c>
      <c r="W331">
        <v>100331</v>
      </c>
      <c r="X331">
        <v>331</v>
      </c>
      <c r="Y331" t="b">
        <f t="shared" si="5"/>
        <v>1</v>
      </c>
      <c r="Z331" t="b">
        <f>COUNTBLANK(metadata!B331:R331)=COLUMNS(metadata!B331:R331)</f>
        <v>1</v>
      </c>
      <c r="AA331" t="str">
        <v/>
      </c>
      <c r="AC331" t="b">
        <f ca="1"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AD331" t="b">
        <f>IF(metadata!C331="",FALSE,ISNUMBER(VALUE(metadata!C331)))</f>
        <v>0</v>
      </c>
      <c r="AE331" t="b">
        <f>AND(IF(metadata!D331="",FALSE,TRUE),EXACT(metadata!D331,"years"))</f>
        <v>0</v>
      </c>
      <c r="AF331" t="b">
        <f>OR(AND(IF(metadata!E331="",FALSE,TRUE),OR(EXACT(metadata!E331,"not applicable"),EXACT(metadata!E331,"missing: not collected"),EXACT(metadata!E331,"missing: not provided"),EXACT(metadata!E331,"missing: restricted access"))),AND(IF(metadata!E331="",FALSE,ISNUMBER(VALUE(metadata!E331))),metadata!E331&gt;0))</f>
        <v>0</v>
      </c>
      <c r="AG331" t="b">
        <f>AND(IF(metadata!F331="",FALSE,TRUE),EXACT(metadata!F331,"Not applicable"))</f>
        <v>0</v>
      </c>
      <c r="AH331" t="b">
        <f>AND(IF(metadata!G331="",FALSE,TRUE),EXACT(metadata!G331,"urban biome"))</f>
        <v>0</v>
      </c>
      <c r="AI331" t="b">
        <f>AND(IF(metadata!H331="",FALSE,TRUE),EXACT(metadata!H331,"human-associated habitat"))</f>
        <v>0</v>
      </c>
      <c r="AJ331" t="b">
        <f>AND(IF(metadata!I331="",FALSE,TRUE),OR(EXACT(metadata!I331,"human-associated"),EXACT(metadata!I331,"human-skin"),EXACT(metadata!I331,"human-oral"),EXACT(metadata!I331,"human-gut"),EXACT(metadata!I331,"human-vaginal")))</f>
        <v>0</v>
      </c>
      <c r="AK331" t="b">
        <f>IF(metadata!J331="",FALSE,ISNUMBER(VALUE(metadata!J331)))</f>
        <v>0</v>
      </c>
      <c r="AL331" t="b">
        <f>AND(IF(metadata!K331="",FALSE,TRUE),EXACT(metadata!K331,"cm"))</f>
        <v>0</v>
      </c>
      <c r="AM331" t="b">
        <f>AND(IF(metadata!L331="",FALSE,TRUE),EXACT(metadata!L331,"human"))</f>
        <v>0</v>
      </c>
      <c r="AN331" t="b">
        <f>AND(IF(metadata!M331="",FALSE,TRUE),EXACT(metadata!M331,"Homo sapiens"))</f>
        <v>0</v>
      </c>
      <c r="AO331" t="b">
        <f>AND(IF(metadata!N331="",FALSE,TRUE),EXACT(metadata!N331,"9606"))</f>
        <v>0</v>
      </c>
      <c r="AP331" t="b">
        <f>IF(metadata!O331="",FALSE,TRUE)</f>
        <v>0</v>
      </c>
      <c r="AQ331" t="b">
        <f>IF(metadata!P331="",FALSE,TRUE)</f>
        <v>0</v>
      </c>
      <c r="AR331" t="b">
        <f>IF(metadata!Q331="",FALSE,ISNUMBER(VALUE(metadata!Q331)))</f>
        <v>0</v>
      </c>
      <c r="AS331" t="b">
        <f>AND(IF(metadata!R331="",FALSE,TRUE),EXACT(metadata!R331,"kg"))</f>
        <v>0</v>
      </c>
    </row>
    <row r="332" spans="1:45" x14ac:dyDescent="0.2">
      <c r="A332" s="5" t="str">
        <f ca="1">IF(B332=" "," ",HYPERLINK(CONCATENATE("#metadata!",ADDRESS(INDEX($X$2:$X$1001,MATCH(ROWS($V$2:V332),$V$2:$V$1001,0),0),1)),INDEX($AA$2:$AA$1001,MATCH(ROWS($V$2:V332),$V$2:$V$1001,0),0)))</f>
        <v xml:space="preserve"> </v>
      </c>
      <c r="B332" s="4" t="str">
        <f ca="1">IF(OR(INDEX($W$2:$W$1001,MATCH(ROWS($V$2:V332),$V$2:$V$1001,0),1)&gt;=100000,INDEX($AC$1005:$AS$1005,1,MATCH(COLUMNS($AC$1006:AC1006),$AC$1006:$AS$1006,0))&gt;=100000), " ",IF(INDEX($AC$2:$AS$1001,MATCH(ROWS($V$2:V332),$V$2:$V$1001,0),MATCH(COLUMNS($AC$1006:AC1006),$AC$1006:$AS$1006,0)), HYPERLINK("#",""), HYPERLINK(CONCATENATE("#metadata!", ADDRESS(INDEX($X$2:$X$1001,MATCH(ROWS($V$2:V332),$V$2:$V$1001,0),0), INDEX($AC$1004:$AS$1004,1,MATCH(COLUMNS($AC$1006:AC1006),$AC$1006:$AS$1006,0)))),"Fix")))</f>
        <v xml:space="preserve"> </v>
      </c>
      <c r="C332" s="4" t="str">
        <f ca="1">IF(OR(INDEX($W$2:$W$1001,MATCH(ROWS($V$2:V332),$V$2:$V$1001,0),1)&gt;=100000,INDEX($AC$1005:$AS$1005,1,MATCH(COLUMNS($AC$1006:AD1006),$AC$1006:$AS$1006,0))&gt;=100000), " ",IF(INDEX($AC$2:$AS$1001,MATCH(ROWS($V$2:V332),$V$2:$V$1001,0),MATCH(COLUMNS($AC$1006:AD1006),$AC$1006:$AS$1006,0)), HYPERLINK("#",""), HYPERLINK(CONCATENATE("#metadata!", ADDRESS(INDEX($X$2:$X$1001,MATCH(ROWS($V$2:V332),$V$2:$V$1001,0),0), INDEX($AC$1004:$AS$1004,1,MATCH(COLUMNS($AC$1006:AD1006),$AC$1006:$AS$1006,0)))),"Fix")))</f>
        <v xml:space="preserve"> </v>
      </c>
      <c r="D332" s="4" t="str">
        <f ca="1">IF(OR(INDEX($W$2:$W$1001,MATCH(ROWS($V$2:V332),$V$2:$V$1001,0),1)&gt;=100000,INDEX($AC$1005:$AS$1005,1,MATCH(COLUMNS($AC$1006:AE1006),$AC$1006:$AS$1006,0))&gt;=100000), " ",IF(INDEX($AC$2:$AS$1001,MATCH(ROWS($V$2:V332),$V$2:$V$1001,0),MATCH(COLUMNS($AC$1006:AE1006),$AC$1006:$AS$1006,0)), HYPERLINK("#",""), HYPERLINK(CONCATENATE("#metadata!", ADDRESS(INDEX($X$2:$X$1001,MATCH(ROWS($V$2:V332),$V$2:$V$1001,0),0), INDEX($AC$1004:$AS$1004,1,MATCH(COLUMNS($AC$1006:AE1006),$AC$1006:$AS$1006,0)))),"Fix")))</f>
        <v xml:space="preserve"> </v>
      </c>
      <c r="E332" s="4" t="str">
        <f ca="1">IF(OR(INDEX($W$2:$W$1001,MATCH(ROWS($V$2:V332),$V$2:$V$1001,0),1)&gt;=100000,INDEX($AC$1005:$AS$1005,1,MATCH(COLUMNS($AC$1006:AF1006),$AC$1006:$AS$1006,0))&gt;=100000), " ",IF(INDEX($AC$2:$AS$1001,MATCH(ROWS($V$2:V332),$V$2:$V$1001,0),MATCH(COLUMNS($AC$1006:AF1006),$AC$1006:$AS$1006,0)), HYPERLINK("#",""), HYPERLINK(CONCATENATE("#metadata!", ADDRESS(INDEX($X$2:$X$1001,MATCH(ROWS($V$2:V332),$V$2:$V$1001,0),0), INDEX($AC$1004:$AS$1004,1,MATCH(COLUMNS($AC$1006:AF1006),$AC$1006:$AS$1006,0)))),"Fix")))</f>
        <v xml:space="preserve"> </v>
      </c>
      <c r="F332" s="4" t="str">
        <f ca="1">IF(OR(INDEX($W$2:$W$1001,MATCH(ROWS($V$2:V332),$V$2:$V$1001,0),1)&gt;=100000,INDEX($AC$1005:$AS$1005,1,MATCH(COLUMNS($AC$1006:AG1006),$AC$1006:$AS$1006,0))&gt;=100000), " ",IF(INDEX($AC$2:$AS$1001,MATCH(ROWS($V$2:V332),$V$2:$V$1001,0),MATCH(COLUMNS($AC$1006:AG1006),$AC$1006:$AS$1006,0)), HYPERLINK("#",""), HYPERLINK(CONCATENATE("#metadata!", ADDRESS(INDEX($X$2:$X$1001,MATCH(ROWS($V$2:V332),$V$2:$V$1001,0),0), INDEX($AC$1004:$AS$1004,1,MATCH(COLUMNS($AC$1006:AG1006),$AC$1006:$AS$1006,0)))),"Fix")))</f>
        <v xml:space="preserve"> </v>
      </c>
      <c r="G332" s="4" t="str">
        <f ca="1">IF(OR(INDEX($W$2:$W$1001,MATCH(ROWS($V$2:V332),$V$2:$V$1001,0),1)&gt;=100000,INDEX($AC$1005:$AS$1005,1,MATCH(COLUMNS($AC$1006:AH1006),$AC$1006:$AS$1006,0))&gt;=100000), " ",IF(INDEX($AC$2:$AS$1001,MATCH(ROWS($V$2:V332),$V$2:$V$1001,0),MATCH(COLUMNS($AC$1006:AH1006),$AC$1006:$AS$1006,0)), HYPERLINK("#",""), HYPERLINK(CONCATENATE("#metadata!", ADDRESS(INDEX($X$2:$X$1001,MATCH(ROWS($V$2:V332),$V$2:$V$1001,0),0), INDEX($AC$1004:$AS$1004,1,MATCH(COLUMNS($AC$1006:AH1006),$AC$1006:$AS$1006,0)))),"Fix")))</f>
        <v xml:space="preserve"> </v>
      </c>
      <c r="H332" s="4" t="str">
        <f ca="1">IF(OR(INDEX($W$2:$W$1001,MATCH(ROWS($V$2:V332),$V$2:$V$1001,0),1)&gt;=100000,INDEX($AC$1005:$AS$1005,1,MATCH(COLUMNS($AC$1006:AI1006),$AC$1006:$AS$1006,0))&gt;=100000), " ",IF(INDEX($AC$2:$AS$1001,MATCH(ROWS($V$2:V332),$V$2:$V$1001,0),MATCH(COLUMNS($AC$1006:AI1006),$AC$1006:$AS$1006,0)), HYPERLINK("#",""), HYPERLINK(CONCATENATE("#metadata!", ADDRESS(INDEX($X$2:$X$1001,MATCH(ROWS($V$2:V332),$V$2:$V$1001,0),0), INDEX($AC$1004:$AS$1004,1,MATCH(COLUMNS($AC$1006:AI1006),$AC$1006:$AS$1006,0)))),"Fix")))</f>
        <v xml:space="preserve"> </v>
      </c>
      <c r="I332" s="4" t="str">
        <f ca="1">IF(OR(INDEX($W$2:$W$1001,MATCH(ROWS($V$2:V332),$V$2:$V$1001,0),1)&gt;=100000,INDEX($AC$1005:$AS$1005,1,MATCH(COLUMNS($AC$1006:AJ1006),$AC$1006:$AS$1006,0))&gt;=100000), " ",IF(INDEX($AC$2:$AS$1001,MATCH(ROWS($V$2:V332),$V$2:$V$1001,0),MATCH(COLUMNS($AC$1006:AJ1006),$AC$1006:$AS$1006,0)), HYPERLINK("#",""), HYPERLINK(CONCATENATE("#metadata!", ADDRESS(INDEX($X$2:$X$1001,MATCH(ROWS($V$2:V332),$V$2:$V$1001,0),0), INDEX($AC$1004:$AS$1004,1,MATCH(COLUMNS($AC$1006:AJ1006),$AC$1006:$AS$1006,0)))),"Fix")))</f>
        <v xml:space="preserve"> </v>
      </c>
      <c r="J332" s="4" t="str">
        <f ca="1">IF(OR(INDEX($W$2:$W$1001,MATCH(ROWS($V$2:V332),$V$2:$V$1001,0),1)&gt;=100000,INDEX($AC$1005:$AS$1005,1,MATCH(COLUMNS($AC$1006:AK1006),$AC$1006:$AS$1006,0))&gt;=100000), " ",IF(INDEX($AC$2:$AS$1001,MATCH(ROWS($V$2:V332),$V$2:$V$1001,0),MATCH(COLUMNS($AC$1006:AK1006),$AC$1006:$AS$1006,0)), HYPERLINK("#",""), HYPERLINK(CONCATENATE("#metadata!", ADDRESS(INDEX($X$2:$X$1001,MATCH(ROWS($V$2:V332),$V$2:$V$1001,0),0), INDEX($AC$1004:$AS$1004,1,MATCH(COLUMNS($AC$1006:AK1006),$AC$1006:$AS$1006,0)))),"Fix")))</f>
        <v xml:space="preserve"> </v>
      </c>
      <c r="K332" s="4" t="str">
        <f ca="1">IF(OR(INDEX($W$2:$W$1001,MATCH(ROWS($V$2:V332),$V$2:$V$1001,0),1)&gt;=100000,INDEX($AC$1005:$AS$1005,1,MATCH(COLUMNS($AC$1006:AL1006),$AC$1006:$AS$1006,0))&gt;=100000), " ",IF(INDEX($AC$2:$AS$1001,MATCH(ROWS($V$2:V332),$V$2:$V$1001,0),MATCH(COLUMNS($AC$1006:AL1006),$AC$1006:$AS$1006,0)), HYPERLINK("#",""), HYPERLINK(CONCATENATE("#metadata!", ADDRESS(INDEX($X$2:$X$1001,MATCH(ROWS($V$2:V332),$V$2:$V$1001,0),0), INDEX($AC$1004:$AS$1004,1,MATCH(COLUMNS($AC$1006:AL1006),$AC$1006:$AS$1006,0)))),"Fix")))</f>
        <v xml:space="preserve"> </v>
      </c>
      <c r="L332" s="4" t="str">
        <f ca="1">IF(OR(INDEX($W$2:$W$1001,MATCH(ROWS($V$2:V332),$V$2:$V$1001,0),1)&gt;=100000,INDEX($AC$1005:$AS$1005,1,MATCH(COLUMNS($AC$1006:AM1006),$AC$1006:$AS$1006,0))&gt;=100000), " ",IF(INDEX($AC$2:$AS$1001,MATCH(ROWS($V$2:V332),$V$2:$V$1001,0),MATCH(COLUMNS($AC$1006:AM1006),$AC$1006:$AS$1006,0)), HYPERLINK("#",""), HYPERLINK(CONCATENATE("#metadata!", ADDRESS(INDEX($X$2:$X$1001,MATCH(ROWS($V$2:V332),$V$2:$V$1001,0),0), INDEX($AC$1004:$AS$1004,1,MATCH(COLUMNS($AC$1006:AM1006),$AC$1006:$AS$1006,0)))),"Fix")))</f>
        <v xml:space="preserve"> </v>
      </c>
      <c r="M332" s="4" t="str">
        <f ca="1">IF(OR(INDEX($W$2:$W$1001,MATCH(ROWS($V$2:V332),$V$2:$V$1001,0),1)&gt;=100000,INDEX($AC$1005:$AS$1005,1,MATCH(COLUMNS($AC$1006:AN1006),$AC$1006:$AS$1006,0))&gt;=100000), " ",IF(INDEX($AC$2:$AS$1001,MATCH(ROWS($V$2:V332),$V$2:$V$1001,0),MATCH(COLUMNS($AC$1006:AN1006),$AC$1006:$AS$1006,0)), HYPERLINK("#",""), HYPERLINK(CONCATENATE("#metadata!", ADDRESS(INDEX($X$2:$X$1001,MATCH(ROWS($V$2:V332),$V$2:$V$1001,0),0), INDEX($AC$1004:$AS$1004,1,MATCH(COLUMNS($AC$1006:AN1006),$AC$1006:$AS$1006,0)))),"Fix")))</f>
        <v xml:space="preserve"> </v>
      </c>
      <c r="N332" s="4" t="str">
        <f ca="1">IF(OR(INDEX($W$2:$W$1001,MATCH(ROWS($V$2:V332),$V$2:$V$1001,0),1)&gt;=100000,INDEX($AC$1005:$AS$1005,1,MATCH(COLUMNS($AC$1006:AO1006),$AC$1006:$AS$1006,0))&gt;=100000), " ",IF(INDEX($AC$2:$AS$1001,MATCH(ROWS($V$2:V332),$V$2:$V$1001,0),MATCH(COLUMNS($AC$1006:AO1006),$AC$1006:$AS$1006,0)), HYPERLINK("#",""), HYPERLINK(CONCATENATE("#metadata!", ADDRESS(INDEX($X$2:$X$1001,MATCH(ROWS($V$2:V332),$V$2:$V$1001,0),0), INDEX($AC$1004:$AS$1004,1,MATCH(COLUMNS($AC$1006:AO1006),$AC$1006:$AS$1006,0)))),"Fix")))</f>
        <v xml:space="preserve"> </v>
      </c>
      <c r="O332" s="4" t="str">
        <f ca="1">IF(OR(INDEX($W$2:$W$1001,MATCH(ROWS($V$2:V332),$V$2:$V$1001,0),1)&gt;=100000,INDEX($AC$1005:$AS$1005,1,MATCH(COLUMNS($AC$1006:AP1006),$AC$1006:$AS$1006,0))&gt;=100000), " ",IF(INDEX($AC$2:$AS$1001,MATCH(ROWS($V$2:V332),$V$2:$V$1001,0),MATCH(COLUMNS($AC$1006:AP1006),$AC$1006:$AS$1006,0)), HYPERLINK("#",""), HYPERLINK(CONCATENATE("#metadata!", ADDRESS(INDEX($X$2:$X$1001,MATCH(ROWS($V$2:V332),$V$2:$V$1001,0),0), INDEX($AC$1004:$AS$1004,1,MATCH(COLUMNS($AC$1006:AP1006),$AC$1006:$AS$1006,0)))),"Fix")))</f>
        <v xml:space="preserve"> </v>
      </c>
      <c r="P332" s="4" t="str">
        <f ca="1">IF(OR(INDEX($W$2:$W$1001,MATCH(ROWS($V$2:V332),$V$2:$V$1001,0),1)&gt;=100000,INDEX($AC$1005:$AS$1005,1,MATCH(COLUMNS($AC$1006:AQ1006),$AC$1006:$AS$1006,0))&gt;=100000), " ",IF(INDEX($AC$2:$AS$1001,MATCH(ROWS($V$2:V332),$V$2:$V$1001,0),MATCH(COLUMNS($AC$1006:AQ1006),$AC$1006:$AS$1006,0)), HYPERLINK("#",""), HYPERLINK(CONCATENATE("#metadata!", ADDRESS(INDEX($X$2:$X$1001,MATCH(ROWS($V$2:V332),$V$2:$V$1001,0),0), INDEX($AC$1004:$AS$1004,1,MATCH(COLUMNS($AC$1006:AQ1006),$AC$1006:$AS$1006,0)))),"Fix")))</f>
        <v xml:space="preserve"> </v>
      </c>
      <c r="Q332" s="4" t="str">
        <f ca="1">IF(OR(INDEX($W$2:$W$1001,MATCH(ROWS($V$2:V332),$V$2:$V$1001,0),1)&gt;=100000,INDEX($AC$1005:$AS$1005,1,MATCH(COLUMNS($AC$1006:AR1006),$AC$1006:$AS$1006,0))&gt;=100000), " ",IF(INDEX($AC$2:$AS$1001,MATCH(ROWS($V$2:V332),$V$2:$V$1001,0),MATCH(COLUMNS($AC$1006:AR1006),$AC$1006:$AS$1006,0)), HYPERLINK("#",""), HYPERLINK(CONCATENATE("#metadata!", ADDRESS(INDEX($X$2:$X$1001,MATCH(ROWS($V$2:V332),$V$2:$V$1001,0),0), INDEX($AC$1004:$AS$1004,1,MATCH(COLUMNS($AC$1006:AR1006),$AC$1006:$AS$1006,0)))),"Fix")))</f>
        <v xml:space="preserve"> </v>
      </c>
      <c r="R332" s="4" t="str">
        <f ca="1">IF(OR(INDEX($W$2:$W$1001,MATCH(ROWS($V$2:V332),$V$2:$V$1001,0),1)&gt;=100000,INDEX($AC$1005:$AS$1005,1,MATCH(COLUMNS($AC$1006:AS1006),$AC$1006:$AS$1006,0))&gt;=100000), " ",IF(INDEX($AC$2:$AS$1001,MATCH(ROWS($V$2:V332),$V$2:$V$1001,0),MATCH(COLUMNS($AC$1006:AS1006),$AC$1006:$AS$1006,0)), HYPERLINK("#",""), HYPERLINK(CONCATENATE("#metadata!", ADDRESS(INDEX($X$2:$X$1001,MATCH(ROWS($V$2:V332),$V$2:$V$1001,0),0), INDEX($AC$1004:$AS$1004,1,MATCH(COLUMNS($AC$1006:AS1006),$AC$1006:$AS$1006,0)))),"Fix")))</f>
        <v xml:space="preserve"> </v>
      </c>
      <c r="V332">
        <v>331</v>
      </c>
      <c r="W332">
        <v>100332</v>
      </c>
      <c r="X332">
        <v>332</v>
      </c>
      <c r="Y332" t="b">
        <f t="shared" si="5"/>
        <v>1</v>
      </c>
      <c r="Z332" t="b">
        <f>COUNTBLANK(metadata!B332:R332)=COLUMNS(metadata!B332:R332)</f>
        <v>1</v>
      </c>
      <c r="AA332" t="str">
        <v/>
      </c>
      <c r="AC332" t="b">
        <f ca="1"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AD332" t="b">
        <f>IF(metadata!C332="",FALSE,ISNUMBER(VALUE(metadata!C332)))</f>
        <v>0</v>
      </c>
      <c r="AE332" t="b">
        <f>AND(IF(metadata!D332="",FALSE,TRUE),EXACT(metadata!D332,"years"))</f>
        <v>0</v>
      </c>
      <c r="AF332" t="b">
        <f>OR(AND(IF(metadata!E332="",FALSE,TRUE),OR(EXACT(metadata!E332,"not applicable"),EXACT(metadata!E332,"missing: not collected"),EXACT(metadata!E332,"missing: not provided"),EXACT(metadata!E332,"missing: restricted access"))),AND(IF(metadata!E332="",FALSE,ISNUMBER(VALUE(metadata!E332))),metadata!E332&gt;0))</f>
        <v>0</v>
      </c>
      <c r="AG332" t="b">
        <f>AND(IF(metadata!F332="",FALSE,TRUE),EXACT(metadata!F332,"Not applicable"))</f>
        <v>0</v>
      </c>
      <c r="AH332" t="b">
        <f>AND(IF(metadata!G332="",FALSE,TRUE),EXACT(metadata!G332,"urban biome"))</f>
        <v>0</v>
      </c>
      <c r="AI332" t="b">
        <f>AND(IF(metadata!H332="",FALSE,TRUE),EXACT(metadata!H332,"human-associated habitat"))</f>
        <v>0</v>
      </c>
      <c r="AJ332" t="b">
        <f>AND(IF(metadata!I332="",FALSE,TRUE),OR(EXACT(metadata!I332,"human-associated"),EXACT(metadata!I332,"human-skin"),EXACT(metadata!I332,"human-oral"),EXACT(metadata!I332,"human-gut"),EXACT(metadata!I332,"human-vaginal")))</f>
        <v>0</v>
      </c>
      <c r="AK332" t="b">
        <f>IF(metadata!J332="",FALSE,ISNUMBER(VALUE(metadata!J332)))</f>
        <v>0</v>
      </c>
      <c r="AL332" t="b">
        <f>AND(IF(metadata!K332="",FALSE,TRUE),EXACT(metadata!K332,"cm"))</f>
        <v>0</v>
      </c>
      <c r="AM332" t="b">
        <f>AND(IF(metadata!L332="",FALSE,TRUE),EXACT(metadata!L332,"human"))</f>
        <v>0</v>
      </c>
      <c r="AN332" t="b">
        <f>AND(IF(metadata!M332="",FALSE,TRUE),EXACT(metadata!M332,"Homo sapiens"))</f>
        <v>0</v>
      </c>
      <c r="AO332" t="b">
        <f>AND(IF(metadata!N332="",FALSE,TRUE),EXACT(metadata!N332,"9606"))</f>
        <v>0</v>
      </c>
      <c r="AP332" t="b">
        <f>IF(metadata!O332="",FALSE,TRUE)</f>
        <v>0</v>
      </c>
      <c r="AQ332" t="b">
        <f>IF(metadata!P332="",FALSE,TRUE)</f>
        <v>0</v>
      </c>
      <c r="AR332" t="b">
        <f>IF(metadata!Q332="",FALSE,ISNUMBER(VALUE(metadata!Q332)))</f>
        <v>0</v>
      </c>
      <c r="AS332" t="b">
        <f>AND(IF(metadata!R332="",FALSE,TRUE),EXACT(metadata!R332,"kg"))</f>
        <v>0</v>
      </c>
    </row>
    <row r="333" spans="1:45" x14ac:dyDescent="0.2">
      <c r="A333" s="5" t="str">
        <f ca="1">IF(B333=" "," ",HYPERLINK(CONCATENATE("#metadata!",ADDRESS(INDEX($X$2:$X$1001,MATCH(ROWS($V$2:V333),$V$2:$V$1001,0),0),1)),INDEX($AA$2:$AA$1001,MATCH(ROWS($V$2:V333),$V$2:$V$1001,0),0)))</f>
        <v xml:space="preserve"> </v>
      </c>
      <c r="B333" s="4" t="str">
        <f ca="1">IF(OR(INDEX($W$2:$W$1001,MATCH(ROWS($V$2:V333),$V$2:$V$1001,0),1)&gt;=100000,INDEX($AC$1005:$AS$1005,1,MATCH(COLUMNS($AC$1006:AC1006),$AC$1006:$AS$1006,0))&gt;=100000), " ",IF(INDEX($AC$2:$AS$1001,MATCH(ROWS($V$2:V333),$V$2:$V$1001,0),MATCH(COLUMNS($AC$1006:AC1006),$AC$1006:$AS$1006,0)), HYPERLINK("#",""), HYPERLINK(CONCATENATE("#metadata!", ADDRESS(INDEX($X$2:$X$1001,MATCH(ROWS($V$2:V333),$V$2:$V$1001,0),0), INDEX($AC$1004:$AS$1004,1,MATCH(COLUMNS($AC$1006:AC1006),$AC$1006:$AS$1006,0)))),"Fix")))</f>
        <v xml:space="preserve"> </v>
      </c>
      <c r="C333" s="4" t="str">
        <f ca="1">IF(OR(INDEX($W$2:$W$1001,MATCH(ROWS($V$2:V333),$V$2:$V$1001,0),1)&gt;=100000,INDEX($AC$1005:$AS$1005,1,MATCH(COLUMNS($AC$1006:AD1006),$AC$1006:$AS$1006,0))&gt;=100000), " ",IF(INDEX($AC$2:$AS$1001,MATCH(ROWS($V$2:V333),$V$2:$V$1001,0),MATCH(COLUMNS($AC$1006:AD1006),$AC$1006:$AS$1006,0)), HYPERLINK("#",""), HYPERLINK(CONCATENATE("#metadata!", ADDRESS(INDEX($X$2:$X$1001,MATCH(ROWS($V$2:V333),$V$2:$V$1001,0),0), INDEX($AC$1004:$AS$1004,1,MATCH(COLUMNS($AC$1006:AD1006),$AC$1006:$AS$1006,0)))),"Fix")))</f>
        <v xml:space="preserve"> </v>
      </c>
      <c r="D333" s="4" t="str">
        <f ca="1">IF(OR(INDEX($W$2:$W$1001,MATCH(ROWS($V$2:V333),$V$2:$V$1001,0),1)&gt;=100000,INDEX($AC$1005:$AS$1005,1,MATCH(COLUMNS($AC$1006:AE1006),$AC$1006:$AS$1006,0))&gt;=100000), " ",IF(INDEX($AC$2:$AS$1001,MATCH(ROWS($V$2:V333),$V$2:$V$1001,0),MATCH(COLUMNS($AC$1006:AE1006),$AC$1006:$AS$1006,0)), HYPERLINK("#",""), HYPERLINK(CONCATENATE("#metadata!", ADDRESS(INDEX($X$2:$X$1001,MATCH(ROWS($V$2:V333),$V$2:$V$1001,0),0), INDEX($AC$1004:$AS$1004,1,MATCH(COLUMNS($AC$1006:AE1006),$AC$1006:$AS$1006,0)))),"Fix")))</f>
        <v xml:space="preserve"> </v>
      </c>
      <c r="E333" s="4" t="str">
        <f ca="1">IF(OR(INDEX($W$2:$W$1001,MATCH(ROWS($V$2:V333),$V$2:$V$1001,0),1)&gt;=100000,INDEX($AC$1005:$AS$1005,1,MATCH(COLUMNS($AC$1006:AF1006),$AC$1006:$AS$1006,0))&gt;=100000), " ",IF(INDEX($AC$2:$AS$1001,MATCH(ROWS($V$2:V333),$V$2:$V$1001,0),MATCH(COLUMNS($AC$1006:AF1006),$AC$1006:$AS$1006,0)), HYPERLINK("#",""), HYPERLINK(CONCATENATE("#metadata!", ADDRESS(INDEX($X$2:$X$1001,MATCH(ROWS($V$2:V333),$V$2:$V$1001,0),0), INDEX($AC$1004:$AS$1004,1,MATCH(COLUMNS($AC$1006:AF1006),$AC$1006:$AS$1006,0)))),"Fix")))</f>
        <v xml:space="preserve"> </v>
      </c>
      <c r="F333" s="4" t="str">
        <f ca="1">IF(OR(INDEX($W$2:$W$1001,MATCH(ROWS($V$2:V333),$V$2:$V$1001,0),1)&gt;=100000,INDEX($AC$1005:$AS$1005,1,MATCH(COLUMNS($AC$1006:AG1006),$AC$1006:$AS$1006,0))&gt;=100000), " ",IF(INDEX($AC$2:$AS$1001,MATCH(ROWS($V$2:V333),$V$2:$V$1001,0),MATCH(COLUMNS($AC$1006:AG1006),$AC$1006:$AS$1006,0)), HYPERLINK("#",""), HYPERLINK(CONCATENATE("#metadata!", ADDRESS(INDEX($X$2:$X$1001,MATCH(ROWS($V$2:V333),$V$2:$V$1001,0),0), INDEX($AC$1004:$AS$1004,1,MATCH(COLUMNS($AC$1006:AG1006),$AC$1006:$AS$1006,0)))),"Fix")))</f>
        <v xml:space="preserve"> </v>
      </c>
      <c r="G333" s="4" t="str">
        <f ca="1">IF(OR(INDEX($W$2:$W$1001,MATCH(ROWS($V$2:V333),$V$2:$V$1001,0),1)&gt;=100000,INDEX($AC$1005:$AS$1005,1,MATCH(COLUMNS($AC$1006:AH1006),$AC$1006:$AS$1006,0))&gt;=100000), " ",IF(INDEX($AC$2:$AS$1001,MATCH(ROWS($V$2:V333),$V$2:$V$1001,0),MATCH(COLUMNS($AC$1006:AH1006),$AC$1006:$AS$1006,0)), HYPERLINK("#",""), HYPERLINK(CONCATENATE("#metadata!", ADDRESS(INDEX($X$2:$X$1001,MATCH(ROWS($V$2:V333),$V$2:$V$1001,0),0), INDEX($AC$1004:$AS$1004,1,MATCH(COLUMNS($AC$1006:AH1006),$AC$1006:$AS$1006,0)))),"Fix")))</f>
        <v xml:space="preserve"> </v>
      </c>
      <c r="H333" s="4" t="str">
        <f ca="1">IF(OR(INDEX($W$2:$W$1001,MATCH(ROWS($V$2:V333),$V$2:$V$1001,0),1)&gt;=100000,INDEX($AC$1005:$AS$1005,1,MATCH(COLUMNS($AC$1006:AI1006),$AC$1006:$AS$1006,0))&gt;=100000), " ",IF(INDEX($AC$2:$AS$1001,MATCH(ROWS($V$2:V333),$V$2:$V$1001,0),MATCH(COLUMNS($AC$1006:AI1006),$AC$1006:$AS$1006,0)), HYPERLINK("#",""), HYPERLINK(CONCATENATE("#metadata!", ADDRESS(INDEX($X$2:$X$1001,MATCH(ROWS($V$2:V333),$V$2:$V$1001,0),0), INDEX($AC$1004:$AS$1004,1,MATCH(COLUMNS($AC$1006:AI1006),$AC$1006:$AS$1006,0)))),"Fix")))</f>
        <v xml:space="preserve"> </v>
      </c>
      <c r="I333" s="4" t="str">
        <f ca="1">IF(OR(INDEX($W$2:$W$1001,MATCH(ROWS($V$2:V333),$V$2:$V$1001,0),1)&gt;=100000,INDEX($AC$1005:$AS$1005,1,MATCH(COLUMNS($AC$1006:AJ1006),$AC$1006:$AS$1006,0))&gt;=100000), " ",IF(INDEX($AC$2:$AS$1001,MATCH(ROWS($V$2:V333),$V$2:$V$1001,0),MATCH(COLUMNS($AC$1006:AJ1006),$AC$1006:$AS$1006,0)), HYPERLINK("#",""), HYPERLINK(CONCATENATE("#metadata!", ADDRESS(INDEX($X$2:$X$1001,MATCH(ROWS($V$2:V333),$V$2:$V$1001,0),0), INDEX($AC$1004:$AS$1004,1,MATCH(COLUMNS($AC$1006:AJ1006),$AC$1006:$AS$1006,0)))),"Fix")))</f>
        <v xml:space="preserve"> </v>
      </c>
      <c r="J333" s="4" t="str">
        <f ca="1">IF(OR(INDEX($W$2:$W$1001,MATCH(ROWS($V$2:V333),$V$2:$V$1001,0),1)&gt;=100000,INDEX($AC$1005:$AS$1005,1,MATCH(COLUMNS($AC$1006:AK1006),$AC$1006:$AS$1006,0))&gt;=100000), " ",IF(INDEX($AC$2:$AS$1001,MATCH(ROWS($V$2:V333),$V$2:$V$1001,0),MATCH(COLUMNS($AC$1006:AK1006),$AC$1006:$AS$1006,0)), HYPERLINK("#",""), HYPERLINK(CONCATENATE("#metadata!", ADDRESS(INDEX($X$2:$X$1001,MATCH(ROWS($V$2:V333),$V$2:$V$1001,0),0), INDEX($AC$1004:$AS$1004,1,MATCH(COLUMNS($AC$1006:AK1006),$AC$1006:$AS$1006,0)))),"Fix")))</f>
        <v xml:space="preserve"> </v>
      </c>
      <c r="K333" s="4" t="str">
        <f ca="1">IF(OR(INDEX($W$2:$W$1001,MATCH(ROWS($V$2:V333),$V$2:$V$1001,0),1)&gt;=100000,INDEX($AC$1005:$AS$1005,1,MATCH(COLUMNS($AC$1006:AL1006),$AC$1006:$AS$1006,0))&gt;=100000), " ",IF(INDEX($AC$2:$AS$1001,MATCH(ROWS($V$2:V333),$V$2:$V$1001,0),MATCH(COLUMNS($AC$1006:AL1006),$AC$1006:$AS$1006,0)), HYPERLINK("#",""), HYPERLINK(CONCATENATE("#metadata!", ADDRESS(INDEX($X$2:$X$1001,MATCH(ROWS($V$2:V333),$V$2:$V$1001,0),0), INDEX($AC$1004:$AS$1004,1,MATCH(COLUMNS($AC$1006:AL1006),$AC$1006:$AS$1006,0)))),"Fix")))</f>
        <v xml:space="preserve"> </v>
      </c>
      <c r="L333" s="4" t="str">
        <f ca="1">IF(OR(INDEX($W$2:$W$1001,MATCH(ROWS($V$2:V333),$V$2:$V$1001,0),1)&gt;=100000,INDEX($AC$1005:$AS$1005,1,MATCH(COLUMNS($AC$1006:AM1006),$AC$1006:$AS$1006,0))&gt;=100000), " ",IF(INDEX($AC$2:$AS$1001,MATCH(ROWS($V$2:V333),$V$2:$V$1001,0),MATCH(COLUMNS($AC$1006:AM1006),$AC$1006:$AS$1006,0)), HYPERLINK("#",""), HYPERLINK(CONCATENATE("#metadata!", ADDRESS(INDEX($X$2:$X$1001,MATCH(ROWS($V$2:V333),$V$2:$V$1001,0),0), INDEX($AC$1004:$AS$1004,1,MATCH(COLUMNS($AC$1006:AM1006),$AC$1006:$AS$1006,0)))),"Fix")))</f>
        <v xml:space="preserve"> </v>
      </c>
      <c r="M333" s="4" t="str">
        <f ca="1">IF(OR(INDEX($W$2:$W$1001,MATCH(ROWS($V$2:V333),$V$2:$V$1001,0),1)&gt;=100000,INDEX($AC$1005:$AS$1005,1,MATCH(COLUMNS($AC$1006:AN1006),$AC$1006:$AS$1006,0))&gt;=100000), " ",IF(INDEX($AC$2:$AS$1001,MATCH(ROWS($V$2:V333),$V$2:$V$1001,0),MATCH(COLUMNS($AC$1006:AN1006),$AC$1006:$AS$1006,0)), HYPERLINK("#",""), HYPERLINK(CONCATENATE("#metadata!", ADDRESS(INDEX($X$2:$X$1001,MATCH(ROWS($V$2:V333),$V$2:$V$1001,0),0), INDEX($AC$1004:$AS$1004,1,MATCH(COLUMNS($AC$1006:AN1006),$AC$1006:$AS$1006,0)))),"Fix")))</f>
        <v xml:space="preserve"> </v>
      </c>
      <c r="N333" s="4" t="str">
        <f ca="1">IF(OR(INDEX($W$2:$W$1001,MATCH(ROWS($V$2:V333),$V$2:$V$1001,0),1)&gt;=100000,INDEX($AC$1005:$AS$1005,1,MATCH(COLUMNS($AC$1006:AO1006),$AC$1006:$AS$1006,0))&gt;=100000), " ",IF(INDEX($AC$2:$AS$1001,MATCH(ROWS($V$2:V333),$V$2:$V$1001,0),MATCH(COLUMNS($AC$1006:AO1006),$AC$1006:$AS$1006,0)), HYPERLINK("#",""), HYPERLINK(CONCATENATE("#metadata!", ADDRESS(INDEX($X$2:$X$1001,MATCH(ROWS($V$2:V333),$V$2:$V$1001,0),0), INDEX($AC$1004:$AS$1004,1,MATCH(COLUMNS($AC$1006:AO1006),$AC$1006:$AS$1006,0)))),"Fix")))</f>
        <v xml:space="preserve"> </v>
      </c>
      <c r="O333" s="4" t="str">
        <f ca="1">IF(OR(INDEX($W$2:$W$1001,MATCH(ROWS($V$2:V333),$V$2:$V$1001,0),1)&gt;=100000,INDEX($AC$1005:$AS$1005,1,MATCH(COLUMNS($AC$1006:AP1006),$AC$1006:$AS$1006,0))&gt;=100000), " ",IF(INDEX($AC$2:$AS$1001,MATCH(ROWS($V$2:V333),$V$2:$V$1001,0),MATCH(COLUMNS($AC$1006:AP1006),$AC$1006:$AS$1006,0)), HYPERLINK("#",""), HYPERLINK(CONCATENATE("#metadata!", ADDRESS(INDEX($X$2:$X$1001,MATCH(ROWS($V$2:V333),$V$2:$V$1001,0),0), INDEX($AC$1004:$AS$1004,1,MATCH(COLUMNS($AC$1006:AP1006),$AC$1006:$AS$1006,0)))),"Fix")))</f>
        <v xml:space="preserve"> </v>
      </c>
      <c r="P333" s="4" t="str">
        <f ca="1">IF(OR(INDEX($W$2:$W$1001,MATCH(ROWS($V$2:V333),$V$2:$V$1001,0),1)&gt;=100000,INDEX($AC$1005:$AS$1005,1,MATCH(COLUMNS($AC$1006:AQ1006),$AC$1006:$AS$1006,0))&gt;=100000), " ",IF(INDEX($AC$2:$AS$1001,MATCH(ROWS($V$2:V333),$V$2:$V$1001,0),MATCH(COLUMNS($AC$1006:AQ1006),$AC$1006:$AS$1006,0)), HYPERLINK("#",""), HYPERLINK(CONCATENATE("#metadata!", ADDRESS(INDEX($X$2:$X$1001,MATCH(ROWS($V$2:V333),$V$2:$V$1001,0),0), INDEX($AC$1004:$AS$1004,1,MATCH(COLUMNS($AC$1006:AQ1006),$AC$1006:$AS$1006,0)))),"Fix")))</f>
        <v xml:space="preserve"> </v>
      </c>
      <c r="Q333" s="4" t="str">
        <f ca="1">IF(OR(INDEX($W$2:$W$1001,MATCH(ROWS($V$2:V333),$V$2:$V$1001,0),1)&gt;=100000,INDEX($AC$1005:$AS$1005,1,MATCH(COLUMNS($AC$1006:AR1006),$AC$1006:$AS$1006,0))&gt;=100000), " ",IF(INDEX($AC$2:$AS$1001,MATCH(ROWS($V$2:V333),$V$2:$V$1001,0),MATCH(COLUMNS($AC$1006:AR1006),$AC$1006:$AS$1006,0)), HYPERLINK("#",""), HYPERLINK(CONCATENATE("#metadata!", ADDRESS(INDEX($X$2:$X$1001,MATCH(ROWS($V$2:V333),$V$2:$V$1001,0),0), INDEX($AC$1004:$AS$1004,1,MATCH(COLUMNS($AC$1006:AR1006),$AC$1006:$AS$1006,0)))),"Fix")))</f>
        <v xml:space="preserve"> </v>
      </c>
      <c r="R333" s="4" t="str">
        <f ca="1">IF(OR(INDEX($W$2:$W$1001,MATCH(ROWS($V$2:V333),$V$2:$V$1001,0),1)&gt;=100000,INDEX($AC$1005:$AS$1005,1,MATCH(COLUMNS($AC$1006:AS1006),$AC$1006:$AS$1006,0))&gt;=100000), " ",IF(INDEX($AC$2:$AS$1001,MATCH(ROWS($V$2:V333),$V$2:$V$1001,0),MATCH(COLUMNS($AC$1006:AS1006),$AC$1006:$AS$1006,0)), HYPERLINK("#",""), HYPERLINK(CONCATENATE("#metadata!", ADDRESS(INDEX($X$2:$X$1001,MATCH(ROWS($V$2:V333),$V$2:$V$1001,0),0), INDEX($AC$1004:$AS$1004,1,MATCH(COLUMNS($AC$1006:AS1006),$AC$1006:$AS$1006,0)))),"Fix")))</f>
        <v xml:space="preserve"> </v>
      </c>
      <c r="V333">
        <v>332</v>
      </c>
      <c r="W333">
        <v>100333</v>
      </c>
      <c r="X333">
        <v>333</v>
      </c>
      <c r="Y333" t="b">
        <f t="shared" si="5"/>
        <v>1</v>
      </c>
      <c r="Z333" t="b">
        <f>COUNTBLANK(metadata!B333:R333)=COLUMNS(metadata!B333:R333)</f>
        <v>1</v>
      </c>
      <c r="AA333" t="str">
        <v/>
      </c>
      <c r="AC333" t="b">
        <f ca="1"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AD333" t="b">
        <f>IF(metadata!C333="",FALSE,ISNUMBER(VALUE(metadata!C333)))</f>
        <v>0</v>
      </c>
      <c r="AE333" t="b">
        <f>AND(IF(metadata!D333="",FALSE,TRUE),EXACT(metadata!D333,"years"))</f>
        <v>0</v>
      </c>
      <c r="AF333" t="b">
        <f>OR(AND(IF(metadata!E333="",FALSE,TRUE),OR(EXACT(metadata!E333,"not applicable"),EXACT(metadata!E333,"missing: not collected"),EXACT(metadata!E333,"missing: not provided"),EXACT(metadata!E333,"missing: restricted access"))),AND(IF(metadata!E333="",FALSE,ISNUMBER(VALUE(metadata!E333))),metadata!E333&gt;0))</f>
        <v>0</v>
      </c>
      <c r="AG333" t="b">
        <f>AND(IF(metadata!F333="",FALSE,TRUE),EXACT(metadata!F333,"Not applicable"))</f>
        <v>0</v>
      </c>
      <c r="AH333" t="b">
        <f>AND(IF(metadata!G333="",FALSE,TRUE),EXACT(metadata!G333,"urban biome"))</f>
        <v>0</v>
      </c>
      <c r="AI333" t="b">
        <f>AND(IF(metadata!H333="",FALSE,TRUE),EXACT(metadata!H333,"human-associated habitat"))</f>
        <v>0</v>
      </c>
      <c r="AJ333" t="b">
        <f>AND(IF(metadata!I333="",FALSE,TRUE),OR(EXACT(metadata!I333,"human-associated"),EXACT(metadata!I333,"human-skin"),EXACT(metadata!I333,"human-oral"),EXACT(metadata!I333,"human-gut"),EXACT(metadata!I333,"human-vaginal")))</f>
        <v>0</v>
      </c>
      <c r="AK333" t="b">
        <f>IF(metadata!J333="",FALSE,ISNUMBER(VALUE(metadata!J333)))</f>
        <v>0</v>
      </c>
      <c r="AL333" t="b">
        <f>AND(IF(metadata!K333="",FALSE,TRUE),EXACT(metadata!K333,"cm"))</f>
        <v>0</v>
      </c>
      <c r="AM333" t="b">
        <f>AND(IF(metadata!L333="",FALSE,TRUE),EXACT(metadata!L333,"human"))</f>
        <v>0</v>
      </c>
      <c r="AN333" t="b">
        <f>AND(IF(metadata!M333="",FALSE,TRUE),EXACT(metadata!M333,"Homo sapiens"))</f>
        <v>0</v>
      </c>
      <c r="AO333" t="b">
        <f>AND(IF(metadata!N333="",FALSE,TRUE),EXACT(metadata!N333,"9606"))</f>
        <v>0</v>
      </c>
      <c r="AP333" t="b">
        <f>IF(metadata!O333="",FALSE,TRUE)</f>
        <v>0</v>
      </c>
      <c r="AQ333" t="b">
        <f>IF(metadata!P333="",FALSE,TRUE)</f>
        <v>0</v>
      </c>
      <c r="AR333" t="b">
        <f>IF(metadata!Q333="",FALSE,ISNUMBER(VALUE(metadata!Q333)))</f>
        <v>0</v>
      </c>
      <c r="AS333" t="b">
        <f>AND(IF(metadata!R333="",FALSE,TRUE),EXACT(metadata!R333,"kg"))</f>
        <v>0</v>
      </c>
    </row>
    <row r="334" spans="1:45" x14ac:dyDescent="0.2">
      <c r="A334" s="5" t="str">
        <f ca="1">IF(B334=" "," ",HYPERLINK(CONCATENATE("#metadata!",ADDRESS(INDEX($X$2:$X$1001,MATCH(ROWS($V$2:V334),$V$2:$V$1001,0),0),1)),INDEX($AA$2:$AA$1001,MATCH(ROWS($V$2:V334),$V$2:$V$1001,0),0)))</f>
        <v xml:space="preserve"> </v>
      </c>
      <c r="B334" s="4" t="str">
        <f ca="1">IF(OR(INDEX($W$2:$W$1001,MATCH(ROWS($V$2:V334),$V$2:$V$1001,0),1)&gt;=100000,INDEX($AC$1005:$AS$1005,1,MATCH(COLUMNS($AC$1006:AC1006),$AC$1006:$AS$1006,0))&gt;=100000), " ",IF(INDEX($AC$2:$AS$1001,MATCH(ROWS($V$2:V334),$V$2:$V$1001,0),MATCH(COLUMNS($AC$1006:AC1006),$AC$1006:$AS$1006,0)), HYPERLINK("#",""), HYPERLINK(CONCATENATE("#metadata!", ADDRESS(INDEX($X$2:$X$1001,MATCH(ROWS($V$2:V334),$V$2:$V$1001,0),0), INDEX($AC$1004:$AS$1004,1,MATCH(COLUMNS($AC$1006:AC1006),$AC$1006:$AS$1006,0)))),"Fix")))</f>
        <v xml:space="preserve"> </v>
      </c>
      <c r="C334" s="4" t="str">
        <f ca="1">IF(OR(INDEX($W$2:$W$1001,MATCH(ROWS($V$2:V334),$V$2:$V$1001,0),1)&gt;=100000,INDEX($AC$1005:$AS$1005,1,MATCH(COLUMNS($AC$1006:AD1006),$AC$1006:$AS$1006,0))&gt;=100000), " ",IF(INDEX($AC$2:$AS$1001,MATCH(ROWS($V$2:V334),$V$2:$V$1001,0),MATCH(COLUMNS($AC$1006:AD1006),$AC$1006:$AS$1006,0)), HYPERLINK("#",""), HYPERLINK(CONCATENATE("#metadata!", ADDRESS(INDEX($X$2:$X$1001,MATCH(ROWS($V$2:V334),$V$2:$V$1001,0),0), INDEX($AC$1004:$AS$1004,1,MATCH(COLUMNS($AC$1006:AD1006),$AC$1006:$AS$1006,0)))),"Fix")))</f>
        <v xml:space="preserve"> </v>
      </c>
      <c r="D334" s="4" t="str">
        <f ca="1">IF(OR(INDEX($W$2:$W$1001,MATCH(ROWS($V$2:V334),$V$2:$V$1001,0),1)&gt;=100000,INDEX($AC$1005:$AS$1005,1,MATCH(COLUMNS($AC$1006:AE1006),$AC$1006:$AS$1006,0))&gt;=100000), " ",IF(INDEX($AC$2:$AS$1001,MATCH(ROWS($V$2:V334),$V$2:$V$1001,0),MATCH(COLUMNS($AC$1006:AE1006),$AC$1006:$AS$1006,0)), HYPERLINK("#",""), HYPERLINK(CONCATENATE("#metadata!", ADDRESS(INDEX($X$2:$X$1001,MATCH(ROWS($V$2:V334),$V$2:$V$1001,0),0), INDEX($AC$1004:$AS$1004,1,MATCH(COLUMNS($AC$1006:AE1006),$AC$1006:$AS$1006,0)))),"Fix")))</f>
        <v xml:space="preserve"> </v>
      </c>
      <c r="E334" s="4" t="str">
        <f ca="1">IF(OR(INDEX($W$2:$W$1001,MATCH(ROWS($V$2:V334),$V$2:$V$1001,0),1)&gt;=100000,INDEX($AC$1005:$AS$1005,1,MATCH(COLUMNS($AC$1006:AF1006),$AC$1006:$AS$1006,0))&gt;=100000), " ",IF(INDEX($AC$2:$AS$1001,MATCH(ROWS($V$2:V334),$V$2:$V$1001,0),MATCH(COLUMNS($AC$1006:AF1006),$AC$1006:$AS$1006,0)), HYPERLINK("#",""), HYPERLINK(CONCATENATE("#metadata!", ADDRESS(INDEX($X$2:$X$1001,MATCH(ROWS($V$2:V334),$V$2:$V$1001,0),0), INDEX($AC$1004:$AS$1004,1,MATCH(COLUMNS($AC$1006:AF1006),$AC$1006:$AS$1006,0)))),"Fix")))</f>
        <v xml:space="preserve"> </v>
      </c>
      <c r="F334" s="4" t="str">
        <f ca="1">IF(OR(INDEX($W$2:$W$1001,MATCH(ROWS($V$2:V334),$V$2:$V$1001,0),1)&gt;=100000,INDEX($AC$1005:$AS$1005,1,MATCH(COLUMNS($AC$1006:AG1006),$AC$1006:$AS$1006,0))&gt;=100000), " ",IF(INDEX($AC$2:$AS$1001,MATCH(ROWS($V$2:V334),$V$2:$V$1001,0),MATCH(COLUMNS($AC$1006:AG1006),$AC$1006:$AS$1006,0)), HYPERLINK("#",""), HYPERLINK(CONCATENATE("#metadata!", ADDRESS(INDEX($X$2:$X$1001,MATCH(ROWS($V$2:V334),$V$2:$V$1001,0),0), INDEX($AC$1004:$AS$1004,1,MATCH(COLUMNS($AC$1006:AG1006),$AC$1006:$AS$1006,0)))),"Fix")))</f>
        <v xml:space="preserve"> </v>
      </c>
      <c r="G334" s="4" t="str">
        <f ca="1">IF(OR(INDEX($W$2:$W$1001,MATCH(ROWS($V$2:V334),$V$2:$V$1001,0),1)&gt;=100000,INDEX($AC$1005:$AS$1005,1,MATCH(COLUMNS($AC$1006:AH1006),$AC$1006:$AS$1006,0))&gt;=100000), " ",IF(INDEX($AC$2:$AS$1001,MATCH(ROWS($V$2:V334),$V$2:$V$1001,0),MATCH(COLUMNS($AC$1006:AH1006),$AC$1006:$AS$1006,0)), HYPERLINK("#",""), HYPERLINK(CONCATENATE("#metadata!", ADDRESS(INDEX($X$2:$X$1001,MATCH(ROWS($V$2:V334),$V$2:$V$1001,0),0), INDEX($AC$1004:$AS$1004,1,MATCH(COLUMNS($AC$1006:AH1006),$AC$1006:$AS$1006,0)))),"Fix")))</f>
        <v xml:space="preserve"> </v>
      </c>
      <c r="H334" s="4" t="str">
        <f ca="1">IF(OR(INDEX($W$2:$W$1001,MATCH(ROWS($V$2:V334),$V$2:$V$1001,0),1)&gt;=100000,INDEX($AC$1005:$AS$1005,1,MATCH(COLUMNS($AC$1006:AI1006),$AC$1006:$AS$1006,0))&gt;=100000), " ",IF(INDEX($AC$2:$AS$1001,MATCH(ROWS($V$2:V334),$V$2:$V$1001,0),MATCH(COLUMNS($AC$1006:AI1006),$AC$1006:$AS$1006,0)), HYPERLINK("#",""), HYPERLINK(CONCATENATE("#metadata!", ADDRESS(INDEX($X$2:$X$1001,MATCH(ROWS($V$2:V334),$V$2:$V$1001,0),0), INDEX($AC$1004:$AS$1004,1,MATCH(COLUMNS($AC$1006:AI1006),$AC$1006:$AS$1006,0)))),"Fix")))</f>
        <v xml:space="preserve"> </v>
      </c>
      <c r="I334" s="4" t="str">
        <f ca="1">IF(OR(INDEX($W$2:$W$1001,MATCH(ROWS($V$2:V334),$V$2:$V$1001,0),1)&gt;=100000,INDEX($AC$1005:$AS$1005,1,MATCH(COLUMNS($AC$1006:AJ1006),$AC$1006:$AS$1006,0))&gt;=100000), " ",IF(INDEX($AC$2:$AS$1001,MATCH(ROWS($V$2:V334),$V$2:$V$1001,0),MATCH(COLUMNS($AC$1006:AJ1006),$AC$1006:$AS$1006,0)), HYPERLINK("#",""), HYPERLINK(CONCATENATE("#metadata!", ADDRESS(INDEX($X$2:$X$1001,MATCH(ROWS($V$2:V334),$V$2:$V$1001,0),0), INDEX($AC$1004:$AS$1004,1,MATCH(COLUMNS($AC$1006:AJ1006),$AC$1006:$AS$1006,0)))),"Fix")))</f>
        <v xml:space="preserve"> </v>
      </c>
      <c r="J334" s="4" t="str">
        <f ca="1">IF(OR(INDEX($W$2:$W$1001,MATCH(ROWS($V$2:V334),$V$2:$V$1001,0),1)&gt;=100000,INDEX($AC$1005:$AS$1005,1,MATCH(COLUMNS($AC$1006:AK1006),$AC$1006:$AS$1006,0))&gt;=100000), " ",IF(INDEX($AC$2:$AS$1001,MATCH(ROWS($V$2:V334),$V$2:$V$1001,0),MATCH(COLUMNS($AC$1006:AK1006),$AC$1006:$AS$1006,0)), HYPERLINK("#",""), HYPERLINK(CONCATENATE("#metadata!", ADDRESS(INDEX($X$2:$X$1001,MATCH(ROWS($V$2:V334),$V$2:$V$1001,0),0), INDEX($AC$1004:$AS$1004,1,MATCH(COLUMNS($AC$1006:AK1006),$AC$1006:$AS$1006,0)))),"Fix")))</f>
        <v xml:space="preserve"> </v>
      </c>
      <c r="K334" s="4" t="str">
        <f ca="1">IF(OR(INDEX($W$2:$W$1001,MATCH(ROWS($V$2:V334),$V$2:$V$1001,0),1)&gt;=100000,INDEX($AC$1005:$AS$1005,1,MATCH(COLUMNS($AC$1006:AL1006),$AC$1006:$AS$1006,0))&gt;=100000), " ",IF(INDEX($AC$2:$AS$1001,MATCH(ROWS($V$2:V334),$V$2:$V$1001,0),MATCH(COLUMNS($AC$1006:AL1006),$AC$1006:$AS$1006,0)), HYPERLINK("#",""), HYPERLINK(CONCATENATE("#metadata!", ADDRESS(INDEX($X$2:$X$1001,MATCH(ROWS($V$2:V334),$V$2:$V$1001,0),0), INDEX($AC$1004:$AS$1004,1,MATCH(COLUMNS($AC$1006:AL1006),$AC$1006:$AS$1006,0)))),"Fix")))</f>
        <v xml:space="preserve"> </v>
      </c>
      <c r="L334" s="4" t="str">
        <f ca="1">IF(OR(INDEX($W$2:$W$1001,MATCH(ROWS($V$2:V334),$V$2:$V$1001,0),1)&gt;=100000,INDEX($AC$1005:$AS$1005,1,MATCH(COLUMNS($AC$1006:AM1006),$AC$1006:$AS$1006,0))&gt;=100000), " ",IF(INDEX($AC$2:$AS$1001,MATCH(ROWS($V$2:V334),$V$2:$V$1001,0),MATCH(COLUMNS($AC$1006:AM1006),$AC$1006:$AS$1006,0)), HYPERLINK("#",""), HYPERLINK(CONCATENATE("#metadata!", ADDRESS(INDEX($X$2:$X$1001,MATCH(ROWS($V$2:V334),$V$2:$V$1001,0),0), INDEX($AC$1004:$AS$1004,1,MATCH(COLUMNS($AC$1006:AM1006),$AC$1006:$AS$1006,0)))),"Fix")))</f>
        <v xml:space="preserve"> </v>
      </c>
      <c r="M334" s="4" t="str">
        <f ca="1">IF(OR(INDEX($W$2:$W$1001,MATCH(ROWS($V$2:V334),$V$2:$V$1001,0),1)&gt;=100000,INDEX($AC$1005:$AS$1005,1,MATCH(COLUMNS($AC$1006:AN1006),$AC$1006:$AS$1006,0))&gt;=100000), " ",IF(INDEX($AC$2:$AS$1001,MATCH(ROWS($V$2:V334),$V$2:$V$1001,0),MATCH(COLUMNS($AC$1006:AN1006),$AC$1006:$AS$1006,0)), HYPERLINK("#",""), HYPERLINK(CONCATENATE("#metadata!", ADDRESS(INDEX($X$2:$X$1001,MATCH(ROWS($V$2:V334),$V$2:$V$1001,0),0), INDEX($AC$1004:$AS$1004,1,MATCH(COLUMNS($AC$1006:AN1006),$AC$1006:$AS$1006,0)))),"Fix")))</f>
        <v xml:space="preserve"> </v>
      </c>
      <c r="N334" s="4" t="str">
        <f ca="1">IF(OR(INDEX($W$2:$W$1001,MATCH(ROWS($V$2:V334),$V$2:$V$1001,0),1)&gt;=100000,INDEX($AC$1005:$AS$1005,1,MATCH(COLUMNS($AC$1006:AO1006),$AC$1006:$AS$1006,0))&gt;=100000), " ",IF(INDEX($AC$2:$AS$1001,MATCH(ROWS($V$2:V334),$V$2:$V$1001,0),MATCH(COLUMNS($AC$1006:AO1006),$AC$1006:$AS$1006,0)), HYPERLINK("#",""), HYPERLINK(CONCATENATE("#metadata!", ADDRESS(INDEX($X$2:$X$1001,MATCH(ROWS($V$2:V334),$V$2:$V$1001,0),0), INDEX($AC$1004:$AS$1004,1,MATCH(COLUMNS($AC$1006:AO1006),$AC$1006:$AS$1006,0)))),"Fix")))</f>
        <v xml:space="preserve"> </v>
      </c>
      <c r="O334" s="4" t="str">
        <f ca="1">IF(OR(INDEX($W$2:$W$1001,MATCH(ROWS($V$2:V334),$V$2:$V$1001,0),1)&gt;=100000,INDEX($AC$1005:$AS$1005,1,MATCH(COLUMNS($AC$1006:AP1006),$AC$1006:$AS$1006,0))&gt;=100000), " ",IF(INDEX($AC$2:$AS$1001,MATCH(ROWS($V$2:V334),$V$2:$V$1001,0),MATCH(COLUMNS($AC$1006:AP1006),$AC$1006:$AS$1006,0)), HYPERLINK("#",""), HYPERLINK(CONCATENATE("#metadata!", ADDRESS(INDEX($X$2:$X$1001,MATCH(ROWS($V$2:V334),$V$2:$V$1001,0),0), INDEX($AC$1004:$AS$1004,1,MATCH(COLUMNS($AC$1006:AP1006),$AC$1006:$AS$1006,0)))),"Fix")))</f>
        <v xml:space="preserve"> </v>
      </c>
      <c r="P334" s="4" t="str">
        <f ca="1">IF(OR(INDEX($W$2:$W$1001,MATCH(ROWS($V$2:V334),$V$2:$V$1001,0),1)&gt;=100000,INDEX($AC$1005:$AS$1005,1,MATCH(COLUMNS($AC$1006:AQ1006),$AC$1006:$AS$1006,0))&gt;=100000), " ",IF(INDEX($AC$2:$AS$1001,MATCH(ROWS($V$2:V334),$V$2:$V$1001,0),MATCH(COLUMNS($AC$1006:AQ1006),$AC$1006:$AS$1006,0)), HYPERLINK("#",""), HYPERLINK(CONCATENATE("#metadata!", ADDRESS(INDEX($X$2:$X$1001,MATCH(ROWS($V$2:V334),$V$2:$V$1001,0),0), INDEX($AC$1004:$AS$1004,1,MATCH(COLUMNS($AC$1006:AQ1006),$AC$1006:$AS$1006,0)))),"Fix")))</f>
        <v xml:space="preserve"> </v>
      </c>
      <c r="Q334" s="4" t="str">
        <f ca="1">IF(OR(INDEX($W$2:$W$1001,MATCH(ROWS($V$2:V334),$V$2:$V$1001,0),1)&gt;=100000,INDEX($AC$1005:$AS$1005,1,MATCH(COLUMNS($AC$1006:AR1006),$AC$1006:$AS$1006,0))&gt;=100000), " ",IF(INDEX($AC$2:$AS$1001,MATCH(ROWS($V$2:V334),$V$2:$V$1001,0),MATCH(COLUMNS($AC$1006:AR1006),$AC$1006:$AS$1006,0)), HYPERLINK("#",""), HYPERLINK(CONCATENATE("#metadata!", ADDRESS(INDEX($X$2:$X$1001,MATCH(ROWS($V$2:V334),$V$2:$V$1001,0),0), INDEX($AC$1004:$AS$1004,1,MATCH(COLUMNS($AC$1006:AR1006),$AC$1006:$AS$1006,0)))),"Fix")))</f>
        <v xml:space="preserve"> </v>
      </c>
      <c r="R334" s="4" t="str">
        <f ca="1">IF(OR(INDEX($W$2:$W$1001,MATCH(ROWS($V$2:V334),$V$2:$V$1001,0),1)&gt;=100000,INDEX($AC$1005:$AS$1005,1,MATCH(COLUMNS($AC$1006:AS1006),$AC$1006:$AS$1006,0))&gt;=100000), " ",IF(INDEX($AC$2:$AS$1001,MATCH(ROWS($V$2:V334),$V$2:$V$1001,0),MATCH(COLUMNS($AC$1006:AS1006),$AC$1006:$AS$1006,0)), HYPERLINK("#",""), HYPERLINK(CONCATENATE("#metadata!", ADDRESS(INDEX($X$2:$X$1001,MATCH(ROWS($V$2:V334),$V$2:$V$1001,0),0), INDEX($AC$1004:$AS$1004,1,MATCH(COLUMNS($AC$1006:AS1006),$AC$1006:$AS$1006,0)))),"Fix")))</f>
        <v xml:space="preserve"> </v>
      </c>
      <c r="V334">
        <v>333</v>
      </c>
      <c r="W334">
        <v>100334</v>
      </c>
      <c r="X334">
        <v>334</v>
      </c>
      <c r="Y334" t="b">
        <f t="shared" si="5"/>
        <v>1</v>
      </c>
      <c r="Z334" t="b">
        <f>COUNTBLANK(metadata!B334:R334)=COLUMNS(metadata!B334:R334)</f>
        <v>1</v>
      </c>
      <c r="AA334" t="str">
        <v/>
      </c>
      <c r="AC334" t="b">
        <f ca="1"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AD334" t="b">
        <f>IF(metadata!C334="",FALSE,ISNUMBER(VALUE(metadata!C334)))</f>
        <v>0</v>
      </c>
      <c r="AE334" t="b">
        <f>AND(IF(metadata!D334="",FALSE,TRUE),EXACT(metadata!D334,"years"))</f>
        <v>0</v>
      </c>
      <c r="AF334" t="b">
        <f>OR(AND(IF(metadata!E334="",FALSE,TRUE),OR(EXACT(metadata!E334,"not applicable"),EXACT(metadata!E334,"missing: not collected"),EXACT(metadata!E334,"missing: not provided"),EXACT(metadata!E334,"missing: restricted access"))),AND(IF(metadata!E334="",FALSE,ISNUMBER(VALUE(metadata!E334))),metadata!E334&gt;0))</f>
        <v>0</v>
      </c>
      <c r="AG334" t="b">
        <f>AND(IF(metadata!F334="",FALSE,TRUE),EXACT(metadata!F334,"Not applicable"))</f>
        <v>0</v>
      </c>
      <c r="AH334" t="b">
        <f>AND(IF(metadata!G334="",FALSE,TRUE),EXACT(metadata!G334,"urban biome"))</f>
        <v>0</v>
      </c>
      <c r="AI334" t="b">
        <f>AND(IF(metadata!H334="",FALSE,TRUE),EXACT(metadata!H334,"human-associated habitat"))</f>
        <v>0</v>
      </c>
      <c r="AJ334" t="b">
        <f>AND(IF(metadata!I334="",FALSE,TRUE),OR(EXACT(metadata!I334,"human-associated"),EXACT(metadata!I334,"human-skin"),EXACT(metadata!I334,"human-oral"),EXACT(metadata!I334,"human-gut"),EXACT(metadata!I334,"human-vaginal")))</f>
        <v>0</v>
      </c>
      <c r="AK334" t="b">
        <f>IF(metadata!J334="",FALSE,ISNUMBER(VALUE(metadata!J334)))</f>
        <v>0</v>
      </c>
      <c r="AL334" t="b">
        <f>AND(IF(metadata!K334="",FALSE,TRUE),EXACT(metadata!K334,"cm"))</f>
        <v>0</v>
      </c>
      <c r="AM334" t="b">
        <f>AND(IF(metadata!L334="",FALSE,TRUE),EXACT(metadata!L334,"human"))</f>
        <v>0</v>
      </c>
      <c r="AN334" t="b">
        <f>AND(IF(metadata!M334="",FALSE,TRUE),EXACT(metadata!M334,"Homo sapiens"))</f>
        <v>0</v>
      </c>
      <c r="AO334" t="b">
        <f>AND(IF(metadata!N334="",FALSE,TRUE),EXACT(metadata!N334,"9606"))</f>
        <v>0</v>
      </c>
      <c r="AP334" t="b">
        <f>IF(metadata!O334="",FALSE,TRUE)</f>
        <v>0</v>
      </c>
      <c r="AQ334" t="b">
        <f>IF(metadata!P334="",FALSE,TRUE)</f>
        <v>0</v>
      </c>
      <c r="AR334" t="b">
        <f>IF(metadata!Q334="",FALSE,ISNUMBER(VALUE(metadata!Q334)))</f>
        <v>0</v>
      </c>
      <c r="AS334" t="b">
        <f>AND(IF(metadata!R334="",FALSE,TRUE),EXACT(metadata!R334,"kg"))</f>
        <v>0</v>
      </c>
    </row>
    <row r="335" spans="1:45" x14ac:dyDescent="0.2">
      <c r="A335" s="5" t="str">
        <f ca="1">IF(B335=" "," ",HYPERLINK(CONCATENATE("#metadata!",ADDRESS(INDEX($X$2:$X$1001,MATCH(ROWS($V$2:V335),$V$2:$V$1001,0),0),1)),INDEX($AA$2:$AA$1001,MATCH(ROWS($V$2:V335),$V$2:$V$1001,0),0)))</f>
        <v xml:space="preserve"> </v>
      </c>
      <c r="B335" s="4" t="str">
        <f ca="1">IF(OR(INDEX($W$2:$W$1001,MATCH(ROWS($V$2:V335),$V$2:$V$1001,0),1)&gt;=100000,INDEX($AC$1005:$AS$1005,1,MATCH(COLUMNS($AC$1006:AC1006),$AC$1006:$AS$1006,0))&gt;=100000), " ",IF(INDEX($AC$2:$AS$1001,MATCH(ROWS($V$2:V335),$V$2:$V$1001,0),MATCH(COLUMNS($AC$1006:AC1006),$AC$1006:$AS$1006,0)), HYPERLINK("#",""), HYPERLINK(CONCATENATE("#metadata!", ADDRESS(INDEX($X$2:$X$1001,MATCH(ROWS($V$2:V335),$V$2:$V$1001,0),0), INDEX($AC$1004:$AS$1004,1,MATCH(COLUMNS($AC$1006:AC1006),$AC$1006:$AS$1006,0)))),"Fix")))</f>
        <v xml:space="preserve"> </v>
      </c>
      <c r="C335" s="4" t="str">
        <f ca="1">IF(OR(INDEX($W$2:$W$1001,MATCH(ROWS($V$2:V335),$V$2:$V$1001,0),1)&gt;=100000,INDEX($AC$1005:$AS$1005,1,MATCH(COLUMNS($AC$1006:AD1006),$AC$1006:$AS$1006,0))&gt;=100000), " ",IF(INDEX($AC$2:$AS$1001,MATCH(ROWS($V$2:V335),$V$2:$V$1001,0),MATCH(COLUMNS($AC$1006:AD1006),$AC$1006:$AS$1006,0)), HYPERLINK("#",""), HYPERLINK(CONCATENATE("#metadata!", ADDRESS(INDEX($X$2:$X$1001,MATCH(ROWS($V$2:V335),$V$2:$V$1001,0),0), INDEX($AC$1004:$AS$1004,1,MATCH(COLUMNS($AC$1006:AD1006),$AC$1006:$AS$1006,0)))),"Fix")))</f>
        <v xml:space="preserve"> </v>
      </c>
      <c r="D335" s="4" t="str">
        <f ca="1">IF(OR(INDEX($W$2:$W$1001,MATCH(ROWS($V$2:V335),$V$2:$V$1001,0),1)&gt;=100000,INDEX($AC$1005:$AS$1005,1,MATCH(COLUMNS($AC$1006:AE1006),$AC$1006:$AS$1006,0))&gt;=100000), " ",IF(INDEX($AC$2:$AS$1001,MATCH(ROWS($V$2:V335),$V$2:$V$1001,0),MATCH(COLUMNS($AC$1006:AE1006),$AC$1006:$AS$1006,0)), HYPERLINK("#",""), HYPERLINK(CONCATENATE("#metadata!", ADDRESS(INDEX($X$2:$X$1001,MATCH(ROWS($V$2:V335),$V$2:$V$1001,0),0), INDEX($AC$1004:$AS$1004,1,MATCH(COLUMNS($AC$1006:AE1006),$AC$1006:$AS$1006,0)))),"Fix")))</f>
        <v xml:space="preserve"> </v>
      </c>
      <c r="E335" s="4" t="str">
        <f ca="1">IF(OR(INDEX($W$2:$W$1001,MATCH(ROWS($V$2:V335),$V$2:$V$1001,0),1)&gt;=100000,INDEX($AC$1005:$AS$1005,1,MATCH(COLUMNS($AC$1006:AF1006),$AC$1006:$AS$1006,0))&gt;=100000), " ",IF(INDEX($AC$2:$AS$1001,MATCH(ROWS($V$2:V335),$V$2:$V$1001,0),MATCH(COLUMNS($AC$1006:AF1006),$AC$1006:$AS$1006,0)), HYPERLINK("#",""), HYPERLINK(CONCATENATE("#metadata!", ADDRESS(INDEX($X$2:$X$1001,MATCH(ROWS($V$2:V335),$V$2:$V$1001,0),0), INDEX($AC$1004:$AS$1004,1,MATCH(COLUMNS($AC$1006:AF1006),$AC$1006:$AS$1006,0)))),"Fix")))</f>
        <v xml:space="preserve"> </v>
      </c>
      <c r="F335" s="4" t="str">
        <f ca="1">IF(OR(INDEX($W$2:$W$1001,MATCH(ROWS($V$2:V335),$V$2:$V$1001,0),1)&gt;=100000,INDEX($AC$1005:$AS$1005,1,MATCH(COLUMNS($AC$1006:AG1006),$AC$1006:$AS$1006,0))&gt;=100000), " ",IF(INDEX($AC$2:$AS$1001,MATCH(ROWS($V$2:V335),$V$2:$V$1001,0),MATCH(COLUMNS($AC$1006:AG1006),$AC$1006:$AS$1006,0)), HYPERLINK("#",""), HYPERLINK(CONCATENATE("#metadata!", ADDRESS(INDEX($X$2:$X$1001,MATCH(ROWS($V$2:V335),$V$2:$V$1001,0),0), INDEX($AC$1004:$AS$1004,1,MATCH(COLUMNS($AC$1006:AG1006),$AC$1006:$AS$1006,0)))),"Fix")))</f>
        <v xml:space="preserve"> </v>
      </c>
      <c r="G335" s="4" t="str">
        <f ca="1">IF(OR(INDEX($W$2:$W$1001,MATCH(ROWS($V$2:V335),$V$2:$V$1001,0),1)&gt;=100000,INDEX($AC$1005:$AS$1005,1,MATCH(COLUMNS($AC$1006:AH1006),$AC$1006:$AS$1006,0))&gt;=100000), " ",IF(INDEX($AC$2:$AS$1001,MATCH(ROWS($V$2:V335),$V$2:$V$1001,0),MATCH(COLUMNS($AC$1006:AH1006),$AC$1006:$AS$1006,0)), HYPERLINK("#",""), HYPERLINK(CONCATENATE("#metadata!", ADDRESS(INDEX($X$2:$X$1001,MATCH(ROWS($V$2:V335),$V$2:$V$1001,0),0), INDEX($AC$1004:$AS$1004,1,MATCH(COLUMNS($AC$1006:AH1006),$AC$1006:$AS$1006,0)))),"Fix")))</f>
        <v xml:space="preserve"> </v>
      </c>
      <c r="H335" s="4" t="str">
        <f ca="1">IF(OR(INDEX($W$2:$W$1001,MATCH(ROWS($V$2:V335),$V$2:$V$1001,0),1)&gt;=100000,INDEX($AC$1005:$AS$1005,1,MATCH(COLUMNS($AC$1006:AI1006),$AC$1006:$AS$1006,0))&gt;=100000), " ",IF(INDEX($AC$2:$AS$1001,MATCH(ROWS($V$2:V335),$V$2:$V$1001,0),MATCH(COLUMNS($AC$1006:AI1006),$AC$1006:$AS$1006,0)), HYPERLINK("#",""), HYPERLINK(CONCATENATE("#metadata!", ADDRESS(INDEX($X$2:$X$1001,MATCH(ROWS($V$2:V335),$V$2:$V$1001,0),0), INDEX($AC$1004:$AS$1004,1,MATCH(COLUMNS($AC$1006:AI1006),$AC$1006:$AS$1006,0)))),"Fix")))</f>
        <v xml:space="preserve"> </v>
      </c>
      <c r="I335" s="4" t="str">
        <f ca="1">IF(OR(INDEX($W$2:$W$1001,MATCH(ROWS($V$2:V335),$V$2:$V$1001,0),1)&gt;=100000,INDEX($AC$1005:$AS$1005,1,MATCH(COLUMNS($AC$1006:AJ1006),$AC$1006:$AS$1006,0))&gt;=100000), " ",IF(INDEX($AC$2:$AS$1001,MATCH(ROWS($V$2:V335),$V$2:$V$1001,0),MATCH(COLUMNS($AC$1006:AJ1006),$AC$1006:$AS$1006,0)), HYPERLINK("#",""), HYPERLINK(CONCATENATE("#metadata!", ADDRESS(INDEX($X$2:$X$1001,MATCH(ROWS($V$2:V335),$V$2:$V$1001,0),0), INDEX($AC$1004:$AS$1004,1,MATCH(COLUMNS($AC$1006:AJ1006),$AC$1006:$AS$1006,0)))),"Fix")))</f>
        <v xml:space="preserve"> </v>
      </c>
      <c r="J335" s="4" t="str">
        <f ca="1">IF(OR(INDEX($W$2:$W$1001,MATCH(ROWS($V$2:V335),$V$2:$V$1001,0),1)&gt;=100000,INDEX($AC$1005:$AS$1005,1,MATCH(COLUMNS($AC$1006:AK1006),$AC$1006:$AS$1006,0))&gt;=100000), " ",IF(INDEX($AC$2:$AS$1001,MATCH(ROWS($V$2:V335),$V$2:$V$1001,0),MATCH(COLUMNS($AC$1006:AK1006),$AC$1006:$AS$1006,0)), HYPERLINK("#",""), HYPERLINK(CONCATENATE("#metadata!", ADDRESS(INDEX($X$2:$X$1001,MATCH(ROWS($V$2:V335),$V$2:$V$1001,0),0), INDEX($AC$1004:$AS$1004,1,MATCH(COLUMNS($AC$1006:AK1006),$AC$1006:$AS$1006,0)))),"Fix")))</f>
        <v xml:space="preserve"> </v>
      </c>
      <c r="K335" s="4" t="str">
        <f ca="1">IF(OR(INDEX($W$2:$W$1001,MATCH(ROWS($V$2:V335),$V$2:$V$1001,0),1)&gt;=100000,INDEX($AC$1005:$AS$1005,1,MATCH(COLUMNS($AC$1006:AL1006),$AC$1006:$AS$1006,0))&gt;=100000), " ",IF(INDEX($AC$2:$AS$1001,MATCH(ROWS($V$2:V335),$V$2:$V$1001,0),MATCH(COLUMNS($AC$1006:AL1006),$AC$1006:$AS$1006,0)), HYPERLINK("#",""), HYPERLINK(CONCATENATE("#metadata!", ADDRESS(INDEX($X$2:$X$1001,MATCH(ROWS($V$2:V335),$V$2:$V$1001,0),0), INDEX($AC$1004:$AS$1004,1,MATCH(COLUMNS($AC$1006:AL1006),$AC$1006:$AS$1006,0)))),"Fix")))</f>
        <v xml:space="preserve"> </v>
      </c>
      <c r="L335" s="4" t="str">
        <f ca="1">IF(OR(INDEX($W$2:$W$1001,MATCH(ROWS($V$2:V335),$V$2:$V$1001,0),1)&gt;=100000,INDEX($AC$1005:$AS$1005,1,MATCH(COLUMNS($AC$1006:AM1006),$AC$1006:$AS$1006,0))&gt;=100000), " ",IF(INDEX($AC$2:$AS$1001,MATCH(ROWS($V$2:V335),$V$2:$V$1001,0),MATCH(COLUMNS($AC$1006:AM1006),$AC$1006:$AS$1006,0)), HYPERLINK("#",""), HYPERLINK(CONCATENATE("#metadata!", ADDRESS(INDEX($X$2:$X$1001,MATCH(ROWS($V$2:V335),$V$2:$V$1001,0),0), INDEX($AC$1004:$AS$1004,1,MATCH(COLUMNS($AC$1006:AM1006),$AC$1006:$AS$1006,0)))),"Fix")))</f>
        <v xml:space="preserve"> </v>
      </c>
      <c r="M335" s="4" t="str">
        <f ca="1">IF(OR(INDEX($W$2:$W$1001,MATCH(ROWS($V$2:V335),$V$2:$V$1001,0),1)&gt;=100000,INDEX($AC$1005:$AS$1005,1,MATCH(COLUMNS($AC$1006:AN1006),$AC$1006:$AS$1006,0))&gt;=100000), " ",IF(INDEX($AC$2:$AS$1001,MATCH(ROWS($V$2:V335),$V$2:$V$1001,0),MATCH(COLUMNS($AC$1006:AN1006),$AC$1006:$AS$1006,0)), HYPERLINK("#",""), HYPERLINK(CONCATENATE("#metadata!", ADDRESS(INDEX($X$2:$X$1001,MATCH(ROWS($V$2:V335),$V$2:$V$1001,0),0), INDEX($AC$1004:$AS$1004,1,MATCH(COLUMNS($AC$1006:AN1006),$AC$1006:$AS$1006,0)))),"Fix")))</f>
        <v xml:space="preserve"> </v>
      </c>
      <c r="N335" s="4" t="str">
        <f ca="1">IF(OR(INDEX($W$2:$W$1001,MATCH(ROWS($V$2:V335),$V$2:$V$1001,0),1)&gt;=100000,INDEX($AC$1005:$AS$1005,1,MATCH(COLUMNS($AC$1006:AO1006),$AC$1006:$AS$1006,0))&gt;=100000), " ",IF(INDEX($AC$2:$AS$1001,MATCH(ROWS($V$2:V335),$V$2:$V$1001,0),MATCH(COLUMNS($AC$1006:AO1006),$AC$1006:$AS$1006,0)), HYPERLINK("#",""), HYPERLINK(CONCATENATE("#metadata!", ADDRESS(INDEX($X$2:$X$1001,MATCH(ROWS($V$2:V335),$V$2:$V$1001,0),0), INDEX($AC$1004:$AS$1004,1,MATCH(COLUMNS($AC$1006:AO1006),$AC$1006:$AS$1006,0)))),"Fix")))</f>
        <v xml:space="preserve"> </v>
      </c>
      <c r="O335" s="4" t="str">
        <f ca="1">IF(OR(INDEX($W$2:$W$1001,MATCH(ROWS($V$2:V335),$V$2:$V$1001,0),1)&gt;=100000,INDEX($AC$1005:$AS$1005,1,MATCH(COLUMNS($AC$1006:AP1006),$AC$1006:$AS$1006,0))&gt;=100000), " ",IF(INDEX($AC$2:$AS$1001,MATCH(ROWS($V$2:V335),$V$2:$V$1001,0),MATCH(COLUMNS($AC$1006:AP1006),$AC$1006:$AS$1006,0)), HYPERLINK("#",""), HYPERLINK(CONCATENATE("#metadata!", ADDRESS(INDEX($X$2:$X$1001,MATCH(ROWS($V$2:V335),$V$2:$V$1001,0),0), INDEX($AC$1004:$AS$1004,1,MATCH(COLUMNS($AC$1006:AP1006),$AC$1006:$AS$1006,0)))),"Fix")))</f>
        <v xml:space="preserve"> </v>
      </c>
      <c r="P335" s="4" t="str">
        <f ca="1">IF(OR(INDEX($W$2:$W$1001,MATCH(ROWS($V$2:V335),$V$2:$V$1001,0),1)&gt;=100000,INDEX($AC$1005:$AS$1005,1,MATCH(COLUMNS($AC$1006:AQ1006),$AC$1006:$AS$1006,0))&gt;=100000), " ",IF(INDEX($AC$2:$AS$1001,MATCH(ROWS($V$2:V335),$V$2:$V$1001,0),MATCH(COLUMNS($AC$1006:AQ1006),$AC$1006:$AS$1006,0)), HYPERLINK("#",""), HYPERLINK(CONCATENATE("#metadata!", ADDRESS(INDEX($X$2:$X$1001,MATCH(ROWS($V$2:V335),$V$2:$V$1001,0),0), INDEX($AC$1004:$AS$1004,1,MATCH(COLUMNS($AC$1006:AQ1006),$AC$1006:$AS$1006,0)))),"Fix")))</f>
        <v xml:space="preserve"> </v>
      </c>
      <c r="Q335" s="4" t="str">
        <f ca="1">IF(OR(INDEX($W$2:$W$1001,MATCH(ROWS($V$2:V335),$V$2:$V$1001,0),1)&gt;=100000,INDEX($AC$1005:$AS$1005,1,MATCH(COLUMNS($AC$1006:AR1006),$AC$1006:$AS$1006,0))&gt;=100000), " ",IF(INDEX($AC$2:$AS$1001,MATCH(ROWS($V$2:V335),$V$2:$V$1001,0),MATCH(COLUMNS($AC$1006:AR1006),$AC$1006:$AS$1006,0)), HYPERLINK("#",""), HYPERLINK(CONCATENATE("#metadata!", ADDRESS(INDEX($X$2:$X$1001,MATCH(ROWS($V$2:V335),$V$2:$V$1001,0),0), INDEX($AC$1004:$AS$1004,1,MATCH(COLUMNS($AC$1006:AR1006),$AC$1006:$AS$1006,0)))),"Fix")))</f>
        <v xml:space="preserve"> </v>
      </c>
      <c r="R335" s="4" t="str">
        <f ca="1">IF(OR(INDEX($W$2:$W$1001,MATCH(ROWS($V$2:V335),$V$2:$V$1001,0),1)&gt;=100000,INDEX($AC$1005:$AS$1005,1,MATCH(COLUMNS($AC$1006:AS1006),$AC$1006:$AS$1006,0))&gt;=100000), " ",IF(INDEX($AC$2:$AS$1001,MATCH(ROWS($V$2:V335),$V$2:$V$1001,0),MATCH(COLUMNS($AC$1006:AS1006),$AC$1006:$AS$1006,0)), HYPERLINK("#",""), HYPERLINK(CONCATENATE("#metadata!", ADDRESS(INDEX($X$2:$X$1001,MATCH(ROWS($V$2:V335),$V$2:$V$1001,0),0), INDEX($AC$1004:$AS$1004,1,MATCH(COLUMNS($AC$1006:AS1006),$AC$1006:$AS$1006,0)))),"Fix")))</f>
        <v xml:space="preserve"> </v>
      </c>
      <c r="V335">
        <v>334</v>
      </c>
      <c r="W335">
        <v>100335</v>
      </c>
      <c r="X335">
        <v>335</v>
      </c>
      <c r="Y335" t="b">
        <f t="shared" si="5"/>
        <v>1</v>
      </c>
      <c r="Z335" t="b">
        <f>COUNTBLANK(metadata!B335:R335)=COLUMNS(metadata!B335:R335)</f>
        <v>1</v>
      </c>
      <c r="AA335" t="str">
        <v/>
      </c>
      <c r="AC335" t="b">
        <f ca="1"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AD335" t="b">
        <f>IF(metadata!C335="",FALSE,ISNUMBER(VALUE(metadata!C335)))</f>
        <v>0</v>
      </c>
      <c r="AE335" t="b">
        <f>AND(IF(metadata!D335="",FALSE,TRUE),EXACT(metadata!D335,"years"))</f>
        <v>0</v>
      </c>
      <c r="AF335" t="b">
        <f>OR(AND(IF(metadata!E335="",FALSE,TRUE),OR(EXACT(metadata!E335,"not applicable"),EXACT(metadata!E335,"missing: not collected"),EXACT(metadata!E335,"missing: not provided"),EXACT(metadata!E335,"missing: restricted access"))),AND(IF(metadata!E335="",FALSE,ISNUMBER(VALUE(metadata!E335))),metadata!E335&gt;0))</f>
        <v>0</v>
      </c>
      <c r="AG335" t="b">
        <f>AND(IF(metadata!F335="",FALSE,TRUE),EXACT(metadata!F335,"Not applicable"))</f>
        <v>0</v>
      </c>
      <c r="AH335" t="b">
        <f>AND(IF(metadata!G335="",FALSE,TRUE),EXACT(metadata!G335,"urban biome"))</f>
        <v>0</v>
      </c>
      <c r="AI335" t="b">
        <f>AND(IF(metadata!H335="",FALSE,TRUE),EXACT(metadata!H335,"human-associated habitat"))</f>
        <v>0</v>
      </c>
      <c r="AJ335" t="b">
        <f>AND(IF(metadata!I335="",FALSE,TRUE),OR(EXACT(metadata!I335,"human-associated"),EXACT(metadata!I335,"human-skin"),EXACT(metadata!I335,"human-oral"),EXACT(metadata!I335,"human-gut"),EXACT(metadata!I335,"human-vaginal")))</f>
        <v>0</v>
      </c>
      <c r="AK335" t="b">
        <f>IF(metadata!J335="",FALSE,ISNUMBER(VALUE(metadata!J335)))</f>
        <v>0</v>
      </c>
      <c r="AL335" t="b">
        <f>AND(IF(metadata!K335="",FALSE,TRUE),EXACT(metadata!K335,"cm"))</f>
        <v>0</v>
      </c>
      <c r="AM335" t="b">
        <f>AND(IF(metadata!L335="",FALSE,TRUE),EXACT(metadata!L335,"human"))</f>
        <v>0</v>
      </c>
      <c r="AN335" t="b">
        <f>AND(IF(metadata!M335="",FALSE,TRUE),EXACT(metadata!M335,"Homo sapiens"))</f>
        <v>0</v>
      </c>
      <c r="AO335" t="b">
        <f>AND(IF(metadata!N335="",FALSE,TRUE),EXACT(metadata!N335,"9606"))</f>
        <v>0</v>
      </c>
      <c r="AP335" t="b">
        <f>IF(metadata!O335="",FALSE,TRUE)</f>
        <v>0</v>
      </c>
      <c r="AQ335" t="b">
        <f>IF(metadata!P335="",FALSE,TRUE)</f>
        <v>0</v>
      </c>
      <c r="AR335" t="b">
        <f>IF(metadata!Q335="",FALSE,ISNUMBER(VALUE(metadata!Q335)))</f>
        <v>0</v>
      </c>
      <c r="AS335" t="b">
        <f>AND(IF(metadata!R335="",FALSE,TRUE),EXACT(metadata!R335,"kg"))</f>
        <v>0</v>
      </c>
    </row>
    <row r="336" spans="1:45" x14ac:dyDescent="0.2">
      <c r="A336" s="5" t="str">
        <f ca="1">IF(B336=" "," ",HYPERLINK(CONCATENATE("#metadata!",ADDRESS(INDEX($X$2:$X$1001,MATCH(ROWS($V$2:V336),$V$2:$V$1001,0),0),1)),INDEX($AA$2:$AA$1001,MATCH(ROWS($V$2:V336),$V$2:$V$1001,0),0)))</f>
        <v xml:space="preserve"> </v>
      </c>
      <c r="B336" s="4" t="str">
        <f ca="1">IF(OR(INDEX($W$2:$W$1001,MATCH(ROWS($V$2:V336),$V$2:$V$1001,0),1)&gt;=100000,INDEX($AC$1005:$AS$1005,1,MATCH(COLUMNS($AC$1006:AC1006),$AC$1006:$AS$1006,0))&gt;=100000), " ",IF(INDEX($AC$2:$AS$1001,MATCH(ROWS($V$2:V336),$V$2:$V$1001,0),MATCH(COLUMNS($AC$1006:AC1006),$AC$1006:$AS$1006,0)), HYPERLINK("#",""), HYPERLINK(CONCATENATE("#metadata!", ADDRESS(INDEX($X$2:$X$1001,MATCH(ROWS($V$2:V336),$V$2:$V$1001,0),0), INDEX($AC$1004:$AS$1004,1,MATCH(COLUMNS($AC$1006:AC1006),$AC$1006:$AS$1006,0)))),"Fix")))</f>
        <v xml:space="preserve"> </v>
      </c>
      <c r="C336" s="4" t="str">
        <f ca="1">IF(OR(INDEX($W$2:$W$1001,MATCH(ROWS($V$2:V336),$V$2:$V$1001,0),1)&gt;=100000,INDEX($AC$1005:$AS$1005,1,MATCH(COLUMNS($AC$1006:AD1006),$AC$1006:$AS$1006,0))&gt;=100000), " ",IF(INDEX($AC$2:$AS$1001,MATCH(ROWS($V$2:V336),$V$2:$V$1001,0),MATCH(COLUMNS($AC$1006:AD1006),$AC$1006:$AS$1006,0)), HYPERLINK("#",""), HYPERLINK(CONCATENATE("#metadata!", ADDRESS(INDEX($X$2:$X$1001,MATCH(ROWS($V$2:V336),$V$2:$V$1001,0),0), INDEX($AC$1004:$AS$1004,1,MATCH(COLUMNS($AC$1006:AD1006),$AC$1006:$AS$1006,0)))),"Fix")))</f>
        <v xml:space="preserve"> </v>
      </c>
      <c r="D336" s="4" t="str">
        <f ca="1">IF(OR(INDEX($W$2:$W$1001,MATCH(ROWS($V$2:V336),$V$2:$V$1001,0),1)&gt;=100000,INDEX($AC$1005:$AS$1005,1,MATCH(COLUMNS($AC$1006:AE1006),$AC$1006:$AS$1006,0))&gt;=100000), " ",IF(INDEX($AC$2:$AS$1001,MATCH(ROWS($V$2:V336),$V$2:$V$1001,0),MATCH(COLUMNS($AC$1006:AE1006),$AC$1006:$AS$1006,0)), HYPERLINK("#",""), HYPERLINK(CONCATENATE("#metadata!", ADDRESS(INDEX($X$2:$X$1001,MATCH(ROWS($V$2:V336),$V$2:$V$1001,0),0), INDEX($AC$1004:$AS$1004,1,MATCH(COLUMNS($AC$1006:AE1006),$AC$1006:$AS$1006,0)))),"Fix")))</f>
        <v xml:space="preserve"> </v>
      </c>
      <c r="E336" s="4" t="str">
        <f ca="1">IF(OR(INDEX($W$2:$W$1001,MATCH(ROWS($V$2:V336),$V$2:$V$1001,0),1)&gt;=100000,INDEX($AC$1005:$AS$1005,1,MATCH(COLUMNS($AC$1006:AF1006),$AC$1006:$AS$1006,0))&gt;=100000), " ",IF(INDEX($AC$2:$AS$1001,MATCH(ROWS($V$2:V336),$V$2:$V$1001,0),MATCH(COLUMNS($AC$1006:AF1006),$AC$1006:$AS$1006,0)), HYPERLINK("#",""), HYPERLINK(CONCATENATE("#metadata!", ADDRESS(INDEX($X$2:$X$1001,MATCH(ROWS($V$2:V336),$V$2:$V$1001,0),0), INDEX($AC$1004:$AS$1004,1,MATCH(COLUMNS($AC$1006:AF1006),$AC$1006:$AS$1006,0)))),"Fix")))</f>
        <v xml:space="preserve"> </v>
      </c>
      <c r="F336" s="4" t="str">
        <f ca="1">IF(OR(INDEX($W$2:$W$1001,MATCH(ROWS($V$2:V336),$V$2:$V$1001,0),1)&gt;=100000,INDEX($AC$1005:$AS$1005,1,MATCH(COLUMNS($AC$1006:AG1006),$AC$1006:$AS$1006,0))&gt;=100000), " ",IF(INDEX($AC$2:$AS$1001,MATCH(ROWS($V$2:V336),$V$2:$V$1001,0),MATCH(COLUMNS($AC$1006:AG1006),$AC$1006:$AS$1006,0)), HYPERLINK("#",""), HYPERLINK(CONCATENATE("#metadata!", ADDRESS(INDEX($X$2:$X$1001,MATCH(ROWS($V$2:V336),$V$2:$V$1001,0),0), INDEX($AC$1004:$AS$1004,1,MATCH(COLUMNS($AC$1006:AG1006),$AC$1006:$AS$1006,0)))),"Fix")))</f>
        <v xml:space="preserve"> </v>
      </c>
      <c r="G336" s="4" t="str">
        <f ca="1">IF(OR(INDEX($W$2:$W$1001,MATCH(ROWS($V$2:V336),$V$2:$V$1001,0),1)&gt;=100000,INDEX($AC$1005:$AS$1005,1,MATCH(COLUMNS($AC$1006:AH1006),$AC$1006:$AS$1006,0))&gt;=100000), " ",IF(INDEX($AC$2:$AS$1001,MATCH(ROWS($V$2:V336),$V$2:$V$1001,0),MATCH(COLUMNS($AC$1006:AH1006),$AC$1006:$AS$1006,0)), HYPERLINK("#",""), HYPERLINK(CONCATENATE("#metadata!", ADDRESS(INDEX($X$2:$X$1001,MATCH(ROWS($V$2:V336),$V$2:$V$1001,0),0), INDEX($AC$1004:$AS$1004,1,MATCH(COLUMNS($AC$1006:AH1006),$AC$1006:$AS$1006,0)))),"Fix")))</f>
        <v xml:space="preserve"> </v>
      </c>
      <c r="H336" s="4" t="str">
        <f ca="1">IF(OR(INDEX($W$2:$W$1001,MATCH(ROWS($V$2:V336),$V$2:$V$1001,0),1)&gt;=100000,INDEX($AC$1005:$AS$1005,1,MATCH(COLUMNS($AC$1006:AI1006),$AC$1006:$AS$1006,0))&gt;=100000), " ",IF(INDEX($AC$2:$AS$1001,MATCH(ROWS($V$2:V336),$V$2:$V$1001,0),MATCH(COLUMNS($AC$1006:AI1006),$AC$1006:$AS$1006,0)), HYPERLINK("#",""), HYPERLINK(CONCATENATE("#metadata!", ADDRESS(INDEX($X$2:$X$1001,MATCH(ROWS($V$2:V336),$V$2:$V$1001,0),0), INDEX($AC$1004:$AS$1004,1,MATCH(COLUMNS($AC$1006:AI1006),$AC$1006:$AS$1006,0)))),"Fix")))</f>
        <v xml:space="preserve"> </v>
      </c>
      <c r="I336" s="4" t="str">
        <f ca="1">IF(OR(INDEX($W$2:$W$1001,MATCH(ROWS($V$2:V336),$V$2:$V$1001,0),1)&gt;=100000,INDEX($AC$1005:$AS$1005,1,MATCH(COLUMNS($AC$1006:AJ1006),$AC$1006:$AS$1006,0))&gt;=100000), " ",IF(INDEX($AC$2:$AS$1001,MATCH(ROWS($V$2:V336),$V$2:$V$1001,0),MATCH(COLUMNS($AC$1006:AJ1006),$AC$1006:$AS$1006,0)), HYPERLINK("#",""), HYPERLINK(CONCATENATE("#metadata!", ADDRESS(INDEX($X$2:$X$1001,MATCH(ROWS($V$2:V336),$V$2:$V$1001,0),0), INDEX($AC$1004:$AS$1004,1,MATCH(COLUMNS($AC$1006:AJ1006),$AC$1006:$AS$1006,0)))),"Fix")))</f>
        <v xml:space="preserve"> </v>
      </c>
      <c r="J336" s="4" t="str">
        <f ca="1">IF(OR(INDEX($W$2:$W$1001,MATCH(ROWS($V$2:V336),$V$2:$V$1001,0),1)&gt;=100000,INDEX($AC$1005:$AS$1005,1,MATCH(COLUMNS($AC$1006:AK1006),$AC$1006:$AS$1006,0))&gt;=100000), " ",IF(INDEX($AC$2:$AS$1001,MATCH(ROWS($V$2:V336),$V$2:$V$1001,0),MATCH(COLUMNS($AC$1006:AK1006),$AC$1006:$AS$1006,0)), HYPERLINK("#",""), HYPERLINK(CONCATENATE("#metadata!", ADDRESS(INDEX($X$2:$X$1001,MATCH(ROWS($V$2:V336),$V$2:$V$1001,0),0), INDEX($AC$1004:$AS$1004,1,MATCH(COLUMNS($AC$1006:AK1006),$AC$1006:$AS$1006,0)))),"Fix")))</f>
        <v xml:space="preserve"> </v>
      </c>
      <c r="K336" s="4" t="str">
        <f ca="1">IF(OR(INDEX($W$2:$W$1001,MATCH(ROWS($V$2:V336),$V$2:$V$1001,0),1)&gt;=100000,INDEX($AC$1005:$AS$1005,1,MATCH(COLUMNS($AC$1006:AL1006),$AC$1006:$AS$1006,0))&gt;=100000), " ",IF(INDEX($AC$2:$AS$1001,MATCH(ROWS($V$2:V336),$V$2:$V$1001,0),MATCH(COLUMNS($AC$1006:AL1006),$AC$1006:$AS$1006,0)), HYPERLINK("#",""), HYPERLINK(CONCATENATE("#metadata!", ADDRESS(INDEX($X$2:$X$1001,MATCH(ROWS($V$2:V336),$V$2:$V$1001,0),0), INDEX($AC$1004:$AS$1004,1,MATCH(COLUMNS($AC$1006:AL1006),$AC$1006:$AS$1006,0)))),"Fix")))</f>
        <v xml:space="preserve"> </v>
      </c>
      <c r="L336" s="4" t="str">
        <f ca="1">IF(OR(INDEX($W$2:$W$1001,MATCH(ROWS($V$2:V336),$V$2:$V$1001,0),1)&gt;=100000,INDEX($AC$1005:$AS$1005,1,MATCH(COLUMNS($AC$1006:AM1006),$AC$1006:$AS$1006,0))&gt;=100000), " ",IF(INDEX($AC$2:$AS$1001,MATCH(ROWS($V$2:V336),$V$2:$V$1001,0),MATCH(COLUMNS($AC$1006:AM1006),$AC$1006:$AS$1006,0)), HYPERLINK("#",""), HYPERLINK(CONCATENATE("#metadata!", ADDRESS(INDEX($X$2:$X$1001,MATCH(ROWS($V$2:V336),$V$2:$V$1001,0),0), INDEX($AC$1004:$AS$1004,1,MATCH(COLUMNS($AC$1006:AM1006),$AC$1006:$AS$1006,0)))),"Fix")))</f>
        <v xml:space="preserve"> </v>
      </c>
      <c r="M336" s="4" t="str">
        <f ca="1">IF(OR(INDEX($W$2:$W$1001,MATCH(ROWS($V$2:V336),$V$2:$V$1001,0),1)&gt;=100000,INDEX($AC$1005:$AS$1005,1,MATCH(COLUMNS($AC$1006:AN1006),$AC$1006:$AS$1006,0))&gt;=100000), " ",IF(INDEX($AC$2:$AS$1001,MATCH(ROWS($V$2:V336),$V$2:$V$1001,0),MATCH(COLUMNS($AC$1006:AN1006),$AC$1006:$AS$1006,0)), HYPERLINK("#",""), HYPERLINK(CONCATENATE("#metadata!", ADDRESS(INDEX($X$2:$X$1001,MATCH(ROWS($V$2:V336),$V$2:$V$1001,0),0), INDEX($AC$1004:$AS$1004,1,MATCH(COLUMNS($AC$1006:AN1006),$AC$1006:$AS$1006,0)))),"Fix")))</f>
        <v xml:space="preserve"> </v>
      </c>
      <c r="N336" s="4" t="str">
        <f ca="1">IF(OR(INDEX($W$2:$W$1001,MATCH(ROWS($V$2:V336),$V$2:$V$1001,0),1)&gt;=100000,INDEX($AC$1005:$AS$1005,1,MATCH(COLUMNS($AC$1006:AO1006),$AC$1006:$AS$1006,0))&gt;=100000), " ",IF(INDEX($AC$2:$AS$1001,MATCH(ROWS($V$2:V336),$V$2:$V$1001,0),MATCH(COLUMNS($AC$1006:AO1006),$AC$1006:$AS$1006,0)), HYPERLINK("#",""), HYPERLINK(CONCATENATE("#metadata!", ADDRESS(INDEX($X$2:$X$1001,MATCH(ROWS($V$2:V336),$V$2:$V$1001,0),0), INDEX($AC$1004:$AS$1004,1,MATCH(COLUMNS($AC$1006:AO1006),$AC$1006:$AS$1006,0)))),"Fix")))</f>
        <v xml:space="preserve"> </v>
      </c>
      <c r="O336" s="4" t="str">
        <f ca="1">IF(OR(INDEX($W$2:$W$1001,MATCH(ROWS($V$2:V336),$V$2:$V$1001,0),1)&gt;=100000,INDEX($AC$1005:$AS$1005,1,MATCH(COLUMNS($AC$1006:AP1006),$AC$1006:$AS$1006,0))&gt;=100000), " ",IF(INDEX($AC$2:$AS$1001,MATCH(ROWS($V$2:V336),$V$2:$V$1001,0),MATCH(COLUMNS($AC$1006:AP1006),$AC$1006:$AS$1006,0)), HYPERLINK("#",""), HYPERLINK(CONCATENATE("#metadata!", ADDRESS(INDEX($X$2:$X$1001,MATCH(ROWS($V$2:V336),$V$2:$V$1001,0),0), INDEX($AC$1004:$AS$1004,1,MATCH(COLUMNS($AC$1006:AP1006),$AC$1006:$AS$1006,0)))),"Fix")))</f>
        <v xml:space="preserve"> </v>
      </c>
      <c r="P336" s="4" t="str">
        <f ca="1">IF(OR(INDEX($W$2:$W$1001,MATCH(ROWS($V$2:V336),$V$2:$V$1001,0),1)&gt;=100000,INDEX($AC$1005:$AS$1005,1,MATCH(COLUMNS($AC$1006:AQ1006),$AC$1006:$AS$1006,0))&gt;=100000), " ",IF(INDEX($AC$2:$AS$1001,MATCH(ROWS($V$2:V336),$V$2:$V$1001,0),MATCH(COLUMNS($AC$1006:AQ1006),$AC$1006:$AS$1006,0)), HYPERLINK("#",""), HYPERLINK(CONCATENATE("#metadata!", ADDRESS(INDEX($X$2:$X$1001,MATCH(ROWS($V$2:V336),$V$2:$V$1001,0),0), INDEX($AC$1004:$AS$1004,1,MATCH(COLUMNS($AC$1006:AQ1006),$AC$1006:$AS$1006,0)))),"Fix")))</f>
        <v xml:space="preserve"> </v>
      </c>
      <c r="Q336" s="4" t="str">
        <f ca="1">IF(OR(INDEX($W$2:$W$1001,MATCH(ROWS($V$2:V336),$V$2:$V$1001,0),1)&gt;=100000,INDEX($AC$1005:$AS$1005,1,MATCH(COLUMNS($AC$1006:AR1006),$AC$1006:$AS$1006,0))&gt;=100000), " ",IF(INDEX($AC$2:$AS$1001,MATCH(ROWS($V$2:V336),$V$2:$V$1001,0),MATCH(COLUMNS($AC$1006:AR1006),$AC$1006:$AS$1006,0)), HYPERLINK("#",""), HYPERLINK(CONCATENATE("#metadata!", ADDRESS(INDEX($X$2:$X$1001,MATCH(ROWS($V$2:V336),$V$2:$V$1001,0),0), INDEX($AC$1004:$AS$1004,1,MATCH(COLUMNS($AC$1006:AR1006),$AC$1006:$AS$1006,0)))),"Fix")))</f>
        <v xml:space="preserve"> </v>
      </c>
      <c r="R336" s="4" t="str">
        <f ca="1">IF(OR(INDEX($W$2:$W$1001,MATCH(ROWS($V$2:V336),$V$2:$V$1001,0),1)&gt;=100000,INDEX($AC$1005:$AS$1005,1,MATCH(COLUMNS($AC$1006:AS1006),$AC$1006:$AS$1006,0))&gt;=100000), " ",IF(INDEX($AC$2:$AS$1001,MATCH(ROWS($V$2:V336),$V$2:$V$1001,0),MATCH(COLUMNS($AC$1006:AS1006),$AC$1006:$AS$1006,0)), HYPERLINK("#",""), HYPERLINK(CONCATENATE("#metadata!", ADDRESS(INDEX($X$2:$X$1001,MATCH(ROWS($V$2:V336),$V$2:$V$1001,0),0), INDEX($AC$1004:$AS$1004,1,MATCH(COLUMNS($AC$1006:AS1006),$AC$1006:$AS$1006,0)))),"Fix")))</f>
        <v xml:space="preserve"> </v>
      </c>
      <c r="V336">
        <v>335</v>
      </c>
      <c r="W336">
        <v>100336</v>
      </c>
      <c r="X336">
        <v>336</v>
      </c>
      <c r="Y336" t="b">
        <f t="shared" si="5"/>
        <v>1</v>
      </c>
      <c r="Z336" t="b">
        <f>COUNTBLANK(metadata!B336:R336)=COLUMNS(metadata!B336:R336)</f>
        <v>1</v>
      </c>
      <c r="AA336" t="str">
        <v/>
      </c>
      <c r="AC336" t="b">
        <f ca="1"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AD336" t="b">
        <f>IF(metadata!C336="",FALSE,ISNUMBER(VALUE(metadata!C336)))</f>
        <v>0</v>
      </c>
      <c r="AE336" t="b">
        <f>AND(IF(metadata!D336="",FALSE,TRUE),EXACT(metadata!D336,"years"))</f>
        <v>0</v>
      </c>
      <c r="AF336" t="b">
        <f>OR(AND(IF(metadata!E336="",FALSE,TRUE),OR(EXACT(metadata!E336,"not applicable"),EXACT(metadata!E336,"missing: not collected"),EXACT(metadata!E336,"missing: not provided"),EXACT(metadata!E336,"missing: restricted access"))),AND(IF(metadata!E336="",FALSE,ISNUMBER(VALUE(metadata!E336))),metadata!E336&gt;0))</f>
        <v>0</v>
      </c>
      <c r="AG336" t="b">
        <f>AND(IF(metadata!F336="",FALSE,TRUE),EXACT(metadata!F336,"Not applicable"))</f>
        <v>0</v>
      </c>
      <c r="AH336" t="b">
        <f>AND(IF(metadata!G336="",FALSE,TRUE),EXACT(metadata!G336,"urban biome"))</f>
        <v>0</v>
      </c>
      <c r="AI336" t="b">
        <f>AND(IF(metadata!H336="",FALSE,TRUE),EXACT(metadata!H336,"human-associated habitat"))</f>
        <v>0</v>
      </c>
      <c r="AJ336" t="b">
        <f>AND(IF(metadata!I336="",FALSE,TRUE),OR(EXACT(metadata!I336,"human-associated"),EXACT(metadata!I336,"human-skin"),EXACT(metadata!I336,"human-oral"),EXACT(metadata!I336,"human-gut"),EXACT(metadata!I336,"human-vaginal")))</f>
        <v>0</v>
      </c>
      <c r="AK336" t="b">
        <f>IF(metadata!J336="",FALSE,ISNUMBER(VALUE(metadata!J336)))</f>
        <v>0</v>
      </c>
      <c r="AL336" t="b">
        <f>AND(IF(metadata!K336="",FALSE,TRUE),EXACT(metadata!K336,"cm"))</f>
        <v>0</v>
      </c>
      <c r="AM336" t="b">
        <f>AND(IF(metadata!L336="",FALSE,TRUE),EXACT(metadata!L336,"human"))</f>
        <v>0</v>
      </c>
      <c r="AN336" t="b">
        <f>AND(IF(metadata!M336="",FALSE,TRUE),EXACT(metadata!M336,"Homo sapiens"))</f>
        <v>0</v>
      </c>
      <c r="AO336" t="b">
        <f>AND(IF(metadata!N336="",FALSE,TRUE),EXACT(metadata!N336,"9606"))</f>
        <v>0</v>
      </c>
      <c r="AP336" t="b">
        <f>IF(metadata!O336="",FALSE,TRUE)</f>
        <v>0</v>
      </c>
      <c r="AQ336" t="b">
        <f>IF(metadata!P336="",FALSE,TRUE)</f>
        <v>0</v>
      </c>
      <c r="AR336" t="b">
        <f>IF(metadata!Q336="",FALSE,ISNUMBER(VALUE(metadata!Q336)))</f>
        <v>0</v>
      </c>
      <c r="AS336" t="b">
        <f>AND(IF(metadata!R336="",FALSE,TRUE),EXACT(metadata!R336,"kg"))</f>
        <v>0</v>
      </c>
    </row>
    <row r="337" spans="1:45" x14ac:dyDescent="0.2">
      <c r="A337" s="5" t="str">
        <f ca="1">IF(B337=" "," ",HYPERLINK(CONCATENATE("#metadata!",ADDRESS(INDEX($X$2:$X$1001,MATCH(ROWS($V$2:V337),$V$2:$V$1001,0),0),1)),INDEX($AA$2:$AA$1001,MATCH(ROWS($V$2:V337),$V$2:$V$1001,0),0)))</f>
        <v xml:space="preserve"> </v>
      </c>
      <c r="B337" s="4" t="str">
        <f ca="1">IF(OR(INDEX($W$2:$W$1001,MATCH(ROWS($V$2:V337),$V$2:$V$1001,0),1)&gt;=100000,INDEX($AC$1005:$AS$1005,1,MATCH(COLUMNS($AC$1006:AC1006),$AC$1006:$AS$1006,0))&gt;=100000), " ",IF(INDEX($AC$2:$AS$1001,MATCH(ROWS($V$2:V337),$V$2:$V$1001,0),MATCH(COLUMNS($AC$1006:AC1006),$AC$1006:$AS$1006,0)), HYPERLINK("#",""), HYPERLINK(CONCATENATE("#metadata!", ADDRESS(INDEX($X$2:$X$1001,MATCH(ROWS($V$2:V337),$V$2:$V$1001,0),0), INDEX($AC$1004:$AS$1004,1,MATCH(COLUMNS($AC$1006:AC1006),$AC$1006:$AS$1006,0)))),"Fix")))</f>
        <v xml:space="preserve"> </v>
      </c>
      <c r="C337" s="4" t="str">
        <f ca="1">IF(OR(INDEX($W$2:$W$1001,MATCH(ROWS($V$2:V337),$V$2:$V$1001,0),1)&gt;=100000,INDEX($AC$1005:$AS$1005,1,MATCH(COLUMNS($AC$1006:AD1006),$AC$1006:$AS$1006,0))&gt;=100000), " ",IF(INDEX($AC$2:$AS$1001,MATCH(ROWS($V$2:V337),$V$2:$V$1001,0),MATCH(COLUMNS($AC$1006:AD1006),$AC$1006:$AS$1006,0)), HYPERLINK("#",""), HYPERLINK(CONCATENATE("#metadata!", ADDRESS(INDEX($X$2:$X$1001,MATCH(ROWS($V$2:V337),$V$2:$V$1001,0),0), INDEX($AC$1004:$AS$1004,1,MATCH(COLUMNS($AC$1006:AD1006),$AC$1006:$AS$1006,0)))),"Fix")))</f>
        <v xml:space="preserve"> </v>
      </c>
      <c r="D337" s="4" t="str">
        <f ca="1">IF(OR(INDEX($W$2:$W$1001,MATCH(ROWS($V$2:V337),$V$2:$V$1001,0),1)&gt;=100000,INDEX($AC$1005:$AS$1005,1,MATCH(COLUMNS($AC$1006:AE1006),$AC$1006:$AS$1006,0))&gt;=100000), " ",IF(INDEX($AC$2:$AS$1001,MATCH(ROWS($V$2:V337),$V$2:$V$1001,0),MATCH(COLUMNS($AC$1006:AE1006),$AC$1006:$AS$1006,0)), HYPERLINK("#",""), HYPERLINK(CONCATENATE("#metadata!", ADDRESS(INDEX($X$2:$X$1001,MATCH(ROWS($V$2:V337),$V$2:$V$1001,0),0), INDEX($AC$1004:$AS$1004,1,MATCH(COLUMNS($AC$1006:AE1006),$AC$1006:$AS$1006,0)))),"Fix")))</f>
        <v xml:space="preserve"> </v>
      </c>
      <c r="E337" s="4" t="str">
        <f ca="1">IF(OR(INDEX($W$2:$W$1001,MATCH(ROWS($V$2:V337),$V$2:$V$1001,0),1)&gt;=100000,INDEX($AC$1005:$AS$1005,1,MATCH(COLUMNS($AC$1006:AF1006),$AC$1006:$AS$1006,0))&gt;=100000), " ",IF(INDEX($AC$2:$AS$1001,MATCH(ROWS($V$2:V337),$V$2:$V$1001,0),MATCH(COLUMNS($AC$1006:AF1006),$AC$1006:$AS$1006,0)), HYPERLINK("#",""), HYPERLINK(CONCATENATE("#metadata!", ADDRESS(INDEX($X$2:$X$1001,MATCH(ROWS($V$2:V337),$V$2:$V$1001,0),0), INDEX($AC$1004:$AS$1004,1,MATCH(COLUMNS($AC$1006:AF1006),$AC$1006:$AS$1006,0)))),"Fix")))</f>
        <v xml:space="preserve"> </v>
      </c>
      <c r="F337" s="4" t="str">
        <f ca="1">IF(OR(INDEX($W$2:$W$1001,MATCH(ROWS($V$2:V337),$V$2:$V$1001,0),1)&gt;=100000,INDEX($AC$1005:$AS$1005,1,MATCH(COLUMNS($AC$1006:AG1006),$AC$1006:$AS$1006,0))&gt;=100000), " ",IF(INDEX($AC$2:$AS$1001,MATCH(ROWS($V$2:V337),$V$2:$V$1001,0),MATCH(COLUMNS($AC$1006:AG1006),$AC$1006:$AS$1006,0)), HYPERLINK("#",""), HYPERLINK(CONCATENATE("#metadata!", ADDRESS(INDEX($X$2:$X$1001,MATCH(ROWS($V$2:V337),$V$2:$V$1001,0),0), INDEX($AC$1004:$AS$1004,1,MATCH(COLUMNS($AC$1006:AG1006),$AC$1006:$AS$1006,0)))),"Fix")))</f>
        <v xml:space="preserve"> </v>
      </c>
      <c r="G337" s="4" t="str">
        <f ca="1">IF(OR(INDEX($W$2:$W$1001,MATCH(ROWS($V$2:V337),$V$2:$V$1001,0),1)&gt;=100000,INDEX($AC$1005:$AS$1005,1,MATCH(COLUMNS($AC$1006:AH1006),$AC$1006:$AS$1006,0))&gt;=100000), " ",IF(INDEX($AC$2:$AS$1001,MATCH(ROWS($V$2:V337),$V$2:$V$1001,0),MATCH(COLUMNS($AC$1006:AH1006),$AC$1006:$AS$1006,0)), HYPERLINK("#",""), HYPERLINK(CONCATENATE("#metadata!", ADDRESS(INDEX($X$2:$X$1001,MATCH(ROWS($V$2:V337),$V$2:$V$1001,0),0), INDEX($AC$1004:$AS$1004,1,MATCH(COLUMNS($AC$1006:AH1006),$AC$1006:$AS$1006,0)))),"Fix")))</f>
        <v xml:space="preserve"> </v>
      </c>
      <c r="H337" s="4" t="str">
        <f ca="1">IF(OR(INDEX($W$2:$W$1001,MATCH(ROWS($V$2:V337),$V$2:$V$1001,0),1)&gt;=100000,INDEX($AC$1005:$AS$1005,1,MATCH(COLUMNS($AC$1006:AI1006),$AC$1006:$AS$1006,0))&gt;=100000), " ",IF(INDEX($AC$2:$AS$1001,MATCH(ROWS($V$2:V337),$V$2:$V$1001,0),MATCH(COLUMNS($AC$1006:AI1006),$AC$1006:$AS$1006,0)), HYPERLINK("#",""), HYPERLINK(CONCATENATE("#metadata!", ADDRESS(INDEX($X$2:$X$1001,MATCH(ROWS($V$2:V337),$V$2:$V$1001,0),0), INDEX($AC$1004:$AS$1004,1,MATCH(COLUMNS($AC$1006:AI1006),$AC$1006:$AS$1006,0)))),"Fix")))</f>
        <v xml:space="preserve"> </v>
      </c>
      <c r="I337" s="4" t="str">
        <f ca="1">IF(OR(INDEX($W$2:$W$1001,MATCH(ROWS($V$2:V337),$V$2:$V$1001,0),1)&gt;=100000,INDEX($AC$1005:$AS$1005,1,MATCH(COLUMNS($AC$1006:AJ1006),$AC$1006:$AS$1006,0))&gt;=100000), " ",IF(INDEX($AC$2:$AS$1001,MATCH(ROWS($V$2:V337),$V$2:$V$1001,0),MATCH(COLUMNS($AC$1006:AJ1006),$AC$1006:$AS$1006,0)), HYPERLINK("#",""), HYPERLINK(CONCATENATE("#metadata!", ADDRESS(INDEX($X$2:$X$1001,MATCH(ROWS($V$2:V337),$V$2:$V$1001,0),0), INDEX($AC$1004:$AS$1004,1,MATCH(COLUMNS($AC$1006:AJ1006),$AC$1006:$AS$1006,0)))),"Fix")))</f>
        <v xml:space="preserve"> </v>
      </c>
      <c r="J337" s="4" t="str">
        <f ca="1">IF(OR(INDEX($W$2:$W$1001,MATCH(ROWS($V$2:V337),$V$2:$V$1001,0),1)&gt;=100000,INDEX($AC$1005:$AS$1005,1,MATCH(COLUMNS($AC$1006:AK1006),$AC$1006:$AS$1006,0))&gt;=100000), " ",IF(INDEX($AC$2:$AS$1001,MATCH(ROWS($V$2:V337),$V$2:$V$1001,0),MATCH(COLUMNS($AC$1006:AK1006),$AC$1006:$AS$1006,0)), HYPERLINK("#",""), HYPERLINK(CONCATENATE("#metadata!", ADDRESS(INDEX($X$2:$X$1001,MATCH(ROWS($V$2:V337),$V$2:$V$1001,0),0), INDEX($AC$1004:$AS$1004,1,MATCH(COLUMNS($AC$1006:AK1006),$AC$1006:$AS$1006,0)))),"Fix")))</f>
        <v xml:space="preserve"> </v>
      </c>
      <c r="K337" s="4" t="str">
        <f ca="1">IF(OR(INDEX($W$2:$W$1001,MATCH(ROWS($V$2:V337),$V$2:$V$1001,0),1)&gt;=100000,INDEX($AC$1005:$AS$1005,1,MATCH(COLUMNS($AC$1006:AL1006),$AC$1006:$AS$1006,0))&gt;=100000), " ",IF(INDEX($AC$2:$AS$1001,MATCH(ROWS($V$2:V337),$V$2:$V$1001,0),MATCH(COLUMNS($AC$1006:AL1006),$AC$1006:$AS$1006,0)), HYPERLINK("#",""), HYPERLINK(CONCATENATE("#metadata!", ADDRESS(INDEX($X$2:$X$1001,MATCH(ROWS($V$2:V337),$V$2:$V$1001,0),0), INDEX($AC$1004:$AS$1004,1,MATCH(COLUMNS($AC$1006:AL1006),$AC$1006:$AS$1006,0)))),"Fix")))</f>
        <v xml:space="preserve"> </v>
      </c>
      <c r="L337" s="4" t="str">
        <f ca="1">IF(OR(INDEX($W$2:$W$1001,MATCH(ROWS($V$2:V337),$V$2:$V$1001,0),1)&gt;=100000,INDEX($AC$1005:$AS$1005,1,MATCH(COLUMNS($AC$1006:AM1006),$AC$1006:$AS$1006,0))&gt;=100000), " ",IF(INDEX($AC$2:$AS$1001,MATCH(ROWS($V$2:V337),$V$2:$V$1001,0),MATCH(COLUMNS($AC$1006:AM1006),$AC$1006:$AS$1006,0)), HYPERLINK("#",""), HYPERLINK(CONCATENATE("#metadata!", ADDRESS(INDEX($X$2:$X$1001,MATCH(ROWS($V$2:V337),$V$2:$V$1001,0),0), INDEX($AC$1004:$AS$1004,1,MATCH(COLUMNS($AC$1006:AM1006),$AC$1006:$AS$1006,0)))),"Fix")))</f>
        <v xml:space="preserve"> </v>
      </c>
      <c r="M337" s="4" t="str">
        <f ca="1">IF(OR(INDEX($W$2:$W$1001,MATCH(ROWS($V$2:V337),$V$2:$V$1001,0),1)&gt;=100000,INDEX($AC$1005:$AS$1005,1,MATCH(COLUMNS($AC$1006:AN1006),$AC$1006:$AS$1006,0))&gt;=100000), " ",IF(INDEX($AC$2:$AS$1001,MATCH(ROWS($V$2:V337),$V$2:$V$1001,0),MATCH(COLUMNS($AC$1006:AN1006),$AC$1006:$AS$1006,0)), HYPERLINK("#",""), HYPERLINK(CONCATENATE("#metadata!", ADDRESS(INDEX($X$2:$X$1001,MATCH(ROWS($V$2:V337),$V$2:$V$1001,0),0), INDEX($AC$1004:$AS$1004,1,MATCH(COLUMNS($AC$1006:AN1006),$AC$1006:$AS$1006,0)))),"Fix")))</f>
        <v xml:space="preserve"> </v>
      </c>
      <c r="N337" s="4" t="str">
        <f ca="1">IF(OR(INDEX($W$2:$W$1001,MATCH(ROWS($V$2:V337),$V$2:$V$1001,0),1)&gt;=100000,INDEX($AC$1005:$AS$1005,1,MATCH(COLUMNS($AC$1006:AO1006),$AC$1006:$AS$1006,0))&gt;=100000), " ",IF(INDEX($AC$2:$AS$1001,MATCH(ROWS($V$2:V337),$V$2:$V$1001,0),MATCH(COLUMNS($AC$1006:AO1006),$AC$1006:$AS$1006,0)), HYPERLINK("#",""), HYPERLINK(CONCATENATE("#metadata!", ADDRESS(INDEX($X$2:$X$1001,MATCH(ROWS($V$2:V337),$V$2:$V$1001,0),0), INDEX($AC$1004:$AS$1004,1,MATCH(COLUMNS($AC$1006:AO1006),$AC$1006:$AS$1006,0)))),"Fix")))</f>
        <v xml:space="preserve"> </v>
      </c>
      <c r="O337" s="4" t="str">
        <f ca="1">IF(OR(INDEX($W$2:$W$1001,MATCH(ROWS($V$2:V337),$V$2:$V$1001,0),1)&gt;=100000,INDEX($AC$1005:$AS$1005,1,MATCH(COLUMNS($AC$1006:AP1006),$AC$1006:$AS$1006,0))&gt;=100000), " ",IF(INDEX($AC$2:$AS$1001,MATCH(ROWS($V$2:V337),$V$2:$V$1001,0),MATCH(COLUMNS($AC$1006:AP1006),$AC$1006:$AS$1006,0)), HYPERLINK("#",""), HYPERLINK(CONCATENATE("#metadata!", ADDRESS(INDEX($X$2:$X$1001,MATCH(ROWS($V$2:V337),$V$2:$V$1001,0),0), INDEX($AC$1004:$AS$1004,1,MATCH(COLUMNS($AC$1006:AP1006),$AC$1006:$AS$1006,0)))),"Fix")))</f>
        <v xml:space="preserve"> </v>
      </c>
      <c r="P337" s="4" t="str">
        <f ca="1">IF(OR(INDEX($W$2:$W$1001,MATCH(ROWS($V$2:V337),$V$2:$V$1001,0),1)&gt;=100000,INDEX($AC$1005:$AS$1005,1,MATCH(COLUMNS($AC$1006:AQ1006),$AC$1006:$AS$1006,0))&gt;=100000), " ",IF(INDEX($AC$2:$AS$1001,MATCH(ROWS($V$2:V337),$V$2:$V$1001,0),MATCH(COLUMNS($AC$1006:AQ1006),$AC$1006:$AS$1006,0)), HYPERLINK("#",""), HYPERLINK(CONCATENATE("#metadata!", ADDRESS(INDEX($X$2:$X$1001,MATCH(ROWS($V$2:V337),$V$2:$V$1001,0),0), INDEX($AC$1004:$AS$1004,1,MATCH(COLUMNS($AC$1006:AQ1006),$AC$1006:$AS$1006,0)))),"Fix")))</f>
        <v xml:space="preserve"> </v>
      </c>
      <c r="Q337" s="4" t="str">
        <f ca="1">IF(OR(INDEX($W$2:$W$1001,MATCH(ROWS($V$2:V337),$V$2:$V$1001,0),1)&gt;=100000,INDEX($AC$1005:$AS$1005,1,MATCH(COLUMNS($AC$1006:AR1006),$AC$1006:$AS$1006,0))&gt;=100000), " ",IF(INDEX($AC$2:$AS$1001,MATCH(ROWS($V$2:V337),$V$2:$V$1001,0),MATCH(COLUMNS($AC$1006:AR1006),$AC$1006:$AS$1006,0)), HYPERLINK("#",""), HYPERLINK(CONCATENATE("#metadata!", ADDRESS(INDEX($X$2:$X$1001,MATCH(ROWS($V$2:V337),$V$2:$V$1001,0),0), INDEX($AC$1004:$AS$1004,1,MATCH(COLUMNS($AC$1006:AR1006),$AC$1006:$AS$1006,0)))),"Fix")))</f>
        <v xml:space="preserve"> </v>
      </c>
      <c r="R337" s="4" t="str">
        <f ca="1">IF(OR(INDEX($W$2:$W$1001,MATCH(ROWS($V$2:V337),$V$2:$V$1001,0),1)&gt;=100000,INDEX($AC$1005:$AS$1005,1,MATCH(COLUMNS($AC$1006:AS1006),$AC$1006:$AS$1006,0))&gt;=100000), " ",IF(INDEX($AC$2:$AS$1001,MATCH(ROWS($V$2:V337),$V$2:$V$1001,0),MATCH(COLUMNS($AC$1006:AS1006),$AC$1006:$AS$1006,0)), HYPERLINK("#",""), HYPERLINK(CONCATENATE("#metadata!", ADDRESS(INDEX($X$2:$X$1001,MATCH(ROWS($V$2:V337),$V$2:$V$1001,0),0), INDEX($AC$1004:$AS$1004,1,MATCH(COLUMNS($AC$1006:AS1006),$AC$1006:$AS$1006,0)))),"Fix")))</f>
        <v xml:space="preserve"> </v>
      </c>
      <c r="V337">
        <v>336</v>
      </c>
      <c r="W337">
        <v>100337</v>
      </c>
      <c r="X337">
        <v>337</v>
      </c>
      <c r="Y337" t="b">
        <f t="shared" si="5"/>
        <v>1</v>
      </c>
      <c r="Z337" t="b">
        <f>COUNTBLANK(metadata!B337:R337)=COLUMNS(metadata!B337:R337)</f>
        <v>1</v>
      </c>
      <c r="AA337" t="str">
        <v/>
      </c>
      <c r="AC337" t="b">
        <f ca="1"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AD337" t="b">
        <f>IF(metadata!C337="",FALSE,ISNUMBER(VALUE(metadata!C337)))</f>
        <v>0</v>
      </c>
      <c r="AE337" t="b">
        <f>AND(IF(metadata!D337="",FALSE,TRUE),EXACT(metadata!D337,"years"))</f>
        <v>0</v>
      </c>
      <c r="AF337" t="b">
        <f>OR(AND(IF(metadata!E337="",FALSE,TRUE),OR(EXACT(metadata!E337,"not applicable"),EXACT(metadata!E337,"missing: not collected"),EXACT(metadata!E337,"missing: not provided"),EXACT(metadata!E337,"missing: restricted access"))),AND(IF(metadata!E337="",FALSE,ISNUMBER(VALUE(metadata!E337))),metadata!E337&gt;0))</f>
        <v>0</v>
      </c>
      <c r="AG337" t="b">
        <f>AND(IF(metadata!F337="",FALSE,TRUE),EXACT(metadata!F337,"Not applicable"))</f>
        <v>0</v>
      </c>
      <c r="AH337" t="b">
        <f>AND(IF(metadata!G337="",FALSE,TRUE),EXACT(metadata!G337,"urban biome"))</f>
        <v>0</v>
      </c>
      <c r="AI337" t="b">
        <f>AND(IF(metadata!H337="",FALSE,TRUE),EXACT(metadata!H337,"human-associated habitat"))</f>
        <v>0</v>
      </c>
      <c r="AJ337" t="b">
        <f>AND(IF(metadata!I337="",FALSE,TRUE),OR(EXACT(metadata!I337,"human-associated"),EXACT(metadata!I337,"human-skin"),EXACT(metadata!I337,"human-oral"),EXACT(metadata!I337,"human-gut"),EXACT(metadata!I337,"human-vaginal")))</f>
        <v>0</v>
      </c>
      <c r="AK337" t="b">
        <f>IF(metadata!J337="",FALSE,ISNUMBER(VALUE(metadata!J337)))</f>
        <v>0</v>
      </c>
      <c r="AL337" t="b">
        <f>AND(IF(metadata!K337="",FALSE,TRUE),EXACT(metadata!K337,"cm"))</f>
        <v>0</v>
      </c>
      <c r="AM337" t="b">
        <f>AND(IF(metadata!L337="",FALSE,TRUE),EXACT(metadata!L337,"human"))</f>
        <v>0</v>
      </c>
      <c r="AN337" t="b">
        <f>AND(IF(metadata!M337="",FALSE,TRUE),EXACT(metadata!M337,"Homo sapiens"))</f>
        <v>0</v>
      </c>
      <c r="AO337" t="b">
        <f>AND(IF(metadata!N337="",FALSE,TRUE),EXACT(metadata!N337,"9606"))</f>
        <v>0</v>
      </c>
      <c r="AP337" t="b">
        <f>IF(metadata!O337="",FALSE,TRUE)</f>
        <v>0</v>
      </c>
      <c r="AQ337" t="b">
        <f>IF(metadata!P337="",FALSE,TRUE)</f>
        <v>0</v>
      </c>
      <c r="AR337" t="b">
        <f>IF(metadata!Q337="",FALSE,ISNUMBER(VALUE(metadata!Q337)))</f>
        <v>0</v>
      </c>
      <c r="AS337" t="b">
        <f>AND(IF(metadata!R337="",FALSE,TRUE),EXACT(metadata!R337,"kg"))</f>
        <v>0</v>
      </c>
    </row>
    <row r="338" spans="1:45" x14ac:dyDescent="0.2">
      <c r="A338" s="5" t="str">
        <f ca="1">IF(B338=" "," ",HYPERLINK(CONCATENATE("#metadata!",ADDRESS(INDEX($X$2:$X$1001,MATCH(ROWS($V$2:V338),$V$2:$V$1001,0),0),1)),INDEX($AA$2:$AA$1001,MATCH(ROWS($V$2:V338),$V$2:$V$1001,0),0)))</f>
        <v xml:space="preserve"> </v>
      </c>
      <c r="B338" s="4" t="str">
        <f ca="1">IF(OR(INDEX($W$2:$W$1001,MATCH(ROWS($V$2:V338),$V$2:$V$1001,0),1)&gt;=100000,INDEX($AC$1005:$AS$1005,1,MATCH(COLUMNS($AC$1006:AC1006),$AC$1006:$AS$1006,0))&gt;=100000), " ",IF(INDEX($AC$2:$AS$1001,MATCH(ROWS($V$2:V338),$V$2:$V$1001,0),MATCH(COLUMNS($AC$1006:AC1006),$AC$1006:$AS$1006,0)), HYPERLINK("#",""), HYPERLINK(CONCATENATE("#metadata!", ADDRESS(INDEX($X$2:$X$1001,MATCH(ROWS($V$2:V338),$V$2:$V$1001,0),0), INDEX($AC$1004:$AS$1004,1,MATCH(COLUMNS($AC$1006:AC1006),$AC$1006:$AS$1006,0)))),"Fix")))</f>
        <v xml:space="preserve"> </v>
      </c>
      <c r="C338" s="4" t="str">
        <f ca="1">IF(OR(INDEX($W$2:$W$1001,MATCH(ROWS($V$2:V338),$V$2:$V$1001,0),1)&gt;=100000,INDEX($AC$1005:$AS$1005,1,MATCH(COLUMNS($AC$1006:AD1006),$AC$1006:$AS$1006,0))&gt;=100000), " ",IF(INDEX($AC$2:$AS$1001,MATCH(ROWS($V$2:V338),$V$2:$V$1001,0),MATCH(COLUMNS($AC$1006:AD1006),$AC$1006:$AS$1006,0)), HYPERLINK("#",""), HYPERLINK(CONCATENATE("#metadata!", ADDRESS(INDEX($X$2:$X$1001,MATCH(ROWS($V$2:V338),$V$2:$V$1001,0),0), INDEX($AC$1004:$AS$1004,1,MATCH(COLUMNS($AC$1006:AD1006),$AC$1006:$AS$1006,0)))),"Fix")))</f>
        <v xml:space="preserve"> </v>
      </c>
      <c r="D338" s="4" t="str">
        <f ca="1">IF(OR(INDEX($W$2:$W$1001,MATCH(ROWS($V$2:V338),$V$2:$V$1001,0),1)&gt;=100000,INDEX($AC$1005:$AS$1005,1,MATCH(COLUMNS($AC$1006:AE1006),$AC$1006:$AS$1006,0))&gt;=100000), " ",IF(INDEX($AC$2:$AS$1001,MATCH(ROWS($V$2:V338),$V$2:$V$1001,0),MATCH(COLUMNS($AC$1006:AE1006),$AC$1006:$AS$1006,0)), HYPERLINK("#",""), HYPERLINK(CONCATENATE("#metadata!", ADDRESS(INDEX($X$2:$X$1001,MATCH(ROWS($V$2:V338),$V$2:$V$1001,0),0), INDEX($AC$1004:$AS$1004,1,MATCH(COLUMNS($AC$1006:AE1006),$AC$1006:$AS$1006,0)))),"Fix")))</f>
        <v xml:space="preserve"> </v>
      </c>
      <c r="E338" s="4" t="str">
        <f ca="1">IF(OR(INDEX($W$2:$W$1001,MATCH(ROWS($V$2:V338),$V$2:$V$1001,0),1)&gt;=100000,INDEX($AC$1005:$AS$1005,1,MATCH(COLUMNS($AC$1006:AF1006),$AC$1006:$AS$1006,0))&gt;=100000), " ",IF(INDEX($AC$2:$AS$1001,MATCH(ROWS($V$2:V338),$V$2:$V$1001,0),MATCH(COLUMNS($AC$1006:AF1006),$AC$1006:$AS$1006,0)), HYPERLINK("#",""), HYPERLINK(CONCATENATE("#metadata!", ADDRESS(INDEX($X$2:$X$1001,MATCH(ROWS($V$2:V338),$V$2:$V$1001,0),0), INDEX($AC$1004:$AS$1004,1,MATCH(COLUMNS($AC$1006:AF1006),$AC$1006:$AS$1006,0)))),"Fix")))</f>
        <v xml:space="preserve"> </v>
      </c>
      <c r="F338" s="4" t="str">
        <f ca="1">IF(OR(INDEX($W$2:$W$1001,MATCH(ROWS($V$2:V338),$V$2:$V$1001,0),1)&gt;=100000,INDEX($AC$1005:$AS$1005,1,MATCH(COLUMNS($AC$1006:AG1006),$AC$1006:$AS$1006,0))&gt;=100000), " ",IF(INDEX($AC$2:$AS$1001,MATCH(ROWS($V$2:V338),$V$2:$V$1001,0),MATCH(COLUMNS($AC$1006:AG1006),$AC$1006:$AS$1006,0)), HYPERLINK("#",""), HYPERLINK(CONCATENATE("#metadata!", ADDRESS(INDEX($X$2:$X$1001,MATCH(ROWS($V$2:V338),$V$2:$V$1001,0),0), INDEX($AC$1004:$AS$1004,1,MATCH(COLUMNS($AC$1006:AG1006),$AC$1006:$AS$1006,0)))),"Fix")))</f>
        <v xml:space="preserve"> </v>
      </c>
      <c r="G338" s="4" t="str">
        <f ca="1">IF(OR(INDEX($W$2:$W$1001,MATCH(ROWS($V$2:V338),$V$2:$V$1001,0),1)&gt;=100000,INDEX($AC$1005:$AS$1005,1,MATCH(COLUMNS($AC$1006:AH1006),$AC$1006:$AS$1006,0))&gt;=100000), " ",IF(INDEX($AC$2:$AS$1001,MATCH(ROWS($V$2:V338),$V$2:$V$1001,0),MATCH(COLUMNS($AC$1006:AH1006),$AC$1006:$AS$1006,0)), HYPERLINK("#",""), HYPERLINK(CONCATENATE("#metadata!", ADDRESS(INDEX($X$2:$X$1001,MATCH(ROWS($V$2:V338),$V$2:$V$1001,0),0), INDEX($AC$1004:$AS$1004,1,MATCH(COLUMNS($AC$1006:AH1006),$AC$1006:$AS$1006,0)))),"Fix")))</f>
        <v xml:space="preserve"> </v>
      </c>
      <c r="H338" s="4" t="str">
        <f ca="1">IF(OR(INDEX($W$2:$W$1001,MATCH(ROWS($V$2:V338),$V$2:$V$1001,0),1)&gt;=100000,INDEX($AC$1005:$AS$1005,1,MATCH(COLUMNS($AC$1006:AI1006),$AC$1006:$AS$1006,0))&gt;=100000), " ",IF(INDEX($AC$2:$AS$1001,MATCH(ROWS($V$2:V338),$V$2:$V$1001,0),MATCH(COLUMNS($AC$1006:AI1006),$AC$1006:$AS$1006,0)), HYPERLINK("#",""), HYPERLINK(CONCATENATE("#metadata!", ADDRESS(INDEX($X$2:$X$1001,MATCH(ROWS($V$2:V338),$V$2:$V$1001,0),0), INDEX($AC$1004:$AS$1004,1,MATCH(COLUMNS($AC$1006:AI1006),$AC$1006:$AS$1006,0)))),"Fix")))</f>
        <v xml:space="preserve"> </v>
      </c>
      <c r="I338" s="4" t="str">
        <f ca="1">IF(OR(INDEX($W$2:$W$1001,MATCH(ROWS($V$2:V338),$V$2:$V$1001,0),1)&gt;=100000,INDEX($AC$1005:$AS$1005,1,MATCH(COLUMNS($AC$1006:AJ1006),$AC$1006:$AS$1006,0))&gt;=100000), " ",IF(INDEX($AC$2:$AS$1001,MATCH(ROWS($V$2:V338),$V$2:$V$1001,0),MATCH(COLUMNS($AC$1006:AJ1006),$AC$1006:$AS$1006,0)), HYPERLINK("#",""), HYPERLINK(CONCATENATE("#metadata!", ADDRESS(INDEX($X$2:$X$1001,MATCH(ROWS($V$2:V338),$V$2:$V$1001,0),0), INDEX($AC$1004:$AS$1004,1,MATCH(COLUMNS($AC$1006:AJ1006),$AC$1006:$AS$1006,0)))),"Fix")))</f>
        <v xml:space="preserve"> </v>
      </c>
      <c r="J338" s="4" t="str">
        <f ca="1">IF(OR(INDEX($W$2:$W$1001,MATCH(ROWS($V$2:V338),$V$2:$V$1001,0),1)&gt;=100000,INDEX($AC$1005:$AS$1005,1,MATCH(COLUMNS($AC$1006:AK1006),$AC$1006:$AS$1006,0))&gt;=100000), " ",IF(INDEX($AC$2:$AS$1001,MATCH(ROWS($V$2:V338),$V$2:$V$1001,0),MATCH(COLUMNS($AC$1006:AK1006),$AC$1006:$AS$1006,0)), HYPERLINK("#",""), HYPERLINK(CONCATENATE("#metadata!", ADDRESS(INDEX($X$2:$X$1001,MATCH(ROWS($V$2:V338),$V$2:$V$1001,0),0), INDEX($AC$1004:$AS$1004,1,MATCH(COLUMNS($AC$1006:AK1006),$AC$1006:$AS$1006,0)))),"Fix")))</f>
        <v xml:space="preserve"> </v>
      </c>
      <c r="K338" s="4" t="str">
        <f ca="1">IF(OR(INDEX($W$2:$W$1001,MATCH(ROWS($V$2:V338),$V$2:$V$1001,0),1)&gt;=100000,INDEX($AC$1005:$AS$1005,1,MATCH(COLUMNS($AC$1006:AL1006),$AC$1006:$AS$1006,0))&gt;=100000), " ",IF(INDEX($AC$2:$AS$1001,MATCH(ROWS($V$2:V338),$V$2:$V$1001,0),MATCH(COLUMNS($AC$1006:AL1006),$AC$1006:$AS$1006,0)), HYPERLINK("#",""), HYPERLINK(CONCATENATE("#metadata!", ADDRESS(INDEX($X$2:$X$1001,MATCH(ROWS($V$2:V338),$V$2:$V$1001,0),0), INDEX($AC$1004:$AS$1004,1,MATCH(COLUMNS($AC$1006:AL1006),$AC$1006:$AS$1006,0)))),"Fix")))</f>
        <v xml:space="preserve"> </v>
      </c>
      <c r="L338" s="4" t="str">
        <f ca="1">IF(OR(INDEX($W$2:$W$1001,MATCH(ROWS($V$2:V338),$V$2:$V$1001,0),1)&gt;=100000,INDEX($AC$1005:$AS$1005,1,MATCH(COLUMNS($AC$1006:AM1006),$AC$1006:$AS$1006,0))&gt;=100000), " ",IF(INDEX($AC$2:$AS$1001,MATCH(ROWS($V$2:V338),$V$2:$V$1001,0),MATCH(COLUMNS($AC$1006:AM1006),$AC$1006:$AS$1006,0)), HYPERLINK("#",""), HYPERLINK(CONCATENATE("#metadata!", ADDRESS(INDEX($X$2:$X$1001,MATCH(ROWS($V$2:V338),$V$2:$V$1001,0),0), INDEX($AC$1004:$AS$1004,1,MATCH(COLUMNS($AC$1006:AM1006),$AC$1006:$AS$1006,0)))),"Fix")))</f>
        <v xml:space="preserve"> </v>
      </c>
      <c r="M338" s="4" t="str">
        <f ca="1">IF(OR(INDEX($W$2:$W$1001,MATCH(ROWS($V$2:V338),$V$2:$V$1001,0),1)&gt;=100000,INDEX($AC$1005:$AS$1005,1,MATCH(COLUMNS($AC$1006:AN1006),$AC$1006:$AS$1006,0))&gt;=100000), " ",IF(INDEX($AC$2:$AS$1001,MATCH(ROWS($V$2:V338),$V$2:$V$1001,0),MATCH(COLUMNS($AC$1006:AN1006),$AC$1006:$AS$1006,0)), HYPERLINK("#",""), HYPERLINK(CONCATENATE("#metadata!", ADDRESS(INDEX($X$2:$X$1001,MATCH(ROWS($V$2:V338),$V$2:$V$1001,0),0), INDEX($AC$1004:$AS$1004,1,MATCH(COLUMNS($AC$1006:AN1006),$AC$1006:$AS$1006,0)))),"Fix")))</f>
        <v xml:space="preserve"> </v>
      </c>
      <c r="N338" s="4" t="str">
        <f ca="1">IF(OR(INDEX($W$2:$W$1001,MATCH(ROWS($V$2:V338),$V$2:$V$1001,0),1)&gt;=100000,INDEX($AC$1005:$AS$1005,1,MATCH(COLUMNS($AC$1006:AO1006),$AC$1006:$AS$1006,0))&gt;=100000), " ",IF(INDEX($AC$2:$AS$1001,MATCH(ROWS($V$2:V338),$V$2:$V$1001,0),MATCH(COLUMNS($AC$1006:AO1006),$AC$1006:$AS$1006,0)), HYPERLINK("#",""), HYPERLINK(CONCATENATE("#metadata!", ADDRESS(INDEX($X$2:$X$1001,MATCH(ROWS($V$2:V338),$V$2:$V$1001,0),0), INDEX($AC$1004:$AS$1004,1,MATCH(COLUMNS($AC$1006:AO1006),$AC$1006:$AS$1006,0)))),"Fix")))</f>
        <v xml:space="preserve"> </v>
      </c>
      <c r="O338" s="4" t="str">
        <f ca="1">IF(OR(INDEX($W$2:$W$1001,MATCH(ROWS($V$2:V338),$V$2:$V$1001,0),1)&gt;=100000,INDEX($AC$1005:$AS$1005,1,MATCH(COLUMNS($AC$1006:AP1006),$AC$1006:$AS$1006,0))&gt;=100000), " ",IF(INDEX($AC$2:$AS$1001,MATCH(ROWS($V$2:V338),$V$2:$V$1001,0),MATCH(COLUMNS($AC$1006:AP1006),$AC$1006:$AS$1006,0)), HYPERLINK("#",""), HYPERLINK(CONCATENATE("#metadata!", ADDRESS(INDEX($X$2:$X$1001,MATCH(ROWS($V$2:V338),$V$2:$V$1001,0),0), INDEX($AC$1004:$AS$1004,1,MATCH(COLUMNS($AC$1006:AP1006),$AC$1006:$AS$1006,0)))),"Fix")))</f>
        <v xml:space="preserve"> </v>
      </c>
      <c r="P338" s="4" t="str">
        <f ca="1">IF(OR(INDEX($W$2:$W$1001,MATCH(ROWS($V$2:V338),$V$2:$V$1001,0),1)&gt;=100000,INDEX($AC$1005:$AS$1005,1,MATCH(COLUMNS($AC$1006:AQ1006),$AC$1006:$AS$1006,0))&gt;=100000), " ",IF(INDEX($AC$2:$AS$1001,MATCH(ROWS($V$2:V338),$V$2:$V$1001,0),MATCH(COLUMNS($AC$1006:AQ1006),$AC$1006:$AS$1006,0)), HYPERLINK("#",""), HYPERLINK(CONCATENATE("#metadata!", ADDRESS(INDEX($X$2:$X$1001,MATCH(ROWS($V$2:V338),$V$2:$V$1001,0),0), INDEX($AC$1004:$AS$1004,1,MATCH(COLUMNS($AC$1006:AQ1006),$AC$1006:$AS$1006,0)))),"Fix")))</f>
        <v xml:space="preserve"> </v>
      </c>
      <c r="Q338" s="4" t="str">
        <f ca="1">IF(OR(INDEX($W$2:$W$1001,MATCH(ROWS($V$2:V338),$V$2:$V$1001,0),1)&gt;=100000,INDEX($AC$1005:$AS$1005,1,MATCH(COLUMNS($AC$1006:AR1006),$AC$1006:$AS$1006,0))&gt;=100000), " ",IF(INDEX($AC$2:$AS$1001,MATCH(ROWS($V$2:V338),$V$2:$V$1001,0),MATCH(COLUMNS($AC$1006:AR1006),$AC$1006:$AS$1006,0)), HYPERLINK("#",""), HYPERLINK(CONCATENATE("#metadata!", ADDRESS(INDEX($X$2:$X$1001,MATCH(ROWS($V$2:V338),$V$2:$V$1001,0),0), INDEX($AC$1004:$AS$1004,1,MATCH(COLUMNS($AC$1006:AR1006),$AC$1006:$AS$1006,0)))),"Fix")))</f>
        <v xml:space="preserve"> </v>
      </c>
      <c r="R338" s="4" t="str">
        <f ca="1">IF(OR(INDEX($W$2:$W$1001,MATCH(ROWS($V$2:V338),$V$2:$V$1001,0),1)&gt;=100000,INDEX($AC$1005:$AS$1005,1,MATCH(COLUMNS($AC$1006:AS1006),$AC$1006:$AS$1006,0))&gt;=100000), " ",IF(INDEX($AC$2:$AS$1001,MATCH(ROWS($V$2:V338),$V$2:$V$1001,0),MATCH(COLUMNS($AC$1006:AS1006),$AC$1006:$AS$1006,0)), HYPERLINK("#",""), HYPERLINK(CONCATENATE("#metadata!", ADDRESS(INDEX($X$2:$X$1001,MATCH(ROWS($V$2:V338),$V$2:$V$1001,0),0), INDEX($AC$1004:$AS$1004,1,MATCH(COLUMNS($AC$1006:AS1006),$AC$1006:$AS$1006,0)))),"Fix")))</f>
        <v xml:space="preserve"> </v>
      </c>
      <c r="V338">
        <v>337</v>
      </c>
      <c r="W338">
        <v>100338</v>
      </c>
      <c r="X338">
        <v>338</v>
      </c>
      <c r="Y338" t="b">
        <f t="shared" si="5"/>
        <v>1</v>
      </c>
      <c r="Z338" t="b">
        <f>COUNTBLANK(metadata!B338:R338)=COLUMNS(metadata!B338:R338)</f>
        <v>1</v>
      </c>
      <c r="AA338" t="str">
        <v/>
      </c>
      <c r="AC338" t="b">
        <f ca="1"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AD338" t="b">
        <f>IF(metadata!C338="",FALSE,ISNUMBER(VALUE(metadata!C338)))</f>
        <v>0</v>
      </c>
      <c r="AE338" t="b">
        <f>AND(IF(metadata!D338="",FALSE,TRUE),EXACT(metadata!D338,"years"))</f>
        <v>0</v>
      </c>
      <c r="AF338" t="b">
        <f>OR(AND(IF(metadata!E338="",FALSE,TRUE),OR(EXACT(metadata!E338,"not applicable"),EXACT(metadata!E338,"missing: not collected"),EXACT(metadata!E338,"missing: not provided"),EXACT(metadata!E338,"missing: restricted access"))),AND(IF(metadata!E338="",FALSE,ISNUMBER(VALUE(metadata!E338))),metadata!E338&gt;0))</f>
        <v>0</v>
      </c>
      <c r="AG338" t="b">
        <f>AND(IF(metadata!F338="",FALSE,TRUE),EXACT(metadata!F338,"Not applicable"))</f>
        <v>0</v>
      </c>
      <c r="AH338" t="b">
        <f>AND(IF(metadata!G338="",FALSE,TRUE),EXACT(metadata!G338,"urban biome"))</f>
        <v>0</v>
      </c>
      <c r="AI338" t="b">
        <f>AND(IF(metadata!H338="",FALSE,TRUE),EXACT(metadata!H338,"human-associated habitat"))</f>
        <v>0</v>
      </c>
      <c r="AJ338" t="b">
        <f>AND(IF(metadata!I338="",FALSE,TRUE),OR(EXACT(metadata!I338,"human-associated"),EXACT(metadata!I338,"human-skin"),EXACT(metadata!I338,"human-oral"),EXACT(metadata!I338,"human-gut"),EXACT(metadata!I338,"human-vaginal")))</f>
        <v>0</v>
      </c>
      <c r="AK338" t="b">
        <f>IF(metadata!J338="",FALSE,ISNUMBER(VALUE(metadata!J338)))</f>
        <v>0</v>
      </c>
      <c r="AL338" t="b">
        <f>AND(IF(metadata!K338="",FALSE,TRUE),EXACT(metadata!K338,"cm"))</f>
        <v>0</v>
      </c>
      <c r="AM338" t="b">
        <f>AND(IF(metadata!L338="",FALSE,TRUE),EXACT(metadata!L338,"human"))</f>
        <v>0</v>
      </c>
      <c r="AN338" t="b">
        <f>AND(IF(metadata!M338="",FALSE,TRUE),EXACT(metadata!M338,"Homo sapiens"))</f>
        <v>0</v>
      </c>
      <c r="AO338" t="b">
        <f>AND(IF(metadata!N338="",FALSE,TRUE),EXACT(metadata!N338,"9606"))</f>
        <v>0</v>
      </c>
      <c r="AP338" t="b">
        <f>IF(metadata!O338="",FALSE,TRUE)</f>
        <v>0</v>
      </c>
      <c r="AQ338" t="b">
        <f>IF(metadata!P338="",FALSE,TRUE)</f>
        <v>0</v>
      </c>
      <c r="AR338" t="b">
        <f>IF(metadata!Q338="",FALSE,ISNUMBER(VALUE(metadata!Q338)))</f>
        <v>0</v>
      </c>
      <c r="AS338" t="b">
        <f>AND(IF(metadata!R338="",FALSE,TRUE),EXACT(metadata!R338,"kg"))</f>
        <v>0</v>
      </c>
    </row>
    <row r="339" spans="1:45" x14ac:dyDescent="0.2">
      <c r="A339" s="5" t="str">
        <f ca="1">IF(B339=" "," ",HYPERLINK(CONCATENATE("#metadata!",ADDRESS(INDEX($X$2:$X$1001,MATCH(ROWS($V$2:V339),$V$2:$V$1001,0),0),1)),INDEX($AA$2:$AA$1001,MATCH(ROWS($V$2:V339),$V$2:$V$1001,0),0)))</f>
        <v xml:space="preserve"> </v>
      </c>
      <c r="B339" s="4" t="str">
        <f ca="1">IF(OR(INDEX($W$2:$W$1001,MATCH(ROWS($V$2:V339),$V$2:$V$1001,0),1)&gt;=100000,INDEX($AC$1005:$AS$1005,1,MATCH(COLUMNS($AC$1006:AC1006),$AC$1006:$AS$1006,0))&gt;=100000), " ",IF(INDEX($AC$2:$AS$1001,MATCH(ROWS($V$2:V339),$V$2:$V$1001,0),MATCH(COLUMNS($AC$1006:AC1006),$AC$1006:$AS$1006,0)), HYPERLINK("#",""), HYPERLINK(CONCATENATE("#metadata!", ADDRESS(INDEX($X$2:$X$1001,MATCH(ROWS($V$2:V339),$V$2:$V$1001,0),0), INDEX($AC$1004:$AS$1004,1,MATCH(COLUMNS($AC$1006:AC1006),$AC$1006:$AS$1006,0)))),"Fix")))</f>
        <v xml:space="preserve"> </v>
      </c>
      <c r="C339" s="4" t="str">
        <f ca="1">IF(OR(INDEX($W$2:$W$1001,MATCH(ROWS($V$2:V339),$V$2:$V$1001,0),1)&gt;=100000,INDEX($AC$1005:$AS$1005,1,MATCH(COLUMNS($AC$1006:AD1006),$AC$1006:$AS$1006,0))&gt;=100000), " ",IF(INDEX($AC$2:$AS$1001,MATCH(ROWS($V$2:V339),$V$2:$V$1001,0),MATCH(COLUMNS($AC$1006:AD1006),$AC$1006:$AS$1006,0)), HYPERLINK("#",""), HYPERLINK(CONCATENATE("#metadata!", ADDRESS(INDEX($X$2:$X$1001,MATCH(ROWS($V$2:V339),$V$2:$V$1001,0),0), INDEX($AC$1004:$AS$1004,1,MATCH(COLUMNS($AC$1006:AD1006),$AC$1006:$AS$1006,0)))),"Fix")))</f>
        <v xml:space="preserve"> </v>
      </c>
      <c r="D339" s="4" t="str">
        <f ca="1">IF(OR(INDEX($W$2:$W$1001,MATCH(ROWS($V$2:V339),$V$2:$V$1001,0),1)&gt;=100000,INDEX($AC$1005:$AS$1005,1,MATCH(COLUMNS($AC$1006:AE1006),$AC$1006:$AS$1006,0))&gt;=100000), " ",IF(INDEX($AC$2:$AS$1001,MATCH(ROWS($V$2:V339),$V$2:$V$1001,0),MATCH(COLUMNS($AC$1006:AE1006),$AC$1006:$AS$1006,0)), HYPERLINK("#",""), HYPERLINK(CONCATENATE("#metadata!", ADDRESS(INDEX($X$2:$X$1001,MATCH(ROWS($V$2:V339),$V$2:$V$1001,0),0), INDEX($AC$1004:$AS$1004,1,MATCH(COLUMNS($AC$1006:AE1006),$AC$1006:$AS$1006,0)))),"Fix")))</f>
        <v xml:space="preserve"> </v>
      </c>
      <c r="E339" s="4" t="str">
        <f ca="1">IF(OR(INDEX($W$2:$W$1001,MATCH(ROWS($V$2:V339),$V$2:$V$1001,0),1)&gt;=100000,INDEX($AC$1005:$AS$1005,1,MATCH(COLUMNS($AC$1006:AF1006),$AC$1006:$AS$1006,0))&gt;=100000), " ",IF(INDEX($AC$2:$AS$1001,MATCH(ROWS($V$2:V339),$V$2:$V$1001,0),MATCH(COLUMNS($AC$1006:AF1006),$AC$1006:$AS$1006,0)), HYPERLINK("#",""), HYPERLINK(CONCATENATE("#metadata!", ADDRESS(INDEX($X$2:$X$1001,MATCH(ROWS($V$2:V339),$V$2:$V$1001,0),0), INDEX($AC$1004:$AS$1004,1,MATCH(COLUMNS($AC$1006:AF1006),$AC$1006:$AS$1006,0)))),"Fix")))</f>
        <v xml:space="preserve"> </v>
      </c>
      <c r="F339" s="4" t="str">
        <f ca="1">IF(OR(INDEX($W$2:$W$1001,MATCH(ROWS($V$2:V339),$V$2:$V$1001,0),1)&gt;=100000,INDEX($AC$1005:$AS$1005,1,MATCH(COLUMNS($AC$1006:AG1006),$AC$1006:$AS$1006,0))&gt;=100000), " ",IF(INDEX($AC$2:$AS$1001,MATCH(ROWS($V$2:V339),$V$2:$V$1001,0),MATCH(COLUMNS($AC$1006:AG1006),$AC$1006:$AS$1006,0)), HYPERLINK("#",""), HYPERLINK(CONCATENATE("#metadata!", ADDRESS(INDEX($X$2:$X$1001,MATCH(ROWS($V$2:V339),$V$2:$V$1001,0),0), INDEX($AC$1004:$AS$1004,1,MATCH(COLUMNS($AC$1006:AG1006),$AC$1006:$AS$1006,0)))),"Fix")))</f>
        <v xml:space="preserve"> </v>
      </c>
      <c r="G339" s="4" t="str">
        <f ca="1">IF(OR(INDEX($W$2:$W$1001,MATCH(ROWS($V$2:V339),$V$2:$V$1001,0),1)&gt;=100000,INDEX($AC$1005:$AS$1005,1,MATCH(COLUMNS($AC$1006:AH1006),$AC$1006:$AS$1006,0))&gt;=100000), " ",IF(INDEX($AC$2:$AS$1001,MATCH(ROWS($V$2:V339),$V$2:$V$1001,0),MATCH(COLUMNS($AC$1006:AH1006),$AC$1006:$AS$1006,0)), HYPERLINK("#",""), HYPERLINK(CONCATENATE("#metadata!", ADDRESS(INDEX($X$2:$X$1001,MATCH(ROWS($V$2:V339),$V$2:$V$1001,0),0), INDEX($AC$1004:$AS$1004,1,MATCH(COLUMNS($AC$1006:AH1006),$AC$1006:$AS$1006,0)))),"Fix")))</f>
        <v xml:space="preserve"> </v>
      </c>
      <c r="H339" s="4" t="str">
        <f ca="1">IF(OR(INDEX($W$2:$W$1001,MATCH(ROWS($V$2:V339),$V$2:$V$1001,0),1)&gt;=100000,INDEX($AC$1005:$AS$1005,1,MATCH(COLUMNS($AC$1006:AI1006),$AC$1006:$AS$1006,0))&gt;=100000), " ",IF(INDEX($AC$2:$AS$1001,MATCH(ROWS($V$2:V339),$V$2:$V$1001,0),MATCH(COLUMNS($AC$1006:AI1006),$AC$1006:$AS$1006,0)), HYPERLINK("#",""), HYPERLINK(CONCATENATE("#metadata!", ADDRESS(INDEX($X$2:$X$1001,MATCH(ROWS($V$2:V339),$V$2:$V$1001,0),0), INDEX($AC$1004:$AS$1004,1,MATCH(COLUMNS($AC$1006:AI1006),$AC$1006:$AS$1006,0)))),"Fix")))</f>
        <v xml:space="preserve"> </v>
      </c>
      <c r="I339" s="4" t="str">
        <f ca="1">IF(OR(INDEX($W$2:$W$1001,MATCH(ROWS($V$2:V339),$V$2:$V$1001,0),1)&gt;=100000,INDEX($AC$1005:$AS$1005,1,MATCH(COLUMNS($AC$1006:AJ1006),$AC$1006:$AS$1006,0))&gt;=100000), " ",IF(INDEX($AC$2:$AS$1001,MATCH(ROWS($V$2:V339),$V$2:$V$1001,0),MATCH(COLUMNS($AC$1006:AJ1006),$AC$1006:$AS$1006,0)), HYPERLINK("#",""), HYPERLINK(CONCATENATE("#metadata!", ADDRESS(INDEX($X$2:$X$1001,MATCH(ROWS($V$2:V339),$V$2:$V$1001,0),0), INDEX($AC$1004:$AS$1004,1,MATCH(COLUMNS($AC$1006:AJ1006),$AC$1006:$AS$1006,0)))),"Fix")))</f>
        <v xml:space="preserve"> </v>
      </c>
      <c r="J339" s="4" t="str">
        <f ca="1">IF(OR(INDEX($W$2:$W$1001,MATCH(ROWS($V$2:V339),$V$2:$V$1001,0),1)&gt;=100000,INDEX($AC$1005:$AS$1005,1,MATCH(COLUMNS($AC$1006:AK1006),$AC$1006:$AS$1006,0))&gt;=100000), " ",IF(INDEX($AC$2:$AS$1001,MATCH(ROWS($V$2:V339),$V$2:$V$1001,0),MATCH(COLUMNS($AC$1006:AK1006),$AC$1006:$AS$1006,0)), HYPERLINK("#",""), HYPERLINK(CONCATENATE("#metadata!", ADDRESS(INDEX($X$2:$X$1001,MATCH(ROWS($V$2:V339),$V$2:$V$1001,0),0), INDEX($AC$1004:$AS$1004,1,MATCH(COLUMNS($AC$1006:AK1006),$AC$1006:$AS$1006,0)))),"Fix")))</f>
        <v xml:space="preserve"> </v>
      </c>
      <c r="K339" s="4" t="str">
        <f ca="1">IF(OR(INDEX($W$2:$W$1001,MATCH(ROWS($V$2:V339),$V$2:$V$1001,0),1)&gt;=100000,INDEX($AC$1005:$AS$1005,1,MATCH(COLUMNS($AC$1006:AL1006),$AC$1006:$AS$1006,0))&gt;=100000), " ",IF(INDEX($AC$2:$AS$1001,MATCH(ROWS($V$2:V339),$V$2:$V$1001,0),MATCH(COLUMNS($AC$1006:AL1006),$AC$1006:$AS$1006,0)), HYPERLINK("#",""), HYPERLINK(CONCATENATE("#metadata!", ADDRESS(INDEX($X$2:$X$1001,MATCH(ROWS($V$2:V339),$V$2:$V$1001,0),0), INDEX($AC$1004:$AS$1004,1,MATCH(COLUMNS($AC$1006:AL1006),$AC$1006:$AS$1006,0)))),"Fix")))</f>
        <v xml:space="preserve"> </v>
      </c>
      <c r="L339" s="4" t="str">
        <f ca="1">IF(OR(INDEX($W$2:$W$1001,MATCH(ROWS($V$2:V339),$V$2:$V$1001,0),1)&gt;=100000,INDEX($AC$1005:$AS$1005,1,MATCH(COLUMNS($AC$1006:AM1006),$AC$1006:$AS$1006,0))&gt;=100000), " ",IF(INDEX($AC$2:$AS$1001,MATCH(ROWS($V$2:V339),$V$2:$V$1001,0),MATCH(COLUMNS($AC$1006:AM1006),$AC$1006:$AS$1006,0)), HYPERLINK("#",""), HYPERLINK(CONCATENATE("#metadata!", ADDRESS(INDEX($X$2:$X$1001,MATCH(ROWS($V$2:V339),$V$2:$V$1001,0),0), INDEX($AC$1004:$AS$1004,1,MATCH(COLUMNS($AC$1006:AM1006),$AC$1006:$AS$1006,0)))),"Fix")))</f>
        <v xml:space="preserve"> </v>
      </c>
      <c r="M339" s="4" t="str">
        <f ca="1">IF(OR(INDEX($W$2:$W$1001,MATCH(ROWS($V$2:V339),$V$2:$V$1001,0),1)&gt;=100000,INDEX($AC$1005:$AS$1005,1,MATCH(COLUMNS($AC$1006:AN1006),$AC$1006:$AS$1006,0))&gt;=100000), " ",IF(INDEX($AC$2:$AS$1001,MATCH(ROWS($V$2:V339),$V$2:$V$1001,0),MATCH(COLUMNS($AC$1006:AN1006),$AC$1006:$AS$1006,0)), HYPERLINK("#",""), HYPERLINK(CONCATENATE("#metadata!", ADDRESS(INDEX($X$2:$X$1001,MATCH(ROWS($V$2:V339),$V$2:$V$1001,0),0), INDEX($AC$1004:$AS$1004,1,MATCH(COLUMNS($AC$1006:AN1006),$AC$1006:$AS$1006,0)))),"Fix")))</f>
        <v xml:space="preserve"> </v>
      </c>
      <c r="N339" s="4" t="str">
        <f ca="1">IF(OR(INDEX($W$2:$W$1001,MATCH(ROWS($V$2:V339),$V$2:$V$1001,0),1)&gt;=100000,INDEX($AC$1005:$AS$1005,1,MATCH(COLUMNS($AC$1006:AO1006),$AC$1006:$AS$1006,0))&gt;=100000), " ",IF(INDEX($AC$2:$AS$1001,MATCH(ROWS($V$2:V339),$V$2:$V$1001,0),MATCH(COLUMNS($AC$1006:AO1006),$AC$1006:$AS$1006,0)), HYPERLINK("#",""), HYPERLINK(CONCATENATE("#metadata!", ADDRESS(INDEX($X$2:$X$1001,MATCH(ROWS($V$2:V339),$V$2:$V$1001,0),0), INDEX($AC$1004:$AS$1004,1,MATCH(COLUMNS($AC$1006:AO1006),$AC$1006:$AS$1006,0)))),"Fix")))</f>
        <v xml:space="preserve"> </v>
      </c>
      <c r="O339" s="4" t="str">
        <f ca="1">IF(OR(INDEX($W$2:$W$1001,MATCH(ROWS($V$2:V339),$V$2:$V$1001,0),1)&gt;=100000,INDEX($AC$1005:$AS$1005,1,MATCH(COLUMNS($AC$1006:AP1006),$AC$1006:$AS$1006,0))&gt;=100000), " ",IF(INDEX($AC$2:$AS$1001,MATCH(ROWS($V$2:V339),$V$2:$V$1001,0),MATCH(COLUMNS($AC$1006:AP1006),$AC$1006:$AS$1006,0)), HYPERLINK("#",""), HYPERLINK(CONCATENATE("#metadata!", ADDRESS(INDEX($X$2:$X$1001,MATCH(ROWS($V$2:V339),$V$2:$V$1001,0),0), INDEX($AC$1004:$AS$1004,1,MATCH(COLUMNS($AC$1006:AP1006),$AC$1006:$AS$1006,0)))),"Fix")))</f>
        <v xml:space="preserve"> </v>
      </c>
      <c r="P339" s="4" t="str">
        <f ca="1">IF(OR(INDEX($W$2:$W$1001,MATCH(ROWS($V$2:V339),$V$2:$V$1001,0),1)&gt;=100000,INDEX($AC$1005:$AS$1005,1,MATCH(COLUMNS($AC$1006:AQ1006),$AC$1006:$AS$1006,0))&gt;=100000), " ",IF(INDEX($AC$2:$AS$1001,MATCH(ROWS($V$2:V339),$V$2:$V$1001,0),MATCH(COLUMNS($AC$1006:AQ1006),$AC$1006:$AS$1006,0)), HYPERLINK("#",""), HYPERLINK(CONCATENATE("#metadata!", ADDRESS(INDEX($X$2:$X$1001,MATCH(ROWS($V$2:V339),$V$2:$V$1001,0),0), INDEX($AC$1004:$AS$1004,1,MATCH(COLUMNS($AC$1006:AQ1006),$AC$1006:$AS$1006,0)))),"Fix")))</f>
        <v xml:space="preserve"> </v>
      </c>
      <c r="Q339" s="4" t="str">
        <f ca="1">IF(OR(INDEX($W$2:$W$1001,MATCH(ROWS($V$2:V339),$V$2:$V$1001,0),1)&gt;=100000,INDEX($AC$1005:$AS$1005,1,MATCH(COLUMNS($AC$1006:AR1006),$AC$1006:$AS$1006,0))&gt;=100000), " ",IF(INDEX($AC$2:$AS$1001,MATCH(ROWS($V$2:V339),$V$2:$V$1001,0),MATCH(COLUMNS($AC$1006:AR1006),$AC$1006:$AS$1006,0)), HYPERLINK("#",""), HYPERLINK(CONCATENATE("#metadata!", ADDRESS(INDEX($X$2:$X$1001,MATCH(ROWS($V$2:V339),$V$2:$V$1001,0),0), INDEX($AC$1004:$AS$1004,1,MATCH(COLUMNS($AC$1006:AR1006),$AC$1006:$AS$1006,0)))),"Fix")))</f>
        <v xml:space="preserve"> </v>
      </c>
      <c r="R339" s="4" t="str">
        <f ca="1">IF(OR(INDEX($W$2:$W$1001,MATCH(ROWS($V$2:V339),$V$2:$V$1001,0),1)&gt;=100000,INDEX($AC$1005:$AS$1005,1,MATCH(COLUMNS($AC$1006:AS1006),$AC$1006:$AS$1006,0))&gt;=100000), " ",IF(INDEX($AC$2:$AS$1001,MATCH(ROWS($V$2:V339),$V$2:$V$1001,0),MATCH(COLUMNS($AC$1006:AS1006),$AC$1006:$AS$1006,0)), HYPERLINK("#",""), HYPERLINK(CONCATENATE("#metadata!", ADDRESS(INDEX($X$2:$X$1001,MATCH(ROWS($V$2:V339),$V$2:$V$1001,0),0), INDEX($AC$1004:$AS$1004,1,MATCH(COLUMNS($AC$1006:AS1006),$AC$1006:$AS$1006,0)))),"Fix")))</f>
        <v xml:space="preserve"> </v>
      </c>
      <c r="V339">
        <v>338</v>
      </c>
      <c r="W339">
        <v>100339</v>
      </c>
      <c r="X339">
        <v>339</v>
      </c>
      <c r="Y339" t="b">
        <f t="shared" si="5"/>
        <v>1</v>
      </c>
      <c r="Z339" t="b">
        <f>COUNTBLANK(metadata!B339:R339)=COLUMNS(metadata!B339:R339)</f>
        <v>1</v>
      </c>
      <c r="AA339" t="str">
        <v/>
      </c>
      <c r="AC339" t="b">
        <f ca="1"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AD339" t="b">
        <f>IF(metadata!C339="",FALSE,ISNUMBER(VALUE(metadata!C339)))</f>
        <v>0</v>
      </c>
      <c r="AE339" t="b">
        <f>AND(IF(metadata!D339="",FALSE,TRUE),EXACT(metadata!D339,"years"))</f>
        <v>0</v>
      </c>
      <c r="AF339" t="b">
        <f>OR(AND(IF(metadata!E339="",FALSE,TRUE),OR(EXACT(metadata!E339,"not applicable"),EXACT(metadata!E339,"missing: not collected"),EXACT(metadata!E339,"missing: not provided"),EXACT(metadata!E339,"missing: restricted access"))),AND(IF(metadata!E339="",FALSE,ISNUMBER(VALUE(metadata!E339))),metadata!E339&gt;0))</f>
        <v>0</v>
      </c>
      <c r="AG339" t="b">
        <f>AND(IF(metadata!F339="",FALSE,TRUE),EXACT(metadata!F339,"Not applicable"))</f>
        <v>0</v>
      </c>
      <c r="AH339" t="b">
        <f>AND(IF(metadata!G339="",FALSE,TRUE),EXACT(metadata!G339,"urban biome"))</f>
        <v>0</v>
      </c>
      <c r="AI339" t="b">
        <f>AND(IF(metadata!H339="",FALSE,TRUE),EXACT(metadata!H339,"human-associated habitat"))</f>
        <v>0</v>
      </c>
      <c r="AJ339" t="b">
        <f>AND(IF(metadata!I339="",FALSE,TRUE),OR(EXACT(metadata!I339,"human-associated"),EXACT(metadata!I339,"human-skin"),EXACT(metadata!I339,"human-oral"),EXACT(metadata!I339,"human-gut"),EXACT(metadata!I339,"human-vaginal")))</f>
        <v>0</v>
      </c>
      <c r="AK339" t="b">
        <f>IF(metadata!J339="",FALSE,ISNUMBER(VALUE(metadata!J339)))</f>
        <v>0</v>
      </c>
      <c r="AL339" t="b">
        <f>AND(IF(metadata!K339="",FALSE,TRUE),EXACT(metadata!K339,"cm"))</f>
        <v>0</v>
      </c>
      <c r="AM339" t="b">
        <f>AND(IF(metadata!L339="",FALSE,TRUE),EXACT(metadata!L339,"human"))</f>
        <v>0</v>
      </c>
      <c r="AN339" t="b">
        <f>AND(IF(metadata!M339="",FALSE,TRUE),EXACT(metadata!M339,"Homo sapiens"))</f>
        <v>0</v>
      </c>
      <c r="AO339" t="b">
        <f>AND(IF(metadata!N339="",FALSE,TRUE),EXACT(metadata!N339,"9606"))</f>
        <v>0</v>
      </c>
      <c r="AP339" t="b">
        <f>IF(metadata!O339="",FALSE,TRUE)</f>
        <v>0</v>
      </c>
      <c r="AQ339" t="b">
        <f>IF(metadata!P339="",FALSE,TRUE)</f>
        <v>0</v>
      </c>
      <c r="AR339" t="b">
        <f>IF(metadata!Q339="",FALSE,ISNUMBER(VALUE(metadata!Q339)))</f>
        <v>0</v>
      </c>
      <c r="AS339" t="b">
        <f>AND(IF(metadata!R339="",FALSE,TRUE),EXACT(metadata!R339,"kg"))</f>
        <v>0</v>
      </c>
    </row>
    <row r="340" spans="1:45" x14ac:dyDescent="0.2">
      <c r="A340" s="5" t="str">
        <f ca="1">IF(B340=" "," ",HYPERLINK(CONCATENATE("#metadata!",ADDRESS(INDEX($X$2:$X$1001,MATCH(ROWS($V$2:V340),$V$2:$V$1001,0),0),1)),INDEX($AA$2:$AA$1001,MATCH(ROWS($V$2:V340),$V$2:$V$1001,0),0)))</f>
        <v xml:space="preserve"> </v>
      </c>
      <c r="B340" s="4" t="str">
        <f ca="1">IF(OR(INDEX($W$2:$W$1001,MATCH(ROWS($V$2:V340),$V$2:$V$1001,0),1)&gt;=100000,INDEX($AC$1005:$AS$1005,1,MATCH(COLUMNS($AC$1006:AC1006),$AC$1006:$AS$1006,0))&gt;=100000), " ",IF(INDEX($AC$2:$AS$1001,MATCH(ROWS($V$2:V340),$V$2:$V$1001,0),MATCH(COLUMNS($AC$1006:AC1006),$AC$1006:$AS$1006,0)), HYPERLINK("#",""), HYPERLINK(CONCATENATE("#metadata!", ADDRESS(INDEX($X$2:$X$1001,MATCH(ROWS($V$2:V340),$V$2:$V$1001,0),0), INDEX($AC$1004:$AS$1004,1,MATCH(COLUMNS($AC$1006:AC1006),$AC$1006:$AS$1006,0)))),"Fix")))</f>
        <v xml:space="preserve"> </v>
      </c>
      <c r="C340" s="4" t="str">
        <f ca="1">IF(OR(INDEX($W$2:$W$1001,MATCH(ROWS($V$2:V340),$V$2:$V$1001,0),1)&gt;=100000,INDEX($AC$1005:$AS$1005,1,MATCH(COLUMNS($AC$1006:AD1006),$AC$1006:$AS$1006,0))&gt;=100000), " ",IF(INDEX($AC$2:$AS$1001,MATCH(ROWS($V$2:V340),$V$2:$V$1001,0),MATCH(COLUMNS($AC$1006:AD1006),$AC$1006:$AS$1006,0)), HYPERLINK("#",""), HYPERLINK(CONCATENATE("#metadata!", ADDRESS(INDEX($X$2:$X$1001,MATCH(ROWS($V$2:V340),$V$2:$V$1001,0),0), INDEX($AC$1004:$AS$1004,1,MATCH(COLUMNS($AC$1006:AD1006),$AC$1006:$AS$1006,0)))),"Fix")))</f>
        <v xml:space="preserve"> </v>
      </c>
      <c r="D340" s="4" t="str">
        <f ca="1">IF(OR(INDEX($W$2:$W$1001,MATCH(ROWS($V$2:V340),$V$2:$V$1001,0),1)&gt;=100000,INDEX($AC$1005:$AS$1005,1,MATCH(COLUMNS($AC$1006:AE1006),$AC$1006:$AS$1006,0))&gt;=100000), " ",IF(INDEX($AC$2:$AS$1001,MATCH(ROWS($V$2:V340),$V$2:$V$1001,0),MATCH(COLUMNS($AC$1006:AE1006),$AC$1006:$AS$1006,0)), HYPERLINK("#",""), HYPERLINK(CONCATENATE("#metadata!", ADDRESS(INDEX($X$2:$X$1001,MATCH(ROWS($V$2:V340),$V$2:$V$1001,0),0), INDEX($AC$1004:$AS$1004,1,MATCH(COLUMNS($AC$1006:AE1006),$AC$1006:$AS$1006,0)))),"Fix")))</f>
        <v xml:space="preserve"> </v>
      </c>
      <c r="E340" s="4" t="str">
        <f ca="1">IF(OR(INDEX($W$2:$W$1001,MATCH(ROWS($V$2:V340),$V$2:$V$1001,0),1)&gt;=100000,INDEX($AC$1005:$AS$1005,1,MATCH(COLUMNS($AC$1006:AF1006),$AC$1006:$AS$1006,0))&gt;=100000), " ",IF(INDEX($AC$2:$AS$1001,MATCH(ROWS($V$2:V340),$V$2:$V$1001,0),MATCH(COLUMNS($AC$1006:AF1006),$AC$1006:$AS$1006,0)), HYPERLINK("#",""), HYPERLINK(CONCATENATE("#metadata!", ADDRESS(INDEX($X$2:$X$1001,MATCH(ROWS($V$2:V340),$V$2:$V$1001,0),0), INDEX($AC$1004:$AS$1004,1,MATCH(COLUMNS($AC$1006:AF1006),$AC$1006:$AS$1006,0)))),"Fix")))</f>
        <v xml:space="preserve"> </v>
      </c>
      <c r="F340" s="4" t="str">
        <f ca="1">IF(OR(INDEX($W$2:$W$1001,MATCH(ROWS($V$2:V340),$V$2:$V$1001,0),1)&gt;=100000,INDEX($AC$1005:$AS$1005,1,MATCH(COLUMNS($AC$1006:AG1006),$AC$1006:$AS$1006,0))&gt;=100000), " ",IF(INDEX($AC$2:$AS$1001,MATCH(ROWS($V$2:V340),$V$2:$V$1001,0),MATCH(COLUMNS($AC$1006:AG1006),$AC$1006:$AS$1006,0)), HYPERLINK("#",""), HYPERLINK(CONCATENATE("#metadata!", ADDRESS(INDEX($X$2:$X$1001,MATCH(ROWS($V$2:V340),$V$2:$V$1001,0),0), INDEX($AC$1004:$AS$1004,1,MATCH(COLUMNS($AC$1006:AG1006),$AC$1006:$AS$1006,0)))),"Fix")))</f>
        <v xml:space="preserve"> </v>
      </c>
      <c r="G340" s="4" t="str">
        <f ca="1">IF(OR(INDEX($W$2:$W$1001,MATCH(ROWS($V$2:V340),$V$2:$V$1001,0),1)&gt;=100000,INDEX($AC$1005:$AS$1005,1,MATCH(COLUMNS($AC$1006:AH1006),$AC$1006:$AS$1006,0))&gt;=100000), " ",IF(INDEX($AC$2:$AS$1001,MATCH(ROWS($V$2:V340),$V$2:$V$1001,0),MATCH(COLUMNS($AC$1006:AH1006),$AC$1006:$AS$1006,0)), HYPERLINK("#",""), HYPERLINK(CONCATENATE("#metadata!", ADDRESS(INDEX($X$2:$X$1001,MATCH(ROWS($V$2:V340),$V$2:$V$1001,0),0), INDEX($AC$1004:$AS$1004,1,MATCH(COLUMNS($AC$1006:AH1006),$AC$1006:$AS$1006,0)))),"Fix")))</f>
        <v xml:space="preserve"> </v>
      </c>
      <c r="H340" s="4" t="str">
        <f ca="1">IF(OR(INDEX($W$2:$W$1001,MATCH(ROWS($V$2:V340),$V$2:$V$1001,0),1)&gt;=100000,INDEX($AC$1005:$AS$1005,1,MATCH(COLUMNS($AC$1006:AI1006),$AC$1006:$AS$1006,0))&gt;=100000), " ",IF(INDEX($AC$2:$AS$1001,MATCH(ROWS($V$2:V340),$V$2:$V$1001,0),MATCH(COLUMNS($AC$1006:AI1006),$AC$1006:$AS$1006,0)), HYPERLINK("#",""), HYPERLINK(CONCATENATE("#metadata!", ADDRESS(INDEX($X$2:$X$1001,MATCH(ROWS($V$2:V340),$V$2:$V$1001,0),0), INDEX($AC$1004:$AS$1004,1,MATCH(COLUMNS($AC$1006:AI1006),$AC$1006:$AS$1006,0)))),"Fix")))</f>
        <v xml:space="preserve"> </v>
      </c>
      <c r="I340" s="4" t="str">
        <f ca="1">IF(OR(INDEX($W$2:$W$1001,MATCH(ROWS($V$2:V340),$V$2:$V$1001,0),1)&gt;=100000,INDEX($AC$1005:$AS$1005,1,MATCH(COLUMNS($AC$1006:AJ1006),$AC$1006:$AS$1006,0))&gt;=100000), " ",IF(INDEX($AC$2:$AS$1001,MATCH(ROWS($V$2:V340),$V$2:$V$1001,0),MATCH(COLUMNS($AC$1006:AJ1006),$AC$1006:$AS$1006,0)), HYPERLINK("#",""), HYPERLINK(CONCATENATE("#metadata!", ADDRESS(INDEX($X$2:$X$1001,MATCH(ROWS($V$2:V340),$V$2:$V$1001,0),0), INDEX($AC$1004:$AS$1004,1,MATCH(COLUMNS($AC$1006:AJ1006),$AC$1006:$AS$1006,0)))),"Fix")))</f>
        <v xml:space="preserve"> </v>
      </c>
      <c r="J340" s="4" t="str">
        <f ca="1">IF(OR(INDEX($W$2:$W$1001,MATCH(ROWS($V$2:V340),$V$2:$V$1001,0),1)&gt;=100000,INDEX($AC$1005:$AS$1005,1,MATCH(COLUMNS($AC$1006:AK1006),$AC$1006:$AS$1006,0))&gt;=100000), " ",IF(INDEX($AC$2:$AS$1001,MATCH(ROWS($V$2:V340),$V$2:$V$1001,0),MATCH(COLUMNS($AC$1006:AK1006),$AC$1006:$AS$1006,0)), HYPERLINK("#",""), HYPERLINK(CONCATENATE("#metadata!", ADDRESS(INDEX($X$2:$X$1001,MATCH(ROWS($V$2:V340),$V$2:$V$1001,0),0), INDEX($AC$1004:$AS$1004,1,MATCH(COLUMNS($AC$1006:AK1006),$AC$1006:$AS$1006,0)))),"Fix")))</f>
        <v xml:space="preserve"> </v>
      </c>
      <c r="K340" s="4" t="str">
        <f ca="1">IF(OR(INDEX($W$2:$W$1001,MATCH(ROWS($V$2:V340),$V$2:$V$1001,0),1)&gt;=100000,INDEX($AC$1005:$AS$1005,1,MATCH(COLUMNS($AC$1006:AL1006),$AC$1006:$AS$1006,0))&gt;=100000), " ",IF(INDEX($AC$2:$AS$1001,MATCH(ROWS($V$2:V340),$V$2:$V$1001,0),MATCH(COLUMNS($AC$1006:AL1006),$AC$1006:$AS$1006,0)), HYPERLINK("#",""), HYPERLINK(CONCATENATE("#metadata!", ADDRESS(INDEX($X$2:$X$1001,MATCH(ROWS($V$2:V340),$V$2:$V$1001,0),0), INDEX($AC$1004:$AS$1004,1,MATCH(COLUMNS($AC$1006:AL1006),$AC$1006:$AS$1006,0)))),"Fix")))</f>
        <v xml:space="preserve"> </v>
      </c>
      <c r="L340" s="4" t="str">
        <f ca="1">IF(OR(INDEX($W$2:$W$1001,MATCH(ROWS($V$2:V340),$V$2:$V$1001,0),1)&gt;=100000,INDEX($AC$1005:$AS$1005,1,MATCH(COLUMNS($AC$1006:AM1006),$AC$1006:$AS$1006,0))&gt;=100000), " ",IF(INDEX($AC$2:$AS$1001,MATCH(ROWS($V$2:V340),$V$2:$V$1001,0),MATCH(COLUMNS($AC$1006:AM1006),$AC$1006:$AS$1006,0)), HYPERLINK("#",""), HYPERLINK(CONCATENATE("#metadata!", ADDRESS(INDEX($X$2:$X$1001,MATCH(ROWS($V$2:V340),$V$2:$V$1001,0),0), INDEX($AC$1004:$AS$1004,1,MATCH(COLUMNS($AC$1006:AM1006),$AC$1006:$AS$1006,0)))),"Fix")))</f>
        <v xml:space="preserve"> </v>
      </c>
      <c r="M340" s="4" t="str">
        <f ca="1">IF(OR(INDEX($W$2:$W$1001,MATCH(ROWS($V$2:V340),$V$2:$V$1001,0),1)&gt;=100000,INDEX($AC$1005:$AS$1005,1,MATCH(COLUMNS($AC$1006:AN1006),$AC$1006:$AS$1006,0))&gt;=100000), " ",IF(INDEX($AC$2:$AS$1001,MATCH(ROWS($V$2:V340),$V$2:$V$1001,0),MATCH(COLUMNS($AC$1006:AN1006),$AC$1006:$AS$1006,0)), HYPERLINK("#",""), HYPERLINK(CONCATENATE("#metadata!", ADDRESS(INDEX($X$2:$X$1001,MATCH(ROWS($V$2:V340),$V$2:$V$1001,0),0), INDEX($AC$1004:$AS$1004,1,MATCH(COLUMNS($AC$1006:AN1006),$AC$1006:$AS$1006,0)))),"Fix")))</f>
        <v xml:space="preserve"> </v>
      </c>
      <c r="N340" s="4" t="str">
        <f ca="1">IF(OR(INDEX($W$2:$W$1001,MATCH(ROWS($V$2:V340),$V$2:$V$1001,0),1)&gt;=100000,INDEX($AC$1005:$AS$1005,1,MATCH(COLUMNS($AC$1006:AO1006),$AC$1006:$AS$1006,0))&gt;=100000), " ",IF(INDEX($AC$2:$AS$1001,MATCH(ROWS($V$2:V340),$V$2:$V$1001,0),MATCH(COLUMNS($AC$1006:AO1006),$AC$1006:$AS$1006,0)), HYPERLINK("#",""), HYPERLINK(CONCATENATE("#metadata!", ADDRESS(INDEX($X$2:$X$1001,MATCH(ROWS($V$2:V340),$V$2:$V$1001,0),0), INDEX($AC$1004:$AS$1004,1,MATCH(COLUMNS($AC$1006:AO1006),$AC$1006:$AS$1006,0)))),"Fix")))</f>
        <v xml:space="preserve"> </v>
      </c>
      <c r="O340" s="4" t="str">
        <f ca="1">IF(OR(INDEX($W$2:$W$1001,MATCH(ROWS($V$2:V340),$V$2:$V$1001,0),1)&gt;=100000,INDEX($AC$1005:$AS$1005,1,MATCH(COLUMNS($AC$1006:AP1006),$AC$1006:$AS$1006,0))&gt;=100000), " ",IF(INDEX($AC$2:$AS$1001,MATCH(ROWS($V$2:V340),$V$2:$V$1001,0),MATCH(COLUMNS($AC$1006:AP1006),$AC$1006:$AS$1006,0)), HYPERLINK("#",""), HYPERLINK(CONCATENATE("#metadata!", ADDRESS(INDEX($X$2:$X$1001,MATCH(ROWS($V$2:V340),$V$2:$V$1001,0),0), INDEX($AC$1004:$AS$1004,1,MATCH(COLUMNS($AC$1006:AP1006),$AC$1006:$AS$1006,0)))),"Fix")))</f>
        <v xml:space="preserve"> </v>
      </c>
      <c r="P340" s="4" t="str">
        <f ca="1">IF(OR(INDEX($W$2:$W$1001,MATCH(ROWS($V$2:V340),$V$2:$V$1001,0),1)&gt;=100000,INDEX($AC$1005:$AS$1005,1,MATCH(COLUMNS($AC$1006:AQ1006),$AC$1006:$AS$1006,0))&gt;=100000), " ",IF(INDEX($AC$2:$AS$1001,MATCH(ROWS($V$2:V340),$V$2:$V$1001,0),MATCH(COLUMNS($AC$1006:AQ1006),$AC$1006:$AS$1006,0)), HYPERLINK("#",""), HYPERLINK(CONCATENATE("#metadata!", ADDRESS(INDEX($X$2:$X$1001,MATCH(ROWS($V$2:V340),$V$2:$V$1001,0),0), INDEX($AC$1004:$AS$1004,1,MATCH(COLUMNS($AC$1006:AQ1006),$AC$1006:$AS$1006,0)))),"Fix")))</f>
        <v xml:space="preserve"> </v>
      </c>
      <c r="Q340" s="4" t="str">
        <f ca="1">IF(OR(INDEX($W$2:$W$1001,MATCH(ROWS($V$2:V340),$V$2:$V$1001,0),1)&gt;=100000,INDEX($AC$1005:$AS$1005,1,MATCH(COLUMNS($AC$1006:AR1006),$AC$1006:$AS$1006,0))&gt;=100000), " ",IF(INDEX($AC$2:$AS$1001,MATCH(ROWS($V$2:V340),$V$2:$V$1001,0),MATCH(COLUMNS($AC$1006:AR1006),$AC$1006:$AS$1006,0)), HYPERLINK("#",""), HYPERLINK(CONCATENATE("#metadata!", ADDRESS(INDEX($X$2:$X$1001,MATCH(ROWS($V$2:V340),$V$2:$V$1001,0),0), INDEX($AC$1004:$AS$1004,1,MATCH(COLUMNS($AC$1006:AR1006),$AC$1006:$AS$1006,0)))),"Fix")))</f>
        <v xml:space="preserve"> </v>
      </c>
      <c r="R340" s="4" t="str">
        <f ca="1">IF(OR(INDEX($W$2:$W$1001,MATCH(ROWS($V$2:V340),$V$2:$V$1001,0),1)&gt;=100000,INDEX($AC$1005:$AS$1005,1,MATCH(COLUMNS($AC$1006:AS1006),$AC$1006:$AS$1006,0))&gt;=100000), " ",IF(INDEX($AC$2:$AS$1001,MATCH(ROWS($V$2:V340),$V$2:$V$1001,0),MATCH(COLUMNS($AC$1006:AS1006),$AC$1006:$AS$1006,0)), HYPERLINK("#",""), HYPERLINK(CONCATENATE("#metadata!", ADDRESS(INDEX($X$2:$X$1001,MATCH(ROWS($V$2:V340),$V$2:$V$1001,0),0), INDEX($AC$1004:$AS$1004,1,MATCH(COLUMNS($AC$1006:AS1006),$AC$1006:$AS$1006,0)))),"Fix")))</f>
        <v xml:space="preserve"> </v>
      </c>
      <c r="V340">
        <v>339</v>
      </c>
      <c r="W340">
        <v>100340</v>
      </c>
      <c r="X340">
        <v>340</v>
      </c>
      <c r="Y340" t="b">
        <f t="shared" si="5"/>
        <v>1</v>
      </c>
      <c r="Z340" t="b">
        <f>COUNTBLANK(metadata!B340:R340)=COLUMNS(metadata!B340:R340)</f>
        <v>1</v>
      </c>
      <c r="AA340" t="str">
        <v/>
      </c>
      <c r="AC340" t="b">
        <f ca="1"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AD340" t="b">
        <f>IF(metadata!C340="",FALSE,ISNUMBER(VALUE(metadata!C340)))</f>
        <v>0</v>
      </c>
      <c r="AE340" t="b">
        <f>AND(IF(metadata!D340="",FALSE,TRUE),EXACT(metadata!D340,"years"))</f>
        <v>0</v>
      </c>
      <c r="AF340" t="b">
        <f>OR(AND(IF(metadata!E340="",FALSE,TRUE),OR(EXACT(metadata!E340,"not applicable"),EXACT(metadata!E340,"missing: not collected"),EXACT(metadata!E340,"missing: not provided"),EXACT(metadata!E340,"missing: restricted access"))),AND(IF(metadata!E340="",FALSE,ISNUMBER(VALUE(metadata!E340))),metadata!E340&gt;0))</f>
        <v>0</v>
      </c>
      <c r="AG340" t="b">
        <f>AND(IF(metadata!F340="",FALSE,TRUE),EXACT(metadata!F340,"Not applicable"))</f>
        <v>0</v>
      </c>
      <c r="AH340" t="b">
        <f>AND(IF(metadata!G340="",FALSE,TRUE),EXACT(metadata!G340,"urban biome"))</f>
        <v>0</v>
      </c>
      <c r="AI340" t="b">
        <f>AND(IF(metadata!H340="",FALSE,TRUE),EXACT(metadata!H340,"human-associated habitat"))</f>
        <v>0</v>
      </c>
      <c r="AJ340" t="b">
        <f>AND(IF(metadata!I340="",FALSE,TRUE),OR(EXACT(metadata!I340,"human-associated"),EXACT(metadata!I340,"human-skin"),EXACT(metadata!I340,"human-oral"),EXACT(metadata!I340,"human-gut"),EXACT(metadata!I340,"human-vaginal")))</f>
        <v>0</v>
      </c>
      <c r="AK340" t="b">
        <f>IF(metadata!J340="",FALSE,ISNUMBER(VALUE(metadata!J340)))</f>
        <v>0</v>
      </c>
      <c r="AL340" t="b">
        <f>AND(IF(metadata!K340="",FALSE,TRUE),EXACT(metadata!K340,"cm"))</f>
        <v>0</v>
      </c>
      <c r="AM340" t="b">
        <f>AND(IF(metadata!L340="",FALSE,TRUE),EXACT(metadata!L340,"human"))</f>
        <v>0</v>
      </c>
      <c r="AN340" t="b">
        <f>AND(IF(metadata!M340="",FALSE,TRUE),EXACT(metadata!M340,"Homo sapiens"))</f>
        <v>0</v>
      </c>
      <c r="AO340" t="b">
        <f>AND(IF(metadata!N340="",FALSE,TRUE),EXACT(metadata!N340,"9606"))</f>
        <v>0</v>
      </c>
      <c r="AP340" t="b">
        <f>IF(metadata!O340="",FALSE,TRUE)</f>
        <v>0</v>
      </c>
      <c r="AQ340" t="b">
        <f>IF(metadata!P340="",FALSE,TRUE)</f>
        <v>0</v>
      </c>
      <c r="AR340" t="b">
        <f>IF(metadata!Q340="",FALSE,ISNUMBER(VALUE(metadata!Q340)))</f>
        <v>0</v>
      </c>
      <c r="AS340" t="b">
        <f>AND(IF(metadata!R340="",FALSE,TRUE),EXACT(metadata!R340,"kg"))</f>
        <v>0</v>
      </c>
    </row>
    <row r="341" spans="1:45" x14ac:dyDescent="0.2">
      <c r="A341" s="5" t="str">
        <f ca="1">IF(B341=" "," ",HYPERLINK(CONCATENATE("#metadata!",ADDRESS(INDEX($X$2:$X$1001,MATCH(ROWS($V$2:V341),$V$2:$V$1001,0),0),1)),INDEX($AA$2:$AA$1001,MATCH(ROWS($V$2:V341),$V$2:$V$1001,0),0)))</f>
        <v xml:space="preserve"> </v>
      </c>
      <c r="B341" s="4" t="str">
        <f ca="1">IF(OR(INDEX($W$2:$W$1001,MATCH(ROWS($V$2:V341),$V$2:$V$1001,0),1)&gt;=100000,INDEX($AC$1005:$AS$1005,1,MATCH(COLUMNS($AC$1006:AC1006),$AC$1006:$AS$1006,0))&gt;=100000), " ",IF(INDEX($AC$2:$AS$1001,MATCH(ROWS($V$2:V341),$V$2:$V$1001,0),MATCH(COLUMNS($AC$1006:AC1006),$AC$1006:$AS$1006,0)), HYPERLINK("#",""), HYPERLINK(CONCATENATE("#metadata!", ADDRESS(INDEX($X$2:$X$1001,MATCH(ROWS($V$2:V341),$V$2:$V$1001,0),0), INDEX($AC$1004:$AS$1004,1,MATCH(COLUMNS($AC$1006:AC1006),$AC$1006:$AS$1006,0)))),"Fix")))</f>
        <v xml:space="preserve"> </v>
      </c>
      <c r="C341" s="4" t="str">
        <f ca="1">IF(OR(INDEX($W$2:$W$1001,MATCH(ROWS($V$2:V341),$V$2:$V$1001,0),1)&gt;=100000,INDEX($AC$1005:$AS$1005,1,MATCH(COLUMNS($AC$1006:AD1006),$AC$1006:$AS$1006,0))&gt;=100000), " ",IF(INDEX($AC$2:$AS$1001,MATCH(ROWS($V$2:V341),$V$2:$V$1001,0),MATCH(COLUMNS($AC$1006:AD1006),$AC$1006:$AS$1006,0)), HYPERLINK("#",""), HYPERLINK(CONCATENATE("#metadata!", ADDRESS(INDEX($X$2:$X$1001,MATCH(ROWS($V$2:V341),$V$2:$V$1001,0),0), INDEX($AC$1004:$AS$1004,1,MATCH(COLUMNS($AC$1006:AD1006),$AC$1006:$AS$1006,0)))),"Fix")))</f>
        <v xml:space="preserve"> </v>
      </c>
      <c r="D341" s="4" t="str">
        <f ca="1">IF(OR(INDEX($W$2:$W$1001,MATCH(ROWS($V$2:V341),$V$2:$V$1001,0),1)&gt;=100000,INDEX($AC$1005:$AS$1005,1,MATCH(COLUMNS($AC$1006:AE1006),$AC$1006:$AS$1006,0))&gt;=100000), " ",IF(INDEX($AC$2:$AS$1001,MATCH(ROWS($V$2:V341),$V$2:$V$1001,0),MATCH(COLUMNS($AC$1006:AE1006),$AC$1006:$AS$1006,0)), HYPERLINK("#",""), HYPERLINK(CONCATENATE("#metadata!", ADDRESS(INDEX($X$2:$X$1001,MATCH(ROWS($V$2:V341),$V$2:$V$1001,0),0), INDEX($AC$1004:$AS$1004,1,MATCH(COLUMNS($AC$1006:AE1006),$AC$1006:$AS$1006,0)))),"Fix")))</f>
        <v xml:space="preserve"> </v>
      </c>
      <c r="E341" s="4" t="str">
        <f ca="1">IF(OR(INDEX($W$2:$W$1001,MATCH(ROWS($V$2:V341),$V$2:$V$1001,0),1)&gt;=100000,INDEX($AC$1005:$AS$1005,1,MATCH(COLUMNS($AC$1006:AF1006),$AC$1006:$AS$1006,0))&gt;=100000), " ",IF(INDEX($AC$2:$AS$1001,MATCH(ROWS($V$2:V341),$V$2:$V$1001,0),MATCH(COLUMNS($AC$1006:AF1006),$AC$1006:$AS$1006,0)), HYPERLINK("#",""), HYPERLINK(CONCATENATE("#metadata!", ADDRESS(INDEX($X$2:$X$1001,MATCH(ROWS($V$2:V341),$V$2:$V$1001,0),0), INDEX($AC$1004:$AS$1004,1,MATCH(COLUMNS($AC$1006:AF1006),$AC$1006:$AS$1006,0)))),"Fix")))</f>
        <v xml:space="preserve"> </v>
      </c>
      <c r="F341" s="4" t="str">
        <f ca="1">IF(OR(INDEX($W$2:$W$1001,MATCH(ROWS($V$2:V341),$V$2:$V$1001,0),1)&gt;=100000,INDEX($AC$1005:$AS$1005,1,MATCH(COLUMNS($AC$1006:AG1006),$AC$1006:$AS$1006,0))&gt;=100000), " ",IF(INDEX($AC$2:$AS$1001,MATCH(ROWS($V$2:V341),$V$2:$V$1001,0),MATCH(COLUMNS($AC$1006:AG1006),$AC$1006:$AS$1006,0)), HYPERLINK("#",""), HYPERLINK(CONCATENATE("#metadata!", ADDRESS(INDEX($X$2:$X$1001,MATCH(ROWS($V$2:V341),$V$2:$V$1001,0),0), INDEX($AC$1004:$AS$1004,1,MATCH(COLUMNS($AC$1006:AG1006),$AC$1006:$AS$1006,0)))),"Fix")))</f>
        <v xml:space="preserve"> </v>
      </c>
      <c r="G341" s="4" t="str">
        <f ca="1">IF(OR(INDEX($W$2:$W$1001,MATCH(ROWS($V$2:V341),$V$2:$V$1001,0),1)&gt;=100000,INDEX($AC$1005:$AS$1005,1,MATCH(COLUMNS($AC$1006:AH1006),$AC$1006:$AS$1006,0))&gt;=100000), " ",IF(INDEX($AC$2:$AS$1001,MATCH(ROWS($V$2:V341),$V$2:$V$1001,0),MATCH(COLUMNS($AC$1006:AH1006),$AC$1006:$AS$1006,0)), HYPERLINK("#",""), HYPERLINK(CONCATENATE("#metadata!", ADDRESS(INDEX($X$2:$X$1001,MATCH(ROWS($V$2:V341),$V$2:$V$1001,0),0), INDEX($AC$1004:$AS$1004,1,MATCH(COLUMNS($AC$1006:AH1006),$AC$1006:$AS$1006,0)))),"Fix")))</f>
        <v xml:space="preserve"> </v>
      </c>
      <c r="H341" s="4" t="str">
        <f ca="1">IF(OR(INDEX($W$2:$W$1001,MATCH(ROWS($V$2:V341),$V$2:$V$1001,0),1)&gt;=100000,INDEX($AC$1005:$AS$1005,1,MATCH(COLUMNS($AC$1006:AI1006),$AC$1006:$AS$1006,0))&gt;=100000), " ",IF(INDEX($AC$2:$AS$1001,MATCH(ROWS($V$2:V341),$V$2:$V$1001,0),MATCH(COLUMNS($AC$1006:AI1006),$AC$1006:$AS$1006,0)), HYPERLINK("#",""), HYPERLINK(CONCATENATE("#metadata!", ADDRESS(INDEX($X$2:$X$1001,MATCH(ROWS($V$2:V341),$V$2:$V$1001,0),0), INDEX($AC$1004:$AS$1004,1,MATCH(COLUMNS($AC$1006:AI1006),$AC$1006:$AS$1006,0)))),"Fix")))</f>
        <v xml:space="preserve"> </v>
      </c>
      <c r="I341" s="4" t="str">
        <f ca="1">IF(OR(INDEX($W$2:$W$1001,MATCH(ROWS($V$2:V341),$V$2:$V$1001,0),1)&gt;=100000,INDEX($AC$1005:$AS$1005,1,MATCH(COLUMNS($AC$1006:AJ1006),$AC$1006:$AS$1006,0))&gt;=100000), " ",IF(INDEX($AC$2:$AS$1001,MATCH(ROWS($V$2:V341),$V$2:$V$1001,0),MATCH(COLUMNS($AC$1006:AJ1006),$AC$1006:$AS$1006,0)), HYPERLINK("#",""), HYPERLINK(CONCATENATE("#metadata!", ADDRESS(INDEX($X$2:$X$1001,MATCH(ROWS($V$2:V341),$V$2:$V$1001,0),0), INDEX($AC$1004:$AS$1004,1,MATCH(COLUMNS($AC$1006:AJ1006),$AC$1006:$AS$1006,0)))),"Fix")))</f>
        <v xml:space="preserve"> </v>
      </c>
      <c r="J341" s="4" t="str">
        <f ca="1">IF(OR(INDEX($W$2:$W$1001,MATCH(ROWS($V$2:V341),$V$2:$V$1001,0),1)&gt;=100000,INDEX($AC$1005:$AS$1005,1,MATCH(COLUMNS($AC$1006:AK1006),$AC$1006:$AS$1006,0))&gt;=100000), " ",IF(INDEX($AC$2:$AS$1001,MATCH(ROWS($V$2:V341),$V$2:$V$1001,0),MATCH(COLUMNS($AC$1006:AK1006),$AC$1006:$AS$1006,0)), HYPERLINK("#",""), HYPERLINK(CONCATENATE("#metadata!", ADDRESS(INDEX($X$2:$X$1001,MATCH(ROWS($V$2:V341),$V$2:$V$1001,0),0), INDEX($AC$1004:$AS$1004,1,MATCH(COLUMNS($AC$1006:AK1006),$AC$1006:$AS$1006,0)))),"Fix")))</f>
        <v xml:space="preserve"> </v>
      </c>
      <c r="K341" s="4" t="str">
        <f ca="1">IF(OR(INDEX($W$2:$W$1001,MATCH(ROWS($V$2:V341),$V$2:$V$1001,0),1)&gt;=100000,INDEX($AC$1005:$AS$1005,1,MATCH(COLUMNS($AC$1006:AL1006),$AC$1006:$AS$1006,0))&gt;=100000), " ",IF(INDEX($AC$2:$AS$1001,MATCH(ROWS($V$2:V341),$V$2:$V$1001,0),MATCH(COLUMNS($AC$1006:AL1006),$AC$1006:$AS$1006,0)), HYPERLINK("#",""), HYPERLINK(CONCATENATE("#metadata!", ADDRESS(INDEX($X$2:$X$1001,MATCH(ROWS($V$2:V341),$V$2:$V$1001,0),0), INDEX($AC$1004:$AS$1004,1,MATCH(COLUMNS($AC$1006:AL1006),$AC$1006:$AS$1006,0)))),"Fix")))</f>
        <v xml:space="preserve"> </v>
      </c>
      <c r="L341" s="4" t="str">
        <f ca="1">IF(OR(INDEX($W$2:$W$1001,MATCH(ROWS($V$2:V341),$V$2:$V$1001,0),1)&gt;=100000,INDEX($AC$1005:$AS$1005,1,MATCH(COLUMNS($AC$1006:AM1006),$AC$1006:$AS$1006,0))&gt;=100000), " ",IF(INDEX($AC$2:$AS$1001,MATCH(ROWS($V$2:V341),$V$2:$V$1001,0),MATCH(COLUMNS($AC$1006:AM1006),$AC$1006:$AS$1006,0)), HYPERLINK("#",""), HYPERLINK(CONCATENATE("#metadata!", ADDRESS(INDEX($X$2:$X$1001,MATCH(ROWS($V$2:V341),$V$2:$V$1001,0),0), INDEX($AC$1004:$AS$1004,1,MATCH(COLUMNS($AC$1006:AM1006),$AC$1006:$AS$1006,0)))),"Fix")))</f>
        <v xml:space="preserve"> </v>
      </c>
      <c r="M341" s="4" t="str">
        <f ca="1">IF(OR(INDEX($W$2:$W$1001,MATCH(ROWS($V$2:V341),$V$2:$V$1001,0),1)&gt;=100000,INDEX($AC$1005:$AS$1005,1,MATCH(COLUMNS($AC$1006:AN1006),$AC$1006:$AS$1006,0))&gt;=100000), " ",IF(INDEX($AC$2:$AS$1001,MATCH(ROWS($V$2:V341),$V$2:$V$1001,0),MATCH(COLUMNS($AC$1006:AN1006),$AC$1006:$AS$1006,0)), HYPERLINK("#",""), HYPERLINK(CONCATENATE("#metadata!", ADDRESS(INDEX($X$2:$X$1001,MATCH(ROWS($V$2:V341),$V$2:$V$1001,0),0), INDEX($AC$1004:$AS$1004,1,MATCH(COLUMNS($AC$1006:AN1006),$AC$1006:$AS$1006,0)))),"Fix")))</f>
        <v xml:space="preserve"> </v>
      </c>
      <c r="N341" s="4" t="str">
        <f ca="1">IF(OR(INDEX($W$2:$W$1001,MATCH(ROWS($V$2:V341),$V$2:$V$1001,0),1)&gt;=100000,INDEX($AC$1005:$AS$1005,1,MATCH(COLUMNS($AC$1006:AO1006),$AC$1006:$AS$1006,0))&gt;=100000), " ",IF(INDEX($AC$2:$AS$1001,MATCH(ROWS($V$2:V341),$V$2:$V$1001,0),MATCH(COLUMNS($AC$1006:AO1006),$AC$1006:$AS$1006,0)), HYPERLINK("#",""), HYPERLINK(CONCATENATE("#metadata!", ADDRESS(INDEX($X$2:$X$1001,MATCH(ROWS($V$2:V341),$V$2:$V$1001,0),0), INDEX($AC$1004:$AS$1004,1,MATCH(COLUMNS($AC$1006:AO1006),$AC$1006:$AS$1006,0)))),"Fix")))</f>
        <v xml:space="preserve"> </v>
      </c>
      <c r="O341" s="4" t="str">
        <f ca="1">IF(OR(INDEX($W$2:$W$1001,MATCH(ROWS($V$2:V341),$V$2:$V$1001,0),1)&gt;=100000,INDEX($AC$1005:$AS$1005,1,MATCH(COLUMNS($AC$1006:AP1006),$AC$1006:$AS$1006,0))&gt;=100000), " ",IF(INDEX($AC$2:$AS$1001,MATCH(ROWS($V$2:V341),$V$2:$V$1001,0),MATCH(COLUMNS($AC$1006:AP1006),$AC$1006:$AS$1006,0)), HYPERLINK("#",""), HYPERLINK(CONCATENATE("#metadata!", ADDRESS(INDEX($X$2:$X$1001,MATCH(ROWS($V$2:V341),$V$2:$V$1001,0),0), INDEX($AC$1004:$AS$1004,1,MATCH(COLUMNS($AC$1006:AP1006),$AC$1006:$AS$1006,0)))),"Fix")))</f>
        <v xml:space="preserve"> </v>
      </c>
      <c r="P341" s="4" t="str">
        <f ca="1">IF(OR(INDEX($W$2:$W$1001,MATCH(ROWS($V$2:V341),$V$2:$V$1001,0),1)&gt;=100000,INDEX($AC$1005:$AS$1005,1,MATCH(COLUMNS($AC$1006:AQ1006),$AC$1006:$AS$1006,0))&gt;=100000), " ",IF(INDEX($AC$2:$AS$1001,MATCH(ROWS($V$2:V341),$V$2:$V$1001,0),MATCH(COLUMNS($AC$1006:AQ1006),$AC$1006:$AS$1006,0)), HYPERLINK("#",""), HYPERLINK(CONCATENATE("#metadata!", ADDRESS(INDEX($X$2:$X$1001,MATCH(ROWS($V$2:V341),$V$2:$V$1001,0),0), INDEX($AC$1004:$AS$1004,1,MATCH(COLUMNS($AC$1006:AQ1006),$AC$1006:$AS$1006,0)))),"Fix")))</f>
        <v xml:space="preserve"> </v>
      </c>
      <c r="Q341" s="4" t="str">
        <f ca="1">IF(OR(INDEX($W$2:$W$1001,MATCH(ROWS($V$2:V341),$V$2:$V$1001,0),1)&gt;=100000,INDEX($AC$1005:$AS$1005,1,MATCH(COLUMNS($AC$1006:AR1006),$AC$1006:$AS$1006,0))&gt;=100000), " ",IF(INDEX($AC$2:$AS$1001,MATCH(ROWS($V$2:V341),$V$2:$V$1001,0),MATCH(COLUMNS($AC$1006:AR1006),$AC$1006:$AS$1006,0)), HYPERLINK("#",""), HYPERLINK(CONCATENATE("#metadata!", ADDRESS(INDEX($X$2:$X$1001,MATCH(ROWS($V$2:V341),$V$2:$V$1001,0),0), INDEX($AC$1004:$AS$1004,1,MATCH(COLUMNS($AC$1006:AR1006),$AC$1006:$AS$1006,0)))),"Fix")))</f>
        <v xml:space="preserve"> </v>
      </c>
      <c r="R341" s="4" t="str">
        <f ca="1">IF(OR(INDEX($W$2:$W$1001,MATCH(ROWS($V$2:V341),$V$2:$V$1001,0),1)&gt;=100000,INDEX($AC$1005:$AS$1005,1,MATCH(COLUMNS($AC$1006:AS1006),$AC$1006:$AS$1006,0))&gt;=100000), " ",IF(INDEX($AC$2:$AS$1001,MATCH(ROWS($V$2:V341),$V$2:$V$1001,0),MATCH(COLUMNS($AC$1006:AS1006),$AC$1006:$AS$1006,0)), HYPERLINK("#",""), HYPERLINK(CONCATENATE("#metadata!", ADDRESS(INDEX($X$2:$X$1001,MATCH(ROWS($V$2:V341),$V$2:$V$1001,0),0), INDEX($AC$1004:$AS$1004,1,MATCH(COLUMNS($AC$1006:AS1006),$AC$1006:$AS$1006,0)))),"Fix")))</f>
        <v xml:space="preserve"> </v>
      </c>
      <c r="V341">
        <v>340</v>
      </c>
      <c r="W341">
        <v>100341</v>
      </c>
      <c r="X341">
        <v>341</v>
      </c>
      <c r="Y341" t="b">
        <f t="shared" si="5"/>
        <v>1</v>
      </c>
      <c r="Z341" t="b">
        <f>COUNTBLANK(metadata!B341:R341)=COLUMNS(metadata!B341:R341)</f>
        <v>1</v>
      </c>
      <c r="AA341" t="str">
        <v/>
      </c>
      <c r="AC341" t="b">
        <f ca="1"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AD341" t="b">
        <f>IF(metadata!C341="",FALSE,ISNUMBER(VALUE(metadata!C341)))</f>
        <v>0</v>
      </c>
      <c r="AE341" t="b">
        <f>AND(IF(metadata!D341="",FALSE,TRUE),EXACT(metadata!D341,"years"))</f>
        <v>0</v>
      </c>
      <c r="AF341" t="b">
        <f>OR(AND(IF(metadata!E341="",FALSE,TRUE),OR(EXACT(metadata!E341,"not applicable"),EXACT(metadata!E341,"missing: not collected"),EXACT(metadata!E341,"missing: not provided"),EXACT(metadata!E341,"missing: restricted access"))),AND(IF(metadata!E341="",FALSE,ISNUMBER(VALUE(metadata!E341))),metadata!E341&gt;0))</f>
        <v>0</v>
      </c>
      <c r="AG341" t="b">
        <f>AND(IF(metadata!F341="",FALSE,TRUE),EXACT(metadata!F341,"Not applicable"))</f>
        <v>0</v>
      </c>
      <c r="AH341" t="b">
        <f>AND(IF(metadata!G341="",FALSE,TRUE),EXACT(metadata!G341,"urban biome"))</f>
        <v>0</v>
      </c>
      <c r="AI341" t="b">
        <f>AND(IF(metadata!H341="",FALSE,TRUE),EXACT(metadata!H341,"human-associated habitat"))</f>
        <v>0</v>
      </c>
      <c r="AJ341" t="b">
        <f>AND(IF(metadata!I341="",FALSE,TRUE),OR(EXACT(metadata!I341,"human-associated"),EXACT(metadata!I341,"human-skin"),EXACT(metadata!I341,"human-oral"),EXACT(metadata!I341,"human-gut"),EXACT(metadata!I341,"human-vaginal")))</f>
        <v>0</v>
      </c>
      <c r="AK341" t="b">
        <f>IF(metadata!J341="",FALSE,ISNUMBER(VALUE(metadata!J341)))</f>
        <v>0</v>
      </c>
      <c r="AL341" t="b">
        <f>AND(IF(metadata!K341="",FALSE,TRUE),EXACT(metadata!K341,"cm"))</f>
        <v>0</v>
      </c>
      <c r="AM341" t="b">
        <f>AND(IF(metadata!L341="",FALSE,TRUE),EXACT(metadata!L341,"human"))</f>
        <v>0</v>
      </c>
      <c r="AN341" t="b">
        <f>AND(IF(metadata!M341="",FALSE,TRUE),EXACT(metadata!M341,"Homo sapiens"))</f>
        <v>0</v>
      </c>
      <c r="AO341" t="b">
        <f>AND(IF(metadata!N341="",FALSE,TRUE),EXACT(metadata!N341,"9606"))</f>
        <v>0</v>
      </c>
      <c r="AP341" t="b">
        <f>IF(metadata!O341="",FALSE,TRUE)</f>
        <v>0</v>
      </c>
      <c r="AQ341" t="b">
        <f>IF(metadata!P341="",FALSE,TRUE)</f>
        <v>0</v>
      </c>
      <c r="AR341" t="b">
        <f>IF(metadata!Q341="",FALSE,ISNUMBER(VALUE(metadata!Q341)))</f>
        <v>0</v>
      </c>
      <c r="AS341" t="b">
        <f>AND(IF(metadata!R341="",FALSE,TRUE),EXACT(metadata!R341,"kg"))</f>
        <v>0</v>
      </c>
    </row>
    <row r="342" spans="1:45" x14ac:dyDescent="0.2">
      <c r="A342" s="5" t="str">
        <f ca="1">IF(B342=" "," ",HYPERLINK(CONCATENATE("#metadata!",ADDRESS(INDEX($X$2:$X$1001,MATCH(ROWS($V$2:V342),$V$2:$V$1001,0),0),1)),INDEX($AA$2:$AA$1001,MATCH(ROWS($V$2:V342),$V$2:$V$1001,0),0)))</f>
        <v xml:space="preserve"> </v>
      </c>
      <c r="B342" s="4" t="str">
        <f ca="1">IF(OR(INDEX($W$2:$W$1001,MATCH(ROWS($V$2:V342),$V$2:$V$1001,0),1)&gt;=100000,INDEX($AC$1005:$AS$1005,1,MATCH(COLUMNS($AC$1006:AC1006),$AC$1006:$AS$1006,0))&gt;=100000), " ",IF(INDEX($AC$2:$AS$1001,MATCH(ROWS($V$2:V342),$V$2:$V$1001,0),MATCH(COLUMNS($AC$1006:AC1006),$AC$1006:$AS$1006,0)), HYPERLINK("#",""), HYPERLINK(CONCATENATE("#metadata!", ADDRESS(INDEX($X$2:$X$1001,MATCH(ROWS($V$2:V342),$V$2:$V$1001,0),0), INDEX($AC$1004:$AS$1004,1,MATCH(COLUMNS($AC$1006:AC1006),$AC$1006:$AS$1006,0)))),"Fix")))</f>
        <v xml:space="preserve"> </v>
      </c>
      <c r="C342" s="4" t="str">
        <f ca="1">IF(OR(INDEX($W$2:$W$1001,MATCH(ROWS($V$2:V342),$V$2:$V$1001,0),1)&gt;=100000,INDEX($AC$1005:$AS$1005,1,MATCH(COLUMNS($AC$1006:AD1006),$AC$1006:$AS$1006,0))&gt;=100000), " ",IF(INDEX($AC$2:$AS$1001,MATCH(ROWS($V$2:V342),$V$2:$V$1001,0),MATCH(COLUMNS($AC$1006:AD1006),$AC$1006:$AS$1006,0)), HYPERLINK("#",""), HYPERLINK(CONCATENATE("#metadata!", ADDRESS(INDEX($X$2:$X$1001,MATCH(ROWS($V$2:V342),$V$2:$V$1001,0),0), INDEX($AC$1004:$AS$1004,1,MATCH(COLUMNS($AC$1006:AD1006),$AC$1006:$AS$1006,0)))),"Fix")))</f>
        <v xml:space="preserve"> </v>
      </c>
      <c r="D342" s="4" t="str">
        <f ca="1">IF(OR(INDEX($W$2:$W$1001,MATCH(ROWS($V$2:V342),$V$2:$V$1001,0),1)&gt;=100000,INDEX($AC$1005:$AS$1005,1,MATCH(COLUMNS($AC$1006:AE1006),$AC$1006:$AS$1006,0))&gt;=100000), " ",IF(INDEX($AC$2:$AS$1001,MATCH(ROWS($V$2:V342),$V$2:$V$1001,0),MATCH(COLUMNS($AC$1006:AE1006),$AC$1006:$AS$1006,0)), HYPERLINK("#",""), HYPERLINK(CONCATENATE("#metadata!", ADDRESS(INDEX($X$2:$X$1001,MATCH(ROWS($V$2:V342),$V$2:$V$1001,0),0), INDEX($AC$1004:$AS$1004,1,MATCH(COLUMNS($AC$1006:AE1006),$AC$1006:$AS$1006,0)))),"Fix")))</f>
        <v xml:space="preserve"> </v>
      </c>
      <c r="E342" s="4" t="str">
        <f ca="1">IF(OR(INDEX($W$2:$W$1001,MATCH(ROWS($V$2:V342),$V$2:$V$1001,0),1)&gt;=100000,INDEX($AC$1005:$AS$1005,1,MATCH(COLUMNS($AC$1006:AF1006),$AC$1006:$AS$1006,0))&gt;=100000), " ",IF(INDEX($AC$2:$AS$1001,MATCH(ROWS($V$2:V342),$V$2:$V$1001,0),MATCH(COLUMNS($AC$1006:AF1006),$AC$1006:$AS$1006,0)), HYPERLINK("#",""), HYPERLINK(CONCATENATE("#metadata!", ADDRESS(INDEX($X$2:$X$1001,MATCH(ROWS($V$2:V342),$V$2:$V$1001,0),0), INDEX($AC$1004:$AS$1004,1,MATCH(COLUMNS($AC$1006:AF1006),$AC$1006:$AS$1006,0)))),"Fix")))</f>
        <v xml:space="preserve"> </v>
      </c>
      <c r="F342" s="4" t="str">
        <f ca="1">IF(OR(INDEX($W$2:$W$1001,MATCH(ROWS($V$2:V342),$V$2:$V$1001,0),1)&gt;=100000,INDEX($AC$1005:$AS$1005,1,MATCH(COLUMNS($AC$1006:AG1006),$AC$1006:$AS$1006,0))&gt;=100000), " ",IF(INDEX($AC$2:$AS$1001,MATCH(ROWS($V$2:V342),$V$2:$V$1001,0),MATCH(COLUMNS($AC$1006:AG1006),$AC$1006:$AS$1006,0)), HYPERLINK("#",""), HYPERLINK(CONCATENATE("#metadata!", ADDRESS(INDEX($X$2:$X$1001,MATCH(ROWS($V$2:V342),$V$2:$V$1001,0),0), INDEX($AC$1004:$AS$1004,1,MATCH(COLUMNS($AC$1006:AG1006),$AC$1006:$AS$1006,0)))),"Fix")))</f>
        <v xml:space="preserve"> </v>
      </c>
      <c r="G342" s="4" t="str">
        <f ca="1">IF(OR(INDEX($W$2:$W$1001,MATCH(ROWS($V$2:V342),$V$2:$V$1001,0),1)&gt;=100000,INDEX($AC$1005:$AS$1005,1,MATCH(COLUMNS($AC$1006:AH1006),$AC$1006:$AS$1006,0))&gt;=100000), " ",IF(INDEX($AC$2:$AS$1001,MATCH(ROWS($V$2:V342),$V$2:$V$1001,0),MATCH(COLUMNS($AC$1006:AH1006),$AC$1006:$AS$1006,0)), HYPERLINK("#",""), HYPERLINK(CONCATENATE("#metadata!", ADDRESS(INDEX($X$2:$X$1001,MATCH(ROWS($V$2:V342),$V$2:$V$1001,0),0), INDEX($AC$1004:$AS$1004,1,MATCH(COLUMNS($AC$1006:AH1006),$AC$1006:$AS$1006,0)))),"Fix")))</f>
        <v xml:space="preserve"> </v>
      </c>
      <c r="H342" s="4" t="str">
        <f ca="1">IF(OR(INDEX($W$2:$W$1001,MATCH(ROWS($V$2:V342),$V$2:$V$1001,0),1)&gt;=100000,INDEX($AC$1005:$AS$1005,1,MATCH(COLUMNS($AC$1006:AI1006),$AC$1006:$AS$1006,0))&gt;=100000), " ",IF(INDEX($AC$2:$AS$1001,MATCH(ROWS($V$2:V342),$V$2:$V$1001,0),MATCH(COLUMNS($AC$1006:AI1006),$AC$1006:$AS$1006,0)), HYPERLINK("#",""), HYPERLINK(CONCATENATE("#metadata!", ADDRESS(INDEX($X$2:$X$1001,MATCH(ROWS($V$2:V342),$V$2:$V$1001,0),0), INDEX($AC$1004:$AS$1004,1,MATCH(COLUMNS($AC$1006:AI1006),$AC$1006:$AS$1006,0)))),"Fix")))</f>
        <v xml:space="preserve"> </v>
      </c>
      <c r="I342" s="4" t="str">
        <f ca="1">IF(OR(INDEX($W$2:$W$1001,MATCH(ROWS($V$2:V342),$V$2:$V$1001,0),1)&gt;=100000,INDEX($AC$1005:$AS$1005,1,MATCH(COLUMNS($AC$1006:AJ1006),$AC$1006:$AS$1006,0))&gt;=100000), " ",IF(INDEX($AC$2:$AS$1001,MATCH(ROWS($V$2:V342),$V$2:$V$1001,0),MATCH(COLUMNS($AC$1006:AJ1006),$AC$1006:$AS$1006,0)), HYPERLINK("#",""), HYPERLINK(CONCATENATE("#metadata!", ADDRESS(INDEX($X$2:$X$1001,MATCH(ROWS($V$2:V342),$V$2:$V$1001,0),0), INDEX($AC$1004:$AS$1004,1,MATCH(COLUMNS($AC$1006:AJ1006),$AC$1006:$AS$1006,0)))),"Fix")))</f>
        <v xml:space="preserve"> </v>
      </c>
      <c r="J342" s="4" t="str">
        <f ca="1">IF(OR(INDEX($W$2:$W$1001,MATCH(ROWS($V$2:V342),$V$2:$V$1001,0),1)&gt;=100000,INDEX($AC$1005:$AS$1005,1,MATCH(COLUMNS($AC$1006:AK1006),$AC$1006:$AS$1006,0))&gt;=100000), " ",IF(INDEX($AC$2:$AS$1001,MATCH(ROWS($V$2:V342),$V$2:$V$1001,0),MATCH(COLUMNS($AC$1006:AK1006),$AC$1006:$AS$1006,0)), HYPERLINK("#",""), HYPERLINK(CONCATENATE("#metadata!", ADDRESS(INDEX($X$2:$X$1001,MATCH(ROWS($V$2:V342),$V$2:$V$1001,0),0), INDEX($AC$1004:$AS$1004,1,MATCH(COLUMNS($AC$1006:AK1006),$AC$1006:$AS$1006,0)))),"Fix")))</f>
        <v xml:space="preserve"> </v>
      </c>
      <c r="K342" s="4" t="str">
        <f ca="1">IF(OR(INDEX($W$2:$W$1001,MATCH(ROWS($V$2:V342),$V$2:$V$1001,0),1)&gt;=100000,INDEX($AC$1005:$AS$1005,1,MATCH(COLUMNS($AC$1006:AL1006),$AC$1006:$AS$1006,0))&gt;=100000), " ",IF(INDEX($AC$2:$AS$1001,MATCH(ROWS($V$2:V342),$V$2:$V$1001,0),MATCH(COLUMNS($AC$1006:AL1006),$AC$1006:$AS$1006,0)), HYPERLINK("#",""), HYPERLINK(CONCATENATE("#metadata!", ADDRESS(INDEX($X$2:$X$1001,MATCH(ROWS($V$2:V342),$V$2:$V$1001,0),0), INDEX($AC$1004:$AS$1004,1,MATCH(COLUMNS($AC$1006:AL1006),$AC$1006:$AS$1006,0)))),"Fix")))</f>
        <v xml:space="preserve"> </v>
      </c>
      <c r="L342" s="4" t="str">
        <f ca="1">IF(OR(INDEX($W$2:$W$1001,MATCH(ROWS($V$2:V342),$V$2:$V$1001,0),1)&gt;=100000,INDEX($AC$1005:$AS$1005,1,MATCH(COLUMNS($AC$1006:AM1006),$AC$1006:$AS$1006,0))&gt;=100000), " ",IF(INDEX($AC$2:$AS$1001,MATCH(ROWS($V$2:V342),$V$2:$V$1001,0),MATCH(COLUMNS($AC$1006:AM1006),$AC$1006:$AS$1006,0)), HYPERLINK("#",""), HYPERLINK(CONCATENATE("#metadata!", ADDRESS(INDEX($X$2:$X$1001,MATCH(ROWS($V$2:V342),$V$2:$V$1001,0),0), INDEX($AC$1004:$AS$1004,1,MATCH(COLUMNS($AC$1006:AM1006),$AC$1006:$AS$1006,0)))),"Fix")))</f>
        <v xml:space="preserve"> </v>
      </c>
      <c r="M342" s="4" t="str">
        <f ca="1">IF(OR(INDEX($W$2:$W$1001,MATCH(ROWS($V$2:V342),$V$2:$V$1001,0),1)&gt;=100000,INDEX($AC$1005:$AS$1005,1,MATCH(COLUMNS($AC$1006:AN1006),$AC$1006:$AS$1006,0))&gt;=100000), " ",IF(INDEX($AC$2:$AS$1001,MATCH(ROWS($V$2:V342),$V$2:$V$1001,0),MATCH(COLUMNS($AC$1006:AN1006),$AC$1006:$AS$1006,0)), HYPERLINK("#",""), HYPERLINK(CONCATENATE("#metadata!", ADDRESS(INDEX($X$2:$X$1001,MATCH(ROWS($V$2:V342),$V$2:$V$1001,0),0), INDEX($AC$1004:$AS$1004,1,MATCH(COLUMNS($AC$1006:AN1006),$AC$1006:$AS$1006,0)))),"Fix")))</f>
        <v xml:space="preserve"> </v>
      </c>
      <c r="N342" s="4" t="str">
        <f ca="1">IF(OR(INDEX($W$2:$W$1001,MATCH(ROWS($V$2:V342),$V$2:$V$1001,0),1)&gt;=100000,INDEX($AC$1005:$AS$1005,1,MATCH(COLUMNS($AC$1006:AO1006),$AC$1006:$AS$1006,0))&gt;=100000), " ",IF(INDEX($AC$2:$AS$1001,MATCH(ROWS($V$2:V342),$V$2:$V$1001,0),MATCH(COLUMNS($AC$1006:AO1006),$AC$1006:$AS$1006,0)), HYPERLINK("#",""), HYPERLINK(CONCATENATE("#metadata!", ADDRESS(INDEX($X$2:$X$1001,MATCH(ROWS($V$2:V342),$V$2:$V$1001,0),0), INDEX($AC$1004:$AS$1004,1,MATCH(COLUMNS($AC$1006:AO1006),$AC$1006:$AS$1006,0)))),"Fix")))</f>
        <v xml:space="preserve"> </v>
      </c>
      <c r="O342" s="4" t="str">
        <f ca="1">IF(OR(INDEX($W$2:$W$1001,MATCH(ROWS($V$2:V342),$V$2:$V$1001,0),1)&gt;=100000,INDEX($AC$1005:$AS$1005,1,MATCH(COLUMNS($AC$1006:AP1006),$AC$1006:$AS$1006,0))&gt;=100000), " ",IF(INDEX($AC$2:$AS$1001,MATCH(ROWS($V$2:V342),$V$2:$V$1001,0),MATCH(COLUMNS($AC$1006:AP1006),$AC$1006:$AS$1006,0)), HYPERLINK("#",""), HYPERLINK(CONCATENATE("#metadata!", ADDRESS(INDEX($X$2:$X$1001,MATCH(ROWS($V$2:V342),$V$2:$V$1001,0),0), INDEX($AC$1004:$AS$1004,1,MATCH(COLUMNS($AC$1006:AP1006),$AC$1006:$AS$1006,0)))),"Fix")))</f>
        <v xml:space="preserve"> </v>
      </c>
      <c r="P342" s="4" t="str">
        <f ca="1">IF(OR(INDEX($W$2:$W$1001,MATCH(ROWS($V$2:V342),$V$2:$V$1001,0),1)&gt;=100000,INDEX($AC$1005:$AS$1005,1,MATCH(COLUMNS($AC$1006:AQ1006),$AC$1006:$AS$1006,0))&gt;=100000), " ",IF(INDEX($AC$2:$AS$1001,MATCH(ROWS($V$2:V342),$V$2:$V$1001,0),MATCH(COLUMNS($AC$1006:AQ1006),$AC$1006:$AS$1006,0)), HYPERLINK("#",""), HYPERLINK(CONCATENATE("#metadata!", ADDRESS(INDEX($X$2:$X$1001,MATCH(ROWS($V$2:V342),$V$2:$V$1001,0),0), INDEX($AC$1004:$AS$1004,1,MATCH(COLUMNS($AC$1006:AQ1006),$AC$1006:$AS$1006,0)))),"Fix")))</f>
        <v xml:space="preserve"> </v>
      </c>
      <c r="Q342" s="4" t="str">
        <f ca="1">IF(OR(INDEX($W$2:$W$1001,MATCH(ROWS($V$2:V342),$V$2:$V$1001,0),1)&gt;=100000,INDEX($AC$1005:$AS$1005,1,MATCH(COLUMNS($AC$1006:AR1006),$AC$1006:$AS$1006,0))&gt;=100000), " ",IF(INDEX($AC$2:$AS$1001,MATCH(ROWS($V$2:V342),$V$2:$V$1001,0),MATCH(COLUMNS($AC$1006:AR1006),$AC$1006:$AS$1006,0)), HYPERLINK("#",""), HYPERLINK(CONCATENATE("#metadata!", ADDRESS(INDEX($X$2:$X$1001,MATCH(ROWS($V$2:V342),$V$2:$V$1001,0),0), INDEX($AC$1004:$AS$1004,1,MATCH(COLUMNS($AC$1006:AR1006),$AC$1006:$AS$1006,0)))),"Fix")))</f>
        <v xml:space="preserve"> </v>
      </c>
      <c r="R342" s="4" t="str">
        <f ca="1">IF(OR(INDEX($W$2:$W$1001,MATCH(ROWS($V$2:V342),$V$2:$V$1001,0),1)&gt;=100000,INDEX($AC$1005:$AS$1005,1,MATCH(COLUMNS($AC$1006:AS1006),$AC$1006:$AS$1006,0))&gt;=100000), " ",IF(INDEX($AC$2:$AS$1001,MATCH(ROWS($V$2:V342),$V$2:$V$1001,0),MATCH(COLUMNS($AC$1006:AS1006),$AC$1006:$AS$1006,0)), HYPERLINK("#",""), HYPERLINK(CONCATENATE("#metadata!", ADDRESS(INDEX($X$2:$X$1001,MATCH(ROWS($V$2:V342),$V$2:$V$1001,0),0), INDEX($AC$1004:$AS$1004,1,MATCH(COLUMNS($AC$1006:AS1006),$AC$1006:$AS$1006,0)))),"Fix")))</f>
        <v xml:space="preserve"> </v>
      </c>
      <c r="V342">
        <v>341</v>
      </c>
      <c r="W342">
        <v>100342</v>
      </c>
      <c r="X342">
        <v>342</v>
      </c>
      <c r="Y342" t="b">
        <f t="shared" si="5"/>
        <v>1</v>
      </c>
      <c r="Z342" t="b">
        <f>COUNTBLANK(metadata!B342:R342)=COLUMNS(metadata!B342:R342)</f>
        <v>1</v>
      </c>
      <c r="AA342" t="str">
        <v/>
      </c>
      <c r="AC342" t="b">
        <f ca="1"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AD342" t="b">
        <f>IF(metadata!C342="",FALSE,ISNUMBER(VALUE(metadata!C342)))</f>
        <v>0</v>
      </c>
      <c r="AE342" t="b">
        <f>AND(IF(metadata!D342="",FALSE,TRUE),EXACT(metadata!D342,"years"))</f>
        <v>0</v>
      </c>
      <c r="AF342" t="b">
        <f>OR(AND(IF(metadata!E342="",FALSE,TRUE),OR(EXACT(metadata!E342,"not applicable"),EXACT(metadata!E342,"missing: not collected"),EXACT(metadata!E342,"missing: not provided"),EXACT(metadata!E342,"missing: restricted access"))),AND(IF(metadata!E342="",FALSE,ISNUMBER(VALUE(metadata!E342))),metadata!E342&gt;0))</f>
        <v>0</v>
      </c>
      <c r="AG342" t="b">
        <f>AND(IF(metadata!F342="",FALSE,TRUE),EXACT(metadata!F342,"Not applicable"))</f>
        <v>0</v>
      </c>
      <c r="AH342" t="b">
        <f>AND(IF(metadata!G342="",FALSE,TRUE),EXACT(metadata!G342,"urban biome"))</f>
        <v>0</v>
      </c>
      <c r="AI342" t="b">
        <f>AND(IF(metadata!H342="",FALSE,TRUE),EXACT(metadata!H342,"human-associated habitat"))</f>
        <v>0</v>
      </c>
      <c r="AJ342" t="b">
        <f>AND(IF(metadata!I342="",FALSE,TRUE),OR(EXACT(metadata!I342,"human-associated"),EXACT(metadata!I342,"human-skin"),EXACT(metadata!I342,"human-oral"),EXACT(metadata!I342,"human-gut"),EXACT(metadata!I342,"human-vaginal")))</f>
        <v>0</v>
      </c>
      <c r="AK342" t="b">
        <f>IF(metadata!J342="",FALSE,ISNUMBER(VALUE(metadata!J342)))</f>
        <v>0</v>
      </c>
      <c r="AL342" t="b">
        <f>AND(IF(metadata!K342="",FALSE,TRUE),EXACT(metadata!K342,"cm"))</f>
        <v>0</v>
      </c>
      <c r="AM342" t="b">
        <f>AND(IF(metadata!L342="",FALSE,TRUE),EXACT(metadata!L342,"human"))</f>
        <v>0</v>
      </c>
      <c r="AN342" t="b">
        <f>AND(IF(metadata!M342="",FALSE,TRUE),EXACT(metadata!M342,"Homo sapiens"))</f>
        <v>0</v>
      </c>
      <c r="AO342" t="b">
        <f>AND(IF(metadata!N342="",FALSE,TRUE),EXACT(metadata!N342,"9606"))</f>
        <v>0</v>
      </c>
      <c r="AP342" t="b">
        <f>IF(metadata!O342="",FALSE,TRUE)</f>
        <v>0</v>
      </c>
      <c r="AQ342" t="b">
        <f>IF(metadata!P342="",FALSE,TRUE)</f>
        <v>0</v>
      </c>
      <c r="AR342" t="b">
        <f>IF(metadata!Q342="",FALSE,ISNUMBER(VALUE(metadata!Q342)))</f>
        <v>0</v>
      </c>
      <c r="AS342" t="b">
        <f>AND(IF(metadata!R342="",FALSE,TRUE),EXACT(metadata!R342,"kg"))</f>
        <v>0</v>
      </c>
    </row>
    <row r="343" spans="1:45" x14ac:dyDescent="0.2">
      <c r="A343" s="5" t="str">
        <f ca="1">IF(B343=" "," ",HYPERLINK(CONCATENATE("#metadata!",ADDRESS(INDEX($X$2:$X$1001,MATCH(ROWS($V$2:V343),$V$2:$V$1001,0),0),1)),INDEX($AA$2:$AA$1001,MATCH(ROWS($V$2:V343),$V$2:$V$1001,0),0)))</f>
        <v xml:space="preserve"> </v>
      </c>
      <c r="B343" s="4" t="str">
        <f ca="1">IF(OR(INDEX($W$2:$W$1001,MATCH(ROWS($V$2:V343),$V$2:$V$1001,0),1)&gt;=100000,INDEX($AC$1005:$AS$1005,1,MATCH(COLUMNS($AC$1006:AC1006),$AC$1006:$AS$1006,0))&gt;=100000), " ",IF(INDEX($AC$2:$AS$1001,MATCH(ROWS($V$2:V343),$V$2:$V$1001,0),MATCH(COLUMNS($AC$1006:AC1006),$AC$1006:$AS$1006,0)), HYPERLINK("#",""), HYPERLINK(CONCATENATE("#metadata!", ADDRESS(INDEX($X$2:$X$1001,MATCH(ROWS($V$2:V343),$V$2:$V$1001,0),0), INDEX($AC$1004:$AS$1004,1,MATCH(COLUMNS($AC$1006:AC1006),$AC$1006:$AS$1006,0)))),"Fix")))</f>
        <v xml:space="preserve"> </v>
      </c>
      <c r="C343" s="4" t="str">
        <f ca="1">IF(OR(INDEX($W$2:$W$1001,MATCH(ROWS($V$2:V343),$V$2:$V$1001,0),1)&gt;=100000,INDEX($AC$1005:$AS$1005,1,MATCH(COLUMNS($AC$1006:AD1006),$AC$1006:$AS$1006,0))&gt;=100000), " ",IF(INDEX($AC$2:$AS$1001,MATCH(ROWS($V$2:V343),$V$2:$V$1001,0),MATCH(COLUMNS($AC$1006:AD1006),$AC$1006:$AS$1006,0)), HYPERLINK("#",""), HYPERLINK(CONCATENATE("#metadata!", ADDRESS(INDEX($X$2:$X$1001,MATCH(ROWS($V$2:V343),$V$2:$V$1001,0),0), INDEX($AC$1004:$AS$1004,1,MATCH(COLUMNS($AC$1006:AD1006),$AC$1006:$AS$1006,0)))),"Fix")))</f>
        <v xml:space="preserve"> </v>
      </c>
      <c r="D343" s="4" t="str">
        <f ca="1">IF(OR(INDEX($W$2:$W$1001,MATCH(ROWS($V$2:V343),$V$2:$V$1001,0),1)&gt;=100000,INDEX($AC$1005:$AS$1005,1,MATCH(COLUMNS($AC$1006:AE1006),$AC$1006:$AS$1006,0))&gt;=100000), " ",IF(INDEX($AC$2:$AS$1001,MATCH(ROWS($V$2:V343),$V$2:$V$1001,0),MATCH(COLUMNS($AC$1006:AE1006),$AC$1006:$AS$1006,0)), HYPERLINK("#",""), HYPERLINK(CONCATENATE("#metadata!", ADDRESS(INDEX($X$2:$X$1001,MATCH(ROWS($V$2:V343),$V$2:$V$1001,0),0), INDEX($AC$1004:$AS$1004,1,MATCH(COLUMNS($AC$1006:AE1006),$AC$1006:$AS$1006,0)))),"Fix")))</f>
        <v xml:space="preserve"> </v>
      </c>
      <c r="E343" s="4" t="str">
        <f ca="1">IF(OR(INDEX($W$2:$W$1001,MATCH(ROWS($V$2:V343),$V$2:$V$1001,0),1)&gt;=100000,INDEX($AC$1005:$AS$1005,1,MATCH(COLUMNS($AC$1006:AF1006),$AC$1006:$AS$1006,0))&gt;=100000), " ",IF(INDEX($AC$2:$AS$1001,MATCH(ROWS($V$2:V343),$V$2:$V$1001,0),MATCH(COLUMNS($AC$1006:AF1006),$AC$1006:$AS$1006,0)), HYPERLINK("#",""), HYPERLINK(CONCATENATE("#metadata!", ADDRESS(INDEX($X$2:$X$1001,MATCH(ROWS($V$2:V343),$V$2:$V$1001,0),0), INDEX($AC$1004:$AS$1004,1,MATCH(COLUMNS($AC$1006:AF1006),$AC$1006:$AS$1006,0)))),"Fix")))</f>
        <v xml:space="preserve"> </v>
      </c>
      <c r="F343" s="4" t="str">
        <f ca="1">IF(OR(INDEX($W$2:$W$1001,MATCH(ROWS($V$2:V343),$V$2:$V$1001,0),1)&gt;=100000,INDEX($AC$1005:$AS$1005,1,MATCH(COLUMNS($AC$1006:AG1006),$AC$1006:$AS$1006,0))&gt;=100000), " ",IF(INDEX($AC$2:$AS$1001,MATCH(ROWS($V$2:V343),$V$2:$V$1001,0),MATCH(COLUMNS($AC$1006:AG1006),$AC$1006:$AS$1006,0)), HYPERLINK("#",""), HYPERLINK(CONCATENATE("#metadata!", ADDRESS(INDEX($X$2:$X$1001,MATCH(ROWS($V$2:V343),$V$2:$V$1001,0),0), INDEX($AC$1004:$AS$1004,1,MATCH(COLUMNS($AC$1006:AG1006),$AC$1006:$AS$1006,0)))),"Fix")))</f>
        <v xml:space="preserve"> </v>
      </c>
      <c r="G343" s="4" t="str">
        <f ca="1">IF(OR(INDEX($W$2:$W$1001,MATCH(ROWS($V$2:V343),$V$2:$V$1001,0),1)&gt;=100000,INDEX($AC$1005:$AS$1005,1,MATCH(COLUMNS($AC$1006:AH1006),$AC$1006:$AS$1006,0))&gt;=100000), " ",IF(INDEX($AC$2:$AS$1001,MATCH(ROWS($V$2:V343),$V$2:$V$1001,0),MATCH(COLUMNS($AC$1006:AH1006),$AC$1006:$AS$1006,0)), HYPERLINK("#",""), HYPERLINK(CONCATENATE("#metadata!", ADDRESS(INDEX($X$2:$X$1001,MATCH(ROWS($V$2:V343),$V$2:$V$1001,0),0), INDEX($AC$1004:$AS$1004,1,MATCH(COLUMNS($AC$1006:AH1006),$AC$1006:$AS$1006,0)))),"Fix")))</f>
        <v xml:space="preserve"> </v>
      </c>
      <c r="H343" s="4" t="str">
        <f ca="1">IF(OR(INDEX($W$2:$W$1001,MATCH(ROWS($V$2:V343),$V$2:$V$1001,0),1)&gt;=100000,INDEX($AC$1005:$AS$1005,1,MATCH(COLUMNS($AC$1006:AI1006),$AC$1006:$AS$1006,0))&gt;=100000), " ",IF(INDEX($AC$2:$AS$1001,MATCH(ROWS($V$2:V343),$V$2:$V$1001,0),MATCH(COLUMNS($AC$1006:AI1006),$AC$1006:$AS$1006,0)), HYPERLINK("#",""), HYPERLINK(CONCATENATE("#metadata!", ADDRESS(INDEX($X$2:$X$1001,MATCH(ROWS($V$2:V343),$V$2:$V$1001,0),0), INDEX($AC$1004:$AS$1004,1,MATCH(COLUMNS($AC$1006:AI1006),$AC$1006:$AS$1006,0)))),"Fix")))</f>
        <v xml:space="preserve"> </v>
      </c>
      <c r="I343" s="4" t="str">
        <f ca="1">IF(OR(INDEX($W$2:$W$1001,MATCH(ROWS($V$2:V343),$V$2:$V$1001,0),1)&gt;=100000,INDEX($AC$1005:$AS$1005,1,MATCH(COLUMNS($AC$1006:AJ1006),$AC$1006:$AS$1006,0))&gt;=100000), " ",IF(INDEX($AC$2:$AS$1001,MATCH(ROWS($V$2:V343),$V$2:$V$1001,0),MATCH(COLUMNS($AC$1006:AJ1006),$AC$1006:$AS$1006,0)), HYPERLINK("#",""), HYPERLINK(CONCATENATE("#metadata!", ADDRESS(INDEX($X$2:$X$1001,MATCH(ROWS($V$2:V343),$V$2:$V$1001,0),0), INDEX($AC$1004:$AS$1004,1,MATCH(COLUMNS($AC$1006:AJ1006),$AC$1006:$AS$1006,0)))),"Fix")))</f>
        <v xml:space="preserve"> </v>
      </c>
      <c r="J343" s="4" t="str">
        <f ca="1">IF(OR(INDEX($W$2:$W$1001,MATCH(ROWS($V$2:V343),$V$2:$V$1001,0),1)&gt;=100000,INDEX($AC$1005:$AS$1005,1,MATCH(COLUMNS($AC$1006:AK1006),$AC$1006:$AS$1006,0))&gt;=100000), " ",IF(INDEX($AC$2:$AS$1001,MATCH(ROWS($V$2:V343),$V$2:$V$1001,0),MATCH(COLUMNS($AC$1006:AK1006),$AC$1006:$AS$1006,0)), HYPERLINK("#",""), HYPERLINK(CONCATENATE("#metadata!", ADDRESS(INDEX($X$2:$X$1001,MATCH(ROWS($V$2:V343),$V$2:$V$1001,0),0), INDEX($AC$1004:$AS$1004,1,MATCH(COLUMNS($AC$1006:AK1006),$AC$1006:$AS$1006,0)))),"Fix")))</f>
        <v xml:space="preserve"> </v>
      </c>
      <c r="K343" s="4" t="str">
        <f ca="1">IF(OR(INDEX($W$2:$W$1001,MATCH(ROWS($V$2:V343),$V$2:$V$1001,0),1)&gt;=100000,INDEX($AC$1005:$AS$1005,1,MATCH(COLUMNS($AC$1006:AL1006),$AC$1006:$AS$1006,0))&gt;=100000), " ",IF(INDEX($AC$2:$AS$1001,MATCH(ROWS($V$2:V343),$V$2:$V$1001,0),MATCH(COLUMNS($AC$1006:AL1006),$AC$1006:$AS$1006,0)), HYPERLINK("#",""), HYPERLINK(CONCATENATE("#metadata!", ADDRESS(INDEX($X$2:$X$1001,MATCH(ROWS($V$2:V343),$V$2:$V$1001,0),0), INDEX($AC$1004:$AS$1004,1,MATCH(COLUMNS($AC$1006:AL1006),$AC$1006:$AS$1006,0)))),"Fix")))</f>
        <v xml:space="preserve"> </v>
      </c>
      <c r="L343" s="4" t="str">
        <f ca="1">IF(OR(INDEX($W$2:$W$1001,MATCH(ROWS($V$2:V343),$V$2:$V$1001,0),1)&gt;=100000,INDEX($AC$1005:$AS$1005,1,MATCH(COLUMNS($AC$1006:AM1006),$AC$1006:$AS$1006,0))&gt;=100000), " ",IF(INDEX($AC$2:$AS$1001,MATCH(ROWS($V$2:V343),$V$2:$V$1001,0),MATCH(COLUMNS($AC$1006:AM1006),$AC$1006:$AS$1006,0)), HYPERLINK("#",""), HYPERLINK(CONCATENATE("#metadata!", ADDRESS(INDEX($X$2:$X$1001,MATCH(ROWS($V$2:V343),$V$2:$V$1001,0),0), INDEX($AC$1004:$AS$1004,1,MATCH(COLUMNS($AC$1006:AM1006),$AC$1006:$AS$1006,0)))),"Fix")))</f>
        <v xml:space="preserve"> </v>
      </c>
      <c r="M343" s="4" t="str">
        <f ca="1">IF(OR(INDEX($W$2:$W$1001,MATCH(ROWS($V$2:V343),$V$2:$V$1001,0),1)&gt;=100000,INDEX($AC$1005:$AS$1005,1,MATCH(COLUMNS($AC$1006:AN1006),$AC$1006:$AS$1006,0))&gt;=100000), " ",IF(INDEX($AC$2:$AS$1001,MATCH(ROWS($V$2:V343),$V$2:$V$1001,0),MATCH(COLUMNS($AC$1006:AN1006),$AC$1006:$AS$1006,0)), HYPERLINK("#",""), HYPERLINK(CONCATENATE("#metadata!", ADDRESS(INDEX($X$2:$X$1001,MATCH(ROWS($V$2:V343),$V$2:$V$1001,0),0), INDEX($AC$1004:$AS$1004,1,MATCH(COLUMNS($AC$1006:AN1006),$AC$1006:$AS$1006,0)))),"Fix")))</f>
        <v xml:space="preserve"> </v>
      </c>
      <c r="N343" s="4" t="str">
        <f ca="1">IF(OR(INDEX($W$2:$W$1001,MATCH(ROWS($V$2:V343),$V$2:$V$1001,0),1)&gt;=100000,INDEX($AC$1005:$AS$1005,1,MATCH(COLUMNS($AC$1006:AO1006),$AC$1006:$AS$1006,0))&gt;=100000), " ",IF(INDEX($AC$2:$AS$1001,MATCH(ROWS($V$2:V343),$V$2:$V$1001,0),MATCH(COLUMNS($AC$1006:AO1006),$AC$1006:$AS$1006,0)), HYPERLINK("#",""), HYPERLINK(CONCATENATE("#metadata!", ADDRESS(INDEX($X$2:$X$1001,MATCH(ROWS($V$2:V343),$V$2:$V$1001,0),0), INDEX($AC$1004:$AS$1004,1,MATCH(COLUMNS($AC$1006:AO1006),$AC$1006:$AS$1006,0)))),"Fix")))</f>
        <v xml:space="preserve"> </v>
      </c>
      <c r="O343" s="4" t="str">
        <f ca="1">IF(OR(INDEX($W$2:$W$1001,MATCH(ROWS($V$2:V343),$V$2:$V$1001,0),1)&gt;=100000,INDEX($AC$1005:$AS$1005,1,MATCH(COLUMNS($AC$1006:AP1006),$AC$1006:$AS$1006,0))&gt;=100000), " ",IF(INDEX($AC$2:$AS$1001,MATCH(ROWS($V$2:V343),$V$2:$V$1001,0),MATCH(COLUMNS($AC$1006:AP1006),$AC$1006:$AS$1006,0)), HYPERLINK("#",""), HYPERLINK(CONCATENATE("#metadata!", ADDRESS(INDEX($X$2:$X$1001,MATCH(ROWS($V$2:V343),$V$2:$V$1001,0),0), INDEX($AC$1004:$AS$1004,1,MATCH(COLUMNS($AC$1006:AP1006),$AC$1006:$AS$1006,0)))),"Fix")))</f>
        <v xml:space="preserve"> </v>
      </c>
      <c r="P343" s="4" t="str">
        <f ca="1">IF(OR(INDEX($W$2:$W$1001,MATCH(ROWS($V$2:V343),$V$2:$V$1001,0),1)&gt;=100000,INDEX($AC$1005:$AS$1005,1,MATCH(COLUMNS($AC$1006:AQ1006),$AC$1006:$AS$1006,0))&gt;=100000), " ",IF(INDEX($AC$2:$AS$1001,MATCH(ROWS($V$2:V343),$V$2:$V$1001,0),MATCH(COLUMNS($AC$1006:AQ1006),$AC$1006:$AS$1006,0)), HYPERLINK("#",""), HYPERLINK(CONCATENATE("#metadata!", ADDRESS(INDEX($X$2:$X$1001,MATCH(ROWS($V$2:V343),$V$2:$V$1001,0),0), INDEX($AC$1004:$AS$1004,1,MATCH(COLUMNS($AC$1006:AQ1006),$AC$1006:$AS$1006,0)))),"Fix")))</f>
        <v xml:space="preserve"> </v>
      </c>
      <c r="Q343" s="4" t="str">
        <f ca="1">IF(OR(INDEX($W$2:$W$1001,MATCH(ROWS($V$2:V343),$V$2:$V$1001,0),1)&gt;=100000,INDEX($AC$1005:$AS$1005,1,MATCH(COLUMNS($AC$1006:AR1006),$AC$1006:$AS$1006,0))&gt;=100000), " ",IF(INDEX($AC$2:$AS$1001,MATCH(ROWS($V$2:V343),$V$2:$V$1001,0),MATCH(COLUMNS($AC$1006:AR1006),$AC$1006:$AS$1006,0)), HYPERLINK("#",""), HYPERLINK(CONCATENATE("#metadata!", ADDRESS(INDEX($X$2:$X$1001,MATCH(ROWS($V$2:V343),$V$2:$V$1001,0),0), INDEX($AC$1004:$AS$1004,1,MATCH(COLUMNS($AC$1006:AR1006),$AC$1006:$AS$1006,0)))),"Fix")))</f>
        <v xml:space="preserve"> </v>
      </c>
      <c r="R343" s="4" t="str">
        <f ca="1">IF(OR(INDEX($W$2:$W$1001,MATCH(ROWS($V$2:V343),$V$2:$V$1001,0),1)&gt;=100000,INDEX($AC$1005:$AS$1005,1,MATCH(COLUMNS($AC$1006:AS1006),$AC$1006:$AS$1006,0))&gt;=100000), " ",IF(INDEX($AC$2:$AS$1001,MATCH(ROWS($V$2:V343),$V$2:$V$1001,0),MATCH(COLUMNS($AC$1006:AS1006),$AC$1006:$AS$1006,0)), HYPERLINK("#",""), HYPERLINK(CONCATENATE("#metadata!", ADDRESS(INDEX($X$2:$X$1001,MATCH(ROWS($V$2:V343),$V$2:$V$1001,0),0), INDEX($AC$1004:$AS$1004,1,MATCH(COLUMNS($AC$1006:AS1006),$AC$1006:$AS$1006,0)))),"Fix")))</f>
        <v xml:space="preserve"> </v>
      </c>
      <c r="V343">
        <v>342</v>
      </c>
      <c r="W343">
        <v>100343</v>
      </c>
      <c r="X343">
        <v>343</v>
      </c>
      <c r="Y343" t="b">
        <f t="shared" si="5"/>
        <v>1</v>
      </c>
      <c r="Z343" t="b">
        <f>COUNTBLANK(metadata!B343:R343)=COLUMNS(metadata!B343:R343)</f>
        <v>1</v>
      </c>
      <c r="AA343" t="str">
        <v/>
      </c>
      <c r="AC343" t="b">
        <f ca="1"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AD343" t="b">
        <f>IF(metadata!C343="",FALSE,ISNUMBER(VALUE(metadata!C343)))</f>
        <v>0</v>
      </c>
      <c r="AE343" t="b">
        <f>AND(IF(metadata!D343="",FALSE,TRUE),EXACT(metadata!D343,"years"))</f>
        <v>0</v>
      </c>
      <c r="AF343" t="b">
        <f>OR(AND(IF(metadata!E343="",FALSE,TRUE),OR(EXACT(metadata!E343,"not applicable"),EXACT(metadata!E343,"missing: not collected"),EXACT(metadata!E343,"missing: not provided"),EXACT(metadata!E343,"missing: restricted access"))),AND(IF(metadata!E343="",FALSE,ISNUMBER(VALUE(metadata!E343))),metadata!E343&gt;0))</f>
        <v>0</v>
      </c>
      <c r="AG343" t="b">
        <f>AND(IF(metadata!F343="",FALSE,TRUE),EXACT(metadata!F343,"Not applicable"))</f>
        <v>0</v>
      </c>
      <c r="AH343" t="b">
        <f>AND(IF(metadata!G343="",FALSE,TRUE),EXACT(metadata!G343,"urban biome"))</f>
        <v>0</v>
      </c>
      <c r="AI343" t="b">
        <f>AND(IF(metadata!H343="",FALSE,TRUE),EXACT(metadata!H343,"human-associated habitat"))</f>
        <v>0</v>
      </c>
      <c r="AJ343" t="b">
        <f>AND(IF(metadata!I343="",FALSE,TRUE),OR(EXACT(metadata!I343,"human-associated"),EXACT(metadata!I343,"human-skin"),EXACT(metadata!I343,"human-oral"),EXACT(metadata!I343,"human-gut"),EXACT(metadata!I343,"human-vaginal")))</f>
        <v>0</v>
      </c>
      <c r="AK343" t="b">
        <f>IF(metadata!J343="",FALSE,ISNUMBER(VALUE(metadata!J343)))</f>
        <v>0</v>
      </c>
      <c r="AL343" t="b">
        <f>AND(IF(metadata!K343="",FALSE,TRUE),EXACT(metadata!K343,"cm"))</f>
        <v>0</v>
      </c>
      <c r="AM343" t="b">
        <f>AND(IF(metadata!L343="",FALSE,TRUE),EXACT(metadata!L343,"human"))</f>
        <v>0</v>
      </c>
      <c r="AN343" t="b">
        <f>AND(IF(metadata!M343="",FALSE,TRUE),EXACT(metadata!M343,"Homo sapiens"))</f>
        <v>0</v>
      </c>
      <c r="AO343" t="b">
        <f>AND(IF(metadata!N343="",FALSE,TRUE),EXACT(metadata!N343,"9606"))</f>
        <v>0</v>
      </c>
      <c r="AP343" t="b">
        <f>IF(metadata!O343="",FALSE,TRUE)</f>
        <v>0</v>
      </c>
      <c r="AQ343" t="b">
        <f>IF(metadata!P343="",FALSE,TRUE)</f>
        <v>0</v>
      </c>
      <c r="AR343" t="b">
        <f>IF(metadata!Q343="",FALSE,ISNUMBER(VALUE(metadata!Q343)))</f>
        <v>0</v>
      </c>
      <c r="AS343" t="b">
        <f>AND(IF(metadata!R343="",FALSE,TRUE),EXACT(metadata!R343,"kg"))</f>
        <v>0</v>
      </c>
    </row>
    <row r="344" spans="1:45" x14ac:dyDescent="0.2">
      <c r="A344" s="5" t="str">
        <f ca="1">IF(B344=" "," ",HYPERLINK(CONCATENATE("#metadata!",ADDRESS(INDEX($X$2:$X$1001,MATCH(ROWS($V$2:V344),$V$2:$V$1001,0),0),1)),INDEX($AA$2:$AA$1001,MATCH(ROWS($V$2:V344),$V$2:$V$1001,0),0)))</f>
        <v xml:space="preserve"> </v>
      </c>
      <c r="B344" s="4" t="str">
        <f ca="1">IF(OR(INDEX($W$2:$W$1001,MATCH(ROWS($V$2:V344),$V$2:$V$1001,0),1)&gt;=100000,INDEX($AC$1005:$AS$1005,1,MATCH(COLUMNS($AC$1006:AC1006),$AC$1006:$AS$1006,0))&gt;=100000), " ",IF(INDEX($AC$2:$AS$1001,MATCH(ROWS($V$2:V344),$V$2:$V$1001,0),MATCH(COLUMNS($AC$1006:AC1006),$AC$1006:$AS$1006,0)), HYPERLINK("#",""), HYPERLINK(CONCATENATE("#metadata!", ADDRESS(INDEX($X$2:$X$1001,MATCH(ROWS($V$2:V344),$V$2:$V$1001,0),0), INDEX($AC$1004:$AS$1004,1,MATCH(COLUMNS($AC$1006:AC1006),$AC$1006:$AS$1006,0)))),"Fix")))</f>
        <v xml:space="preserve"> </v>
      </c>
      <c r="C344" s="4" t="str">
        <f ca="1">IF(OR(INDEX($W$2:$W$1001,MATCH(ROWS($V$2:V344),$V$2:$V$1001,0),1)&gt;=100000,INDEX($AC$1005:$AS$1005,1,MATCH(COLUMNS($AC$1006:AD1006),$AC$1006:$AS$1006,0))&gt;=100000), " ",IF(INDEX($AC$2:$AS$1001,MATCH(ROWS($V$2:V344),$V$2:$V$1001,0),MATCH(COLUMNS($AC$1006:AD1006),$AC$1006:$AS$1006,0)), HYPERLINK("#",""), HYPERLINK(CONCATENATE("#metadata!", ADDRESS(INDEX($X$2:$X$1001,MATCH(ROWS($V$2:V344),$V$2:$V$1001,0),0), INDEX($AC$1004:$AS$1004,1,MATCH(COLUMNS($AC$1006:AD1006),$AC$1006:$AS$1006,0)))),"Fix")))</f>
        <v xml:space="preserve"> </v>
      </c>
      <c r="D344" s="4" t="str">
        <f ca="1">IF(OR(INDEX($W$2:$W$1001,MATCH(ROWS($V$2:V344),$V$2:$V$1001,0),1)&gt;=100000,INDEX($AC$1005:$AS$1005,1,MATCH(COLUMNS($AC$1006:AE1006),$AC$1006:$AS$1006,0))&gt;=100000), " ",IF(INDEX($AC$2:$AS$1001,MATCH(ROWS($V$2:V344),$V$2:$V$1001,0),MATCH(COLUMNS($AC$1006:AE1006),$AC$1006:$AS$1006,0)), HYPERLINK("#",""), HYPERLINK(CONCATENATE("#metadata!", ADDRESS(INDEX($X$2:$X$1001,MATCH(ROWS($V$2:V344),$V$2:$V$1001,0),0), INDEX($AC$1004:$AS$1004,1,MATCH(COLUMNS($AC$1006:AE1006),$AC$1006:$AS$1006,0)))),"Fix")))</f>
        <v xml:space="preserve"> </v>
      </c>
      <c r="E344" s="4" t="str">
        <f ca="1">IF(OR(INDEX($W$2:$W$1001,MATCH(ROWS($V$2:V344),$V$2:$V$1001,0),1)&gt;=100000,INDEX($AC$1005:$AS$1005,1,MATCH(COLUMNS($AC$1006:AF1006),$AC$1006:$AS$1006,0))&gt;=100000), " ",IF(INDEX($AC$2:$AS$1001,MATCH(ROWS($V$2:V344),$V$2:$V$1001,0),MATCH(COLUMNS($AC$1006:AF1006),$AC$1006:$AS$1006,0)), HYPERLINK("#",""), HYPERLINK(CONCATENATE("#metadata!", ADDRESS(INDEX($X$2:$X$1001,MATCH(ROWS($V$2:V344),$V$2:$V$1001,0),0), INDEX($AC$1004:$AS$1004,1,MATCH(COLUMNS($AC$1006:AF1006),$AC$1006:$AS$1006,0)))),"Fix")))</f>
        <v xml:space="preserve"> </v>
      </c>
      <c r="F344" s="4" t="str">
        <f ca="1">IF(OR(INDEX($W$2:$W$1001,MATCH(ROWS($V$2:V344),$V$2:$V$1001,0),1)&gt;=100000,INDEX($AC$1005:$AS$1005,1,MATCH(COLUMNS($AC$1006:AG1006),$AC$1006:$AS$1006,0))&gt;=100000), " ",IF(INDEX($AC$2:$AS$1001,MATCH(ROWS($V$2:V344),$V$2:$V$1001,0),MATCH(COLUMNS($AC$1006:AG1006),$AC$1006:$AS$1006,0)), HYPERLINK("#",""), HYPERLINK(CONCATENATE("#metadata!", ADDRESS(INDEX($X$2:$X$1001,MATCH(ROWS($V$2:V344),$V$2:$V$1001,0),0), INDEX($AC$1004:$AS$1004,1,MATCH(COLUMNS($AC$1006:AG1006),$AC$1006:$AS$1006,0)))),"Fix")))</f>
        <v xml:space="preserve"> </v>
      </c>
      <c r="G344" s="4" t="str">
        <f ca="1">IF(OR(INDEX($W$2:$W$1001,MATCH(ROWS($V$2:V344),$V$2:$V$1001,0),1)&gt;=100000,INDEX($AC$1005:$AS$1005,1,MATCH(COLUMNS($AC$1006:AH1006),$AC$1006:$AS$1006,0))&gt;=100000), " ",IF(INDEX($AC$2:$AS$1001,MATCH(ROWS($V$2:V344),$V$2:$V$1001,0),MATCH(COLUMNS($AC$1006:AH1006),$AC$1006:$AS$1006,0)), HYPERLINK("#",""), HYPERLINK(CONCATENATE("#metadata!", ADDRESS(INDEX($X$2:$X$1001,MATCH(ROWS($V$2:V344),$V$2:$V$1001,0),0), INDEX($AC$1004:$AS$1004,1,MATCH(COLUMNS($AC$1006:AH1006),$AC$1006:$AS$1006,0)))),"Fix")))</f>
        <v xml:space="preserve"> </v>
      </c>
      <c r="H344" s="4" t="str">
        <f ca="1">IF(OR(INDEX($W$2:$W$1001,MATCH(ROWS($V$2:V344),$V$2:$V$1001,0),1)&gt;=100000,INDEX($AC$1005:$AS$1005,1,MATCH(COLUMNS($AC$1006:AI1006),$AC$1006:$AS$1006,0))&gt;=100000), " ",IF(INDEX($AC$2:$AS$1001,MATCH(ROWS($V$2:V344),$V$2:$V$1001,0),MATCH(COLUMNS($AC$1006:AI1006),$AC$1006:$AS$1006,0)), HYPERLINK("#",""), HYPERLINK(CONCATENATE("#metadata!", ADDRESS(INDEX($X$2:$X$1001,MATCH(ROWS($V$2:V344),$V$2:$V$1001,0),0), INDEX($AC$1004:$AS$1004,1,MATCH(COLUMNS($AC$1006:AI1006),$AC$1006:$AS$1006,0)))),"Fix")))</f>
        <v xml:space="preserve"> </v>
      </c>
      <c r="I344" s="4" t="str">
        <f ca="1">IF(OR(INDEX($W$2:$W$1001,MATCH(ROWS($V$2:V344),$V$2:$V$1001,0),1)&gt;=100000,INDEX($AC$1005:$AS$1005,1,MATCH(COLUMNS($AC$1006:AJ1006),$AC$1006:$AS$1006,0))&gt;=100000), " ",IF(INDEX($AC$2:$AS$1001,MATCH(ROWS($V$2:V344),$V$2:$V$1001,0),MATCH(COLUMNS($AC$1006:AJ1006),$AC$1006:$AS$1006,0)), HYPERLINK("#",""), HYPERLINK(CONCATENATE("#metadata!", ADDRESS(INDEX($X$2:$X$1001,MATCH(ROWS($V$2:V344),$V$2:$V$1001,0),0), INDEX($AC$1004:$AS$1004,1,MATCH(COLUMNS($AC$1006:AJ1006),$AC$1006:$AS$1006,0)))),"Fix")))</f>
        <v xml:space="preserve"> </v>
      </c>
      <c r="J344" s="4" t="str">
        <f ca="1">IF(OR(INDEX($W$2:$W$1001,MATCH(ROWS($V$2:V344),$V$2:$V$1001,0),1)&gt;=100000,INDEX($AC$1005:$AS$1005,1,MATCH(COLUMNS($AC$1006:AK1006),$AC$1006:$AS$1006,0))&gt;=100000), " ",IF(INDEX($AC$2:$AS$1001,MATCH(ROWS($V$2:V344),$V$2:$V$1001,0),MATCH(COLUMNS($AC$1006:AK1006),$AC$1006:$AS$1006,0)), HYPERLINK("#",""), HYPERLINK(CONCATENATE("#metadata!", ADDRESS(INDEX($X$2:$X$1001,MATCH(ROWS($V$2:V344),$V$2:$V$1001,0),0), INDEX($AC$1004:$AS$1004,1,MATCH(COLUMNS($AC$1006:AK1006),$AC$1006:$AS$1006,0)))),"Fix")))</f>
        <v xml:space="preserve"> </v>
      </c>
      <c r="K344" s="4" t="str">
        <f ca="1">IF(OR(INDEX($W$2:$W$1001,MATCH(ROWS($V$2:V344),$V$2:$V$1001,0),1)&gt;=100000,INDEX($AC$1005:$AS$1005,1,MATCH(COLUMNS($AC$1006:AL1006),$AC$1006:$AS$1006,0))&gt;=100000), " ",IF(INDEX($AC$2:$AS$1001,MATCH(ROWS($V$2:V344),$V$2:$V$1001,0),MATCH(COLUMNS($AC$1006:AL1006),$AC$1006:$AS$1006,0)), HYPERLINK("#",""), HYPERLINK(CONCATENATE("#metadata!", ADDRESS(INDEX($X$2:$X$1001,MATCH(ROWS($V$2:V344),$V$2:$V$1001,0),0), INDEX($AC$1004:$AS$1004,1,MATCH(COLUMNS($AC$1006:AL1006),$AC$1006:$AS$1006,0)))),"Fix")))</f>
        <v xml:space="preserve"> </v>
      </c>
      <c r="L344" s="4" t="str">
        <f ca="1">IF(OR(INDEX($W$2:$W$1001,MATCH(ROWS($V$2:V344),$V$2:$V$1001,0),1)&gt;=100000,INDEX($AC$1005:$AS$1005,1,MATCH(COLUMNS($AC$1006:AM1006),$AC$1006:$AS$1006,0))&gt;=100000), " ",IF(INDEX($AC$2:$AS$1001,MATCH(ROWS($V$2:V344),$V$2:$V$1001,0),MATCH(COLUMNS($AC$1006:AM1006),$AC$1006:$AS$1006,0)), HYPERLINK("#",""), HYPERLINK(CONCATENATE("#metadata!", ADDRESS(INDEX($X$2:$X$1001,MATCH(ROWS($V$2:V344),$V$2:$V$1001,0),0), INDEX($AC$1004:$AS$1004,1,MATCH(COLUMNS($AC$1006:AM1006),$AC$1006:$AS$1006,0)))),"Fix")))</f>
        <v xml:space="preserve"> </v>
      </c>
      <c r="M344" s="4" t="str">
        <f ca="1">IF(OR(INDEX($W$2:$W$1001,MATCH(ROWS($V$2:V344),$V$2:$V$1001,0),1)&gt;=100000,INDEX($AC$1005:$AS$1005,1,MATCH(COLUMNS($AC$1006:AN1006),$AC$1006:$AS$1006,0))&gt;=100000), " ",IF(INDEX($AC$2:$AS$1001,MATCH(ROWS($V$2:V344),$V$2:$V$1001,0),MATCH(COLUMNS($AC$1006:AN1006),$AC$1006:$AS$1006,0)), HYPERLINK("#",""), HYPERLINK(CONCATENATE("#metadata!", ADDRESS(INDEX($X$2:$X$1001,MATCH(ROWS($V$2:V344),$V$2:$V$1001,0),0), INDEX($AC$1004:$AS$1004,1,MATCH(COLUMNS($AC$1006:AN1006),$AC$1006:$AS$1006,0)))),"Fix")))</f>
        <v xml:space="preserve"> </v>
      </c>
      <c r="N344" s="4" t="str">
        <f ca="1">IF(OR(INDEX($W$2:$W$1001,MATCH(ROWS($V$2:V344),$V$2:$V$1001,0),1)&gt;=100000,INDEX($AC$1005:$AS$1005,1,MATCH(COLUMNS($AC$1006:AO1006),$AC$1006:$AS$1006,0))&gt;=100000), " ",IF(INDEX($AC$2:$AS$1001,MATCH(ROWS($V$2:V344),$V$2:$V$1001,0),MATCH(COLUMNS($AC$1006:AO1006),$AC$1006:$AS$1006,0)), HYPERLINK("#",""), HYPERLINK(CONCATENATE("#metadata!", ADDRESS(INDEX($X$2:$X$1001,MATCH(ROWS($V$2:V344),$V$2:$V$1001,0),0), INDEX($AC$1004:$AS$1004,1,MATCH(COLUMNS($AC$1006:AO1006),$AC$1006:$AS$1006,0)))),"Fix")))</f>
        <v xml:space="preserve"> </v>
      </c>
      <c r="O344" s="4" t="str">
        <f ca="1">IF(OR(INDEX($W$2:$W$1001,MATCH(ROWS($V$2:V344),$V$2:$V$1001,0),1)&gt;=100000,INDEX($AC$1005:$AS$1005,1,MATCH(COLUMNS($AC$1006:AP1006),$AC$1006:$AS$1006,0))&gt;=100000), " ",IF(INDEX($AC$2:$AS$1001,MATCH(ROWS($V$2:V344),$V$2:$V$1001,0),MATCH(COLUMNS($AC$1006:AP1006),$AC$1006:$AS$1006,0)), HYPERLINK("#",""), HYPERLINK(CONCATENATE("#metadata!", ADDRESS(INDEX($X$2:$X$1001,MATCH(ROWS($V$2:V344),$V$2:$V$1001,0),0), INDEX($AC$1004:$AS$1004,1,MATCH(COLUMNS($AC$1006:AP1006),$AC$1006:$AS$1006,0)))),"Fix")))</f>
        <v xml:space="preserve"> </v>
      </c>
      <c r="P344" s="4" t="str">
        <f ca="1">IF(OR(INDEX($W$2:$W$1001,MATCH(ROWS($V$2:V344),$V$2:$V$1001,0),1)&gt;=100000,INDEX($AC$1005:$AS$1005,1,MATCH(COLUMNS($AC$1006:AQ1006),$AC$1006:$AS$1006,0))&gt;=100000), " ",IF(INDEX($AC$2:$AS$1001,MATCH(ROWS($V$2:V344),$V$2:$V$1001,0),MATCH(COLUMNS($AC$1006:AQ1006),$AC$1006:$AS$1006,0)), HYPERLINK("#",""), HYPERLINK(CONCATENATE("#metadata!", ADDRESS(INDEX($X$2:$X$1001,MATCH(ROWS($V$2:V344),$V$2:$V$1001,0),0), INDEX($AC$1004:$AS$1004,1,MATCH(COLUMNS($AC$1006:AQ1006),$AC$1006:$AS$1006,0)))),"Fix")))</f>
        <v xml:space="preserve"> </v>
      </c>
      <c r="Q344" s="4" t="str">
        <f ca="1">IF(OR(INDEX($W$2:$W$1001,MATCH(ROWS($V$2:V344),$V$2:$V$1001,0),1)&gt;=100000,INDEX($AC$1005:$AS$1005,1,MATCH(COLUMNS($AC$1006:AR1006),$AC$1006:$AS$1006,0))&gt;=100000), " ",IF(INDEX($AC$2:$AS$1001,MATCH(ROWS($V$2:V344),$V$2:$V$1001,0),MATCH(COLUMNS($AC$1006:AR1006),$AC$1006:$AS$1006,0)), HYPERLINK("#",""), HYPERLINK(CONCATENATE("#metadata!", ADDRESS(INDEX($X$2:$X$1001,MATCH(ROWS($V$2:V344),$V$2:$V$1001,0),0), INDEX($AC$1004:$AS$1004,1,MATCH(COLUMNS($AC$1006:AR1006),$AC$1006:$AS$1006,0)))),"Fix")))</f>
        <v xml:space="preserve"> </v>
      </c>
      <c r="R344" s="4" t="str">
        <f ca="1">IF(OR(INDEX($W$2:$W$1001,MATCH(ROWS($V$2:V344),$V$2:$V$1001,0),1)&gt;=100000,INDEX($AC$1005:$AS$1005,1,MATCH(COLUMNS($AC$1006:AS1006),$AC$1006:$AS$1006,0))&gt;=100000), " ",IF(INDEX($AC$2:$AS$1001,MATCH(ROWS($V$2:V344),$V$2:$V$1001,0),MATCH(COLUMNS($AC$1006:AS1006),$AC$1006:$AS$1006,0)), HYPERLINK("#",""), HYPERLINK(CONCATENATE("#metadata!", ADDRESS(INDEX($X$2:$X$1001,MATCH(ROWS($V$2:V344),$V$2:$V$1001,0),0), INDEX($AC$1004:$AS$1004,1,MATCH(COLUMNS($AC$1006:AS1006),$AC$1006:$AS$1006,0)))),"Fix")))</f>
        <v xml:space="preserve"> </v>
      </c>
      <c r="V344">
        <v>343</v>
      </c>
      <c r="W344">
        <v>100344</v>
      </c>
      <c r="X344">
        <v>344</v>
      </c>
      <c r="Y344" t="b">
        <f t="shared" si="5"/>
        <v>1</v>
      </c>
      <c r="Z344" t="b">
        <f>COUNTBLANK(metadata!B344:R344)=COLUMNS(metadata!B344:R344)</f>
        <v>1</v>
      </c>
      <c r="AA344" t="str">
        <v/>
      </c>
      <c r="AC344" t="b">
        <f ca="1"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AD344" t="b">
        <f>IF(metadata!C344="",FALSE,ISNUMBER(VALUE(metadata!C344)))</f>
        <v>0</v>
      </c>
      <c r="AE344" t="b">
        <f>AND(IF(metadata!D344="",FALSE,TRUE),EXACT(metadata!D344,"years"))</f>
        <v>0</v>
      </c>
      <c r="AF344" t="b">
        <f>OR(AND(IF(metadata!E344="",FALSE,TRUE),OR(EXACT(metadata!E344,"not applicable"),EXACT(metadata!E344,"missing: not collected"),EXACT(metadata!E344,"missing: not provided"),EXACT(metadata!E344,"missing: restricted access"))),AND(IF(metadata!E344="",FALSE,ISNUMBER(VALUE(metadata!E344))),metadata!E344&gt;0))</f>
        <v>0</v>
      </c>
      <c r="AG344" t="b">
        <f>AND(IF(metadata!F344="",FALSE,TRUE),EXACT(metadata!F344,"Not applicable"))</f>
        <v>0</v>
      </c>
      <c r="AH344" t="b">
        <f>AND(IF(metadata!G344="",FALSE,TRUE),EXACT(metadata!G344,"urban biome"))</f>
        <v>0</v>
      </c>
      <c r="AI344" t="b">
        <f>AND(IF(metadata!H344="",FALSE,TRUE),EXACT(metadata!H344,"human-associated habitat"))</f>
        <v>0</v>
      </c>
      <c r="AJ344" t="b">
        <f>AND(IF(metadata!I344="",FALSE,TRUE),OR(EXACT(metadata!I344,"human-associated"),EXACT(metadata!I344,"human-skin"),EXACT(metadata!I344,"human-oral"),EXACT(metadata!I344,"human-gut"),EXACT(metadata!I344,"human-vaginal")))</f>
        <v>0</v>
      </c>
      <c r="AK344" t="b">
        <f>IF(metadata!J344="",FALSE,ISNUMBER(VALUE(metadata!J344)))</f>
        <v>0</v>
      </c>
      <c r="AL344" t="b">
        <f>AND(IF(metadata!K344="",FALSE,TRUE),EXACT(metadata!K344,"cm"))</f>
        <v>0</v>
      </c>
      <c r="AM344" t="b">
        <f>AND(IF(metadata!L344="",FALSE,TRUE),EXACT(metadata!L344,"human"))</f>
        <v>0</v>
      </c>
      <c r="AN344" t="b">
        <f>AND(IF(metadata!M344="",FALSE,TRUE),EXACT(metadata!M344,"Homo sapiens"))</f>
        <v>0</v>
      </c>
      <c r="AO344" t="b">
        <f>AND(IF(metadata!N344="",FALSE,TRUE),EXACT(metadata!N344,"9606"))</f>
        <v>0</v>
      </c>
      <c r="AP344" t="b">
        <f>IF(metadata!O344="",FALSE,TRUE)</f>
        <v>0</v>
      </c>
      <c r="AQ344" t="b">
        <f>IF(metadata!P344="",FALSE,TRUE)</f>
        <v>0</v>
      </c>
      <c r="AR344" t="b">
        <f>IF(metadata!Q344="",FALSE,ISNUMBER(VALUE(metadata!Q344)))</f>
        <v>0</v>
      </c>
      <c r="AS344" t="b">
        <f>AND(IF(metadata!R344="",FALSE,TRUE),EXACT(metadata!R344,"kg"))</f>
        <v>0</v>
      </c>
    </row>
    <row r="345" spans="1:45" x14ac:dyDescent="0.2">
      <c r="A345" s="5" t="str">
        <f ca="1">IF(B345=" "," ",HYPERLINK(CONCATENATE("#metadata!",ADDRESS(INDEX($X$2:$X$1001,MATCH(ROWS($V$2:V345),$V$2:$V$1001,0),0),1)),INDEX($AA$2:$AA$1001,MATCH(ROWS($V$2:V345),$V$2:$V$1001,0),0)))</f>
        <v xml:space="preserve"> </v>
      </c>
      <c r="B345" s="4" t="str">
        <f ca="1">IF(OR(INDEX($W$2:$W$1001,MATCH(ROWS($V$2:V345),$V$2:$V$1001,0),1)&gt;=100000,INDEX($AC$1005:$AS$1005,1,MATCH(COLUMNS($AC$1006:AC1006),$AC$1006:$AS$1006,0))&gt;=100000), " ",IF(INDEX($AC$2:$AS$1001,MATCH(ROWS($V$2:V345),$V$2:$V$1001,0),MATCH(COLUMNS($AC$1006:AC1006),$AC$1006:$AS$1006,0)), HYPERLINK("#",""), HYPERLINK(CONCATENATE("#metadata!", ADDRESS(INDEX($X$2:$X$1001,MATCH(ROWS($V$2:V345),$V$2:$V$1001,0),0), INDEX($AC$1004:$AS$1004,1,MATCH(COLUMNS($AC$1006:AC1006),$AC$1006:$AS$1006,0)))),"Fix")))</f>
        <v xml:space="preserve"> </v>
      </c>
      <c r="C345" s="4" t="str">
        <f ca="1">IF(OR(INDEX($W$2:$W$1001,MATCH(ROWS($V$2:V345),$V$2:$V$1001,0),1)&gt;=100000,INDEX($AC$1005:$AS$1005,1,MATCH(COLUMNS($AC$1006:AD1006),$AC$1006:$AS$1006,0))&gt;=100000), " ",IF(INDEX($AC$2:$AS$1001,MATCH(ROWS($V$2:V345),$V$2:$V$1001,0),MATCH(COLUMNS($AC$1006:AD1006),$AC$1006:$AS$1006,0)), HYPERLINK("#",""), HYPERLINK(CONCATENATE("#metadata!", ADDRESS(INDEX($X$2:$X$1001,MATCH(ROWS($V$2:V345),$V$2:$V$1001,0),0), INDEX($AC$1004:$AS$1004,1,MATCH(COLUMNS($AC$1006:AD1006),$AC$1006:$AS$1006,0)))),"Fix")))</f>
        <v xml:space="preserve"> </v>
      </c>
      <c r="D345" s="4" t="str">
        <f ca="1">IF(OR(INDEX($W$2:$W$1001,MATCH(ROWS($V$2:V345),$V$2:$V$1001,0),1)&gt;=100000,INDEX($AC$1005:$AS$1005,1,MATCH(COLUMNS($AC$1006:AE1006),$AC$1006:$AS$1006,0))&gt;=100000), " ",IF(INDEX($AC$2:$AS$1001,MATCH(ROWS($V$2:V345),$V$2:$V$1001,0),MATCH(COLUMNS($AC$1006:AE1006),$AC$1006:$AS$1006,0)), HYPERLINK("#",""), HYPERLINK(CONCATENATE("#metadata!", ADDRESS(INDEX($X$2:$X$1001,MATCH(ROWS($V$2:V345),$V$2:$V$1001,0),0), INDEX($AC$1004:$AS$1004,1,MATCH(COLUMNS($AC$1006:AE1006),$AC$1006:$AS$1006,0)))),"Fix")))</f>
        <v xml:space="preserve"> </v>
      </c>
      <c r="E345" s="4" t="str">
        <f ca="1">IF(OR(INDEX($W$2:$W$1001,MATCH(ROWS($V$2:V345),$V$2:$V$1001,0),1)&gt;=100000,INDEX($AC$1005:$AS$1005,1,MATCH(COLUMNS($AC$1006:AF1006),$AC$1006:$AS$1006,0))&gt;=100000), " ",IF(INDEX($AC$2:$AS$1001,MATCH(ROWS($V$2:V345),$V$2:$V$1001,0),MATCH(COLUMNS($AC$1006:AF1006),$AC$1006:$AS$1006,0)), HYPERLINK("#",""), HYPERLINK(CONCATENATE("#metadata!", ADDRESS(INDEX($X$2:$X$1001,MATCH(ROWS($V$2:V345),$V$2:$V$1001,0),0), INDEX($AC$1004:$AS$1004,1,MATCH(COLUMNS($AC$1006:AF1006),$AC$1006:$AS$1006,0)))),"Fix")))</f>
        <v xml:space="preserve"> </v>
      </c>
      <c r="F345" s="4" t="str">
        <f ca="1">IF(OR(INDEX($W$2:$W$1001,MATCH(ROWS($V$2:V345),$V$2:$V$1001,0),1)&gt;=100000,INDEX($AC$1005:$AS$1005,1,MATCH(COLUMNS($AC$1006:AG1006),$AC$1006:$AS$1006,0))&gt;=100000), " ",IF(INDEX($AC$2:$AS$1001,MATCH(ROWS($V$2:V345),$V$2:$V$1001,0),MATCH(COLUMNS($AC$1006:AG1006),$AC$1006:$AS$1006,0)), HYPERLINK("#",""), HYPERLINK(CONCATENATE("#metadata!", ADDRESS(INDEX($X$2:$X$1001,MATCH(ROWS($V$2:V345),$V$2:$V$1001,0),0), INDEX($AC$1004:$AS$1004,1,MATCH(COLUMNS($AC$1006:AG1006),$AC$1006:$AS$1006,0)))),"Fix")))</f>
        <v xml:space="preserve"> </v>
      </c>
      <c r="G345" s="4" t="str">
        <f ca="1">IF(OR(INDEX($W$2:$W$1001,MATCH(ROWS($V$2:V345),$V$2:$V$1001,0),1)&gt;=100000,INDEX($AC$1005:$AS$1005,1,MATCH(COLUMNS($AC$1006:AH1006),$AC$1006:$AS$1006,0))&gt;=100000), " ",IF(INDEX($AC$2:$AS$1001,MATCH(ROWS($V$2:V345),$V$2:$V$1001,0),MATCH(COLUMNS($AC$1006:AH1006),$AC$1006:$AS$1006,0)), HYPERLINK("#",""), HYPERLINK(CONCATENATE("#metadata!", ADDRESS(INDEX($X$2:$X$1001,MATCH(ROWS($V$2:V345),$V$2:$V$1001,0),0), INDEX($AC$1004:$AS$1004,1,MATCH(COLUMNS($AC$1006:AH1006),$AC$1006:$AS$1006,0)))),"Fix")))</f>
        <v xml:space="preserve"> </v>
      </c>
      <c r="H345" s="4" t="str">
        <f ca="1">IF(OR(INDEX($W$2:$W$1001,MATCH(ROWS($V$2:V345),$V$2:$V$1001,0),1)&gt;=100000,INDEX($AC$1005:$AS$1005,1,MATCH(COLUMNS($AC$1006:AI1006),$AC$1006:$AS$1006,0))&gt;=100000), " ",IF(INDEX($AC$2:$AS$1001,MATCH(ROWS($V$2:V345),$V$2:$V$1001,0),MATCH(COLUMNS($AC$1006:AI1006),$AC$1006:$AS$1006,0)), HYPERLINK("#",""), HYPERLINK(CONCATENATE("#metadata!", ADDRESS(INDEX($X$2:$X$1001,MATCH(ROWS($V$2:V345),$V$2:$V$1001,0),0), INDEX($AC$1004:$AS$1004,1,MATCH(COLUMNS($AC$1006:AI1006),$AC$1006:$AS$1006,0)))),"Fix")))</f>
        <v xml:space="preserve"> </v>
      </c>
      <c r="I345" s="4" t="str">
        <f ca="1">IF(OR(INDEX($W$2:$W$1001,MATCH(ROWS($V$2:V345),$V$2:$V$1001,0),1)&gt;=100000,INDEX($AC$1005:$AS$1005,1,MATCH(COLUMNS($AC$1006:AJ1006),$AC$1006:$AS$1006,0))&gt;=100000), " ",IF(INDEX($AC$2:$AS$1001,MATCH(ROWS($V$2:V345),$V$2:$V$1001,0),MATCH(COLUMNS($AC$1006:AJ1006),$AC$1006:$AS$1006,0)), HYPERLINK("#",""), HYPERLINK(CONCATENATE("#metadata!", ADDRESS(INDEX($X$2:$X$1001,MATCH(ROWS($V$2:V345),$V$2:$V$1001,0),0), INDEX($AC$1004:$AS$1004,1,MATCH(COLUMNS($AC$1006:AJ1006),$AC$1006:$AS$1006,0)))),"Fix")))</f>
        <v xml:space="preserve"> </v>
      </c>
      <c r="J345" s="4" t="str">
        <f ca="1">IF(OR(INDEX($W$2:$W$1001,MATCH(ROWS($V$2:V345),$V$2:$V$1001,0),1)&gt;=100000,INDEX($AC$1005:$AS$1005,1,MATCH(COLUMNS($AC$1006:AK1006),$AC$1006:$AS$1006,0))&gt;=100000), " ",IF(INDEX($AC$2:$AS$1001,MATCH(ROWS($V$2:V345),$V$2:$V$1001,0),MATCH(COLUMNS($AC$1006:AK1006),$AC$1006:$AS$1006,0)), HYPERLINK("#",""), HYPERLINK(CONCATENATE("#metadata!", ADDRESS(INDEX($X$2:$X$1001,MATCH(ROWS($V$2:V345),$V$2:$V$1001,0),0), INDEX($AC$1004:$AS$1004,1,MATCH(COLUMNS($AC$1006:AK1006),$AC$1006:$AS$1006,0)))),"Fix")))</f>
        <v xml:space="preserve"> </v>
      </c>
      <c r="K345" s="4" t="str">
        <f ca="1">IF(OR(INDEX($W$2:$W$1001,MATCH(ROWS($V$2:V345),$V$2:$V$1001,0),1)&gt;=100000,INDEX($AC$1005:$AS$1005,1,MATCH(COLUMNS($AC$1006:AL1006),$AC$1006:$AS$1006,0))&gt;=100000), " ",IF(INDEX($AC$2:$AS$1001,MATCH(ROWS($V$2:V345),$V$2:$V$1001,0),MATCH(COLUMNS($AC$1006:AL1006),$AC$1006:$AS$1006,0)), HYPERLINK("#",""), HYPERLINK(CONCATENATE("#metadata!", ADDRESS(INDEX($X$2:$X$1001,MATCH(ROWS($V$2:V345),$V$2:$V$1001,0),0), INDEX($AC$1004:$AS$1004,1,MATCH(COLUMNS($AC$1006:AL1006),$AC$1006:$AS$1006,0)))),"Fix")))</f>
        <v xml:space="preserve"> </v>
      </c>
      <c r="L345" s="4" t="str">
        <f ca="1">IF(OR(INDEX($W$2:$W$1001,MATCH(ROWS($V$2:V345),$V$2:$V$1001,0),1)&gt;=100000,INDEX($AC$1005:$AS$1005,1,MATCH(COLUMNS($AC$1006:AM1006),$AC$1006:$AS$1006,0))&gt;=100000), " ",IF(INDEX($AC$2:$AS$1001,MATCH(ROWS($V$2:V345),$V$2:$V$1001,0),MATCH(COLUMNS($AC$1006:AM1006),$AC$1006:$AS$1006,0)), HYPERLINK("#",""), HYPERLINK(CONCATENATE("#metadata!", ADDRESS(INDEX($X$2:$X$1001,MATCH(ROWS($V$2:V345),$V$2:$V$1001,0),0), INDEX($AC$1004:$AS$1004,1,MATCH(COLUMNS($AC$1006:AM1006),$AC$1006:$AS$1006,0)))),"Fix")))</f>
        <v xml:space="preserve"> </v>
      </c>
      <c r="M345" s="4" t="str">
        <f ca="1">IF(OR(INDEX($W$2:$W$1001,MATCH(ROWS($V$2:V345),$V$2:$V$1001,0),1)&gt;=100000,INDEX($AC$1005:$AS$1005,1,MATCH(COLUMNS($AC$1006:AN1006),$AC$1006:$AS$1006,0))&gt;=100000), " ",IF(INDEX($AC$2:$AS$1001,MATCH(ROWS($V$2:V345),$V$2:$V$1001,0),MATCH(COLUMNS($AC$1006:AN1006),$AC$1006:$AS$1006,0)), HYPERLINK("#",""), HYPERLINK(CONCATENATE("#metadata!", ADDRESS(INDEX($X$2:$X$1001,MATCH(ROWS($V$2:V345),$V$2:$V$1001,0),0), INDEX($AC$1004:$AS$1004,1,MATCH(COLUMNS($AC$1006:AN1006),$AC$1006:$AS$1006,0)))),"Fix")))</f>
        <v xml:space="preserve"> </v>
      </c>
      <c r="N345" s="4" t="str">
        <f ca="1">IF(OR(INDEX($W$2:$W$1001,MATCH(ROWS($V$2:V345),$V$2:$V$1001,0),1)&gt;=100000,INDEX($AC$1005:$AS$1005,1,MATCH(COLUMNS($AC$1006:AO1006),$AC$1006:$AS$1006,0))&gt;=100000), " ",IF(INDEX($AC$2:$AS$1001,MATCH(ROWS($V$2:V345),$V$2:$V$1001,0),MATCH(COLUMNS($AC$1006:AO1006),$AC$1006:$AS$1006,0)), HYPERLINK("#",""), HYPERLINK(CONCATENATE("#metadata!", ADDRESS(INDEX($X$2:$X$1001,MATCH(ROWS($V$2:V345),$V$2:$V$1001,0),0), INDEX($AC$1004:$AS$1004,1,MATCH(COLUMNS($AC$1006:AO1006),$AC$1006:$AS$1006,0)))),"Fix")))</f>
        <v xml:space="preserve"> </v>
      </c>
      <c r="O345" s="4" t="str">
        <f ca="1">IF(OR(INDEX($W$2:$W$1001,MATCH(ROWS($V$2:V345),$V$2:$V$1001,0),1)&gt;=100000,INDEX($AC$1005:$AS$1005,1,MATCH(COLUMNS($AC$1006:AP1006),$AC$1006:$AS$1006,0))&gt;=100000), " ",IF(INDEX($AC$2:$AS$1001,MATCH(ROWS($V$2:V345),$V$2:$V$1001,0),MATCH(COLUMNS($AC$1006:AP1006),$AC$1006:$AS$1006,0)), HYPERLINK("#",""), HYPERLINK(CONCATENATE("#metadata!", ADDRESS(INDEX($X$2:$X$1001,MATCH(ROWS($V$2:V345),$V$2:$V$1001,0),0), INDEX($AC$1004:$AS$1004,1,MATCH(COLUMNS($AC$1006:AP1006),$AC$1006:$AS$1006,0)))),"Fix")))</f>
        <v xml:space="preserve"> </v>
      </c>
      <c r="P345" s="4" t="str">
        <f ca="1">IF(OR(INDEX($W$2:$W$1001,MATCH(ROWS($V$2:V345),$V$2:$V$1001,0),1)&gt;=100000,INDEX($AC$1005:$AS$1005,1,MATCH(COLUMNS($AC$1006:AQ1006),$AC$1006:$AS$1006,0))&gt;=100000), " ",IF(INDEX($AC$2:$AS$1001,MATCH(ROWS($V$2:V345),$V$2:$V$1001,0),MATCH(COLUMNS($AC$1006:AQ1006),$AC$1006:$AS$1006,0)), HYPERLINK("#",""), HYPERLINK(CONCATENATE("#metadata!", ADDRESS(INDEX($X$2:$X$1001,MATCH(ROWS($V$2:V345),$V$2:$V$1001,0),0), INDEX($AC$1004:$AS$1004,1,MATCH(COLUMNS($AC$1006:AQ1006),$AC$1006:$AS$1006,0)))),"Fix")))</f>
        <v xml:space="preserve"> </v>
      </c>
      <c r="Q345" s="4" t="str">
        <f ca="1">IF(OR(INDEX($W$2:$W$1001,MATCH(ROWS($V$2:V345),$V$2:$V$1001,0),1)&gt;=100000,INDEX($AC$1005:$AS$1005,1,MATCH(COLUMNS($AC$1006:AR1006),$AC$1006:$AS$1006,0))&gt;=100000), " ",IF(INDEX($AC$2:$AS$1001,MATCH(ROWS($V$2:V345),$V$2:$V$1001,0),MATCH(COLUMNS($AC$1006:AR1006),$AC$1006:$AS$1006,0)), HYPERLINK("#",""), HYPERLINK(CONCATENATE("#metadata!", ADDRESS(INDEX($X$2:$X$1001,MATCH(ROWS($V$2:V345),$V$2:$V$1001,0),0), INDEX($AC$1004:$AS$1004,1,MATCH(COLUMNS($AC$1006:AR1006),$AC$1006:$AS$1006,0)))),"Fix")))</f>
        <v xml:space="preserve"> </v>
      </c>
      <c r="R345" s="4" t="str">
        <f ca="1">IF(OR(INDEX($W$2:$W$1001,MATCH(ROWS($V$2:V345),$V$2:$V$1001,0),1)&gt;=100000,INDEX($AC$1005:$AS$1005,1,MATCH(COLUMNS($AC$1006:AS1006),$AC$1006:$AS$1006,0))&gt;=100000), " ",IF(INDEX($AC$2:$AS$1001,MATCH(ROWS($V$2:V345),$V$2:$V$1001,0),MATCH(COLUMNS($AC$1006:AS1006),$AC$1006:$AS$1006,0)), HYPERLINK("#",""), HYPERLINK(CONCATENATE("#metadata!", ADDRESS(INDEX($X$2:$X$1001,MATCH(ROWS($V$2:V345),$V$2:$V$1001,0),0), INDEX($AC$1004:$AS$1004,1,MATCH(COLUMNS($AC$1006:AS1006),$AC$1006:$AS$1006,0)))),"Fix")))</f>
        <v xml:space="preserve"> </v>
      </c>
      <c r="V345">
        <v>344</v>
      </c>
      <c r="W345">
        <v>100345</v>
      </c>
      <c r="X345">
        <v>345</v>
      </c>
      <c r="Y345" t="b">
        <f t="shared" si="5"/>
        <v>1</v>
      </c>
      <c r="Z345" t="b">
        <f>COUNTBLANK(metadata!B345:R345)=COLUMNS(metadata!B345:R345)</f>
        <v>1</v>
      </c>
      <c r="AA345" t="str">
        <v/>
      </c>
      <c r="AC345" t="b">
        <f ca="1"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AD345" t="b">
        <f>IF(metadata!C345="",FALSE,ISNUMBER(VALUE(metadata!C345)))</f>
        <v>0</v>
      </c>
      <c r="AE345" t="b">
        <f>AND(IF(metadata!D345="",FALSE,TRUE),EXACT(metadata!D345,"years"))</f>
        <v>0</v>
      </c>
      <c r="AF345" t="b">
        <f>OR(AND(IF(metadata!E345="",FALSE,TRUE),OR(EXACT(metadata!E345,"not applicable"),EXACT(metadata!E345,"missing: not collected"),EXACT(metadata!E345,"missing: not provided"),EXACT(metadata!E345,"missing: restricted access"))),AND(IF(metadata!E345="",FALSE,ISNUMBER(VALUE(metadata!E345))),metadata!E345&gt;0))</f>
        <v>0</v>
      </c>
      <c r="AG345" t="b">
        <f>AND(IF(metadata!F345="",FALSE,TRUE),EXACT(metadata!F345,"Not applicable"))</f>
        <v>0</v>
      </c>
      <c r="AH345" t="b">
        <f>AND(IF(metadata!G345="",FALSE,TRUE),EXACT(metadata!G345,"urban biome"))</f>
        <v>0</v>
      </c>
      <c r="AI345" t="b">
        <f>AND(IF(metadata!H345="",FALSE,TRUE),EXACT(metadata!H345,"human-associated habitat"))</f>
        <v>0</v>
      </c>
      <c r="AJ345" t="b">
        <f>AND(IF(metadata!I345="",FALSE,TRUE),OR(EXACT(metadata!I345,"human-associated"),EXACT(metadata!I345,"human-skin"),EXACT(metadata!I345,"human-oral"),EXACT(metadata!I345,"human-gut"),EXACT(metadata!I345,"human-vaginal")))</f>
        <v>0</v>
      </c>
      <c r="AK345" t="b">
        <f>IF(metadata!J345="",FALSE,ISNUMBER(VALUE(metadata!J345)))</f>
        <v>0</v>
      </c>
      <c r="AL345" t="b">
        <f>AND(IF(metadata!K345="",FALSE,TRUE),EXACT(metadata!K345,"cm"))</f>
        <v>0</v>
      </c>
      <c r="AM345" t="b">
        <f>AND(IF(metadata!L345="",FALSE,TRUE),EXACT(metadata!L345,"human"))</f>
        <v>0</v>
      </c>
      <c r="AN345" t="b">
        <f>AND(IF(metadata!M345="",FALSE,TRUE),EXACT(metadata!M345,"Homo sapiens"))</f>
        <v>0</v>
      </c>
      <c r="AO345" t="b">
        <f>AND(IF(metadata!N345="",FALSE,TRUE),EXACT(metadata!N345,"9606"))</f>
        <v>0</v>
      </c>
      <c r="AP345" t="b">
        <f>IF(metadata!O345="",FALSE,TRUE)</f>
        <v>0</v>
      </c>
      <c r="AQ345" t="b">
        <f>IF(metadata!P345="",FALSE,TRUE)</f>
        <v>0</v>
      </c>
      <c r="AR345" t="b">
        <f>IF(metadata!Q345="",FALSE,ISNUMBER(VALUE(metadata!Q345)))</f>
        <v>0</v>
      </c>
      <c r="AS345" t="b">
        <f>AND(IF(metadata!R345="",FALSE,TRUE),EXACT(metadata!R345,"kg"))</f>
        <v>0</v>
      </c>
    </row>
    <row r="346" spans="1:45" x14ac:dyDescent="0.2">
      <c r="A346" s="5" t="str">
        <f ca="1">IF(B346=" "," ",HYPERLINK(CONCATENATE("#metadata!",ADDRESS(INDEX($X$2:$X$1001,MATCH(ROWS($V$2:V346),$V$2:$V$1001,0),0),1)),INDEX($AA$2:$AA$1001,MATCH(ROWS($V$2:V346),$V$2:$V$1001,0),0)))</f>
        <v xml:space="preserve"> </v>
      </c>
      <c r="B346" s="4" t="str">
        <f ca="1">IF(OR(INDEX($W$2:$W$1001,MATCH(ROWS($V$2:V346),$V$2:$V$1001,0),1)&gt;=100000,INDEX($AC$1005:$AS$1005,1,MATCH(COLUMNS($AC$1006:AC1006),$AC$1006:$AS$1006,0))&gt;=100000), " ",IF(INDEX($AC$2:$AS$1001,MATCH(ROWS($V$2:V346),$V$2:$V$1001,0),MATCH(COLUMNS($AC$1006:AC1006),$AC$1006:$AS$1006,0)), HYPERLINK("#",""), HYPERLINK(CONCATENATE("#metadata!", ADDRESS(INDEX($X$2:$X$1001,MATCH(ROWS($V$2:V346),$V$2:$V$1001,0),0), INDEX($AC$1004:$AS$1004,1,MATCH(COLUMNS($AC$1006:AC1006),$AC$1006:$AS$1006,0)))),"Fix")))</f>
        <v xml:space="preserve"> </v>
      </c>
      <c r="C346" s="4" t="str">
        <f ca="1">IF(OR(INDEX($W$2:$W$1001,MATCH(ROWS($V$2:V346),$V$2:$V$1001,0),1)&gt;=100000,INDEX($AC$1005:$AS$1005,1,MATCH(COLUMNS($AC$1006:AD1006),$AC$1006:$AS$1006,0))&gt;=100000), " ",IF(INDEX($AC$2:$AS$1001,MATCH(ROWS($V$2:V346),$V$2:$V$1001,0),MATCH(COLUMNS($AC$1006:AD1006),$AC$1006:$AS$1006,0)), HYPERLINK("#",""), HYPERLINK(CONCATENATE("#metadata!", ADDRESS(INDEX($X$2:$X$1001,MATCH(ROWS($V$2:V346),$V$2:$V$1001,0),0), INDEX($AC$1004:$AS$1004,1,MATCH(COLUMNS($AC$1006:AD1006),$AC$1006:$AS$1006,0)))),"Fix")))</f>
        <v xml:space="preserve"> </v>
      </c>
      <c r="D346" s="4" t="str">
        <f ca="1">IF(OR(INDEX($W$2:$W$1001,MATCH(ROWS($V$2:V346),$V$2:$V$1001,0),1)&gt;=100000,INDEX($AC$1005:$AS$1005,1,MATCH(COLUMNS($AC$1006:AE1006),$AC$1006:$AS$1006,0))&gt;=100000), " ",IF(INDEX($AC$2:$AS$1001,MATCH(ROWS($V$2:V346),$V$2:$V$1001,0),MATCH(COLUMNS($AC$1006:AE1006),$AC$1006:$AS$1006,0)), HYPERLINK("#",""), HYPERLINK(CONCATENATE("#metadata!", ADDRESS(INDEX($X$2:$X$1001,MATCH(ROWS($V$2:V346),$V$2:$V$1001,0),0), INDEX($AC$1004:$AS$1004,1,MATCH(COLUMNS($AC$1006:AE1006),$AC$1006:$AS$1006,0)))),"Fix")))</f>
        <v xml:space="preserve"> </v>
      </c>
      <c r="E346" s="4" t="str">
        <f ca="1">IF(OR(INDEX($W$2:$W$1001,MATCH(ROWS($V$2:V346),$V$2:$V$1001,0),1)&gt;=100000,INDEX($AC$1005:$AS$1005,1,MATCH(COLUMNS($AC$1006:AF1006),$AC$1006:$AS$1006,0))&gt;=100000), " ",IF(INDEX($AC$2:$AS$1001,MATCH(ROWS($V$2:V346),$V$2:$V$1001,0),MATCH(COLUMNS($AC$1006:AF1006),$AC$1006:$AS$1006,0)), HYPERLINK("#",""), HYPERLINK(CONCATENATE("#metadata!", ADDRESS(INDEX($X$2:$X$1001,MATCH(ROWS($V$2:V346),$V$2:$V$1001,0),0), INDEX($AC$1004:$AS$1004,1,MATCH(COLUMNS($AC$1006:AF1006),$AC$1006:$AS$1006,0)))),"Fix")))</f>
        <v xml:space="preserve"> </v>
      </c>
      <c r="F346" s="4" t="str">
        <f ca="1">IF(OR(INDEX($W$2:$W$1001,MATCH(ROWS($V$2:V346),$V$2:$V$1001,0),1)&gt;=100000,INDEX($AC$1005:$AS$1005,1,MATCH(COLUMNS($AC$1006:AG1006),$AC$1006:$AS$1006,0))&gt;=100000), " ",IF(INDEX($AC$2:$AS$1001,MATCH(ROWS($V$2:V346),$V$2:$V$1001,0),MATCH(COLUMNS($AC$1006:AG1006),$AC$1006:$AS$1006,0)), HYPERLINK("#",""), HYPERLINK(CONCATENATE("#metadata!", ADDRESS(INDEX($X$2:$X$1001,MATCH(ROWS($V$2:V346),$V$2:$V$1001,0),0), INDEX($AC$1004:$AS$1004,1,MATCH(COLUMNS($AC$1006:AG1006),$AC$1006:$AS$1006,0)))),"Fix")))</f>
        <v xml:space="preserve"> </v>
      </c>
      <c r="G346" s="4" t="str">
        <f ca="1">IF(OR(INDEX($W$2:$W$1001,MATCH(ROWS($V$2:V346),$V$2:$V$1001,0),1)&gt;=100000,INDEX($AC$1005:$AS$1005,1,MATCH(COLUMNS($AC$1006:AH1006),$AC$1006:$AS$1006,0))&gt;=100000), " ",IF(INDEX($AC$2:$AS$1001,MATCH(ROWS($V$2:V346),$V$2:$V$1001,0),MATCH(COLUMNS($AC$1006:AH1006),$AC$1006:$AS$1006,0)), HYPERLINK("#",""), HYPERLINK(CONCATENATE("#metadata!", ADDRESS(INDEX($X$2:$X$1001,MATCH(ROWS($V$2:V346),$V$2:$V$1001,0),0), INDEX($AC$1004:$AS$1004,1,MATCH(COLUMNS($AC$1006:AH1006),$AC$1006:$AS$1006,0)))),"Fix")))</f>
        <v xml:space="preserve"> </v>
      </c>
      <c r="H346" s="4" t="str">
        <f ca="1">IF(OR(INDEX($W$2:$W$1001,MATCH(ROWS($V$2:V346),$V$2:$V$1001,0),1)&gt;=100000,INDEX($AC$1005:$AS$1005,1,MATCH(COLUMNS($AC$1006:AI1006),$AC$1006:$AS$1006,0))&gt;=100000), " ",IF(INDEX($AC$2:$AS$1001,MATCH(ROWS($V$2:V346),$V$2:$V$1001,0),MATCH(COLUMNS($AC$1006:AI1006),$AC$1006:$AS$1006,0)), HYPERLINK("#",""), HYPERLINK(CONCATENATE("#metadata!", ADDRESS(INDEX($X$2:$X$1001,MATCH(ROWS($V$2:V346),$V$2:$V$1001,0),0), INDEX($AC$1004:$AS$1004,1,MATCH(COLUMNS($AC$1006:AI1006),$AC$1006:$AS$1006,0)))),"Fix")))</f>
        <v xml:space="preserve"> </v>
      </c>
      <c r="I346" s="4" t="str">
        <f ca="1">IF(OR(INDEX($W$2:$W$1001,MATCH(ROWS($V$2:V346),$V$2:$V$1001,0),1)&gt;=100000,INDEX($AC$1005:$AS$1005,1,MATCH(COLUMNS($AC$1006:AJ1006),$AC$1006:$AS$1006,0))&gt;=100000), " ",IF(INDEX($AC$2:$AS$1001,MATCH(ROWS($V$2:V346),$V$2:$V$1001,0),MATCH(COLUMNS($AC$1006:AJ1006),$AC$1006:$AS$1006,0)), HYPERLINK("#",""), HYPERLINK(CONCATENATE("#metadata!", ADDRESS(INDEX($X$2:$X$1001,MATCH(ROWS($V$2:V346),$V$2:$V$1001,0),0), INDEX($AC$1004:$AS$1004,1,MATCH(COLUMNS($AC$1006:AJ1006),$AC$1006:$AS$1006,0)))),"Fix")))</f>
        <v xml:space="preserve"> </v>
      </c>
      <c r="J346" s="4" t="str">
        <f ca="1">IF(OR(INDEX($W$2:$W$1001,MATCH(ROWS($V$2:V346),$V$2:$V$1001,0),1)&gt;=100000,INDEX($AC$1005:$AS$1005,1,MATCH(COLUMNS($AC$1006:AK1006),$AC$1006:$AS$1006,0))&gt;=100000), " ",IF(INDEX($AC$2:$AS$1001,MATCH(ROWS($V$2:V346),$V$2:$V$1001,0),MATCH(COLUMNS($AC$1006:AK1006),$AC$1006:$AS$1006,0)), HYPERLINK("#",""), HYPERLINK(CONCATENATE("#metadata!", ADDRESS(INDEX($X$2:$X$1001,MATCH(ROWS($V$2:V346),$V$2:$V$1001,0),0), INDEX($AC$1004:$AS$1004,1,MATCH(COLUMNS($AC$1006:AK1006),$AC$1006:$AS$1006,0)))),"Fix")))</f>
        <v xml:space="preserve"> </v>
      </c>
      <c r="K346" s="4" t="str">
        <f ca="1">IF(OR(INDEX($W$2:$W$1001,MATCH(ROWS($V$2:V346),$V$2:$V$1001,0),1)&gt;=100000,INDEX($AC$1005:$AS$1005,1,MATCH(COLUMNS($AC$1006:AL1006),$AC$1006:$AS$1006,0))&gt;=100000), " ",IF(INDEX($AC$2:$AS$1001,MATCH(ROWS($V$2:V346),$V$2:$V$1001,0),MATCH(COLUMNS($AC$1006:AL1006),$AC$1006:$AS$1006,0)), HYPERLINK("#",""), HYPERLINK(CONCATENATE("#metadata!", ADDRESS(INDEX($X$2:$X$1001,MATCH(ROWS($V$2:V346),$V$2:$V$1001,0),0), INDEX($AC$1004:$AS$1004,1,MATCH(COLUMNS($AC$1006:AL1006),$AC$1006:$AS$1006,0)))),"Fix")))</f>
        <v xml:space="preserve"> </v>
      </c>
      <c r="L346" s="4" t="str">
        <f ca="1">IF(OR(INDEX($W$2:$W$1001,MATCH(ROWS($V$2:V346),$V$2:$V$1001,0),1)&gt;=100000,INDEX($AC$1005:$AS$1005,1,MATCH(COLUMNS($AC$1006:AM1006),$AC$1006:$AS$1006,0))&gt;=100000), " ",IF(INDEX($AC$2:$AS$1001,MATCH(ROWS($V$2:V346),$V$2:$V$1001,0),MATCH(COLUMNS($AC$1006:AM1006),$AC$1006:$AS$1006,0)), HYPERLINK("#",""), HYPERLINK(CONCATENATE("#metadata!", ADDRESS(INDEX($X$2:$X$1001,MATCH(ROWS($V$2:V346),$V$2:$V$1001,0),0), INDEX($AC$1004:$AS$1004,1,MATCH(COLUMNS($AC$1006:AM1006),$AC$1006:$AS$1006,0)))),"Fix")))</f>
        <v xml:space="preserve"> </v>
      </c>
      <c r="M346" s="4" t="str">
        <f ca="1">IF(OR(INDEX($W$2:$W$1001,MATCH(ROWS($V$2:V346),$V$2:$V$1001,0),1)&gt;=100000,INDEX($AC$1005:$AS$1005,1,MATCH(COLUMNS($AC$1006:AN1006),$AC$1006:$AS$1006,0))&gt;=100000), " ",IF(INDEX($AC$2:$AS$1001,MATCH(ROWS($V$2:V346),$V$2:$V$1001,0),MATCH(COLUMNS($AC$1006:AN1006),$AC$1006:$AS$1006,0)), HYPERLINK("#",""), HYPERLINK(CONCATENATE("#metadata!", ADDRESS(INDEX($X$2:$X$1001,MATCH(ROWS($V$2:V346),$V$2:$V$1001,0),0), INDEX($AC$1004:$AS$1004,1,MATCH(COLUMNS($AC$1006:AN1006),$AC$1006:$AS$1006,0)))),"Fix")))</f>
        <v xml:space="preserve"> </v>
      </c>
      <c r="N346" s="4" t="str">
        <f ca="1">IF(OR(INDEX($W$2:$W$1001,MATCH(ROWS($V$2:V346),$V$2:$V$1001,0),1)&gt;=100000,INDEX($AC$1005:$AS$1005,1,MATCH(COLUMNS($AC$1006:AO1006),$AC$1006:$AS$1006,0))&gt;=100000), " ",IF(INDEX($AC$2:$AS$1001,MATCH(ROWS($V$2:V346),$V$2:$V$1001,0),MATCH(COLUMNS($AC$1006:AO1006),$AC$1006:$AS$1006,0)), HYPERLINK("#",""), HYPERLINK(CONCATENATE("#metadata!", ADDRESS(INDEX($X$2:$X$1001,MATCH(ROWS($V$2:V346),$V$2:$V$1001,0),0), INDEX($AC$1004:$AS$1004,1,MATCH(COLUMNS($AC$1006:AO1006),$AC$1006:$AS$1006,0)))),"Fix")))</f>
        <v xml:space="preserve"> </v>
      </c>
      <c r="O346" s="4" t="str">
        <f ca="1">IF(OR(INDEX($W$2:$W$1001,MATCH(ROWS($V$2:V346),$V$2:$V$1001,0),1)&gt;=100000,INDEX($AC$1005:$AS$1005,1,MATCH(COLUMNS($AC$1006:AP1006),$AC$1006:$AS$1006,0))&gt;=100000), " ",IF(INDEX($AC$2:$AS$1001,MATCH(ROWS($V$2:V346),$V$2:$V$1001,0),MATCH(COLUMNS($AC$1006:AP1006),$AC$1006:$AS$1006,0)), HYPERLINK("#",""), HYPERLINK(CONCATENATE("#metadata!", ADDRESS(INDEX($X$2:$X$1001,MATCH(ROWS($V$2:V346),$V$2:$V$1001,0),0), INDEX($AC$1004:$AS$1004,1,MATCH(COLUMNS($AC$1006:AP1006),$AC$1006:$AS$1006,0)))),"Fix")))</f>
        <v xml:space="preserve"> </v>
      </c>
      <c r="P346" s="4" t="str">
        <f ca="1">IF(OR(INDEX($W$2:$W$1001,MATCH(ROWS($V$2:V346),$V$2:$V$1001,0),1)&gt;=100000,INDEX($AC$1005:$AS$1005,1,MATCH(COLUMNS($AC$1006:AQ1006),$AC$1006:$AS$1006,0))&gt;=100000), " ",IF(INDEX($AC$2:$AS$1001,MATCH(ROWS($V$2:V346),$V$2:$V$1001,0),MATCH(COLUMNS($AC$1006:AQ1006),$AC$1006:$AS$1006,0)), HYPERLINK("#",""), HYPERLINK(CONCATENATE("#metadata!", ADDRESS(INDEX($X$2:$X$1001,MATCH(ROWS($V$2:V346),$V$2:$V$1001,0),0), INDEX($AC$1004:$AS$1004,1,MATCH(COLUMNS($AC$1006:AQ1006),$AC$1006:$AS$1006,0)))),"Fix")))</f>
        <v xml:space="preserve"> </v>
      </c>
      <c r="Q346" s="4" t="str">
        <f ca="1">IF(OR(INDEX($W$2:$W$1001,MATCH(ROWS($V$2:V346),$V$2:$V$1001,0),1)&gt;=100000,INDEX($AC$1005:$AS$1005,1,MATCH(COLUMNS($AC$1006:AR1006),$AC$1006:$AS$1006,0))&gt;=100000), " ",IF(INDEX($AC$2:$AS$1001,MATCH(ROWS($V$2:V346),$V$2:$V$1001,0),MATCH(COLUMNS($AC$1006:AR1006),$AC$1006:$AS$1006,0)), HYPERLINK("#",""), HYPERLINK(CONCATENATE("#metadata!", ADDRESS(INDEX($X$2:$X$1001,MATCH(ROWS($V$2:V346),$V$2:$V$1001,0),0), INDEX($AC$1004:$AS$1004,1,MATCH(COLUMNS($AC$1006:AR1006),$AC$1006:$AS$1006,0)))),"Fix")))</f>
        <v xml:space="preserve"> </v>
      </c>
      <c r="R346" s="4" t="str">
        <f ca="1">IF(OR(INDEX($W$2:$W$1001,MATCH(ROWS($V$2:V346),$V$2:$V$1001,0),1)&gt;=100000,INDEX($AC$1005:$AS$1005,1,MATCH(COLUMNS($AC$1006:AS1006),$AC$1006:$AS$1006,0))&gt;=100000), " ",IF(INDEX($AC$2:$AS$1001,MATCH(ROWS($V$2:V346),$V$2:$V$1001,0),MATCH(COLUMNS($AC$1006:AS1006),$AC$1006:$AS$1006,0)), HYPERLINK("#",""), HYPERLINK(CONCATENATE("#metadata!", ADDRESS(INDEX($X$2:$X$1001,MATCH(ROWS($V$2:V346),$V$2:$V$1001,0),0), INDEX($AC$1004:$AS$1004,1,MATCH(COLUMNS($AC$1006:AS1006),$AC$1006:$AS$1006,0)))),"Fix")))</f>
        <v xml:space="preserve"> </v>
      </c>
      <c r="V346">
        <v>345</v>
      </c>
      <c r="W346">
        <v>100346</v>
      </c>
      <c r="X346">
        <v>346</v>
      </c>
      <c r="Y346" t="b">
        <f t="shared" si="5"/>
        <v>1</v>
      </c>
      <c r="Z346" t="b">
        <f>COUNTBLANK(metadata!B346:R346)=COLUMNS(metadata!B346:R346)</f>
        <v>1</v>
      </c>
      <c r="AA346" t="str">
        <v/>
      </c>
      <c r="AC346" t="b">
        <f ca="1"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AD346" t="b">
        <f>IF(metadata!C346="",FALSE,ISNUMBER(VALUE(metadata!C346)))</f>
        <v>0</v>
      </c>
      <c r="AE346" t="b">
        <f>AND(IF(metadata!D346="",FALSE,TRUE),EXACT(metadata!D346,"years"))</f>
        <v>0</v>
      </c>
      <c r="AF346" t="b">
        <f>OR(AND(IF(metadata!E346="",FALSE,TRUE),OR(EXACT(metadata!E346,"not applicable"),EXACT(metadata!E346,"missing: not collected"),EXACT(metadata!E346,"missing: not provided"),EXACT(metadata!E346,"missing: restricted access"))),AND(IF(metadata!E346="",FALSE,ISNUMBER(VALUE(metadata!E346))),metadata!E346&gt;0))</f>
        <v>0</v>
      </c>
      <c r="AG346" t="b">
        <f>AND(IF(metadata!F346="",FALSE,TRUE),EXACT(metadata!F346,"Not applicable"))</f>
        <v>0</v>
      </c>
      <c r="AH346" t="b">
        <f>AND(IF(metadata!G346="",FALSE,TRUE),EXACT(metadata!G346,"urban biome"))</f>
        <v>0</v>
      </c>
      <c r="AI346" t="b">
        <f>AND(IF(metadata!H346="",FALSE,TRUE),EXACT(metadata!H346,"human-associated habitat"))</f>
        <v>0</v>
      </c>
      <c r="AJ346" t="b">
        <f>AND(IF(metadata!I346="",FALSE,TRUE),OR(EXACT(metadata!I346,"human-associated"),EXACT(metadata!I346,"human-skin"),EXACT(metadata!I346,"human-oral"),EXACT(metadata!I346,"human-gut"),EXACT(metadata!I346,"human-vaginal")))</f>
        <v>0</v>
      </c>
      <c r="AK346" t="b">
        <f>IF(metadata!J346="",FALSE,ISNUMBER(VALUE(metadata!J346)))</f>
        <v>0</v>
      </c>
      <c r="AL346" t="b">
        <f>AND(IF(metadata!K346="",FALSE,TRUE),EXACT(metadata!K346,"cm"))</f>
        <v>0</v>
      </c>
      <c r="AM346" t="b">
        <f>AND(IF(metadata!L346="",FALSE,TRUE),EXACT(metadata!L346,"human"))</f>
        <v>0</v>
      </c>
      <c r="AN346" t="b">
        <f>AND(IF(metadata!M346="",FALSE,TRUE),EXACT(metadata!M346,"Homo sapiens"))</f>
        <v>0</v>
      </c>
      <c r="AO346" t="b">
        <f>AND(IF(metadata!N346="",FALSE,TRUE),EXACT(metadata!N346,"9606"))</f>
        <v>0</v>
      </c>
      <c r="AP346" t="b">
        <f>IF(metadata!O346="",FALSE,TRUE)</f>
        <v>0</v>
      </c>
      <c r="AQ346" t="b">
        <f>IF(metadata!P346="",FALSE,TRUE)</f>
        <v>0</v>
      </c>
      <c r="AR346" t="b">
        <f>IF(metadata!Q346="",FALSE,ISNUMBER(VALUE(metadata!Q346)))</f>
        <v>0</v>
      </c>
      <c r="AS346" t="b">
        <f>AND(IF(metadata!R346="",FALSE,TRUE),EXACT(metadata!R346,"kg"))</f>
        <v>0</v>
      </c>
    </row>
    <row r="347" spans="1:45" x14ac:dyDescent="0.2">
      <c r="A347" s="5" t="str">
        <f ca="1">IF(B347=" "," ",HYPERLINK(CONCATENATE("#metadata!",ADDRESS(INDEX($X$2:$X$1001,MATCH(ROWS($V$2:V347),$V$2:$V$1001,0),0),1)),INDEX($AA$2:$AA$1001,MATCH(ROWS($V$2:V347),$V$2:$V$1001,0),0)))</f>
        <v xml:space="preserve"> </v>
      </c>
      <c r="B347" s="4" t="str">
        <f ca="1">IF(OR(INDEX($W$2:$W$1001,MATCH(ROWS($V$2:V347),$V$2:$V$1001,0),1)&gt;=100000,INDEX($AC$1005:$AS$1005,1,MATCH(COLUMNS($AC$1006:AC1006),$AC$1006:$AS$1006,0))&gt;=100000), " ",IF(INDEX($AC$2:$AS$1001,MATCH(ROWS($V$2:V347),$V$2:$V$1001,0),MATCH(COLUMNS($AC$1006:AC1006),$AC$1006:$AS$1006,0)), HYPERLINK("#",""), HYPERLINK(CONCATENATE("#metadata!", ADDRESS(INDEX($X$2:$X$1001,MATCH(ROWS($V$2:V347),$V$2:$V$1001,0),0), INDEX($AC$1004:$AS$1004,1,MATCH(COLUMNS($AC$1006:AC1006),$AC$1006:$AS$1006,0)))),"Fix")))</f>
        <v xml:space="preserve"> </v>
      </c>
      <c r="C347" s="4" t="str">
        <f ca="1">IF(OR(INDEX($W$2:$W$1001,MATCH(ROWS($V$2:V347),$V$2:$V$1001,0),1)&gt;=100000,INDEX($AC$1005:$AS$1005,1,MATCH(COLUMNS($AC$1006:AD1006),$AC$1006:$AS$1006,0))&gt;=100000), " ",IF(INDEX($AC$2:$AS$1001,MATCH(ROWS($V$2:V347),$V$2:$V$1001,0),MATCH(COLUMNS($AC$1006:AD1006),$AC$1006:$AS$1006,0)), HYPERLINK("#",""), HYPERLINK(CONCATENATE("#metadata!", ADDRESS(INDEX($X$2:$X$1001,MATCH(ROWS($V$2:V347),$V$2:$V$1001,0),0), INDEX($AC$1004:$AS$1004,1,MATCH(COLUMNS($AC$1006:AD1006),$AC$1006:$AS$1006,0)))),"Fix")))</f>
        <v xml:space="preserve"> </v>
      </c>
      <c r="D347" s="4" t="str">
        <f ca="1">IF(OR(INDEX($W$2:$W$1001,MATCH(ROWS($V$2:V347),$V$2:$V$1001,0),1)&gt;=100000,INDEX($AC$1005:$AS$1005,1,MATCH(COLUMNS($AC$1006:AE1006),$AC$1006:$AS$1006,0))&gt;=100000), " ",IF(INDEX($AC$2:$AS$1001,MATCH(ROWS($V$2:V347),$V$2:$V$1001,0),MATCH(COLUMNS($AC$1006:AE1006),$AC$1006:$AS$1006,0)), HYPERLINK("#",""), HYPERLINK(CONCATENATE("#metadata!", ADDRESS(INDEX($X$2:$X$1001,MATCH(ROWS($V$2:V347),$V$2:$V$1001,0),0), INDEX($AC$1004:$AS$1004,1,MATCH(COLUMNS($AC$1006:AE1006),$AC$1006:$AS$1006,0)))),"Fix")))</f>
        <v xml:space="preserve"> </v>
      </c>
      <c r="E347" s="4" t="str">
        <f ca="1">IF(OR(INDEX($W$2:$W$1001,MATCH(ROWS($V$2:V347),$V$2:$V$1001,0),1)&gt;=100000,INDEX($AC$1005:$AS$1005,1,MATCH(COLUMNS($AC$1006:AF1006),$AC$1006:$AS$1006,0))&gt;=100000), " ",IF(INDEX($AC$2:$AS$1001,MATCH(ROWS($V$2:V347),$V$2:$V$1001,0),MATCH(COLUMNS($AC$1006:AF1006),$AC$1006:$AS$1006,0)), HYPERLINK("#",""), HYPERLINK(CONCATENATE("#metadata!", ADDRESS(INDEX($X$2:$X$1001,MATCH(ROWS($V$2:V347),$V$2:$V$1001,0),0), INDEX($AC$1004:$AS$1004,1,MATCH(COLUMNS($AC$1006:AF1006),$AC$1006:$AS$1006,0)))),"Fix")))</f>
        <v xml:space="preserve"> </v>
      </c>
      <c r="F347" s="4" t="str">
        <f ca="1">IF(OR(INDEX($W$2:$W$1001,MATCH(ROWS($V$2:V347),$V$2:$V$1001,0),1)&gt;=100000,INDEX($AC$1005:$AS$1005,1,MATCH(COLUMNS($AC$1006:AG1006),$AC$1006:$AS$1006,0))&gt;=100000), " ",IF(INDEX($AC$2:$AS$1001,MATCH(ROWS($V$2:V347),$V$2:$V$1001,0),MATCH(COLUMNS($AC$1006:AG1006),$AC$1006:$AS$1006,0)), HYPERLINK("#",""), HYPERLINK(CONCATENATE("#metadata!", ADDRESS(INDEX($X$2:$X$1001,MATCH(ROWS($V$2:V347),$V$2:$V$1001,0),0), INDEX($AC$1004:$AS$1004,1,MATCH(COLUMNS($AC$1006:AG1006),$AC$1006:$AS$1006,0)))),"Fix")))</f>
        <v xml:space="preserve"> </v>
      </c>
      <c r="G347" s="4" t="str">
        <f ca="1">IF(OR(INDEX($W$2:$W$1001,MATCH(ROWS($V$2:V347),$V$2:$V$1001,0),1)&gt;=100000,INDEX($AC$1005:$AS$1005,1,MATCH(COLUMNS($AC$1006:AH1006),$AC$1006:$AS$1006,0))&gt;=100000), " ",IF(INDEX($AC$2:$AS$1001,MATCH(ROWS($V$2:V347),$V$2:$V$1001,0),MATCH(COLUMNS($AC$1006:AH1006),$AC$1006:$AS$1006,0)), HYPERLINK("#",""), HYPERLINK(CONCATENATE("#metadata!", ADDRESS(INDEX($X$2:$X$1001,MATCH(ROWS($V$2:V347),$V$2:$V$1001,0),0), INDEX($AC$1004:$AS$1004,1,MATCH(COLUMNS($AC$1006:AH1006),$AC$1006:$AS$1006,0)))),"Fix")))</f>
        <v xml:space="preserve"> </v>
      </c>
      <c r="H347" s="4" t="str">
        <f ca="1">IF(OR(INDEX($W$2:$W$1001,MATCH(ROWS($V$2:V347),$V$2:$V$1001,0),1)&gt;=100000,INDEX($AC$1005:$AS$1005,1,MATCH(COLUMNS($AC$1006:AI1006),$AC$1006:$AS$1006,0))&gt;=100000), " ",IF(INDEX($AC$2:$AS$1001,MATCH(ROWS($V$2:V347),$V$2:$V$1001,0),MATCH(COLUMNS($AC$1006:AI1006),$AC$1006:$AS$1006,0)), HYPERLINK("#",""), HYPERLINK(CONCATENATE("#metadata!", ADDRESS(INDEX($X$2:$X$1001,MATCH(ROWS($V$2:V347),$V$2:$V$1001,0),0), INDEX($AC$1004:$AS$1004,1,MATCH(COLUMNS($AC$1006:AI1006),$AC$1006:$AS$1006,0)))),"Fix")))</f>
        <v xml:space="preserve"> </v>
      </c>
      <c r="I347" s="4" t="str">
        <f ca="1">IF(OR(INDEX($W$2:$W$1001,MATCH(ROWS($V$2:V347),$V$2:$V$1001,0),1)&gt;=100000,INDEX($AC$1005:$AS$1005,1,MATCH(COLUMNS($AC$1006:AJ1006),$AC$1006:$AS$1006,0))&gt;=100000), " ",IF(INDEX($AC$2:$AS$1001,MATCH(ROWS($V$2:V347),$V$2:$V$1001,0),MATCH(COLUMNS($AC$1006:AJ1006),$AC$1006:$AS$1006,0)), HYPERLINK("#",""), HYPERLINK(CONCATENATE("#metadata!", ADDRESS(INDEX($X$2:$X$1001,MATCH(ROWS($V$2:V347),$V$2:$V$1001,0),0), INDEX($AC$1004:$AS$1004,1,MATCH(COLUMNS($AC$1006:AJ1006),$AC$1006:$AS$1006,0)))),"Fix")))</f>
        <v xml:space="preserve"> </v>
      </c>
      <c r="J347" s="4" t="str">
        <f ca="1">IF(OR(INDEX($W$2:$W$1001,MATCH(ROWS($V$2:V347),$V$2:$V$1001,0),1)&gt;=100000,INDEX($AC$1005:$AS$1005,1,MATCH(COLUMNS($AC$1006:AK1006),$AC$1006:$AS$1006,0))&gt;=100000), " ",IF(INDEX($AC$2:$AS$1001,MATCH(ROWS($V$2:V347),$V$2:$V$1001,0),MATCH(COLUMNS($AC$1006:AK1006),$AC$1006:$AS$1006,0)), HYPERLINK("#",""), HYPERLINK(CONCATENATE("#metadata!", ADDRESS(INDEX($X$2:$X$1001,MATCH(ROWS($V$2:V347),$V$2:$V$1001,0),0), INDEX($AC$1004:$AS$1004,1,MATCH(COLUMNS($AC$1006:AK1006),$AC$1006:$AS$1006,0)))),"Fix")))</f>
        <v xml:space="preserve"> </v>
      </c>
      <c r="K347" s="4" t="str">
        <f ca="1">IF(OR(INDEX($W$2:$W$1001,MATCH(ROWS($V$2:V347),$V$2:$V$1001,0),1)&gt;=100000,INDEX($AC$1005:$AS$1005,1,MATCH(COLUMNS($AC$1006:AL1006),$AC$1006:$AS$1006,0))&gt;=100000), " ",IF(INDEX($AC$2:$AS$1001,MATCH(ROWS($V$2:V347),$V$2:$V$1001,0),MATCH(COLUMNS($AC$1006:AL1006),$AC$1006:$AS$1006,0)), HYPERLINK("#",""), HYPERLINK(CONCATENATE("#metadata!", ADDRESS(INDEX($X$2:$X$1001,MATCH(ROWS($V$2:V347),$V$2:$V$1001,0),0), INDEX($AC$1004:$AS$1004,1,MATCH(COLUMNS($AC$1006:AL1006),$AC$1006:$AS$1006,0)))),"Fix")))</f>
        <v xml:space="preserve"> </v>
      </c>
      <c r="L347" s="4" t="str">
        <f ca="1">IF(OR(INDEX($W$2:$W$1001,MATCH(ROWS($V$2:V347),$V$2:$V$1001,0),1)&gt;=100000,INDEX($AC$1005:$AS$1005,1,MATCH(COLUMNS($AC$1006:AM1006),$AC$1006:$AS$1006,0))&gt;=100000), " ",IF(INDEX($AC$2:$AS$1001,MATCH(ROWS($V$2:V347),$V$2:$V$1001,0),MATCH(COLUMNS($AC$1006:AM1006),$AC$1006:$AS$1006,0)), HYPERLINK("#",""), HYPERLINK(CONCATENATE("#metadata!", ADDRESS(INDEX($X$2:$X$1001,MATCH(ROWS($V$2:V347),$V$2:$V$1001,0),0), INDEX($AC$1004:$AS$1004,1,MATCH(COLUMNS($AC$1006:AM1006),$AC$1006:$AS$1006,0)))),"Fix")))</f>
        <v xml:space="preserve"> </v>
      </c>
      <c r="M347" s="4" t="str">
        <f ca="1">IF(OR(INDEX($W$2:$W$1001,MATCH(ROWS($V$2:V347),$V$2:$V$1001,0),1)&gt;=100000,INDEX($AC$1005:$AS$1005,1,MATCH(COLUMNS($AC$1006:AN1006),$AC$1006:$AS$1006,0))&gt;=100000), " ",IF(INDEX($AC$2:$AS$1001,MATCH(ROWS($V$2:V347),$V$2:$V$1001,0),MATCH(COLUMNS($AC$1006:AN1006),$AC$1006:$AS$1006,0)), HYPERLINK("#",""), HYPERLINK(CONCATENATE("#metadata!", ADDRESS(INDEX($X$2:$X$1001,MATCH(ROWS($V$2:V347),$V$2:$V$1001,0),0), INDEX($AC$1004:$AS$1004,1,MATCH(COLUMNS($AC$1006:AN1006),$AC$1006:$AS$1006,0)))),"Fix")))</f>
        <v xml:space="preserve"> </v>
      </c>
      <c r="N347" s="4" t="str">
        <f ca="1">IF(OR(INDEX($W$2:$W$1001,MATCH(ROWS($V$2:V347),$V$2:$V$1001,0),1)&gt;=100000,INDEX($AC$1005:$AS$1005,1,MATCH(COLUMNS($AC$1006:AO1006),$AC$1006:$AS$1006,0))&gt;=100000), " ",IF(INDEX($AC$2:$AS$1001,MATCH(ROWS($V$2:V347),$V$2:$V$1001,0),MATCH(COLUMNS($AC$1006:AO1006),$AC$1006:$AS$1006,0)), HYPERLINK("#",""), HYPERLINK(CONCATENATE("#metadata!", ADDRESS(INDEX($X$2:$X$1001,MATCH(ROWS($V$2:V347),$V$2:$V$1001,0),0), INDEX($AC$1004:$AS$1004,1,MATCH(COLUMNS($AC$1006:AO1006),$AC$1006:$AS$1006,0)))),"Fix")))</f>
        <v xml:space="preserve"> </v>
      </c>
      <c r="O347" s="4" t="str">
        <f ca="1">IF(OR(INDEX($W$2:$W$1001,MATCH(ROWS($V$2:V347),$V$2:$V$1001,0),1)&gt;=100000,INDEX($AC$1005:$AS$1005,1,MATCH(COLUMNS($AC$1006:AP1006),$AC$1006:$AS$1006,0))&gt;=100000), " ",IF(INDEX($AC$2:$AS$1001,MATCH(ROWS($V$2:V347),$V$2:$V$1001,0),MATCH(COLUMNS($AC$1006:AP1006),$AC$1006:$AS$1006,0)), HYPERLINK("#",""), HYPERLINK(CONCATENATE("#metadata!", ADDRESS(INDEX($X$2:$X$1001,MATCH(ROWS($V$2:V347),$V$2:$V$1001,0),0), INDEX($AC$1004:$AS$1004,1,MATCH(COLUMNS($AC$1006:AP1006),$AC$1006:$AS$1006,0)))),"Fix")))</f>
        <v xml:space="preserve"> </v>
      </c>
      <c r="P347" s="4" t="str">
        <f ca="1">IF(OR(INDEX($W$2:$W$1001,MATCH(ROWS($V$2:V347),$V$2:$V$1001,0),1)&gt;=100000,INDEX($AC$1005:$AS$1005,1,MATCH(COLUMNS($AC$1006:AQ1006),$AC$1006:$AS$1006,0))&gt;=100000), " ",IF(INDEX($AC$2:$AS$1001,MATCH(ROWS($V$2:V347),$V$2:$V$1001,0),MATCH(COLUMNS($AC$1006:AQ1006),$AC$1006:$AS$1006,0)), HYPERLINK("#",""), HYPERLINK(CONCATENATE("#metadata!", ADDRESS(INDEX($X$2:$X$1001,MATCH(ROWS($V$2:V347),$V$2:$V$1001,0),0), INDEX($AC$1004:$AS$1004,1,MATCH(COLUMNS($AC$1006:AQ1006),$AC$1006:$AS$1006,0)))),"Fix")))</f>
        <v xml:space="preserve"> </v>
      </c>
      <c r="Q347" s="4" t="str">
        <f ca="1">IF(OR(INDEX($W$2:$W$1001,MATCH(ROWS($V$2:V347),$V$2:$V$1001,0),1)&gt;=100000,INDEX($AC$1005:$AS$1005,1,MATCH(COLUMNS($AC$1006:AR1006),$AC$1006:$AS$1006,0))&gt;=100000), " ",IF(INDEX($AC$2:$AS$1001,MATCH(ROWS($V$2:V347),$V$2:$V$1001,0),MATCH(COLUMNS($AC$1006:AR1006),$AC$1006:$AS$1006,0)), HYPERLINK("#",""), HYPERLINK(CONCATENATE("#metadata!", ADDRESS(INDEX($X$2:$X$1001,MATCH(ROWS($V$2:V347),$V$2:$V$1001,0),0), INDEX($AC$1004:$AS$1004,1,MATCH(COLUMNS($AC$1006:AR1006),$AC$1006:$AS$1006,0)))),"Fix")))</f>
        <v xml:space="preserve"> </v>
      </c>
      <c r="R347" s="4" t="str">
        <f ca="1">IF(OR(INDEX($W$2:$W$1001,MATCH(ROWS($V$2:V347),$V$2:$V$1001,0),1)&gt;=100000,INDEX($AC$1005:$AS$1005,1,MATCH(COLUMNS($AC$1006:AS1006),$AC$1006:$AS$1006,0))&gt;=100000), " ",IF(INDEX($AC$2:$AS$1001,MATCH(ROWS($V$2:V347),$V$2:$V$1001,0),MATCH(COLUMNS($AC$1006:AS1006),$AC$1006:$AS$1006,0)), HYPERLINK("#",""), HYPERLINK(CONCATENATE("#metadata!", ADDRESS(INDEX($X$2:$X$1001,MATCH(ROWS($V$2:V347),$V$2:$V$1001,0),0), INDEX($AC$1004:$AS$1004,1,MATCH(COLUMNS($AC$1006:AS1006),$AC$1006:$AS$1006,0)))),"Fix")))</f>
        <v xml:space="preserve"> </v>
      </c>
      <c r="V347">
        <v>346</v>
      </c>
      <c r="W347">
        <v>100347</v>
      </c>
      <c r="X347">
        <v>347</v>
      </c>
      <c r="Y347" t="b">
        <f t="shared" si="5"/>
        <v>1</v>
      </c>
      <c r="Z347" t="b">
        <f>COUNTBLANK(metadata!B347:R347)=COLUMNS(metadata!B347:R347)</f>
        <v>1</v>
      </c>
      <c r="AA347" t="str">
        <v/>
      </c>
      <c r="AC347" t="b">
        <f ca="1"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AD347" t="b">
        <f>IF(metadata!C347="",FALSE,ISNUMBER(VALUE(metadata!C347)))</f>
        <v>0</v>
      </c>
      <c r="AE347" t="b">
        <f>AND(IF(metadata!D347="",FALSE,TRUE),EXACT(metadata!D347,"years"))</f>
        <v>0</v>
      </c>
      <c r="AF347" t="b">
        <f>OR(AND(IF(metadata!E347="",FALSE,TRUE),OR(EXACT(metadata!E347,"not applicable"),EXACT(metadata!E347,"missing: not collected"),EXACT(metadata!E347,"missing: not provided"),EXACT(metadata!E347,"missing: restricted access"))),AND(IF(metadata!E347="",FALSE,ISNUMBER(VALUE(metadata!E347))),metadata!E347&gt;0))</f>
        <v>0</v>
      </c>
      <c r="AG347" t="b">
        <f>AND(IF(metadata!F347="",FALSE,TRUE),EXACT(metadata!F347,"Not applicable"))</f>
        <v>0</v>
      </c>
      <c r="AH347" t="b">
        <f>AND(IF(metadata!G347="",FALSE,TRUE),EXACT(metadata!G347,"urban biome"))</f>
        <v>0</v>
      </c>
      <c r="AI347" t="b">
        <f>AND(IF(metadata!H347="",FALSE,TRUE),EXACT(metadata!H347,"human-associated habitat"))</f>
        <v>0</v>
      </c>
      <c r="AJ347" t="b">
        <f>AND(IF(metadata!I347="",FALSE,TRUE),OR(EXACT(metadata!I347,"human-associated"),EXACT(metadata!I347,"human-skin"),EXACT(metadata!I347,"human-oral"),EXACT(metadata!I347,"human-gut"),EXACT(metadata!I347,"human-vaginal")))</f>
        <v>0</v>
      </c>
      <c r="AK347" t="b">
        <f>IF(metadata!J347="",FALSE,ISNUMBER(VALUE(metadata!J347)))</f>
        <v>0</v>
      </c>
      <c r="AL347" t="b">
        <f>AND(IF(metadata!K347="",FALSE,TRUE),EXACT(metadata!K347,"cm"))</f>
        <v>0</v>
      </c>
      <c r="AM347" t="b">
        <f>AND(IF(metadata!L347="",FALSE,TRUE),EXACT(metadata!L347,"human"))</f>
        <v>0</v>
      </c>
      <c r="AN347" t="b">
        <f>AND(IF(metadata!M347="",FALSE,TRUE),EXACT(metadata!M347,"Homo sapiens"))</f>
        <v>0</v>
      </c>
      <c r="AO347" t="b">
        <f>AND(IF(metadata!N347="",FALSE,TRUE),EXACT(metadata!N347,"9606"))</f>
        <v>0</v>
      </c>
      <c r="AP347" t="b">
        <f>IF(metadata!O347="",FALSE,TRUE)</f>
        <v>0</v>
      </c>
      <c r="AQ347" t="b">
        <f>IF(metadata!P347="",FALSE,TRUE)</f>
        <v>0</v>
      </c>
      <c r="AR347" t="b">
        <f>IF(metadata!Q347="",FALSE,ISNUMBER(VALUE(metadata!Q347)))</f>
        <v>0</v>
      </c>
      <c r="AS347" t="b">
        <f>AND(IF(metadata!R347="",FALSE,TRUE),EXACT(metadata!R347,"kg"))</f>
        <v>0</v>
      </c>
    </row>
    <row r="348" spans="1:45" x14ac:dyDescent="0.2">
      <c r="A348" s="5" t="str">
        <f ca="1">IF(B348=" "," ",HYPERLINK(CONCATENATE("#metadata!",ADDRESS(INDEX($X$2:$X$1001,MATCH(ROWS($V$2:V348),$V$2:$V$1001,0),0),1)),INDEX($AA$2:$AA$1001,MATCH(ROWS($V$2:V348),$V$2:$V$1001,0),0)))</f>
        <v xml:space="preserve"> </v>
      </c>
      <c r="B348" s="4" t="str">
        <f ca="1">IF(OR(INDEX($W$2:$W$1001,MATCH(ROWS($V$2:V348),$V$2:$V$1001,0),1)&gt;=100000,INDEX($AC$1005:$AS$1005,1,MATCH(COLUMNS($AC$1006:AC1006),$AC$1006:$AS$1006,0))&gt;=100000), " ",IF(INDEX($AC$2:$AS$1001,MATCH(ROWS($V$2:V348),$V$2:$V$1001,0),MATCH(COLUMNS($AC$1006:AC1006),$AC$1006:$AS$1006,0)), HYPERLINK("#",""), HYPERLINK(CONCATENATE("#metadata!", ADDRESS(INDEX($X$2:$X$1001,MATCH(ROWS($V$2:V348),$V$2:$V$1001,0),0), INDEX($AC$1004:$AS$1004,1,MATCH(COLUMNS($AC$1006:AC1006),$AC$1006:$AS$1006,0)))),"Fix")))</f>
        <v xml:space="preserve"> </v>
      </c>
      <c r="C348" s="4" t="str">
        <f ca="1">IF(OR(INDEX($W$2:$W$1001,MATCH(ROWS($V$2:V348),$V$2:$V$1001,0),1)&gt;=100000,INDEX($AC$1005:$AS$1005,1,MATCH(COLUMNS($AC$1006:AD1006),$AC$1006:$AS$1006,0))&gt;=100000), " ",IF(INDEX($AC$2:$AS$1001,MATCH(ROWS($V$2:V348),$V$2:$V$1001,0),MATCH(COLUMNS($AC$1006:AD1006),$AC$1006:$AS$1006,0)), HYPERLINK("#",""), HYPERLINK(CONCATENATE("#metadata!", ADDRESS(INDEX($X$2:$X$1001,MATCH(ROWS($V$2:V348),$V$2:$V$1001,0),0), INDEX($AC$1004:$AS$1004,1,MATCH(COLUMNS($AC$1006:AD1006),$AC$1006:$AS$1006,0)))),"Fix")))</f>
        <v xml:space="preserve"> </v>
      </c>
      <c r="D348" s="4" t="str">
        <f ca="1">IF(OR(INDEX($W$2:$W$1001,MATCH(ROWS($V$2:V348),$V$2:$V$1001,0),1)&gt;=100000,INDEX($AC$1005:$AS$1005,1,MATCH(COLUMNS($AC$1006:AE1006),$AC$1006:$AS$1006,0))&gt;=100000), " ",IF(INDEX($AC$2:$AS$1001,MATCH(ROWS($V$2:V348),$V$2:$V$1001,0),MATCH(COLUMNS($AC$1006:AE1006),$AC$1006:$AS$1006,0)), HYPERLINK("#",""), HYPERLINK(CONCATENATE("#metadata!", ADDRESS(INDEX($X$2:$X$1001,MATCH(ROWS($V$2:V348),$V$2:$V$1001,0),0), INDEX($AC$1004:$AS$1004,1,MATCH(COLUMNS($AC$1006:AE1006),$AC$1006:$AS$1006,0)))),"Fix")))</f>
        <v xml:space="preserve"> </v>
      </c>
      <c r="E348" s="4" t="str">
        <f ca="1">IF(OR(INDEX($W$2:$W$1001,MATCH(ROWS($V$2:V348),$V$2:$V$1001,0),1)&gt;=100000,INDEX($AC$1005:$AS$1005,1,MATCH(COLUMNS($AC$1006:AF1006),$AC$1006:$AS$1006,0))&gt;=100000), " ",IF(INDEX($AC$2:$AS$1001,MATCH(ROWS($V$2:V348),$V$2:$V$1001,0),MATCH(COLUMNS($AC$1006:AF1006),$AC$1006:$AS$1006,0)), HYPERLINK("#",""), HYPERLINK(CONCATENATE("#metadata!", ADDRESS(INDEX($X$2:$X$1001,MATCH(ROWS($V$2:V348),$V$2:$V$1001,0),0), INDEX($AC$1004:$AS$1004,1,MATCH(COLUMNS($AC$1006:AF1006),$AC$1006:$AS$1006,0)))),"Fix")))</f>
        <v xml:space="preserve"> </v>
      </c>
      <c r="F348" s="4" t="str">
        <f ca="1">IF(OR(INDEX($W$2:$W$1001,MATCH(ROWS($V$2:V348),$V$2:$V$1001,0),1)&gt;=100000,INDEX($AC$1005:$AS$1005,1,MATCH(COLUMNS($AC$1006:AG1006),$AC$1006:$AS$1006,0))&gt;=100000), " ",IF(INDEX($AC$2:$AS$1001,MATCH(ROWS($V$2:V348),$V$2:$V$1001,0),MATCH(COLUMNS($AC$1006:AG1006),$AC$1006:$AS$1006,0)), HYPERLINK("#",""), HYPERLINK(CONCATENATE("#metadata!", ADDRESS(INDEX($X$2:$X$1001,MATCH(ROWS($V$2:V348),$V$2:$V$1001,0),0), INDEX($AC$1004:$AS$1004,1,MATCH(COLUMNS($AC$1006:AG1006),$AC$1006:$AS$1006,0)))),"Fix")))</f>
        <v xml:space="preserve"> </v>
      </c>
      <c r="G348" s="4" t="str">
        <f ca="1">IF(OR(INDEX($W$2:$W$1001,MATCH(ROWS($V$2:V348),$V$2:$V$1001,0),1)&gt;=100000,INDEX($AC$1005:$AS$1005,1,MATCH(COLUMNS($AC$1006:AH1006),$AC$1006:$AS$1006,0))&gt;=100000), " ",IF(INDEX($AC$2:$AS$1001,MATCH(ROWS($V$2:V348),$V$2:$V$1001,0),MATCH(COLUMNS($AC$1006:AH1006),$AC$1006:$AS$1006,0)), HYPERLINK("#",""), HYPERLINK(CONCATENATE("#metadata!", ADDRESS(INDEX($X$2:$X$1001,MATCH(ROWS($V$2:V348),$V$2:$V$1001,0),0), INDEX($AC$1004:$AS$1004,1,MATCH(COLUMNS($AC$1006:AH1006),$AC$1006:$AS$1006,0)))),"Fix")))</f>
        <v xml:space="preserve"> </v>
      </c>
      <c r="H348" s="4" t="str">
        <f ca="1">IF(OR(INDEX($W$2:$W$1001,MATCH(ROWS($V$2:V348),$V$2:$V$1001,0),1)&gt;=100000,INDEX($AC$1005:$AS$1005,1,MATCH(COLUMNS($AC$1006:AI1006),$AC$1006:$AS$1006,0))&gt;=100000), " ",IF(INDEX($AC$2:$AS$1001,MATCH(ROWS($V$2:V348),$V$2:$V$1001,0),MATCH(COLUMNS($AC$1006:AI1006),$AC$1006:$AS$1006,0)), HYPERLINK("#",""), HYPERLINK(CONCATENATE("#metadata!", ADDRESS(INDEX($X$2:$X$1001,MATCH(ROWS($V$2:V348),$V$2:$V$1001,0),0), INDEX($AC$1004:$AS$1004,1,MATCH(COLUMNS($AC$1006:AI1006),$AC$1006:$AS$1006,0)))),"Fix")))</f>
        <v xml:space="preserve"> </v>
      </c>
      <c r="I348" s="4" t="str">
        <f ca="1">IF(OR(INDEX($W$2:$W$1001,MATCH(ROWS($V$2:V348),$V$2:$V$1001,0),1)&gt;=100000,INDEX($AC$1005:$AS$1005,1,MATCH(COLUMNS($AC$1006:AJ1006),$AC$1006:$AS$1006,0))&gt;=100000), " ",IF(INDEX($AC$2:$AS$1001,MATCH(ROWS($V$2:V348),$V$2:$V$1001,0),MATCH(COLUMNS($AC$1006:AJ1006),$AC$1006:$AS$1006,0)), HYPERLINK("#",""), HYPERLINK(CONCATENATE("#metadata!", ADDRESS(INDEX($X$2:$X$1001,MATCH(ROWS($V$2:V348),$V$2:$V$1001,0),0), INDEX($AC$1004:$AS$1004,1,MATCH(COLUMNS($AC$1006:AJ1006),$AC$1006:$AS$1006,0)))),"Fix")))</f>
        <v xml:space="preserve"> </v>
      </c>
      <c r="J348" s="4" t="str">
        <f ca="1">IF(OR(INDEX($W$2:$W$1001,MATCH(ROWS($V$2:V348),$V$2:$V$1001,0),1)&gt;=100000,INDEX($AC$1005:$AS$1005,1,MATCH(COLUMNS($AC$1006:AK1006),$AC$1006:$AS$1006,0))&gt;=100000), " ",IF(INDEX($AC$2:$AS$1001,MATCH(ROWS($V$2:V348),$V$2:$V$1001,0),MATCH(COLUMNS($AC$1006:AK1006),$AC$1006:$AS$1006,0)), HYPERLINK("#",""), HYPERLINK(CONCATENATE("#metadata!", ADDRESS(INDEX($X$2:$X$1001,MATCH(ROWS($V$2:V348),$V$2:$V$1001,0),0), INDEX($AC$1004:$AS$1004,1,MATCH(COLUMNS($AC$1006:AK1006),$AC$1006:$AS$1006,0)))),"Fix")))</f>
        <v xml:space="preserve"> </v>
      </c>
      <c r="K348" s="4" t="str">
        <f ca="1">IF(OR(INDEX($W$2:$W$1001,MATCH(ROWS($V$2:V348),$V$2:$V$1001,0),1)&gt;=100000,INDEX($AC$1005:$AS$1005,1,MATCH(COLUMNS($AC$1006:AL1006),$AC$1006:$AS$1006,0))&gt;=100000), " ",IF(INDEX($AC$2:$AS$1001,MATCH(ROWS($V$2:V348),$V$2:$V$1001,0),MATCH(COLUMNS($AC$1006:AL1006),$AC$1006:$AS$1006,0)), HYPERLINK("#",""), HYPERLINK(CONCATENATE("#metadata!", ADDRESS(INDEX($X$2:$X$1001,MATCH(ROWS($V$2:V348),$V$2:$V$1001,0),0), INDEX($AC$1004:$AS$1004,1,MATCH(COLUMNS($AC$1006:AL1006),$AC$1006:$AS$1006,0)))),"Fix")))</f>
        <v xml:space="preserve"> </v>
      </c>
      <c r="L348" s="4" t="str">
        <f ca="1">IF(OR(INDEX($W$2:$W$1001,MATCH(ROWS($V$2:V348),$V$2:$V$1001,0),1)&gt;=100000,INDEX($AC$1005:$AS$1005,1,MATCH(COLUMNS($AC$1006:AM1006),$AC$1006:$AS$1006,0))&gt;=100000), " ",IF(INDEX($AC$2:$AS$1001,MATCH(ROWS($V$2:V348),$V$2:$V$1001,0),MATCH(COLUMNS($AC$1006:AM1006),$AC$1006:$AS$1006,0)), HYPERLINK("#",""), HYPERLINK(CONCATENATE("#metadata!", ADDRESS(INDEX($X$2:$X$1001,MATCH(ROWS($V$2:V348),$V$2:$V$1001,0),0), INDEX($AC$1004:$AS$1004,1,MATCH(COLUMNS($AC$1006:AM1006),$AC$1006:$AS$1006,0)))),"Fix")))</f>
        <v xml:space="preserve"> </v>
      </c>
      <c r="M348" s="4" t="str">
        <f ca="1">IF(OR(INDEX($W$2:$W$1001,MATCH(ROWS($V$2:V348),$V$2:$V$1001,0),1)&gt;=100000,INDEX($AC$1005:$AS$1005,1,MATCH(COLUMNS($AC$1006:AN1006),$AC$1006:$AS$1006,0))&gt;=100000), " ",IF(INDEX($AC$2:$AS$1001,MATCH(ROWS($V$2:V348),$V$2:$V$1001,0),MATCH(COLUMNS($AC$1006:AN1006),$AC$1006:$AS$1006,0)), HYPERLINK("#",""), HYPERLINK(CONCATENATE("#metadata!", ADDRESS(INDEX($X$2:$X$1001,MATCH(ROWS($V$2:V348),$V$2:$V$1001,0),0), INDEX($AC$1004:$AS$1004,1,MATCH(COLUMNS($AC$1006:AN1006),$AC$1006:$AS$1006,0)))),"Fix")))</f>
        <v xml:space="preserve"> </v>
      </c>
      <c r="N348" s="4" t="str">
        <f ca="1">IF(OR(INDEX($W$2:$W$1001,MATCH(ROWS($V$2:V348),$V$2:$V$1001,0),1)&gt;=100000,INDEX($AC$1005:$AS$1005,1,MATCH(COLUMNS($AC$1006:AO1006),$AC$1006:$AS$1006,0))&gt;=100000), " ",IF(INDEX($AC$2:$AS$1001,MATCH(ROWS($V$2:V348),$V$2:$V$1001,0),MATCH(COLUMNS($AC$1006:AO1006),$AC$1006:$AS$1006,0)), HYPERLINK("#",""), HYPERLINK(CONCATENATE("#metadata!", ADDRESS(INDEX($X$2:$X$1001,MATCH(ROWS($V$2:V348),$V$2:$V$1001,0),0), INDEX($AC$1004:$AS$1004,1,MATCH(COLUMNS($AC$1006:AO1006),$AC$1006:$AS$1006,0)))),"Fix")))</f>
        <v xml:space="preserve"> </v>
      </c>
      <c r="O348" s="4" t="str">
        <f ca="1">IF(OR(INDEX($W$2:$W$1001,MATCH(ROWS($V$2:V348),$V$2:$V$1001,0),1)&gt;=100000,INDEX($AC$1005:$AS$1005,1,MATCH(COLUMNS($AC$1006:AP1006),$AC$1006:$AS$1006,0))&gt;=100000), " ",IF(INDEX($AC$2:$AS$1001,MATCH(ROWS($V$2:V348),$V$2:$V$1001,0),MATCH(COLUMNS($AC$1006:AP1006),$AC$1006:$AS$1006,0)), HYPERLINK("#",""), HYPERLINK(CONCATENATE("#metadata!", ADDRESS(INDEX($X$2:$X$1001,MATCH(ROWS($V$2:V348),$V$2:$V$1001,0),0), INDEX($AC$1004:$AS$1004,1,MATCH(COLUMNS($AC$1006:AP1006),$AC$1006:$AS$1006,0)))),"Fix")))</f>
        <v xml:space="preserve"> </v>
      </c>
      <c r="P348" s="4" t="str">
        <f ca="1">IF(OR(INDEX($W$2:$W$1001,MATCH(ROWS($V$2:V348),$V$2:$V$1001,0),1)&gt;=100000,INDEX($AC$1005:$AS$1005,1,MATCH(COLUMNS($AC$1006:AQ1006),$AC$1006:$AS$1006,0))&gt;=100000), " ",IF(INDEX($AC$2:$AS$1001,MATCH(ROWS($V$2:V348),$V$2:$V$1001,0),MATCH(COLUMNS($AC$1006:AQ1006),$AC$1006:$AS$1006,0)), HYPERLINK("#",""), HYPERLINK(CONCATENATE("#metadata!", ADDRESS(INDEX($X$2:$X$1001,MATCH(ROWS($V$2:V348),$V$2:$V$1001,0),0), INDEX($AC$1004:$AS$1004,1,MATCH(COLUMNS($AC$1006:AQ1006),$AC$1006:$AS$1006,0)))),"Fix")))</f>
        <v xml:space="preserve"> </v>
      </c>
      <c r="Q348" s="4" t="str">
        <f ca="1">IF(OR(INDEX($W$2:$W$1001,MATCH(ROWS($V$2:V348),$V$2:$V$1001,0),1)&gt;=100000,INDEX($AC$1005:$AS$1005,1,MATCH(COLUMNS($AC$1006:AR1006),$AC$1006:$AS$1006,0))&gt;=100000), " ",IF(INDEX($AC$2:$AS$1001,MATCH(ROWS($V$2:V348),$V$2:$V$1001,0),MATCH(COLUMNS($AC$1006:AR1006),$AC$1006:$AS$1006,0)), HYPERLINK("#",""), HYPERLINK(CONCATENATE("#metadata!", ADDRESS(INDEX($X$2:$X$1001,MATCH(ROWS($V$2:V348),$V$2:$V$1001,0),0), INDEX($AC$1004:$AS$1004,1,MATCH(COLUMNS($AC$1006:AR1006),$AC$1006:$AS$1006,0)))),"Fix")))</f>
        <v xml:space="preserve"> </v>
      </c>
      <c r="R348" s="4" t="str">
        <f ca="1">IF(OR(INDEX($W$2:$W$1001,MATCH(ROWS($V$2:V348),$V$2:$V$1001,0),1)&gt;=100000,INDEX($AC$1005:$AS$1005,1,MATCH(COLUMNS($AC$1006:AS1006),$AC$1006:$AS$1006,0))&gt;=100000), " ",IF(INDEX($AC$2:$AS$1001,MATCH(ROWS($V$2:V348),$V$2:$V$1001,0),MATCH(COLUMNS($AC$1006:AS1006),$AC$1006:$AS$1006,0)), HYPERLINK("#",""), HYPERLINK(CONCATENATE("#metadata!", ADDRESS(INDEX($X$2:$X$1001,MATCH(ROWS($V$2:V348),$V$2:$V$1001,0),0), INDEX($AC$1004:$AS$1004,1,MATCH(COLUMNS($AC$1006:AS1006),$AC$1006:$AS$1006,0)))),"Fix")))</f>
        <v xml:space="preserve"> </v>
      </c>
      <c r="V348">
        <v>347</v>
      </c>
      <c r="W348">
        <v>100348</v>
      </c>
      <c r="X348">
        <v>348</v>
      </c>
      <c r="Y348" t="b">
        <f t="shared" si="5"/>
        <v>1</v>
      </c>
      <c r="Z348" t="b">
        <f>COUNTBLANK(metadata!B348:R348)=COLUMNS(metadata!B348:R348)</f>
        <v>1</v>
      </c>
      <c r="AA348" t="str">
        <v/>
      </c>
      <c r="AC348" t="b">
        <f ca="1"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AD348" t="b">
        <f>IF(metadata!C348="",FALSE,ISNUMBER(VALUE(metadata!C348)))</f>
        <v>0</v>
      </c>
      <c r="AE348" t="b">
        <f>AND(IF(metadata!D348="",FALSE,TRUE),EXACT(metadata!D348,"years"))</f>
        <v>0</v>
      </c>
      <c r="AF348" t="b">
        <f>OR(AND(IF(metadata!E348="",FALSE,TRUE),OR(EXACT(metadata!E348,"not applicable"),EXACT(metadata!E348,"missing: not collected"),EXACT(metadata!E348,"missing: not provided"),EXACT(metadata!E348,"missing: restricted access"))),AND(IF(metadata!E348="",FALSE,ISNUMBER(VALUE(metadata!E348))),metadata!E348&gt;0))</f>
        <v>0</v>
      </c>
      <c r="AG348" t="b">
        <f>AND(IF(metadata!F348="",FALSE,TRUE),EXACT(metadata!F348,"Not applicable"))</f>
        <v>0</v>
      </c>
      <c r="AH348" t="b">
        <f>AND(IF(metadata!G348="",FALSE,TRUE),EXACT(metadata!G348,"urban biome"))</f>
        <v>0</v>
      </c>
      <c r="AI348" t="b">
        <f>AND(IF(metadata!H348="",FALSE,TRUE),EXACT(metadata!H348,"human-associated habitat"))</f>
        <v>0</v>
      </c>
      <c r="AJ348" t="b">
        <f>AND(IF(metadata!I348="",FALSE,TRUE),OR(EXACT(metadata!I348,"human-associated"),EXACT(metadata!I348,"human-skin"),EXACT(metadata!I348,"human-oral"),EXACT(metadata!I348,"human-gut"),EXACT(metadata!I348,"human-vaginal")))</f>
        <v>0</v>
      </c>
      <c r="AK348" t="b">
        <f>IF(metadata!J348="",FALSE,ISNUMBER(VALUE(metadata!J348)))</f>
        <v>0</v>
      </c>
      <c r="AL348" t="b">
        <f>AND(IF(metadata!K348="",FALSE,TRUE),EXACT(metadata!K348,"cm"))</f>
        <v>0</v>
      </c>
      <c r="AM348" t="b">
        <f>AND(IF(metadata!L348="",FALSE,TRUE),EXACT(metadata!L348,"human"))</f>
        <v>0</v>
      </c>
      <c r="AN348" t="b">
        <f>AND(IF(metadata!M348="",FALSE,TRUE),EXACT(metadata!M348,"Homo sapiens"))</f>
        <v>0</v>
      </c>
      <c r="AO348" t="b">
        <f>AND(IF(metadata!N348="",FALSE,TRUE),EXACT(metadata!N348,"9606"))</f>
        <v>0</v>
      </c>
      <c r="AP348" t="b">
        <f>IF(metadata!O348="",FALSE,TRUE)</f>
        <v>0</v>
      </c>
      <c r="AQ348" t="b">
        <f>IF(metadata!P348="",FALSE,TRUE)</f>
        <v>0</v>
      </c>
      <c r="AR348" t="b">
        <f>IF(metadata!Q348="",FALSE,ISNUMBER(VALUE(metadata!Q348)))</f>
        <v>0</v>
      </c>
      <c r="AS348" t="b">
        <f>AND(IF(metadata!R348="",FALSE,TRUE),EXACT(metadata!R348,"kg"))</f>
        <v>0</v>
      </c>
    </row>
    <row r="349" spans="1:45" x14ac:dyDescent="0.2">
      <c r="A349" s="5" t="str">
        <f ca="1">IF(B349=" "," ",HYPERLINK(CONCATENATE("#metadata!",ADDRESS(INDEX($X$2:$X$1001,MATCH(ROWS($V$2:V349),$V$2:$V$1001,0),0),1)),INDEX($AA$2:$AA$1001,MATCH(ROWS($V$2:V349),$V$2:$V$1001,0),0)))</f>
        <v xml:space="preserve"> </v>
      </c>
      <c r="B349" s="4" t="str">
        <f ca="1">IF(OR(INDEX($W$2:$W$1001,MATCH(ROWS($V$2:V349),$V$2:$V$1001,0),1)&gt;=100000,INDEX($AC$1005:$AS$1005,1,MATCH(COLUMNS($AC$1006:AC1006),$AC$1006:$AS$1006,0))&gt;=100000), " ",IF(INDEX($AC$2:$AS$1001,MATCH(ROWS($V$2:V349),$V$2:$V$1001,0),MATCH(COLUMNS($AC$1006:AC1006),$AC$1006:$AS$1006,0)), HYPERLINK("#",""), HYPERLINK(CONCATENATE("#metadata!", ADDRESS(INDEX($X$2:$X$1001,MATCH(ROWS($V$2:V349),$V$2:$V$1001,0),0), INDEX($AC$1004:$AS$1004,1,MATCH(COLUMNS($AC$1006:AC1006),$AC$1006:$AS$1006,0)))),"Fix")))</f>
        <v xml:space="preserve"> </v>
      </c>
      <c r="C349" s="4" t="str">
        <f ca="1">IF(OR(INDEX($W$2:$W$1001,MATCH(ROWS($V$2:V349),$V$2:$V$1001,0),1)&gt;=100000,INDEX($AC$1005:$AS$1005,1,MATCH(COLUMNS($AC$1006:AD1006),$AC$1006:$AS$1006,0))&gt;=100000), " ",IF(INDEX($AC$2:$AS$1001,MATCH(ROWS($V$2:V349),$V$2:$V$1001,0),MATCH(COLUMNS($AC$1006:AD1006),$AC$1006:$AS$1006,0)), HYPERLINK("#",""), HYPERLINK(CONCATENATE("#metadata!", ADDRESS(INDEX($X$2:$X$1001,MATCH(ROWS($V$2:V349),$V$2:$V$1001,0),0), INDEX($AC$1004:$AS$1004,1,MATCH(COLUMNS($AC$1006:AD1006),$AC$1006:$AS$1006,0)))),"Fix")))</f>
        <v xml:space="preserve"> </v>
      </c>
      <c r="D349" s="4" t="str">
        <f ca="1">IF(OR(INDEX($W$2:$W$1001,MATCH(ROWS($V$2:V349),$V$2:$V$1001,0),1)&gt;=100000,INDEX($AC$1005:$AS$1005,1,MATCH(COLUMNS($AC$1006:AE1006),$AC$1006:$AS$1006,0))&gt;=100000), " ",IF(INDEX($AC$2:$AS$1001,MATCH(ROWS($V$2:V349),$V$2:$V$1001,0),MATCH(COLUMNS($AC$1006:AE1006),$AC$1006:$AS$1006,0)), HYPERLINK("#",""), HYPERLINK(CONCATENATE("#metadata!", ADDRESS(INDEX($X$2:$X$1001,MATCH(ROWS($V$2:V349),$V$2:$V$1001,0),0), INDEX($AC$1004:$AS$1004,1,MATCH(COLUMNS($AC$1006:AE1006),$AC$1006:$AS$1006,0)))),"Fix")))</f>
        <v xml:space="preserve"> </v>
      </c>
      <c r="E349" s="4" t="str">
        <f ca="1">IF(OR(INDEX($W$2:$W$1001,MATCH(ROWS($V$2:V349),$V$2:$V$1001,0),1)&gt;=100000,INDEX($AC$1005:$AS$1005,1,MATCH(COLUMNS($AC$1006:AF1006),$AC$1006:$AS$1006,0))&gt;=100000), " ",IF(INDEX($AC$2:$AS$1001,MATCH(ROWS($V$2:V349),$V$2:$V$1001,0),MATCH(COLUMNS($AC$1006:AF1006),$AC$1006:$AS$1006,0)), HYPERLINK("#",""), HYPERLINK(CONCATENATE("#metadata!", ADDRESS(INDEX($X$2:$X$1001,MATCH(ROWS($V$2:V349),$V$2:$V$1001,0),0), INDEX($AC$1004:$AS$1004,1,MATCH(COLUMNS($AC$1006:AF1006),$AC$1006:$AS$1006,0)))),"Fix")))</f>
        <v xml:space="preserve"> </v>
      </c>
      <c r="F349" s="4" t="str">
        <f ca="1">IF(OR(INDEX($W$2:$W$1001,MATCH(ROWS($V$2:V349),$V$2:$V$1001,0),1)&gt;=100000,INDEX($AC$1005:$AS$1005,1,MATCH(COLUMNS($AC$1006:AG1006),$AC$1006:$AS$1006,0))&gt;=100000), " ",IF(INDEX($AC$2:$AS$1001,MATCH(ROWS($V$2:V349),$V$2:$V$1001,0),MATCH(COLUMNS($AC$1006:AG1006),$AC$1006:$AS$1006,0)), HYPERLINK("#",""), HYPERLINK(CONCATENATE("#metadata!", ADDRESS(INDEX($X$2:$X$1001,MATCH(ROWS($V$2:V349),$V$2:$V$1001,0),0), INDEX($AC$1004:$AS$1004,1,MATCH(COLUMNS($AC$1006:AG1006),$AC$1006:$AS$1006,0)))),"Fix")))</f>
        <v xml:space="preserve"> </v>
      </c>
      <c r="G349" s="4" t="str">
        <f ca="1">IF(OR(INDEX($W$2:$W$1001,MATCH(ROWS($V$2:V349),$V$2:$V$1001,0),1)&gt;=100000,INDEX($AC$1005:$AS$1005,1,MATCH(COLUMNS($AC$1006:AH1006),$AC$1006:$AS$1006,0))&gt;=100000), " ",IF(INDEX($AC$2:$AS$1001,MATCH(ROWS($V$2:V349),$V$2:$V$1001,0),MATCH(COLUMNS($AC$1006:AH1006),$AC$1006:$AS$1006,0)), HYPERLINK("#",""), HYPERLINK(CONCATENATE("#metadata!", ADDRESS(INDEX($X$2:$X$1001,MATCH(ROWS($V$2:V349),$V$2:$V$1001,0),0), INDEX($AC$1004:$AS$1004,1,MATCH(COLUMNS($AC$1006:AH1006),$AC$1006:$AS$1006,0)))),"Fix")))</f>
        <v xml:space="preserve"> </v>
      </c>
      <c r="H349" s="4" t="str">
        <f ca="1">IF(OR(INDEX($W$2:$W$1001,MATCH(ROWS($V$2:V349),$V$2:$V$1001,0),1)&gt;=100000,INDEX($AC$1005:$AS$1005,1,MATCH(COLUMNS($AC$1006:AI1006),$AC$1006:$AS$1006,0))&gt;=100000), " ",IF(INDEX($AC$2:$AS$1001,MATCH(ROWS($V$2:V349),$V$2:$V$1001,0),MATCH(COLUMNS($AC$1006:AI1006),$AC$1006:$AS$1006,0)), HYPERLINK("#",""), HYPERLINK(CONCATENATE("#metadata!", ADDRESS(INDEX($X$2:$X$1001,MATCH(ROWS($V$2:V349),$V$2:$V$1001,0),0), INDEX($AC$1004:$AS$1004,1,MATCH(COLUMNS($AC$1006:AI1006),$AC$1006:$AS$1006,0)))),"Fix")))</f>
        <v xml:space="preserve"> </v>
      </c>
      <c r="I349" s="4" t="str">
        <f ca="1">IF(OR(INDEX($W$2:$W$1001,MATCH(ROWS($V$2:V349),$V$2:$V$1001,0),1)&gt;=100000,INDEX($AC$1005:$AS$1005,1,MATCH(COLUMNS($AC$1006:AJ1006),$AC$1006:$AS$1006,0))&gt;=100000), " ",IF(INDEX($AC$2:$AS$1001,MATCH(ROWS($V$2:V349),$V$2:$V$1001,0),MATCH(COLUMNS($AC$1006:AJ1006),$AC$1006:$AS$1006,0)), HYPERLINK("#",""), HYPERLINK(CONCATENATE("#metadata!", ADDRESS(INDEX($X$2:$X$1001,MATCH(ROWS($V$2:V349),$V$2:$V$1001,0),0), INDEX($AC$1004:$AS$1004,1,MATCH(COLUMNS($AC$1006:AJ1006),$AC$1006:$AS$1006,0)))),"Fix")))</f>
        <v xml:space="preserve"> </v>
      </c>
      <c r="J349" s="4" t="str">
        <f ca="1">IF(OR(INDEX($W$2:$W$1001,MATCH(ROWS($V$2:V349),$V$2:$V$1001,0),1)&gt;=100000,INDEX($AC$1005:$AS$1005,1,MATCH(COLUMNS($AC$1006:AK1006),$AC$1006:$AS$1006,0))&gt;=100000), " ",IF(INDEX($AC$2:$AS$1001,MATCH(ROWS($V$2:V349),$V$2:$V$1001,0),MATCH(COLUMNS($AC$1006:AK1006),$AC$1006:$AS$1006,0)), HYPERLINK("#",""), HYPERLINK(CONCATENATE("#metadata!", ADDRESS(INDEX($X$2:$X$1001,MATCH(ROWS($V$2:V349),$V$2:$V$1001,0),0), INDEX($AC$1004:$AS$1004,1,MATCH(COLUMNS($AC$1006:AK1006),$AC$1006:$AS$1006,0)))),"Fix")))</f>
        <v xml:space="preserve"> </v>
      </c>
      <c r="K349" s="4" t="str">
        <f ca="1">IF(OR(INDEX($W$2:$W$1001,MATCH(ROWS($V$2:V349),$V$2:$V$1001,0),1)&gt;=100000,INDEX($AC$1005:$AS$1005,1,MATCH(COLUMNS($AC$1006:AL1006),$AC$1006:$AS$1006,0))&gt;=100000), " ",IF(INDEX($AC$2:$AS$1001,MATCH(ROWS($V$2:V349),$V$2:$V$1001,0),MATCH(COLUMNS($AC$1006:AL1006),$AC$1006:$AS$1006,0)), HYPERLINK("#",""), HYPERLINK(CONCATENATE("#metadata!", ADDRESS(INDEX($X$2:$X$1001,MATCH(ROWS($V$2:V349),$V$2:$V$1001,0),0), INDEX($AC$1004:$AS$1004,1,MATCH(COLUMNS($AC$1006:AL1006),$AC$1006:$AS$1006,0)))),"Fix")))</f>
        <v xml:space="preserve"> </v>
      </c>
      <c r="L349" s="4" t="str">
        <f ca="1">IF(OR(INDEX($W$2:$W$1001,MATCH(ROWS($V$2:V349),$V$2:$V$1001,0),1)&gt;=100000,INDEX($AC$1005:$AS$1005,1,MATCH(COLUMNS($AC$1006:AM1006),$AC$1006:$AS$1006,0))&gt;=100000), " ",IF(INDEX($AC$2:$AS$1001,MATCH(ROWS($V$2:V349),$V$2:$V$1001,0),MATCH(COLUMNS($AC$1006:AM1006),$AC$1006:$AS$1006,0)), HYPERLINK("#",""), HYPERLINK(CONCATENATE("#metadata!", ADDRESS(INDEX($X$2:$X$1001,MATCH(ROWS($V$2:V349),$V$2:$V$1001,0),0), INDEX($AC$1004:$AS$1004,1,MATCH(COLUMNS($AC$1006:AM1006),$AC$1006:$AS$1006,0)))),"Fix")))</f>
        <v xml:space="preserve"> </v>
      </c>
      <c r="M349" s="4" t="str">
        <f ca="1">IF(OR(INDEX($W$2:$W$1001,MATCH(ROWS($V$2:V349),$V$2:$V$1001,0),1)&gt;=100000,INDEX($AC$1005:$AS$1005,1,MATCH(COLUMNS($AC$1006:AN1006),$AC$1006:$AS$1006,0))&gt;=100000), " ",IF(INDEX($AC$2:$AS$1001,MATCH(ROWS($V$2:V349),$V$2:$V$1001,0),MATCH(COLUMNS($AC$1006:AN1006),$AC$1006:$AS$1006,0)), HYPERLINK("#",""), HYPERLINK(CONCATENATE("#metadata!", ADDRESS(INDEX($X$2:$X$1001,MATCH(ROWS($V$2:V349),$V$2:$V$1001,0),0), INDEX($AC$1004:$AS$1004,1,MATCH(COLUMNS($AC$1006:AN1006),$AC$1006:$AS$1006,0)))),"Fix")))</f>
        <v xml:space="preserve"> </v>
      </c>
      <c r="N349" s="4" t="str">
        <f ca="1">IF(OR(INDEX($W$2:$W$1001,MATCH(ROWS($V$2:V349),$V$2:$V$1001,0),1)&gt;=100000,INDEX($AC$1005:$AS$1005,1,MATCH(COLUMNS($AC$1006:AO1006),$AC$1006:$AS$1006,0))&gt;=100000), " ",IF(INDEX($AC$2:$AS$1001,MATCH(ROWS($V$2:V349),$V$2:$V$1001,0),MATCH(COLUMNS($AC$1006:AO1006),$AC$1006:$AS$1006,0)), HYPERLINK("#",""), HYPERLINK(CONCATENATE("#metadata!", ADDRESS(INDEX($X$2:$X$1001,MATCH(ROWS($V$2:V349),$V$2:$V$1001,0),0), INDEX($AC$1004:$AS$1004,1,MATCH(COLUMNS($AC$1006:AO1006),$AC$1006:$AS$1006,0)))),"Fix")))</f>
        <v xml:space="preserve"> </v>
      </c>
      <c r="O349" s="4" t="str">
        <f ca="1">IF(OR(INDEX($W$2:$W$1001,MATCH(ROWS($V$2:V349),$V$2:$V$1001,0),1)&gt;=100000,INDEX($AC$1005:$AS$1005,1,MATCH(COLUMNS($AC$1006:AP1006),$AC$1006:$AS$1006,0))&gt;=100000), " ",IF(INDEX($AC$2:$AS$1001,MATCH(ROWS($V$2:V349),$V$2:$V$1001,0),MATCH(COLUMNS($AC$1006:AP1006),$AC$1006:$AS$1006,0)), HYPERLINK("#",""), HYPERLINK(CONCATENATE("#metadata!", ADDRESS(INDEX($X$2:$X$1001,MATCH(ROWS($V$2:V349),$V$2:$V$1001,0),0), INDEX($AC$1004:$AS$1004,1,MATCH(COLUMNS($AC$1006:AP1006),$AC$1006:$AS$1006,0)))),"Fix")))</f>
        <v xml:space="preserve"> </v>
      </c>
      <c r="P349" s="4" t="str">
        <f ca="1">IF(OR(INDEX($W$2:$W$1001,MATCH(ROWS($V$2:V349),$V$2:$V$1001,0),1)&gt;=100000,INDEX($AC$1005:$AS$1005,1,MATCH(COLUMNS($AC$1006:AQ1006),$AC$1006:$AS$1006,0))&gt;=100000), " ",IF(INDEX($AC$2:$AS$1001,MATCH(ROWS($V$2:V349),$V$2:$V$1001,0),MATCH(COLUMNS($AC$1006:AQ1006),$AC$1006:$AS$1006,0)), HYPERLINK("#",""), HYPERLINK(CONCATENATE("#metadata!", ADDRESS(INDEX($X$2:$X$1001,MATCH(ROWS($V$2:V349),$V$2:$V$1001,0),0), INDEX($AC$1004:$AS$1004,1,MATCH(COLUMNS($AC$1006:AQ1006),$AC$1006:$AS$1006,0)))),"Fix")))</f>
        <v xml:space="preserve"> </v>
      </c>
      <c r="Q349" s="4" t="str">
        <f ca="1">IF(OR(INDEX($W$2:$W$1001,MATCH(ROWS($V$2:V349),$V$2:$V$1001,0),1)&gt;=100000,INDEX($AC$1005:$AS$1005,1,MATCH(COLUMNS($AC$1006:AR1006),$AC$1006:$AS$1006,0))&gt;=100000), " ",IF(INDEX($AC$2:$AS$1001,MATCH(ROWS($V$2:V349),$V$2:$V$1001,0),MATCH(COLUMNS($AC$1006:AR1006),$AC$1006:$AS$1006,0)), HYPERLINK("#",""), HYPERLINK(CONCATENATE("#metadata!", ADDRESS(INDEX($X$2:$X$1001,MATCH(ROWS($V$2:V349),$V$2:$V$1001,0),0), INDEX($AC$1004:$AS$1004,1,MATCH(COLUMNS($AC$1006:AR1006),$AC$1006:$AS$1006,0)))),"Fix")))</f>
        <v xml:space="preserve"> </v>
      </c>
      <c r="R349" s="4" t="str">
        <f ca="1">IF(OR(INDEX($W$2:$W$1001,MATCH(ROWS($V$2:V349),$V$2:$V$1001,0),1)&gt;=100000,INDEX($AC$1005:$AS$1005,1,MATCH(COLUMNS($AC$1006:AS1006),$AC$1006:$AS$1006,0))&gt;=100000), " ",IF(INDEX($AC$2:$AS$1001,MATCH(ROWS($V$2:V349),$V$2:$V$1001,0),MATCH(COLUMNS($AC$1006:AS1006),$AC$1006:$AS$1006,0)), HYPERLINK("#",""), HYPERLINK(CONCATENATE("#metadata!", ADDRESS(INDEX($X$2:$X$1001,MATCH(ROWS($V$2:V349),$V$2:$V$1001,0),0), INDEX($AC$1004:$AS$1004,1,MATCH(COLUMNS($AC$1006:AS1006),$AC$1006:$AS$1006,0)))),"Fix")))</f>
        <v xml:space="preserve"> </v>
      </c>
      <c r="V349">
        <v>348</v>
      </c>
      <c r="W349">
        <v>100349</v>
      </c>
      <c r="X349">
        <v>349</v>
      </c>
      <c r="Y349" t="b">
        <f t="shared" si="5"/>
        <v>1</v>
      </c>
      <c r="Z349" t="b">
        <f>COUNTBLANK(metadata!B349:R349)=COLUMNS(metadata!B349:R349)</f>
        <v>1</v>
      </c>
      <c r="AA349" t="str">
        <v/>
      </c>
      <c r="AC349" t="b">
        <f ca="1"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AD349" t="b">
        <f>IF(metadata!C349="",FALSE,ISNUMBER(VALUE(metadata!C349)))</f>
        <v>0</v>
      </c>
      <c r="AE349" t="b">
        <f>AND(IF(metadata!D349="",FALSE,TRUE),EXACT(metadata!D349,"years"))</f>
        <v>0</v>
      </c>
      <c r="AF349" t="b">
        <f>OR(AND(IF(metadata!E349="",FALSE,TRUE),OR(EXACT(metadata!E349,"not applicable"),EXACT(metadata!E349,"missing: not collected"),EXACT(metadata!E349,"missing: not provided"),EXACT(metadata!E349,"missing: restricted access"))),AND(IF(metadata!E349="",FALSE,ISNUMBER(VALUE(metadata!E349))),metadata!E349&gt;0))</f>
        <v>0</v>
      </c>
      <c r="AG349" t="b">
        <f>AND(IF(metadata!F349="",FALSE,TRUE),EXACT(metadata!F349,"Not applicable"))</f>
        <v>0</v>
      </c>
      <c r="AH349" t="b">
        <f>AND(IF(metadata!G349="",FALSE,TRUE),EXACT(metadata!G349,"urban biome"))</f>
        <v>0</v>
      </c>
      <c r="AI349" t="b">
        <f>AND(IF(metadata!H349="",FALSE,TRUE),EXACT(metadata!H349,"human-associated habitat"))</f>
        <v>0</v>
      </c>
      <c r="AJ349" t="b">
        <f>AND(IF(metadata!I349="",FALSE,TRUE),OR(EXACT(metadata!I349,"human-associated"),EXACT(metadata!I349,"human-skin"),EXACT(metadata!I349,"human-oral"),EXACT(metadata!I349,"human-gut"),EXACT(metadata!I349,"human-vaginal")))</f>
        <v>0</v>
      </c>
      <c r="AK349" t="b">
        <f>IF(metadata!J349="",FALSE,ISNUMBER(VALUE(metadata!J349)))</f>
        <v>0</v>
      </c>
      <c r="AL349" t="b">
        <f>AND(IF(metadata!K349="",FALSE,TRUE),EXACT(metadata!K349,"cm"))</f>
        <v>0</v>
      </c>
      <c r="AM349" t="b">
        <f>AND(IF(metadata!L349="",FALSE,TRUE),EXACT(metadata!L349,"human"))</f>
        <v>0</v>
      </c>
      <c r="AN349" t="b">
        <f>AND(IF(metadata!M349="",FALSE,TRUE),EXACT(metadata!M349,"Homo sapiens"))</f>
        <v>0</v>
      </c>
      <c r="AO349" t="b">
        <f>AND(IF(metadata!N349="",FALSE,TRUE),EXACT(metadata!N349,"9606"))</f>
        <v>0</v>
      </c>
      <c r="AP349" t="b">
        <f>IF(metadata!O349="",FALSE,TRUE)</f>
        <v>0</v>
      </c>
      <c r="AQ349" t="b">
        <f>IF(metadata!P349="",FALSE,TRUE)</f>
        <v>0</v>
      </c>
      <c r="AR349" t="b">
        <f>IF(metadata!Q349="",FALSE,ISNUMBER(VALUE(metadata!Q349)))</f>
        <v>0</v>
      </c>
      <c r="AS349" t="b">
        <f>AND(IF(metadata!R349="",FALSE,TRUE),EXACT(metadata!R349,"kg"))</f>
        <v>0</v>
      </c>
    </row>
    <row r="350" spans="1:45" x14ac:dyDescent="0.2">
      <c r="A350" s="5" t="str">
        <f ca="1">IF(B350=" "," ",HYPERLINK(CONCATENATE("#metadata!",ADDRESS(INDEX($X$2:$X$1001,MATCH(ROWS($V$2:V350),$V$2:$V$1001,0),0),1)),INDEX($AA$2:$AA$1001,MATCH(ROWS($V$2:V350),$V$2:$V$1001,0),0)))</f>
        <v xml:space="preserve"> </v>
      </c>
      <c r="B350" s="4" t="str">
        <f ca="1">IF(OR(INDEX($W$2:$W$1001,MATCH(ROWS($V$2:V350),$V$2:$V$1001,0),1)&gt;=100000,INDEX($AC$1005:$AS$1005,1,MATCH(COLUMNS($AC$1006:AC1006),$AC$1006:$AS$1006,0))&gt;=100000), " ",IF(INDEX($AC$2:$AS$1001,MATCH(ROWS($V$2:V350),$V$2:$V$1001,0),MATCH(COLUMNS($AC$1006:AC1006),$AC$1006:$AS$1006,0)), HYPERLINK("#",""), HYPERLINK(CONCATENATE("#metadata!", ADDRESS(INDEX($X$2:$X$1001,MATCH(ROWS($V$2:V350),$V$2:$V$1001,0),0), INDEX($AC$1004:$AS$1004,1,MATCH(COLUMNS($AC$1006:AC1006),$AC$1006:$AS$1006,0)))),"Fix")))</f>
        <v xml:space="preserve"> </v>
      </c>
      <c r="C350" s="4" t="str">
        <f ca="1">IF(OR(INDEX($W$2:$W$1001,MATCH(ROWS($V$2:V350),$V$2:$V$1001,0),1)&gt;=100000,INDEX($AC$1005:$AS$1005,1,MATCH(COLUMNS($AC$1006:AD1006),$AC$1006:$AS$1006,0))&gt;=100000), " ",IF(INDEX($AC$2:$AS$1001,MATCH(ROWS($V$2:V350),$V$2:$V$1001,0),MATCH(COLUMNS($AC$1006:AD1006),$AC$1006:$AS$1006,0)), HYPERLINK("#",""), HYPERLINK(CONCATENATE("#metadata!", ADDRESS(INDEX($X$2:$X$1001,MATCH(ROWS($V$2:V350),$V$2:$V$1001,0),0), INDEX($AC$1004:$AS$1004,1,MATCH(COLUMNS($AC$1006:AD1006),$AC$1006:$AS$1006,0)))),"Fix")))</f>
        <v xml:space="preserve"> </v>
      </c>
      <c r="D350" s="4" t="str">
        <f ca="1">IF(OR(INDEX($W$2:$W$1001,MATCH(ROWS($V$2:V350),$V$2:$V$1001,0),1)&gt;=100000,INDEX($AC$1005:$AS$1005,1,MATCH(COLUMNS($AC$1006:AE1006),$AC$1006:$AS$1006,0))&gt;=100000), " ",IF(INDEX($AC$2:$AS$1001,MATCH(ROWS($V$2:V350),$V$2:$V$1001,0),MATCH(COLUMNS($AC$1006:AE1006),$AC$1006:$AS$1006,0)), HYPERLINK("#",""), HYPERLINK(CONCATENATE("#metadata!", ADDRESS(INDEX($X$2:$X$1001,MATCH(ROWS($V$2:V350),$V$2:$V$1001,0),0), INDEX($AC$1004:$AS$1004,1,MATCH(COLUMNS($AC$1006:AE1006),$AC$1006:$AS$1006,0)))),"Fix")))</f>
        <v xml:space="preserve"> </v>
      </c>
      <c r="E350" s="4" t="str">
        <f ca="1">IF(OR(INDEX($W$2:$W$1001,MATCH(ROWS($V$2:V350),$V$2:$V$1001,0),1)&gt;=100000,INDEX($AC$1005:$AS$1005,1,MATCH(COLUMNS($AC$1006:AF1006),$AC$1006:$AS$1006,0))&gt;=100000), " ",IF(INDEX($AC$2:$AS$1001,MATCH(ROWS($V$2:V350),$V$2:$V$1001,0),MATCH(COLUMNS($AC$1006:AF1006),$AC$1006:$AS$1006,0)), HYPERLINK("#",""), HYPERLINK(CONCATENATE("#metadata!", ADDRESS(INDEX($X$2:$X$1001,MATCH(ROWS($V$2:V350),$V$2:$V$1001,0),0), INDEX($AC$1004:$AS$1004,1,MATCH(COLUMNS($AC$1006:AF1006),$AC$1006:$AS$1006,0)))),"Fix")))</f>
        <v xml:space="preserve"> </v>
      </c>
      <c r="F350" s="4" t="str">
        <f ca="1">IF(OR(INDEX($W$2:$W$1001,MATCH(ROWS($V$2:V350),$V$2:$V$1001,0),1)&gt;=100000,INDEX($AC$1005:$AS$1005,1,MATCH(COLUMNS($AC$1006:AG1006),$AC$1006:$AS$1006,0))&gt;=100000), " ",IF(INDEX($AC$2:$AS$1001,MATCH(ROWS($V$2:V350),$V$2:$V$1001,0),MATCH(COLUMNS($AC$1006:AG1006),$AC$1006:$AS$1006,0)), HYPERLINK("#",""), HYPERLINK(CONCATENATE("#metadata!", ADDRESS(INDEX($X$2:$X$1001,MATCH(ROWS($V$2:V350),$V$2:$V$1001,0),0), INDEX($AC$1004:$AS$1004,1,MATCH(COLUMNS($AC$1006:AG1006),$AC$1006:$AS$1006,0)))),"Fix")))</f>
        <v xml:space="preserve"> </v>
      </c>
      <c r="G350" s="4" t="str">
        <f ca="1">IF(OR(INDEX($W$2:$W$1001,MATCH(ROWS($V$2:V350),$V$2:$V$1001,0),1)&gt;=100000,INDEX($AC$1005:$AS$1005,1,MATCH(COLUMNS($AC$1006:AH1006),$AC$1006:$AS$1006,0))&gt;=100000), " ",IF(INDEX($AC$2:$AS$1001,MATCH(ROWS($V$2:V350),$V$2:$V$1001,0),MATCH(COLUMNS($AC$1006:AH1006),$AC$1006:$AS$1006,0)), HYPERLINK("#",""), HYPERLINK(CONCATENATE("#metadata!", ADDRESS(INDEX($X$2:$X$1001,MATCH(ROWS($V$2:V350),$V$2:$V$1001,0),0), INDEX($AC$1004:$AS$1004,1,MATCH(COLUMNS($AC$1006:AH1006),$AC$1006:$AS$1006,0)))),"Fix")))</f>
        <v xml:space="preserve"> </v>
      </c>
      <c r="H350" s="4" t="str">
        <f ca="1">IF(OR(INDEX($W$2:$W$1001,MATCH(ROWS($V$2:V350),$V$2:$V$1001,0),1)&gt;=100000,INDEX($AC$1005:$AS$1005,1,MATCH(COLUMNS($AC$1006:AI1006),$AC$1006:$AS$1006,0))&gt;=100000), " ",IF(INDEX($AC$2:$AS$1001,MATCH(ROWS($V$2:V350),$V$2:$V$1001,0),MATCH(COLUMNS($AC$1006:AI1006),$AC$1006:$AS$1006,0)), HYPERLINK("#",""), HYPERLINK(CONCATENATE("#metadata!", ADDRESS(INDEX($X$2:$X$1001,MATCH(ROWS($V$2:V350),$V$2:$V$1001,0),0), INDEX($AC$1004:$AS$1004,1,MATCH(COLUMNS($AC$1006:AI1006),$AC$1006:$AS$1006,0)))),"Fix")))</f>
        <v xml:space="preserve"> </v>
      </c>
      <c r="I350" s="4" t="str">
        <f ca="1">IF(OR(INDEX($W$2:$W$1001,MATCH(ROWS($V$2:V350),$V$2:$V$1001,0),1)&gt;=100000,INDEX($AC$1005:$AS$1005,1,MATCH(COLUMNS($AC$1006:AJ1006),$AC$1006:$AS$1006,0))&gt;=100000), " ",IF(INDEX($AC$2:$AS$1001,MATCH(ROWS($V$2:V350),$V$2:$V$1001,0),MATCH(COLUMNS($AC$1006:AJ1006),$AC$1006:$AS$1006,0)), HYPERLINK("#",""), HYPERLINK(CONCATENATE("#metadata!", ADDRESS(INDEX($X$2:$X$1001,MATCH(ROWS($V$2:V350),$V$2:$V$1001,0),0), INDEX($AC$1004:$AS$1004,1,MATCH(COLUMNS($AC$1006:AJ1006),$AC$1006:$AS$1006,0)))),"Fix")))</f>
        <v xml:space="preserve"> </v>
      </c>
      <c r="J350" s="4" t="str">
        <f ca="1">IF(OR(INDEX($W$2:$W$1001,MATCH(ROWS($V$2:V350),$V$2:$V$1001,0),1)&gt;=100000,INDEX($AC$1005:$AS$1005,1,MATCH(COLUMNS($AC$1006:AK1006),$AC$1006:$AS$1006,0))&gt;=100000), " ",IF(INDEX($AC$2:$AS$1001,MATCH(ROWS($V$2:V350),$V$2:$V$1001,0),MATCH(COLUMNS($AC$1006:AK1006),$AC$1006:$AS$1006,0)), HYPERLINK("#",""), HYPERLINK(CONCATENATE("#metadata!", ADDRESS(INDEX($X$2:$X$1001,MATCH(ROWS($V$2:V350),$V$2:$V$1001,0),0), INDEX($AC$1004:$AS$1004,1,MATCH(COLUMNS($AC$1006:AK1006),$AC$1006:$AS$1006,0)))),"Fix")))</f>
        <v xml:space="preserve"> </v>
      </c>
      <c r="K350" s="4" t="str">
        <f ca="1">IF(OR(INDEX($W$2:$W$1001,MATCH(ROWS($V$2:V350),$V$2:$V$1001,0),1)&gt;=100000,INDEX($AC$1005:$AS$1005,1,MATCH(COLUMNS($AC$1006:AL1006),$AC$1006:$AS$1006,0))&gt;=100000), " ",IF(INDEX($AC$2:$AS$1001,MATCH(ROWS($V$2:V350),$V$2:$V$1001,0),MATCH(COLUMNS($AC$1006:AL1006),$AC$1006:$AS$1006,0)), HYPERLINK("#",""), HYPERLINK(CONCATENATE("#metadata!", ADDRESS(INDEX($X$2:$X$1001,MATCH(ROWS($V$2:V350),$V$2:$V$1001,0),0), INDEX($AC$1004:$AS$1004,1,MATCH(COLUMNS($AC$1006:AL1006),$AC$1006:$AS$1006,0)))),"Fix")))</f>
        <v xml:space="preserve"> </v>
      </c>
      <c r="L350" s="4" t="str">
        <f ca="1">IF(OR(INDEX($W$2:$W$1001,MATCH(ROWS($V$2:V350),$V$2:$V$1001,0),1)&gt;=100000,INDEX($AC$1005:$AS$1005,1,MATCH(COLUMNS($AC$1006:AM1006),$AC$1006:$AS$1006,0))&gt;=100000), " ",IF(INDEX($AC$2:$AS$1001,MATCH(ROWS($V$2:V350),$V$2:$V$1001,0),MATCH(COLUMNS($AC$1006:AM1006),$AC$1006:$AS$1006,0)), HYPERLINK("#",""), HYPERLINK(CONCATENATE("#metadata!", ADDRESS(INDEX($X$2:$X$1001,MATCH(ROWS($V$2:V350),$V$2:$V$1001,0),0), INDEX($AC$1004:$AS$1004,1,MATCH(COLUMNS($AC$1006:AM1006),$AC$1006:$AS$1006,0)))),"Fix")))</f>
        <v xml:space="preserve"> </v>
      </c>
      <c r="M350" s="4" t="str">
        <f ca="1">IF(OR(INDEX($W$2:$W$1001,MATCH(ROWS($V$2:V350),$V$2:$V$1001,0),1)&gt;=100000,INDEX($AC$1005:$AS$1005,1,MATCH(COLUMNS($AC$1006:AN1006),$AC$1006:$AS$1006,0))&gt;=100000), " ",IF(INDEX($AC$2:$AS$1001,MATCH(ROWS($V$2:V350),$V$2:$V$1001,0),MATCH(COLUMNS($AC$1006:AN1006),$AC$1006:$AS$1006,0)), HYPERLINK("#",""), HYPERLINK(CONCATENATE("#metadata!", ADDRESS(INDEX($X$2:$X$1001,MATCH(ROWS($V$2:V350),$V$2:$V$1001,0),0), INDEX($AC$1004:$AS$1004,1,MATCH(COLUMNS($AC$1006:AN1006),$AC$1006:$AS$1006,0)))),"Fix")))</f>
        <v xml:space="preserve"> </v>
      </c>
      <c r="N350" s="4" t="str">
        <f ca="1">IF(OR(INDEX($W$2:$W$1001,MATCH(ROWS($V$2:V350),$V$2:$V$1001,0),1)&gt;=100000,INDEX($AC$1005:$AS$1005,1,MATCH(COLUMNS($AC$1006:AO1006),$AC$1006:$AS$1006,0))&gt;=100000), " ",IF(INDEX($AC$2:$AS$1001,MATCH(ROWS($V$2:V350),$V$2:$V$1001,0),MATCH(COLUMNS($AC$1006:AO1006),$AC$1006:$AS$1006,0)), HYPERLINK("#",""), HYPERLINK(CONCATENATE("#metadata!", ADDRESS(INDEX($X$2:$X$1001,MATCH(ROWS($V$2:V350),$V$2:$V$1001,0),0), INDEX($AC$1004:$AS$1004,1,MATCH(COLUMNS($AC$1006:AO1006),$AC$1006:$AS$1006,0)))),"Fix")))</f>
        <v xml:space="preserve"> </v>
      </c>
      <c r="O350" s="4" t="str">
        <f ca="1">IF(OR(INDEX($W$2:$W$1001,MATCH(ROWS($V$2:V350),$V$2:$V$1001,0),1)&gt;=100000,INDEX($AC$1005:$AS$1005,1,MATCH(COLUMNS($AC$1006:AP1006),$AC$1006:$AS$1006,0))&gt;=100000), " ",IF(INDEX($AC$2:$AS$1001,MATCH(ROWS($V$2:V350),$V$2:$V$1001,0),MATCH(COLUMNS($AC$1006:AP1006),$AC$1006:$AS$1006,0)), HYPERLINK("#",""), HYPERLINK(CONCATENATE("#metadata!", ADDRESS(INDEX($X$2:$X$1001,MATCH(ROWS($V$2:V350),$V$2:$V$1001,0),0), INDEX($AC$1004:$AS$1004,1,MATCH(COLUMNS($AC$1006:AP1006),$AC$1006:$AS$1006,0)))),"Fix")))</f>
        <v xml:space="preserve"> </v>
      </c>
      <c r="P350" s="4" t="str">
        <f ca="1">IF(OR(INDEX($W$2:$W$1001,MATCH(ROWS($V$2:V350),$V$2:$V$1001,0),1)&gt;=100000,INDEX($AC$1005:$AS$1005,1,MATCH(COLUMNS($AC$1006:AQ1006),$AC$1006:$AS$1006,0))&gt;=100000), " ",IF(INDEX($AC$2:$AS$1001,MATCH(ROWS($V$2:V350),$V$2:$V$1001,0),MATCH(COLUMNS($AC$1006:AQ1006),$AC$1006:$AS$1006,0)), HYPERLINK("#",""), HYPERLINK(CONCATENATE("#metadata!", ADDRESS(INDEX($X$2:$X$1001,MATCH(ROWS($V$2:V350),$V$2:$V$1001,0),0), INDEX($AC$1004:$AS$1004,1,MATCH(COLUMNS($AC$1006:AQ1006),$AC$1006:$AS$1006,0)))),"Fix")))</f>
        <v xml:space="preserve"> </v>
      </c>
      <c r="Q350" s="4" t="str">
        <f ca="1">IF(OR(INDEX($W$2:$W$1001,MATCH(ROWS($V$2:V350),$V$2:$V$1001,0),1)&gt;=100000,INDEX($AC$1005:$AS$1005,1,MATCH(COLUMNS($AC$1006:AR1006),$AC$1006:$AS$1006,0))&gt;=100000), " ",IF(INDEX($AC$2:$AS$1001,MATCH(ROWS($V$2:V350),$V$2:$V$1001,0),MATCH(COLUMNS($AC$1006:AR1006),$AC$1006:$AS$1006,0)), HYPERLINK("#",""), HYPERLINK(CONCATENATE("#metadata!", ADDRESS(INDEX($X$2:$X$1001,MATCH(ROWS($V$2:V350),$V$2:$V$1001,0),0), INDEX($AC$1004:$AS$1004,1,MATCH(COLUMNS($AC$1006:AR1006),$AC$1006:$AS$1006,0)))),"Fix")))</f>
        <v xml:space="preserve"> </v>
      </c>
      <c r="R350" s="4" t="str">
        <f ca="1">IF(OR(INDEX($W$2:$W$1001,MATCH(ROWS($V$2:V350),$V$2:$V$1001,0),1)&gt;=100000,INDEX($AC$1005:$AS$1005,1,MATCH(COLUMNS($AC$1006:AS1006),$AC$1006:$AS$1006,0))&gt;=100000), " ",IF(INDEX($AC$2:$AS$1001,MATCH(ROWS($V$2:V350),$V$2:$V$1001,0),MATCH(COLUMNS($AC$1006:AS1006),$AC$1006:$AS$1006,0)), HYPERLINK("#",""), HYPERLINK(CONCATENATE("#metadata!", ADDRESS(INDEX($X$2:$X$1001,MATCH(ROWS($V$2:V350),$V$2:$V$1001,0),0), INDEX($AC$1004:$AS$1004,1,MATCH(COLUMNS($AC$1006:AS1006),$AC$1006:$AS$1006,0)))),"Fix")))</f>
        <v xml:space="preserve"> </v>
      </c>
      <c r="V350">
        <v>349</v>
      </c>
      <c r="W350">
        <v>100350</v>
      </c>
      <c r="X350">
        <v>350</v>
      </c>
      <c r="Y350" t="b">
        <f t="shared" si="5"/>
        <v>1</v>
      </c>
      <c r="Z350" t="b">
        <f>COUNTBLANK(metadata!B350:R350)=COLUMNS(metadata!B350:R350)</f>
        <v>1</v>
      </c>
      <c r="AA350" t="str">
        <v/>
      </c>
      <c r="AC350" t="b">
        <f ca="1"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AD350" t="b">
        <f>IF(metadata!C350="",FALSE,ISNUMBER(VALUE(metadata!C350)))</f>
        <v>0</v>
      </c>
      <c r="AE350" t="b">
        <f>AND(IF(metadata!D350="",FALSE,TRUE),EXACT(metadata!D350,"years"))</f>
        <v>0</v>
      </c>
      <c r="AF350" t="b">
        <f>OR(AND(IF(metadata!E350="",FALSE,TRUE),OR(EXACT(metadata!E350,"not applicable"),EXACT(metadata!E350,"missing: not collected"),EXACT(metadata!E350,"missing: not provided"),EXACT(metadata!E350,"missing: restricted access"))),AND(IF(metadata!E350="",FALSE,ISNUMBER(VALUE(metadata!E350))),metadata!E350&gt;0))</f>
        <v>0</v>
      </c>
      <c r="AG350" t="b">
        <f>AND(IF(metadata!F350="",FALSE,TRUE),EXACT(metadata!F350,"Not applicable"))</f>
        <v>0</v>
      </c>
      <c r="AH350" t="b">
        <f>AND(IF(metadata!G350="",FALSE,TRUE),EXACT(metadata!G350,"urban biome"))</f>
        <v>0</v>
      </c>
      <c r="AI350" t="b">
        <f>AND(IF(metadata!H350="",FALSE,TRUE),EXACT(metadata!H350,"human-associated habitat"))</f>
        <v>0</v>
      </c>
      <c r="AJ350" t="b">
        <f>AND(IF(metadata!I350="",FALSE,TRUE),OR(EXACT(metadata!I350,"human-associated"),EXACT(metadata!I350,"human-skin"),EXACT(metadata!I350,"human-oral"),EXACT(metadata!I350,"human-gut"),EXACT(metadata!I350,"human-vaginal")))</f>
        <v>0</v>
      </c>
      <c r="AK350" t="b">
        <f>IF(metadata!J350="",FALSE,ISNUMBER(VALUE(metadata!J350)))</f>
        <v>0</v>
      </c>
      <c r="AL350" t="b">
        <f>AND(IF(metadata!K350="",FALSE,TRUE),EXACT(metadata!K350,"cm"))</f>
        <v>0</v>
      </c>
      <c r="AM350" t="b">
        <f>AND(IF(metadata!L350="",FALSE,TRUE),EXACT(metadata!L350,"human"))</f>
        <v>0</v>
      </c>
      <c r="AN350" t="b">
        <f>AND(IF(metadata!M350="",FALSE,TRUE),EXACT(metadata!M350,"Homo sapiens"))</f>
        <v>0</v>
      </c>
      <c r="AO350" t="b">
        <f>AND(IF(metadata!N350="",FALSE,TRUE),EXACT(metadata!N350,"9606"))</f>
        <v>0</v>
      </c>
      <c r="AP350" t="b">
        <f>IF(metadata!O350="",FALSE,TRUE)</f>
        <v>0</v>
      </c>
      <c r="AQ350" t="b">
        <f>IF(metadata!P350="",FALSE,TRUE)</f>
        <v>0</v>
      </c>
      <c r="AR350" t="b">
        <f>IF(metadata!Q350="",FALSE,ISNUMBER(VALUE(metadata!Q350)))</f>
        <v>0</v>
      </c>
      <c r="AS350" t="b">
        <f>AND(IF(metadata!R350="",FALSE,TRUE),EXACT(metadata!R350,"kg"))</f>
        <v>0</v>
      </c>
    </row>
    <row r="351" spans="1:45" x14ac:dyDescent="0.2">
      <c r="A351" s="5" t="str">
        <f ca="1">IF(B351=" "," ",HYPERLINK(CONCATENATE("#metadata!",ADDRESS(INDEX($X$2:$X$1001,MATCH(ROWS($V$2:V351),$V$2:$V$1001,0),0),1)),INDEX($AA$2:$AA$1001,MATCH(ROWS($V$2:V351),$V$2:$V$1001,0),0)))</f>
        <v xml:space="preserve"> </v>
      </c>
      <c r="B351" s="4" t="str">
        <f ca="1">IF(OR(INDEX($W$2:$W$1001,MATCH(ROWS($V$2:V351),$V$2:$V$1001,0),1)&gt;=100000,INDEX($AC$1005:$AS$1005,1,MATCH(COLUMNS($AC$1006:AC1006),$AC$1006:$AS$1006,0))&gt;=100000), " ",IF(INDEX($AC$2:$AS$1001,MATCH(ROWS($V$2:V351),$V$2:$V$1001,0),MATCH(COLUMNS($AC$1006:AC1006),$AC$1006:$AS$1006,0)), HYPERLINK("#",""), HYPERLINK(CONCATENATE("#metadata!", ADDRESS(INDEX($X$2:$X$1001,MATCH(ROWS($V$2:V351),$V$2:$V$1001,0),0), INDEX($AC$1004:$AS$1004,1,MATCH(COLUMNS($AC$1006:AC1006),$AC$1006:$AS$1006,0)))),"Fix")))</f>
        <v xml:space="preserve"> </v>
      </c>
      <c r="C351" s="4" t="str">
        <f ca="1">IF(OR(INDEX($W$2:$W$1001,MATCH(ROWS($V$2:V351),$V$2:$V$1001,0),1)&gt;=100000,INDEX($AC$1005:$AS$1005,1,MATCH(COLUMNS($AC$1006:AD1006),$AC$1006:$AS$1006,0))&gt;=100000), " ",IF(INDEX($AC$2:$AS$1001,MATCH(ROWS($V$2:V351),$V$2:$V$1001,0),MATCH(COLUMNS($AC$1006:AD1006),$AC$1006:$AS$1006,0)), HYPERLINK("#",""), HYPERLINK(CONCATENATE("#metadata!", ADDRESS(INDEX($X$2:$X$1001,MATCH(ROWS($V$2:V351),$V$2:$V$1001,0),0), INDEX($AC$1004:$AS$1004,1,MATCH(COLUMNS($AC$1006:AD1006),$AC$1006:$AS$1006,0)))),"Fix")))</f>
        <v xml:space="preserve"> </v>
      </c>
      <c r="D351" s="4" t="str">
        <f ca="1">IF(OR(INDEX($W$2:$W$1001,MATCH(ROWS($V$2:V351),$V$2:$V$1001,0),1)&gt;=100000,INDEX($AC$1005:$AS$1005,1,MATCH(COLUMNS($AC$1006:AE1006),$AC$1006:$AS$1006,0))&gt;=100000), " ",IF(INDEX($AC$2:$AS$1001,MATCH(ROWS($V$2:V351),$V$2:$V$1001,0),MATCH(COLUMNS($AC$1006:AE1006),$AC$1006:$AS$1006,0)), HYPERLINK("#",""), HYPERLINK(CONCATENATE("#metadata!", ADDRESS(INDEX($X$2:$X$1001,MATCH(ROWS($V$2:V351),$V$2:$V$1001,0),0), INDEX($AC$1004:$AS$1004,1,MATCH(COLUMNS($AC$1006:AE1006),$AC$1006:$AS$1006,0)))),"Fix")))</f>
        <v xml:space="preserve"> </v>
      </c>
      <c r="E351" s="4" t="str">
        <f ca="1">IF(OR(INDEX($W$2:$W$1001,MATCH(ROWS($V$2:V351),$V$2:$V$1001,0),1)&gt;=100000,INDEX($AC$1005:$AS$1005,1,MATCH(COLUMNS($AC$1006:AF1006),$AC$1006:$AS$1006,0))&gt;=100000), " ",IF(INDEX($AC$2:$AS$1001,MATCH(ROWS($V$2:V351),$V$2:$V$1001,0),MATCH(COLUMNS($AC$1006:AF1006),$AC$1006:$AS$1006,0)), HYPERLINK("#",""), HYPERLINK(CONCATENATE("#metadata!", ADDRESS(INDEX($X$2:$X$1001,MATCH(ROWS($V$2:V351),$V$2:$V$1001,0),0), INDEX($AC$1004:$AS$1004,1,MATCH(COLUMNS($AC$1006:AF1006),$AC$1006:$AS$1006,0)))),"Fix")))</f>
        <v xml:space="preserve"> </v>
      </c>
      <c r="F351" s="4" t="str">
        <f ca="1">IF(OR(INDEX($W$2:$W$1001,MATCH(ROWS($V$2:V351),$V$2:$V$1001,0),1)&gt;=100000,INDEX($AC$1005:$AS$1005,1,MATCH(COLUMNS($AC$1006:AG1006),$AC$1006:$AS$1006,0))&gt;=100000), " ",IF(INDEX($AC$2:$AS$1001,MATCH(ROWS($V$2:V351),$V$2:$V$1001,0),MATCH(COLUMNS($AC$1006:AG1006),$AC$1006:$AS$1006,0)), HYPERLINK("#",""), HYPERLINK(CONCATENATE("#metadata!", ADDRESS(INDEX($X$2:$X$1001,MATCH(ROWS($V$2:V351),$V$2:$V$1001,0),0), INDEX($AC$1004:$AS$1004,1,MATCH(COLUMNS($AC$1006:AG1006),$AC$1006:$AS$1006,0)))),"Fix")))</f>
        <v xml:space="preserve"> </v>
      </c>
      <c r="G351" s="4" t="str">
        <f ca="1">IF(OR(INDEX($W$2:$W$1001,MATCH(ROWS($V$2:V351),$V$2:$V$1001,0),1)&gt;=100000,INDEX($AC$1005:$AS$1005,1,MATCH(COLUMNS($AC$1006:AH1006),$AC$1006:$AS$1006,0))&gt;=100000), " ",IF(INDEX($AC$2:$AS$1001,MATCH(ROWS($V$2:V351),$V$2:$V$1001,0),MATCH(COLUMNS($AC$1006:AH1006),$AC$1006:$AS$1006,0)), HYPERLINK("#",""), HYPERLINK(CONCATENATE("#metadata!", ADDRESS(INDEX($X$2:$X$1001,MATCH(ROWS($V$2:V351),$V$2:$V$1001,0),0), INDEX($AC$1004:$AS$1004,1,MATCH(COLUMNS($AC$1006:AH1006),$AC$1006:$AS$1006,0)))),"Fix")))</f>
        <v xml:space="preserve"> </v>
      </c>
      <c r="H351" s="4" t="str">
        <f ca="1">IF(OR(INDEX($W$2:$W$1001,MATCH(ROWS($V$2:V351),$V$2:$V$1001,0),1)&gt;=100000,INDEX($AC$1005:$AS$1005,1,MATCH(COLUMNS($AC$1006:AI1006),$AC$1006:$AS$1006,0))&gt;=100000), " ",IF(INDEX($AC$2:$AS$1001,MATCH(ROWS($V$2:V351),$V$2:$V$1001,0),MATCH(COLUMNS($AC$1006:AI1006),$AC$1006:$AS$1006,0)), HYPERLINK("#",""), HYPERLINK(CONCATENATE("#metadata!", ADDRESS(INDEX($X$2:$X$1001,MATCH(ROWS($V$2:V351),$V$2:$V$1001,0),0), INDEX($AC$1004:$AS$1004,1,MATCH(COLUMNS($AC$1006:AI1006),$AC$1006:$AS$1006,0)))),"Fix")))</f>
        <v xml:space="preserve"> </v>
      </c>
      <c r="I351" s="4" t="str">
        <f ca="1">IF(OR(INDEX($W$2:$W$1001,MATCH(ROWS($V$2:V351),$V$2:$V$1001,0),1)&gt;=100000,INDEX($AC$1005:$AS$1005,1,MATCH(COLUMNS($AC$1006:AJ1006),$AC$1006:$AS$1006,0))&gt;=100000), " ",IF(INDEX($AC$2:$AS$1001,MATCH(ROWS($V$2:V351),$V$2:$V$1001,0),MATCH(COLUMNS($AC$1006:AJ1006),$AC$1006:$AS$1006,0)), HYPERLINK("#",""), HYPERLINK(CONCATENATE("#metadata!", ADDRESS(INDEX($X$2:$X$1001,MATCH(ROWS($V$2:V351),$V$2:$V$1001,0),0), INDEX($AC$1004:$AS$1004,1,MATCH(COLUMNS($AC$1006:AJ1006),$AC$1006:$AS$1006,0)))),"Fix")))</f>
        <v xml:space="preserve"> </v>
      </c>
      <c r="J351" s="4" t="str">
        <f ca="1">IF(OR(INDEX($W$2:$W$1001,MATCH(ROWS($V$2:V351),$V$2:$V$1001,0),1)&gt;=100000,INDEX($AC$1005:$AS$1005,1,MATCH(COLUMNS($AC$1006:AK1006),$AC$1006:$AS$1006,0))&gt;=100000), " ",IF(INDEX($AC$2:$AS$1001,MATCH(ROWS($V$2:V351),$V$2:$V$1001,0),MATCH(COLUMNS($AC$1006:AK1006),$AC$1006:$AS$1006,0)), HYPERLINK("#",""), HYPERLINK(CONCATENATE("#metadata!", ADDRESS(INDEX($X$2:$X$1001,MATCH(ROWS($V$2:V351),$V$2:$V$1001,0),0), INDEX($AC$1004:$AS$1004,1,MATCH(COLUMNS($AC$1006:AK1006),$AC$1006:$AS$1006,0)))),"Fix")))</f>
        <v xml:space="preserve"> </v>
      </c>
      <c r="K351" s="4" t="str">
        <f ca="1">IF(OR(INDEX($W$2:$W$1001,MATCH(ROWS($V$2:V351),$V$2:$V$1001,0),1)&gt;=100000,INDEX($AC$1005:$AS$1005,1,MATCH(COLUMNS($AC$1006:AL1006),$AC$1006:$AS$1006,0))&gt;=100000), " ",IF(INDEX($AC$2:$AS$1001,MATCH(ROWS($V$2:V351),$V$2:$V$1001,0),MATCH(COLUMNS($AC$1006:AL1006),$AC$1006:$AS$1006,0)), HYPERLINK("#",""), HYPERLINK(CONCATENATE("#metadata!", ADDRESS(INDEX($X$2:$X$1001,MATCH(ROWS($V$2:V351),$V$2:$V$1001,0),0), INDEX($AC$1004:$AS$1004,1,MATCH(COLUMNS($AC$1006:AL1006),$AC$1006:$AS$1006,0)))),"Fix")))</f>
        <v xml:space="preserve"> </v>
      </c>
      <c r="L351" s="4" t="str">
        <f ca="1">IF(OR(INDEX($W$2:$W$1001,MATCH(ROWS($V$2:V351),$V$2:$V$1001,0),1)&gt;=100000,INDEX($AC$1005:$AS$1005,1,MATCH(COLUMNS($AC$1006:AM1006),$AC$1006:$AS$1006,0))&gt;=100000), " ",IF(INDEX($AC$2:$AS$1001,MATCH(ROWS($V$2:V351),$V$2:$V$1001,0),MATCH(COLUMNS($AC$1006:AM1006),$AC$1006:$AS$1006,0)), HYPERLINK("#",""), HYPERLINK(CONCATENATE("#metadata!", ADDRESS(INDEX($X$2:$X$1001,MATCH(ROWS($V$2:V351),$V$2:$V$1001,0),0), INDEX($AC$1004:$AS$1004,1,MATCH(COLUMNS($AC$1006:AM1006),$AC$1006:$AS$1006,0)))),"Fix")))</f>
        <v xml:space="preserve"> </v>
      </c>
      <c r="M351" s="4" t="str">
        <f ca="1">IF(OR(INDEX($W$2:$W$1001,MATCH(ROWS($V$2:V351),$V$2:$V$1001,0),1)&gt;=100000,INDEX($AC$1005:$AS$1005,1,MATCH(COLUMNS($AC$1006:AN1006),$AC$1006:$AS$1006,0))&gt;=100000), " ",IF(INDEX($AC$2:$AS$1001,MATCH(ROWS($V$2:V351),$V$2:$V$1001,0),MATCH(COLUMNS($AC$1006:AN1006),$AC$1006:$AS$1006,0)), HYPERLINK("#",""), HYPERLINK(CONCATENATE("#metadata!", ADDRESS(INDEX($X$2:$X$1001,MATCH(ROWS($V$2:V351),$V$2:$V$1001,0),0), INDEX($AC$1004:$AS$1004,1,MATCH(COLUMNS($AC$1006:AN1006),$AC$1006:$AS$1006,0)))),"Fix")))</f>
        <v xml:space="preserve"> </v>
      </c>
      <c r="N351" s="4" t="str">
        <f ca="1">IF(OR(INDEX($W$2:$W$1001,MATCH(ROWS($V$2:V351),$V$2:$V$1001,0),1)&gt;=100000,INDEX($AC$1005:$AS$1005,1,MATCH(COLUMNS($AC$1006:AO1006),$AC$1006:$AS$1006,0))&gt;=100000), " ",IF(INDEX($AC$2:$AS$1001,MATCH(ROWS($V$2:V351),$V$2:$V$1001,0),MATCH(COLUMNS($AC$1006:AO1006),$AC$1006:$AS$1006,0)), HYPERLINK("#",""), HYPERLINK(CONCATENATE("#metadata!", ADDRESS(INDEX($X$2:$X$1001,MATCH(ROWS($V$2:V351),$V$2:$V$1001,0),0), INDEX($AC$1004:$AS$1004,1,MATCH(COLUMNS($AC$1006:AO1006),$AC$1006:$AS$1006,0)))),"Fix")))</f>
        <v xml:space="preserve"> </v>
      </c>
      <c r="O351" s="4" t="str">
        <f ca="1">IF(OR(INDEX($W$2:$W$1001,MATCH(ROWS($V$2:V351),$V$2:$V$1001,0),1)&gt;=100000,INDEX($AC$1005:$AS$1005,1,MATCH(COLUMNS($AC$1006:AP1006),$AC$1006:$AS$1006,0))&gt;=100000), " ",IF(INDEX($AC$2:$AS$1001,MATCH(ROWS($V$2:V351),$V$2:$V$1001,0),MATCH(COLUMNS($AC$1006:AP1006),$AC$1006:$AS$1006,0)), HYPERLINK("#",""), HYPERLINK(CONCATENATE("#metadata!", ADDRESS(INDEX($X$2:$X$1001,MATCH(ROWS($V$2:V351),$V$2:$V$1001,0),0), INDEX($AC$1004:$AS$1004,1,MATCH(COLUMNS($AC$1006:AP1006),$AC$1006:$AS$1006,0)))),"Fix")))</f>
        <v xml:space="preserve"> </v>
      </c>
      <c r="P351" s="4" t="str">
        <f ca="1">IF(OR(INDEX($W$2:$W$1001,MATCH(ROWS($V$2:V351),$V$2:$V$1001,0),1)&gt;=100000,INDEX($AC$1005:$AS$1005,1,MATCH(COLUMNS($AC$1006:AQ1006),$AC$1006:$AS$1006,0))&gt;=100000), " ",IF(INDEX($AC$2:$AS$1001,MATCH(ROWS($V$2:V351),$V$2:$V$1001,0),MATCH(COLUMNS($AC$1006:AQ1006),$AC$1006:$AS$1006,0)), HYPERLINK("#",""), HYPERLINK(CONCATENATE("#metadata!", ADDRESS(INDEX($X$2:$X$1001,MATCH(ROWS($V$2:V351),$V$2:$V$1001,0),0), INDEX($AC$1004:$AS$1004,1,MATCH(COLUMNS($AC$1006:AQ1006),$AC$1006:$AS$1006,0)))),"Fix")))</f>
        <v xml:space="preserve"> </v>
      </c>
      <c r="Q351" s="4" t="str">
        <f ca="1">IF(OR(INDEX($W$2:$W$1001,MATCH(ROWS($V$2:V351),$V$2:$V$1001,0),1)&gt;=100000,INDEX($AC$1005:$AS$1005,1,MATCH(COLUMNS($AC$1006:AR1006),$AC$1006:$AS$1006,0))&gt;=100000), " ",IF(INDEX($AC$2:$AS$1001,MATCH(ROWS($V$2:V351),$V$2:$V$1001,0),MATCH(COLUMNS($AC$1006:AR1006),$AC$1006:$AS$1006,0)), HYPERLINK("#",""), HYPERLINK(CONCATENATE("#metadata!", ADDRESS(INDEX($X$2:$X$1001,MATCH(ROWS($V$2:V351),$V$2:$V$1001,0),0), INDEX($AC$1004:$AS$1004,1,MATCH(COLUMNS($AC$1006:AR1006),$AC$1006:$AS$1006,0)))),"Fix")))</f>
        <v xml:space="preserve"> </v>
      </c>
      <c r="R351" s="4" t="str">
        <f ca="1">IF(OR(INDEX($W$2:$W$1001,MATCH(ROWS($V$2:V351),$V$2:$V$1001,0),1)&gt;=100000,INDEX($AC$1005:$AS$1005,1,MATCH(COLUMNS($AC$1006:AS1006),$AC$1006:$AS$1006,0))&gt;=100000), " ",IF(INDEX($AC$2:$AS$1001,MATCH(ROWS($V$2:V351),$V$2:$V$1001,0),MATCH(COLUMNS($AC$1006:AS1006),$AC$1006:$AS$1006,0)), HYPERLINK("#",""), HYPERLINK(CONCATENATE("#metadata!", ADDRESS(INDEX($X$2:$X$1001,MATCH(ROWS($V$2:V351),$V$2:$V$1001,0),0), INDEX($AC$1004:$AS$1004,1,MATCH(COLUMNS($AC$1006:AS1006),$AC$1006:$AS$1006,0)))),"Fix")))</f>
        <v xml:space="preserve"> </v>
      </c>
      <c r="V351">
        <v>350</v>
      </c>
      <c r="W351">
        <v>100351</v>
      </c>
      <c r="X351">
        <v>351</v>
      </c>
      <c r="Y351" t="b">
        <f t="shared" si="5"/>
        <v>1</v>
      </c>
      <c r="Z351" t="b">
        <f>COUNTBLANK(metadata!B351:R351)=COLUMNS(metadata!B351:R351)</f>
        <v>1</v>
      </c>
      <c r="AA351" t="str">
        <v/>
      </c>
      <c r="AC351" t="b">
        <f ca="1"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AD351" t="b">
        <f>IF(metadata!C351="",FALSE,ISNUMBER(VALUE(metadata!C351)))</f>
        <v>0</v>
      </c>
      <c r="AE351" t="b">
        <f>AND(IF(metadata!D351="",FALSE,TRUE),EXACT(metadata!D351,"years"))</f>
        <v>0</v>
      </c>
      <c r="AF351" t="b">
        <f>OR(AND(IF(metadata!E351="",FALSE,TRUE),OR(EXACT(metadata!E351,"not applicable"),EXACT(metadata!E351,"missing: not collected"),EXACT(metadata!E351,"missing: not provided"),EXACT(metadata!E351,"missing: restricted access"))),AND(IF(metadata!E351="",FALSE,ISNUMBER(VALUE(metadata!E351))),metadata!E351&gt;0))</f>
        <v>0</v>
      </c>
      <c r="AG351" t="b">
        <f>AND(IF(metadata!F351="",FALSE,TRUE),EXACT(metadata!F351,"Not applicable"))</f>
        <v>0</v>
      </c>
      <c r="AH351" t="b">
        <f>AND(IF(metadata!G351="",FALSE,TRUE),EXACT(metadata!G351,"urban biome"))</f>
        <v>0</v>
      </c>
      <c r="AI351" t="b">
        <f>AND(IF(metadata!H351="",FALSE,TRUE),EXACT(metadata!H351,"human-associated habitat"))</f>
        <v>0</v>
      </c>
      <c r="AJ351" t="b">
        <f>AND(IF(metadata!I351="",FALSE,TRUE),OR(EXACT(metadata!I351,"human-associated"),EXACT(metadata!I351,"human-skin"),EXACT(metadata!I351,"human-oral"),EXACT(metadata!I351,"human-gut"),EXACT(metadata!I351,"human-vaginal")))</f>
        <v>0</v>
      </c>
      <c r="AK351" t="b">
        <f>IF(metadata!J351="",FALSE,ISNUMBER(VALUE(metadata!J351)))</f>
        <v>0</v>
      </c>
      <c r="AL351" t="b">
        <f>AND(IF(metadata!K351="",FALSE,TRUE),EXACT(metadata!K351,"cm"))</f>
        <v>0</v>
      </c>
      <c r="AM351" t="b">
        <f>AND(IF(metadata!L351="",FALSE,TRUE),EXACT(metadata!L351,"human"))</f>
        <v>0</v>
      </c>
      <c r="AN351" t="b">
        <f>AND(IF(metadata!M351="",FALSE,TRUE),EXACT(metadata!M351,"Homo sapiens"))</f>
        <v>0</v>
      </c>
      <c r="AO351" t="b">
        <f>AND(IF(metadata!N351="",FALSE,TRUE),EXACT(metadata!N351,"9606"))</f>
        <v>0</v>
      </c>
      <c r="AP351" t="b">
        <f>IF(metadata!O351="",FALSE,TRUE)</f>
        <v>0</v>
      </c>
      <c r="AQ351" t="b">
        <f>IF(metadata!P351="",FALSE,TRUE)</f>
        <v>0</v>
      </c>
      <c r="AR351" t="b">
        <f>IF(metadata!Q351="",FALSE,ISNUMBER(VALUE(metadata!Q351)))</f>
        <v>0</v>
      </c>
      <c r="AS351" t="b">
        <f>AND(IF(metadata!R351="",FALSE,TRUE),EXACT(metadata!R351,"kg"))</f>
        <v>0</v>
      </c>
    </row>
    <row r="352" spans="1:45" x14ac:dyDescent="0.2">
      <c r="A352" s="5" t="str">
        <f ca="1">IF(B352=" "," ",HYPERLINK(CONCATENATE("#metadata!",ADDRESS(INDEX($X$2:$X$1001,MATCH(ROWS($V$2:V352),$V$2:$V$1001,0),0),1)),INDEX($AA$2:$AA$1001,MATCH(ROWS($V$2:V352),$V$2:$V$1001,0),0)))</f>
        <v xml:space="preserve"> </v>
      </c>
      <c r="B352" s="4" t="str">
        <f ca="1">IF(OR(INDEX($W$2:$W$1001,MATCH(ROWS($V$2:V352),$V$2:$V$1001,0),1)&gt;=100000,INDEX($AC$1005:$AS$1005,1,MATCH(COLUMNS($AC$1006:AC1006),$AC$1006:$AS$1006,0))&gt;=100000), " ",IF(INDEX($AC$2:$AS$1001,MATCH(ROWS($V$2:V352),$V$2:$V$1001,0),MATCH(COLUMNS($AC$1006:AC1006),$AC$1006:$AS$1006,0)), HYPERLINK("#",""), HYPERLINK(CONCATENATE("#metadata!", ADDRESS(INDEX($X$2:$X$1001,MATCH(ROWS($V$2:V352),$V$2:$V$1001,0),0), INDEX($AC$1004:$AS$1004,1,MATCH(COLUMNS($AC$1006:AC1006),$AC$1006:$AS$1006,0)))),"Fix")))</f>
        <v xml:space="preserve"> </v>
      </c>
      <c r="C352" s="4" t="str">
        <f ca="1">IF(OR(INDEX($W$2:$W$1001,MATCH(ROWS($V$2:V352),$V$2:$V$1001,0),1)&gt;=100000,INDEX($AC$1005:$AS$1005,1,MATCH(COLUMNS($AC$1006:AD1006),$AC$1006:$AS$1006,0))&gt;=100000), " ",IF(INDEX($AC$2:$AS$1001,MATCH(ROWS($V$2:V352),$V$2:$V$1001,0),MATCH(COLUMNS($AC$1006:AD1006),$AC$1006:$AS$1006,0)), HYPERLINK("#",""), HYPERLINK(CONCATENATE("#metadata!", ADDRESS(INDEX($X$2:$X$1001,MATCH(ROWS($V$2:V352),$V$2:$V$1001,0),0), INDEX($AC$1004:$AS$1004,1,MATCH(COLUMNS($AC$1006:AD1006),$AC$1006:$AS$1006,0)))),"Fix")))</f>
        <v xml:space="preserve"> </v>
      </c>
      <c r="D352" s="4" t="str">
        <f ca="1">IF(OR(INDEX($W$2:$W$1001,MATCH(ROWS($V$2:V352),$V$2:$V$1001,0),1)&gt;=100000,INDEX($AC$1005:$AS$1005,1,MATCH(COLUMNS($AC$1006:AE1006),$AC$1006:$AS$1006,0))&gt;=100000), " ",IF(INDEX($AC$2:$AS$1001,MATCH(ROWS($V$2:V352),$V$2:$V$1001,0),MATCH(COLUMNS($AC$1006:AE1006),$AC$1006:$AS$1006,0)), HYPERLINK("#",""), HYPERLINK(CONCATENATE("#metadata!", ADDRESS(INDEX($X$2:$X$1001,MATCH(ROWS($V$2:V352),$V$2:$V$1001,0),0), INDEX($AC$1004:$AS$1004,1,MATCH(COLUMNS($AC$1006:AE1006),$AC$1006:$AS$1006,0)))),"Fix")))</f>
        <v xml:space="preserve"> </v>
      </c>
      <c r="E352" s="4" t="str">
        <f ca="1">IF(OR(INDEX($W$2:$W$1001,MATCH(ROWS($V$2:V352),$V$2:$V$1001,0),1)&gt;=100000,INDEX($AC$1005:$AS$1005,1,MATCH(COLUMNS($AC$1006:AF1006),$AC$1006:$AS$1006,0))&gt;=100000), " ",IF(INDEX($AC$2:$AS$1001,MATCH(ROWS($V$2:V352),$V$2:$V$1001,0),MATCH(COLUMNS($AC$1006:AF1006),$AC$1006:$AS$1006,0)), HYPERLINK("#",""), HYPERLINK(CONCATENATE("#metadata!", ADDRESS(INDEX($X$2:$X$1001,MATCH(ROWS($V$2:V352),$V$2:$V$1001,0),0), INDEX($AC$1004:$AS$1004,1,MATCH(COLUMNS($AC$1006:AF1006),$AC$1006:$AS$1006,0)))),"Fix")))</f>
        <v xml:space="preserve"> </v>
      </c>
      <c r="F352" s="4" t="str">
        <f ca="1">IF(OR(INDEX($W$2:$W$1001,MATCH(ROWS($V$2:V352),$V$2:$V$1001,0),1)&gt;=100000,INDEX($AC$1005:$AS$1005,1,MATCH(COLUMNS($AC$1006:AG1006),$AC$1006:$AS$1006,0))&gt;=100000), " ",IF(INDEX($AC$2:$AS$1001,MATCH(ROWS($V$2:V352),$V$2:$V$1001,0),MATCH(COLUMNS($AC$1006:AG1006),$AC$1006:$AS$1006,0)), HYPERLINK("#",""), HYPERLINK(CONCATENATE("#metadata!", ADDRESS(INDEX($X$2:$X$1001,MATCH(ROWS($V$2:V352),$V$2:$V$1001,0),0), INDEX($AC$1004:$AS$1004,1,MATCH(COLUMNS($AC$1006:AG1006),$AC$1006:$AS$1006,0)))),"Fix")))</f>
        <v xml:space="preserve"> </v>
      </c>
      <c r="G352" s="4" t="str">
        <f ca="1">IF(OR(INDEX($W$2:$W$1001,MATCH(ROWS($V$2:V352),$V$2:$V$1001,0),1)&gt;=100000,INDEX($AC$1005:$AS$1005,1,MATCH(COLUMNS($AC$1006:AH1006),$AC$1006:$AS$1006,0))&gt;=100000), " ",IF(INDEX($AC$2:$AS$1001,MATCH(ROWS($V$2:V352),$V$2:$V$1001,0),MATCH(COLUMNS($AC$1006:AH1006),$AC$1006:$AS$1006,0)), HYPERLINK("#",""), HYPERLINK(CONCATENATE("#metadata!", ADDRESS(INDEX($X$2:$X$1001,MATCH(ROWS($V$2:V352),$V$2:$V$1001,0),0), INDEX($AC$1004:$AS$1004,1,MATCH(COLUMNS($AC$1006:AH1006),$AC$1006:$AS$1006,0)))),"Fix")))</f>
        <v xml:space="preserve"> </v>
      </c>
      <c r="H352" s="4" t="str">
        <f ca="1">IF(OR(INDEX($W$2:$W$1001,MATCH(ROWS($V$2:V352),$V$2:$V$1001,0),1)&gt;=100000,INDEX($AC$1005:$AS$1005,1,MATCH(COLUMNS($AC$1006:AI1006),$AC$1006:$AS$1006,0))&gt;=100000), " ",IF(INDEX($AC$2:$AS$1001,MATCH(ROWS($V$2:V352),$V$2:$V$1001,0),MATCH(COLUMNS($AC$1006:AI1006),$AC$1006:$AS$1006,0)), HYPERLINK("#",""), HYPERLINK(CONCATENATE("#metadata!", ADDRESS(INDEX($X$2:$X$1001,MATCH(ROWS($V$2:V352),$V$2:$V$1001,0),0), INDEX($AC$1004:$AS$1004,1,MATCH(COLUMNS($AC$1006:AI1006),$AC$1006:$AS$1006,0)))),"Fix")))</f>
        <v xml:space="preserve"> </v>
      </c>
      <c r="I352" s="4" t="str">
        <f ca="1">IF(OR(INDEX($W$2:$W$1001,MATCH(ROWS($V$2:V352),$V$2:$V$1001,0),1)&gt;=100000,INDEX($AC$1005:$AS$1005,1,MATCH(COLUMNS($AC$1006:AJ1006),$AC$1006:$AS$1006,0))&gt;=100000), " ",IF(INDEX($AC$2:$AS$1001,MATCH(ROWS($V$2:V352),$V$2:$V$1001,0),MATCH(COLUMNS($AC$1006:AJ1006),$AC$1006:$AS$1006,0)), HYPERLINK("#",""), HYPERLINK(CONCATENATE("#metadata!", ADDRESS(INDEX($X$2:$X$1001,MATCH(ROWS($V$2:V352),$V$2:$V$1001,0),0), INDEX($AC$1004:$AS$1004,1,MATCH(COLUMNS($AC$1006:AJ1006),$AC$1006:$AS$1006,0)))),"Fix")))</f>
        <v xml:space="preserve"> </v>
      </c>
      <c r="J352" s="4" t="str">
        <f ca="1">IF(OR(INDEX($W$2:$W$1001,MATCH(ROWS($V$2:V352),$V$2:$V$1001,0),1)&gt;=100000,INDEX($AC$1005:$AS$1005,1,MATCH(COLUMNS($AC$1006:AK1006),$AC$1006:$AS$1006,0))&gt;=100000), " ",IF(INDEX($AC$2:$AS$1001,MATCH(ROWS($V$2:V352),$V$2:$V$1001,0),MATCH(COLUMNS($AC$1006:AK1006),$AC$1006:$AS$1006,0)), HYPERLINK("#",""), HYPERLINK(CONCATENATE("#metadata!", ADDRESS(INDEX($X$2:$X$1001,MATCH(ROWS($V$2:V352),$V$2:$V$1001,0),0), INDEX($AC$1004:$AS$1004,1,MATCH(COLUMNS($AC$1006:AK1006),$AC$1006:$AS$1006,0)))),"Fix")))</f>
        <v xml:space="preserve"> </v>
      </c>
      <c r="K352" s="4" t="str">
        <f ca="1">IF(OR(INDEX($W$2:$W$1001,MATCH(ROWS($V$2:V352),$V$2:$V$1001,0),1)&gt;=100000,INDEX($AC$1005:$AS$1005,1,MATCH(COLUMNS($AC$1006:AL1006),$AC$1006:$AS$1006,0))&gt;=100000), " ",IF(INDEX($AC$2:$AS$1001,MATCH(ROWS($V$2:V352),$V$2:$V$1001,0),MATCH(COLUMNS($AC$1006:AL1006),$AC$1006:$AS$1006,0)), HYPERLINK("#",""), HYPERLINK(CONCATENATE("#metadata!", ADDRESS(INDEX($X$2:$X$1001,MATCH(ROWS($V$2:V352),$V$2:$V$1001,0),0), INDEX($AC$1004:$AS$1004,1,MATCH(COLUMNS($AC$1006:AL1006),$AC$1006:$AS$1006,0)))),"Fix")))</f>
        <v xml:space="preserve"> </v>
      </c>
      <c r="L352" s="4" t="str">
        <f ca="1">IF(OR(INDEX($W$2:$W$1001,MATCH(ROWS($V$2:V352),$V$2:$V$1001,0),1)&gt;=100000,INDEX($AC$1005:$AS$1005,1,MATCH(COLUMNS($AC$1006:AM1006),$AC$1006:$AS$1006,0))&gt;=100000), " ",IF(INDEX($AC$2:$AS$1001,MATCH(ROWS($V$2:V352),$V$2:$V$1001,0),MATCH(COLUMNS($AC$1006:AM1006),$AC$1006:$AS$1006,0)), HYPERLINK("#",""), HYPERLINK(CONCATENATE("#metadata!", ADDRESS(INDEX($X$2:$X$1001,MATCH(ROWS($V$2:V352),$V$2:$V$1001,0),0), INDEX($AC$1004:$AS$1004,1,MATCH(COLUMNS($AC$1006:AM1006),$AC$1006:$AS$1006,0)))),"Fix")))</f>
        <v xml:space="preserve"> </v>
      </c>
      <c r="M352" s="4" t="str">
        <f ca="1">IF(OR(INDEX($W$2:$W$1001,MATCH(ROWS($V$2:V352),$V$2:$V$1001,0),1)&gt;=100000,INDEX($AC$1005:$AS$1005,1,MATCH(COLUMNS($AC$1006:AN1006),$AC$1006:$AS$1006,0))&gt;=100000), " ",IF(INDEX($AC$2:$AS$1001,MATCH(ROWS($V$2:V352),$V$2:$V$1001,0),MATCH(COLUMNS($AC$1006:AN1006),$AC$1006:$AS$1006,0)), HYPERLINK("#",""), HYPERLINK(CONCATENATE("#metadata!", ADDRESS(INDEX($X$2:$X$1001,MATCH(ROWS($V$2:V352),$V$2:$V$1001,0),0), INDEX($AC$1004:$AS$1004,1,MATCH(COLUMNS($AC$1006:AN1006),$AC$1006:$AS$1006,0)))),"Fix")))</f>
        <v xml:space="preserve"> </v>
      </c>
      <c r="N352" s="4" t="str">
        <f ca="1">IF(OR(INDEX($W$2:$W$1001,MATCH(ROWS($V$2:V352),$V$2:$V$1001,0),1)&gt;=100000,INDEX($AC$1005:$AS$1005,1,MATCH(COLUMNS($AC$1006:AO1006),$AC$1006:$AS$1006,0))&gt;=100000), " ",IF(INDEX($AC$2:$AS$1001,MATCH(ROWS($V$2:V352),$V$2:$V$1001,0),MATCH(COLUMNS($AC$1006:AO1006),$AC$1006:$AS$1006,0)), HYPERLINK("#",""), HYPERLINK(CONCATENATE("#metadata!", ADDRESS(INDEX($X$2:$X$1001,MATCH(ROWS($V$2:V352),$V$2:$V$1001,0),0), INDEX($AC$1004:$AS$1004,1,MATCH(COLUMNS($AC$1006:AO1006),$AC$1006:$AS$1006,0)))),"Fix")))</f>
        <v xml:space="preserve"> </v>
      </c>
      <c r="O352" s="4" t="str">
        <f ca="1">IF(OR(INDEX($W$2:$W$1001,MATCH(ROWS($V$2:V352),$V$2:$V$1001,0),1)&gt;=100000,INDEX($AC$1005:$AS$1005,1,MATCH(COLUMNS($AC$1006:AP1006),$AC$1006:$AS$1006,0))&gt;=100000), " ",IF(INDEX($AC$2:$AS$1001,MATCH(ROWS($V$2:V352),$V$2:$V$1001,0),MATCH(COLUMNS($AC$1006:AP1006),$AC$1006:$AS$1006,0)), HYPERLINK("#",""), HYPERLINK(CONCATENATE("#metadata!", ADDRESS(INDEX($X$2:$X$1001,MATCH(ROWS($V$2:V352),$V$2:$V$1001,0),0), INDEX($AC$1004:$AS$1004,1,MATCH(COLUMNS($AC$1006:AP1006),$AC$1006:$AS$1006,0)))),"Fix")))</f>
        <v xml:space="preserve"> </v>
      </c>
      <c r="P352" s="4" t="str">
        <f ca="1">IF(OR(INDEX($W$2:$W$1001,MATCH(ROWS($V$2:V352),$V$2:$V$1001,0),1)&gt;=100000,INDEX($AC$1005:$AS$1005,1,MATCH(COLUMNS($AC$1006:AQ1006),$AC$1006:$AS$1006,0))&gt;=100000), " ",IF(INDEX($AC$2:$AS$1001,MATCH(ROWS($V$2:V352),$V$2:$V$1001,0),MATCH(COLUMNS($AC$1006:AQ1006),$AC$1006:$AS$1006,0)), HYPERLINK("#",""), HYPERLINK(CONCATENATE("#metadata!", ADDRESS(INDEX($X$2:$X$1001,MATCH(ROWS($V$2:V352),$V$2:$V$1001,0),0), INDEX($AC$1004:$AS$1004,1,MATCH(COLUMNS($AC$1006:AQ1006),$AC$1006:$AS$1006,0)))),"Fix")))</f>
        <v xml:space="preserve"> </v>
      </c>
      <c r="Q352" s="4" t="str">
        <f ca="1">IF(OR(INDEX($W$2:$W$1001,MATCH(ROWS($V$2:V352),$V$2:$V$1001,0),1)&gt;=100000,INDEX($AC$1005:$AS$1005,1,MATCH(COLUMNS($AC$1006:AR1006),$AC$1006:$AS$1006,0))&gt;=100000), " ",IF(INDEX($AC$2:$AS$1001,MATCH(ROWS($V$2:V352),$V$2:$V$1001,0),MATCH(COLUMNS($AC$1006:AR1006),$AC$1006:$AS$1006,0)), HYPERLINK("#",""), HYPERLINK(CONCATENATE("#metadata!", ADDRESS(INDEX($X$2:$X$1001,MATCH(ROWS($V$2:V352),$V$2:$V$1001,0),0), INDEX($AC$1004:$AS$1004,1,MATCH(COLUMNS($AC$1006:AR1006),$AC$1006:$AS$1006,0)))),"Fix")))</f>
        <v xml:space="preserve"> </v>
      </c>
      <c r="R352" s="4" t="str">
        <f ca="1">IF(OR(INDEX($W$2:$W$1001,MATCH(ROWS($V$2:V352),$V$2:$V$1001,0),1)&gt;=100000,INDEX($AC$1005:$AS$1005,1,MATCH(COLUMNS($AC$1006:AS1006),$AC$1006:$AS$1006,0))&gt;=100000), " ",IF(INDEX($AC$2:$AS$1001,MATCH(ROWS($V$2:V352),$V$2:$V$1001,0),MATCH(COLUMNS($AC$1006:AS1006),$AC$1006:$AS$1006,0)), HYPERLINK("#",""), HYPERLINK(CONCATENATE("#metadata!", ADDRESS(INDEX($X$2:$X$1001,MATCH(ROWS($V$2:V352),$V$2:$V$1001,0),0), INDEX($AC$1004:$AS$1004,1,MATCH(COLUMNS($AC$1006:AS1006),$AC$1006:$AS$1006,0)))),"Fix")))</f>
        <v xml:space="preserve"> </v>
      </c>
      <c r="V352">
        <v>351</v>
      </c>
      <c r="W352">
        <v>100352</v>
      </c>
      <c r="X352">
        <v>352</v>
      </c>
      <c r="Y352" t="b">
        <f t="shared" si="5"/>
        <v>1</v>
      </c>
      <c r="Z352" t="b">
        <f>COUNTBLANK(metadata!B352:R352)=COLUMNS(metadata!B352:R352)</f>
        <v>1</v>
      </c>
      <c r="AA352" t="str">
        <v/>
      </c>
      <c r="AC352" t="b">
        <f ca="1"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AD352" t="b">
        <f>IF(metadata!C352="",FALSE,ISNUMBER(VALUE(metadata!C352)))</f>
        <v>0</v>
      </c>
      <c r="AE352" t="b">
        <f>AND(IF(metadata!D352="",FALSE,TRUE),EXACT(metadata!D352,"years"))</f>
        <v>0</v>
      </c>
      <c r="AF352" t="b">
        <f>OR(AND(IF(metadata!E352="",FALSE,TRUE),OR(EXACT(metadata!E352,"not applicable"),EXACT(metadata!E352,"missing: not collected"),EXACT(metadata!E352,"missing: not provided"),EXACT(metadata!E352,"missing: restricted access"))),AND(IF(metadata!E352="",FALSE,ISNUMBER(VALUE(metadata!E352))),metadata!E352&gt;0))</f>
        <v>0</v>
      </c>
      <c r="AG352" t="b">
        <f>AND(IF(metadata!F352="",FALSE,TRUE),EXACT(metadata!F352,"Not applicable"))</f>
        <v>0</v>
      </c>
      <c r="AH352" t="b">
        <f>AND(IF(metadata!G352="",FALSE,TRUE),EXACT(metadata!G352,"urban biome"))</f>
        <v>0</v>
      </c>
      <c r="AI352" t="b">
        <f>AND(IF(metadata!H352="",FALSE,TRUE),EXACT(metadata!H352,"human-associated habitat"))</f>
        <v>0</v>
      </c>
      <c r="AJ352" t="b">
        <f>AND(IF(metadata!I352="",FALSE,TRUE),OR(EXACT(metadata!I352,"human-associated"),EXACT(metadata!I352,"human-skin"),EXACT(metadata!I352,"human-oral"),EXACT(metadata!I352,"human-gut"),EXACT(metadata!I352,"human-vaginal")))</f>
        <v>0</v>
      </c>
      <c r="AK352" t="b">
        <f>IF(metadata!J352="",FALSE,ISNUMBER(VALUE(metadata!J352)))</f>
        <v>0</v>
      </c>
      <c r="AL352" t="b">
        <f>AND(IF(metadata!K352="",FALSE,TRUE),EXACT(metadata!K352,"cm"))</f>
        <v>0</v>
      </c>
      <c r="AM352" t="b">
        <f>AND(IF(metadata!L352="",FALSE,TRUE),EXACT(metadata!L352,"human"))</f>
        <v>0</v>
      </c>
      <c r="AN352" t="b">
        <f>AND(IF(metadata!M352="",FALSE,TRUE),EXACT(metadata!M352,"Homo sapiens"))</f>
        <v>0</v>
      </c>
      <c r="AO352" t="b">
        <f>AND(IF(metadata!N352="",FALSE,TRUE),EXACT(metadata!N352,"9606"))</f>
        <v>0</v>
      </c>
      <c r="AP352" t="b">
        <f>IF(metadata!O352="",FALSE,TRUE)</f>
        <v>0</v>
      </c>
      <c r="AQ352" t="b">
        <f>IF(metadata!P352="",FALSE,TRUE)</f>
        <v>0</v>
      </c>
      <c r="AR352" t="b">
        <f>IF(metadata!Q352="",FALSE,ISNUMBER(VALUE(metadata!Q352)))</f>
        <v>0</v>
      </c>
      <c r="AS352" t="b">
        <f>AND(IF(metadata!R352="",FALSE,TRUE),EXACT(metadata!R352,"kg"))</f>
        <v>0</v>
      </c>
    </row>
    <row r="353" spans="1:45" x14ac:dyDescent="0.2">
      <c r="A353" s="5" t="str">
        <f ca="1">IF(B353=" "," ",HYPERLINK(CONCATENATE("#metadata!",ADDRESS(INDEX($X$2:$X$1001,MATCH(ROWS($V$2:V353),$V$2:$V$1001,0),0),1)),INDEX($AA$2:$AA$1001,MATCH(ROWS($V$2:V353),$V$2:$V$1001,0),0)))</f>
        <v xml:space="preserve"> </v>
      </c>
      <c r="B353" s="4" t="str">
        <f ca="1">IF(OR(INDEX($W$2:$W$1001,MATCH(ROWS($V$2:V353),$V$2:$V$1001,0),1)&gt;=100000,INDEX($AC$1005:$AS$1005,1,MATCH(COLUMNS($AC$1006:AC1006),$AC$1006:$AS$1006,0))&gt;=100000), " ",IF(INDEX($AC$2:$AS$1001,MATCH(ROWS($V$2:V353),$V$2:$V$1001,0),MATCH(COLUMNS($AC$1006:AC1006),$AC$1006:$AS$1006,0)), HYPERLINK("#",""), HYPERLINK(CONCATENATE("#metadata!", ADDRESS(INDEX($X$2:$X$1001,MATCH(ROWS($V$2:V353),$V$2:$V$1001,0),0), INDEX($AC$1004:$AS$1004,1,MATCH(COLUMNS($AC$1006:AC1006),$AC$1006:$AS$1006,0)))),"Fix")))</f>
        <v xml:space="preserve"> </v>
      </c>
      <c r="C353" s="4" t="str">
        <f ca="1">IF(OR(INDEX($W$2:$W$1001,MATCH(ROWS($V$2:V353),$V$2:$V$1001,0),1)&gt;=100000,INDEX($AC$1005:$AS$1005,1,MATCH(COLUMNS($AC$1006:AD1006),$AC$1006:$AS$1006,0))&gt;=100000), " ",IF(INDEX($AC$2:$AS$1001,MATCH(ROWS($V$2:V353),$V$2:$V$1001,0),MATCH(COLUMNS($AC$1006:AD1006),$AC$1006:$AS$1006,0)), HYPERLINK("#",""), HYPERLINK(CONCATENATE("#metadata!", ADDRESS(INDEX($X$2:$X$1001,MATCH(ROWS($V$2:V353),$V$2:$V$1001,0),0), INDEX($AC$1004:$AS$1004,1,MATCH(COLUMNS($AC$1006:AD1006),$AC$1006:$AS$1006,0)))),"Fix")))</f>
        <v xml:space="preserve"> </v>
      </c>
      <c r="D353" s="4" t="str">
        <f ca="1">IF(OR(INDEX($W$2:$W$1001,MATCH(ROWS($V$2:V353),$V$2:$V$1001,0),1)&gt;=100000,INDEX($AC$1005:$AS$1005,1,MATCH(COLUMNS($AC$1006:AE1006),$AC$1006:$AS$1006,0))&gt;=100000), " ",IF(INDEX($AC$2:$AS$1001,MATCH(ROWS($V$2:V353),$V$2:$V$1001,0),MATCH(COLUMNS($AC$1006:AE1006),$AC$1006:$AS$1006,0)), HYPERLINK("#",""), HYPERLINK(CONCATENATE("#metadata!", ADDRESS(INDEX($X$2:$X$1001,MATCH(ROWS($V$2:V353),$V$2:$V$1001,0),0), INDEX($AC$1004:$AS$1004,1,MATCH(COLUMNS($AC$1006:AE1006),$AC$1006:$AS$1006,0)))),"Fix")))</f>
        <v xml:space="preserve"> </v>
      </c>
      <c r="E353" s="4" t="str">
        <f ca="1">IF(OR(INDEX($W$2:$W$1001,MATCH(ROWS($V$2:V353),$V$2:$V$1001,0),1)&gt;=100000,INDEX($AC$1005:$AS$1005,1,MATCH(COLUMNS($AC$1006:AF1006),$AC$1006:$AS$1006,0))&gt;=100000), " ",IF(INDEX($AC$2:$AS$1001,MATCH(ROWS($V$2:V353),$V$2:$V$1001,0),MATCH(COLUMNS($AC$1006:AF1006),$AC$1006:$AS$1006,0)), HYPERLINK("#",""), HYPERLINK(CONCATENATE("#metadata!", ADDRESS(INDEX($X$2:$X$1001,MATCH(ROWS($V$2:V353),$V$2:$V$1001,0),0), INDEX($AC$1004:$AS$1004,1,MATCH(COLUMNS($AC$1006:AF1006),$AC$1006:$AS$1006,0)))),"Fix")))</f>
        <v xml:space="preserve"> </v>
      </c>
      <c r="F353" s="4" t="str">
        <f ca="1">IF(OR(INDEX($W$2:$W$1001,MATCH(ROWS($V$2:V353),$V$2:$V$1001,0),1)&gt;=100000,INDEX($AC$1005:$AS$1005,1,MATCH(COLUMNS($AC$1006:AG1006),$AC$1006:$AS$1006,0))&gt;=100000), " ",IF(INDEX($AC$2:$AS$1001,MATCH(ROWS($V$2:V353),$V$2:$V$1001,0),MATCH(COLUMNS($AC$1006:AG1006),$AC$1006:$AS$1006,0)), HYPERLINK("#",""), HYPERLINK(CONCATENATE("#metadata!", ADDRESS(INDEX($X$2:$X$1001,MATCH(ROWS($V$2:V353),$V$2:$V$1001,0),0), INDEX($AC$1004:$AS$1004,1,MATCH(COLUMNS($AC$1006:AG1006),$AC$1006:$AS$1006,0)))),"Fix")))</f>
        <v xml:space="preserve"> </v>
      </c>
      <c r="G353" s="4" t="str">
        <f ca="1">IF(OR(INDEX($W$2:$W$1001,MATCH(ROWS($V$2:V353),$V$2:$V$1001,0),1)&gt;=100000,INDEX($AC$1005:$AS$1005,1,MATCH(COLUMNS($AC$1006:AH1006),$AC$1006:$AS$1006,0))&gt;=100000), " ",IF(INDEX($AC$2:$AS$1001,MATCH(ROWS($V$2:V353),$V$2:$V$1001,0),MATCH(COLUMNS($AC$1006:AH1006),$AC$1006:$AS$1006,0)), HYPERLINK("#",""), HYPERLINK(CONCATENATE("#metadata!", ADDRESS(INDEX($X$2:$X$1001,MATCH(ROWS($V$2:V353),$V$2:$V$1001,0),0), INDEX($AC$1004:$AS$1004,1,MATCH(COLUMNS($AC$1006:AH1006),$AC$1006:$AS$1006,0)))),"Fix")))</f>
        <v xml:space="preserve"> </v>
      </c>
      <c r="H353" s="4" t="str">
        <f ca="1">IF(OR(INDEX($W$2:$W$1001,MATCH(ROWS($V$2:V353),$V$2:$V$1001,0),1)&gt;=100000,INDEX($AC$1005:$AS$1005,1,MATCH(COLUMNS($AC$1006:AI1006),$AC$1006:$AS$1006,0))&gt;=100000), " ",IF(INDEX($AC$2:$AS$1001,MATCH(ROWS($V$2:V353),$V$2:$V$1001,0),MATCH(COLUMNS($AC$1006:AI1006),$AC$1006:$AS$1006,0)), HYPERLINK("#",""), HYPERLINK(CONCATENATE("#metadata!", ADDRESS(INDEX($X$2:$X$1001,MATCH(ROWS($V$2:V353),$V$2:$V$1001,0),0), INDEX($AC$1004:$AS$1004,1,MATCH(COLUMNS($AC$1006:AI1006),$AC$1006:$AS$1006,0)))),"Fix")))</f>
        <v xml:space="preserve"> </v>
      </c>
      <c r="I353" s="4" t="str">
        <f ca="1">IF(OR(INDEX($W$2:$W$1001,MATCH(ROWS($V$2:V353),$V$2:$V$1001,0),1)&gt;=100000,INDEX($AC$1005:$AS$1005,1,MATCH(COLUMNS($AC$1006:AJ1006),$AC$1006:$AS$1006,0))&gt;=100000), " ",IF(INDEX($AC$2:$AS$1001,MATCH(ROWS($V$2:V353),$V$2:$V$1001,0),MATCH(COLUMNS($AC$1006:AJ1006),$AC$1006:$AS$1006,0)), HYPERLINK("#",""), HYPERLINK(CONCATENATE("#metadata!", ADDRESS(INDEX($X$2:$X$1001,MATCH(ROWS($V$2:V353),$V$2:$V$1001,0),0), INDEX($AC$1004:$AS$1004,1,MATCH(COLUMNS($AC$1006:AJ1006),$AC$1006:$AS$1006,0)))),"Fix")))</f>
        <v xml:space="preserve"> </v>
      </c>
      <c r="J353" s="4" t="str">
        <f ca="1">IF(OR(INDEX($W$2:$W$1001,MATCH(ROWS($V$2:V353),$V$2:$V$1001,0),1)&gt;=100000,INDEX($AC$1005:$AS$1005,1,MATCH(COLUMNS($AC$1006:AK1006),$AC$1006:$AS$1006,0))&gt;=100000), " ",IF(INDEX($AC$2:$AS$1001,MATCH(ROWS($V$2:V353),$V$2:$V$1001,0),MATCH(COLUMNS($AC$1006:AK1006),$AC$1006:$AS$1006,0)), HYPERLINK("#",""), HYPERLINK(CONCATENATE("#metadata!", ADDRESS(INDEX($X$2:$X$1001,MATCH(ROWS($V$2:V353),$V$2:$V$1001,0),0), INDEX($AC$1004:$AS$1004,1,MATCH(COLUMNS($AC$1006:AK1006),$AC$1006:$AS$1006,0)))),"Fix")))</f>
        <v xml:space="preserve"> </v>
      </c>
      <c r="K353" s="4" t="str">
        <f ca="1">IF(OR(INDEX($W$2:$W$1001,MATCH(ROWS($V$2:V353),$V$2:$V$1001,0),1)&gt;=100000,INDEX($AC$1005:$AS$1005,1,MATCH(COLUMNS($AC$1006:AL1006),$AC$1006:$AS$1006,0))&gt;=100000), " ",IF(INDEX($AC$2:$AS$1001,MATCH(ROWS($V$2:V353),$V$2:$V$1001,0),MATCH(COLUMNS($AC$1006:AL1006),$AC$1006:$AS$1006,0)), HYPERLINK("#",""), HYPERLINK(CONCATENATE("#metadata!", ADDRESS(INDEX($X$2:$X$1001,MATCH(ROWS($V$2:V353),$V$2:$V$1001,0),0), INDEX($AC$1004:$AS$1004,1,MATCH(COLUMNS($AC$1006:AL1006),$AC$1006:$AS$1006,0)))),"Fix")))</f>
        <v xml:space="preserve"> </v>
      </c>
      <c r="L353" s="4" t="str">
        <f ca="1">IF(OR(INDEX($W$2:$W$1001,MATCH(ROWS($V$2:V353),$V$2:$V$1001,0),1)&gt;=100000,INDEX($AC$1005:$AS$1005,1,MATCH(COLUMNS($AC$1006:AM1006),$AC$1006:$AS$1006,0))&gt;=100000), " ",IF(INDEX($AC$2:$AS$1001,MATCH(ROWS($V$2:V353),$V$2:$V$1001,0),MATCH(COLUMNS($AC$1006:AM1006),$AC$1006:$AS$1006,0)), HYPERLINK("#",""), HYPERLINK(CONCATENATE("#metadata!", ADDRESS(INDEX($X$2:$X$1001,MATCH(ROWS($V$2:V353),$V$2:$V$1001,0),0), INDEX($AC$1004:$AS$1004,1,MATCH(COLUMNS($AC$1006:AM1006),$AC$1006:$AS$1006,0)))),"Fix")))</f>
        <v xml:space="preserve"> </v>
      </c>
      <c r="M353" s="4" t="str">
        <f ca="1">IF(OR(INDEX($W$2:$W$1001,MATCH(ROWS($V$2:V353),$V$2:$V$1001,0),1)&gt;=100000,INDEX($AC$1005:$AS$1005,1,MATCH(COLUMNS($AC$1006:AN1006),$AC$1006:$AS$1006,0))&gt;=100000), " ",IF(INDEX($AC$2:$AS$1001,MATCH(ROWS($V$2:V353),$V$2:$V$1001,0),MATCH(COLUMNS($AC$1006:AN1006),$AC$1006:$AS$1006,0)), HYPERLINK("#",""), HYPERLINK(CONCATENATE("#metadata!", ADDRESS(INDEX($X$2:$X$1001,MATCH(ROWS($V$2:V353),$V$2:$V$1001,0),0), INDEX($AC$1004:$AS$1004,1,MATCH(COLUMNS($AC$1006:AN1006),$AC$1006:$AS$1006,0)))),"Fix")))</f>
        <v xml:space="preserve"> </v>
      </c>
      <c r="N353" s="4" t="str">
        <f ca="1">IF(OR(INDEX($W$2:$W$1001,MATCH(ROWS($V$2:V353),$V$2:$V$1001,0),1)&gt;=100000,INDEX($AC$1005:$AS$1005,1,MATCH(COLUMNS($AC$1006:AO1006),$AC$1006:$AS$1006,0))&gt;=100000), " ",IF(INDEX($AC$2:$AS$1001,MATCH(ROWS($V$2:V353),$V$2:$V$1001,0),MATCH(COLUMNS($AC$1006:AO1006),$AC$1006:$AS$1006,0)), HYPERLINK("#",""), HYPERLINK(CONCATENATE("#metadata!", ADDRESS(INDEX($X$2:$X$1001,MATCH(ROWS($V$2:V353),$V$2:$V$1001,0),0), INDEX($AC$1004:$AS$1004,1,MATCH(COLUMNS($AC$1006:AO1006),$AC$1006:$AS$1006,0)))),"Fix")))</f>
        <v xml:space="preserve"> </v>
      </c>
      <c r="O353" s="4" t="str">
        <f ca="1">IF(OR(INDEX($W$2:$W$1001,MATCH(ROWS($V$2:V353),$V$2:$V$1001,0),1)&gt;=100000,INDEX($AC$1005:$AS$1005,1,MATCH(COLUMNS($AC$1006:AP1006),$AC$1006:$AS$1006,0))&gt;=100000), " ",IF(INDEX($AC$2:$AS$1001,MATCH(ROWS($V$2:V353),$V$2:$V$1001,0),MATCH(COLUMNS($AC$1006:AP1006),$AC$1006:$AS$1006,0)), HYPERLINK("#",""), HYPERLINK(CONCATENATE("#metadata!", ADDRESS(INDEX($X$2:$X$1001,MATCH(ROWS($V$2:V353),$V$2:$V$1001,0),0), INDEX($AC$1004:$AS$1004,1,MATCH(COLUMNS($AC$1006:AP1006),$AC$1006:$AS$1006,0)))),"Fix")))</f>
        <v xml:space="preserve"> </v>
      </c>
      <c r="P353" s="4" t="str">
        <f ca="1">IF(OR(INDEX($W$2:$W$1001,MATCH(ROWS($V$2:V353),$V$2:$V$1001,0),1)&gt;=100000,INDEX($AC$1005:$AS$1005,1,MATCH(COLUMNS($AC$1006:AQ1006),$AC$1006:$AS$1006,0))&gt;=100000), " ",IF(INDEX($AC$2:$AS$1001,MATCH(ROWS($V$2:V353),$V$2:$V$1001,0),MATCH(COLUMNS($AC$1006:AQ1006),$AC$1006:$AS$1006,0)), HYPERLINK("#",""), HYPERLINK(CONCATENATE("#metadata!", ADDRESS(INDEX($X$2:$X$1001,MATCH(ROWS($V$2:V353),$V$2:$V$1001,0),0), INDEX($AC$1004:$AS$1004,1,MATCH(COLUMNS($AC$1006:AQ1006),$AC$1006:$AS$1006,0)))),"Fix")))</f>
        <v xml:space="preserve"> </v>
      </c>
      <c r="Q353" s="4" t="str">
        <f ca="1">IF(OR(INDEX($W$2:$W$1001,MATCH(ROWS($V$2:V353),$V$2:$V$1001,0),1)&gt;=100000,INDEX($AC$1005:$AS$1005,1,MATCH(COLUMNS($AC$1006:AR1006),$AC$1006:$AS$1006,0))&gt;=100000), " ",IF(INDEX($AC$2:$AS$1001,MATCH(ROWS($V$2:V353),$V$2:$V$1001,0),MATCH(COLUMNS($AC$1006:AR1006),$AC$1006:$AS$1006,0)), HYPERLINK("#",""), HYPERLINK(CONCATENATE("#metadata!", ADDRESS(INDEX($X$2:$X$1001,MATCH(ROWS($V$2:V353),$V$2:$V$1001,0),0), INDEX($AC$1004:$AS$1004,1,MATCH(COLUMNS($AC$1006:AR1006),$AC$1006:$AS$1006,0)))),"Fix")))</f>
        <v xml:space="preserve"> </v>
      </c>
      <c r="R353" s="4" t="str">
        <f ca="1">IF(OR(INDEX($W$2:$W$1001,MATCH(ROWS($V$2:V353),$V$2:$V$1001,0),1)&gt;=100000,INDEX($AC$1005:$AS$1005,1,MATCH(COLUMNS($AC$1006:AS1006),$AC$1006:$AS$1006,0))&gt;=100000), " ",IF(INDEX($AC$2:$AS$1001,MATCH(ROWS($V$2:V353),$V$2:$V$1001,0),MATCH(COLUMNS($AC$1006:AS1006),$AC$1006:$AS$1006,0)), HYPERLINK("#",""), HYPERLINK(CONCATENATE("#metadata!", ADDRESS(INDEX($X$2:$X$1001,MATCH(ROWS($V$2:V353),$V$2:$V$1001,0),0), INDEX($AC$1004:$AS$1004,1,MATCH(COLUMNS($AC$1006:AS1006),$AC$1006:$AS$1006,0)))),"Fix")))</f>
        <v xml:space="preserve"> </v>
      </c>
      <c r="V353">
        <v>352</v>
      </c>
      <c r="W353">
        <v>100353</v>
      </c>
      <c r="X353">
        <v>353</v>
      </c>
      <c r="Y353" t="b">
        <f t="shared" si="5"/>
        <v>1</v>
      </c>
      <c r="Z353" t="b">
        <f>COUNTBLANK(metadata!B353:R353)=COLUMNS(metadata!B353:R353)</f>
        <v>1</v>
      </c>
      <c r="AA353" t="str">
        <v/>
      </c>
      <c r="AC353" t="b">
        <f ca="1"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AD353" t="b">
        <f>IF(metadata!C353="",FALSE,ISNUMBER(VALUE(metadata!C353)))</f>
        <v>0</v>
      </c>
      <c r="AE353" t="b">
        <f>AND(IF(metadata!D353="",FALSE,TRUE),EXACT(metadata!D353,"years"))</f>
        <v>0</v>
      </c>
      <c r="AF353" t="b">
        <f>OR(AND(IF(metadata!E353="",FALSE,TRUE),OR(EXACT(metadata!E353,"not applicable"),EXACT(metadata!E353,"missing: not collected"),EXACT(metadata!E353,"missing: not provided"),EXACT(metadata!E353,"missing: restricted access"))),AND(IF(metadata!E353="",FALSE,ISNUMBER(VALUE(metadata!E353))),metadata!E353&gt;0))</f>
        <v>0</v>
      </c>
      <c r="AG353" t="b">
        <f>AND(IF(metadata!F353="",FALSE,TRUE),EXACT(metadata!F353,"Not applicable"))</f>
        <v>0</v>
      </c>
      <c r="AH353" t="b">
        <f>AND(IF(metadata!G353="",FALSE,TRUE),EXACT(metadata!G353,"urban biome"))</f>
        <v>0</v>
      </c>
      <c r="AI353" t="b">
        <f>AND(IF(metadata!H353="",FALSE,TRUE),EXACT(metadata!H353,"human-associated habitat"))</f>
        <v>0</v>
      </c>
      <c r="AJ353" t="b">
        <f>AND(IF(metadata!I353="",FALSE,TRUE),OR(EXACT(metadata!I353,"human-associated"),EXACT(metadata!I353,"human-skin"),EXACT(metadata!I353,"human-oral"),EXACT(metadata!I353,"human-gut"),EXACT(metadata!I353,"human-vaginal")))</f>
        <v>0</v>
      </c>
      <c r="AK353" t="b">
        <f>IF(metadata!J353="",FALSE,ISNUMBER(VALUE(metadata!J353)))</f>
        <v>0</v>
      </c>
      <c r="AL353" t="b">
        <f>AND(IF(metadata!K353="",FALSE,TRUE),EXACT(metadata!K353,"cm"))</f>
        <v>0</v>
      </c>
      <c r="AM353" t="b">
        <f>AND(IF(metadata!L353="",FALSE,TRUE),EXACT(metadata!L353,"human"))</f>
        <v>0</v>
      </c>
      <c r="AN353" t="b">
        <f>AND(IF(metadata!M353="",FALSE,TRUE),EXACT(metadata!M353,"Homo sapiens"))</f>
        <v>0</v>
      </c>
      <c r="AO353" t="b">
        <f>AND(IF(metadata!N353="",FALSE,TRUE),EXACT(metadata!N353,"9606"))</f>
        <v>0</v>
      </c>
      <c r="AP353" t="b">
        <f>IF(metadata!O353="",FALSE,TRUE)</f>
        <v>0</v>
      </c>
      <c r="AQ353" t="b">
        <f>IF(metadata!P353="",FALSE,TRUE)</f>
        <v>0</v>
      </c>
      <c r="AR353" t="b">
        <f>IF(metadata!Q353="",FALSE,ISNUMBER(VALUE(metadata!Q353)))</f>
        <v>0</v>
      </c>
      <c r="AS353" t="b">
        <f>AND(IF(metadata!R353="",FALSE,TRUE),EXACT(metadata!R353,"kg"))</f>
        <v>0</v>
      </c>
    </row>
    <row r="354" spans="1:45" x14ac:dyDescent="0.2">
      <c r="A354" s="5" t="str">
        <f ca="1">IF(B354=" "," ",HYPERLINK(CONCATENATE("#metadata!",ADDRESS(INDEX($X$2:$X$1001,MATCH(ROWS($V$2:V354),$V$2:$V$1001,0),0),1)),INDEX($AA$2:$AA$1001,MATCH(ROWS($V$2:V354),$V$2:$V$1001,0),0)))</f>
        <v xml:space="preserve"> </v>
      </c>
      <c r="B354" s="4" t="str">
        <f ca="1">IF(OR(INDEX($W$2:$W$1001,MATCH(ROWS($V$2:V354),$V$2:$V$1001,0),1)&gt;=100000,INDEX($AC$1005:$AS$1005,1,MATCH(COLUMNS($AC$1006:AC1006),$AC$1006:$AS$1006,0))&gt;=100000), " ",IF(INDEX($AC$2:$AS$1001,MATCH(ROWS($V$2:V354),$V$2:$V$1001,0),MATCH(COLUMNS($AC$1006:AC1006),$AC$1006:$AS$1006,0)), HYPERLINK("#",""), HYPERLINK(CONCATENATE("#metadata!", ADDRESS(INDEX($X$2:$X$1001,MATCH(ROWS($V$2:V354),$V$2:$V$1001,0),0), INDEX($AC$1004:$AS$1004,1,MATCH(COLUMNS($AC$1006:AC1006),$AC$1006:$AS$1006,0)))),"Fix")))</f>
        <v xml:space="preserve"> </v>
      </c>
      <c r="C354" s="4" t="str">
        <f ca="1">IF(OR(INDEX($W$2:$W$1001,MATCH(ROWS($V$2:V354),$V$2:$V$1001,0),1)&gt;=100000,INDEX($AC$1005:$AS$1005,1,MATCH(COLUMNS($AC$1006:AD1006),$AC$1006:$AS$1006,0))&gt;=100000), " ",IF(INDEX($AC$2:$AS$1001,MATCH(ROWS($V$2:V354),$V$2:$V$1001,0),MATCH(COLUMNS($AC$1006:AD1006),$AC$1006:$AS$1006,0)), HYPERLINK("#",""), HYPERLINK(CONCATENATE("#metadata!", ADDRESS(INDEX($X$2:$X$1001,MATCH(ROWS($V$2:V354),$V$2:$V$1001,0),0), INDEX($AC$1004:$AS$1004,1,MATCH(COLUMNS($AC$1006:AD1006),$AC$1006:$AS$1006,0)))),"Fix")))</f>
        <v xml:space="preserve"> </v>
      </c>
      <c r="D354" s="4" t="str">
        <f ca="1">IF(OR(INDEX($W$2:$W$1001,MATCH(ROWS($V$2:V354),$V$2:$V$1001,0),1)&gt;=100000,INDEX($AC$1005:$AS$1005,1,MATCH(COLUMNS($AC$1006:AE1006),$AC$1006:$AS$1006,0))&gt;=100000), " ",IF(INDEX($AC$2:$AS$1001,MATCH(ROWS($V$2:V354),$V$2:$V$1001,0),MATCH(COLUMNS($AC$1006:AE1006),$AC$1006:$AS$1006,0)), HYPERLINK("#",""), HYPERLINK(CONCATENATE("#metadata!", ADDRESS(INDEX($X$2:$X$1001,MATCH(ROWS($V$2:V354),$V$2:$V$1001,0),0), INDEX($AC$1004:$AS$1004,1,MATCH(COLUMNS($AC$1006:AE1006),$AC$1006:$AS$1006,0)))),"Fix")))</f>
        <v xml:space="preserve"> </v>
      </c>
      <c r="E354" s="4" t="str">
        <f ca="1">IF(OR(INDEX($W$2:$W$1001,MATCH(ROWS($V$2:V354),$V$2:$V$1001,0),1)&gt;=100000,INDEX($AC$1005:$AS$1005,1,MATCH(COLUMNS($AC$1006:AF1006),$AC$1006:$AS$1006,0))&gt;=100000), " ",IF(INDEX($AC$2:$AS$1001,MATCH(ROWS($V$2:V354),$V$2:$V$1001,0),MATCH(COLUMNS($AC$1006:AF1006),$AC$1006:$AS$1006,0)), HYPERLINK("#",""), HYPERLINK(CONCATENATE("#metadata!", ADDRESS(INDEX($X$2:$X$1001,MATCH(ROWS($V$2:V354),$V$2:$V$1001,0),0), INDEX($AC$1004:$AS$1004,1,MATCH(COLUMNS($AC$1006:AF1006),$AC$1006:$AS$1006,0)))),"Fix")))</f>
        <v xml:space="preserve"> </v>
      </c>
      <c r="F354" s="4" t="str">
        <f ca="1">IF(OR(INDEX($W$2:$W$1001,MATCH(ROWS($V$2:V354),$V$2:$V$1001,0),1)&gt;=100000,INDEX($AC$1005:$AS$1005,1,MATCH(COLUMNS($AC$1006:AG1006),$AC$1006:$AS$1006,0))&gt;=100000), " ",IF(INDEX($AC$2:$AS$1001,MATCH(ROWS($V$2:V354),$V$2:$V$1001,0),MATCH(COLUMNS($AC$1006:AG1006),$AC$1006:$AS$1006,0)), HYPERLINK("#",""), HYPERLINK(CONCATENATE("#metadata!", ADDRESS(INDEX($X$2:$X$1001,MATCH(ROWS($V$2:V354),$V$2:$V$1001,0),0), INDEX($AC$1004:$AS$1004,1,MATCH(COLUMNS($AC$1006:AG1006),$AC$1006:$AS$1006,0)))),"Fix")))</f>
        <v xml:space="preserve"> </v>
      </c>
      <c r="G354" s="4" t="str">
        <f ca="1">IF(OR(INDEX($W$2:$W$1001,MATCH(ROWS($V$2:V354),$V$2:$V$1001,0),1)&gt;=100000,INDEX($AC$1005:$AS$1005,1,MATCH(COLUMNS($AC$1006:AH1006),$AC$1006:$AS$1006,0))&gt;=100000), " ",IF(INDEX($AC$2:$AS$1001,MATCH(ROWS($V$2:V354),$V$2:$V$1001,0),MATCH(COLUMNS($AC$1006:AH1006),$AC$1006:$AS$1006,0)), HYPERLINK("#",""), HYPERLINK(CONCATENATE("#metadata!", ADDRESS(INDEX($X$2:$X$1001,MATCH(ROWS($V$2:V354),$V$2:$V$1001,0),0), INDEX($AC$1004:$AS$1004,1,MATCH(COLUMNS($AC$1006:AH1006),$AC$1006:$AS$1006,0)))),"Fix")))</f>
        <v xml:space="preserve"> </v>
      </c>
      <c r="H354" s="4" t="str">
        <f ca="1">IF(OR(INDEX($W$2:$W$1001,MATCH(ROWS($V$2:V354),$V$2:$V$1001,0),1)&gt;=100000,INDEX($AC$1005:$AS$1005,1,MATCH(COLUMNS($AC$1006:AI1006),$AC$1006:$AS$1006,0))&gt;=100000), " ",IF(INDEX($AC$2:$AS$1001,MATCH(ROWS($V$2:V354),$V$2:$V$1001,0),MATCH(COLUMNS($AC$1006:AI1006),$AC$1006:$AS$1006,0)), HYPERLINK("#",""), HYPERLINK(CONCATENATE("#metadata!", ADDRESS(INDEX($X$2:$X$1001,MATCH(ROWS($V$2:V354),$V$2:$V$1001,0),0), INDEX($AC$1004:$AS$1004,1,MATCH(COLUMNS($AC$1006:AI1006),$AC$1006:$AS$1006,0)))),"Fix")))</f>
        <v xml:space="preserve"> </v>
      </c>
      <c r="I354" s="4" t="str">
        <f ca="1">IF(OR(INDEX($W$2:$W$1001,MATCH(ROWS($V$2:V354),$V$2:$V$1001,0),1)&gt;=100000,INDEX($AC$1005:$AS$1005,1,MATCH(COLUMNS($AC$1006:AJ1006),$AC$1006:$AS$1006,0))&gt;=100000), " ",IF(INDEX($AC$2:$AS$1001,MATCH(ROWS($V$2:V354),$V$2:$V$1001,0),MATCH(COLUMNS($AC$1006:AJ1006),$AC$1006:$AS$1006,0)), HYPERLINK("#",""), HYPERLINK(CONCATENATE("#metadata!", ADDRESS(INDEX($X$2:$X$1001,MATCH(ROWS($V$2:V354),$V$2:$V$1001,0),0), INDEX($AC$1004:$AS$1004,1,MATCH(COLUMNS($AC$1006:AJ1006),$AC$1006:$AS$1006,0)))),"Fix")))</f>
        <v xml:space="preserve"> </v>
      </c>
      <c r="J354" s="4" t="str">
        <f ca="1">IF(OR(INDEX($W$2:$W$1001,MATCH(ROWS($V$2:V354),$V$2:$V$1001,0),1)&gt;=100000,INDEX($AC$1005:$AS$1005,1,MATCH(COLUMNS($AC$1006:AK1006),$AC$1006:$AS$1006,0))&gt;=100000), " ",IF(INDEX($AC$2:$AS$1001,MATCH(ROWS($V$2:V354),$V$2:$V$1001,0),MATCH(COLUMNS($AC$1006:AK1006),$AC$1006:$AS$1006,0)), HYPERLINK("#",""), HYPERLINK(CONCATENATE("#metadata!", ADDRESS(INDEX($X$2:$X$1001,MATCH(ROWS($V$2:V354),$V$2:$V$1001,0),0), INDEX($AC$1004:$AS$1004,1,MATCH(COLUMNS($AC$1006:AK1006),$AC$1006:$AS$1006,0)))),"Fix")))</f>
        <v xml:space="preserve"> </v>
      </c>
      <c r="K354" s="4" t="str">
        <f ca="1">IF(OR(INDEX($W$2:$W$1001,MATCH(ROWS($V$2:V354),$V$2:$V$1001,0),1)&gt;=100000,INDEX($AC$1005:$AS$1005,1,MATCH(COLUMNS($AC$1006:AL1006),$AC$1006:$AS$1006,0))&gt;=100000), " ",IF(INDEX($AC$2:$AS$1001,MATCH(ROWS($V$2:V354),$V$2:$V$1001,0),MATCH(COLUMNS($AC$1006:AL1006),$AC$1006:$AS$1006,0)), HYPERLINK("#",""), HYPERLINK(CONCATENATE("#metadata!", ADDRESS(INDEX($X$2:$X$1001,MATCH(ROWS($V$2:V354),$V$2:$V$1001,0),0), INDEX($AC$1004:$AS$1004,1,MATCH(COLUMNS($AC$1006:AL1006),$AC$1006:$AS$1006,0)))),"Fix")))</f>
        <v xml:space="preserve"> </v>
      </c>
      <c r="L354" s="4" t="str">
        <f ca="1">IF(OR(INDEX($W$2:$W$1001,MATCH(ROWS($V$2:V354),$V$2:$V$1001,0),1)&gt;=100000,INDEX($AC$1005:$AS$1005,1,MATCH(COLUMNS($AC$1006:AM1006),$AC$1006:$AS$1006,0))&gt;=100000), " ",IF(INDEX($AC$2:$AS$1001,MATCH(ROWS($V$2:V354),$V$2:$V$1001,0),MATCH(COLUMNS($AC$1006:AM1006),$AC$1006:$AS$1006,0)), HYPERLINK("#",""), HYPERLINK(CONCATENATE("#metadata!", ADDRESS(INDEX($X$2:$X$1001,MATCH(ROWS($V$2:V354),$V$2:$V$1001,0),0), INDEX($AC$1004:$AS$1004,1,MATCH(COLUMNS($AC$1006:AM1006),$AC$1006:$AS$1006,0)))),"Fix")))</f>
        <v xml:space="preserve"> </v>
      </c>
      <c r="M354" s="4" t="str">
        <f ca="1">IF(OR(INDEX($W$2:$W$1001,MATCH(ROWS($V$2:V354),$V$2:$V$1001,0),1)&gt;=100000,INDEX($AC$1005:$AS$1005,1,MATCH(COLUMNS($AC$1006:AN1006),$AC$1006:$AS$1006,0))&gt;=100000), " ",IF(INDEX($AC$2:$AS$1001,MATCH(ROWS($V$2:V354),$V$2:$V$1001,0),MATCH(COLUMNS($AC$1006:AN1006),$AC$1006:$AS$1006,0)), HYPERLINK("#",""), HYPERLINK(CONCATENATE("#metadata!", ADDRESS(INDEX($X$2:$X$1001,MATCH(ROWS($V$2:V354),$V$2:$V$1001,0),0), INDEX($AC$1004:$AS$1004,1,MATCH(COLUMNS($AC$1006:AN1006),$AC$1006:$AS$1006,0)))),"Fix")))</f>
        <v xml:space="preserve"> </v>
      </c>
      <c r="N354" s="4" t="str">
        <f ca="1">IF(OR(INDEX($W$2:$W$1001,MATCH(ROWS($V$2:V354),$V$2:$V$1001,0),1)&gt;=100000,INDEX($AC$1005:$AS$1005,1,MATCH(COLUMNS($AC$1006:AO1006),$AC$1006:$AS$1006,0))&gt;=100000), " ",IF(INDEX($AC$2:$AS$1001,MATCH(ROWS($V$2:V354),$V$2:$V$1001,0),MATCH(COLUMNS($AC$1006:AO1006),$AC$1006:$AS$1006,0)), HYPERLINK("#",""), HYPERLINK(CONCATENATE("#metadata!", ADDRESS(INDEX($X$2:$X$1001,MATCH(ROWS($V$2:V354),$V$2:$V$1001,0),0), INDEX($AC$1004:$AS$1004,1,MATCH(COLUMNS($AC$1006:AO1006),$AC$1006:$AS$1006,0)))),"Fix")))</f>
        <v xml:space="preserve"> </v>
      </c>
      <c r="O354" s="4" t="str">
        <f ca="1">IF(OR(INDEX($W$2:$W$1001,MATCH(ROWS($V$2:V354),$V$2:$V$1001,0),1)&gt;=100000,INDEX($AC$1005:$AS$1005,1,MATCH(COLUMNS($AC$1006:AP1006),$AC$1006:$AS$1006,0))&gt;=100000), " ",IF(INDEX($AC$2:$AS$1001,MATCH(ROWS($V$2:V354),$V$2:$V$1001,0),MATCH(COLUMNS($AC$1006:AP1006),$AC$1006:$AS$1006,0)), HYPERLINK("#",""), HYPERLINK(CONCATENATE("#metadata!", ADDRESS(INDEX($X$2:$X$1001,MATCH(ROWS($V$2:V354),$V$2:$V$1001,0),0), INDEX($AC$1004:$AS$1004,1,MATCH(COLUMNS($AC$1006:AP1006),$AC$1006:$AS$1006,0)))),"Fix")))</f>
        <v xml:space="preserve"> </v>
      </c>
      <c r="P354" s="4" t="str">
        <f ca="1">IF(OR(INDEX($W$2:$W$1001,MATCH(ROWS($V$2:V354),$V$2:$V$1001,0),1)&gt;=100000,INDEX($AC$1005:$AS$1005,1,MATCH(COLUMNS($AC$1006:AQ1006),$AC$1006:$AS$1006,0))&gt;=100000), " ",IF(INDEX($AC$2:$AS$1001,MATCH(ROWS($V$2:V354),$V$2:$V$1001,0),MATCH(COLUMNS($AC$1006:AQ1006),$AC$1006:$AS$1006,0)), HYPERLINK("#",""), HYPERLINK(CONCATENATE("#metadata!", ADDRESS(INDEX($X$2:$X$1001,MATCH(ROWS($V$2:V354),$V$2:$V$1001,0),0), INDEX($AC$1004:$AS$1004,1,MATCH(COLUMNS($AC$1006:AQ1006),$AC$1006:$AS$1006,0)))),"Fix")))</f>
        <v xml:space="preserve"> </v>
      </c>
      <c r="Q354" s="4" t="str">
        <f ca="1">IF(OR(INDEX($W$2:$W$1001,MATCH(ROWS($V$2:V354),$V$2:$V$1001,0),1)&gt;=100000,INDEX($AC$1005:$AS$1005,1,MATCH(COLUMNS($AC$1006:AR1006),$AC$1006:$AS$1006,0))&gt;=100000), " ",IF(INDEX($AC$2:$AS$1001,MATCH(ROWS($V$2:V354),$V$2:$V$1001,0),MATCH(COLUMNS($AC$1006:AR1006),$AC$1006:$AS$1006,0)), HYPERLINK("#",""), HYPERLINK(CONCATENATE("#metadata!", ADDRESS(INDEX($X$2:$X$1001,MATCH(ROWS($V$2:V354),$V$2:$V$1001,0),0), INDEX($AC$1004:$AS$1004,1,MATCH(COLUMNS($AC$1006:AR1006),$AC$1006:$AS$1006,0)))),"Fix")))</f>
        <v xml:space="preserve"> </v>
      </c>
      <c r="R354" s="4" t="str">
        <f ca="1">IF(OR(INDEX($W$2:$W$1001,MATCH(ROWS($V$2:V354),$V$2:$V$1001,0),1)&gt;=100000,INDEX($AC$1005:$AS$1005,1,MATCH(COLUMNS($AC$1006:AS1006),$AC$1006:$AS$1006,0))&gt;=100000), " ",IF(INDEX($AC$2:$AS$1001,MATCH(ROWS($V$2:V354),$V$2:$V$1001,0),MATCH(COLUMNS($AC$1006:AS1006),$AC$1006:$AS$1006,0)), HYPERLINK("#",""), HYPERLINK(CONCATENATE("#metadata!", ADDRESS(INDEX($X$2:$X$1001,MATCH(ROWS($V$2:V354),$V$2:$V$1001,0),0), INDEX($AC$1004:$AS$1004,1,MATCH(COLUMNS($AC$1006:AS1006),$AC$1006:$AS$1006,0)))),"Fix")))</f>
        <v xml:space="preserve"> </v>
      </c>
      <c r="V354">
        <v>353</v>
      </c>
      <c r="W354">
        <v>100354</v>
      </c>
      <c r="X354">
        <v>354</v>
      </c>
      <c r="Y354" t="b">
        <f t="shared" si="5"/>
        <v>1</v>
      </c>
      <c r="Z354" t="b">
        <f>COUNTBLANK(metadata!B354:R354)=COLUMNS(metadata!B354:R354)</f>
        <v>1</v>
      </c>
      <c r="AA354" t="str">
        <v/>
      </c>
      <c r="AC354" t="b">
        <f ca="1"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AD354" t="b">
        <f>IF(metadata!C354="",FALSE,ISNUMBER(VALUE(metadata!C354)))</f>
        <v>0</v>
      </c>
      <c r="AE354" t="b">
        <f>AND(IF(metadata!D354="",FALSE,TRUE),EXACT(metadata!D354,"years"))</f>
        <v>0</v>
      </c>
      <c r="AF354" t="b">
        <f>OR(AND(IF(metadata!E354="",FALSE,TRUE),OR(EXACT(metadata!E354,"not applicable"),EXACT(metadata!E354,"missing: not collected"),EXACT(metadata!E354,"missing: not provided"),EXACT(metadata!E354,"missing: restricted access"))),AND(IF(metadata!E354="",FALSE,ISNUMBER(VALUE(metadata!E354))),metadata!E354&gt;0))</f>
        <v>0</v>
      </c>
      <c r="AG354" t="b">
        <f>AND(IF(metadata!F354="",FALSE,TRUE),EXACT(metadata!F354,"Not applicable"))</f>
        <v>0</v>
      </c>
      <c r="AH354" t="b">
        <f>AND(IF(metadata!G354="",FALSE,TRUE),EXACT(metadata!G354,"urban biome"))</f>
        <v>0</v>
      </c>
      <c r="AI354" t="b">
        <f>AND(IF(metadata!H354="",FALSE,TRUE),EXACT(metadata!H354,"human-associated habitat"))</f>
        <v>0</v>
      </c>
      <c r="AJ354" t="b">
        <f>AND(IF(metadata!I354="",FALSE,TRUE),OR(EXACT(metadata!I354,"human-associated"),EXACT(metadata!I354,"human-skin"),EXACT(metadata!I354,"human-oral"),EXACT(metadata!I354,"human-gut"),EXACT(metadata!I354,"human-vaginal")))</f>
        <v>0</v>
      </c>
      <c r="AK354" t="b">
        <f>IF(metadata!J354="",FALSE,ISNUMBER(VALUE(metadata!J354)))</f>
        <v>0</v>
      </c>
      <c r="AL354" t="b">
        <f>AND(IF(metadata!K354="",FALSE,TRUE),EXACT(metadata!K354,"cm"))</f>
        <v>0</v>
      </c>
      <c r="AM354" t="b">
        <f>AND(IF(metadata!L354="",FALSE,TRUE),EXACT(metadata!L354,"human"))</f>
        <v>0</v>
      </c>
      <c r="AN354" t="b">
        <f>AND(IF(metadata!M354="",FALSE,TRUE),EXACT(metadata!M354,"Homo sapiens"))</f>
        <v>0</v>
      </c>
      <c r="AO354" t="b">
        <f>AND(IF(metadata!N354="",FALSE,TRUE),EXACT(metadata!N354,"9606"))</f>
        <v>0</v>
      </c>
      <c r="AP354" t="b">
        <f>IF(metadata!O354="",FALSE,TRUE)</f>
        <v>0</v>
      </c>
      <c r="AQ354" t="b">
        <f>IF(metadata!P354="",FALSE,TRUE)</f>
        <v>0</v>
      </c>
      <c r="AR354" t="b">
        <f>IF(metadata!Q354="",FALSE,ISNUMBER(VALUE(metadata!Q354)))</f>
        <v>0</v>
      </c>
      <c r="AS354" t="b">
        <f>AND(IF(metadata!R354="",FALSE,TRUE),EXACT(metadata!R354,"kg"))</f>
        <v>0</v>
      </c>
    </row>
    <row r="355" spans="1:45" x14ac:dyDescent="0.2">
      <c r="A355" s="5" t="str">
        <f ca="1">IF(B355=" "," ",HYPERLINK(CONCATENATE("#metadata!",ADDRESS(INDEX($X$2:$X$1001,MATCH(ROWS($V$2:V355),$V$2:$V$1001,0),0),1)),INDEX($AA$2:$AA$1001,MATCH(ROWS($V$2:V355),$V$2:$V$1001,0),0)))</f>
        <v xml:space="preserve"> </v>
      </c>
      <c r="B355" s="4" t="str">
        <f ca="1">IF(OR(INDEX($W$2:$W$1001,MATCH(ROWS($V$2:V355),$V$2:$V$1001,0),1)&gt;=100000,INDEX($AC$1005:$AS$1005,1,MATCH(COLUMNS($AC$1006:AC1006),$AC$1006:$AS$1006,0))&gt;=100000), " ",IF(INDEX($AC$2:$AS$1001,MATCH(ROWS($V$2:V355),$V$2:$V$1001,0),MATCH(COLUMNS($AC$1006:AC1006),$AC$1006:$AS$1006,0)), HYPERLINK("#",""), HYPERLINK(CONCATENATE("#metadata!", ADDRESS(INDEX($X$2:$X$1001,MATCH(ROWS($V$2:V355),$V$2:$V$1001,0),0), INDEX($AC$1004:$AS$1004,1,MATCH(COLUMNS($AC$1006:AC1006),$AC$1006:$AS$1006,0)))),"Fix")))</f>
        <v xml:space="preserve"> </v>
      </c>
      <c r="C355" s="4" t="str">
        <f ca="1">IF(OR(INDEX($W$2:$W$1001,MATCH(ROWS($V$2:V355),$V$2:$V$1001,0),1)&gt;=100000,INDEX($AC$1005:$AS$1005,1,MATCH(COLUMNS($AC$1006:AD1006),$AC$1006:$AS$1006,0))&gt;=100000), " ",IF(INDEX($AC$2:$AS$1001,MATCH(ROWS($V$2:V355),$V$2:$V$1001,0),MATCH(COLUMNS($AC$1006:AD1006),$AC$1006:$AS$1006,0)), HYPERLINK("#",""), HYPERLINK(CONCATENATE("#metadata!", ADDRESS(INDEX($X$2:$X$1001,MATCH(ROWS($V$2:V355),$V$2:$V$1001,0),0), INDEX($AC$1004:$AS$1004,1,MATCH(COLUMNS($AC$1006:AD1006),$AC$1006:$AS$1006,0)))),"Fix")))</f>
        <v xml:space="preserve"> </v>
      </c>
      <c r="D355" s="4" t="str">
        <f ca="1">IF(OR(INDEX($W$2:$W$1001,MATCH(ROWS($V$2:V355),$V$2:$V$1001,0),1)&gt;=100000,INDEX($AC$1005:$AS$1005,1,MATCH(COLUMNS($AC$1006:AE1006),$AC$1006:$AS$1006,0))&gt;=100000), " ",IF(INDEX($AC$2:$AS$1001,MATCH(ROWS($V$2:V355),$V$2:$V$1001,0),MATCH(COLUMNS($AC$1006:AE1006),$AC$1006:$AS$1006,0)), HYPERLINK("#",""), HYPERLINK(CONCATENATE("#metadata!", ADDRESS(INDEX($X$2:$X$1001,MATCH(ROWS($V$2:V355),$V$2:$V$1001,0),0), INDEX($AC$1004:$AS$1004,1,MATCH(COLUMNS($AC$1006:AE1006),$AC$1006:$AS$1006,0)))),"Fix")))</f>
        <v xml:space="preserve"> </v>
      </c>
      <c r="E355" s="4" t="str">
        <f ca="1">IF(OR(INDEX($W$2:$W$1001,MATCH(ROWS($V$2:V355),$V$2:$V$1001,0),1)&gt;=100000,INDEX($AC$1005:$AS$1005,1,MATCH(COLUMNS($AC$1006:AF1006),$AC$1006:$AS$1006,0))&gt;=100000), " ",IF(INDEX($AC$2:$AS$1001,MATCH(ROWS($V$2:V355),$V$2:$V$1001,0),MATCH(COLUMNS($AC$1006:AF1006),$AC$1006:$AS$1006,0)), HYPERLINK("#",""), HYPERLINK(CONCATENATE("#metadata!", ADDRESS(INDEX($X$2:$X$1001,MATCH(ROWS($V$2:V355),$V$2:$V$1001,0),0), INDEX($AC$1004:$AS$1004,1,MATCH(COLUMNS($AC$1006:AF1006),$AC$1006:$AS$1006,0)))),"Fix")))</f>
        <v xml:space="preserve"> </v>
      </c>
      <c r="F355" s="4" t="str">
        <f ca="1">IF(OR(INDEX($W$2:$W$1001,MATCH(ROWS($V$2:V355),$V$2:$V$1001,0),1)&gt;=100000,INDEX($AC$1005:$AS$1005,1,MATCH(COLUMNS($AC$1006:AG1006),$AC$1006:$AS$1006,0))&gt;=100000), " ",IF(INDEX($AC$2:$AS$1001,MATCH(ROWS($V$2:V355),$V$2:$V$1001,0),MATCH(COLUMNS($AC$1006:AG1006),$AC$1006:$AS$1006,0)), HYPERLINK("#",""), HYPERLINK(CONCATENATE("#metadata!", ADDRESS(INDEX($X$2:$X$1001,MATCH(ROWS($V$2:V355),$V$2:$V$1001,0),0), INDEX($AC$1004:$AS$1004,1,MATCH(COLUMNS($AC$1006:AG1006),$AC$1006:$AS$1006,0)))),"Fix")))</f>
        <v xml:space="preserve"> </v>
      </c>
      <c r="G355" s="4" t="str">
        <f ca="1">IF(OR(INDEX($W$2:$W$1001,MATCH(ROWS($V$2:V355),$V$2:$V$1001,0),1)&gt;=100000,INDEX($AC$1005:$AS$1005,1,MATCH(COLUMNS($AC$1006:AH1006),$AC$1006:$AS$1006,0))&gt;=100000), " ",IF(INDEX($AC$2:$AS$1001,MATCH(ROWS($V$2:V355),$V$2:$V$1001,0),MATCH(COLUMNS($AC$1006:AH1006),$AC$1006:$AS$1006,0)), HYPERLINK("#",""), HYPERLINK(CONCATENATE("#metadata!", ADDRESS(INDEX($X$2:$X$1001,MATCH(ROWS($V$2:V355),$V$2:$V$1001,0),0), INDEX($AC$1004:$AS$1004,1,MATCH(COLUMNS($AC$1006:AH1006),$AC$1006:$AS$1006,0)))),"Fix")))</f>
        <v xml:space="preserve"> </v>
      </c>
      <c r="H355" s="4" t="str">
        <f ca="1">IF(OR(INDEX($W$2:$W$1001,MATCH(ROWS($V$2:V355),$V$2:$V$1001,0),1)&gt;=100000,INDEX($AC$1005:$AS$1005,1,MATCH(COLUMNS($AC$1006:AI1006),$AC$1006:$AS$1006,0))&gt;=100000), " ",IF(INDEX($AC$2:$AS$1001,MATCH(ROWS($V$2:V355),$V$2:$V$1001,0),MATCH(COLUMNS($AC$1006:AI1006),$AC$1006:$AS$1006,0)), HYPERLINK("#",""), HYPERLINK(CONCATENATE("#metadata!", ADDRESS(INDEX($X$2:$X$1001,MATCH(ROWS($V$2:V355),$V$2:$V$1001,0),0), INDEX($AC$1004:$AS$1004,1,MATCH(COLUMNS($AC$1006:AI1006),$AC$1006:$AS$1006,0)))),"Fix")))</f>
        <v xml:space="preserve"> </v>
      </c>
      <c r="I355" s="4" t="str">
        <f ca="1">IF(OR(INDEX($W$2:$W$1001,MATCH(ROWS($V$2:V355),$V$2:$V$1001,0),1)&gt;=100000,INDEX($AC$1005:$AS$1005,1,MATCH(COLUMNS($AC$1006:AJ1006),$AC$1006:$AS$1006,0))&gt;=100000), " ",IF(INDEX($AC$2:$AS$1001,MATCH(ROWS($V$2:V355),$V$2:$V$1001,0),MATCH(COLUMNS($AC$1006:AJ1006),$AC$1006:$AS$1006,0)), HYPERLINK("#",""), HYPERLINK(CONCATENATE("#metadata!", ADDRESS(INDEX($X$2:$X$1001,MATCH(ROWS($V$2:V355),$V$2:$V$1001,0),0), INDEX($AC$1004:$AS$1004,1,MATCH(COLUMNS($AC$1006:AJ1006),$AC$1006:$AS$1006,0)))),"Fix")))</f>
        <v xml:space="preserve"> </v>
      </c>
      <c r="J355" s="4" t="str">
        <f ca="1">IF(OR(INDEX($W$2:$W$1001,MATCH(ROWS($V$2:V355),$V$2:$V$1001,0),1)&gt;=100000,INDEX($AC$1005:$AS$1005,1,MATCH(COLUMNS($AC$1006:AK1006),$AC$1006:$AS$1006,0))&gt;=100000), " ",IF(INDEX($AC$2:$AS$1001,MATCH(ROWS($V$2:V355),$V$2:$V$1001,0),MATCH(COLUMNS($AC$1006:AK1006),$AC$1006:$AS$1006,0)), HYPERLINK("#",""), HYPERLINK(CONCATENATE("#metadata!", ADDRESS(INDEX($X$2:$X$1001,MATCH(ROWS($V$2:V355),$V$2:$V$1001,0),0), INDEX($AC$1004:$AS$1004,1,MATCH(COLUMNS($AC$1006:AK1006),$AC$1006:$AS$1006,0)))),"Fix")))</f>
        <v xml:space="preserve"> </v>
      </c>
      <c r="K355" s="4" t="str">
        <f ca="1">IF(OR(INDEX($W$2:$W$1001,MATCH(ROWS($V$2:V355),$V$2:$V$1001,0),1)&gt;=100000,INDEX($AC$1005:$AS$1005,1,MATCH(COLUMNS($AC$1006:AL1006),$AC$1006:$AS$1006,0))&gt;=100000), " ",IF(INDEX($AC$2:$AS$1001,MATCH(ROWS($V$2:V355),$V$2:$V$1001,0),MATCH(COLUMNS($AC$1006:AL1006),$AC$1006:$AS$1006,0)), HYPERLINK("#",""), HYPERLINK(CONCATENATE("#metadata!", ADDRESS(INDEX($X$2:$X$1001,MATCH(ROWS($V$2:V355),$V$2:$V$1001,0),0), INDEX($AC$1004:$AS$1004,1,MATCH(COLUMNS($AC$1006:AL1006),$AC$1006:$AS$1006,0)))),"Fix")))</f>
        <v xml:space="preserve"> </v>
      </c>
      <c r="L355" s="4" t="str">
        <f ca="1">IF(OR(INDEX($W$2:$W$1001,MATCH(ROWS($V$2:V355),$V$2:$V$1001,0),1)&gt;=100000,INDEX($AC$1005:$AS$1005,1,MATCH(COLUMNS($AC$1006:AM1006),$AC$1006:$AS$1006,0))&gt;=100000), " ",IF(INDEX($AC$2:$AS$1001,MATCH(ROWS($V$2:V355),$V$2:$V$1001,0),MATCH(COLUMNS($AC$1006:AM1006),$AC$1006:$AS$1006,0)), HYPERLINK("#",""), HYPERLINK(CONCATENATE("#metadata!", ADDRESS(INDEX($X$2:$X$1001,MATCH(ROWS($V$2:V355),$V$2:$V$1001,0),0), INDEX($AC$1004:$AS$1004,1,MATCH(COLUMNS($AC$1006:AM1006),$AC$1006:$AS$1006,0)))),"Fix")))</f>
        <v xml:space="preserve"> </v>
      </c>
      <c r="M355" s="4" t="str">
        <f ca="1">IF(OR(INDEX($W$2:$W$1001,MATCH(ROWS($V$2:V355),$V$2:$V$1001,0),1)&gt;=100000,INDEX($AC$1005:$AS$1005,1,MATCH(COLUMNS($AC$1006:AN1006),$AC$1006:$AS$1006,0))&gt;=100000), " ",IF(INDEX($AC$2:$AS$1001,MATCH(ROWS($V$2:V355),$V$2:$V$1001,0),MATCH(COLUMNS($AC$1006:AN1006),$AC$1006:$AS$1006,0)), HYPERLINK("#",""), HYPERLINK(CONCATENATE("#metadata!", ADDRESS(INDEX($X$2:$X$1001,MATCH(ROWS($V$2:V355),$V$2:$V$1001,0),0), INDEX($AC$1004:$AS$1004,1,MATCH(COLUMNS($AC$1006:AN1006),$AC$1006:$AS$1006,0)))),"Fix")))</f>
        <v xml:space="preserve"> </v>
      </c>
      <c r="N355" s="4" t="str">
        <f ca="1">IF(OR(INDEX($W$2:$W$1001,MATCH(ROWS($V$2:V355),$V$2:$V$1001,0),1)&gt;=100000,INDEX($AC$1005:$AS$1005,1,MATCH(COLUMNS($AC$1006:AO1006),$AC$1006:$AS$1006,0))&gt;=100000), " ",IF(INDEX($AC$2:$AS$1001,MATCH(ROWS($V$2:V355),$V$2:$V$1001,0),MATCH(COLUMNS($AC$1006:AO1006),$AC$1006:$AS$1006,0)), HYPERLINK("#",""), HYPERLINK(CONCATENATE("#metadata!", ADDRESS(INDEX($X$2:$X$1001,MATCH(ROWS($V$2:V355),$V$2:$V$1001,0),0), INDEX($AC$1004:$AS$1004,1,MATCH(COLUMNS($AC$1006:AO1006),$AC$1006:$AS$1006,0)))),"Fix")))</f>
        <v xml:space="preserve"> </v>
      </c>
      <c r="O355" s="4" t="str">
        <f ca="1">IF(OR(INDEX($W$2:$W$1001,MATCH(ROWS($V$2:V355),$V$2:$V$1001,0),1)&gt;=100000,INDEX($AC$1005:$AS$1005,1,MATCH(COLUMNS($AC$1006:AP1006),$AC$1006:$AS$1006,0))&gt;=100000), " ",IF(INDEX($AC$2:$AS$1001,MATCH(ROWS($V$2:V355),$V$2:$V$1001,0),MATCH(COLUMNS($AC$1006:AP1006),$AC$1006:$AS$1006,0)), HYPERLINK("#",""), HYPERLINK(CONCATENATE("#metadata!", ADDRESS(INDEX($X$2:$X$1001,MATCH(ROWS($V$2:V355),$V$2:$V$1001,0),0), INDEX($AC$1004:$AS$1004,1,MATCH(COLUMNS($AC$1006:AP1006),$AC$1006:$AS$1006,0)))),"Fix")))</f>
        <v xml:space="preserve"> </v>
      </c>
      <c r="P355" s="4" t="str">
        <f ca="1">IF(OR(INDEX($W$2:$W$1001,MATCH(ROWS($V$2:V355),$V$2:$V$1001,0),1)&gt;=100000,INDEX($AC$1005:$AS$1005,1,MATCH(COLUMNS($AC$1006:AQ1006),$AC$1006:$AS$1006,0))&gt;=100000), " ",IF(INDEX($AC$2:$AS$1001,MATCH(ROWS($V$2:V355),$V$2:$V$1001,0),MATCH(COLUMNS($AC$1006:AQ1006),$AC$1006:$AS$1006,0)), HYPERLINK("#",""), HYPERLINK(CONCATENATE("#metadata!", ADDRESS(INDEX($X$2:$X$1001,MATCH(ROWS($V$2:V355),$V$2:$V$1001,0),0), INDEX($AC$1004:$AS$1004,1,MATCH(COLUMNS($AC$1006:AQ1006),$AC$1006:$AS$1006,0)))),"Fix")))</f>
        <v xml:space="preserve"> </v>
      </c>
      <c r="Q355" s="4" t="str">
        <f ca="1">IF(OR(INDEX($W$2:$W$1001,MATCH(ROWS($V$2:V355),$V$2:$V$1001,0),1)&gt;=100000,INDEX($AC$1005:$AS$1005,1,MATCH(COLUMNS($AC$1006:AR1006),$AC$1006:$AS$1006,0))&gt;=100000), " ",IF(INDEX($AC$2:$AS$1001,MATCH(ROWS($V$2:V355),$V$2:$V$1001,0),MATCH(COLUMNS($AC$1006:AR1006),$AC$1006:$AS$1006,0)), HYPERLINK("#",""), HYPERLINK(CONCATENATE("#metadata!", ADDRESS(INDEX($X$2:$X$1001,MATCH(ROWS($V$2:V355),$V$2:$V$1001,0),0), INDEX($AC$1004:$AS$1004,1,MATCH(COLUMNS($AC$1006:AR1006),$AC$1006:$AS$1006,0)))),"Fix")))</f>
        <v xml:space="preserve"> </v>
      </c>
      <c r="R355" s="4" t="str">
        <f ca="1">IF(OR(INDEX($W$2:$W$1001,MATCH(ROWS($V$2:V355),$V$2:$V$1001,0),1)&gt;=100000,INDEX($AC$1005:$AS$1005,1,MATCH(COLUMNS($AC$1006:AS1006),$AC$1006:$AS$1006,0))&gt;=100000), " ",IF(INDEX($AC$2:$AS$1001,MATCH(ROWS($V$2:V355),$V$2:$V$1001,0),MATCH(COLUMNS($AC$1006:AS1006),$AC$1006:$AS$1006,0)), HYPERLINK("#",""), HYPERLINK(CONCATENATE("#metadata!", ADDRESS(INDEX($X$2:$X$1001,MATCH(ROWS($V$2:V355),$V$2:$V$1001,0),0), INDEX($AC$1004:$AS$1004,1,MATCH(COLUMNS($AC$1006:AS1006),$AC$1006:$AS$1006,0)))),"Fix")))</f>
        <v xml:space="preserve"> </v>
      </c>
      <c r="V355">
        <v>354</v>
      </c>
      <c r="W355">
        <v>100355</v>
      </c>
      <c r="X355">
        <v>355</v>
      </c>
      <c r="Y355" t="b">
        <f t="shared" si="5"/>
        <v>1</v>
      </c>
      <c r="Z355" t="b">
        <f>COUNTBLANK(metadata!B355:R355)=COLUMNS(metadata!B355:R355)</f>
        <v>1</v>
      </c>
      <c r="AA355" t="str">
        <v/>
      </c>
      <c r="AC355" t="b">
        <f ca="1"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AD355" t="b">
        <f>IF(metadata!C355="",FALSE,ISNUMBER(VALUE(metadata!C355)))</f>
        <v>0</v>
      </c>
      <c r="AE355" t="b">
        <f>AND(IF(metadata!D355="",FALSE,TRUE),EXACT(metadata!D355,"years"))</f>
        <v>0</v>
      </c>
      <c r="AF355" t="b">
        <f>OR(AND(IF(metadata!E355="",FALSE,TRUE),OR(EXACT(metadata!E355,"not applicable"),EXACT(metadata!E355,"missing: not collected"),EXACT(metadata!E355,"missing: not provided"),EXACT(metadata!E355,"missing: restricted access"))),AND(IF(metadata!E355="",FALSE,ISNUMBER(VALUE(metadata!E355))),metadata!E355&gt;0))</f>
        <v>0</v>
      </c>
      <c r="AG355" t="b">
        <f>AND(IF(metadata!F355="",FALSE,TRUE),EXACT(metadata!F355,"Not applicable"))</f>
        <v>0</v>
      </c>
      <c r="AH355" t="b">
        <f>AND(IF(metadata!G355="",FALSE,TRUE),EXACT(metadata!G355,"urban biome"))</f>
        <v>0</v>
      </c>
      <c r="AI355" t="b">
        <f>AND(IF(metadata!H355="",FALSE,TRUE),EXACT(metadata!H355,"human-associated habitat"))</f>
        <v>0</v>
      </c>
      <c r="AJ355" t="b">
        <f>AND(IF(metadata!I355="",FALSE,TRUE),OR(EXACT(metadata!I355,"human-associated"),EXACT(metadata!I355,"human-skin"),EXACT(metadata!I355,"human-oral"),EXACT(metadata!I355,"human-gut"),EXACT(metadata!I355,"human-vaginal")))</f>
        <v>0</v>
      </c>
      <c r="AK355" t="b">
        <f>IF(metadata!J355="",FALSE,ISNUMBER(VALUE(metadata!J355)))</f>
        <v>0</v>
      </c>
      <c r="AL355" t="b">
        <f>AND(IF(metadata!K355="",FALSE,TRUE),EXACT(metadata!K355,"cm"))</f>
        <v>0</v>
      </c>
      <c r="AM355" t="b">
        <f>AND(IF(metadata!L355="",FALSE,TRUE),EXACT(metadata!L355,"human"))</f>
        <v>0</v>
      </c>
      <c r="AN355" t="b">
        <f>AND(IF(metadata!M355="",FALSE,TRUE),EXACT(metadata!M355,"Homo sapiens"))</f>
        <v>0</v>
      </c>
      <c r="AO355" t="b">
        <f>AND(IF(metadata!N355="",FALSE,TRUE),EXACT(metadata!N355,"9606"))</f>
        <v>0</v>
      </c>
      <c r="AP355" t="b">
        <f>IF(metadata!O355="",FALSE,TRUE)</f>
        <v>0</v>
      </c>
      <c r="AQ355" t="b">
        <f>IF(metadata!P355="",FALSE,TRUE)</f>
        <v>0</v>
      </c>
      <c r="AR355" t="b">
        <f>IF(metadata!Q355="",FALSE,ISNUMBER(VALUE(metadata!Q355)))</f>
        <v>0</v>
      </c>
      <c r="AS355" t="b">
        <f>AND(IF(metadata!R355="",FALSE,TRUE),EXACT(metadata!R355,"kg"))</f>
        <v>0</v>
      </c>
    </row>
    <row r="356" spans="1:45" x14ac:dyDescent="0.2">
      <c r="A356" s="5" t="str">
        <f ca="1">IF(B356=" "," ",HYPERLINK(CONCATENATE("#metadata!",ADDRESS(INDEX($X$2:$X$1001,MATCH(ROWS($V$2:V356),$V$2:$V$1001,0),0),1)),INDEX($AA$2:$AA$1001,MATCH(ROWS($V$2:V356),$V$2:$V$1001,0),0)))</f>
        <v xml:space="preserve"> </v>
      </c>
      <c r="B356" s="4" t="str">
        <f ca="1">IF(OR(INDEX($W$2:$W$1001,MATCH(ROWS($V$2:V356),$V$2:$V$1001,0),1)&gt;=100000,INDEX($AC$1005:$AS$1005,1,MATCH(COLUMNS($AC$1006:AC1006),$AC$1006:$AS$1006,0))&gt;=100000), " ",IF(INDEX($AC$2:$AS$1001,MATCH(ROWS($V$2:V356),$V$2:$V$1001,0),MATCH(COLUMNS($AC$1006:AC1006),$AC$1006:$AS$1006,0)), HYPERLINK("#",""), HYPERLINK(CONCATENATE("#metadata!", ADDRESS(INDEX($X$2:$X$1001,MATCH(ROWS($V$2:V356),$V$2:$V$1001,0),0), INDEX($AC$1004:$AS$1004,1,MATCH(COLUMNS($AC$1006:AC1006),$AC$1006:$AS$1006,0)))),"Fix")))</f>
        <v xml:space="preserve"> </v>
      </c>
      <c r="C356" s="4" t="str">
        <f ca="1">IF(OR(INDEX($W$2:$W$1001,MATCH(ROWS($V$2:V356),$V$2:$V$1001,0),1)&gt;=100000,INDEX($AC$1005:$AS$1005,1,MATCH(COLUMNS($AC$1006:AD1006),$AC$1006:$AS$1006,0))&gt;=100000), " ",IF(INDEX($AC$2:$AS$1001,MATCH(ROWS($V$2:V356),$V$2:$V$1001,0),MATCH(COLUMNS($AC$1006:AD1006),$AC$1006:$AS$1006,0)), HYPERLINK("#",""), HYPERLINK(CONCATENATE("#metadata!", ADDRESS(INDEX($X$2:$X$1001,MATCH(ROWS($V$2:V356),$V$2:$V$1001,0),0), INDEX($AC$1004:$AS$1004,1,MATCH(COLUMNS($AC$1006:AD1006),$AC$1006:$AS$1006,0)))),"Fix")))</f>
        <v xml:space="preserve"> </v>
      </c>
      <c r="D356" s="4" t="str">
        <f ca="1">IF(OR(INDEX($W$2:$W$1001,MATCH(ROWS($V$2:V356),$V$2:$V$1001,0),1)&gt;=100000,INDEX($AC$1005:$AS$1005,1,MATCH(COLUMNS($AC$1006:AE1006),$AC$1006:$AS$1006,0))&gt;=100000), " ",IF(INDEX($AC$2:$AS$1001,MATCH(ROWS($V$2:V356),$V$2:$V$1001,0),MATCH(COLUMNS($AC$1006:AE1006),$AC$1006:$AS$1006,0)), HYPERLINK("#",""), HYPERLINK(CONCATENATE("#metadata!", ADDRESS(INDEX($X$2:$X$1001,MATCH(ROWS($V$2:V356),$V$2:$V$1001,0),0), INDEX($AC$1004:$AS$1004,1,MATCH(COLUMNS($AC$1006:AE1006),$AC$1006:$AS$1006,0)))),"Fix")))</f>
        <v xml:space="preserve"> </v>
      </c>
      <c r="E356" s="4" t="str">
        <f ca="1">IF(OR(INDEX($W$2:$W$1001,MATCH(ROWS($V$2:V356),$V$2:$V$1001,0),1)&gt;=100000,INDEX($AC$1005:$AS$1005,1,MATCH(COLUMNS($AC$1006:AF1006),$AC$1006:$AS$1006,0))&gt;=100000), " ",IF(INDEX($AC$2:$AS$1001,MATCH(ROWS($V$2:V356),$V$2:$V$1001,0),MATCH(COLUMNS($AC$1006:AF1006),$AC$1006:$AS$1006,0)), HYPERLINK("#",""), HYPERLINK(CONCATENATE("#metadata!", ADDRESS(INDEX($X$2:$X$1001,MATCH(ROWS($V$2:V356),$V$2:$V$1001,0),0), INDEX($AC$1004:$AS$1004,1,MATCH(COLUMNS($AC$1006:AF1006),$AC$1006:$AS$1006,0)))),"Fix")))</f>
        <v xml:space="preserve"> </v>
      </c>
      <c r="F356" s="4" t="str">
        <f ca="1">IF(OR(INDEX($W$2:$W$1001,MATCH(ROWS($V$2:V356),$V$2:$V$1001,0),1)&gt;=100000,INDEX($AC$1005:$AS$1005,1,MATCH(COLUMNS($AC$1006:AG1006),$AC$1006:$AS$1006,0))&gt;=100000), " ",IF(INDEX($AC$2:$AS$1001,MATCH(ROWS($V$2:V356),$V$2:$V$1001,0),MATCH(COLUMNS($AC$1006:AG1006),$AC$1006:$AS$1006,0)), HYPERLINK("#",""), HYPERLINK(CONCATENATE("#metadata!", ADDRESS(INDEX($X$2:$X$1001,MATCH(ROWS($V$2:V356),$V$2:$V$1001,0),0), INDEX($AC$1004:$AS$1004,1,MATCH(COLUMNS($AC$1006:AG1006),$AC$1006:$AS$1006,0)))),"Fix")))</f>
        <v xml:space="preserve"> </v>
      </c>
      <c r="G356" s="4" t="str">
        <f ca="1">IF(OR(INDEX($W$2:$W$1001,MATCH(ROWS($V$2:V356),$V$2:$V$1001,0),1)&gt;=100000,INDEX($AC$1005:$AS$1005,1,MATCH(COLUMNS($AC$1006:AH1006),$AC$1006:$AS$1006,0))&gt;=100000), " ",IF(INDEX($AC$2:$AS$1001,MATCH(ROWS($V$2:V356),$V$2:$V$1001,0),MATCH(COLUMNS($AC$1006:AH1006),$AC$1006:$AS$1006,0)), HYPERLINK("#",""), HYPERLINK(CONCATENATE("#metadata!", ADDRESS(INDEX($X$2:$X$1001,MATCH(ROWS($V$2:V356),$V$2:$V$1001,0),0), INDEX($AC$1004:$AS$1004,1,MATCH(COLUMNS($AC$1006:AH1006),$AC$1006:$AS$1006,0)))),"Fix")))</f>
        <v xml:space="preserve"> </v>
      </c>
      <c r="H356" s="4" t="str">
        <f ca="1">IF(OR(INDEX($W$2:$W$1001,MATCH(ROWS($V$2:V356),$V$2:$V$1001,0),1)&gt;=100000,INDEX($AC$1005:$AS$1005,1,MATCH(COLUMNS($AC$1006:AI1006),$AC$1006:$AS$1006,0))&gt;=100000), " ",IF(INDEX($AC$2:$AS$1001,MATCH(ROWS($V$2:V356),$V$2:$V$1001,0),MATCH(COLUMNS($AC$1006:AI1006),$AC$1006:$AS$1006,0)), HYPERLINK("#",""), HYPERLINK(CONCATENATE("#metadata!", ADDRESS(INDEX($X$2:$X$1001,MATCH(ROWS($V$2:V356),$V$2:$V$1001,0),0), INDEX($AC$1004:$AS$1004,1,MATCH(COLUMNS($AC$1006:AI1006),$AC$1006:$AS$1006,0)))),"Fix")))</f>
        <v xml:space="preserve"> </v>
      </c>
      <c r="I356" s="4" t="str">
        <f ca="1">IF(OR(INDEX($W$2:$W$1001,MATCH(ROWS($V$2:V356),$V$2:$V$1001,0),1)&gt;=100000,INDEX($AC$1005:$AS$1005,1,MATCH(COLUMNS($AC$1006:AJ1006),$AC$1006:$AS$1006,0))&gt;=100000), " ",IF(INDEX($AC$2:$AS$1001,MATCH(ROWS($V$2:V356),$V$2:$V$1001,0),MATCH(COLUMNS($AC$1006:AJ1006),$AC$1006:$AS$1006,0)), HYPERLINK("#",""), HYPERLINK(CONCATENATE("#metadata!", ADDRESS(INDEX($X$2:$X$1001,MATCH(ROWS($V$2:V356),$V$2:$V$1001,0),0), INDEX($AC$1004:$AS$1004,1,MATCH(COLUMNS($AC$1006:AJ1006),$AC$1006:$AS$1006,0)))),"Fix")))</f>
        <v xml:space="preserve"> </v>
      </c>
      <c r="J356" s="4" t="str">
        <f ca="1">IF(OR(INDEX($W$2:$W$1001,MATCH(ROWS($V$2:V356),$V$2:$V$1001,0),1)&gt;=100000,INDEX($AC$1005:$AS$1005,1,MATCH(COLUMNS($AC$1006:AK1006),$AC$1006:$AS$1006,0))&gt;=100000), " ",IF(INDEX($AC$2:$AS$1001,MATCH(ROWS($V$2:V356),$V$2:$V$1001,0),MATCH(COLUMNS($AC$1006:AK1006),$AC$1006:$AS$1006,0)), HYPERLINK("#",""), HYPERLINK(CONCATENATE("#metadata!", ADDRESS(INDEX($X$2:$X$1001,MATCH(ROWS($V$2:V356),$V$2:$V$1001,0),0), INDEX($AC$1004:$AS$1004,1,MATCH(COLUMNS($AC$1006:AK1006),$AC$1006:$AS$1006,0)))),"Fix")))</f>
        <v xml:space="preserve"> </v>
      </c>
      <c r="K356" s="4" t="str">
        <f ca="1">IF(OR(INDEX($W$2:$W$1001,MATCH(ROWS($V$2:V356),$V$2:$V$1001,0),1)&gt;=100000,INDEX($AC$1005:$AS$1005,1,MATCH(COLUMNS($AC$1006:AL1006),$AC$1006:$AS$1006,0))&gt;=100000), " ",IF(INDEX($AC$2:$AS$1001,MATCH(ROWS($V$2:V356),$V$2:$V$1001,0),MATCH(COLUMNS($AC$1006:AL1006),$AC$1006:$AS$1006,0)), HYPERLINK("#",""), HYPERLINK(CONCATENATE("#metadata!", ADDRESS(INDEX($X$2:$X$1001,MATCH(ROWS($V$2:V356),$V$2:$V$1001,0),0), INDEX($AC$1004:$AS$1004,1,MATCH(COLUMNS($AC$1006:AL1006),$AC$1006:$AS$1006,0)))),"Fix")))</f>
        <v xml:space="preserve"> </v>
      </c>
      <c r="L356" s="4" t="str">
        <f ca="1">IF(OR(INDEX($W$2:$W$1001,MATCH(ROWS($V$2:V356),$V$2:$V$1001,0),1)&gt;=100000,INDEX($AC$1005:$AS$1005,1,MATCH(COLUMNS($AC$1006:AM1006),$AC$1006:$AS$1006,0))&gt;=100000), " ",IF(INDEX($AC$2:$AS$1001,MATCH(ROWS($V$2:V356),$V$2:$V$1001,0),MATCH(COLUMNS($AC$1006:AM1006),$AC$1006:$AS$1006,0)), HYPERLINK("#",""), HYPERLINK(CONCATENATE("#metadata!", ADDRESS(INDEX($X$2:$X$1001,MATCH(ROWS($V$2:V356),$V$2:$V$1001,0),0), INDEX($AC$1004:$AS$1004,1,MATCH(COLUMNS($AC$1006:AM1006),$AC$1006:$AS$1006,0)))),"Fix")))</f>
        <v xml:space="preserve"> </v>
      </c>
      <c r="M356" s="4" t="str">
        <f ca="1">IF(OR(INDEX($W$2:$W$1001,MATCH(ROWS($V$2:V356),$V$2:$V$1001,0),1)&gt;=100000,INDEX($AC$1005:$AS$1005,1,MATCH(COLUMNS($AC$1006:AN1006),$AC$1006:$AS$1006,0))&gt;=100000), " ",IF(INDEX($AC$2:$AS$1001,MATCH(ROWS($V$2:V356),$V$2:$V$1001,0),MATCH(COLUMNS($AC$1006:AN1006),$AC$1006:$AS$1006,0)), HYPERLINK("#",""), HYPERLINK(CONCATENATE("#metadata!", ADDRESS(INDEX($X$2:$X$1001,MATCH(ROWS($V$2:V356),$V$2:$V$1001,0),0), INDEX($AC$1004:$AS$1004,1,MATCH(COLUMNS($AC$1006:AN1006),$AC$1006:$AS$1006,0)))),"Fix")))</f>
        <v xml:space="preserve"> </v>
      </c>
      <c r="N356" s="4" t="str">
        <f ca="1">IF(OR(INDEX($W$2:$W$1001,MATCH(ROWS($V$2:V356),$V$2:$V$1001,0),1)&gt;=100000,INDEX($AC$1005:$AS$1005,1,MATCH(COLUMNS($AC$1006:AO1006),$AC$1006:$AS$1006,0))&gt;=100000), " ",IF(INDEX($AC$2:$AS$1001,MATCH(ROWS($V$2:V356),$V$2:$V$1001,0),MATCH(COLUMNS($AC$1006:AO1006),$AC$1006:$AS$1006,0)), HYPERLINK("#",""), HYPERLINK(CONCATENATE("#metadata!", ADDRESS(INDEX($X$2:$X$1001,MATCH(ROWS($V$2:V356),$V$2:$V$1001,0),0), INDEX($AC$1004:$AS$1004,1,MATCH(COLUMNS($AC$1006:AO1006),$AC$1006:$AS$1006,0)))),"Fix")))</f>
        <v xml:space="preserve"> </v>
      </c>
      <c r="O356" s="4" t="str">
        <f ca="1">IF(OR(INDEX($W$2:$W$1001,MATCH(ROWS($V$2:V356),$V$2:$V$1001,0),1)&gt;=100000,INDEX($AC$1005:$AS$1005,1,MATCH(COLUMNS($AC$1006:AP1006),$AC$1006:$AS$1006,0))&gt;=100000), " ",IF(INDEX($AC$2:$AS$1001,MATCH(ROWS($V$2:V356),$V$2:$V$1001,0),MATCH(COLUMNS($AC$1006:AP1006),$AC$1006:$AS$1006,0)), HYPERLINK("#",""), HYPERLINK(CONCATENATE("#metadata!", ADDRESS(INDEX($X$2:$X$1001,MATCH(ROWS($V$2:V356),$V$2:$V$1001,0),0), INDEX($AC$1004:$AS$1004,1,MATCH(COLUMNS($AC$1006:AP1006),$AC$1006:$AS$1006,0)))),"Fix")))</f>
        <v xml:space="preserve"> </v>
      </c>
      <c r="P356" s="4" t="str">
        <f ca="1">IF(OR(INDEX($W$2:$W$1001,MATCH(ROWS($V$2:V356),$V$2:$V$1001,0),1)&gt;=100000,INDEX($AC$1005:$AS$1005,1,MATCH(COLUMNS($AC$1006:AQ1006),$AC$1006:$AS$1006,0))&gt;=100000), " ",IF(INDEX($AC$2:$AS$1001,MATCH(ROWS($V$2:V356),$V$2:$V$1001,0),MATCH(COLUMNS($AC$1006:AQ1006),$AC$1006:$AS$1006,0)), HYPERLINK("#",""), HYPERLINK(CONCATENATE("#metadata!", ADDRESS(INDEX($X$2:$X$1001,MATCH(ROWS($V$2:V356),$V$2:$V$1001,0),0), INDEX($AC$1004:$AS$1004,1,MATCH(COLUMNS($AC$1006:AQ1006),$AC$1006:$AS$1006,0)))),"Fix")))</f>
        <v xml:space="preserve"> </v>
      </c>
      <c r="Q356" s="4" t="str">
        <f ca="1">IF(OR(INDEX($W$2:$W$1001,MATCH(ROWS($V$2:V356),$V$2:$V$1001,0),1)&gt;=100000,INDEX($AC$1005:$AS$1005,1,MATCH(COLUMNS($AC$1006:AR1006),$AC$1006:$AS$1006,0))&gt;=100000), " ",IF(INDEX($AC$2:$AS$1001,MATCH(ROWS($V$2:V356),$V$2:$V$1001,0),MATCH(COLUMNS($AC$1006:AR1006),$AC$1006:$AS$1006,0)), HYPERLINK("#",""), HYPERLINK(CONCATENATE("#metadata!", ADDRESS(INDEX($X$2:$X$1001,MATCH(ROWS($V$2:V356),$V$2:$V$1001,0),0), INDEX($AC$1004:$AS$1004,1,MATCH(COLUMNS($AC$1006:AR1006),$AC$1006:$AS$1006,0)))),"Fix")))</f>
        <v xml:space="preserve"> </v>
      </c>
      <c r="R356" s="4" t="str">
        <f ca="1">IF(OR(INDEX($W$2:$W$1001,MATCH(ROWS($V$2:V356),$V$2:$V$1001,0),1)&gt;=100000,INDEX($AC$1005:$AS$1005,1,MATCH(COLUMNS($AC$1006:AS1006),$AC$1006:$AS$1006,0))&gt;=100000), " ",IF(INDEX($AC$2:$AS$1001,MATCH(ROWS($V$2:V356),$V$2:$V$1001,0),MATCH(COLUMNS($AC$1006:AS1006),$AC$1006:$AS$1006,0)), HYPERLINK("#",""), HYPERLINK(CONCATENATE("#metadata!", ADDRESS(INDEX($X$2:$X$1001,MATCH(ROWS($V$2:V356),$V$2:$V$1001,0),0), INDEX($AC$1004:$AS$1004,1,MATCH(COLUMNS($AC$1006:AS1006),$AC$1006:$AS$1006,0)))),"Fix")))</f>
        <v xml:space="preserve"> </v>
      </c>
      <c r="V356">
        <v>355</v>
      </c>
      <c r="W356">
        <v>100356</v>
      </c>
      <c r="X356">
        <v>356</v>
      </c>
      <c r="Y356" t="b">
        <f t="shared" si="5"/>
        <v>1</v>
      </c>
      <c r="Z356" t="b">
        <f>COUNTBLANK(metadata!B356:R356)=COLUMNS(metadata!B356:R356)</f>
        <v>1</v>
      </c>
      <c r="AA356" t="str">
        <v/>
      </c>
      <c r="AC356" t="b">
        <f ca="1"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AD356" t="b">
        <f>IF(metadata!C356="",FALSE,ISNUMBER(VALUE(metadata!C356)))</f>
        <v>0</v>
      </c>
      <c r="AE356" t="b">
        <f>AND(IF(metadata!D356="",FALSE,TRUE),EXACT(metadata!D356,"years"))</f>
        <v>0</v>
      </c>
      <c r="AF356" t="b">
        <f>OR(AND(IF(metadata!E356="",FALSE,TRUE),OR(EXACT(metadata!E356,"not applicable"),EXACT(metadata!E356,"missing: not collected"),EXACT(metadata!E356,"missing: not provided"),EXACT(metadata!E356,"missing: restricted access"))),AND(IF(metadata!E356="",FALSE,ISNUMBER(VALUE(metadata!E356))),metadata!E356&gt;0))</f>
        <v>0</v>
      </c>
      <c r="AG356" t="b">
        <f>AND(IF(metadata!F356="",FALSE,TRUE),EXACT(metadata!F356,"Not applicable"))</f>
        <v>0</v>
      </c>
      <c r="AH356" t="b">
        <f>AND(IF(metadata!G356="",FALSE,TRUE),EXACT(metadata!G356,"urban biome"))</f>
        <v>0</v>
      </c>
      <c r="AI356" t="b">
        <f>AND(IF(metadata!H356="",FALSE,TRUE),EXACT(metadata!H356,"human-associated habitat"))</f>
        <v>0</v>
      </c>
      <c r="AJ356" t="b">
        <f>AND(IF(metadata!I356="",FALSE,TRUE),OR(EXACT(metadata!I356,"human-associated"),EXACT(metadata!I356,"human-skin"),EXACT(metadata!I356,"human-oral"),EXACT(metadata!I356,"human-gut"),EXACT(metadata!I356,"human-vaginal")))</f>
        <v>0</v>
      </c>
      <c r="AK356" t="b">
        <f>IF(metadata!J356="",FALSE,ISNUMBER(VALUE(metadata!J356)))</f>
        <v>0</v>
      </c>
      <c r="AL356" t="b">
        <f>AND(IF(metadata!K356="",FALSE,TRUE),EXACT(metadata!K356,"cm"))</f>
        <v>0</v>
      </c>
      <c r="AM356" t="b">
        <f>AND(IF(metadata!L356="",FALSE,TRUE),EXACT(metadata!L356,"human"))</f>
        <v>0</v>
      </c>
      <c r="AN356" t="b">
        <f>AND(IF(metadata!M356="",FALSE,TRUE),EXACT(metadata!M356,"Homo sapiens"))</f>
        <v>0</v>
      </c>
      <c r="AO356" t="b">
        <f>AND(IF(metadata!N356="",FALSE,TRUE),EXACT(metadata!N356,"9606"))</f>
        <v>0</v>
      </c>
      <c r="AP356" t="b">
        <f>IF(metadata!O356="",FALSE,TRUE)</f>
        <v>0</v>
      </c>
      <c r="AQ356" t="b">
        <f>IF(metadata!P356="",FALSE,TRUE)</f>
        <v>0</v>
      </c>
      <c r="AR356" t="b">
        <f>IF(metadata!Q356="",FALSE,ISNUMBER(VALUE(metadata!Q356)))</f>
        <v>0</v>
      </c>
      <c r="AS356" t="b">
        <f>AND(IF(metadata!R356="",FALSE,TRUE),EXACT(metadata!R356,"kg"))</f>
        <v>0</v>
      </c>
    </row>
    <row r="357" spans="1:45" x14ac:dyDescent="0.2">
      <c r="A357" s="5" t="str">
        <f ca="1">IF(B357=" "," ",HYPERLINK(CONCATENATE("#metadata!",ADDRESS(INDEX($X$2:$X$1001,MATCH(ROWS($V$2:V357),$V$2:$V$1001,0),0),1)),INDEX($AA$2:$AA$1001,MATCH(ROWS($V$2:V357),$V$2:$V$1001,0),0)))</f>
        <v xml:space="preserve"> </v>
      </c>
      <c r="B357" s="4" t="str">
        <f ca="1">IF(OR(INDEX($W$2:$W$1001,MATCH(ROWS($V$2:V357),$V$2:$V$1001,0),1)&gt;=100000,INDEX($AC$1005:$AS$1005,1,MATCH(COLUMNS($AC$1006:AC1006),$AC$1006:$AS$1006,0))&gt;=100000), " ",IF(INDEX($AC$2:$AS$1001,MATCH(ROWS($V$2:V357),$V$2:$V$1001,0),MATCH(COLUMNS($AC$1006:AC1006),$AC$1006:$AS$1006,0)), HYPERLINK("#",""), HYPERLINK(CONCATENATE("#metadata!", ADDRESS(INDEX($X$2:$X$1001,MATCH(ROWS($V$2:V357),$V$2:$V$1001,0),0), INDEX($AC$1004:$AS$1004,1,MATCH(COLUMNS($AC$1006:AC1006),$AC$1006:$AS$1006,0)))),"Fix")))</f>
        <v xml:space="preserve"> </v>
      </c>
      <c r="C357" s="4" t="str">
        <f ca="1">IF(OR(INDEX($W$2:$W$1001,MATCH(ROWS($V$2:V357),$V$2:$V$1001,0),1)&gt;=100000,INDEX($AC$1005:$AS$1005,1,MATCH(COLUMNS($AC$1006:AD1006),$AC$1006:$AS$1006,0))&gt;=100000), " ",IF(INDEX($AC$2:$AS$1001,MATCH(ROWS($V$2:V357),$V$2:$V$1001,0),MATCH(COLUMNS($AC$1006:AD1006),$AC$1006:$AS$1006,0)), HYPERLINK("#",""), HYPERLINK(CONCATENATE("#metadata!", ADDRESS(INDEX($X$2:$X$1001,MATCH(ROWS($V$2:V357),$V$2:$V$1001,0),0), INDEX($AC$1004:$AS$1004,1,MATCH(COLUMNS($AC$1006:AD1006),$AC$1006:$AS$1006,0)))),"Fix")))</f>
        <v xml:space="preserve"> </v>
      </c>
      <c r="D357" s="4" t="str">
        <f ca="1">IF(OR(INDEX($W$2:$W$1001,MATCH(ROWS($V$2:V357),$V$2:$V$1001,0),1)&gt;=100000,INDEX($AC$1005:$AS$1005,1,MATCH(COLUMNS($AC$1006:AE1006),$AC$1006:$AS$1006,0))&gt;=100000), " ",IF(INDEX($AC$2:$AS$1001,MATCH(ROWS($V$2:V357),$V$2:$V$1001,0),MATCH(COLUMNS($AC$1006:AE1006),$AC$1006:$AS$1006,0)), HYPERLINK("#",""), HYPERLINK(CONCATENATE("#metadata!", ADDRESS(INDEX($X$2:$X$1001,MATCH(ROWS($V$2:V357),$V$2:$V$1001,0),0), INDEX($AC$1004:$AS$1004,1,MATCH(COLUMNS($AC$1006:AE1006),$AC$1006:$AS$1006,0)))),"Fix")))</f>
        <v xml:space="preserve"> </v>
      </c>
      <c r="E357" s="4" t="str">
        <f ca="1">IF(OR(INDEX($W$2:$W$1001,MATCH(ROWS($V$2:V357),$V$2:$V$1001,0),1)&gt;=100000,INDEX($AC$1005:$AS$1005,1,MATCH(COLUMNS($AC$1006:AF1006),$AC$1006:$AS$1006,0))&gt;=100000), " ",IF(INDEX($AC$2:$AS$1001,MATCH(ROWS($V$2:V357),$V$2:$V$1001,0),MATCH(COLUMNS($AC$1006:AF1006),$AC$1006:$AS$1006,0)), HYPERLINK("#",""), HYPERLINK(CONCATENATE("#metadata!", ADDRESS(INDEX($X$2:$X$1001,MATCH(ROWS($V$2:V357),$V$2:$V$1001,0),0), INDEX($AC$1004:$AS$1004,1,MATCH(COLUMNS($AC$1006:AF1006),$AC$1006:$AS$1006,0)))),"Fix")))</f>
        <v xml:space="preserve"> </v>
      </c>
      <c r="F357" s="4" t="str">
        <f ca="1">IF(OR(INDEX($W$2:$W$1001,MATCH(ROWS($V$2:V357),$V$2:$V$1001,0),1)&gt;=100000,INDEX($AC$1005:$AS$1005,1,MATCH(COLUMNS($AC$1006:AG1006),$AC$1006:$AS$1006,0))&gt;=100000), " ",IF(INDEX($AC$2:$AS$1001,MATCH(ROWS($V$2:V357),$V$2:$V$1001,0),MATCH(COLUMNS($AC$1006:AG1006),$AC$1006:$AS$1006,0)), HYPERLINK("#",""), HYPERLINK(CONCATENATE("#metadata!", ADDRESS(INDEX($X$2:$X$1001,MATCH(ROWS($V$2:V357),$V$2:$V$1001,0),0), INDEX($AC$1004:$AS$1004,1,MATCH(COLUMNS($AC$1006:AG1006),$AC$1006:$AS$1006,0)))),"Fix")))</f>
        <v xml:space="preserve"> </v>
      </c>
      <c r="G357" s="4" t="str">
        <f ca="1">IF(OR(INDEX($W$2:$W$1001,MATCH(ROWS($V$2:V357),$V$2:$V$1001,0),1)&gt;=100000,INDEX($AC$1005:$AS$1005,1,MATCH(COLUMNS($AC$1006:AH1006),$AC$1006:$AS$1006,0))&gt;=100000), " ",IF(INDEX($AC$2:$AS$1001,MATCH(ROWS($V$2:V357),$V$2:$V$1001,0),MATCH(COLUMNS($AC$1006:AH1006),$AC$1006:$AS$1006,0)), HYPERLINK("#",""), HYPERLINK(CONCATENATE("#metadata!", ADDRESS(INDEX($X$2:$X$1001,MATCH(ROWS($V$2:V357),$V$2:$V$1001,0),0), INDEX($AC$1004:$AS$1004,1,MATCH(COLUMNS($AC$1006:AH1006),$AC$1006:$AS$1006,0)))),"Fix")))</f>
        <v xml:space="preserve"> </v>
      </c>
      <c r="H357" s="4" t="str">
        <f ca="1">IF(OR(INDEX($W$2:$W$1001,MATCH(ROWS($V$2:V357),$V$2:$V$1001,0),1)&gt;=100000,INDEX($AC$1005:$AS$1005,1,MATCH(COLUMNS($AC$1006:AI1006),$AC$1006:$AS$1006,0))&gt;=100000), " ",IF(INDEX($AC$2:$AS$1001,MATCH(ROWS($V$2:V357),$V$2:$V$1001,0),MATCH(COLUMNS($AC$1006:AI1006),$AC$1006:$AS$1006,0)), HYPERLINK("#",""), HYPERLINK(CONCATENATE("#metadata!", ADDRESS(INDEX($X$2:$X$1001,MATCH(ROWS($V$2:V357),$V$2:$V$1001,0),0), INDEX($AC$1004:$AS$1004,1,MATCH(COLUMNS($AC$1006:AI1006),$AC$1006:$AS$1006,0)))),"Fix")))</f>
        <v xml:space="preserve"> </v>
      </c>
      <c r="I357" s="4" t="str">
        <f ca="1">IF(OR(INDEX($W$2:$W$1001,MATCH(ROWS($V$2:V357),$V$2:$V$1001,0),1)&gt;=100000,INDEX($AC$1005:$AS$1005,1,MATCH(COLUMNS($AC$1006:AJ1006),$AC$1006:$AS$1006,0))&gt;=100000), " ",IF(INDEX($AC$2:$AS$1001,MATCH(ROWS($V$2:V357),$V$2:$V$1001,0),MATCH(COLUMNS($AC$1006:AJ1006),$AC$1006:$AS$1006,0)), HYPERLINK("#",""), HYPERLINK(CONCATENATE("#metadata!", ADDRESS(INDEX($X$2:$X$1001,MATCH(ROWS($V$2:V357),$V$2:$V$1001,0),0), INDEX($AC$1004:$AS$1004,1,MATCH(COLUMNS($AC$1006:AJ1006),$AC$1006:$AS$1006,0)))),"Fix")))</f>
        <v xml:space="preserve"> </v>
      </c>
      <c r="J357" s="4" t="str">
        <f ca="1">IF(OR(INDEX($W$2:$W$1001,MATCH(ROWS($V$2:V357),$V$2:$V$1001,0),1)&gt;=100000,INDEX($AC$1005:$AS$1005,1,MATCH(COLUMNS($AC$1006:AK1006),$AC$1006:$AS$1006,0))&gt;=100000), " ",IF(INDEX($AC$2:$AS$1001,MATCH(ROWS($V$2:V357),$V$2:$V$1001,0),MATCH(COLUMNS($AC$1006:AK1006),$AC$1006:$AS$1006,0)), HYPERLINK("#",""), HYPERLINK(CONCATENATE("#metadata!", ADDRESS(INDEX($X$2:$X$1001,MATCH(ROWS($V$2:V357),$V$2:$V$1001,0),0), INDEX($AC$1004:$AS$1004,1,MATCH(COLUMNS($AC$1006:AK1006),$AC$1006:$AS$1006,0)))),"Fix")))</f>
        <v xml:space="preserve"> </v>
      </c>
      <c r="K357" s="4" t="str">
        <f ca="1">IF(OR(INDEX($W$2:$W$1001,MATCH(ROWS($V$2:V357),$V$2:$V$1001,0),1)&gt;=100000,INDEX($AC$1005:$AS$1005,1,MATCH(COLUMNS($AC$1006:AL1006),$AC$1006:$AS$1006,0))&gt;=100000), " ",IF(INDEX($AC$2:$AS$1001,MATCH(ROWS($V$2:V357),$V$2:$V$1001,0),MATCH(COLUMNS($AC$1006:AL1006),$AC$1006:$AS$1006,0)), HYPERLINK("#",""), HYPERLINK(CONCATENATE("#metadata!", ADDRESS(INDEX($X$2:$X$1001,MATCH(ROWS($V$2:V357),$V$2:$V$1001,0),0), INDEX($AC$1004:$AS$1004,1,MATCH(COLUMNS($AC$1006:AL1006),$AC$1006:$AS$1006,0)))),"Fix")))</f>
        <v xml:space="preserve"> </v>
      </c>
      <c r="L357" s="4" t="str">
        <f ca="1">IF(OR(INDEX($W$2:$W$1001,MATCH(ROWS($V$2:V357),$V$2:$V$1001,0),1)&gt;=100000,INDEX($AC$1005:$AS$1005,1,MATCH(COLUMNS($AC$1006:AM1006),$AC$1006:$AS$1006,0))&gt;=100000), " ",IF(INDEX($AC$2:$AS$1001,MATCH(ROWS($V$2:V357),$V$2:$V$1001,0),MATCH(COLUMNS($AC$1006:AM1006),$AC$1006:$AS$1006,0)), HYPERLINK("#",""), HYPERLINK(CONCATENATE("#metadata!", ADDRESS(INDEX($X$2:$X$1001,MATCH(ROWS($V$2:V357),$V$2:$V$1001,0),0), INDEX($AC$1004:$AS$1004,1,MATCH(COLUMNS($AC$1006:AM1006),$AC$1006:$AS$1006,0)))),"Fix")))</f>
        <v xml:space="preserve"> </v>
      </c>
      <c r="M357" s="4" t="str">
        <f ca="1">IF(OR(INDEX($W$2:$W$1001,MATCH(ROWS($V$2:V357),$V$2:$V$1001,0),1)&gt;=100000,INDEX($AC$1005:$AS$1005,1,MATCH(COLUMNS($AC$1006:AN1006),$AC$1006:$AS$1006,0))&gt;=100000), " ",IF(INDEX($AC$2:$AS$1001,MATCH(ROWS($V$2:V357),$V$2:$V$1001,0),MATCH(COLUMNS($AC$1006:AN1006),$AC$1006:$AS$1006,0)), HYPERLINK("#",""), HYPERLINK(CONCATENATE("#metadata!", ADDRESS(INDEX($X$2:$X$1001,MATCH(ROWS($V$2:V357),$V$2:$V$1001,0),0), INDEX($AC$1004:$AS$1004,1,MATCH(COLUMNS($AC$1006:AN1006),$AC$1006:$AS$1006,0)))),"Fix")))</f>
        <v xml:space="preserve"> </v>
      </c>
      <c r="N357" s="4" t="str">
        <f ca="1">IF(OR(INDEX($W$2:$W$1001,MATCH(ROWS($V$2:V357),$V$2:$V$1001,0),1)&gt;=100000,INDEX($AC$1005:$AS$1005,1,MATCH(COLUMNS($AC$1006:AO1006),$AC$1006:$AS$1006,0))&gt;=100000), " ",IF(INDEX($AC$2:$AS$1001,MATCH(ROWS($V$2:V357),$V$2:$V$1001,0),MATCH(COLUMNS($AC$1006:AO1006),$AC$1006:$AS$1006,0)), HYPERLINK("#",""), HYPERLINK(CONCATENATE("#metadata!", ADDRESS(INDEX($X$2:$X$1001,MATCH(ROWS($V$2:V357),$V$2:$V$1001,0),0), INDEX($AC$1004:$AS$1004,1,MATCH(COLUMNS($AC$1006:AO1006),$AC$1006:$AS$1006,0)))),"Fix")))</f>
        <v xml:space="preserve"> </v>
      </c>
      <c r="O357" s="4" t="str">
        <f ca="1">IF(OR(INDEX($W$2:$W$1001,MATCH(ROWS($V$2:V357),$V$2:$V$1001,0),1)&gt;=100000,INDEX($AC$1005:$AS$1005,1,MATCH(COLUMNS($AC$1006:AP1006),$AC$1006:$AS$1006,0))&gt;=100000), " ",IF(INDEX($AC$2:$AS$1001,MATCH(ROWS($V$2:V357),$V$2:$V$1001,0),MATCH(COLUMNS($AC$1006:AP1006),$AC$1006:$AS$1006,0)), HYPERLINK("#",""), HYPERLINK(CONCATENATE("#metadata!", ADDRESS(INDEX($X$2:$X$1001,MATCH(ROWS($V$2:V357),$V$2:$V$1001,0),0), INDEX($AC$1004:$AS$1004,1,MATCH(COLUMNS($AC$1006:AP1006),$AC$1006:$AS$1006,0)))),"Fix")))</f>
        <v xml:space="preserve"> </v>
      </c>
      <c r="P357" s="4" t="str">
        <f ca="1">IF(OR(INDEX($W$2:$W$1001,MATCH(ROWS($V$2:V357),$V$2:$V$1001,0),1)&gt;=100000,INDEX($AC$1005:$AS$1005,1,MATCH(COLUMNS($AC$1006:AQ1006),$AC$1006:$AS$1006,0))&gt;=100000), " ",IF(INDEX($AC$2:$AS$1001,MATCH(ROWS($V$2:V357),$V$2:$V$1001,0),MATCH(COLUMNS($AC$1006:AQ1006),$AC$1006:$AS$1006,0)), HYPERLINK("#",""), HYPERLINK(CONCATENATE("#metadata!", ADDRESS(INDEX($X$2:$X$1001,MATCH(ROWS($V$2:V357),$V$2:$V$1001,0),0), INDEX($AC$1004:$AS$1004,1,MATCH(COLUMNS($AC$1006:AQ1006),$AC$1006:$AS$1006,0)))),"Fix")))</f>
        <v xml:space="preserve"> </v>
      </c>
      <c r="Q357" s="4" t="str">
        <f ca="1">IF(OR(INDEX($W$2:$W$1001,MATCH(ROWS($V$2:V357),$V$2:$V$1001,0),1)&gt;=100000,INDEX($AC$1005:$AS$1005,1,MATCH(COLUMNS($AC$1006:AR1006),$AC$1006:$AS$1006,0))&gt;=100000), " ",IF(INDEX($AC$2:$AS$1001,MATCH(ROWS($V$2:V357),$V$2:$V$1001,0),MATCH(COLUMNS($AC$1006:AR1006),$AC$1006:$AS$1006,0)), HYPERLINK("#",""), HYPERLINK(CONCATENATE("#metadata!", ADDRESS(INDEX($X$2:$X$1001,MATCH(ROWS($V$2:V357),$V$2:$V$1001,0),0), INDEX($AC$1004:$AS$1004,1,MATCH(COLUMNS($AC$1006:AR1006),$AC$1006:$AS$1006,0)))),"Fix")))</f>
        <v xml:space="preserve"> </v>
      </c>
      <c r="R357" s="4" t="str">
        <f ca="1">IF(OR(INDEX($W$2:$W$1001,MATCH(ROWS($V$2:V357),$V$2:$V$1001,0),1)&gt;=100000,INDEX($AC$1005:$AS$1005,1,MATCH(COLUMNS($AC$1006:AS1006),$AC$1006:$AS$1006,0))&gt;=100000), " ",IF(INDEX($AC$2:$AS$1001,MATCH(ROWS($V$2:V357),$V$2:$V$1001,0),MATCH(COLUMNS($AC$1006:AS1006),$AC$1006:$AS$1006,0)), HYPERLINK("#",""), HYPERLINK(CONCATENATE("#metadata!", ADDRESS(INDEX($X$2:$X$1001,MATCH(ROWS($V$2:V357),$V$2:$V$1001,0),0), INDEX($AC$1004:$AS$1004,1,MATCH(COLUMNS($AC$1006:AS1006),$AC$1006:$AS$1006,0)))),"Fix")))</f>
        <v xml:space="preserve"> </v>
      </c>
      <c r="V357">
        <v>356</v>
      </c>
      <c r="W357">
        <v>100357</v>
      </c>
      <c r="X357">
        <v>357</v>
      </c>
      <c r="Y357" t="b">
        <f t="shared" si="5"/>
        <v>1</v>
      </c>
      <c r="Z357" t="b">
        <f>COUNTBLANK(metadata!B357:R357)=COLUMNS(metadata!B357:R357)</f>
        <v>1</v>
      </c>
      <c r="AA357" t="str">
        <v/>
      </c>
      <c r="AC357" t="b">
        <f ca="1"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AD357" t="b">
        <f>IF(metadata!C357="",FALSE,ISNUMBER(VALUE(metadata!C357)))</f>
        <v>0</v>
      </c>
      <c r="AE357" t="b">
        <f>AND(IF(metadata!D357="",FALSE,TRUE),EXACT(metadata!D357,"years"))</f>
        <v>0</v>
      </c>
      <c r="AF357" t="b">
        <f>OR(AND(IF(metadata!E357="",FALSE,TRUE),OR(EXACT(metadata!E357,"not applicable"),EXACT(metadata!E357,"missing: not collected"),EXACT(metadata!E357,"missing: not provided"),EXACT(metadata!E357,"missing: restricted access"))),AND(IF(metadata!E357="",FALSE,ISNUMBER(VALUE(metadata!E357))),metadata!E357&gt;0))</f>
        <v>0</v>
      </c>
      <c r="AG357" t="b">
        <f>AND(IF(metadata!F357="",FALSE,TRUE),EXACT(metadata!F357,"Not applicable"))</f>
        <v>0</v>
      </c>
      <c r="AH357" t="b">
        <f>AND(IF(metadata!G357="",FALSE,TRUE),EXACT(metadata!G357,"urban biome"))</f>
        <v>0</v>
      </c>
      <c r="AI357" t="b">
        <f>AND(IF(metadata!H357="",FALSE,TRUE),EXACT(metadata!H357,"human-associated habitat"))</f>
        <v>0</v>
      </c>
      <c r="AJ357" t="b">
        <f>AND(IF(metadata!I357="",FALSE,TRUE),OR(EXACT(metadata!I357,"human-associated"),EXACT(metadata!I357,"human-skin"),EXACT(metadata!I357,"human-oral"),EXACT(metadata!I357,"human-gut"),EXACT(metadata!I357,"human-vaginal")))</f>
        <v>0</v>
      </c>
      <c r="AK357" t="b">
        <f>IF(metadata!J357="",FALSE,ISNUMBER(VALUE(metadata!J357)))</f>
        <v>0</v>
      </c>
      <c r="AL357" t="b">
        <f>AND(IF(metadata!K357="",FALSE,TRUE),EXACT(metadata!K357,"cm"))</f>
        <v>0</v>
      </c>
      <c r="AM357" t="b">
        <f>AND(IF(metadata!L357="",FALSE,TRUE),EXACT(metadata!L357,"human"))</f>
        <v>0</v>
      </c>
      <c r="AN357" t="b">
        <f>AND(IF(metadata!M357="",FALSE,TRUE),EXACT(metadata!M357,"Homo sapiens"))</f>
        <v>0</v>
      </c>
      <c r="AO357" t="b">
        <f>AND(IF(metadata!N357="",FALSE,TRUE),EXACT(metadata!N357,"9606"))</f>
        <v>0</v>
      </c>
      <c r="AP357" t="b">
        <f>IF(metadata!O357="",FALSE,TRUE)</f>
        <v>0</v>
      </c>
      <c r="AQ357" t="b">
        <f>IF(metadata!P357="",FALSE,TRUE)</f>
        <v>0</v>
      </c>
      <c r="AR357" t="b">
        <f>IF(metadata!Q357="",FALSE,ISNUMBER(VALUE(metadata!Q357)))</f>
        <v>0</v>
      </c>
      <c r="AS357" t="b">
        <f>AND(IF(metadata!R357="",FALSE,TRUE),EXACT(metadata!R357,"kg"))</f>
        <v>0</v>
      </c>
    </row>
    <row r="358" spans="1:45" x14ac:dyDescent="0.2">
      <c r="A358" s="5" t="str">
        <f ca="1">IF(B358=" "," ",HYPERLINK(CONCATENATE("#metadata!",ADDRESS(INDEX($X$2:$X$1001,MATCH(ROWS($V$2:V358),$V$2:$V$1001,0),0),1)),INDEX($AA$2:$AA$1001,MATCH(ROWS($V$2:V358),$V$2:$V$1001,0),0)))</f>
        <v xml:space="preserve"> </v>
      </c>
      <c r="B358" s="4" t="str">
        <f ca="1">IF(OR(INDEX($W$2:$W$1001,MATCH(ROWS($V$2:V358),$V$2:$V$1001,0),1)&gt;=100000,INDEX($AC$1005:$AS$1005,1,MATCH(COLUMNS($AC$1006:AC1006),$AC$1006:$AS$1006,0))&gt;=100000), " ",IF(INDEX($AC$2:$AS$1001,MATCH(ROWS($V$2:V358),$V$2:$V$1001,0),MATCH(COLUMNS($AC$1006:AC1006),$AC$1006:$AS$1006,0)), HYPERLINK("#",""), HYPERLINK(CONCATENATE("#metadata!", ADDRESS(INDEX($X$2:$X$1001,MATCH(ROWS($V$2:V358),$V$2:$V$1001,0),0), INDEX($AC$1004:$AS$1004,1,MATCH(COLUMNS($AC$1006:AC1006),$AC$1006:$AS$1006,0)))),"Fix")))</f>
        <v xml:space="preserve"> </v>
      </c>
      <c r="C358" s="4" t="str">
        <f ca="1">IF(OR(INDEX($W$2:$W$1001,MATCH(ROWS($V$2:V358),$V$2:$V$1001,0),1)&gt;=100000,INDEX($AC$1005:$AS$1005,1,MATCH(COLUMNS($AC$1006:AD1006),$AC$1006:$AS$1006,0))&gt;=100000), " ",IF(INDEX($AC$2:$AS$1001,MATCH(ROWS($V$2:V358),$V$2:$V$1001,0),MATCH(COLUMNS($AC$1006:AD1006),$AC$1006:$AS$1006,0)), HYPERLINK("#",""), HYPERLINK(CONCATENATE("#metadata!", ADDRESS(INDEX($X$2:$X$1001,MATCH(ROWS($V$2:V358),$V$2:$V$1001,0),0), INDEX($AC$1004:$AS$1004,1,MATCH(COLUMNS($AC$1006:AD1006),$AC$1006:$AS$1006,0)))),"Fix")))</f>
        <v xml:space="preserve"> </v>
      </c>
      <c r="D358" s="4" t="str">
        <f ca="1">IF(OR(INDEX($W$2:$W$1001,MATCH(ROWS($V$2:V358),$V$2:$V$1001,0),1)&gt;=100000,INDEX($AC$1005:$AS$1005,1,MATCH(COLUMNS($AC$1006:AE1006),$AC$1006:$AS$1006,0))&gt;=100000), " ",IF(INDEX($AC$2:$AS$1001,MATCH(ROWS($V$2:V358),$V$2:$V$1001,0),MATCH(COLUMNS($AC$1006:AE1006),$AC$1006:$AS$1006,0)), HYPERLINK("#",""), HYPERLINK(CONCATENATE("#metadata!", ADDRESS(INDEX($X$2:$X$1001,MATCH(ROWS($V$2:V358),$V$2:$V$1001,0),0), INDEX($AC$1004:$AS$1004,1,MATCH(COLUMNS($AC$1006:AE1006),$AC$1006:$AS$1006,0)))),"Fix")))</f>
        <v xml:space="preserve"> </v>
      </c>
      <c r="E358" s="4" t="str">
        <f ca="1">IF(OR(INDEX($W$2:$W$1001,MATCH(ROWS($V$2:V358),$V$2:$V$1001,0),1)&gt;=100000,INDEX($AC$1005:$AS$1005,1,MATCH(COLUMNS($AC$1006:AF1006),$AC$1006:$AS$1006,0))&gt;=100000), " ",IF(INDEX($AC$2:$AS$1001,MATCH(ROWS($V$2:V358),$V$2:$V$1001,0),MATCH(COLUMNS($AC$1006:AF1006),$AC$1006:$AS$1006,0)), HYPERLINK("#",""), HYPERLINK(CONCATENATE("#metadata!", ADDRESS(INDEX($X$2:$X$1001,MATCH(ROWS($V$2:V358),$V$2:$V$1001,0),0), INDEX($AC$1004:$AS$1004,1,MATCH(COLUMNS($AC$1006:AF1006),$AC$1006:$AS$1006,0)))),"Fix")))</f>
        <v xml:space="preserve"> </v>
      </c>
      <c r="F358" s="4" t="str">
        <f ca="1">IF(OR(INDEX($W$2:$W$1001,MATCH(ROWS($V$2:V358),$V$2:$V$1001,0),1)&gt;=100000,INDEX($AC$1005:$AS$1005,1,MATCH(COLUMNS($AC$1006:AG1006),$AC$1006:$AS$1006,0))&gt;=100000), " ",IF(INDEX($AC$2:$AS$1001,MATCH(ROWS($V$2:V358),$V$2:$V$1001,0),MATCH(COLUMNS($AC$1006:AG1006),$AC$1006:$AS$1006,0)), HYPERLINK("#",""), HYPERLINK(CONCATENATE("#metadata!", ADDRESS(INDEX($X$2:$X$1001,MATCH(ROWS($V$2:V358),$V$2:$V$1001,0),0), INDEX($AC$1004:$AS$1004,1,MATCH(COLUMNS($AC$1006:AG1006),$AC$1006:$AS$1006,0)))),"Fix")))</f>
        <v xml:space="preserve"> </v>
      </c>
      <c r="G358" s="4" t="str">
        <f ca="1">IF(OR(INDEX($W$2:$W$1001,MATCH(ROWS($V$2:V358),$V$2:$V$1001,0),1)&gt;=100000,INDEX($AC$1005:$AS$1005,1,MATCH(COLUMNS($AC$1006:AH1006),$AC$1006:$AS$1006,0))&gt;=100000), " ",IF(INDEX($AC$2:$AS$1001,MATCH(ROWS($V$2:V358),$V$2:$V$1001,0),MATCH(COLUMNS($AC$1006:AH1006),$AC$1006:$AS$1006,0)), HYPERLINK("#",""), HYPERLINK(CONCATENATE("#metadata!", ADDRESS(INDEX($X$2:$X$1001,MATCH(ROWS($V$2:V358),$V$2:$V$1001,0),0), INDEX($AC$1004:$AS$1004,1,MATCH(COLUMNS($AC$1006:AH1006),$AC$1006:$AS$1006,0)))),"Fix")))</f>
        <v xml:space="preserve"> </v>
      </c>
      <c r="H358" s="4" t="str">
        <f ca="1">IF(OR(INDEX($W$2:$W$1001,MATCH(ROWS($V$2:V358),$V$2:$V$1001,0),1)&gt;=100000,INDEX($AC$1005:$AS$1005,1,MATCH(COLUMNS($AC$1006:AI1006),$AC$1006:$AS$1006,0))&gt;=100000), " ",IF(INDEX($AC$2:$AS$1001,MATCH(ROWS($V$2:V358),$V$2:$V$1001,0),MATCH(COLUMNS($AC$1006:AI1006),$AC$1006:$AS$1006,0)), HYPERLINK("#",""), HYPERLINK(CONCATENATE("#metadata!", ADDRESS(INDEX($X$2:$X$1001,MATCH(ROWS($V$2:V358),$V$2:$V$1001,0),0), INDEX($AC$1004:$AS$1004,1,MATCH(COLUMNS($AC$1006:AI1006),$AC$1006:$AS$1006,0)))),"Fix")))</f>
        <v xml:space="preserve"> </v>
      </c>
      <c r="I358" s="4" t="str">
        <f ca="1">IF(OR(INDEX($W$2:$W$1001,MATCH(ROWS($V$2:V358),$V$2:$V$1001,0),1)&gt;=100000,INDEX($AC$1005:$AS$1005,1,MATCH(COLUMNS($AC$1006:AJ1006),$AC$1006:$AS$1006,0))&gt;=100000), " ",IF(INDEX($AC$2:$AS$1001,MATCH(ROWS($V$2:V358),$V$2:$V$1001,0),MATCH(COLUMNS($AC$1006:AJ1006),$AC$1006:$AS$1006,0)), HYPERLINK("#",""), HYPERLINK(CONCATENATE("#metadata!", ADDRESS(INDEX($X$2:$X$1001,MATCH(ROWS($V$2:V358),$V$2:$V$1001,0),0), INDEX($AC$1004:$AS$1004,1,MATCH(COLUMNS($AC$1006:AJ1006),$AC$1006:$AS$1006,0)))),"Fix")))</f>
        <v xml:space="preserve"> </v>
      </c>
      <c r="J358" s="4" t="str">
        <f ca="1">IF(OR(INDEX($W$2:$W$1001,MATCH(ROWS($V$2:V358),$V$2:$V$1001,0),1)&gt;=100000,INDEX($AC$1005:$AS$1005,1,MATCH(COLUMNS($AC$1006:AK1006),$AC$1006:$AS$1006,0))&gt;=100000), " ",IF(INDEX($AC$2:$AS$1001,MATCH(ROWS($V$2:V358),$V$2:$V$1001,0),MATCH(COLUMNS($AC$1006:AK1006),$AC$1006:$AS$1006,0)), HYPERLINK("#",""), HYPERLINK(CONCATENATE("#metadata!", ADDRESS(INDEX($X$2:$X$1001,MATCH(ROWS($V$2:V358),$V$2:$V$1001,0),0), INDEX($AC$1004:$AS$1004,1,MATCH(COLUMNS($AC$1006:AK1006),$AC$1006:$AS$1006,0)))),"Fix")))</f>
        <v xml:space="preserve"> </v>
      </c>
      <c r="K358" s="4" t="str">
        <f ca="1">IF(OR(INDEX($W$2:$W$1001,MATCH(ROWS($V$2:V358),$V$2:$V$1001,0),1)&gt;=100000,INDEX($AC$1005:$AS$1005,1,MATCH(COLUMNS($AC$1006:AL1006),$AC$1006:$AS$1006,0))&gt;=100000), " ",IF(INDEX($AC$2:$AS$1001,MATCH(ROWS($V$2:V358),$V$2:$V$1001,0),MATCH(COLUMNS($AC$1006:AL1006),$AC$1006:$AS$1006,0)), HYPERLINK("#",""), HYPERLINK(CONCATENATE("#metadata!", ADDRESS(INDEX($X$2:$X$1001,MATCH(ROWS($V$2:V358),$V$2:$V$1001,0),0), INDEX($AC$1004:$AS$1004,1,MATCH(COLUMNS($AC$1006:AL1006),$AC$1006:$AS$1006,0)))),"Fix")))</f>
        <v xml:space="preserve"> </v>
      </c>
      <c r="L358" s="4" t="str">
        <f ca="1">IF(OR(INDEX($W$2:$W$1001,MATCH(ROWS($V$2:V358),$V$2:$V$1001,0),1)&gt;=100000,INDEX($AC$1005:$AS$1005,1,MATCH(COLUMNS($AC$1006:AM1006),$AC$1006:$AS$1006,0))&gt;=100000), " ",IF(INDEX($AC$2:$AS$1001,MATCH(ROWS($V$2:V358),$V$2:$V$1001,0),MATCH(COLUMNS($AC$1006:AM1006),$AC$1006:$AS$1006,0)), HYPERLINK("#",""), HYPERLINK(CONCATENATE("#metadata!", ADDRESS(INDEX($X$2:$X$1001,MATCH(ROWS($V$2:V358),$V$2:$V$1001,0),0), INDEX($AC$1004:$AS$1004,1,MATCH(COLUMNS($AC$1006:AM1006),$AC$1006:$AS$1006,0)))),"Fix")))</f>
        <v xml:space="preserve"> </v>
      </c>
      <c r="M358" s="4" t="str">
        <f ca="1">IF(OR(INDEX($W$2:$W$1001,MATCH(ROWS($V$2:V358),$V$2:$V$1001,0),1)&gt;=100000,INDEX($AC$1005:$AS$1005,1,MATCH(COLUMNS($AC$1006:AN1006),$AC$1006:$AS$1006,0))&gt;=100000), " ",IF(INDEX($AC$2:$AS$1001,MATCH(ROWS($V$2:V358),$V$2:$V$1001,0),MATCH(COLUMNS($AC$1006:AN1006),$AC$1006:$AS$1006,0)), HYPERLINK("#",""), HYPERLINK(CONCATENATE("#metadata!", ADDRESS(INDEX($X$2:$X$1001,MATCH(ROWS($V$2:V358),$V$2:$V$1001,0),0), INDEX($AC$1004:$AS$1004,1,MATCH(COLUMNS($AC$1006:AN1006),$AC$1006:$AS$1006,0)))),"Fix")))</f>
        <v xml:space="preserve"> </v>
      </c>
      <c r="N358" s="4" t="str">
        <f ca="1">IF(OR(INDEX($W$2:$W$1001,MATCH(ROWS($V$2:V358),$V$2:$V$1001,0),1)&gt;=100000,INDEX($AC$1005:$AS$1005,1,MATCH(COLUMNS($AC$1006:AO1006),$AC$1006:$AS$1006,0))&gt;=100000), " ",IF(INDEX($AC$2:$AS$1001,MATCH(ROWS($V$2:V358),$V$2:$V$1001,0),MATCH(COLUMNS($AC$1006:AO1006),$AC$1006:$AS$1006,0)), HYPERLINK("#",""), HYPERLINK(CONCATENATE("#metadata!", ADDRESS(INDEX($X$2:$X$1001,MATCH(ROWS($V$2:V358),$V$2:$V$1001,0),0), INDEX($AC$1004:$AS$1004,1,MATCH(COLUMNS($AC$1006:AO1006),$AC$1006:$AS$1006,0)))),"Fix")))</f>
        <v xml:space="preserve"> </v>
      </c>
      <c r="O358" s="4" t="str">
        <f ca="1">IF(OR(INDEX($W$2:$W$1001,MATCH(ROWS($V$2:V358),$V$2:$V$1001,0),1)&gt;=100000,INDEX($AC$1005:$AS$1005,1,MATCH(COLUMNS($AC$1006:AP1006),$AC$1006:$AS$1006,0))&gt;=100000), " ",IF(INDEX($AC$2:$AS$1001,MATCH(ROWS($V$2:V358),$V$2:$V$1001,0),MATCH(COLUMNS($AC$1006:AP1006),$AC$1006:$AS$1006,0)), HYPERLINK("#",""), HYPERLINK(CONCATENATE("#metadata!", ADDRESS(INDEX($X$2:$X$1001,MATCH(ROWS($V$2:V358),$V$2:$V$1001,0),0), INDEX($AC$1004:$AS$1004,1,MATCH(COLUMNS($AC$1006:AP1006),$AC$1006:$AS$1006,0)))),"Fix")))</f>
        <v xml:space="preserve"> </v>
      </c>
      <c r="P358" s="4" t="str">
        <f ca="1">IF(OR(INDEX($W$2:$W$1001,MATCH(ROWS($V$2:V358),$V$2:$V$1001,0),1)&gt;=100000,INDEX($AC$1005:$AS$1005,1,MATCH(COLUMNS($AC$1006:AQ1006),$AC$1006:$AS$1006,0))&gt;=100000), " ",IF(INDEX($AC$2:$AS$1001,MATCH(ROWS($V$2:V358),$V$2:$V$1001,0),MATCH(COLUMNS($AC$1006:AQ1006),$AC$1006:$AS$1006,0)), HYPERLINK("#",""), HYPERLINK(CONCATENATE("#metadata!", ADDRESS(INDEX($X$2:$X$1001,MATCH(ROWS($V$2:V358),$V$2:$V$1001,0),0), INDEX($AC$1004:$AS$1004,1,MATCH(COLUMNS($AC$1006:AQ1006),$AC$1006:$AS$1006,0)))),"Fix")))</f>
        <v xml:space="preserve"> </v>
      </c>
      <c r="Q358" s="4" t="str">
        <f ca="1">IF(OR(INDEX($W$2:$W$1001,MATCH(ROWS($V$2:V358),$V$2:$V$1001,0),1)&gt;=100000,INDEX($AC$1005:$AS$1005,1,MATCH(COLUMNS($AC$1006:AR1006),$AC$1006:$AS$1006,0))&gt;=100000), " ",IF(INDEX($AC$2:$AS$1001,MATCH(ROWS($V$2:V358),$V$2:$V$1001,0),MATCH(COLUMNS($AC$1006:AR1006),$AC$1006:$AS$1006,0)), HYPERLINK("#",""), HYPERLINK(CONCATENATE("#metadata!", ADDRESS(INDEX($X$2:$X$1001,MATCH(ROWS($V$2:V358),$V$2:$V$1001,0),0), INDEX($AC$1004:$AS$1004,1,MATCH(COLUMNS($AC$1006:AR1006),$AC$1006:$AS$1006,0)))),"Fix")))</f>
        <v xml:space="preserve"> </v>
      </c>
      <c r="R358" s="4" t="str">
        <f ca="1">IF(OR(INDEX($W$2:$W$1001,MATCH(ROWS($V$2:V358),$V$2:$V$1001,0),1)&gt;=100000,INDEX($AC$1005:$AS$1005,1,MATCH(COLUMNS($AC$1006:AS1006),$AC$1006:$AS$1006,0))&gt;=100000), " ",IF(INDEX($AC$2:$AS$1001,MATCH(ROWS($V$2:V358),$V$2:$V$1001,0),MATCH(COLUMNS($AC$1006:AS1006),$AC$1006:$AS$1006,0)), HYPERLINK("#",""), HYPERLINK(CONCATENATE("#metadata!", ADDRESS(INDEX($X$2:$X$1001,MATCH(ROWS($V$2:V358),$V$2:$V$1001,0),0), INDEX($AC$1004:$AS$1004,1,MATCH(COLUMNS($AC$1006:AS1006),$AC$1006:$AS$1006,0)))),"Fix")))</f>
        <v xml:space="preserve"> </v>
      </c>
      <c r="V358">
        <v>357</v>
      </c>
      <c r="W358">
        <v>100358</v>
      </c>
      <c r="X358">
        <v>358</v>
      </c>
      <c r="Y358" t="b">
        <f t="shared" si="5"/>
        <v>1</v>
      </c>
      <c r="Z358" t="b">
        <f>COUNTBLANK(metadata!B358:R358)=COLUMNS(metadata!B358:R358)</f>
        <v>1</v>
      </c>
      <c r="AA358" t="str">
        <v/>
      </c>
      <c r="AC358" t="b">
        <f ca="1"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AD358" t="b">
        <f>IF(metadata!C358="",FALSE,ISNUMBER(VALUE(metadata!C358)))</f>
        <v>0</v>
      </c>
      <c r="AE358" t="b">
        <f>AND(IF(metadata!D358="",FALSE,TRUE),EXACT(metadata!D358,"years"))</f>
        <v>0</v>
      </c>
      <c r="AF358" t="b">
        <f>OR(AND(IF(metadata!E358="",FALSE,TRUE),OR(EXACT(metadata!E358,"not applicable"),EXACT(metadata!E358,"missing: not collected"),EXACT(metadata!E358,"missing: not provided"),EXACT(metadata!E358,"missing: restricted access"))),AND(IF(metadata!E358="",FALSE,ISNUMBER(VALUE(metadata!E358))),metadata!E358&gt;0))</f>
        <v>0</v>
      </c>
      <c r="AG358" t="b">
        <f>AND(IF(metadata!F358="",FALSE,TRUE),EXACT(metadata!F358,"Not applicable"))</f>
        <v>0</v>
      </c>
      <c r="AH358" t="b">
        <f>AND(IF(metadata!G358="",FALSE,TRUE),EXACT(metadata!G358,"urban biome"))</f>
        <v>0</v>
      </c>
      <c r="AI358" t="b">
        <f>AND(IF(metadata!H358="",FALSE,TRUE),EXACT(metadata!H358,"human-associated habitat"))</f>
        <v>0</v>
      </c>
      <c r="AJ358" t="b">
        <f>AND(IF(metadata!I358="",FALSE,TRUE),OR(EXACT(metadata!I358,"human-associated"),EXACT(metadata!I358,"human-skin"),EXACT(metadata!I358,"human-oral"),EXACT(metadata!I358,"human-gut"),EXACT(metadata!I358,"human-vaginal")))</f>
        <v>0</v>
      </c>
      <c r="AK358" t="b">
        <f>IF(metadata!J358="",FALSE,ISNUMBER(VALUE(metadata!J358)))</f>
        <v>0</v>
      </c>
      <c r="AL358" t="b">
        <f>AND(IF(metadata!K358="",FALSE,TRUE),EXACT(metadata!K358,"cm"))</f>
        <v>0</v>
      </c>
      <c r="AM358" t="b">
        <f>AND(IF(metadata!L358="",FALSE,TRUE),EXACT(metadata!L358,"human"))</f>
        <v>0</v>
      </c>
      <c r="AN358" t="b">
        <f>AND(IF(metadata!M358="",FALSE,TRUE),EXACT(metadata!M358,"Homo sapiens"))</f>
        <v>0</v>
      </c>
      <c r="AO358" t="b">
        <f>AND(IF(metadata!N358="",FALSE,TRUE),EXACT(metadata!N358,"9606"))</f>
        <v>0</v>
      </c>
      <c r="AP358" t="b">
        <f>IF(metadata!O358="",FALSE,TRUE)</f>
        <v>0</v>
      </c>
      <c r="AQ358" t="b">
        <f>IF(metadata!P358="",FALSE,TRUE)</f>
        <v>0</v>
      </c>
      <c r="AR358" t="b">
        <f>IF(metadata!Q358="",FALSE,ISNUMBER(VALUE(metadata!Q358)))</f>
        <v>0</v>
      </c>
      <c r="AS358" t="b">
        <f>AND(IF(metadata!R358="",FALSE,TRUE),EXACT(metadata!R358,"kg"))</f>
        <v>0</v>
      </c>
    </row>
    <row r="359" spans="1:45" x14ac:dyDescent="0.2">
      <c r="A359" s="5" t="str">
        <f ca="1">IF(B359=" "," ",HYPERLINK(CONCATENATE("#metadata!",ADDRESS(INDEX($X$2:$X$1001,MATCH(ROWS($V$2:V359),$V$2:$V$1001,0),0),1)),INDEX($AA$2:$AA$1001,MATCH(ROWS($V$2:V359),$V$2:$V$1001,0),0)))</f>
        <v xml:space="preserve"> </v>
      </c>
      <c r="B359" s="4" t="str">
        <f ca="1">IF(OR(INDEX($W$2:$W$1001,MATCH(ROWS($V$2:V359),$V$2:$V$1001,0),1)&gt;=100000,INDEX($AC$1005:$AS$1005,1,MATCH(COLUMNS($AC$1006:AC1006),$AC$1006:$AS$1006,0))&gt;=100000), " ",IF(INDEX($AC$2:$AS$1001,MATCH(ROWS($V$2:V359),$V$2:$V$1001,0),MATCH(COLUMNS($AC$1006:AC1006),$AC$1006:$AS$1006,0)), HYPERLINK("#",""), HYPERLINK(CONCATENATE("#metadata!", ADDRESS(INDEX($X$2:$X$1001,MATCH(ROWS($V$2:V359),$V$2:$V$1001,0),0), INDEX($AC$1004:$AS$1004,1,MATCH(COLUMNS($AC$1006:AC1006),$AC$1006:$AS$1006,0)))),"Fix")))</f>
        <v xml:space="preserve"> </v>
      </c>
      <c r="C359" s="4" t="str">
        <f ca="1">IF(OR(INDEX($W$2:$W$1001,MATCH(ROWS($V$2:V359),$V$2:$V$1001,0),1)&gt;=100000,INDEX($AC$1005:$AS$1005,1,MATCH(COLUMNS($AC$1006:AD1006),$AC$1006:$AS$1006,0))&gt;=100000), " ",IF(INDEX($AC$2:$AS$1001,MATCH(ROWS($V$2:V359),$V$2:$V$1001,0),MATCH(COLUMNS($AC$1006:AD1006),$AC$1006:$AS$1006,0)), HYPERLINK("#",""), HYPERLINK(CONCATENATE("#metadata!", ADDRESS(INDEX($X$2:$X$1001,MATCH(ROWS($V$2:V359),$V$2:$V$1001,0),0), INDEX($AC$1004:$AS$1004,1,MATCH(COLUMNS($AC$1006:AD1006),$AC$1006:$AS$1006,0)))),"Fix")))</f>
        <v xml:space="preserve"> </v>
      </c>
      <c r="D359" s="4" t="str">
        <f ca="1">IF(OR(INDEX($W$2:$W$1001,MATCH(ROWS($V$2:V359),$V$2:$V$1001,0),1)&gt;=100000,INDEX($AC$1005:$AS$1005,1,MATCH(COLUMNS($AC$1006:AE1006),$AC$1006:$AS$1006,0))&gt;=100000), " ",IF(INDEX($AC$2:$AS$1001,MATCH(ROWS($V$2:V359),$V$2:$V$1001,0),MATCH(COLUMNS($AC$1006:AE1006),$AC$1006:$AS$1006,0)), HYPERLINK("#",""), HYPERLINK(CONCATENATE("#metadata!", ADDRESS(INDEX($X$2:$X$1001,MATCH(ROWS($V$2:V359),$V$2:$V$1001,0),0), INDEX($AC$1004:$AS$1004,1,MATCH(COLUMNS($AC$1006:AE1006),$AC$1006:$AS$1006,0)))),"Fix")))</f>
        <v xml:space="preserve"> </v>
      </c>
      <c r="E359" s="4" t="str">
        <f ca="1">IF(OR(INDEX($W$2:$W$1001,MATCH(ROWS($V$2:V359),$V$2:$V$1001,0),1)&gt;=100000,INDEX($AC$1005:$AS$1005,1,MATCH(COLUMNS($AC$1006:AF1006),$AC$1006:$AS$1006,0))&gt;=100000), " ",IF(INDEX($AC$2:$AS$1001,MATCH(ROWS($V$2:V359),$V$2:$V$1001,0),MATCH(COLUMNS($AC$1006:AF1006),$AC$1006:$AS$1006,0)), HYPERLINK("#",""), HYPERLINK(CONCATENATE("#metadata!", ADDRESS(INDEX($X$2:$X$1001,MATCH(ROWS($V$2:V359),$V$2:$V$1001,0),0), INDEX($AC$1004:$AS$1004,1,MATCH(COLUMNS($AC$1006:AF1006),$AC$1006:$AS$1006,0)))),"Fix")))</f>
        <v xml:space="preserve"> </v>
      </c>
      <c r="F359" s="4" t="str">
        <f ca="1">IF(OR(INDEX($W$2:$W$1001,MATCH(ROWS($V$2:V359),$V$2:$V$1001,0),1)&gt;=100000,INDEX($AC$1005:$AS$1005,1,MATCH(COLUMNS($AC$1006:AG1006),$AC$1006:$AS$1006,0))&gt;=100000), " ",IF(INDEX($AC$2:$AS$1001,MATCH(ROWS($V$2:V359),$V$2:$V$1001,0),MATCH(COLUMNS($AC$1006:AG1006),$AC$1006:$AS$1006,0)), HYPERLINK("#",""), HYPERLINK(CONCATENATE("#metadata!", ADDRESS(INDEX($X$2:$X$1001,MATCH(ROWS($V$2:V359),$V$2:$V$1001,0),0), INDEX($AC$1004:$AS$1004,1,MATCH(COLUMNS($AC$1006:AG1006),$AC$1006:$AS$1006,0)))),"Fix")))</f>
        <v xml:space="preserve"> </v>
      </c>
      <c r="G359" s="4" t="str">
        <f ca="1">IF(OR(INDEX($W$2:$W$1001,MATCH(ROWS($V$2:V359),$V$2:$V$1001,0),1)&gt;=100000,INDEX($AC$1005:$AS$1005,1,MATCH(COLUMNS($AC$1006:AH1006),$AC$1006:$AS$1006,0))&gt;=100000), " ",IF(INDEX($AC$2:$AS$1001,MATCH(ROWS($V$2:V359),$V$2:$V$1001,0),MATCH(COLUMNS($AC$1006:AH1006),$AC$1006:$AS$1006,0)), HYPERLINK("#",""), HYPERLINK(CONCATENATE("#metadata!", ADDRESS(INDEX($X$2:$X$1001,MATCH(ROWS($V$2:V359),$V$2:$V$1001,0),0), INDEX($AC$1004:$AS$1004,1,MATCH(COLUMNS($AC$1006:AH1006),$AC$1006:$AS$1006,0)))),"Fix")))</f>
        <v xml:space="preserve"> </v>
      </c>
      <c r="H359" s="4" t="str">
        <f ca="1">IF(OR(INDEX($W$2:$W$1001,MATCH(ROWS($V$2:V359),$V$2:$V$1001,0),1)&gt;=100000,INDEX($AC$1005:$AS$1005,1,MATCH(COLUMNS($AC$1006:AI1006),$AC$1006:$AS$1006,0))&gt;=100000), " ",IF(INDEX($AC$2:$AS$1001,MATCH(ROWS($V$2:V359),$V$2:$V$1001,0),MATCH(COLUMNS($AC$1006:AI1006),$AC$1006:$AS$1006,0)), HYPERLINK("#",""), HYPERLINK(CONCATENATE("#metadata!", ADDRESS(INDEX($X$2:$X$1001,MATCH(ROWS($V$2:V359),$V$2:$V$1001,0),0), INDEX($AC$1004:$AS$1004,1,MATCH(COLUMNS($AC$1006:AI1006),$AC$1006:$AS$1006,0)))),"Fix")))</f>
        <v xml:space="preserve"> </v>
      </c>
      <c r="I359" s="4" t="str">
        <f ca="1">IF(OR(INDEX($W$2:$W$1001,MATCH(ROWS($V$2:V359),$V$2:$V$1001,0),1)&gt;=100000,INDEX($AC$1005:$AS$1005,1,MATCH(COLUMNS($AC$1006:AJ1006),$AC$1006:$AS$1006,0))&gt;=100000), " ",IF(INDEX($AC$2:$AS$1001,MATCH(ROWS($V$2:V359),$V$2:$V$1001,0),MATCH(COLUMNS($AC$1006:AJ1006),$AC$1006:$AS$1006,0)), HYPERLINK("#",""), HYPERLINK(CONCATENATE("#metadata!", ADDRESS(INDEX($X$2:$X$1001,MATCH(ROWS($V$2:V359),$V$2:$V$1001,0),0), INDEX($AC$1004:$AS$1004,1,MATCH(COLUMNS($AC$1006:AJ1006),$AC$1006:$AS$1006,0)))),"Fix")))</f>
        <v xml:space="preserve"> </v>
      </c>
      <c r="J359" s="4" t="str">
        <f ca="1">IF(OR(INDEX($W$2:$W$1001,MATCH(ROWS($V$2:V359),$V$2:$V$1001,0),1)&gt;=100000,INDEX($AC$1005:$AS$1005,1,MATCH(COLUMNS($AC$1006:AK1006),$AC$1006:$AS$1006,0))&gt;=100000), " ",IF(INDEX($AC$2:$AS$1001,MATCH(ROWS($V$2:V359),$V$2:$V$1001,0),MATCH(COLUMNS($AC$1006:AK1006),$AC$1006:$AS$1006,0)), HYPERLINK("#",""), HYPERLINK(CONCATENATE("#metadata!", ADDRESS(INDEX($X$2:$X$1001,MATCH(ROWS($V$2:V359),$V$2:$V$1001,0),0), INDEX($AC$1004:$AS$1004,1,MATCH(COLUMNS($AC$1006:AK1006),$AC$1006:$AS$1006,0)))),"Fix")))</f>
        <v xml:space="preserve"> </v>
      </c>
      <c r="K359" s="4" t="str">
        <f ca="1">IF(OR(INDEX($W$2:$W$1001,MATCH(ROWS($V$2:V359),$V$2:$V$1001,0),1)&gt;=100000,INDEX($AC$1005:$AS$1005,1,MATCH(COLUMNS($AC$1006:AL1006),$AC$1006:$AS$1006,0))&gt;=100000), " ",IF(INDEX($AC$2:$AS$1001,MATCH(ROWS($V$2:V359),$V$2:$V$1001,0),MATCH(COLUMNS($AC$1006:AL1006),$AC$1006:$AS$1006,0)), HYPERLINK("#",""), HYPERLINK(CONCATENATE("#metadata!", ADDRESS(INDEX($X$2:$X$1001,MATCH(ROWS($V$2:V359),$V$2:$V$1001,0),0), INDEX($AC$1004:$AS$1004,1,MATCH(COLUMNS($AC$1006:AL1006),$AC$1006:$AS$1006,0)))),"Fix")))</f>
        <v xml:space="preserve"> </v>
      </c>
      <c r="L359" s="4" t="str">
        <f ca="1">IF(OR(INDEX($W$2:$W$1001,MATCH(ROWS($V$2:V359),$V$2:$V$1001,0),1)&gt;=100000,INDEX($AC$1005:$AS$1005,1,MATCH(COLUMNS($AC$1006:AM1006),$AC$1006:$AS$1006,0))&gt;=100000), " ",IF(INDEX($AC$2:$AS$1001,MATCH(ROWS($V$2:V359),$V$2:$V$1001,0),MATCH(COLUMNS($AC$1006:AM1006),$AC$1006:$AS$1006,0)), HYPERLINK("#",""), HYPERLINK(CONCATENATE("#metadata!", ADDRESS(INDEX($X$2:$X$1001,MATCH(ROWS($V$2:V359),$V$2:$V$1001,0),0), INDEX($AC$1004:$AS$1004,1,MATCH(COLUMNS($AC$1006:AM1006),$AC$1006:$AS$1006,0)))),"Fix")))</f>
        <v xml:space="preserve"> </v>
      </c>
      <c r="M359" s="4" t="str">
        <f ca="1">IF(OR(INDEX($W$2:$W$1001,MATCH(ROWS($V$2:V359),$V$2:$V$1001,0),1)&gt;=100000,INDEX($AC$1005:$AS$1005,1,MATCH(COLUMNS($AC$1006:AN1006),$AC$1006:$AS$1006,0))&gt;=100000), " ",IF(INDEX($AC$2:$AS$1001,MATCH(ROWS($V$2:V359),$V$2:$V$1001,0),MATCH(COLUMNS($AC$1006:AN1006),$AC$1006:$AS$1006,0)), HYPERLINK("#",""), HYPERLINK(CONCATENATE("#metadata!", ADDRESS(INDEX($X$2:$X$1001,MATCH(ROWS($V$2:V359),$V$2:$V$1001,0),0), INDEX($AC$1004:$AS$1004,1,MATCH(COLUMNS($AC$1006:AN1006),$AC$1006:$AS$1006,0)))),"Fix")))</f>
        <v xml:space="preserve"> </v>
      </c>
      <c r="N359" s="4" t="str">
        <f ca="1">IF(OR(INDEX($W$2:$W$1001,MATCH(ROWS($V$2:V359),$V$2:$V$1001,0),1)&gt;=100000,INDEX($AC$1005:$AS$1005,1,MATCH(COLUMNS($AC$1006:AO1006),$AC$1006:$AS$1006,0))&gt;=100000), " ",IF(INDEX($AC$2:$AS$1001,MATCH(ROWS($V$2:V359),$V$2:$V$1001,0),MATCH(COLUMNS($AC$1006:AO1006),$AC$1006:$AS$1006,0)), HYPERLINK("#",""), HYPERLINK(CONCATENATE("#metadata!", ADDRESS(INDEX($X$2:$X$1001,MATCH(ROWS($V$2:V359),$V$2:$V$1001,0),0), INDEX($AC$1004:$AS$1004,1,MATCH(COLUMNS($AC$1006:AO1006),$AC$1006:$AS$1006,0)))),"Fix")))</f>
        <v xml:space="preserve"> </v>
      </c>
      <c r="O359" s="4" t="str">
        <f ca="1">IF(OR(INDEX($W$2:$W$1001,MATCH(ROWS($V$2:V359),$V$2:$V$1001,0),1)&gt;=100000,INDEX($AC$1005:$AS$1005,1,MATCH(COLUMNS($AC$1006:AP1006),$AC$1006:$AS$1006,0))&gt;=100000), " ",IF(INDEX($AC$2:$AS$1001,MATCH(ROWS($V$2:V359),$V$2:$V$1001,0),MATCH(COLUMNS($AC$1006:AP1006),$AC$1006:$AS$1006,0)), HYPERLINK("#",""), HYPERLINK(CONCATENATE("#metadata!", ADDRESS(INDEX($X$2:$X$1001,MATCH(ROWS($V$2:V359),$V$2:$V$1001,0),0), INDEX($AC$1004:$AS$1004,1,MATCH(COLUMNS($AC$1006:AP1006),$AC$1006:$AS$1006,0)))),"Fix")))</f>
        <v xml:space="preserve"> </v>
      </c>
      <c r="P359" s="4" t="str">
        <f ca="1">IF(OR(INDEX($W$2:$W$1001,MATCH(ROWS($V$2:V359),$V$2:$V$1001,0),1)&gt;=100000,INDEX($AC$1005:$AS$1005,1,MATCH(COLUMNS($AC$1006:AQ1006),$AC$1006:$AS$1006,0))&gt;=100000), " ",IF(INDEX($AC$2:$AS$1001,MATCH(ROWS($V$2:V359),$V$2:$V$1001,0),MATCH(COLUMNS($AC$1006:AQ1006),$AC$1006:$AS$1006,0)), HYPERLINK("#",""), HYPERLINK(CONCATENATE("#metadata!", ADDRESS(INDEX($X$2:$X$1001,MATCH(ROWS($V$2:V359),$V$2:$V$1001,0),0), INDEX($AC$1004:$AS$1004,1,MATCH(COLUMNS($AC$1006:AQ1006),$AC$1006:$AS$1006,0)))),"Fix")))</f>
        <v xml:space="preserve"> </v>
      </c>
      <c r="Q359" s="4" t="str">
        <f ca="1">IF(OR(INDEX($W$2:$W$1001,MATCH(ROWS($V$2:V359),$V$2:$V$1001,0),1)&gt;=100000,INDEX($AC$1005:$AS$1005,1,MATCH(COLUMNS($AC$1006:AR1006),$AC$1006:$AS$1006,0))&gt;=100000), " ",IF(INDEX($AC$2:$AS$1001,MATCH(ROWS($V$2:V359),$V$2:$V$1001,0),MATCH(COLUMNS($AC$1006:AR1006),$AC$1006:$AS$1006,0)), HYPERLINK("#",""), HYPERLINK(CONCATENATE("#metadata!", ADDRESS(INDEX($X$2:$X$1001,MATCH(ROWS($V$2:V359),$V$2:$V$1001,0),0), INDEX($AC$1004:$AS$1004,1,MATCH(COLUMNS($AC$1006:AR1006),$AC$1006:$AS$1006,0)))),"Fix")))</f>
        <v xml:space="preserve"> </v>
      </c>
      <c r="R359" s="4" t="str">
        <f ca="1">IF(OR(INDEX($W$2:$W$1001,MATCH(ROWS($V$2:V359),$V$2:$V$1001,0),1)&gt;=100000,INDEX($AC$1005:$AS$1005,1,MATCH(COLUMNS($AC$1006:AS1006),$AC$1006:$AS$1006,0))&gt;=100000), " ",IF(INDEX($AC$2:$AS$1001,MATCH(ROWS($V$2:V359),$V$2:$V$1001,0),MATCH(COLUMNS($AC$1006:AS1006),$AC$1006:$AS$1006,0)), HYPERLINK("#",""), HYPERLINK(CONCATENATE("#metadata!", ADDRESS(INDEX($X$2:$X$1001,MATCH(ROWS($V$2:V359),$V$2:$V$1001,0),0), INDEX($AC$1004:$AS$1004,1,MATCH(COLUMNS($AC$1006:AS1006),$AC$1006:$AS$1006,0)))),"Fix")))</f>
        <v xml:space="preserve"> </v>
      </c>
      <c r="V359">
        <v>358</v>
      </c>
      <c r="W359">
        <v>100359</v>
      </c>
      <c r="X359">
        <v>359</v>
      </c>
      <c r="Y359" t="b">
        <f t="shared" si="5"/>
        <v>1</v>
      </c>
      <c r="Z359" t="b">
        <f>COUNTBLANK(metadata!B359:R359)=COLUMNS(metadata!B359:R359)</f>
        <v>1</v>
      </c>
      <c r="AA359" t="str">
        <v/>
      </c>
      <c r="AC359" t="b">
        <f ca="1"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AD359" t="b">
        <f>IF(metadata!C359="",FALSE,ISNUMBER(VALUE(metadata!C359)))</f>
        <v>0</v>
      </c>
      <c r="AE359" t="b">
        <f>AND(IF(metadata!D359="",FALSE,TRUE),EXACT(metadata!D359,"years"))</f>
        <v>0</v>
      </c>
      <c r="AF359" t="b">
        <f>OR(AND(IF(metadata!E359="",FALSE,TRUE),OR(EXACT(metadata!E359,"not applicable"),EXACT(metadata!E359,"missing: not collected"),EXACT(metadata!E359,"missing: not provided"),EXACT(metadata!E359,"missing: restricted access"))),AND(IF(metadata!E359="",FALSE,ISNUMBER(VALUE(metadata!E359))),metadata!E359&gt;0))</f>
        <v>0</v>
      </c>
      <c r="AG359" t="b">
        <f>AND(IF(metadata!F359="",FALSE,TRUE),EXACT(metadata!F359,"Not applicable"))</f>
        <v>0</v>
      </c>
      <c r="AH359" t="b">
        <f>AND(IF(metadata!G359="",FALSE,TRUE),EXACT(metadata!G359,"urban biome"))</f>
        <v>0</v>
      </c>
      <c r="AI359" t="b">
        <f>AND(IF(metadata!H359="",FALSE,TRUE),EXACT(metadata!H359,"human-associated habitat"))</f>
        <v>0</v>
      </c>
      <c r="AJ359" t="b">
        <f>AND(IF(metadata!I359="",FALSE,TRUE),OR(EXACT(metadata!I359,"human-associated"),EXACT(metadata!I359,"human-skin"),EXACT(metadata!I359,"human-oral"),EXACT(metadata!I359,"human-gut"),EXACT(metadata!I359,"human-vaginal")))</f>
        <v>0</v>
      </c>
      <c r="AK359" t="b">
        <f>IF(metadata!J359="",FALSE,ISNUMBER(VALUE(metadata!J359)))</f>
        <v>0</v>
      </c>
      <c r="AL359" t="b">
        <f>AND(IF(metadata!K359="",FALSE,TRUE),EXACT(metadata!K359,"cm"))</f>
        <v>0</v>
      </c>
      <c r="AM359" t="b">
        <f>AND(IF(metadata!L359="",FALSE,TRUE),EXACT(metadata!L359,"human"))</f>
        <v>0</v>
      </c>
      <c r="AN359" t="b">
        <f>AND(IF(metadata!M359="",FALSE,TRUE),EXACT(metadata!M359,"Homo sapiens"))</f>
        <v>0</v>
      </c>
      <c r="AO359" t="b">
        <f>AND(IF(metadata!N359="",FALSE,TRUE),EXACT(metadata!N359,"9606"))</f>
        <v>0</v>
      </c>
      <c r="AP359" t="b">
        <f>IF(metadata!O359="",FALSE,TRUE)</f>
        <v>0</v>
      </c>
      <c r="AQ359" t="b">
        <f>IF(metadata!P359="",FALSE,TRUE)</f>
        <v>0</v>
      </c>
      <c r="AR359" t="b">
        <f>IF(metadata!Q359="",FALSE,ISNUMBER(VALUE(metadata!Q359)))</f>
        <v>0</v>
      </c>
      <c r="AS359" t="b">
        <f>AND(IF(metadata!R359="",FALSE,TRUE),EXACT(metadata!R359,"kg"))</f>
        <v>0</v>
      </c>
    </row>
    <row r="360" spans="1:45" x14ac:dyDescent="0.2">
      <c r="A360" s="5" t="str">
        <f ca="1">IF(B360=" "," ",HYPERLINK(CONCATENATE("#metadata!",ADDRESS(INDEX($X$2:$X$1001,MATCH(ROWS($V$2:V360),$V$2:$V$1001,0),0),1)),INDEX($AA$2:$AA$1001,MATCH(ROWS($V$2:V360),$V$2:$V$1001,0),0)))</f>
        <v xml:space="preserve"> </v>
      </c>
      <c r="B360" s="4" t="str">
        <f ca="1">IF(OR(INDEX($W$2:$W$1001,MATCH(ROWS($V$2:V360),$V$2:$V$1001,0),1)&gt;=100000,INDEX($AC$1005:$AS$1005,1,MATCH(COLUMNS($AC$1006:AC1006),$AC$1006:$AS$1006,0))&gt;=100000), " ",IF(INDEX($AC$2:$AS$1001,MATCH(ROWS($V$2:V360),$V$2:$V$1001,0),MATCH(COLUMNS($AC$1006:AC1006),$AC$1006:$AS$1006,0)), HYPERLINK("#",""), HYPERLINK(CONCATENATE("#metadata!", ADDRESS(INDEX($X$2:$X$1001,MATCH(ROWS($V$2:V360),$V$2:$V$1001,0),0), INDEX($AC$1004:$AS$1004,1,MATCH(COLUMNS($AC$1006:AC1006),$AC$1006:$AS$1006,0)))),"Fix")))</f>
        <v xml:space="preserve"> </v>
      </c>
      <c r="C360" s="4" t="str">
        <f ca="1">IF(OR(INDEX($W$2:$W$1001,MATCH(ROWS($V$2:V360),$V$2:$V$1001,0),1)&gt;=100000,INDEX($AC$1005:$AS$1005,1,MATCH(COLUMNS($AC$1006:AD1006),$AC$1006:$AS$1006,0))&gt;=100000), " ",IF(INDEX($AC$2:$AS$1001,MATCH(ROWS($V$2:V360),$V$2:$V$1001,0),MATCH(COLUMNS($AC$1006:AD1006),$AC$1006:$AS$1006,0)), HYPERLINK("#",""), HYPERLINK(CONCATENATE("#metadata!", ADDRESS(INDEX($X$2:$X$1001,MATCH(ROWS($V$2:V360),$V$2:$V$1001,0),0), INDEX($AC$1004:$AS$1004,1,MATCH(COLUMNS($AC$1006:AD1006),$AC$1006:$AS$1006,0)))),"Fix")))</f>
        <v xml:space="preserve"> </v>
      </c>
      <c r="D360" s="4" t="str">
        <f ca="1">IF(OR(INDEX($W$2:$W$1001,MATCH(ROWS($V$2:V360),$V$2:$V$1001,0),1)&gt;=100000,INDEX($AC$1005:$AS$1005,1,MATCH(COLUMNS($AC$1006:AE1006),$AC$1006:$AS$1006,0))&gt;=100000), " ",IF(INDEX($AC$2:$AS$1001,MATCH(ROWS($V$2:V360),$V$2:$V$1001,0),MATCH(COLUMNS($AC$1006:AE1006),$AC$1006:$AS$1006,0)), HYPERLINK("#",""), HYPERLINK(CONCATENATE("#metadata!", ADDRESS(INDEX($X$2:$X$1001,MATCH(ROWS($V$2:V360),$V$2:$V$1001,0),0), INDEX($AC$1004:$AS$1004,1,MATCH(COLUMNS($AC$1006:AE1006),$AC$1006:$AS$1006,0)))),"Fix")))</f>
        <v xml:space="preserve"> </v>
      </c>
      <c r="E360" s="4" t="str">
        <f ca="1">IF(OR(INDEX($W$2:$W$1001,MATCH(ROWS($V$2:V360),$V$2:$V$1001,0),1)&gt;=100000,INDEX($AC$1005:$AS$1005,1,MATCH(COLUMNS($AC$1006:AF1006),$AC$1006:$AS$1006,0))&gt;=100000), " ",IF(INDEX($AC$2:$AS$1001,MATCH(ROWS($V$2:V360),$V$2:$V$1001,0),MATCH(COLUMNS($AC$1006:AF1006),$AC$1006:$AS$1006,0)), HYPERLINK("#",""), HYPERLINK(CONCATENATE("#metadata!", ADDRESS(INDEX($X$2:$X$1001,MATCH(ROWS($V$2:V360),$V$2:$V$1001,0),0), INDEX($AC$1004:$AS$1004,1,MATCH(COLUMNS($AC$1006:AF1006),$AC$1006:$AS$1006,0)))),"Fix")))</f>
        <v xml:space="preserve"> </v>
      </c>
      <c r="F360" s="4" t="str">
        <f ca="1">IF(OR(INDEX($W$2:$W$1001,MATCH(ROWS($V$2:V360),$V$2:$V$1001,0),1)&gt;=100000,INDEX($AC$1005:$AS$1005,1,MATCH(COLUMNS($AC$1006:AG1006),$AC$1006:$AS$1006,0))&gt;=100000), " ",IF(INDEX($AC$2:$AS$1001,MATCH(ROWS($V$2:V360),$V$2:$V$1001,0),MATCH(COLUMNS($AC$1006:AG1006),$AC$1006:$AS$1006,0)), HYPERLINK("#",""), HYPERLINK(CONCATENATE("#metadata!", ADDRESS(INDEX($X$2:$X$1001,MATCH(ROWS($V$2:V360),$V$2:$V$1001,0),0), INDEX($AC$1004:$AS$1004,1,MATCH(COLUMNS($AC$1006:AG1006),$AC$1006:$AS$1006,0)))),"Fix")))</f>
        <v xml:space="preserve"> </v>
      </c>
      <c r="G360" s="4" t="str">
        <f ca="1">IF(OR(INDEX($W$2:$W$1001,MATCH(ROWS($V$2:V360),$V$2:$V$1001,0),1)&gt;=100000,INDEX($AC$1005:$AS$1005,1,MATCH(COLUMNS($AC$1006:AH1006),$AC$1006:$AS$1006,0))&gt;=100000), " ",IF(INDEX($AC$2:$AS$1001,MATCH(ROWS($V$2:V360),$V$2:$V$1001,0),MATCH(COLUMNS($AC$1006:AH1006),$AC$1006:$AS$1006,0)), HYPERLINK("#",""), HYPERLINK(CONCATENATE("#metadata!", ADDRESS(INDEX($X$2:$X$1001,MATCH(ROWS($V$2:V360),$V$2:$V$1001,0),0), INDEX($AC$1004:$AS$1004,1,MATCH(COLUMNS($AC$1006:AH1006),$AC$1006:$AS$1006,0)))),"Fix")))</f>
        <v xml:space="preserve"> </v>
      </c>
      <c r="H360" s="4" t="str">
        <f ca="1">IF(OR(INDEX($W$2:$W$1001,MATCH(ROWS($V$2:V360),$V$2:$V$1001,0),1)&gt;=100000,INDEX($AC$1005:$AS$1005,1,MATCH(COLUMNS($AC$1006:AI1006),$AC$1006:$AS$1006,0))&gt;=100000), " ",IF(INDEX($AC$2:$AS$1001,MATCH(ROWS($V$2:V360),$V$2:$V$1001,0),MATCH(COLUMNS($AC$1006:AI1006),$AC$1006:$AS$1006,0)), HYPERLINK("#",""), HYPERLINK(CONCATENATE("#metadata!", ADDRESS(INDEX($X$2:$X$1001,MATCH(ROWS($V$2:V360),$V$2:$V$1001,0),0), INDEX($AC$1004:$AS$1004,1,MATCH(COLUMNS($AC$1006:AI1006),$AC$1006:$AS$1006,0)))),"Fix")))</f>
        <v xml:space="preserve"> </v>
      </c>
      <c r="I360" s="4" t="str">
        <f ca="1">IF(OR(INDEX($W$2:$W$1001,MATCH(ROWS($V$2:V360),$V$2:$V$1001,0),1)&gt;=100000,INDEX($AC$1005:$AS$1005,1,MATCH(COLUMNS($AC$1006:AJ1006),$AC$1006:$AS$1006,0))&gt;=100000), " ",IF(INDEX($AC$2:$AS$1001,MATCH(ROWS($V$2:V360),$V$2:$V$1001,0),MATCH(COLUMNS($AC$1006:AJ1006),$AC$1006:$AS$1006,0)), HYPERLINK("#",""), HYPERLINK(CONCATENATE("#metadata!", ADDRESS(INDEX($X$2:$X$1001,MATCH(ROWS($V$2:V360),$V$2:$V$1001,0),0), INDEX($AC$1004:$AS$1004,1,MATCH(COLUMNS($AC$1006:AJ1006),$AC$1006:$AS$1006,0)))),"Fix")))</f>
        <v xml:space="preserve"> </v>
      </c>
      <c r="J360" s="4" t="str">
        <f ca="1">IF(OR(INDEX($W$2:$W$1001,MATCH(ROWS($V$2:V360),$V$2:$V$1001,0),1)&gt;=100000,INDEX($AC$1005:$AS$1005,1,MATCH(COLUMNS($AC$1006:AK1006),$AC$1006:$AS$1006,0))&gt;=100000), " ",IF(INDEX($AC$2:$AS$1001,MATCH(ROWS($V$2:V360),$V$2:$V$1001,0),MATCH(COLUMNS($AC$1006:AK1006),$AC$1006:$AS$1006,0)), HYPERLINK("#",""), HYPERLINK(CONCATENATE("#metadata!", ADDRESS(INDEX($X$2:$X$1001,MATCH(ROWS($V$2:V360),$V$2:$V$1001,0),0), INDEX($AC$1004:$AS$1004,1,MATCH(COLUMNS($AC$1006:AK1006),$AC$1006:$AS$1006,0)))),"Fix")))</f>
        <v xml:space="preserve"> </v>
      </c>
      <c r="K360" s="4" t="str">
        <f ca="1">IF(OR(INDEX($W$2:$W$1001,MATCH(ROWS($V$2:V360),$V$2:$V$1001,0),1)&gt;=100000,INDEX($AC$1005:$AS$1005,1,MATCH(COLUMNS($AC$1006:AL1006),$AC$1006:$AS$1006,0))&gt;=100000), " ",IF(INDEX($AC$2:$AS$1001,MATCH(ROWS($V$2:V360),$V$2:$V$1001,0),MATCH(COLUMNS($AC$1006:AL1006),$AC$1006:$AS$1006,0)), HYPERLINK("#",""), HYPERLINK(CONCATENATE("#metadata!", ADDRESS(INDEX($X$2:$X$1001,MATCH(ROWS($V$2:V360),$V$2:$V$1001,0),0), INDEX($AC$1004:$AS$1004,1,MATCH(COLUMNS($AC$1006:AL1006),$AC$1006:$AS$1006,0)))),"Fix")))</f>
        <v xml:space="preserve"> </v>
      </c>
      <c r="L360" s="4" t="str">
        <f ca="1">IF(OR(INDEX($W$2:$W$1001,MATCH(ROWS($V$2:V360),$V$2:$V$1001,0),1)&gt;=100000,INDEX($AC$1005:$AS$1005,1,MATCH(COLUMNS($AC$1006:AM1006),$AC$1006:$AS$1006,0))&gt;=100000), " ",IF(INDEX($AC$2:$AS$1001,MATCH(ROWS($V$2:V360),$V$2:$V$1001,0),MATCH(COLUMNS($AC$1006:AM1006),$AC$1006:$AS$1006,0)), HYPERLINK("#",""), HYPERLINK(CONCATENATE("#metadata!", ADDRESS(INDEX($X$2:$X$1001,MATCH(ROWS($V$2:V360),$V$2:$V$1001,0),0), INDEX($AC$1004:$AS$1004,1,MATCH(COLUMNS($AC$1006:AM1006),$AC$1006:$AS$1006,0)))),"Fix")))</f>
        <v xml:space="preserve"> </v>
      </c>
      <c r="M360" s="4" t="str">
        <f ca="1">IF(OR(INDEX($W$2:$W$1001,MATCH(ROWS($V$2:V360),$V$2:$V$1001,0),1)&gt;=100000,INDEX($AC$1005:$AS$1005,1,MATCH(COLUMNS($AC$1006:AN1006),$AC$1006:$AS$1006,0))&gt;=100000), " ",IF(INDEX($AC$2:$AS$1001,MATCH(ROWS($V$2:V360),$V$2:$V$1001,0),MATCH(COLUMNS($AC$1006:AN1006),$AC$1006:$AS$1006,0)), HYPERLINK("#",""), HYPERLINK(CONCATENATE("#metadata!", ADDRESS(INDEX($X$2:$X$1001,MATCH(ROWS($V$2:V360),$V$2:$V$1001,0),0), INDEX($AC$1004:$AS$1004,1,MATCH(COLUMNS($AC$1006:AN1006),$AC$1006:$AS$1006,0)))),"Fix")))</f>
        <v xml:space="preserve"> </v>
      </c>
      <c r="N360" s="4" t="str">
        <f ca="1">IF(OR(INDEX($W$2:$W$1001,MATCH(ROWS($V$2:V360),$V$2:$V$1001,0),1)&gt;=100000,INDEX($AC$1005:$AS$1005,1,MATCH(COLUMNS($AC$1006:AO1006),$AC$1006:$AS$1006,0))&gt;=100000), " ",IF(INDEX($AC$2:$AS$1001,MATCH(ROWS($V$2:V360),$V$2:$V$1001,0),MATCH(COLUMNS($AC$1006:AO1006),$AC$1006:$AS$1006,0)), HYPERLINK("#",""), HYPERLINK(CONCATENATE("#metadata!", ADDRESS(INDEX($X$2:$X$1001,MATCH(ROWS($V$2:V360),$V$2:$V$1001,0),0), INDEX($AC$1004:$AS$1004,1,MATCH(COLUMNS($AC$1006:AO1006),$AC$1006:$AS$1006,0)))),"Fix")))</f>
        <v xml:space="preserve"> </v>
      </c>
      <c r="O360" s="4" t="str">
        <f ca="1">IF(OR(INDEX($W$2:$W$1001,MATCH(ROWS($V$2:V360),$V$2:$V$1001,0),1)&gt;=100000,INDEX($AC$1005:$AS$1005,1,MATCH(COLUMNS($AC$1006:AP1006),$AC$1006:$AS$1006,0))&gt;=100000), " ",IF(INDEX($AC$2:$AS$1001,MATCH(ROWS($V$2:V360),$V$2:$V$1001,0),MATCH(COLUMNS($AC$1006:AP1006),$AC$1006:$AS$1006,0)), HYPERLINK("#",""), HYPERLINK(CONCATENATE("#metadata!", ADDRESS(INDEX($X$2:$X$1001,MATCH(ROWS($V$2:V360),$V$2:$V$1001,0),0), INDEX($AC$1004:$AS$1004,1,MATCH(COLUMNS($AC$1006:AP1006),$AC$1006:$AS$1006,0)))),"Fix")))</f>
        <v xml:space="preserve"> </v>
      </c>
      <c r="P360" s="4" t="str">
        <f ca="1">IF(OR(INDEX($W$2:$W$1001,MATCH(ROWS($V$2:V360),$V$2:$V$1001,0),1)&gt;=100000,INDEX($AC$1005:$AS$1005,1,MATCH(COLUMNS($AC$1006:AQ1006),$AC$1006:$AS$1006,0))&gt;=100000), " ",IF(INDEX($AC$2:$AS$1001,MATCH(ROWS($V$2:V360),$V$2:$V$1001,0),MATCH(COLUMNS($AC$1006:AQ1006),$AC$1006:$AS$1006,0)), HYPERLINK("#",""), HYPERLINK(CONCATENATE("#metadata!", ADDRESS(INDEX($X$2:$X$1001,MATCH(ROWS($V$2:V360),$V$2:$V$1001,0),0), INDEX($AC$1004:$AS$1004,1,MATCH(COLUMNS($AC$1006:AQ1006),$AC$1006:$AS$1006,0)))),"Fix")))</f>
        <v xml:space="preserve"> </v>
      </c>
      <c r="Q360" s="4" t="str">
        <f ca="1">IF(OR(INDEX($W$2:$W$1001,MATCH(ROWS($V$2:V360),$V$2:$V$1001,0),1)&gt;=100000,INDEX($AC$1005:$AS$1005,1,MATCH(COLUMNS($AC$1006:AR1006),$AC$1006:$AS$1006,0))&gt;=100000), " ",IF(INDEX($AC$2:$AS$1001,MATCH(ROWS($V$2:V360),$V$2:$V$1001,0),MATCH(COLUMNS($AC$1006:AR1006),$AC$1006:$AS$1006,0)), HYPERLINK("#",""), HYPERLINK(CONCATENATE("#metadata!", ADDRESS(INDEX($X$2:$X$1001,MATCH(ROWS($V$2:V360),$V$2:$V$1001,0),0), INDEX($AC$1004:$AS$1004,1,MATCH(COLUMNS($AC$1006:AR1006),$AC$1006:$AS$1006,0)))),"Fix")))</f>
        <v xml:space="preserve"> </v>
      </c>
      <c r="R360" s="4" t="str">
        <f ca="1">IF(OR(INDEX($W$2:$W$1001,MATCH(ROWS($V$2:V360),$V$2:$V$1001,0),1)&gt;=100000,INDEX($AC$1005:$AS$1005,1,MATCH(COLUMNS($AC$1006:AS1006),$AC$1006:$AS$1006,0))&gt;=100000), " ",IF(INDEX($AC$2:$AS$1001,MATCH(ROWS($V$2:V360),$V$2:$V$1001,0),MATCH(COLUMNS($AC$1006:AS1006),$AC$1006:$AS$1006,0)), HYPERLINK("#",""), HYPERLINK(CONCATENATE("#metadata!", ADDRESS(INDEX($X$2:$X$1001,MATCH(ROWS($V$2:V360),$V$2:$V$1001,0),0), INDEX($AC$1004:$AS$1004,1,MATCH(COLUMNS($AC$1006:AS1006),$AC$1006:$AS$1006,0)))),"Fix")))</f>
        <v xml:space="preserve"> </v>
      </c>
      <c r="V360">
        <v>359</v>
      </c>
      <c r="W360">
        <v>100360</v>
      </c>
      <c r="X360">
        <v>360</v>
      </c>
      <c r="Y360" t="b">
        <f t="shared" si="5"/>
        <v>1</v>
      </c>
      <c r="Z360" t="b">
        <f>COUNTBLANK(metadata!B360:R360)=COLUMNS(metadata!B360:R360)</f>
        <v>1</v>
      </c>
      <c r="AA360" t="str">
        <v/>
      </c>
      <c r="AC360" t="b">
        <f ca="1"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AD360" t="b">
        <f>IF(metadata!C360="",FALSE,ISNUMBER(VALUE(metadata!C360)))</f>
        <v>0</v>
      </c>
      <c r="AE360" t="b">
        <f>AND(IF(metadata!D360="",FALSE,TRUE),EXACT(metadata!D360,"years"))</f>
        <v>0</v>
      </c>
      <c r="AF360" t="b">
        <f>OR(AND(IF(metadata!E360="",FALSE,TRUE),OR(EXACT(metadata!E360,"not applicable"),EXACT(metadata!E360,"missing: not collected"),EXACT(metadata!E360,"missing: not provided"),EXACT(metadata!E360,"missing: restricted access"))),AND(IF(metadata!E360="",FALSE,ISNUMBER(VALUE(metadata!E360))),metadata!E360&gt;0))</f>
        <v>0</v>
      </c>
      <c r="AG360" t="b">
        <f>AND(IF(metadata!F360="",FALSE,TRUE),EXACT(metadata!F360,"Not applicable"))</f>
        <v>0</v>
      </c>
      <c r="AH360" t="b">
        <f>AND(IF(metadata!G360="",FALSE,TRUE),EXACT(metadata!G360,"urban biome"))</f>
        <v>0</v>
      </c>
      <c r="AI360" t="b">
        <f>AND(IF(metadata!H360="",FALSE,TRUE),EXACT(metadata!H360,"human-associated habitat"))</f>
        <v>0</v>
      </c>
      <c r="AJ360" t="b">
        <f>AND(IF(metadata!I360="",FALSE,TRUE),OR(EXACT(metadata!I360,"human-associated"),EXACT(metadata!I360,"human-skin"),EXACT(metadata!I360,"human-oral"),EXACT(metadata!I360,"human-gut"),EXACT(metadata!I360,"human-vaginal")))</f>
        <v>0</v>
      </c>
      <c r="AK360" t="b">
        <f>IF(metadata!J360="",FALSE,ISNUMBER(VALUE(metadata!J360)))</f>
        <v>0</v>
      </c>
      <c r="AL360" t="b">
        <f>AND(IF(metadata!K360="",FALSE,TRUE),EXACT(metadata!K360,"cm"))</f>
        <v>0</v>
      </c>
      <c r="AM360" t="b">
        <f>AND(IF(metadata!L360="",FALSE,TRUE),EXACT(metadata!L360,"human"))</f>
        <v>0</v>
      </c>
      <c r="AN360" t="b">
        <f>AND(IF(metadata!M360="",FALSE,TRUE),EXACT(metadata!M360,"Homo sapiens"))</f>
        <v>0</v>
      </c>
      <c r="AO360" t="b">
        <f>AND(IF(metadata!N360="",FALSE,TRUE),EXACT(metadata!N360,"9606"))</f>
        <v>0</v>
      </c>
      <c r="AP360" t="b">
        <f>IF(metadata!O360="",FALSE,TRUE)</f>
        <v>0</v>
      </c>
      <c r="AQ360" t="b">
        <f>IF(metadata!P360="",FALSE,TRUE)</f>
        <v>0</v>
      </c>
      <c r="AR360" t="b">
        <f>IF(metadata!Q360="",FALSE,ISNUMBER(VALUE(metadata!Q360)))</f>
        <v>0</v>
      </c>
      <c r="AS360" t="b">
        <f>AND(IF(metadata!R360="",FALSE,TRUE),EXACT(metadata!R360,"kg"))</f>
        <v>0</v>
      </c>
    </row>
    <row r="361" spans="1:45" x14ac:dyDescent="0.2">
      <c r="A361" s="5" t="str">
        <f ca="1">IF(B361=" "," ",HYPERLINK(CONCATENATE("#metadata!",ADDRESS(INDEX($X$2:$X$1001,MATCH(ROWS($V$2:V361),$V$2:$V$1001,0),0),1)),INDEX($AA$2:$AA$1001,MATCH(ROWS($V$2:V361),$V$2:$V$1001,0),0)))</f>
        <v xml:space="preserve"> </v>
      </c>
      <c r="B361" s="4" t="str">
        <f ca="1">IF(OR(INDEX($W$2:$W$1001,MATCH(ROWS($V$2:V361),$V$2:$V$1001,0),1)&gt;=100000,INDEX($AC$1005:$AS$1005,1,MATCH(COLUMNS($AC$1006:AC1006),$AC$1006:$AS$1006,0))&gt;=100000), " ",IF(INDEX($AC$2:$AS$1001,MATCH(ROWS($V$2:V361),$V$2:$V$1001,0),MATCH(COLUMNS($AC$1006:AC1006),$AC$1006:$AS$1006,0)), HYPERLINK("#",""), HYPERLINK(CONCATENATE("#metadata!", ADDRESS(INDEX($X$2:$X$1001,MATCH(ROWS($V$2:V361),$V$2:$V$1001,0),0), INDEX($AC$1004:$AS$1004,1,MATCH(COLUMNS($AC$1006:AC1006),$AC$1006:$AS$1006,0)))),"Fix")))</f>
        <v xml:space="preserve"> </v>
      </c>
      <c r="C361" s="4" t="str">
        <f ca="1">IF(OR(INDEX($W$2:$W$1001,MATCH(ROWS($V$2:V361),$V$2:$V$1001,0),1)&gt;=100000,INDEX($AC$1005:$AS$1005,1,MATCH(COLUMNS($AC$1006:AD1006),$AC$1006:$AS$1006,0))&gt;=100000), " ",IF(INDEX($AC$2:$AS$1001,MATCH(ROWS($V$2:V361),$V$2:$V$1001,0),MATCH(COLUMNS($AC$1006:AD1006),$AC$1006:$AS$1006,0)), HYPERLINK("#",""), HYPERLINK(CONCATENATE("#metadata!", ADDRESS(INDEX($X$2:$X$1001,MATCH(ROWS($V$2:V361),$V$2:$V$1001,0),0), INDEX($AC$1004:$AS$1004,1,MATCH(COLUMNS($AC$1006:AD1006),$AC$1006:$AS$1006,0)))),"Fix")))</f>
        <v xml:space="preserve"> </v>
      </c>
      <c r="D361" s="4" t="str">
        <f ca="1">IF(OR(INDEX($W$2:$W$1001,MATCH(ROWS($V$2:V361),$V$2:$V$1001,0),1)&gt;=100000,INDEX($AC$1005:$AS$1005,1,MATCH(COLUMNS($AC$1006:AE1006),$AC$1006:$AS$1006,0))&gt;=100000), " ",IF(INDEX($AC$2:$AS$1001,MATCH(ROWS($V$2:V361),$V$2:$V$1001,0),MATCH(COLUMNS($AC$1006:AE1006),$AC$1006:$AS$1006,0)), HYPERLINK("#",""), HYPERLINK(CONCATENATE("#metadata!", ADDRESS(INDEX($X$2:$X$1001,MATCH(ROWS($V$2:V361),$V$2:$V$1001,0),0), INDEX($AC$1004:$AS$1004,1,MATCH(COLUMNS($AC$1006:AE1006),$AC$1006:$AS$1006,0)))),"Fix")))</f>
        <v xml:space="preserve"> </v>
      </c>
      <c r="E361" s="4" t="str">
        <f ca="1">IF(OR(INDEX($W$2:$W$1001,MATCH(ROWS($V$2:V361),$V$2:$V$1001,0),1)&gt;=100000,INDEX($AC$1005:$AS$1005,1,MATCH(COLUMNS($AC$1006:AF1006),$AC$1006:$AS$1006,0))&gt;=100000), " ",IF(INDEX($AC$2:$AS$1001,MATCH(ROWS($V$2:V361),$V$2:$V$1001,0),MATCH(COLUMNS($AC$1006:AF1006),$AC$1006:$AS$1006,0)), HYPERLINK("#",""), HYPERLINK(CONCATENATE("#metadata!", ADDRESS(INDEX($X$2:$X$1001,MATCH(ROWS($V$2:V361),$V$2:$V$1001,0),0), INDEX($AC$1004:$AS$1004,1,MATCH(COLUMNS($AC$1006:AF1006),$AC$1006:$AS$1006,0)))),"Fix")))</f>
        <v xml:space="preserve"> </v>
      </c>
      <c r="F361" s="4" t="str">
        <f ca="1">IF(OR(INDEX($W$2:$W$1001,MATCH(ROWS($V$2:V361),$V$2:$V$1001,0),1)&gt;=100000,INDEX($AC$1005:$AS$1005,1,MATCH(COLUMNS($AC$1006:AG1006),$AC$1006:$AS$1006,0))&gt;=100000), " ",IF(INDEX($AC$2:$AS$1001,MATCH(ROWS($V$2:V361),$V$2:$V$1001,0),MATCH(COLUMNS($AC$1006:AG1006),$AC$1006:$AS$1006,0)), HYPERLINK("#",""), HYPERLINK(CONCATENATE("#metadata!", ADDRESS(INDEX($X$2:$X$1001,MATCH(ROWS($V$2:V361),$V$2:$V$1001,0),0), INDEX($AC$1004:$AS$1004,1,MATCH(COLUMNS($AC$1006:AG1006),$AC$1006:$AS$1006,0)))),"Fix")))</f>
        <v xml:space="preserve"> </v>
      </c>
      <c r="G361" s="4" t="str">
        <f ca="1">IF(OR(INDEX($W$2:$W$1001,MATCH(ROWS($V$2:V361),$V$2:$V$1001,0),1)&gt;=100000,INDEX($AC$1005:$AS$1005,1,MATCH(COLUMNS($AC$1006:AH1006),$AC$1006:$AS$1006,0))&gt;=100000), " ",IF(INDEX($AC$2:$AS$1001,MATCH(ROWS($V$2:V361),$V$2:$V$1001,0),MATCH(COLUMNS($AC$1006:AH1006),$AC$1006:$AS$1006,0)), HYPERLINK("#",""), HYPERLINK(CONCATENATE("#metadata!", ADDRESS(INDEX($X$2:$X$1001,MATCH(ROWS($V$2:V361),$V$2:$V$1001,0),0), INDEX($AC$1004:$AS$1004,1,MATCH(COLUMNS($AC$1006:AH1006),$AC$1006:$AS$1006,0)))),"Fix")))</f>
        <v xml:space="preserve"> </v>
      </c>
      <c r="H361" s="4" t="str">
        <f ca="1">IF(OR(INDEX($W$2:$W$1001,MATCH(ROWS($V$2:V361),$V$2:$V$1001,0),1)&gt;=100000,INDEX($AC$1005:$AS$1005,1,MATCH(COLUMNS($AC$1006:AI1006),$AC$1006:$AS$1006,0))&gt;=100000), " ",IF(INDEX($AC$2:$AS$1001,MATCH(ROWS($V$2:V361),$V$2:$V$1001,0),MATCH(COLUMNS($AC$1006:AI1006),$AC$1006:$AS$1006,0)), HYPERLINK("#",""), HYPERLINK(CONCATENATE("#metadata!", ADDRESS(INDEX($X$2:$X$1001,MATCH(ROWS($V$2:V361),$V$2:$V$1001,0),0), INDEX($AC$1004:$AS$1004,1,MATCH(COLUMNS($AC$1006:AI1006),$AC$1006:$AS$1006,0)))),"Fix")))</f>
        <v xml:space="preserve"> </v>
      </c>
      <c r="I361" s="4" t="str">
        <f ca="1">IF(OR(INDEX($W$2:$W$1001,MATCH(ROWS($V$2:V361),$V$2:$V$1001,0),1)&gt;=100000,INDEX($AC$1005:$AS$1005,1,MATCH(COLUMNS($AC$1006:AJ1006),$AC$1006:$AS$1006,0))&gt;=100000), " ",IF(INDEX($AC$2:$AS$1001,MATCH(ROWS($V$2:V361),$V$2:$V$1001,0),MATCH(COLUMNS($AC$1006:AJ1006),$AC$1006:$AS$1006,0)), HYPERLINK("#",""), HYPERLINK(CONCATENATE("#metadata!", ADDRESS(INDEX($X$2:$X$1001,MATCH(ROWS($V$2:V361),$V$2:$V$1001,0),0), INDEX($AC$1004:$AS$1004,1,MATCH(COLUMNS($AC$1006:AJ1006),$AC$1006:$AS$1006,0)))),"Fix")))</f>
        <v xml:space="preserve"> </v>
      </c>
      <c r="J361" s="4" t="str">
        <f ca="1">IF(OR(INDEX($W$2:$W$1001,MATCH(ROWS($V$2:V361),$V$2:$V$1001,0),1)&gt;=100000,INDEX($AC$1005:$AS$1005,1,MATCH(COLUMNS($AC$1006:AK1006),$AC$1006:$AS$1006,0))&gt;=100000), " ",IF(INDEX($AC$2:$AS$1001,MATCH(ROWS($V$2:V361),$V$2:$V$1001,0),MATCH(COLUMNS($AC$1006:AK1006),$AC$1006:$AS$1006,0)), HYPERLINK("#",""), HYPERLINK(CONCATENATE("#metadata!", ADDRESS(INDEX($X$2:$X$1001,MATCH(ROWS($V$2:V361),$V$2:$V$1001,0),0), INDEX($AC$1004:$AS$1004,1,MATCH(COLUMNS($AC$1006:AK1006),$AC$1006:$AS$1006,0)))),"Fix")))</f>
        <v xml:space="preserve"> </v>
      </c>
      <c r="K361" s="4" t="str">
        <f ca="1">IF(OR(INDEX($W$2:$W$1001,MATCH(ROWS($V$2:V361),$V$2:$V$1001,0),1)&gt;=100000,INDEX($AC$1005:$AS$1005,1,MATCH(COLUMNS($AC$1006:AL1006),$AC$1006:$AS$1006,0))&gt;=100000), " ",IF(INDEX($AC$2:$AS$1001,MATCH(ROWS($V$2:V361),$V$2:$V$1001,0),MATCH(COLUMNS($AC$1006:AL1006),$AC$1006:$AS$1006,0)), HYPERLINK("#",""), HYPERLINK(CONCATENATE("#metadata!", ADDRESS(INDEX($X$2:$X$1001,MATCH(ROWS($V$2:V361),$V$2:$V$1001,0),0), INDEX($AC$1004:$AS$1004,1,MATCH(COLUMNS($AC$1006:AL1006),$AC$1006:$AS$1006,0)))),"Fix")))</f>
        <v xml:space="preserve"> </v>
      </c>
      <c r="L361" s="4" t="str">
        <f ca="1">IF(OR(INDEX($W$2:$W$1001,MATCH(ROWS($V$2:V361),$V$2:$V$1001,0),1)&gt;=100000,INDEX($AC$1005:$AS$1005,1,MATCH(COLUMNS($AC$1006:AM1006),$AC$1006:$AS$1006,0))&gt;=100000), " ",IF(INDEX($AC$2:$AS$1001,MATCH(ROWS($V$2:V361),$V$2:$V$1001,0),MATCH(COLUMNS($AC$1006:AM1006),$AC$1006:$AS$1006,0)), HYPERLINK("#",""), HYPERLINK(CONCATENATE("#metadata!", ADDRESS(INDEX($X$2:$X$1001,MATCH(ROWS($V$2:V361),$V$2:$V$1001,0),0), INDEX($AC$1004:$AS$1004,1,MATCH(COLUMNS($AC$1006:AM1006),$AC$1006:$AS$1006,0)))),"Fix")))</f>
        <v xml:space="preserve"> </v>
      </c>
      <c r="M361" s="4" t="str">
        <f ca="1">IF(OR(INDEX($W$2:$W$1001,MATCH(ROWS($V$2:V361),$V$2:$V$1001,0),1)&gt;=100000,INDEX($AC$1005:$AS$1005,1,MATCH(COLUMNS($AC$1006:AN1006),$AC$1006:$AS$1006,0))&gt;=100000), " ",IF(INDEX($AC$2:$AS$1001,MATCH(ROWS($V$2:V361),$V$2:$V$1001,0),MATCH(COLUMNS($AC$1006:AN1006),$AC$1006:$AS$1006,0)), HYPERLINK("#",""), HYPERLINK(CONCATENATE("#metadata!", ADDRESS(INDEX($X$2:$X$1001,MATCH(ROWS($V$2:V361),$V$2:$V$1001,0),0), INDEX($AC$1004:$AS$1004,1,MATCH(COLUMNS($AC$1006:AN1006),$AC$1006:$AS$1006,0)))),"Fix")))</f>
        <v xml:space="preserve"> </v>
      </c>
      <c r="N361" s="4" t="str">
        <f ca="1">IF(OR(INDEX($W$2:$W$1001,MATCH(ROWS($V$2:V361),$V$2:$V$1001,0),1)&gt;=100000,INDEX($AC$1005:$AS$1005,1,MATCH(COLUMNS($AC$1006:AO1006),$AC$1006:$AS$1006,0))&gt;=100000), " ",IF(INDEX($AC$2:$AS$1001,MATCH(ROWS($V$2:V361),$V$2:$V$1001,0),MATCH(COLUMNS($AC$1006:AO1006),$AC$1006:$AS$1006,0)), HYPERLINK("#",""), HYPERLINK(CONCATENATE("#metadata!", ADDRESS(INDEX($X$2:$X$1001,MATCH(ROWS($V$2:V361),$V$2:$V$1001,0),0), INDEX($AC$1004:$AS$1004,1,MATCH(COLUMNS($AC$1006:AO1006),$AC$1006:$AS$1006,0)))),"Fix")))</f>
        <v xml:space="preserve"> </v>
      </c>
      <c r="O361" s="4" t="str">
        <f ca="1">IF(OR(INDEX($W$2:$W$1001,MATCH(ROWS($V$2:V361),$V$2:$V$1001,0),1)&gt;=100000,INDEX($AC$1005:$AS$1005,1,MATCH(COLUMNS($AC$1006:AP1006),$AC$1006:$AS$1006,0))&gt;=100000), " ",IF(INDEX($AC$2:$AS$1001,MATCH(ROWS($V$2:V361),$V$2:$V$1001,0),MATCH(COLUMNS($AC$1006:AP1006),$AC$1006:$AS$1006,0)), HYPERLINK("#",""), HYPERLINK(CONCATENATE("#metadata!", ADDRESS(INDEX($X$2:$X$1001,MATCH(ROWS($V$2:V361),$V$2:$V$1001,0),0), INDEX($AC$1004:$AS$1004,1,MATCH(COLUMNS($AC$1006:AP1006),$AC$1006:$AS$1006,0)))),"Fix")))</f>
        <v xml:space="preserve"> </v>
      </c>
      <c r="P361" s="4" t="str">
        <f ca="1">IF(OR(INDEX($W$2:$W$1001,MATCH(ROWS($V$2:V361),$V$2:$V$1001,0),1)&gt;=100000,INDEX($AC$1005:$AS$1005,1,MATCH(COLUMNS($AC$1006:AQ1006),$AC$1006:$AS$1006,0))&gt;=100000), " ",IF(INDEX($AC$2:$AS$1001,MATCH(ROWS($V$2:V361),$V$2:$V$1001,0),MATCH(COLUMNS($AC$1006:AQ1006),$AC$1006:$AS$1006,0)), HYPERLINK("#",""), HYPERLINK(CONCATENATE("#metadata!", ADDRESS(INDEX($X$2:$X$1001,MATCH(ROWS($V$2:V361),$V$2:$V$1001,0),0), INDEX($AC$1004:$AS$1004,1,MATCH(COLUMNS($AC$1006:AQ1006),$AC$1006:$AS$1006,0)))),"Fix")))</f>
        <v xml:space="preserve"> </v>
      </c>
      <c r="Q361" s="4" t="str">
        <f ca="1">IF(OR(INDEX($W$2:$W$1001,MATCH(ROWS($V$2:V361),$V$2:$V$1001,0),1)&gt;=100000,INDEX($AC$1005:$AS$1005,1,MATCH(COLUMNS($AC$1006:AR1006),$AC$1006:$AS$1006,0))&gt;=100000), " ",IF(INDEX($AC$2:$AS$1001,MATCH(ROWS($V$2:V361),$V$2:$V$1001,0),MATCH(COLUMNS($AC$1006:AR1006),$AC$1006:$AS$1006,0)), HYPERLINK("#",""), HYPERLINK(CONCATENATE("#metadata!", ADDRESS(INDEX($X$2:$X$1001,MATCH(ROWS($V$2:V361),$V$2:$V$1001,0),0), INDEX($AC$1004:$AS$1004,1,MATCH(COLUMNS($AC$1006:AR1006),$AC$1006:$AS$1006,0)))),"Fix")))</f>
        <v xml:space="preserve"> </v>
      </c>
      <c r="R361" s="4" t="str">
        <f ca="1">IF(OR(INDEX($W$2:$W$1001,MATCH(ROWS($V$2:V361),$V$2:$V$1001,0),1)&gt;=100000,INDEX($AC$1005:$AS$1005,1,MATCH(COLUMNS($AC$1006:AS1006),$AC$1006:$AS$1006,0))&gt;=100000), " ",IF(INDEX($AC$2:$AS$1001,MATCH(ROWS($V$2:V361),$V$2:$V$1001,0),MATCH(COLUMNS($AC$1006:AS1006),$AC$1006:$AS$1006,0)), HYPERLINK("#",""), HYPERLINK(CONCATENATE("#metadata!", ADDRESS(INDEX($X$2:$X$1001,MATCH(ROWS($V$2:V361),$V$2:$V$1001,0),0), INDEX($AC$1004:$AS$1004,1,MATCH(COLUMNS($AC$1006:AS1006),$AC$1006:$AS$1006,0)))),"Fix")))</f>
        <v xml:space="preserve"> </v>
      </c>
      <c r="V361">
        <v>360</v>
      </c>
      <c r="W361">
        <v>100361</v>
      </c>
      <c r="X361">
        <v>361</v>
      </c>
      <c r="Y361" t="b">
        <f t="shared" si="5"/>
        <v>1</v>
      </c>
      <c r="Z361" t="b">
        <f>COUNTBLANK(metadata!B361:R361)=COLUMNS(metadata!B361:R361)</f>
        <v>1</v>
      </c>
      <c r="AA361" t="str">
        <v/>
      </c>
      <c r="AC361" t="b">
        <f ca="1"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AD361" t="b">
        <f>IF(metadata!C361="",FALSE,ISNUMBER(VALUE(metadata!C361)))</f>
        <v>0</v>
      </c>
      <c r="AE361" t="b">
        <f>AND(IF(metadata!D361="",FALSE,TRUE),EXACT(metadata!D361,"years"))</f>
        <v>0</v>
      </c>
      <c r="AF361" t="b">
        <f>OR(AND(IF(metadata!E361="",FALSE,TRUE),OR(EXACT(metadata!E361,"not applicable"),EXACT(metadata!E361,"missing: not collected"),EXACT(metadata!E361,"missing: not provided"),EXACT(metadata!E361,"missing: restricted access"))),AND(IF(metadata!E361="",FALSE,ISNUMBER(VALUE(metadata!E361))),metadata!E361&gt;0))</f>
        <v>0</v>
      </c>
      <c r="AG361" t="b">
        <f>AND(IF(metadata!F361="",FALSE,TRUE),EXACT(metadata!F361,"Not applicable"))</f>
        <v>0</v>
      </c>
      <c r="AH361" t="b">
        <f>AND(IF(metadata!G361="",FALSE,TRUE),EXACT(metadata!G361,"urban biome"))</f>
        <v>0</v>
      </c>
      <c r="AI361" t="b">
        <f>AND(IF(metadata!H361="",FALSE,TRUE),EXACT(metadata!H361,"human-associated habitat"))</f>
        <v>0</v>
      </c>
      <c r="AJ361" t="b">
        <f>AND(IF(metadata!I361="",FALSE,TRUE),OR(EXACT(metadata!I361,"human-associated"),EXACT(metadata!I361,"human-skin"),EXACT(metadata!I361,"human-oral"),EXACT(metadata!I361,"human-gut"),EXACT(metadata!I361,"human-vaginal")))</f>
        <v>0</v>
      </c>
      <c r="AK361" t="b">
        <f>IF(metadata!J361="",FALSE,ISNUMBER(VALUE(metadata!J361)))</f>
        <v>0</v>
      </c>
      <c r="AL361" t="b">
        <f>AND(IF(metadata!K361="",FALSE,TRUE),EXACT(metadata!K361,"cm"))</f>
        <v>0</v>
      </c>
      <c r="AM361" t="b">
        <f>AND(IF(metadata!L361="",FALSE,TRUE),EXACT(metadata!L361,"human"))</f>
        <v>0</v>
      </c>
      <c r="AN361" t="b">
        <f>AND(IF(metadata!M361="",FALSE,TRUE),EXACT(metadata!M361,"Homo sapiens"))</f>
        <v>0</v>
      </c>
      <c r="AO361" t="b">
        <f>AND(IF(metadata!N361="",FALSE,TRUE),EXACT(metadata!N361,"9606"))</f>
        <v>0</v>
      </c>
      <c r="AP361" t="b">
        <f>IF(metadata!O361="",FALSE,TRUE)</f>
        <v>0</v>
      </c>
      <c r="AQ361" t="b">
        <f>IF(metadata!P361="",FALSE,TRUE)</f>
        <v>0</v>
      </c>
      <c r="AR361" t="b">
        <f>IF(metadata!Q361="",FALSE,ISNUMBER(VALUE(metadata!Q361)))</f>
        <v>0</v>
      </c>
      <c r="AS361" t="b">
        <f>AND(IF(metadata!R361="",FALSE,TRUE),EXACT(metadata!R361,"kg"))</f>
        <v>0</v>
      </c>
    </row>
    <row r="362" spans="1:45" x14ac:dyDescent="0.2">
      <c r="A362" s="5" t="str">
        <f ca="1">IF(B362=" "," ",HYPERLINK(CONCATENATE("#metadata!",ADDRESS(INDEX($X$2:$X$1001,MATCH(ROWS($V$2:V362),$V$2:$V$1001,0),0),1)),INDEX($AA$2:$AA$1001,MATCH(ROWS($V$2:V362),$V$2:$V$1001,0),0)))</f>
        <v xml:space="preserve"> </v>
      </c>
      <c r="B362" s="4" t="str">
        <f ca="1">IF(OR(INDEX($W$2:$W$1001,MATCH(ROWS($V$2:V362),$V$2:$V$1001,0),1)&gt;=100000,INDEX($AC$1005:$AS$1005,1,MATCH(COLUMNS($AC$1006:AC1006),$AC$1006:$AS$1006,0))&gt;=100000), " ",IF(INDEX($AC$2:$AS$1001,MATCH(ROWS($V$2:V362),$V$2:$V$1001,0),MATCH(COLUMNS($AC$1006:AC1006),$AC$1006:$AS$1006,0)), HYPERLINK("#",""), HYPERLINK(CONCATENATE("#metadata!", ADDRESS(INDEX($X$2:$X$1001,MATCH(ROWS($V$2:V362),$V$2:$V$1001,0),0), INDEX($AC$1004:$AS$1004,1,MATCH(COLUMNS($AC$1006:AC1006),$AC$1006:$AS$1006,0)))),"Fix")))</f>
        <v xml:space="preserve"> </v>
      </c>
      <c r="C362" s="4" t="str">
        <f ca="1">IF(OR(INDEX($W$2:$W$1001,MATCH(ROWS($V$2:V362),$V$2:$V$1001,0),1)&gt;=100000,INDEX($AC$1005:$AS$1005,1,MATCH(COLUMNS($AC$1006:AD1006),$AC$1006:$AS$1006,0))&gt;=100000), " ",IF(INDEX($AC$2:$AS$1001,MATCH(ROWS($V$2:V362),$V$2:$V$1001,0),MATCH(COLUMNS($AC$1006:AD1006),$AC$1006:$AS$1006,0)), HYPERLINK("#",""), HYPERLINK(CONCATENATE("#metadata!", ADDRESS(INDEX($X$2:$X$1001,MATCH(ROWS($V$2:V362),$V$2:$V$1001,0),0), INDEX($AC$1004:$AS$1004,1,MATCH(COLUMNS($AC$1006:AD1006),$AC$1006:$AS$1006,0)))),"Fix")))</f>
        <v xml:space="preserve"> </v>
      </c>
      <c r="D362" s="4" t="str">
        <f ca="1">IF(OR(INDEX($W$2:$W$1001,MATCH(ROWS($V$2:V362),$V$2:$V$1001,0),1)&gt;=100000,INDEX($AC$1005:$AS$1005,1,MATCH(COLUMNS($AC$1006:AE1006),$AC$1006:$AS$1006,0))&gt;=100000), " ",IF(INDEX($AC$2:$AS$1001,MATCH(ROWS($V$2:V362),$V$2:$V$1001,0),MATCH(COLUMNS($AC$1006:AE1006),$AC$1006:$AS$1006,0)), HYPERLINK("#",""), HYPERLINK(CONCATENATE("#metadata!", ADDRESS(INDEX($X$2:$X$1001,MATCH(ROWS($V$2:V362),$V$2:$V$1001,0),0), INDEX($AC$1004:$AS$1004,1,MATCH(COLUMNS($AC$1006:AE1006),$AC$1006:$AS$1006,0)))),"Fix")))</f>
        <v xml:space="preserve"> </v>
      </c>
      <c r="E362" s="4" t="str">
        <f ca="1">IF(OR(INDEX($W$2:$W$1001,MATCH(ROWS($V$2:V362),$V$2:$V$1001,0),1)&gt;=100000,INDEX($AC$1005:$AS$1005,1,MATCH(COLUMNS($AC$1006:AF1006),$AC$1006:$AS$1006,0))&gt;=100000), " ",IF(INDEX($AC$2:$AS$1001,MATCH(ROWS($V$2:V362),$V$2:$V$1001,0),MATCH(COLUMNS($AC$1006:AF1006),$AC$1006:$AS$1006,0)), HYPERLINK("#",""), HYPERLINK(CONCATENATE("#metadata!", ADDRESS(INDEX($X$2:$X$1001,MATCH(ROWS($V$2:V362),$V$2:$V$1001,0),0), INDEX($AC$1004:$AS$1004,1,MATCH(COLUMNS($AC$1006:AF1006),$AC$1006:$AS$1006,0)))),"Fix")))</f>
        <v xml:space="preserve"> </v>
      </c>
      <c r="F362" s="4" t="str">
        <f ca="1">IF(OR(INDEX($W$2:$W$1001,MATCH(ROWS($V$2:V362),$V$2:$V$1001,0),1)&gt;=100000,INDEX($AC$1005:$AS$1005,1,MATCH(COLUMNS($AC$1006:AG1006),$AC$1006:$AS$1006,0))&gt;=100000), " ",IF(INDEX($AC$2:$AS$1001,MATCH(ROWS($V$2:V362),$V$2:$V$1001,0),MATCH(COLUMNS($AC$1006:AG1006),$AC$1006:$AS$1006,0)), HYPERLINK("#",""), HYPERLINK(CONCATENATE("#metadata!", ADDRESS(INDEX($X$2:$X$1001,MATCH(ROWS($V$2:V362),$V$2:$V$1001,0),0), INDEX($AC$1004:$AS$1004,1,MATCH(COLUMNS($AC$1006:AG1006),$AC$1006:$AS$1006,0)))),"Fix")))</f>
        <v xml:space="preserve"> </v>
      </c>
      <c r="G362" s="4" t="str">
        <f ca="1">IF(OR(INDEX($W$2:$W$1001,MATCH(ROWS($V$2:V362),$V$2:$V$1001,0),1)&gt;=100000,INDEX($AC$1005:$AS$1005,1,MATCH(COLUMNS($AC$1006:AH1006),$AC$1006:$AS$1006,0))&gt;=100000), " ",IF(INDEX($AC$2:$AS$1001,MATCH(ROWS($V$2:V362),$V$2:$V$1001,0),MATCH(COLUMNS($AC$1006:AH1006),$AC$1006:$AS$1006,0)), HYPERLINK("#",""), HYPERLINK(CONCATENATE("#metadata!", ADDRESS(INDEX($X$2:$X$1001,MATCH(ROWS($V$2:V362),$V$2:$V$1001,0),0), INDEX($AC$1004:$AS$1004,1,MATCH(COLUMNS($AC$1006:AH1006),$AC$1006:$AS$1006,0)))),"Fix")))</f>
        <v xml:space="preserve"> </v>
      </c>
      <c r="H362" s="4" t="str">
        <f ca="1">IF(OR(INDEX($W$2:$W$1001,MATCH(ROWS($V$2:V362),$V$2:$V$1001,0),1)&gt;=100000,INDEX($AC$1005:$AS$1005,1,MATCH(COLUMNS($AC$1006:AI1006),$AC$1006:$AS$1006,0))&gt;=100000), " ",IF(INDEX($AC$2:$AS$1001,MATCH(ROWS($V$2:V362),$V$2:$V$1001,0),MATCH(COLUMNS($AC$1006:AI1006),$AC$1006:$AS$1006,0)), HYPERLINK("#",""), HYPERLINK(CONCATENATE("#metadata!", ADDRESS(INDEX($X$2:$X$1001,MATCH(ROWS($V$2:V362),$V$2:$V$1001,0),0), INDEX($AC$1004:$AS$1004,1,MATCH(COLUMNS($AC$1006:AI1006),$AC$1006:$AS$1006,0)))),"Fix")))</f>
        <v xml:space="preserve"> </v>
      </c>
      <c r="I362" s="4" t="str">
        <f ca="1">IF(OR(INDEX($W$2:$W$1001,MATCH(ROWS($V$2:V362),$V$2:$V$1001,0),1)&gt;=100000,INDEX($AC$1005:$AS$1005,1,MATCH(COLUMNS($AC$1006:AJ1006),$AC$1006:$AS$1006,0))&gt;=100000), " ",IF(INDEX($AC$2:$AS$1001,MATCH(ROWS($V$2:V362),$V$2:$V$1001,0),MATCH(COLUMNS($AC$1006:AJ1006),$AC$1006:$AS$1006,0)), HYPERLINK("#",""), HYPERLINK(CONCATENATE("#metadata!", ADDRESS(INDEX($X$2:$X$1001,MATCH(ROWS($V$2:V362),$V$2:$V$1001,0),0), INDEX($AC$1004:$AS$1004,1,MATCH(COLUMNS($AC$1006:AJ1006),$AC$1006:$AS$1006,0)))),"Fix")))</f>
        <v xml:space="preserve"> </v>
      </c>
      <c r="J362" s="4" t="str">
        <f ca="1">IF(OR(INDEX($W$2:$W$1001,MATCH(ROWS($V$2:V362),$V$2:$V$1001,0),1)&gt;=100000,INDEX($AC$1005:$AS$1005,1,MATCH(COLUMNS($AC$1006:AK1006),$AC$1006:$AS$1006,0))&gt;=100000), " ",IF(INDEX($AC$2:$AS$1001,MATCH(ROWS($V$2:V362),$V$2:$V$1001,0),MATCH(COLUMNS($AC$1006:AK1006),$AC$1006:$AS$1006,0)), HYPERLINK("#",""), HYPERLINK(CONCATENATE("#metadata!", ADDRESS(INDEX($X$2:$X$1001,MATCH(ROWS($V$2:V362),$V$2:$V$1001,0),0), INDEX($AC$1004:$AS$1004,1,MATCH(COLUMNS($AC$1006:AK1006),$AC$1006:$AS$1006,0)))),"Fix")))</f>
        <v xml:space="preserve"> </v>
      </c>
      <c r="K362" s="4" t="str">
        <f ca="1">IF(OR(INDEX($W$2:$W$1001,MATCH(ROWS($V$2:V362),$V$2:$V$1001,0),1)&gt;=100000,INDEX($AC$1005:$AS$1005,1,MATCH(COLUMNS($AC$1006:AL1006),$AC$1006:$AS$1006,0))&gt;=100000), " ",IF(INDEX($AC$2:$AS$1001,MATCH(ROWS($V$2:V362),$V$2:$V$1001,0),MATCH(COLUMNS($AC$1006:AL1006),$AC$1006:$AS$1006,0)), HYPERLINK("#",""), HYPERLINK(CONCATENATE("#metadata!", ADDRESS(INDEX($X$2:$X$1001,MATCH(ROWS($V$2:V362),$V$2:$V$1001,0),0), INDEX($AC$1004:$AS$1004,1,MATCH(COLUMNS($AC$1006:AL1006),$AC$1006:$AS$1006,0)))),"Fix")))</f>
        <v xml:space="preserve"> </v>
      </c>
      <c r="L362" s="4" t="str">
        <f ca="1">IF(OR(INDEX($W$2:$W$1001,MATCH(ROWS($V$2:V362),$V$2:$V$1001,0),1)&gt;=100000,INDEX($AC$1005:$AS$1005,1,MATCH(COLUMNS($AC$1006:AM1006),$AC$1006:$AS$1006,0))&gt;=100000), " ",IF(INDEX($AC$2:$AS$1001,MATCH(ROWS($V$2:V362),$V$2:$V$1001,0),MATCH(COLUMNS($AC$1006:AM1006),$AC$1006:$AS$1006,0)), HYPERLINK("#",""), HYPERLINK(CONCATENATE("#metadata!", ADDRESS(INDEX($X$2:$X$1001,MATCH(ROWS($V$2:V362),$V$2:$V$1001,0),0), INDEX($AC$1004:$AS$1004,1,MATCH(COLUMNS($AC$1006:AM1006),$AC$1006:$AS$1006,0)))),"Fix")))</f>
        <v xml:space="preserve"> </v>
      </c>
      <c r="M362" s="4" t="str">
        <f ca="1">IF(OR(INDEX($W$2:$W$1001,MATCH(ROWS($V$2:V362),$V$2:$V$1001,0),1)&gt;=100000,INDEX($AC$1005:$AS$1005,1,MATCH(COLUMNS($AC$1006:AN1006),$AC$1006:$AS$1006,0))&gt;=100000), " ",IF(INDEX($AC$2:$AS$1001,MATCH(ROWS($V$2:V362),$V$2:$V$1001,0),MATCH(COLUMNS($AC$1006:AN1006),$AC$1006:$AS$1006,0)), HYPERLINK("#",""), HYPERLINK(CONCATENATE("#metadata!", ADDRESS(INDEX($X$2:$X$1001,MATCH(ROWS($V$2:V362),$V$2:$V$1001,0),0), INDEX($AC$1004:$AS$1004,1,MATCH(COLUMNS($AC$1006:AN1006),$AC$1006:$AS$1006,0)))),"Fix")))</f>
        <v xml:space="preserve"> </v>
      </c>
      <c r="N362" s="4" t="str">
        <f ca="1">IF(OR(INDEX($W$2:$W$1001,MATCH(ROWS($V$2:V362),$V$2:$V$1001,0),1)&gt;=100000,INDEX($AC$1005:$AS$1005,1,MATCH(COLUMNS($AC$1006:AO1006),$AC$1006:$AS$1006,0))&gt;=100000), " ",IF(INDEX($AC$2:$AS$1001,MATCH(ROWS($V$2:V362),$V$2:$V$1001,0),MATCH(COLUMNS($AC$1006:AO1006),$AC$1006:$AS$1006,0)), HYPERLINK("#",""), HYPERLINK(CONCATENATE("#metadata!", ADDRESS(INDEX($X$2:$X$1001,MATCH(ROWS($V$2:V362),$V$2:$V$1001,0),0), INDEX($AC$1004:$AS$1004,1,MATCH(COLUMNS($AC$1006:AO1006),$AC$1006:$AS$1006,0)))),"Fix")))</f>
        <v xml:space="preserve"> </v>
      </c>
      <c r="O362" s="4" t="str">
        <f ca="1">IF(OR(INDEX($W$2:$W$1001,MATCH(ROWS($V$2:V362),$V$2:$V$1001,0),1)&gt;=100000,INDEX($AC$1005:$AS$1005,1,MATCH(COLUMNS($AC$1006:AP1006),$AC$1006:$AS$1006,0))&gt;=100000), " ",IF(INDEX($AC$2:$AS$1001,MATCH(ROWS($V$2:V362),$V$2:$V$1001,0),MATCH(COLUMNS($AC$1006:AP1006),$AC$1006:$AS$1006,0)), HYPERLINK("#",""), HYPERLINK(CONCATENATE("#metadata!", ADDRESS(INDEX($X$2:$X$1001,MATCH(ROWS($V$2:V362),$V$2:$V$1001,0),0), INDEX($AC$1004:$AS$1004,1,MATCH(COLUMNS($AC$1006:AP1006),$AC$1006:$AS$1006,0)))),"Fix")))</f>
        <v xml:space="preserve"> </v>
      </c>
      <c r="P362" s="4" t="str">
        <f ca="1">IF(OR(INDEX($W$2:$W$1001,MATCH(ROWS($V$2:V362),$V$2:$V$1001,0),1)&gt;=100000,INDEX($AC$1005:$AS$1005,1,MATCH(COLUMNS($AC$1006:AQ1006),$AC$1006:$AS$1006,0))&gt;=100000), " ",IF(INDEX($AC$2:$AS$1001,MATCH(ROWS($V$2:V362),$V$2:$V$1001,0),MATCH(COLUMNS($AC$1006:AQ1006),$AC$1006:$AS$1006,0)), HYPERLINK("#",""), HYPERLINK(CONCATENATE("#metadata!", ADDRESS(INDEX($X$2:$X$1001,MATCH(ROWS($V$2:V362),$V$2:$V$1001,0),0), INDEX($AC$1004:$AS$1004,1,MATCH(COLUMNS($AC$1006:AQ1006),$AC$1006:$AS$1006,0)))),"Fix")))</f>
        <v xml:space="preserve"> </v>
      </c>
      <c r="Q362" s="4" t="str">
        <f ca="1">IF(OR(INDEX($W$2:$W$1001,MATCH(ROWS($V$2:V362),$V$2:$V$1001,0),1)&gt;=100000,INDEX($AC$1005:$AS$1005,1,MATCH(COLUMNS($AC$1006:AR1006),$AC$1006:$AS$1006,0))&gt;=100000), " ",IF(INDEX($AC$2:$AS$1001,MATCH(ROWS($V$2:V362),$V$2:$V$1001,0),MATCH(COLUMNS($AC$1006:AR1006),$AC$1006:$AS$1006,0)), HYPERLINK("#",""), HYPERLINK(CONCATENATE("#metadata!", ADDRESS(INDEX($X$2:$X$1001,MATCH(ROWS($V$2:V362),$V$2:$V$1001,0),0), INDEX($AC$1004:$AS$1004,1,MATCH(COLUMNS($AC$1006:AR1006),$AC$1006:$AS$1006,0)))),"Fix")))</f>
        <v xml:space="preserve"> </v>
      </c>
      <c r="R362" s="4" t="str">
        <f ca="1">IF(OR(INDEX($W$2:$W$1001,MATCH(ROWS($V$2:V362),$V$2:$V$1001,0),1)&gt;=100000,INDEX($AC$1005:$AS$1005,1,MATCH(COLUMNS($AC$1006:AS1006),$AC$1006:$AS$1006,0))&gt;=100000), " ",IF(INDEX($AC$2:$AS$1001,MATCH(ROWS($V$2:V362),$V$2:$V$1001,0),MATCH(COLUMNS($AC$1006:AS1006),$AC$1006:$AS$1006,0)), HYPERLINK("#",""), HYPERLINK(CONCATENATE("#metadata!", ADDRESS(INDEX($X$2:$X$1001,MATCH(ROWS($V$2:V362),$V$2:$V$1001,0),0), INDEX($AC$1004:$AS$1004,1,MATCH(COLUMNS($AC$1006:AS1006),$AC$1006:$AS$1006,0)))),"Fix")))</f>
        <v xml:space="preserve"> </v>
      </c>
      <c r="V362">
        <v>361</v>
      </c>
      <c r="W362">
        <v>100362</v>
      </c>
      <c r="X362">
        <v>362</v>
      </c>
      <c r="Y362" t="b">
        <f t="shared" si="5"/>
        <v>1</v>
      </c>
      <c r="Z362" t="b">
        <f>COUNTBLANK(metadata!B362:R362)=COLUMNS(metadata!B362:R362)</f>
        <v>1</v>
      </c>
      <c r="AA362" t="str">
        <v/>
      </c>
      <c r="AC362" t="b">
        <f ca="1"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AD362" t="b">
        <f>IF(metadata!C362="",FALSE,ISNUMBER(VALUE(metadata!C362)))</f>
        <v>0</v>
      </c>
      <c r="AE362" t="b">
        <f>AND(IF(metadata!D362="",FALSE,TRUE),EXACT(metadata!D362,"years"))</f>
        <v>0</v>
      </c>
      <c r="AF362" t="b">
        <f>OR(AND(IF(metadata!E362="",FALSE,TRUE),OR(EXACT(metadata!E362,"not applicable"),EXACT(metadata!E362,"missing: not collected"),EXACT(metadata!E362,"missing: not provided"),EXACT(metadata!E362,"missing: restricted access"))),AND(IF(metadata!E362="",FALSE,ISNUMBER(VALUE(metadata!E362))),metadata!E362&gt;0))</f>
        <v>0</v>
      </c>
      <c r="AG362" t="b">
        <f>AND(IF(metadata!F362="",FALSE,TRUE),EXACT(metadata!F362,"Not applicable"))</f>
        <v>0</v>
      </c>
      <c r="AH362" t="b">
        <f>AND(IF(metadata!G362="",FALSE,TRUE),EXACT(metadata!G362,"urban biome"))</f>
        <v>0</v>
      </c>
      <c r="AI362" t="b">
        <f>AND(IF(metadata!H362="",FALSE,TRUE),EXACT(metadata!H362,"human-associated habitat"))</f>
        <v>0</v>
      </c>
      <c r="AJ362" t="b">
        <f>AND(IF(metadata!I362="",FALSE,TRUE),OR(EXACT(metadata!I362,"human-associated"),EXACT(metadata!I362,"human-skin"),EXACT(metadata!I362,"human-oral"),EXACT(metadata!I362,"human-gut"),EXACT(metadata!I362,"human-vaginal")))</f>
        <v>0</v>
      </c>
      <c r="AK362" t="b">
        <f>IF(metadata!J362="",FALSE,ISNUMBER(VALUE(metadata!J362)))</f>
        <v>0</v>
      </c>
      <c r="AL362" t="b">
        <f>AND(IF(metadata!K362="",FALSE,TRUE),EXACT(metadata!K362,"cm"))</f>
        <v>0</v>
      </c>
      <c r="AM362" t="b">
        <f>AND(IF(metadata!L362="",FALSE,TRUE),EXACT(metadata!L362,"human"))</f>
        <v>0</v>
      </c>
      <c r="AN362" t="b">
        <f>AND(IF(metadata!M362="",FALSE,TRUE),EXACT(metadata!M362,"Homo sapiens"))</f>
        <v>0</v>
      </c>
      <c r="AO362" t="b">
        <f>AND(IF(metadata!N362="",FALSE,TRUE),EXACT(metadata!N362,"9606"))</f>
        <v>0</v>
      </c>
      <c r="AP362" t="b">
        <f>IF(metadata!O362="",FALSE,TRUE)</f>
        <v>0</v>
      </c>
      <c r="AQ362" t="b">
        <f>IF(metadata!P362="",FALSE,TRUE)</f>
        <v>0</v>
      </c>
      <c r="AR362" t="b">
        <f>IF(metadata!Q362="",FALSE,ISNUMBER(VALUE(metadata!Q362)))</f>
        <v>0</v>
      </c>
      <c r="AS362" t="b">
        <f>AND(IF(metadata!R362="",FALSE,TRUE),EXACT(metadata!R362,"kg"))</f>
        <v>0</v>
      </c>
    </row>
    <row r="363" spans="1:45" x14ac:dyDescent="0.2">
      <c r="A363" s="5" t="str">
        <f ca="1">IF(B363=" "," ",HYPERLINK(CONCATENATE("#metadata!",ADDRESS(INDEX($X$2:$X$1001,MATCH(ROWS($V$2:V363),$V$2:$V$1001,0),0),1)),INDEX($AA$2:$AA$1001,MATCH(ROWS($V$2:V363),$V$2:$V$1001,0),0)))</f>
        <v xml:space="preserve"> </v>
      </c>
      <c r="B363" s="4" t="str">
        <f ca="1">IF(OR(INDEX($W$2:$W$1001,MATCH(ROWS($V$2:V363),$V$2:$V$1001,0),1)&gt;=100000,INDEX($AC$1005:$AS$1005,1,MATCH(COLUMNS($AC$1006:AC1006),$AC$1006:$AS$1006,0))&gt;=100000), " ",IF(INDEX($AC$2:$AS$1001,MATCH(ROWS($V$2:V363),$V$2:$V$1001,0),MATCH(COLUMNS($AC$1006:AC1006),$AC$1006:$AS$1006,0)), HYPERLINK("#",""), HYPERLINK(CONCATENATE("#metadata!", ADDRESS(INDEX($X$2:$X$1001,MATCH(ROWS($V$2:V363),$V$2:$V$1001,0),0), INDEX($AC$1004:$AS$1004,1,MATCH(COLUMNS($AC$1006:AC1006),$AC$1006:$AS$1006,0)))),"Fix")))</f>
        <v xml:space="preserve"> </v>
      </c>
      <c r="C363" s="4" t="str">
        <f ca="1">IF(OR(INDEX($W$2:$W$1001,MATCH(ROWS($V$2:V363),$V$2:$V$1001,0),1)&gt;=100000,INDEX($AC$1005:$AS$1005,1,MATCH(COLUMNS($AC$1006:AD1006),$AC$1006:$AS$1006,0))&gt;=100000), " ",IF(INDEX($AC$2:$AS$1001,MATCH(ROWS($V$2:V363),$V$2:$V$1001,0),MATCH(COLUMNS($AC$1006:AD1006),$AC$1006:$AS$1006,0)), HYPERLINK("#",""), HYPERLINK(CONCATENATE("#metadata!", ADDRESS(INDEX($X$2:$X$1001,MATCH(ROWS($V$2:V363),$V$2:$V$1001,0),0), INDEX($AC$1004:$AS$1004,1,MATCH(COLUMNS($AC$1006:AD1006),$AC$1006:$AS$1006,0)))),"Fix")))</f>
        <v xml:space="preserve"> </v>
      </c>
      <c r="D363" s="4" t="str">
        <f ca="1">IF(OR(INDEX($W$2:$W$1001,MATCH(ROWS($V$2:V363),$V$2:$V$1001,0),1)&gt;=100000,INDEX($AC$1005:$AS$1005,1,MATCH(COLUMNS($AC$1006:AE1006),$AC$1006:$AS$1006,0))&gt;=100000), " ",IF(INDEX($AC$2:$AS$1001,MATCH(ROWS($V$2:V363),$V$2:$V$1001,0),MATCH(COLUMNS($AC$1006:AE1006),$AC$1006:$AS$1006,0)), HYPERLINK("#",""), HYPERLINK(CONCATENATE("#metadata!", ADDRESS(INDEX($X$2:$X$1001,MATCH(ROWS($V$2:V363),$V$2:$V$1001,0),0), INDEX($AC$1004:$AS$1004,1,MATCH(COLUMNS($AC$1006:AE1006),$AC$1006:$AS$1006,0)))),"Fix")))</f>
        <v xml:space="preserve"> </v>
      </c>
      <c r="E363" s="4" t="str">
        <f ca="1">IF(OR(INDEX($W$2:$W$1001,MATCH(ROWS($V$2:V363),$V$2:$V$1001,0),1)&gt;=100000,INDEX($AC$1005:$AS$1005,1,MATCH(COLUMNS($AC$1006:AF1006),$AC$1006:$AS$1006,0))&gt;=100000), " ",IF(INDEX($AC$2:$AS$1001,MATCH(ROWS($V$2:V363),$V$2:$V$1001,0),MATCH(COLUMNS($AC$1006:AF1006),$AC$1006:$AS$1006,0)), HYPERLINK("#",""), HYPERLINK(CONCATENATE("#metadata!", ADDRESS(INDEX($X$2:$X$1001,MATCH(ROWS($V$2:V363),$V$2:$V$1001,0),0), INDEX($AC$1004:$AS$1004,1,MATCH(COLUMNS($AC$1006:AF1006),$AC$1006:$AS$1006,0)))),"Fix")))</f>
        <v xml:space="preserve"> </v>
      </c>
      <c r="F363" s="4" t="str">
        <f ca="1">IF(OR(INDEX($W$2:$W$1001,MATCH(ROWS($V$2:V363),$V$2:$V$1001,0),1)&gt;=100000,INDEX($AC$1005:$AS$1005,1,MATCH(COLUMNS($AC$1006:AG1006),$AC$1006:$AS$1006,0))&gt;=100000), " ",IF(INDEX($AC$2:$AS$1001,MATCH(ROWS($V$2:V363),$V$2:$V$1001,0),MATCH(COLUMNS($AC$1006:AG1006),$AC$1006:$AS$1006,0)), HYPERLINK("#",""), HYPERLINK(CONCATENATE("#metadata!", ADDRESS(INDEX($X$2:$X$1001,MATCH(ROWS($V$2:V363),$V$2:$V$1001,0),0), INDEX($AC$1004:$AS$1004,1,MATCH(COLUMNS($AC$1006:AG1006),$AC$1006:$AS$1006,0)))),"Fix")))</f>
        <v xml:space="preserve"> </v>
      </c>
      <c r="G363" s="4" t="str">
        <f ca="1">IF(OR(INDEX($W$2:$W$1001,MATCH(ROWS($V$2:V363),$V$2:$V$1001,0),1)&gt;=100000,INDEX($AC$1005:$AS$1005,1,MATCH(COLUMNS($AC$1006:AH1006),$AC$1006:$AS$1006,0))&gt;=100000), " ",IF(INDEX($AC$2:$AS$1001,MATCH(ROWS($V$2:V363),$V$2:$V$1001,0),MATCH(COLUMNS($AC$1006:AH1006),$AC$1006:$AS$1006,0)), HYPERLINK("#",""), HYPERLINK(CONCATENATE("#metadata!", ADDRESS(INDEX($X$2:$X$1001,MATCH(ROWS($V$2:V363),$V$2:$V$1001,0),0), INDEX($AC$1004:$AS$1004,1,MATCH(COLUMNS($AC$1006:AH1006),$AC$1006:$AS$1006,0)))),"Fix")))</f>
        <v xml:space="preserve"> </v>
      </c>
      <c r="H363" s="4" t="str">
        <f ca="1">IF(OR(INDEX($W$2:$W$1001,MATCH(ROWS($V$2:V363),$V$2:$V$1001,0),1)&gt;=100000,INDEX($AC$1005:$AS$1005,1,MATCH(COLUMNS($AC$1006:AI1006),$AC$1006:$AS$1006,0))&gt;=100000), " ",IF(INDEX($AC$2:$AS$1001,MATCH(ROWS($V$2:V363),$V$2:$V$1001,0),MATCH(COLUMNS($AC$1006:AI1006),$AC$1006:$AS$1006,0)), HYPERLINK("#",""), HYPERLINK(CONCATENATE("#metadata!", ADDRESS(INDEX($X$2:$X$1001,MATCH(ROWS($V$2:V363),$V$2:$V$1001,0),0), INDEX($AC$1004:$AS$1004,1,MATCH(COLUMNS($AC$1006:AI1006),$AC$1006:$AS$1006,0)))),"Fix")))</f>
        <v xml:space="preserve"> </v>
      </c>
      <c r="I363" s="4" t="str">
        <f ca="1">IF(OR(INDEX($W$2:$W$1001,MATCH(ROWS($V$2:V363),$V$2:$V$1001,0),1)&gt;=100000,INDEX($AC$1005:$AS$1005,1,MATCH(COLUMNS($AC$1006:AJ1006),$AC$1006:$AS$1006,0))&gt;=100000), " ",IF(INDEX($AC$2:$AS$1001,MATCH(ROWS($V$2:V363),$V$2:$V$1001,0),MATCH(COLUMNS($AC$1006:AJ1006),$AC$1006:$AS$1006,0)), HYPERLINK("#",""), HYPERLINK(CONCATENATE("#metadata!", ADDRESS(INDEX($X$2:$X$1001,MATCH(ROWS($V$2:V363),$V$2:$V$1001,0),0), INDEX($AC$1004:$AS$1004,1,MATCH(COLUMNS($AC$1006:AJ1006),$AC$1006:$AS$1006,0)))),"Fix")))</f>
        <v xml:space="preserve"> </v>
      </c>
      <c r="J363" s="4" t="str">
        <f ca="1">IF(OR(INDEX($W$2:$W$1001,MATCH(ROWS($V$2:V363),$V$2:$V$1001,0),1)&gt;=100000,INDEX($AC$1005:$AS$1005,1,MATCH(COLUMNS($AC$1006:AK1006),$AC$1006:$AS$1006,0))&gt;=100000), " ",IF(INDEX($AC$2:$AS$1001,MATCH(ROWS($V$2:V363),$V$2:$V$1001,0),MATCH(COLUMNS($AC$1006:AK1006),$AC$1006:$AS$1006,0)), HYPERLINK("#",""), HYPERLINK(CONCATENATE("#metadata!", ADDRESS(INDEX($X$2:$X$1001,MATCH(ROWS($V$2:V363),$V$2:$V$1001,0),0), INDEX($AC$1004:$AS$1004,1,MATCH(COLUMNS($AC$1006:AK1006),$AC$1006:$AS$1006,0)))),"Fix")))</f>
        <v xml:space="preserve"> </v>
      </c>
      <c r="K363" s="4" t="str">
        <f ca="1">IF(OR(INDEX($W$2:$W$1001,MATCH(ROWS($V$2:V363),$V$2:$V$1001,0),1)&gt;=100000,INDEX($AC$1005:$AS$1005,1,MATCH(COLUMNS($AC$1006:AL1006),$AC$1006:$AS$1006,0))&gt;=100000), " ",IF(INDEX($AC$2:$AS$1001,MATCH(ROWS($V$2:V363),$V$2:$V$1001,0),MATCH(COLUMNS($AC$1006:AL1006),$AC$1006:$AS$1006,0)), HYPERLINK("#",""), HYPERLINK(CONCATENATE("#metadata!", ADDRESS(INDEX($X$2:$X$1001,MATCH(ROWS($V$2:V363),$V$2:$V$1001,0),0), INDEX($AC$1004:$AS$1004,1,MATCH(COLUMNS($AC$1006:AL1006),$AC$1006:$AS$1006,0)))),"Fix")))</f>
        <v xml:space="preserve"> </v>
      </c>
      <c r="L363" s="4" t="str">
        <f ca="1">IF(OR(INDEX($W$2:$W$1001,MATCH(ROWS($V$2:V363),$V$2:$V$1001,0),1)&gt;=100000,INDEX($AC$1005:$AS$1005,1,MATCH(COLUMNS($AC$1006:AM1006),$AC$1006:$AS$1006,0))&gt;=100000), " ",IF(INDEX($AC$2:$AS$1001,MATCH(ROWS($V$2:V363),$V$2:$V$1001,0),MATCH(COLUMNS($AC$1006:AM1006),$AC$1006:$AS$1006,0)), HYPERLINK("#",""), HYPERLINK(CONCATENATE("#metadata!", ADDRESS(INDEX($X$2:$X$1001,MATCH(ROWS($V$2:V363),$V$2:$V$1001,0),0), INDEX($AC$1004:$AS$1004,1,MATCH(COLUMNS($AC$1006:AM1006),$AC$1006:$AS$1006,0)))),"Fix")))</f>
        <v xml:space="preserve"> </v>
      </c>
      <c r="M363" s="4" t="str">
        <f ca="1">IF(OR(INDEX($W$2:$W$1001,MATCH(ROWS($V$2:V363),$V$2:$V$1001,0),1)&gt;=100000,INDEX($AC$1005:$AS$1005,1,MATCH(COLUMNS($AC$1006:AN1006),$AC$1006:$AS$1006,0))&gt;=100000), " ",IF(INDEX($AC$2:$AS$1001,MATCH(ROWS($V$2:V363),$V$2:$V$1001,0),MATCH(COLUMNS($AC$1006:AN1006),$AC$1006:$AS$1006,0)), HYPERLINK("#",""), HYPERLINK(CONCATENATE("#metadata!", ADDRESS(INDEX($X$2:$X$1001,MATCH(ROWS($V$2:V363),$V$2:$V$1001,0),0), INDEX($AC$1004:$AS$1004,1,MATCH(COLUMNS($AC$1006:AN1006),$AC$1006:$AS$1006,0)))),"Fix")))</f>
        <v xml:space="preserve"> </v>
      </c>
      <c r="N363" s="4" t="str">
        <f ca="1">IF(OR(INDEX($W$2:$W$1001,MATCH(ROWS($V$2:V363),$V$2:$V$1001,0),1)&gt;=100000,INDEX($AC$1005:$AS$1005,1,MATCH(COLUMNS($AC$1006:AO1006),$AC$1006:$AS$1006,0))&gt;=100000), " ",IF(INDEX($AC$2:$AS$1001,MATCH(ROWS($V$2:V363),$V$2:$V$1001,0),MATCH(COLUMNS($AC$1006:AO1006),$AC$1006:$AS$1006,0)), HYPERLINK("#",""), HYPERLINK(CONCATENATE("#metadata!", ADDRESS(INDEX($X$2:$X$1001,MATCH(ROWS($V$2:V363),$V$2:$V$1001,0),0), INDEX($AC$1004:$AS$1004,1,MATCH(COLUMNS($AC$1006:AO1006),$AC$1006:$AS$1006,0)))),"Fix")))</f>
        <v xml:space="preserve"> </v>
      </c>
      <c r="O363" s="4" t="str">
        <f ca="1">IF(OR(INDEX($W$2:$W$1001,MATCH(ROWS($V$2:V363),$V$2:$V$1001,0),1)&gt;=100000,INDEX($AC$1005:$AS$1005,1,MATCH(COLUMNS($AC$1006:AP1006),$AC$1006:$AS$1006,0))&gt;=100000), " ",IF(INDEX($AC$2:$AS$1001,MATCH(ROWS($V$2:V363),$V$2:$V$1001,0),MATCH(COLUMNS($AC$1006:AP1006),$AC$1006:$AS$1006,0)), HYPERLINK("#",""), HYPERLINK(CONCATENATE("#metadata!", ADDRESS(INDEX($X$2:$X$1001,MATCH(ROWS($V$2:V363),$V$2:$V$1001,0),0), INDEX($AC$1004:$AS$1004,1,MATCH(COLUMNS($AC$1006:AP1006),$AC$1006:$AS$1006,0)))),"Fix")))</f>
        <v xml:space="preserve"> </v>
      </c>
      <c r="P363" s="4" t="str">
        <f ca="1">IF(OR(INDEX($W$2:$W$1001,MATCH(ROWS($V$2:V363),$V$2:$V$1001,0),1)&gt;=100000,INDEX($AC$1005:$AS$1005,1,MATCH(COLUMNS($AC$1006:AQ1006),$AC$1006:$AS$1006,0))&gt;=100000), " ",IF(INDEX($AC$2:$AS$1001,MATCH(ROWS($V$2:V363),$V$2:$V$1001,0),MATCH(COLUMNS($AC$1006:AQ1006),$AC$1006:$AS$1006,0)), HYPERLINK("#",""), HYPERLINK(CONCATENATE("#metadata!", ADDRESS(INDEX($X$2:$X$1001,MATCH(ROWS($V$2:V363),$V$2:$V$1001,0),0), INDEX($AC$1004:$AS$1004,1,MATCH(COLUMNS($AC$1006:AQ1006),$AC$1006:$AS$1006,0)))),"Fix")))</f>
        <v xml:space="preserve"> </v>
      </c>
      <c r="Q363" s="4" t="str">
        <f ca="1">IF(OR(INDEX($W$2:$W$1001,MATCH(ROWS($V$2:V363),$V$2:$V$1001,0),1)&gt;=100000,INDEX($AC$1005:$AS$1005,1,MATCH(COLUMNS($AC$1006:AR1006),$AC$1006:$AS$1006,0))&gt;=100000), " ",IF(INDEX($AC$2:$AS$1001,MATCH(ROWS($V$2:V363),$V$2:$V$1001,0),MATCH(COLUMNS($AC$1006:AR1006),$AC$1006:$AS$1006,0)), HYPERLINK("#",""), HYPERLINK(CONCATENATE("#metadata!", ADDRESS(INDEX($X$2:$X$1001,MATCH(ROWS($V$2:V363),$V$2:$V$1001,0),0), INDEX($AC$1004:$AS$1004,1,MATCH(COLUMNS($AC$1006:AR1006),$AC$1006:$AS$1006,0)))),"Fix")))</f>
        <v xml:space="preserve"> </v>
      </c>
      <c r="R363" s="4" t="str">
        <f ca="1">IF(OR(INDEX($W$2:$W$1001,MATCH(ROWS($V$2:V363),$V$2:$V$1001,0),1)&gt;=100000,INDEX($AC$1005:$AS$1005,1,MATCH(COLUMNS($AC$1006:AS1006),$AC$1006:$AS$1006,0))&gt;=100000), " ",IF(INDEX($AC$2:$AS$1001,MATCH(ROWS($V$2:V363),$V$2:$V$1001,0),MATCH(COLUMNS($AC$1006:AS1006),$AC$1006:$AS$1006,0)), HYPERLINK("#",""), HYPERLINK(CONCATENATE("#metadata!", ADDRESS(INDEX($X$2:$X$1001,MATCH(ROWS($V$2:V363),$V$2:$V$1001,0),0), INDEX($AC$1004:$AS$1004,1,MATCH(COLUMNS($AC$1006:AS1006),$AC$1006:$AS$1006,0)))),"Fix")))</f>
        <v xml:space="preserve"> </v>
      </c>
      <c r="V363">
        <v>362</v>
      </c>
      <c r="W363">
        <v>100363</v>
      </c>
      <c r="X363">
        <v>363</v>
      </c>
      <c r="Y363" t="b">
        <f t="shared" si="5"/>
        <v>1</v>
      </c>
      <c r="Z363" t="b">
        <f>COUNTBLANK(metadata!B363:R363)=COLUMNS(metadata!B363:R363)</f>
        <v>1</v>
      </c>
      <c r="AA363" t="str">
        <v/>
      </c>
      <c r="AC363" t="b">
        <f ca="1"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AD363" t="b">
        <f>IF(metadata!C363="",FALSE,ISNUMBER(VALUE(metadata!C363)))</f>
        <v>0</v>
      </c>
      <c r="AE363" t="b">
        <f>AND(IF(metadata!D363="",FALSE,TRUE),EXACT(metadata!D363,"years"))</f>
        <v>0</v>
      </c>
      <c r="AF363" t="b">
        <f>OR(AND(IF(metadata!E363="",FALSE,TRUE),OR(EXACT(metadata!E363,"not applicable"),EXACT(metadata!E363,"missing: not collected"),EXACT(metadata!E363,"missing: not provided"),EXACT(metadata!E363,"missing: restricted access"))),AND(IF(metadata!E363="",FALSE,ISNUMBER(VALUE(metadata!E363))),metadata!E363&gt;0))</f>
        <v>0</v>
      </c>
      <c r="AG363" t="b">
        <f>AND(IF(metadata!F363="",FALSE,TRUE),EXACT(metadata!F363,"Not applicable"))</f>
        <v>0</v>
      </c>
      <c r="AH363" t="b">
        <f>AND(IF(metadata!G363="",FALSE,TRUE),EXACT(metadata!G363,"urban biome"))</f>
        <v>0</v>
      </c>
      <c r="AI363" t="b">
        <f>AND(IF(metadata!H363="",FALSE,TRUE),EXACT(metadata!H363,"human-associated habitat"))</f>
        <v>0</v>
      </c>
      <c r="AJ363" t="b">
        <f>AND(IF(metadata!I363="",FALSE,TRUE),OR(EXACT(metadata!I363,"human-associated"),EXACT(metadata!I363,"human-skin"),EXACT(metadata!I363,"human-oral"),EXACT(metadata!I363,"human-gut"),EXACT(metadata!I363,"human-vaginal")))</f>
        <v>0</v>
      </c>
      <c r="AK363" t="b">
        <f>IF(metadata!J363="",FALSE,ISNUMBER(VALUE(metadata!J363)))</f>
        <v>0</v>
      </c>
      <c r="AL363" t="b">
        <f>AND(IF(metadata!K363="",FALSE,TRUE),EXACT(metadata!K363,"cm"))</f>
        <v>0</v>
      </c>
      <c r="AM363" t="b">
        <f>AND(IF(metadata!L363="",FALSE,TRUE),EXACT(metadata!L363,"human"))</f>
        <v>0</v>
      </c>
      <c r="AN363" t="b">
        <f>AND(IF(metadata!M363="",FALSE,TRUE),EXACT(metadata!M363,"Homo sapiens"))</f>
        <v>0</v>
      </c>
      <c r="AO363" t="b">
        <f>AND(IF(metadata!N363="",FALSE,TRUE),EXACT(metadata!N363,"9606"))</f>
        <v>0</v>
      </c>
      <c r="AP363" t="b">
        <f>IF(metadata!O363="",FALSE,TRUE)</f>
        <v>0</v>
      </c>
      <c r="AQ363" t="b">
        <f>IF(metadata!P363="",FALSE,TRUE)</f>
        <v>0</v>
      </c>
      <c r="AR363" t="b">
        <f>IF(metadata!Q363="",FALSE,ISNUMBER(VALUE(metadata!Q363)))</f>
        <v>0</v>
      </c>
      <c r="AS363" t="b">
        <f>AND(IF(metadata!R363="",FALSE,TRUE),EXACT(metadata!R363,"kg"))</f>
        <v>0</v>
      </c>
    </row>
    <row r="364" spans="1:45" x14ac:dyDescent="0.2">
      <c r="A364" s="5" t="str">
        <f ca="1">IF(B364=" "," ",HYPERLINK(CONCATENATE("#metadata!",ADDRESS(INDEX($X$2:$X$1001,MATCH(ROWS($V$2:V364),$V$2:$V$1001,0),0),1)),INDEX($AA$2:$AA$1001,MATCH(ROWS($V$2:V364),$V$2:$V$1001,0),0)))</f>
        <v xml:space="preserve"> </v>
      </c>
      <c r="B364" s="4" t="str">
        <f ca="1">IF(OR(INDEX($W$2:$W$1001,MATCH(ROWS($V$2:V364),$V$2:$V$1001,0),1)&gt;=100000,INDEX($AC$1005:$AS$1005,1,MATCH(COLUMNS($AC$1006:AC1006),$AC$1006:$AS$1006,0))&gt;=100000), " ",IF(INDEX($AC$2:$AS$1001,MATCH(ROWS($V$2:V364),$V$2:$V$1001,0),MATCH(COLUMNS($AC$1006:AC1006),$AC$1006:$AS$1006,0)), HYPERLINK("#",""), HYPERLINK(CONCATENATE("#metadata!", ADDRESS(INDEX($X$2:$X$1001,MATCH(ROWS($V$2:V364),$V$2:$V$1001,0),0), INDEX($AC$1004:$AS$1004,1,MATCH(COLUMNS($AC$1006:AC1006),$AC$1006:$AS$1006,0)))),"Fix")))</f>
        <v xml:space="preserve"> </v>
      </c>
      <c r="C364" s="4" t="str">
        <f ca="1">IF(OR(INDEX($W$2:$W$1001,MATCH(ROWS($V$2:V364),$V$2:$V$1001,0),1)&gt;=100000,INDEX($AC$1005:$AS$1005,1,MATCH(COLUMNS($AC$1006:AD1006),$AC$1006:$AS$1006,0))&gt;=100000), " ",IF(INDEX($AC$2:$AS$1001,MATCH(ROWS($V$2:V364),$V$2:$V$1001,0),MATCH(COLUMNS($AC$1006:AD1006),$AC$1006:$AS$1006,0)), HYPERLINK("#",""), HYPERLINK(CONCATENATE("#metadata!", ADDRESS(INDEX($X$2:$X$1001,MATCH(ROWS($V$2:V364),$V$2:$V$1001,0),0), INDEX($AC$1004:$AS$1004,1,MATCH(COLUMNS($AC$1006:AD1006),$AC$1006:$AS$1006,0)))),"Fix")))</f>
        <v xml:space="preserve"> </v>
      </c>
      <c r="D364" s="4" t="str">
        <f ca="1">IF(OR(INDEX($W$2:$W$1001,MATCH(ROWS($V$2:V364),$V$2:$V$1001,0),1)&gt;=100000,INDEX($AC$1005:$AS$1005,1,MATCH(COLUMNS($AC$1006:AE1006),$AC$1006:$AS$1006,0))&gt;=100000), " ",IF(INDEX($AC$2:$AS$1001,MATCH(ROWS($V$2:V364),$V$2:$V$1001,0),MATCH(COLUMNS($AC$1006:AE1006),$AC$1006:$AS$1006,0)), HYPERLINK("#",""), HYPERLINK(CONCATENATE("#metadata!", ADDRESS(INDEX($X$2:$X$1001,MATCH(ROWS($V$2:V364),$V$2:$V$1001,0),0), INDEX($AC$1004:$AS$1004,1,MATCH(COLUMNS($AC$1006:AE1006),$AC$1006:$AS$1006,0)))),"Fix")))</f>
        <v xml:space="preserve"> </v>
      </c>
      <c r="E364" s="4" t="str">
        <f ca="1">IF(OR(INDEX($W$2:$W$1001,MATCH(ROWS($V$2:V364),$V$2:$V$1001,0),1)&gt;=100000,INDEX($AC$1005:$AS$1005,1,MATCH(COLUMNS($AC$1006:AF1006),$AC$1006:$AS$1006,0))&gt;=100000), " ",IF(INDEX($AC$2:$AS$1001,MATCH(ROWS($V$2:V364),$V$2:$V$1001,0),MATCH(COLUMNS($AC$1006:AF1006),$AC$1006:$AS$1006,0)), HYPERLINK("#",""), HYPERLINK(CONCATENATE("#metadata!", ADDRESS(INDEX($X$2:$X$1001,MATCH(ROWS($V$2:V364),$V$2:$V$1001,0),0), INDEX($AC$1004:$AS$1004,1,MATCH(COLUMNS($AC$1006:AF1006),$AC$1006:$AS$1006,0)))),"Fix")))</f>
        <v xml:space="preserve"> </v>
      </c>
      <c r="F364" s="4" t="str">
        <f ca="1">IF(OR(INDEX($W$2:$W$1001,MATCH(ROWS($V$2:V364),$V$2:$V$1001,0),1)&gt;=100000,INDEX($AC$1005:$AS$1005,1,MATCH(COLUMNS($AC$1006:AG1006),$AC$1006:$AS$1006,0))&gt;=100000), " ",IF(INDEX($AC$2:$AS$1001,MATCH(ROWS($V$2:V364),$V$2:$V$1001,0),MATCH(COLUMNS($AC$1006:AG1006),$AC$1006:$AS$1006,0)), HYPERLINK("#",""), HYPERLINK(CONCATENATE("#metadata!", ADDRESS(INDEX($X$2:$X$1001,MATCH(ROWS($V$2:V364),$V$2:$V$1001,0),0), INDEX($AC$1004:$AS$1004,1,MATCH(COLUMNS($AC$1006:AG1006),$AC$1006:$AS$1006,0)))),"Fix")))</f>
        <v xml:space="preserve"> </v>
      </c>
      <c r="G364" s="4" t="str">
        <f ca="1">IF(OR(INDEX($W$2:$W$1001,MATCH(ROWS($V$2:V364),$V$2:$V$1001,0),1)&gt;=100000,INDEX($AC$1005:$AS$1005,1,MATCH(COLUMNS($AC$1006:AH1006),$AC$1006:$AS$1006,0))&gt;=100000), " ",IF(INDEX($AC$2:$AS$1001,MATCH(ROWS($V$2:V364),$V$2:$V$1001,0),MATCH(COLUMNS($AC$1006:AH1006),$AC$1006:$AS$1006,0)), HYPERLINK("#",""), HYPERLINK(CONCATENATE("#metadata!", ADDRESS(INDEX($X$2:$X$1001,MATCH(ROWS($V$2:V364),$V$2:$V$1001,0),0), INDEX($AC$1004:$AS$1004,1,MATCH(COLUMNS($AC$1006:AH1006),$AC$1006:$AS$1006,0)))),"Fix")))</f>
        <v xml:space="preserve"> </v>
      </c>
      <c r="H364" s="4" t="str">
        <f ca="1">IF(OR(INDEX($W$2:$W$1001,MATCH(ROWS($V$2:V364),$V$2:$V$1001,0),1)&gt;=100000,INDEX($AC$1005:$AS$1005,1,MATCH(COLUMNS($AC$1006:AI1006),$AC$1006:$AS$1006,0))&gt;=100000), " ",IF(INDEX($AC$2:$AS$1001,MATCH(ROWS($V$2:V364),$V$2:$V$1001,0),MATCH(COLUMNS($AC$1006:AI1006),$AC$1006:$AS$1006,0)), HYPERLINK("#",""), HYPERLINK(CONCATENATE("#metadata!", ADDRESS(INDEX($X$2:$X$1001,MATCH(ROWS($V$2:V364),$V$2:$V$1001,0),0), INDEX($AC$1004:$AS$1004,1,MATCH(COLUMNS($AC$1006:AI1006),$AC$1006:$AS$1006,0)))),"Fix")))</f>
        <v xml:space="preserve"> </v>
      </c>
      <c r="I364" s="4" t="str">
        <f ca="1">IF(OR(INDEX($W$2:$W$1001,MATCH(ROWS($V$2:V364),$V$2:$V$1001,0),1)&gt;=100000,INDEX($AC$1005:$AS$1005,1,MATCH(COLUMNS($AC$1006:AJ1006),$AC$1006:$AS$1006,0))&gt;=100000), " ",IF(INDEX($AC$2:$AS$1001,MATCH(ROWS($V$2:V364),$V$2:$V$1001,0),MATCH(COLUMNS($AC$1006:AJ1006),$AC$1006:$AS$1006,0)), HYPERLINK("#",""), HYPERLINK(CONCATENATE("#metadata!", ADDRESS(INDEX($X$2:$X$1001,MATCH(ROWS($V$2:V364),$V$2:$V$1001,0),0), INDEX($AC$1004:$AS$1004,1,MATCH(COLUMNS($AC$1006:AJ1006),$AC$1006:$AS$1006,0)))),"Fix")))</f>
        <v xml:space="preserve"> </v>
      </c>
      <c r="J364" s="4" t="str">
        <f ca="1">IF(OR(INDEX($W$2:$W$1001,MATCH(ROWS($V$2:V364),$V$2:$V$1001,0),1)&gt;=100000,INDEX($AC$1005:$AS$1005,1,MATCH(COLUMNS($AC$1006:AK1006),$AC$1006:$AS$1006,0))&gt;=100000), " ",IF(INDEX($AC$2:$AS$1001,MATCH(ROWS($V$2:V364),$V$2:$V$1001,0),MATCH(COLUMNS($AC$1006:AK1006),$AC$1006:$AS$1006,0)), HYPERLINK("#",""), HYPERLINK(CONCATENATE("#metadata!", ADDRESS(INDEX($X$2:$X$1001,MATCH(ROWS($V$2:V364),$V$2:$V$1001,0),0), INDEX($AC$1004:$AS$1004,1,MATCH(COLUMNS($AC$1006:AK1006),$AC$1006:$AS$1006,0)))),"Fix")))</f>
        <v xml:space="preserve"> </v>
      </c>
      <c r="K364" s="4" t="str">
        <f ca="1">IF(OR(INDEX($W$2:$W$1001,MATCH(ROWS($V$2:V364),$V$2:$V$1001,0),1)&gt;=100000,INDEX($AC$1005:$AS$1005,1,MATCH(COLUMNS($AC$1006:AL1006),$AC$1006:$AS$1006,0))&gt;=100000), " ",IF(INDEX($AC$2:$AS$1001,MATCH(ROWS($V$2:V364),$V$2:$V$1001,0),MATCH(COLUMNS($AC$1006:AL1006),$AC$1006:$AS$1006,0)), HYPERLINK("#",""), HYPERLINK(CONCATENATE("#metadata!", ADDRESS(INDEX($X$2:$X$1001,MATCH(ROWS($V$2:V364),$V$2:$V$1001,0),0), INDEX($AC$1004:$AS$1004,1,MATCH(COLUMNS($AC$1006:AL1006),$AC$1006:$AS$1006,0)))),"Fix")))</f>
        <v xml:space="preserve"> </v>
      </c>
      <c r="L364" s="4" t="str">
        <f ca="1">IF(OR(INDEX($W$2:$W$1001,MATCH(ROWS($V$2:V364),$V$2:$V$1001,0),1)&gt;=100000,INDEX($AC$1005:$AS$1005,1,MATCH(COLUMNS($AC$1006:AM1006),$AC$1006:$AS$1006,0))&gt;=100000), " ",IF(INDEX($AC$2:$AS$1001,MATCH(ROWS($V$2:V364),$V$2:$V$1001,0),MATCH(COLUMNS($AC$1006:AM1006),$AC$1006:$AS$1006,0)), HYPERLINK("#",""), HYPERLINK(CONCATENATE("#metadata!", ADDRESS(INDEX($X$2:$X$1001,MATCH(ROWS($V$2:V364),$V$2:$V$1001,0),0), INDEX($AC$1004:$AS$1004,1,MATCH(COLUMNS($AC$1006:AM1006),$AC$1006:$AS$1006,0)))),"Fix")))</f>
        <v xml:space="preserve"> </v>
      </c>
      <c r="M364" s="4" t="str">
        <f ca="1">IF(OR(INDEX($W$2:$W$1001,MATCH(ROWS($V$2:V364),$V$2:$V$1001,0),1)&gt;=100000,INDEX($AC$1005:$AS$1005,1,MATCH(COLUMNS($AC$1006:AN1006),$AC$1006:$AS$1006,0))&gt;=100000), " ",IF(INDEX($AC$2:$AS$1001,MATCH(ROWS($V$2:V364),$V$2:$V$1001,0),MATCH(COLUMNS($AC$1006:AN1006),$AC$1006:$AS$1006,0)), HYPERLINK("#",""), HYPERLINK(CONCATENATE("#metadata!", ADDRESS(INDEX($X$2:$X$1001,MATCH(ROWS($V$2:V364),$V$2:$V$1001,0),0), INDEX($AC$1004:$AS$1004,1,MATCH(COLUMNS($AC$1006:AN1006),$AC$1006:$AS$1006,0)))),"Fix")))</f>
        <v xml:space="preserve"> </v>
      </c>
      <c r="N364" s="4" t="str">
        <f ca="1">IF(OR(INDEX($W$2:$W$1001,MATCH(ROWS($V$2:V364),$V$2:$V$1001,0),1)&gt;=100000,INDEX($AC$1005:$AS$1005,1,MATCH(COLUMNS($AC$1006:AO1006),$AC$1006:$AS$1006,0))&gt;=100000), " ",IF(INDEX($AC$2:$AS$1001,MATCH(ROWS($V$2:V364),$V$2:$V$1001,0),MATCH(COLUMNS($AC$1006:AO1006),$AC$1006:$AS$1006,0)), HYPERLINK("#",""), HYPERLINK(CONCATENATE("#metadata!", ADDRESS(INDEX($X$2:$X$1001,MATCH(ROWS($V$2:V364),$V$2:$V$1001,0),0), INDEX($AC$1004:$AS$1004,1,MATCH(COLUMNS($AC$1006:AO1006),$AC$1006:$AS$1006,0)))),"Fix")))</f>
        <v xml:space="preserve"> </v>
      </c>
      <c r="O364" s="4" t="str">
        <f ca="1">IF(OR(INDEX($W$2:$W$1001,MATCH(ROWS($V$2:V364),$V$2:$V$1001,0),1)&gt;=100000,INDEX($AC$1005:$AS$1005,1,MATCH(COLUMNS($AC$1006:AP1006),$AC$1006:$AS$1006,0))&gt;=100000), " ",IF(INDEX($AC$2:$AS$1001,MATCH(ROWS($V$2:V364),$V$2:$V$1001,0),MATCH(COLUMNS($AC$1006:AP1006),$AC$1006:$AS$1006,0)), HYPERLINK("#",""), HYPERLINK(CONCATENATE("#metadata!", ADDRESS(INDEX($X$2:$X$1001,MATCH(ROWS($V$2:V364),$V$2:$V$1001,0),0), INDEX($AC$1004:$AS$1004,1,MATCH(COLUMNS($AC$1006:AP1006),$AC$1006:$AS$1006,0)))),"Fix")))</f>
        <v xml:space="preserve"> </v>
      </c>
      <c r="P364" s="4" t="str">
        <f ca="1">IF(OR(INDEX($W$2:$W$1001,MATCH(ROWS($V$2:V364),$V$2:$V$1001,0),1)&gt;=100000,INDEX($AC$1005:$AS$1005,1,MATCH(COLUMNS($AC$1006:AQ1006),$AC$1006:$AS$1006,0))&gt;=100000), " ",IF(INDEX($AC$2:$AS$1001,MATCH(ROWS($V$2:V364),$V$2:$V$1001,0),MATCH(COLUMNS($AC$1006:AQ1006),$AC$1006:$AS$1006,0)), HYPERLINK("#",""), HYPERLINK(CONCATENATE("#metadata!", ADDRESS(INDEX($X$2:$X$1001,MATCH(ROWS($V$2:V364),$V$2:$V$1001,0),0), INDEX($AC$1004:$AS$1004,1,MATCH(COLUMNS($AC$1006:AQ1006),$AC$1006:$AS$1006,0)))),"Fix")))</f>
        <v xml:space="preserve"> </v>
      </c>
      <c r="Q364" s="4" t="str">
        <f ca="1">IF(OR(INDEX($W$2:$W$1001,MATCH(ROWS($V$2:V364),$V$2:$V$1001,0),1)&gt;=100000,INDEX($AC$1005:$AS$1005,1,MATCH(COLUMNS($AC$1006:AR1006),$AC$1006:$AS$1006,0))&gt;=100000), " ",IF(INDEX($AC$2:$AS$1001,MATCH(ROWS($V$2:V364),$V$2:$V$1001,0),MATCH(COLUMNS($AC$1006:AR1006),$AC$1006:$AS$1006,0)), HYPERLINK("#",""), HYPERLINK(CONCATENATE("#metadata!", ADDRESS(INDEX($X$2:$X$1001,MATCH(ROWS($V$2:V364),$V$2:$V$1001,0),0), INDEX($AC$1004:$AS$1004,1,MATCH(COLUMNS($AC$1006:AR1006),$AC$1006:$AS$1006,0)))),"Fix")))</f>
        <v xml:space="preserve"> </v>
      </c>
      <c r="R364" s="4" t="str">
        <f ca="1">IF(OR(INDEX($W$2:$W$1001,MATCH(ROWS($V$2:V364),$V$2:$V$1001,0),1)&gt;=100000,INDEX($AC$1005:$AS$1005,1,MATCH(COLUMNS($AC$1006:AS1006),$AC$1006:$AS$1006,0))&gt;=100000), " ",IF(INDEX($AC$2:$AS$1001,MATCH(ROWS($V$2:V364),$V$2:$V$1001,0),MATCH(COLUMNS($AC$1006:AS1006),$AC$1006:$AS$1006,0)), HYPERLINK("#",""), HYPERLINK(CONCATENATE("#metadata!", ADDRESS(INDEX($X$2:$X$1001,MATCH(ROWS($V$2:V364),$V$2:$V$1001,0),0), INDEX($AC$1004:$AS$1004,1,MATCH(COLUMNS($AC$1006:AS1006),$AC$1006:$AS$1006,0)))),"Fix")))</f>
        <v xml:space="preserve"> </v>
      </c>
      <c r="V364">
        <v>363</v>
      </c>
      <c r="W364">
        <v>100364</v>
      </c>
      <c r="X364">
        <v>364</v>
      </c>
      <c r="Y364" t="b">
        <f t="shared" si="5"/>
        <v>1</v>
      </c>
      <c r="Z364" t="b">
        <f>COUNTBLANK(metadata!B364:R364)=COLUMNS(metadata!B364:R364)</f>
        <v>1</v>
      </c>
      <c r="AA364" t="str">
        <v/>
      </c>
      <c r="AC364" t="b">
        <f ca="1"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AD364" t="b">
        <f>IF(metadata!C364="",FALSE,ISNUMBER(VALUE(metadata!C364)))</f>
        <v>0</v>
      </c>
      <c r="AE364" t="b">
        <f>AND(IF(metadata!D364="",FALSE,TRUE),EXACT(metadata!D364,"years"))</f>
        <v>0</v>
      </c>
      <c r="AF364" t="b">
        <f>OR(AND(IF(metadata!E364="",FALSE,TRUE),OR(EXACT(metadata!E364,"not applicable"),EXACT(metadata!E364,"missing: not collected"),EXACT(metadata!E364,"missing: not provided"),EXACT(metadata!E364,"missing: restricted access"))),AND(IF(metadata!E364="",FALSE,ISNUMBER(VALUE(metadata!E364))),metadata!E364&gt;0))</f>
        <v>0</v>
      </c>
      <c r="AG364" t="b">
        <f>AND(IF(metadata!F364="",FALSE,TRUE),EXACT(metadata!F364,"Not applicable"))</f>
        <v>0</v>
      </c>
      <c r="AH364" t="b">
        <f>AND(IF(metadata!G364="",FALSE,TRUE),EXACT(metadata!G364,"urban biome"))</f>
        <v>0</v>
      </c>
      <c r="AI364" t="b">
        <f>AND(IF(metadata!H364="",FALSE,TRUE),EXACT(metadata!H364,"human-associated habitat"))</f>
        <v>0</v>
      </c>
      <c r="AJ364" t="b">
        <f>AND(IF(metadata!I364="",FALSE,TRUE),OR(EXACT(metadata!I364,"human-associated"),EXACT(metadata!I364,"human-skin"),EXACT(metadata!I364,"human-oral"),EXACT(metadata!I364,"human-gut"),EXACT(metadata!I364,"human-vaginal")))</f>
        <v>0</v>
      </c>
      <c r="AK364" t="b">
        <f>IF(metadata!J364="",FALSE,ISNUMBER(VALUE(metadata!J364)))</f>
        <v>0</v>
      </c>
      <c r="AL364" t="b">
        <f>AND(IF(metadata!K364="",FALSE,TRUE),EXACT(metadata!K364,"cm"))</f>
        <v>0</v>
      </c>
      <c r="AM364" t="b">
        <f>AND(IF(metadata!L364="",FALSE,TRUE),EXACT(metadata!L364,"human"))</f>
        <v>0</v>
      </c>
      <c r="AN364" t="b">
        <f>AND(IF(metadata!M364="",FALSE,TRUE),EXACT(metadata!M364,"Homo sapiens"))</f>
        <v>0</v>
      </c>
      <c r="AO364" t="b">
        <f>AND(IF(metadata!N364="",FALSE,TRUE),EXACT(metadata!N364,"9606"))</f>
        <v>0</v>
      </c>
      <c r="AP364" t="b">
        <f>IF(metadata!O364="",FALSE,TRUE)</f>
        <v>0</v>
      </c>
      <c r="AQ364" t="b">
        <f>IF(metadata!P364="",FALSE,TRUE)</f>
        <v>0</v>
      </c>
      <c r="AR364" t="b">
        <f>IF(metadata!Q364="",FALSE,ISNUMBER(VALUE(metadata!Q364)))</f>
        <v>0</v>
      </c>
      <c r="AS364" t="b">
        <f>AND(IF(metadata!R364="",FALSE,TRUE),EXACT(metadata!R364,"kg"))</f>
        <v>0</v>
      </c>
    </row>
    <row r="365" spans="1:45" x14ac:dyDescent="0.2">
      <c r="A365" s="5" t="str">
        <f ca="1">IF(B365=" "," ",HYPERLINK(CONCATENATE("#metadata!",ADDRESS(INDEX($X$2:$X$1001,MATCH(ROWS($V$2:V365),$V$2:$V$1001,0),0),1)),INDEX($AA$2:$AA$1001,MATCH(ROWS($V$2:V365),$V$2:$V$1001,0),0)))</f>
        <v xml:space="preserve"> </v>
      </c>
      <c r="B365" s="4" t="str">
        <f ca="1">IF(OR(INDEX($W$2:$W$1001,MATCH(ROWS($V$2:V365),$V$2:$V$1001,0),1)&gt;=100000,INDEX($AC$1005:$AS$1005,1,MATCH(COLUMNS($AC$1006:AC1006),$AC$1006:$AS$1006,0))&gt;=100000), " ",IF(INDEX($AC$2:$AS$1001,MATCH(ROWS($V$2:V365),$V$2:$V$1001,0),MATCH(COLUMNS($AC$1006:AC1006),$AC$1006:$AS$1006,0)), HYPERLINK("#",""), HYPERLINK(CONCATENATE("#metadata!", ADDRESS(INDEX($X$2:$X$1001,MATCH(ROWS($V$2:V365),$V$2:$V$1001,0),0), INDEX($AC$1004:$AS$1004,1,MATCH(COLUMNS($AC$1006:AC1006),$AC$1006:$AS$1006,0)))),"Fix")))</f>
        <v xml:space="preserve"> </v>
      </c>
      <c r="C365" s="4" t="str">
        <f ca="1">IF(OR(INDEX($W$2:$W$1001,MATCH(ROWS($V$2:V365),$V$2:$V$1001,0),1)&gt;=100000,INDEX($AC$1005:$AS$1005,1,MATCH(COLUMNS($AC$1006:AD1006),$AC$1006:$AS$1006,0))&gt;=100000), " ",IF(INDEX($AC$2:$AS$1001,MATCH(ROWS($V$2:V365),$V$2:$V$1001,0),MATCH(COLUMNS($AC$1006:AD1006),$AC$1006:$AS$1006,0)), HYPERLINK("#",""), HYPERLINK(CONCATENATE("#metadata!", ADDRESS(INDEX($X$2:$X$1001,MATCH(ROWS($V$2:V365),$V$2:$V$1001,0),0), INDEX($AC$1004:$AS$1004,1,MATCH(COLUMNS($AC$1006:AD1006),$AC$1006:$AS$1006,0)))),"Fix")))</f>
        <v xml:space="preserve"> </v>
      </c>
      <c r="D365" s="4" t="str">
        <f ca="1">IF(OR(INDEX($W$2:$W$1001,MATCH(ROWS($V$2:V365),$V$2:$V$1001,0),1)&gt;=100000,INDEX($AC$1005:$AS$1005,1,MATCH(COLUMNS($AC$1006:AE1006),$AC$1006:$AS$1006,0))&gt;=100000), " ",IF(INDEX($AC$2:$AS$1001,MATCH(ROWS($V$2:V365),$V$2:$V$1001,0),MATCH(COLUMNS($AC$1006:AE1006),$AC$1006:$AS$1006,0)), HYPERLINK("#",""), HYPERLINK(CONCATENATE("#metadata!", ADDRESS(INDEX($X$2:$X$1001,MATCH(ROWS($V$2:V365),$V$2:$V$1001,0),0), INDEX($AC$1004:$AS$1004,1,MATCH(COLUMNS($AC$1006:AE1006),$AC$1006:$AS$1006,0)))),"Fix")))</f>
        <v xml:space="preserve"> </v>
      </c>
      <c r="E365" s="4" t="str">
        <f ca="1">IF(OR(INDEX($W$2:$W$1001,MATCH(ROWS($V$2:V365),$V$2:$V$1001,0),1)&gt;=100000,INDEX($AC$1005:$AS$1005,1,MATCH(COLUMNS($AC$1006:AF1006),$AC$1006:$AS$1006,0))&gt;=100000), " ",IF(INDEX($AC$2:$AS$1001,MATCH(ROWS($V$2:V365),$V$2:$V$1001,0),MATCH(COLUMNS($AC$1006:AF1006),$AC$1006:$AS$1006,0)), HYPERLINK("#",""), HYPERLINK(CONCATENATE("#metadata!", ADDRESS(INDEX($X$2:$X$1001,MATCH(ROWS($V$2:V365),$V$2:$V$1001,0),0), INDEX($AC$1004:$AS$1004,1,MATCH(COLUMNS($AC$1006:AF1006),$AC$1006:$AS$1006,0)))),"Fix")))</f>
        <v xml:space="preserve"> </v>
      </c>
      <c r="F365" s="4" t="str">
        <f ca="1">IF(OR(INDEX($W$2:$W$1001,MATCH(ROWS($V$2:V365),$V$2:$V$1001,0),1)&gt;=100000,INDEX($AC$1005:$AS$1005,1,MATCH(COLUMNS($AC$1006:AG1006),$AC$1006:$AS$1006,0))&gt;=100000), " ",IF(INDEX($AC$2:$AS$1001,MATCH(ROWS($V$2:V365),$V$2:$V$1001,0),MATCH(COLUMNS($AC$1006:AG1006),$AC$1006:$AS$1006,0)), HYPERLINK("#",""), HYPERLINK(CONCATENATE("#metadata!", ADDRESS(INDEX($X$2:$X$1001,MATCH(ROWS($V$2:V365),$V$2:$V$1001,0),0), INDEX($AC$1004:$AS$1004,1,MATCH(COLUMNS($AC$1006:AG1006),$AC$1006:$AS$1006,0)))),"Fix")))</f>
        <v xml:space="preserve"> </v>
      </c>
      <c r="G365" s="4" t="str">
        <f ca="1">IF(OR(INDEX($W$2:$W$1001,MATCH(ROWS($V$2:V365),$V$2:$V$1001,0),1)&gt;=100000,INDEX($AC$1005:$AS$1005,1,MATCH(COLUMNS($AC$1006:AH1006),$AC$1006:$AS$1006,0))&gt;=100000), " ",IF(INDEX($AC$2:$AS$1001,MATCH(ROWS($V$2:V365),$V$2:$V$1001,0),MATCH(COLUMNS($AC$1006:AH1006),$AC$1006:$AS$1006,0)), HYPERLINK("#",""), HYPERLINK(CONCATENATE("#metadata!", ADDRESS(INDEX($X$2:$X$1001,MATCH(ROWS($V$2:V365),$V$2:$V$1001,0),0), INDEX($AC$1004:$AS$1004,1,MATCH(COLUMNS($AC$1006:AH1006),$AC$1006:$AS$1006,0)))),"Fix")))</f>
        <v xml:space="preserve"> </v>
      </c>
      <c r="H365" s="4" t="str">
        <f ca="1">IF(OR(INDEX($W$2:$W$1001,MATCH(ROWS($V$2:V365),$V$2:$V$1001,0),1)&gt;=100000,INDEX($AC$1005:$AS$1005,1,MATCH(COLUMNS($AC$1006:AI1006),$AC$1006:$AS$1006,0))&gt;=100000), " ",IF(INDEX($AC$2:$AS$1001,MATCH(ROWS($V$2:V365),$V$2:$V$1001,0),MATCH(COLUMNS($AC$1006:AI1006),$AC$1006:$AS$1006,0)), HYPERLINK("#",""), HYPERLINK(CONCATENATE("#metadata!", ADDRESS(INDEX($X$2:$X$1001,MATCH(ROWS($V$2:V365),$V$2:$V$1001,0),0), INDEX($AC$1004:$AS$1004,1,MATCH(COLUMNS($AC$1006:AI1006),$AC$1006:$AS$1006,0)))),"Fix")))</f>
        <v xml:space="preserve"> </v>
      </c>
      <c r="I365" s="4" t="str">
        <f ca="1">IF(OR(INDEX($W$2:$W$1001,MATCH(ROWS($V$2:V365),$V$2:$V$1001,0),1)&gt;=100000,INDEX($AC$1005:$AS$1005,1,MATCH(COLUMNS($AC$1006:AJ1006),$AC$1006:$AS$1006,0))&gt;=100000), " ",IF(INDEX($AC$2:$AS$1001,MATCH(ROWS($V$2:V365),$V$2:$V$1001,0),MATCH(COLUMNS($AC$1006:AJ1006),$AC$1006:$AS$1006,0)), HYPERLINK("#",""), HYPERLINK(CONCATENATE("#metadata!", ADDRESS(INDEX($X$2:$X$1001,MATCH(ROWS($V$2:V365),$V$2:$V$1001,0),0), INDEX($AC$1004:$AS$1004,1,MATCH(COLUMNS($AC$1006:AJ1006),$AC$1006:$AS$1006,0)))),"Fix")))</f>
        <v xml:space="preserve"> </v>
      </c>
      <c r="J365" s="4" t="str">
        <f ca="1">IF(OR(INDEX($W$2:$W$1001,MATCH(ROWS($V$2:V365),$V$2:$V$1001,0),1)&gt;=100000,INDEX($AC$1005:$AS$1005,1,MATCH(COLUMNS($AC$1006:AK1006),$AC$1006:$AS$1006,0))&gt;=100000), " ",IF(INDEX($AC$2:$AS$1001,MATCH(ROWS($V$2:V365),$V$2:$V$1001,0),MATCH(COLUMNS($AC$1006:AK1006),$AC$1006:$AS$1006,0)), HYPERLINK("#",""), HYPERLINK(CONCATENATE("#metadata!", ADDRESS(INDEX($X$2:$X$1001,MATCH(ROWS($V$2:V365),$V$2:$V$1001,0),0), INDEX($AC$1004:$AS$1004,1,MATCH(COLUMNS($AC$1006:AK1006),$AC$1006:$AS$1006,0)))),"Fix")))</f>
        <v xml:space="preserve"> </v>
      </c>
      <c r="K365" s="4" t="str">
        <f ca="1">IF(OR(INDEX($W$2:$W$1001,MATCH(ROWS($V$2:V365),$V$2:$V$1001,0),1)&gt;=100000,INDEX($AC$1005:$AS$1005,1,MATCH(COLUMNS($AC$1006:AL1006),$AC$1006:$AS$1006,0))&gt;=100000), " ",IF(INDEX($AC$2:$AS$1001,MATCH(ROWS($V$2:V365),$V$2:$V$1001,0),MATCH(COLUMNS($AC$1006:AL1006),$AC$1006:$AS$1006,0)), HYPERLINK("#",""), HYPERLINK(CONCATENATE("#metadata!", ADDRESS(INDEX($X$2:$X$1001,MATCH(ROWS($V$2:V365),$V$2:$V$1001,0),0), INDEX($AC$1004:$AS$1004,1,MATCH(COLUMNS($AC$1006:AL1006),$AC$1006:$AS$1006,0)))),"Fix")))</f>
        <v xml:space="preserve"> </v>
      </c>
      <c r="L365" s="4" t="str">
        <f ca="1">IF(OR(INDEX($W$2:$W$1001,MATCH(ROWS($V$2:V365),$V$2:$V$1001,0),1)&gt;=100000,INDEX($AC$1005:$AS$1005,1,MATCH(COLUMNS($AC$1006:AM1006),$AC$1006:$AS$1006,0))&gt;=100000), " ",IF(INDEX($AC$2:$AS$1001,MATCH(ROWS($V$2:V365),$V$2:$V$1001,0),MATCH(COLUMNS($AC$1006:AM1006),$AC$1006:$AS$1006,0)), HYPERLINK("#",""), HYPERLINK(CONCATENATE("#metadata!", ADDRESS(INDEX($X$2:$X$1001,MATCH(ROWS($V$2:V365),$V$2:$V$1001,0),0), INDEX($AC$1004:$AS$1004,1,MATCH(COLUMNS($AC$1006:AM1006),$AC$1006:$AS$1006,0)))),"Fix")))</f>
        <v xml:space="preserve"> </v>
      </c>
      <c r="M365" s="4" t="str">
        <f ca="1">IF(OR(INDEX($W$2:$W$1001,MATCH(ROWS($V$2:V365),$V$2:$V$1001,0),1)&gt;=100000,INDEX($AC$1005:$AS$1005,1,MATCH(COLUMNS($AC$1006:AN1006),$AC$1006:$AS$1006,0))&gt;=100000), " ",IF(INDEX($AC$2:$AS$1001,MATCH(ROWS($V$2:V365),$V$2:$V$1001,0),MATCH(COLUMNS($AC$1006:AN1006),$AC$1006:$AS$1006,0)), HYPERLINK("#",""), HYPERLINK(CONCATENATE("#metadata!", ADDRESS(INDEX($X$2:$X$1001,MATCH(ROWS($V$2:V365),$V$2:$V$1001,0),0), INDEX($AC$1004:$AS$1004,1,MATCH(COLUMNS($AC$1006:AN1006),$AC$1006:$AS$1006,0)))),"Fix")))</f>
        <v xml:space="preserve"> </v>
      </c>
      <c r="N365" s="4" t="str">
        <f ca="1">IF(OR(INDEX($W$2:$W$1001,MATCH(ROWS($V$2:V365),$V$2:$V$1001,0),1)&gt;=100000,INDEX($AC$1005:$AS$1005,1,MATCH(COLUMNS($AC$1006:AO1006),$AC$1006:$AS$1006,0))&gt;=100000), " ",IF(INDEX($AC$2:$AS$1001,MATCH(ROWS($V$2:V365),$V$2:$V$1001,0),MATCH(COLUMNS($AC$1006:AO1006),$AC$1006:$AS$1006,0)), HYPERLINK("#",""), HYPERLINK(CONCATENATE("#metadata!", ADDRESS(INDEX($X$2:$X$1001,MATCH(ROWS($V$2:V365),$V$2:$V$1001,0),0), INDEX($AC$1004:$AS$1004,1,MATCH(COLUMNS($AC$1006:AO1006),$AC$1006:$AS$1006,0)))),"Fix")))</f>
        <v xml:space="preserve"> </v>
      </c>
      <c r="O365" s="4" t="str">
        <f ca="1">IF(OR(INDEX($W$2:$W$1001,MATCH(ROWS($V$2:V365),$V$2:$V$1001,0),1)&gt;=100000,INDEX($AC$1005:$AS$1005,1,MATCH(COLUMNS($AC$1006:AP1006),$AC$1006:$AS$1006,0))&gt;=100000), " ",IF(INDEX($AC$2:$AS$1001,MATCH(ROWS($V$2:V365),$V$2:$V$1001,0),MATCH(COLUMNS($AC$1006:AP1006),$AC$1006:$AS$1006,0)), HYPERLINK("#",""), HYPERLINK(CONCATENATE("#metadata!", ADDRESS(INDEX($X$2:$X$1001,MATCH(ROWS($V$2:V365),$V$2:$V$1001,0),0), INDEX($AC$1004:$AS$1004,1,MATCH(COLUMNS($AC$1006:AP1006),$AC$1006:$AS$1006,0)))),"Fix")))</f>
        <v xml:space="preserve"> </v>
      </c>
      <c r="P365" s="4" t="str">
        <f ca="1">IF(OR(INDEX($W$2:$W$1001,MATCH(ROWS($V$2:V365),$V$2:$V$1001,0),1)&gt;=100000,INDEX($AC$1005:$AS$1005,1,MATCH(COLUMNS($AC$1006:AQ1006),$AC$1006:$AS$1006,0))&gt;=100000), " ",IF(INDEX($AC$2:$AS$1001,MATCH(ROWS($V$2:V365),$V$2:$V$1001,0),MATCH(COLUMNS($AC$1006:AQ1006),$AC$1006:$AS$1006,0)), HYPERLINK("#",""), HYPERLINK(CONCATENATE("#metadata!", ADDRESS(INDEX($X$2:$X$1001,MATCH(ROWS($V$2:V365),$V$2:$V$1001,0),0), INDEX($AC$1004:$AS$1004,1,MATCH(COLUMNS($AC$1006:AQ1006),$AC$1006:$AS$1006,0)))),"Fix")))</f>
        <v xml:space="preserve"> </v>
      </c>
      <c r="Q365" s="4" t="str">
        <f ca="1">IF(OR(INDEX($W$2:$W$1001,MATCH(ROWS($V$2:V365),$V$2:$V$1001,0),1)&gt;=100000,INDEX($AC$1005:$AS$1005,1,MATCH(COLUMNS($AC$1006:AR1006),$AC$1006:$AS$1006,0))&gt;=100000), " ",IF(INDEX($AC$2:$AS$1001,MATCH(ROWS($V$2:V365),$V$2:$V$1001,0),MATCH(COLUMNS($AC$1006:AR1006),$AC$1006:$AS$1006,0)), HYPERLINK("#",""), HYPERLINK(CONCATENATE("#metadata!", ADDRESS(INDEX($X$2:$X$1001,MATCH(ROWS($V$2:V365),$V$2:$V$1001,0),0), INDEX($AC$1004:$AS$1004,1,MATCH(COLUMNS($AC$1006:AR1006),$AC$1006:$AS$1006,0)))),"Fix")))</f>
        <v xml:space="preserve"> </v>
      </c>
      <c r="R365" s="4" t="str">
        <f ca="1">IF(OR(INDEX($W$2:$W$1001,MATCH(ROWS($V$2:V365),$V$2:$V$1001,0),1)&gt;=100000,INDEX($AC$1005:$AS$1005,1,MATCH(COLUMNS($AC$1006:AS1006),$AC$1006:$AS$1006,0))&gt;=100000), " ",IF(INDEX($AC$2:$AS$1001,MATCH(ROWS($V$2:V365),$V$2:$V$1001,0),MATCH(COLUMNS($AC$1006:AS1006),$AC$1006:$AS$1006,0)), HYPERLINK("#",""), HYPERLINK(CONCATENATE("#metadata!", ADDRESS(INDEX($X$2:$X$1001,MATCH(ROWS($V$2:V365),$V$2:$V$1001,0),0), INDEX($AC$1004:$AS$1004,1,MATCH(COLUMNS($AC$1006:AS1006),$AC$1006:$AS$1006,0)))),"Fix")))</f>
        <v xml:space="preserve"> </v>
      </c>
      <c r="V365">
        <v>364</v>
      </c>
      <c r="W365">
        <v>100365</v>
      </c>
      <c r="X365">
        <v>365</v>
      </c>
      <c r="Y365" t="b">
        <f t="shared" si="5"/>
        <v>1</v>
      </c>
      <c r="Z365" t="b">
        <f>COUNTBLANK(metadata!B365:R365)=COLUMNS(metadata!B365:R365)</f>
        <v>1</v>
      </c>
      <c r="AA365" t="str">
        <v/>
      </c>
      <c r="AC365" t="b">
        <f ca="1"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AD365" t="b">
        <f>IF(metadata!C365="",FALSE,ISNUMBER(VALUE(metadata!C365)))</f>
        <v>0</v>
      </c>
      <c r="AE365" t="b">
        <f>AND(IF(metadata!D365="",FALSE,TRUE),EXACT(metadata!D365,"years"))</f>
        <v>0</v>
      </c>
      <c r="AF365" t="b">
        <f>OR(AND(IF(metadata!E365="",FALSE,TRUE),OR(EXACT(metadata!E365,"not applicable"),EXACT(metadata!E365,"missing: not collected"),EXACT(metadata!E365,"missing: not provided"),EXACT(metadata!E365,"missing: restricted access"))),AND(IF(metadata!E365="",FALSE,ISNUMBER(VALUE(metadata!E365))),metadata!E365&gt;0))</f>
        <v>0</v>
      </c>
      <c r="AG365" t="b">
        <f>AND(IF(metadata!F365="",FALSE,TRUE),EXACT(metadata!F365,"Not applicable"))</f>
        <v>0</v>
      </c>
      <c r="AH365" t="b">
        <f>AND(IF(metadata!G365="",FALSE,TRUE),EXACT(metadata!G365,"urban biome"))</f>
        <v>0</v>
      </c>
      <c r="AI365" t="b">
        <f>AND(IF(metadata!H365="",FALSE,TRUE),EXACT(metadata!H365,"human-associated habitat"))</f>
        <v>0</v>
      </c>
      <c r="AJ365" t="b">
        <f>AND(IF(metadata!I365="",FALSE,TRUE),OR(EXACT(metadata!I365,"human-associated"),EXACT(metadata!I365,"human-skin"),EXACT(metadata!I365,"human-oral"),EXACT(metadata!I365,"human-gut"),EXACT(metadata!I365,"human-vaginal")))</f>
        <v>0</v>
      </c>
      <c r="AK365" t="b">
        <f>IF(metadata!J365="",FALSE,ISNUMBER(VALUE(metadata!J365)))</f>
        <v>0</v>
      </c>
      <c r="AL365" t="b">
        <f>AND(IF(metadata!K365="",FALSE,TRUE),EXACT(metadata!K365,"cm"))</f>
        <v>0</v>
      </c>
      <c r="AM365" t="b">
        <f>AND(IF(metadata!L365="",FALSE,TRUE),EXACT(metadata!L365,"human"))</f>
        <v>0</v>
      </c>
      <c r="AN365" t="b">
        <f>AND(IF(metadata!M365="",FALSE,TRUE),EXACT(metadata!M365,"Homo sapiens"))</f>
        <v>0</v>
      </c>
      <c r="AO365" t="b">
        <f>AND(IF(metadata!N365="",FALSE,TRUE),EXACT(metadata!N365,"9606"))</f>
        <v>0</v>
      </c>
      <c r="AP365" t="b">
        <f>IF(metadata!O365="",FALSE,TRUE)</f>
        <v>0</v>
      </c>
      <c r="AQ365" t="b">
        <f>IF(metadata!P365="",FALSE,TRUE)</f>
        <v>0</v>
      </c>
      <c r="AR365" t="b">
        <f>IF(metadata!Q365="",FALSE,ISNUMBER(VALUE(metadata!Q365)))</f>
        <v>0</v>
      </c>
      <c r="AS365" t="b">
        <f>AND(IF(metadata!R365="",FALSE,TRUE),EXACT(metadata!R365,"kg"))</f>
        <v>0</v>
      </c>
    </row>
    <row r="366" spans="1:45" x14ac:dyDescent="0.2">
      <c r="A366" s="5" t="str">
        <f ca="1">IF(B366=" "," ",HYPERLINK(CONCATENATE("#metadata!",ADDRESS(INDEX($X$2:$X$1001,MATCH(ROWS($V$2:V366),$V$2:$V$1001,0),0),1)),INDEX($AA$2:$AA$1001,MATCH(ROWS($V$2:V366),$V$2:$V$1001,0),0)))</f>
        <v xml:space="preserve"> </v>
      </c>
      <c r="B366" s="4" t="str">
        <f ca="1">IF(OR(INDEX($W$2:$W$1001,MATCH(ROWS($V$2:V366),$V$2:$V$1001,0),1)&gt;=100000,INDEX($AC$1005:$AS$1005,1,MATCH(COLUMNS($AC$1006:AC1006),$AC$1006:$AS$1006,0))&gt;=100000), " ",IF(INDEX($AC$2:$AS$1001,MATCH(ROWS($V$2:V366),$V$2:$V$1001,0),MATCH(COLUMNS($AC$1006:AC1006),$AC$1006:$AS$1006,0)), HYPERLINK("#",""), HYPERLINK(CONCATENATE("#metadata!", ADDRESS(INDEX($X$2:$X$1001,MATCH(ROWS($V$2:V366),$V$2:$V$1001,0),0), INDEX($AC$1004:$AS$1004,1,MATCH(COLUMNS($AC$1006:AC1006),$AC$1006:$AS$1006,0)))),"Fix")))</f>
        <v xml:space="preserve"> </v>
      </c>
      <c r="C366" s="4" t="str">
        <f ca="1">IF(OR(INDEX($W$2:$W$1001,MATCH(ROWS($V$2:V366),$V$2:$V$1001,0),1)&gt;=100000,INDEX($AC$1005:$AS$1005,1,MATCH(COLUMNS($AC$1006:AD1006),$AC$1006:$AS$1006,0))&gt;=100000), " ",IF(INDEX($AC$2:$AS$1001,MATCH(ROWS($V$2:V366),$V$2:$V$1001,0),MATCH(COLUMNS($AC$1006:AD1006),$AC$1006:$AS$1006,0)), HYPERLINK("#",""), HYPERLINK(CONCATENATE("#metadata!", ADDRESS(INDEX($X$2:$X$1001,MATCH(ROWS($V$2:V366),$V$2:$V$1001,0),0), INDEX($AC$1004:$AS$1004,1,MATCH(COLUMNS($AC$1006:AD1006),$AC$1006:$AS$1006,0)))),"Fix")))</f>
        <v xml:space="preserve"> </v>
      </c>
      <c r="D366" s="4" t="str">
        <f ca="1">IF(OR(INDEX($W$2:$W$1001,MATCH(ROWS($V$2:V366),$V$2:$V$1001,0),1)&gt;=100000,INDEX($AC$1005:$AS$1005,1,MATCH(COLUMNS($AC$1006:AE1006),$AC$1006:$AS$1006,0))&gt;=100000), " ",IF(INDEX($AC$2:$AS$1001,MATCH(ROWS($V$2:V366),$V$2:$V$1001,0),MATCH(COLUMNS($AC$1006:AE1006),$AC$1006:$AS$1006,0)), HYPERLINK("#",""), HYPERLINK(CONCATENATE("#metadata!", ADDRESS(INDEX($X$2:$X$1001,MATCH(ROWS($V$2:V366),$V$2:$V$1001,0),0), INDEX($AC$1004:$AS$1004,1,MATCH(COLUMNS($AC$1006:AE1006),$AC$1006:$AS$1006,0)))),"Fix")))</f>
        <v xml:space="preserve"> </v>
      </c>
      <c r="E366" s="4" t="str">
        <f ca="1">IF(OR(INDEX($W$2:$W$1001,MATCH(ROWS($V$2:V366),$V$2:$V$1001,0),1)&gt;=100000,INDEX($AC$1005:$AS$1005,1,MATCH(COLUMNS($AC$1006:AF1006),$AC$1006:$AS$1006,0))&gt;=100000), " ",IF(INDEX($AC$2:$AS$1001,MATCH(ROWS($V$2:V366),$V$2:$V$1001,0),MATCH(COLUMNS($AC$1006:AF1006),$AC$1006:$AS$1006,0)), HYPERLINK("#",""), HYPERLINK(CONCATENATE("#metadata!", ADDRESS(INDEX($X$2:$X$1001,MATCH(ROWS($V$2:V366),$V$2:$V$1001,0),0), INDEX($AC$1004:$AS$1004,1,MATCH(COLUMNS($AC$1006:AF1006),$AC$1006:$AS$1006,0)))),"Fix")))</f>
        <v xml:space="preserve"> </v>
      </c>
      <c r="F366" s="4" t="str">
        <f ca="1">IF(OR(INDEX($W$2:$W$1001,MATCH(ROWS($V$2:V366),$V$2:$V$1001,0),1)&gt;=100000,INDEX($AC$1005:$AS$1005,1,MATCH(COLUMNS($AC$1006:AG1006),$AC$1006:$AS$1006,0))&gt;=100000), " ",IF(INDEX($AC$2:$AS$1001,MATCH(ROWS($V$2:V366),$V$2:$V$1001,0),MATCH(COLUMNS($AC$1006:AG1006),$AC$1006:$AS$1006,0)), HYPERLINK("#",""), HYPERLINK(CONCATENATE("#metadata!", ADDRESS(INDEX($X$2:$X$1001,MATCH(ROWS($V$2:V366),$V$2:$V$1001,0),0), INDEX($AC$1004:$AS$1004,1,MATCH(COLUMNS($AC$1006:AG1006),$AC$1006:$AS$1006,0)))),"Fix")))</f>
        <v xml:space="preserve"> </v>
      </c>
      <c r="G366" s="4" t="str">
        <f ca="1">IF(OR(INDEX($W$2:$W$1001,MATCH(ROWS($V$2:V366),$V$2:$V$1001,0),1)&gt;=100000,INDEX($AC$1005:$AS$1005,1,MATCH(COLUMNS($AC$1006:AH1006),$AC$1006:$AS$1006,0))&gt;=100000), " ",IF(INDEX($AC$2:$AS$1001,MATCH(ROWS($V$2:V366),$V$2:$V$1001,0),MATCH(COLUMNS($AC$1006:AH1006),$AC$1006:$AS$1006,0)), HYPERLINK("#",""), HYPERLINK(CONCATENATE("#metadata!", ADDRESS(INDEX($X$2:$X$1001,MATCH(ROWS($V$2:V366),$V$2:$V$1001,0),0), INDEX($AC$1004:$AS$1004,1,MATCH(COLUMNS($AC$1006:AH1006),$AC$1006:$AS$1006,0)))),"Fix")))</f>
        <v xml:space="preserve"> </v>
      </c>
      <c r="H366" s="4" t="str">
        <f ca="1">IF(OR(INDEX($W$2:$W$1001,MATCH(ROWS($V$2:V366),$V$2:$V$1001,0),1)&gt;=100000,INDEX($AC$1005:$AS$1005,1,MATCH(COLUMNS($AC$1006:AI1006),$AC$1006:$AS$1006,0))&gt;=100000), " ",IF(INDEX($AC$2:$AS$1001,MATCH(ROWS($V$2:V366),$V$2:$V$1001,0),MATCH(COLUMNS($AC$1006:AI1006),$AC$1006:$AS$1006,0)), HYPERLINK("#",""), HYPERLINK(CONCATENATE("#metadata!", ADDRESS(INDEX($X$2:$X$1001,MATCH(ROWS($V$2:V366),$V$2:$V$1001,0),0), INDEX($AC$1004:$AS$1004,1,MATCH(COLUMNS($AC$1006:AI1006),$AC$1006:$AS$1006,0)))),"Fix")))</f>
        <v xml:space="preserve"> </v>
      </c>
      <c r="I366" s="4" t="str">
        <f ca="1">IF(OR(INDEX($W$2:$W$1001,MATCH(ROWS($V$2:V366),$V$2:$V$1001,0),1)&gt;=100000,INDEX($AC$1005:$AS$1005,1,MATCH(COLUMNS($AC$1006:AJ1006),$AC$1006:$AS$1006,0))&gt;=100000), " ",IF(INDEX($AC$2:$AS$1001,MATCH(ROWS($V$2:V366),$V$2:$V$1001,0),MATCH(COLUMNS($AC$1006:AJ1006),$AC$1006:$AS$1006,0)), HYPERLINK("#",""), HYPERLINK(CONCATENATE("#metadata!", ADDRESS(INDEX($X$2:$X$1001,MATCH(ROWS($V$2:V366),$V$2:$V$1001,0),0), INDEX($AC$1004:$AS$1004,1,MATCH(COLUMNS($AC$1006:AJ1006),$AC$1006:$AS$1006,0)))),"Fix")))</f>
        <v xml:space="preserve"> </v>
      </c>
      <c r="J366" s="4" t="str">
        <f ca="1">IF(OR(INDEX($W$2:$W$1001,MATCH(ROWS($V$2:V366),$V$2:$V$1001,0),1)&gt;=100000,INDEX($AC$1005:$AS$1005,1,MATCH(COLUMNS($AC$1006:AK1006),$AC$1006:$AS$1006,0))&gt;=100000), " ",IF(INDEX($AC$2:$AS$1001,MATCH(ROWS($V$2:V366),$V$2:$V$1001,0),MATCH(COLUMNS($AC$1006:AK1006),$AC$1006:$AS$1006,0)), HYPERLINK("#",""), HYPERLINK(CONCATENATE("#metadata!", ADDRESS(INDEX($X$2:$X$1001,MATCH(ROWS($V$2:V366),$V$2:$V$1001,0),0), INDEX($AC$1004:$AS$1004,1,MATCH(COLUMNS($AC$1006:AK1006),$AC$1006:$AS$1006,0)))),"Fix")))</f>
        <v xml:space="preserve"> </v>
      </c>
      <c r="K366" s="4" t="str">
        <f ca="1">IF(OR(INDEX($W$2:$W$1001,MATCH(ROWS($V$2:V366),$V$2:$V$1001,0),1)&gt;=100000,INDEX($AC$1005:$AS$1005,1,MATCH(COLUMNS($AC$1006:AL1006),$AC$1006:$AS$1006,0))&gt;=100000), " ",IF(INDEX($AC$2:$AS$1001,MATCH(ROWS($V$2:V366),$V$2:$V$1001,0),MATCH(COLUMNS($AC$1006:AL1006),$AC$1006:$AS$1006,0)), HYPERLINK("#",""), HYPERLINK(CONCATENATE("#metadata!", ADDRESS(INDEX($X$2:$X$1001,MATCH(ROWS($V$2:V366),$V$2:$V$1001,0),0), INDEX($AC$1004:$AS$1004,1,MATCH(COLUMNS($AC$1006:AL1006),$AC$1006:$AS$1006,0)))),"Fix")))</f>
        <v xml:space="preserve"> </v>
      </c>
      <c r="L366" s="4" t="str">
        <f ca="1">IF(OR(INDEX($W$2:$W$1001,MATCH(ROWS($V$2:V366),$V$2:$V$1001,0),1)&gt;=100000,INDEX($AC$1005:$AS$1005,1,MATCH(COLUMNS($AC$1006:AM1006),$AC$1006:$AS$1006,0))&gt;=100000), " ",IF(INDEX($AC$2:$AS$1001,MATCH(ROWS($V$2:V366),$V$2:$V$1001,0),MATCH(COLUMNS($AC$1006:AM1006),$AC$1006:$AS$1006,0)), HYPERLINK("#",""), HYPERLINK(CONCATENATE("#metadata!", ADDRESS(INDEX($X$2:$X$1001,MATCH(ROWS($V$2:V366),$V$2:$V$1001,0),0), INDEX($AC$1004:$AS$1004,1,MATCH(COLUMNS($AC$1006:AM1006),$AC$1006:$AS$1006,0)))),"Fix")))</f>
        <v xml:space="preserve"> </v>
      </c>
      <c r="M366" s="4" t="str">
        <f ca="1">IF(OR(INDEX($W$2:$W$1001,MATCH(ROWS($V$2:V366),$V$2:$V$1001,0),1)&gt;=100000,INDEX($AC$1005:$AS$1005,1,MATCH(COLUMNS($AC$1006:AN1006),$AC$1006:$AS$1006,0))&gt;=100000), " ",IF(INDEX($AC$2:$AS$1001,MATCH(ROWS($V$2:V366),$V$2:$V$1001,0),MATCH(COLUMNS($AC$1006:AN1006),$AC$1006:$AS$1006,0)), HYPERLINK("#",""), HYPERLINK(CONCATENATE("#metadata!", ADDRESS(INDEX($X$2:$X$1001,MATCH(ROWS($V$2:V366),$V$2:$V$1001,0),0), INDEX($AC$1004:$AS$1004,1,MATCH(COLUMNS($AC$1006:AN1006),$AC$1006:$AS$1006,0)))),"Fix")))</f>
        <v xml:space="preserve"> </v>
      </c>
      <c r="N366" s="4" t="str">
        <f ca="1">IF(OR(INDEX($W$2:$W$1001,MATCH(ROWS($V$2:V366),$V$2:$V$1001,0),1)&gt;=100000,INDEX($AC$1005:$AS$1005,1,MATCH(COLUMNS($AC$1006:AO1006),$AC$1006:$AS$1006,0))&gt;=100000), " ",IF(INDEX($AC$2:$AS$1001,MATCH(ROWS($V$2:V366),$V$2:$V$1001,0),MATCH(COLUMNS($AC$1006:AO1006),$AC$1006:$AS$1006,0)), HYPERLINK("#",""), HYPERLINK(CONCATENATE("#metadata!", ADDRESS(INDEX($X$2:$X$1001,MATCH(ROWS($V$2:V366),$V$2:$V$1001,0),0), INDEX($AC$1004:$AS$1004,1,MATCH(COLUMNS($AC$1006:AO1006),$AC$1006:$AS$1006,0)))),"Fix")))</f>
        <v xml:space="preserve"> </v>
      </c>
      <c r="O366" s="4" t="str">
        <f ca="1">IF(OR(INDEX($W$2:$W$1001,MATCH(ROWS($V$2:V366),$V$2:$V$1001,0),1)&gt;=100000,INDEX($AC$1005:$AS$1005,1,MATCH(COLUMNS($AC$1006:AP1006),$AC$1006:$AS$1006,0))&gt;=100000), " ",IF(INDEX($AC$2:$AS$1001,MATCH(ROWS($V$2:V366),$V$2:$V$1001,0),MATCH(COLUMNS($AC$1006:AP1006),$AC$1006:$AS$1006,0)), HYPERLINK("#",""), HYPERLINK(CONCATENATE("#metadata!", ADDRESS(INDEX($X$2:$X$1001,MATCH(ROWS($V$2:V366),$V$2:$V$1001,0),0), INDEX($AC$1004:$AS$1004,1,MATCH(COLUMNS($AC$1006:AP1006),$AC$1006:$AS$1006,0)))),"Fix")))</f>
        <v xml:space="preserve"> </v>
      </c>
      <c r="P366" s="4" t="str">
        <f ca="1">IF(OR(INDEX($W$2:$W$1001,MATCH(ROWS($V$2:V366),$V$2:$V$1001,0),1)&gt;=100000,INDEX($AC$1005:$AS$1005,1,MATCH(COLUMNS($AC$1006:AQ1006),$AC$1006:$AS$1006,0))&gt;=100000), " ",IF(INDEX($AC$2:$AS$1001,MATCH(ROWS($V$2:V366),$V$2:$V$1001,0),MATCH(COLUMNS($AC$1006:AQ1006),$AC$1006:$AS$1006,0)), HYPERLINK("#",""), HYPERLINK(CONCATENATE("#metadata!", ADDRESS(INDEX($X$2:$X$1001,MATCH(ROWS($V$2:V366),$V$2:$V$1001,0),0), INDEX($AC$1004:$AS$1004,1,MATCH(COLUMNS($AC$1006:AQ1006),$AC$1006:$AS$1006,0)))),"Fix")))</f>
        <v xml:space="preserve"> </v>
      </c>
      <c r="Q366" s="4" t="str">
        <f ca="1">IF(OR(INDEX($W$2:$W$1001,MATCH(ROWS($V$2:V366),$V$2:$V$1001,0),1)&gt;=100000,INDEX($AC$1005:$AS$1005,1,MATCH(COLUMNS($AC$1006:AR1006),$AC$1006:$AS$1006,0))&gt;=100000), " ",IF(INDEX($AC$2:$AS$1001,MATCH(ROWS($V$2:V366),$V$2:$V$1001,0),MATCH(COLUMNS($AC$1006:AR1006),$AC$1006:$AS$1006,0)), HYPERLINK("#",""), HYPERLINK(CONCATENATE("#metadata!", ADDRESS(INDEX($X$2:$X$1001,MATCH(ROWS($V$2:V366),$V$2:$V$1001,0),0), INDEX($AC$1004:$AS$1004,1,MATCH(COLUMNS($AC$1006:AR1006),$AC$1006:$AS$1006,0)))),"Fix")))</f>
        <v xml:space="preserve"> </v>
      </c>
      <c r="R366" s="4" t="str">
        <f ca="1">IF(OR(INDEX($W$2:$W$1001,MATCH(ROWS($V$2:V366),$V$2:$V$1001,0),1)&gt;=100000,INDEX($AC$1005:$AS$1005,1,MATCH(COLUMNS($AC$1006:AS1006),$AC$1006:$AS$1006,0))&gt;=100000), " ",IF(INDEX($AC$2:$AS$1001,MATCH(ROWS($V$2:V366),$V$2:$V$1001,0),MATCH(COLUMNS($AC$1006:AS1006),$AC$1006:$AS$1006,0)), HYPERLINK("#",""), HYPERLINK(CONCATENATE("#metadata!", ADDRESS(INDEX($X$2:$X$1001,MATCH(ROWS($V$2:V366),$V$2:$V$1001,0),0), INDEX($AC$1004:$AS$1004,1,MATCH(COLUMNS($AC$1006:AS1006),$AC$1006:$AS$1006,0)))),"Fix")))</f>
        <v xml:space="preserve"> </v>
      </c>
      <c r="V366">
        <v>365</v>
      </c>
      <c r="W366">
        <v>100366</v>
      </c>
      <c r="X366">
        <v>366</v>
      </c>
      <c r="Y366" t="b">
        <f t="shared" si="5"/>
        <v>1</v>
      </c>
      <c r="Z366" t="b">
        <f>COUNTBLANK(metadata!B366:R366)=COLUMNS(metadata!B366:R366)</f>
        <v>1</v>
      </c>
      <c r="AA366" t="str">
        <v/>
      </c>
      <c r="AC366" t="b">
        <f ca="1"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AD366" t="b">
        <f>IF(metadata!C366="",FALSE,ISNUMBER(VALUE(metadata!C366)))</f>
        <v>0</v>
      </c>
      <c r="AE366" t="b">
        <f>AND(IF(metadata!D366="",FALSE,TRUE),EXACT(metadata!D366,"years"))</f>
        <v>0</v>
      </c>
      <c r="AF366" t="b">
        <f>OR(AND(IF(metadata!E366="",FALSE,TRUE),OR(EXACT(metadata!E366,"not applicable"),EXACT(metadata!E366,"missing: not collected"),EXACT(metadata!E366,"missing: not provided"),EXACT(metadata!E366,"missing: restricted access"))),AND(IF(metadata!E366="",FALSE,ISNUMBER(VALUE(metadata!E366))),metadata!E366&gt;0))</f>
        <v>0</v>
      </c>
      <c r="AG366" t="b">
        <f>AND(IF(metadata!F366="",FALSE,TRUE),EXACT(metadata!F366,"Not applicable"))</f>
        <v>0</v>
      </c>
      <c r="AH366" t="b">
        <f>AND(IF(metadata!G366="",FALSE,TRUE),EXACT(metadata!G366,"urban biome"))</f>
        <v>0</v>
      </c>
      <c r="AI366" t="b">
        <f>AND(IF(metadata!H366="",FALSE,TRUE),EXACT(metadata!H366,"human-associated habitat"))</f>
        <v>0</v>
      </c>
      <c r="AJ366" t="b">
        <f>AND(IF(metadata!I366="",FALSE,TRUE),OR(EXACT(metadata!I366,"human-associated"),EXACT(metadata!I366,"human-skin"),EXACT(metadata!I366,"human-oral"),EXACT(metadata!I366,"human-gut"),EXACT(metadata!I366,"human-vaginal")))</f>
        <v>0</v>
      </c>
      <c r="AK366" t="b">
        <f>IF(metadata!J366="",FALSE,ISNUMBER(VALUE(metadata!J366)))</f>
        <v>0</v>
      </c>
      <c r="AL366" t="b">
        <f>AND(IF(metadata!K366="",FALSE,TRUE),EXACT(metadata!K366,"cm"))</f>
        <v>0</v>
      </c>
      <c r="AM366" t="b">
        <f>AND(IF(metadata!L366="",FALSE,TRUE),EXACT(metadata!L366,"human"))</f>
        <v>0</v>
      </c>
      <c r="AN366" t="b">
        <f>AND(IF(metadata!M366="",FALSE,TRUE),EXACT(metadata!M366,"Homo sapiens"))</f>
        <v>0</v>
      </c>
      <c r="AO366" t="b">
        <f>AND(IF(metadata!N366="",FALSE,TRUE),EXACT(metadata!N366,"9606"))</f>
        <v>0</v>
      </c>
      <c r="AP366" t="b">
        <f>IF(metadata!O366="",FALSE,TRUE)</f>
        <v>0</v>
      </c>
      <c r="AQ366" t="b">
        <f>IF(metadata!P366="",FALSE,TRUE)</f>
        <v>0</v>
      </c>
      <c r="AR366" t="b">
        <f>IF(metadata!Q366="",FALSE,ISNUMBER(VALUE(metadata!Q366)))</f>
        <v>0</v>
      </c>
      <c r="AS366" t="b">
        <f>AND(IF(metadata!R366="",FALSE,TRUE),EXACT(metadata!R366,"kg"))</f>
        <v>0</v>
      </c>
    </row>
    <row r="367" spans="1:45" x14ac:dyDescent="0.2">
      <c r="A367" s="5" t="str">
        <f ca="1">IF(B367=" "," ",HYPERLINK(CONCATENATE("#metadata!",ADDRESS(INDEX($X$2:$X$1001,MATCH(ROWS($V$2:V367),$V$2:$V$1001,0),0),1)),INDEX($AA$2:$AA$1001,MATCH(ROWS($V$2:V367),$V$2:$V$1001,0),0)))</f>
        <v xml:space="preserve"> </v>
      </c>
      <c r="B367" s="4" t="str">
        <f ca="1">IF(OR(INDEX($W$2:$W$1001,MATCH(ROWS($V$2:V367),$V$2:$V$1001,0),1)&gt;=100000,INDEX($AC$1005:$AS$1005,1,MATCH(COLUMNS($AC$1006:AC1006),$AC$1006:$AS$1006,0))&gt;=100000), " ",IF(INDEX($AC$2:$AS$1001,MATCH(ROWS($V$2:V367),$V$2:$V$1001,0),MATCH(COLUMNS($AC$1006:AC1006),$AC$1006:$AS$1006,0)), HYPERLINK("#",""), HYPERLINK(CONCATENATE("#metadata!", ADDRESS(INDEX($X$2:$X$1001,MATCH(ROWS($V$2:V367),$V$2:$V$1001,0),0), INDEX($AC$1004:$AS$1004,1,MATCH(COLUMNS($AC$1006:AC1006),$AC$1006:$AS$1006,0)))),"Fix")))</f>
        <v xml:space="preserve"> </v>
      </c>
      <c r="C367" s="4" t="str">
        <f ca="1">IF(OR(INDEX($W$2:$W$1001,MATCH(ROWS($V$2:V367),$V$2:$V$1001,0),1)&gt;=100000,INDEX($AC$1005:$AS$1005,1,MATCH(COLUMNS($AC$1006:AD1006),$AC$1006:$AS$1006,0))&gt;=100000), " ",IF(INDEX($AC$2:$AS$1001,MATCH(ROWS($V$2:V367),$V$2:$V$1001,0),MATCH(COLUMNS($AC$1006:AD1006),$AC$1006:$AS$1006,0)), HYPERLINK("#",""), HYPERLINK(CONCATENATE("#metadata!", ADDRESS(INDEX($X$2:$X$1001,MATCH(ROWS($V$2:V367),$V$2:$V$1001,0),0), INDEX($AC$1004:$AS$1004,1,MATCH(COLUMNS($AC$1006:AD1006),$AC$1006:$AS$1006,0)))),"Fix")))</f>
        <v xml:space="preserve"> </v>
      </c>
      <c r="D367" s="4" t="str">
        <f ca="1">IF(OR(INDEX($W$2:$W$1001,MATCH(ROWS($V$2:V367),$V$2:$V$1001,0),1)&gt;=100000,INDEX($AC$1005:$AS$1005,1,MATCH(COLUMNS($AC$1006:AE1006),$AC$1006:$AS$1006,0))&gt;=100000), " ",IF(INDEX($AC$2:$AS$1001,MATCH(ROWS($V$2:V367),$V$2:$V$1001,0),MATCH(COLUMNS($AC$1006:AE1006),$AC$1006:$AS$1006,0)), HYPERLINK("#",""), HYPERLINK(CONCATENATE("#metadata!", ADDRESS(INDEX($X$2:$X$1001,MATCH(ROWS($V$2:V367),$V$2:$V$1001,0),0), INDEX($AC$1004:$AS$1004,1,MATCH(COLUMNS($AC$1006:AE1006),$AC$1006:$AS$1006,0)))),"Fix")))</f>
        <v xml:space="preserve"> </v>
      </c>
      <c r="E367" s="4" t="str">
        <f ca="1">IF(OR(INDEX($W$2:$W$1001,MATCH(ROWS($V$2:V367),$V$2:$V$1001,0),1)&gt;=100000,INDEX($AC$1005:$AS$1005,1,MATCH(COLUMNS($AC$1006:AF1006),$AC$1006:$AS$1006,0))&gt;=100000), " ",IF(INDEX($AC$2:$AS$1001,MATCH(ROWS($V$2:V367),$V$2:$V$1001,0),MATCH(COLUMNS($AC$1006:AF1006),$AC$1006:$AS$1006,0)), HYPERLINK("#",""), HYPERLINK(CONCATENATE("#metadata!", ADDRESS(INDEX($X$2:$X$1001,MATCH(ROWS($V$2:V367),$V$2:$V$1001,0),0), INDEX($AC$1004:$AS$1004,1,MATCH(COLUMNS($AC$1006:AF1006),$AC$1006:$AS$1006,0)))),"Fix")))</f>
        <v xml:space="preserve"> </v>
      </c>
      <c r="F367" s="4" t="str">
        <f ca="1">IF(OR(INDEX($W$2:$W$1001,MATCH(ROWS($V$2:V367),$V$2:$V$1001,0),1)&gt;=100000,INDEX($AC$1005:$AS$1005,1,MATCH(COLUMNS($AC$1006:AG1006),$AC$1006:$AS$1006,0))&gt;=100000), " ",IF(INDEX($AC$2:$AS$1001,MATCH(ROWS($V$2:V367),$V$2:$V$1001,0),MATCH(COLUMNS($AC$1006:AG1006),$AC$1006:$AS$1006,0)), HYPERLINK("#",""), HYPERLINK(CONCATENATE("#metadata!", ADDRESS(INDEX($X$2:$X$1001,MATCH(ROWS($V$2:V367),$V$2:$V$1001,0),0), INDEX($AC$1004:$AS$1004,1,MATCH(COLUMNS($AC$1006:AG1006),$AC$1006:$AS$1006,0)))),"Fix")))</f>
        <v xml:space="preserve"> </v>
      </c>
      <c r="G367" s="4" t="str">
        <f ca="1">IF(OR(INDEX($W$2:$W$1001,MATCH(ROWS($V$2:V367),$V$2:$V$1001,0),1)&gt;=100000,INDEX($AC$1005:$AS$1005,1,MATCH(COLUMNS($AC$1006:AH1006),$AC$1006:$AS$1006,0))&gt;=100000), " ",IF(INDEX($AC$2:$AS$1001,MATCH(ROWS($V$2:V367),$V$2:$V$1001,0),MATCH(COLUMNS($AC$1006:AH1006),$AC$1006:$AS$1006,0)), HYPERLINK("#",""), HYPERLINK(CONCATENATE("#metadata!", ADDRESS(INDEX($X$2:$X$1001,MATCH(ROWS($V$2:V367),$V$2:$V$1001,0),0), INDEX($AC$1004:$AS$1004,1,MATCH(COLUMNS($AC$1006:AH1006),$AC$1006:$AS$1006,0)))),"Fix")))</f>
        <v xml:space="preserve"> </v>
      </c>
      <c r="H367" s="4" t="str">
        <f ca="1">IF(OR(INDEX($W$2:$W$1001,MATCH(ROWS($V$2:V367),$V$2:$V$1001,0),1)&gt;=100000,INDEX($AC$1005:$AS$1005,1,MATCH(COLUMNS($AC$1006:AI1006),$AC$1006:$AS$1006,0))&gt;=100000), " ",IF(INDEX($AC$2:$AS$1001,MATCH(ROWS($V$2:V367),$V$2:$V$1001,0),MATCH(COLUMNS($AC$1006:AI1006),$AC$1006:$AS$1006,0)), HYPERLINK("#",""), HYPERLINK(CONCATENATE("#metadata!", ADDRESS(INDEX($X$2:$X$1001,MATCH(ROWS($V$2:V367),$V$2:$V$1001,0),0), INDEX($AC$1004:$AS$1004,1,MATCH(COLUMNS($AC$1006:AI1006),$AC$1006:$AS$1006,0)))),"Fix")))</f>
        <v xml:space="preserve"> </v>
      </c>
      <c r="I367" s="4" t="str">
        <f ca="1">IF(OR(INDEX($W$2:$W$1001,MATCH(ROWS($V$2:V367),$V$2:$V$1001,0),1)&gt;=100000,INDEX($AC$1005:$AS$1005,1,MATCH(COLUMNS($AC$1006:AJ1006),$AC$1006:$AS$1006,0))&gt;=100000), " ",IF(INDEX($AC$2:$AS$1001,MATCH(ROWS($V$2:V367),$V$2:$V$1001,0),MATCH(COLUMNS($AC$1006:AJ1006),$AC$1006:$AS$1006,0)), HYPERLINK("#",""), HYPERLINK(CONCATENATE("#metadata!", ADDRESS(INDEX($X$2:$X$1001,MATCH(ROWS($V$2:V367),$V$2:$V$1001,0),0), INDEX($AC$1004:$AS$1004,1,MATCH(COLUMNS($AC$1006:AJ1006),$AC$1006:$AS$1006,0)))),"Fix")))</f>
        <v xml:space="preserve"> </v>
      </c>
      <c r="J367" s="4" t="str">
        <f ca="1">IF(OR(INDEX($W$2:$W$1001,MATCH(ROWS($V$2:V367),$V$2:$V$1001,0),1)&gt;=100000,INDEX($AC$1005:$AS$1005,1,MATCH(COLUMNS($AC$1006:AK1006),$AC$1006:$AS$1006,0))&gt;=100000), " ",IF(INDEX($AC$2:$AS$1001,MATCH(ROWS($V$2:V367),$V$2:$V$1001,0),MATCH(COLUMNS($AC$1006:AK1006),$AC$1006:$AS$1006,0)), HYPERLINK("#",""), HYPERLINK(CONCATENATE("#metadata!", ADDRESS(INDEX($X$2:$X$1001,MATCH(ROWS($V$2:V367),$V$2:$V$1001,0),0), INDEX($AC$1004:$AS$1004,1,MATCH(COLUMNS($AC$1006:AK1006),$AC$1006:$AS$1006,0)))),"Fix")))</f>
        <v xml:space="preserve"> </v>
      </c>
      <c r="K367" s="4" t="str">
        <f ca="1">IF(OR(INDEX($W$2:$W$1001,MATCH(ROWS($V$2:V367),$V$2:$V$1001,0),1)&gt;=100000,INDEX($AC$1005:$AS$1005,1,MATCH(COLUMNS($AC$1006:AL1006),$AC$1006:$AS$1006,0))&gt;=100000), " ",IF(INDEX($AC$2:$AS$1001,MATCH(ROWS($V$2:V367),$V$2:$V$1001,0),MATCH(COLUMNS($AC$1006:AL1006),$AC$1006:$AS$1006,0)), HYPERLINK("#",""), HYPERLINK(CONCATENATE("#metadata!", ADDRESS(INDEX($X$2:$X$1001,MATCH(ROWS($V$2:V367),$V$2:$V$1001,0),0), INDEX($AC$1004:$AS$1004,1,MATCH(COLUMNS($AC$1006:AL1006),$AC$1006:$AS$1006,0)))),"Fix")))</f>
        <v xml:space="preserve"> </v>
      </c>
      <c r="L367" s="4" t="str">
        <f ca="1">IF(OR(INDEX($W$2:$W$1001,MATCH(ROWS($V$2:V367),$V$2:$V$1001,0),1)&gt;=100000,INDEX($AC$1005:$AS$1005,1,MATCH(COLUMNS($AC$1006:AM1006),$AC$1006:$AS$1006,0))&gt;=100000), " ",IF(INDEX($AC$2:$AS$1001,MATCH(ROWS($V$2:V367),$V$2:$V$1001,0),MATCH(COLUMNS($AC$1006:AM1006),$AC$1006:$AS$1006,0)), HYPERLINK("#",""), HYPERLINK(CONCATENATE("#metadata!", ADDRESS(INDEX($X$2:$X$1001,MATCH(ROWS($V$2:V367),$V$2:$V$1001,0),0), INDEX($AC$1004:$AS$1004,1,MATCH(COLUMNS($AC$1006:AM1006),$AC$1006:$AS$1006,0)))),"Fix")))</f>
        <v xml:space="preserve"> </v>
      </c>
      <c r="M367" s="4" t="str">
        <f ca="1">IF(OR(INDEX($W$2:$W$1001,MATCH(ROWS($V$2:V367),$V$2:$V$1001,0),1)&gt;=100000,INDEX($AC$1005:$AS$1005,1,MATCH(COLUMNS($AC$1006:AN1006),$AC$1006:$AS$1006,0))&gt;=100000), " ",IF(INDEX($AC$2:$AS$1001,MATCH(ROWS($V$2:V367),$V$2:$V$1001,0),MATCH(COLUMNS($AC$1006:AN1006),$AC$1006:$AS$1006,0)), HYPERLINK("#",""), HYPERLINK(CONCATENATE("#metadata!", ADDRESS(INDEX($X$2:$X$1001,MATCH(ROWS($V$2:V367),$V$2:$V$1001,0),0), INDEX($AC$1004:$AS$1004,1,MATCH(COLUMNS($AC$1006:AN1006),$AC$1006:$AS$1006,0)))),"Fix")))</f>
        <v xml:space="preserve"> </v>
      </c>
      <c r="N367" s="4" t="str">
        <f ca="1">IF(OR(INDEX($W$2:$W$1001,MATCH(ROWS($V$2:V367),$V$2:$V$1001,0),1)&gt;=100000,INDEX($AC$1005:$AS$1005,1,MATCH(COLUMNS($AC$1006:AO1006),$AC$1006:$AS$1006,0))&gt;=100000), " ",IF(INDEX($AC$2:$AS$1001,MATCH(ROWS($V$2:V367),$V$2:$V$1001,0),MATCH(COLUMNS($AC$1006:AO1006),$AC$1006:$AS$1006,0)), HYPERLINK("#",""), HYPERLINK(CONCATENATE("#metadata!", ADDRESS(INDEX($X$2:$X$1001,MATCH(ROWS($V$2:V367),$V$2:$V$1001,0),0), INDEX($AC$1004:$AS$1004,1,MATCH(COLUMNS($AC$1006:AO1006),$AC$1006:$AS$1006,0)))),"Fix")))</f>
        <v xml:space="preserve"> </v>
      </c>
      <c r="O367" s="4" t="str">
        <f ca="1">IF(OR(INDEX($W$2:$W$1001,MATCH(ROWS($V$2:V367),$V$2:$V$1001,0),1)&gt;=100000,INDEX($AC$1005:$AS$1005,1,MATCH(COLUMNS($AC$1006:AP1006),$AC$1006:$AS$1006,0))&gt;=100000), " ",IF(INDEX($AC$2:$AS$1001,MATCH(ROWS($V$2:V367),$V$2:$V$1001,0),MATCH(COLUMNS($AC$1006:AP1006),$AC$1006:$AS$1006,0)), HYPERLINK("#",""), HYPERLINK(CONCATENATE("#metadata!", ADDRESS(INDEX($X$2:$X$1001,MATCH(ROWS($V$2:V367),$V$2:$V$1001,0),0), INDEX($AC$1004:$AS$1004,1,MATCH(COLUMNS($AC$1006:AP1006),$AC$1006:$AS$1006,0)))),"Fix")))</f>
        <v xml:space="preserve"> </v>
      </c>
      <c r="P367" s="4" t="str">
        <f ca="1">IF(OR(INDEX($W$2:$W$1001,MATCH(ROWS($V$2:V367),$V$2:$V$1001,0),1)&gt;=100000,INDEX($AC$1005:$AS$1005,1,MATCH(COLUMNS($AC$1006:AQ1006),$AC$1006:$AS$1006,0))&gt;=100000), " ",IF(INDEX($AC$2:$AS$1001,MATCH(ROWS($V$2:V367),$V$2:$V$1001,0),MATCH(COLUMNS($AC$1006:AQ1006),$AC$1006:$AS$1006,0)), HYPERLINK("#",""), HYPERLINK(CONCATENATE("#metadata!", ADDRESS(INDEX($X$2:$X$1001,MATCH(ROWS($V$2:V367),$V$2:$V$1001,0),0), INDEX($AC$1004:$AS$1004,1,MATCH(COLUMNS($AC$1006:AQ1006),$AC$1006:$AS$1006,0)))),"Fix")))</f>
        <v xml:space="preserve"> </v>
      </c>
      <c r="Q367" s="4" t="str">
        <f ca="1">IF(OR(INDEX($W$2:$W$1001,MATCH(ROWS($V$2:V367),$V$2:$V$1001,0),1)&gt;=100000,INDEX($AC$1005:$AS$1005,1,MATCH(COLUMNS($AC$1006:AR1006),$AC$1006:$AS$1006,0))&gt;=100000), " ",IF(INDEX($AC$2:$AS$1001,MATCH(ROWS($V$2:V367),$V$2:$V$1001,0),MATCH(COLUMNS($AC$1006:AR1006),$AC$1006:$AS$1006,0)), HYPERLINK("#",""), HYPERLINK(CONCATENATE("#metadata!", ADDRESS(INDEX($X$2:$X$1001,MATCH(ROWS($V$2:V367),$V$2:$V$1001,0),0), INDEX($AC$1004:$AS$1004,1,MATCH(COLUMNS($AC$1006:AR1006),$AC$1006:$AS$1006,0)))),"Fix")))</f>
        <v xml:space="preserve"> </v>
      </c>
      <c r="R367" s="4" t="str">
        <f ca="1">IF(OR(INDEX($W$2:$W$1001,MATCH(ROWS($V$2:V367),$V$2:$V$1001,0),1)&gt;=100000,INDEX($AC$1005:$AS$1005,1,MATCH(COLUMNS($AC$1006:AS1006),$AC$1006:$AS$1006,0))&gt;=100000), " ",IF(INDEX($AC$2:$AS$1001,MATCH(ROWS($V$2:V367),$V$2:$V$1001,0),MATCH(COLUMNS($AC$1006:AS1006),$AC$1006:$AS$1006,0)), HYPERLINK("#",""), HYPERLINK(CONCATENATE("#metadata!", ADDRESS(INDEX($X$2:$X$1001,MATCH(ROWS($V$2:V367),$V$2:$V$1001,0),0), INDEX($AC$1004:$AS$1004,1,MATCH(COLUMNS($AC$1006:AS1006),$AC$1006:$AS$1006,0)))),"Fix")))</f>
        <v xml:space="preserve"> </v>
      </c>
      <c r="V367">
        <v>366</v>
      </c>
      <c r="W367">
        <v>100367</v>
      </c>
      <c r="X367">
        <v>367</v>
      </c>
      <c r="Y367" t="b">
        <f t="shared" si="5"/>
        <v>1</v>
      </c>
      <c r="Z367" t="b">
        <f>COUNTBLANK(metadata!B367:R367)=COLUMNS(metadata!B367:R367)</f>
        <v>1</v>
      </c>
      <c r="AA367" t="str">
        <v/>
      </c>
      <c r="AC367" t="b">
        <f ca="1"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AD367" t="b">
        <f>IF(metadata!C367="",FALSE,ISNUMBER(VALUE(metadata!C367)))</f>
        <v>0</v>
      </c>
      <c r="AE367" t="b">
        <f>AND(IF(metadata!D367="",FALSE,TRUE),EXACT(metadata!D367,"years"))</f>
        <v>0</v>
      </c>
      <c r="AF367" t="b">
        <f>OR(AND(IF(metadata!E367="",FALSE,TRUE),OR(EXACT(metadata!E367,"not applicable"),EXACT(metadata!E367,"missing: not collected"),EXACT(metadata!E367,"missing: not provided"),EXACT(metadata!E367,"missing: restricted access"))),AND(IF(metadata!E367="",FALSE,ISNUMBER(VALUE(metadata!E367))),metadata!E367&gt;0))</f>
        <v>0</v>
      </c>
      <c r="AG367" t="b">
        <f>AND(IF(metadata!F367="",FALSE,TRUE),EXACT(metadata!F367,"Not applicable"))</f>
        <v>0</v>
      </c>
      <c r="AH367" t="b">
        <f>AND(IF(metadata!G367="",FALSE,TRUE),EXACT(metadata!G367,"urban biome"))</f>
        <v>0</v>
      </c>
      <c r="AI367" t="b">
        <f>AND(IF(metadata!H367="",FALSE,TRUE),EXACT(metadata!H367,"human-associated habitat"))</f>
        <v>0</v>
      </c>
      <c r="AJ367" t="b">
        <f>AND(IF(metadata!I367="",FALSE,TRUE),OR(EXACT(metadata!I367,"human-associated"),EXACT(metadata!I367,"human-skin"),EXACT(metadata!I367,"human-oral"),EXACT(metadata!I367,"human-gut"),EXACT(metadata!I367,"human-vaginal")))</f>
        <v>0</v>
      </c>
      <c r="AK367" t="b">
        <f>IF(metadata!J367="",FALSE,ISNUMBER(VALUE(metadata!J367)))</f>
        <v>0</v>
      </c>
      <c r="AL367" t="b">
        <f>AND(IF(metadata!K367="",FALSE,TRUE),EXACT(metadata!K367,"cm"))</f>
        <v>0</v>
      </c>
      <c r="AM367" t="b">
        <f>AND(IF(metadata!L367="",FALSE,TRUE),EXACT(metadata!L367,"human"))</f>
        <v>0</v>
      </c>
      <c r="AN367" t="b">
        <f>AND(IF(metadata!M367="",FALSE,TRUE),EXACT(metadata!M367,"Homo sapiens"))</f>
        <v>0</v>
      </c>
      <c r="AO367" t="b">
        <f>AND(IF(metadata!N367="",FALSE,TRUE),EXACT(metadata!N367,"9606"))</f>
        <v>0</v>
      </c>
      <c r="AP367" t="b">
        <f>IF(metadata!O367="",FALSE,TRUE)</f>
        <v>0</v>
      </c>
      <c r="AQ367" t="b">
        <f>IF(metadata!P367="",FALSE,TRUE)</f>
        <v>0</v>
      </c>
      <c r="AR367" t="b">
        <f>IF(metadata!Q367="",FALSE,ISNUMBER(VALUE(metadata!Q367)))</f>
        <v>0</v>
      </c>
      <c r="AS367" t="b">
        <f>AND(IF(metadata!R367="",FALSE,TRUE),EXACT(metadata!R367,"kg"))</f>
        <v>0</v>
      </c>
    </row>
    <row r="368" spans="1:45" x14ac:dyDescent="0.2">
      <c r="A368" s="5" t="str">
        <f ca="1">IF(B368=" "," ",HYPERLINK(CONCATENATE("#metadata!",ADDRESS(INDEX($X$2:$X$1001,MATCH(ROWS($V$2:V368),$V$2:$V$1001,0),0),1)),INDEX($AA$2:$AA$1001,MATCH(ROWS($V$2:V368),$V$2:$V$1001,0),0)))</f>
        <v xml:space="preserve"> </v>
      </c>
      <c r="B368" s="4" t="str">
        <f ca="1">IF(OR(INDEX($W$2:$W$1001,MATCH(ROWS($V$2:V368),$V$2:$V$1001,0),1)&gt;=100000,INDEX($AC$1005:$AS$1005,1,MATCH(COLUMNS($AC$1006:AC1006),$AC$1006:$AS$1006,0))&gt;=100000), " ",IF(INDEX($AC$2:$AS$1001,MATCH(ROWS($V$2:V368),$V$2:$V$1001,0),MATCH(COLUMNS($AC$1006:AC1006),$AC$1006:$AS$1006,0)), HYPERLINK("#",""), HYPERLINK(CONCATENATE("#metadata!", ADDRESS(INDEX($X$2:$X$1001,MATCH(ROWS($V$2:V368),$V$2:$V$1001,0),0), INDEX($AC$1004:$AS$1004,1,MATCH(COLUMNS($AC$1006:AC1006),$AC$1006:$AS$1006,0)))),"Fix")))</f>
        <v xml:space="preserve"> </v>
      </c>
      <c r="C368" s="4" t="str">
        <f ca="1">IF(OR(INDEX($W$2:$W$1001,MATCH(ROWS($V$2:V368),$V$2:$V$1001,0),1)&gt;=100000,INDEX($AC$1005:$AS$1005,1,MATCH(COLUMNS($AC$1006:AD1006),$AC$1006:$AS$1006,0))&gt;=100000), " ",IF(INDEX($AC$2:$AS$1001,MATCH(ROWS($V$2:V368),$V$2:$V$1001,0),MATCH(COLUMNS($AC$1006:AD1006),$AC$1006:$AS$1006,0)), HYPERLINK("#",""), HYPERLINK(CONCATENATE("#metadata!", ADDRESS(INDEX($X$2:$X$1001,MATCH(ROWS($V$2:V368),$V$2:$V$1001,0),0), INDEX($AC$1004:$AS$1004,1,MATCH(COLUMNS($AC$1006:AD1006),$AC$1006:$AS$1006,0)))),"Fix")))</f>
        <v xml:space="preserve"> </v>
      </c>
      <c r="D368" s="4" t="str">
        <f ca="1">IF(OR(INDEX($W$2:$W$1001,MATCH(ROWS($V$2:V368),$V$2:$V$1001,0),1)&gt;=100000,INDEX($AC$1005:$AS$1005,1,MATCH(COLUMNS($AC$1006:AE1006),$AC$1006:$AS$1006,0))&gt;=100000), " ",IF(INDEX($AC$2:$AS$1001,MATCH(ROWS($V$2:V368),$V$2:$V$1001,0),MATCH(COLUMNS($AC$1006:AE1006),$AC$1006:$AS$1006,0)), HYPERLINK("#",""), HYPERLINK(CONCATENATE("#metadata!", ADDRESS(INDEX($X$2:$X$1001,MATCH(ROWS($V$2:V368),$V$2:$V$1001,0),0), INDEX($AC$1004:$AS$1004,1,MATCH(COLUMNS($AC$1006:AE1006),$AC$1006:$AS$1006,0)))),"Fix")))</f>
        <v xml:space="preserve"> </v>
      </c>
      <c r="E368" s="4" t="str">
        <f ca="1">IF(OR(INDEX($W$2:$W$1001,MATCH(ROWS($V$2:V368),$V$2:$V$1001,0),1)&gt;=100000,INDEX($AC$1005:$AS$1005,1,MATCH(COLUMNS($AC$1006:AF1006),$AC$1006:$AS$1006,0))&gt;=100000), " ",IF(INDEX($AC$2:$AS$1001,MATCH(ROWS($V$2:V368),$V$2:$V$1001,0),MATCH(COLUMNS($AC$1006:AF1006),$AC$1006:$AS$1006,0)), HYPERLINK("#",""), HYPERLINK(CONCATENATE("#metadata!", ADDRESS(INDEX($X$2:$X$1001,MATCH(ROWS($V$2:V368),$V$2:$V$1001,0),0), INDEX($AC$1004:$AS$1004,1,MATCH(COLUMNS($AC$1006:AF1006),$AC$1006:$AS$1006,0)))),"Fix")))</f>
        <v xml:space="preserve"> </v>
      </c>
      <c r="F368" s="4" t="str">
        <f ca="1">IF(OR(INDEX($W$2:$W$1001,MATCH(ROWS($V$2:V368),$V$2:$V$1001,0),1)&gt;=100000,INDEX($AC$1005:$AS$1005,1,MATCH(COLUMNS($AC$1006:AG1006),$AC$1006:$AS$1006,0))&gt;=100000), " ",IF(INDEX($AC$2:$AS$1001,MATCH(ROWS($V$2:V368),$V$2:$V$1001,0),MATCH(COLUMNS($AC$1006:AG1006),$AC$1006:$AS$1006,0)), HYPERLINK("#",""), HYPERLINK(CONCATENATE("#metadata!", ADDRESS(INDEX($X$2:$X$1001,MATCH(ROWS($V$2:V368),$V$2:$V$1001,0),0), INDEX($AC$1004:$AS$1004,1,MATCH(COLUMNS($AC$1006:AG1006),$AC$1006:$AS$1006,0)))),"Fix")))</f>
        <v xml:space="preserve"> </v>
      </c>
      <c r="G368" s="4" t="str">
        <f ca="1">IF(OR(INDEX($W$2:$W$1001,MATCH(ROWS($V$2:V368),$V$2:$V$1001,0),1)&gt;=100000,INDEX($AC$1005:$AS$1005,1,MATCH(COLUMNS($AC$1006:AH1006),$AC$1006:$AS$1006,0))&gt;=100000), " ",IF(INDEX($AC$2:$AS$1001,MATCH(ROWS($V$2:V368),$V$2:$V$1001,0),MATCH(COLUMNS($AC$1006:AH1006),$AC$1006:$AS$1006,0)), HYPERLINK("#",""), HYPERLINK(CONCATENATE("#metadata!", ADDRESS(INDEX($X$2:$X$1001,MATCH(ROWS($V$2:V368),$V$2:$V$1001,0),0), INDEX($AC$1004:$AS$1004,1,MATCH(COLUMNS($AC$1006:AH1006),$AC$1006:$AS$1006,0)))),"Fix")))</f>
        <v xml:space="preserve"> </v>
      </c>
      <c r="H368" s="4" t="str">
        <f ca="1">IF(OR(INDEX($W$2:$W$1001,MATCH(ROWS($V$2:V368),$V$2:$V$1001,0),1)&gt;=100000,INDEX($AC$1005:$AS$1005,1,MATCH(COLUMNS($AC$1006:AI1006),$AC$1006:$AS$1006,0))&gt;=100000), " ",IF(INDEX($AC$2:$AS$1001,MATCH(ROWS($V$2:V368),$V$2:$V$1001,0),MATCH(COLUMNS($AC$1006:AI1006),$AC$1006:$AS$1006,0)), HYPERLINK("#",""), HYPERLINK(CONCATENATE("#metadata!", ADDRESS(INDEX($X$2:$X$1001,MATCH(ROWS($V$2:V368),$V$2:$V$1001,0),0), INDEX($AC$1004:$AS$1004,1,MATCH(COLUMNS($AC$1006:AI1006),$AC$1006:$AS$1006,0)))),"Fix")))</f>
        <v xml:space="preserve"> </v>
      </c>
      <c r="I368" s="4" t="str">
        <f ca="1">IF(OR(INDEX($W$2:$W$1001,MATCH(ROWS($V$2:V368),$V$2:$V$1001,0),1)&gt;=100000,INDEX($AC$1005:$AS$1005,1,MATCH(COLUMNS($AC$1006:AJ1006),$AC$1006:$AS$1006,0))&gt;=100000), " ",IF(INDEX($AC$2:$AS$1001,MATCH(ROWS($V$2:V368),$V$2:$V$1001,0),MATCH(COLUMNS($AC$1006:AJ1006),$AC$1006:$AS$1006,0)), HYPERLINK("#",""), HYPERLINK(CONCATENATE("#metadata!", ADDRESS(INDEX($X$2:$X$1001,MATCH(ROWS($V$2:V368),$V$2:$V$1001,0),0), INDEX($AC$1004:$AS$1004,1,MATCH(COLUMNS($AC$1006:AJ1006),$AC$1006:$AS$1006,0)))),"Fix")))</f>
        <v xml:space="preserve"> </v>
      </c>
      <c r="J368" s="4" t="str">
        <f ca="1">IF(OR(INDEX($W$2:$W$1001,MATCH(ROWS($V$2:V368),$V$2:$V$1001,0),1)&gt;=100000,INDEX($AC$1005:$AS$1005,1,MATCH(COLUMNS($AC$1006:AK1006),$AC$1006:$AS$1006,0))&gt;=100000), " ",IF(INDEX($AC$2:$AS$1001,MATCH(ROWS($V$2:V368),$V$2:$V$1001,0),MATCH(COLUMNS($AC$1006:AK1006),$AC$1006:$AS$1006,0)), HYPERLINK("#",""), HYPERLINK(CONCATENATE("#metadata!", ADDRESS(INDEX($X$2:$X$1001,MATCH(ROWS($V$2:V368),$V$2:$V$1001,0),0), INDEX($AC$1004:$AS$1004,1,MATCH(COLUMNS($AC$1006:AK1006),$AC$1006:$AS$1006,0)))),"Fix")))</f>
        <v xml:space="preserve"> </v>
      </c>
      <c r="K368" s="4" t="str">
        <f ca="1">IF(OR(INDEX($W$2:$W$1001,MATCH(ROWS($V$2:V368),$V$2:$V$1001,0),1)&gt;=100000,INDEX($AC$1005:$AS$1005,1,MATCH(COLUMNS($AC$1006:AL1006),$AC$1006:$AS$1006,0))&gt;=100000), " ",IF(INDEX($AC$2:$AS$1001,MATCH(ROWS($V$2:V368),$V$2:$V$1001,0),MATCH(COLUMNS($AC$1006:AL1006),$AC$1006:$AS$1006,0)), HYPERLINK("#",""), HYPERLINK(CONCATENATE("#metadata!", ADDRESS(INDEX($X$2:$X$1001,MATCH(ROWS($V$2:V368),$V$2:$V$1001,0),0), INDEX($AC$1004:$AS$1004,1,MATCH(COLUMNS($AC$1006:AL1006),$AC$1006:$AS$1006,0)))),"Fix")))</f>
        <v xml:space="preserve"> </v>
      </c>
      <c r="L368" s="4" t="str">
        <f ca="1">IF(OR(INDEX($W$2:$W$1001,MATCH(ROWS($V$2:V368),$V$2:$V$1001,0),1)&gt;=100000,INDEX($AC$1005:$AS$1005,1,MATCH(COLUMNS($AC$1006:AM1006),$AC$1006:$AS$1006,0))&gt;=100000), " ",IF(INDEX($AC$2:$AS$1001,MATCH(ROWS($V$2:V368),$V$2:$V$1001,0),MATCH(COLUMNS($AC$1006:AM1006),$AC$1006:$AS$1006,0)), HYPERLINK("#",""), HYPERLINK(CONCATENATE("#metadata!", ADDRESS(INDEX($X$2:$X$1001,MATCH(ROWS($V$2:V368),$V$2:$V$1001,0),0), INDEX($AC$1004:$AS$1004,1,MATCH(COLUMNS($AC$1006:AM1006),$AC$1006:$AS$1006,0)))),"Fix")))</f>
        <v xml:space="preserve"> </v>
      </c>
      <c r="M368" s="4" t="str">
        <f ca="1">IF(OR(INDEX($W$2:$W$1001,MATCH(ROWS($V$2:V368),$V$2:$V$1001,0),1)&gt;=100000,INDEX($AC$1005:$AS$1005,1,MATCH(COLUMNS($AC$1006:AN1006),$AC$1006:$AS$1006,0))&gt;=100000), " ",IF(INDEX($AC$2:$AS$1001,MATCH(ROWS($V$2:V368),$V$2:$V$1001,0),MATCH(COLUMNS($AC$1006:AN1006),$AC$1006:$AS$1006,0)), HYPERLINK("#",""), HYPERLINK(CONCATENATE("#metadata!", ADDRESS(INDEX($X$2:$X$1001,MATCH(ROWS($V$2:V368),$V$2:$V$1001,0),0), INDEX($AC$1004:$AS$1004,1,MATCH(COLUMNS($AC$1006:AN1006),$AC$1006:$AS$1006,0)))),"Fix")))</f>
        <v xml:space="preserve"> </v>
      </c>
      <c r="N368" s="4" t="str">
        <f ca="1">IF(OR(INDEX($W$2:$W$1001,MATCH(ROWS($V$2:V368),$V$2:$V$1001,0),1)&gt;=100000,INDEX($AC$1005:$AS$1005,1,MATCH(COLUMNS($AC$1006:AO1006),$AC$1006:$AS$1006,0))&gt;=100000), " ",IF(INDEX($AC$2:$AS$1001,MATCH(ROWS($V$2:V368),$V$2:$V$1001,0),MATCH(COLUMNS($AC$1006:AO1006),$AC$1006:$AS$1006,0)), HYPERLINK("#",""), HYPERLINK(CONCATENATE("#metadata!", ADDRESS(INDEX($X$2:$X$1001,MATCH(ROWS($V$2:V368),$V$2:$V$1001,0),0), INDEX($AC$1004:$AS$1004,1,MATCH(COLUMNS($AC$1006:AO1006),$AC$1006:$AS$1006,0)))),"Fix")))</f>
        <v xml:space="preserve"> </v>
      </c>
      <c r="O368" s="4" t="str">
        <f ca="1">IF(OR(INDEX($W$2:$W$1001,MATCH(ROWS($V$2:V368),$V$2:$V$1001,0),1)&gt;=100000,INDEX($AC$1005:$AS$1005,1,MATCH(COLUMNS($AC$1006:AP1006),$AC$1006:$AS$1006,0))&gt;=100000), " ",IF(INDEX($AC$2:$AS$1001,MATCH(ROWS($V$2:V368),$V$2:$V$1001,0),MATCH(COLUMNS($AC$1006:AP1006),$AC$1006:$AS$1006,0)), HYPERLINK("#",""), HYPERLINK(CONCATENATE("#metadata!", ADDRESS(INDEX($X$2:$X$1001,MATCH(ROWS($V$2:V368),$V$2:$V$1001,0),0), INDEX($AC$1004:$AS$1004,1,MATCH(COLUMNS($AC$1006:AP1006),$AC$1006:$AS$1006,0)))),"Fix")))</f>
        <v xml:space="preserve"> </v>
      </c>
      <c r="P368" s="4" t="str">
        <f ca="1">IF(OR(INDEX($W$2:$W$1001,MATCH(ROWS($V$2:V368),$V$2:$V$1001,0),1)&gt;=100000,INDEX($AC$1005:$AS$1005,1,MATCH(COLUMNS($AC$1006:AQ1006),$AC$1006:$AS$1006,0))&gt;=100000), " ",IF(INDEX($AC$2:$AS$1001,MATCH(ROWS($V$2:V368),$V$2:$V$1001,0),MATCH(COLUMNS($AC$1006:AQ1006),$AC$1006:$AS$1006,0)), HYPERLINK("#",""), HYPERLINK(CONCATENATE("#metadata!", ADDRESS(INDEX($X$2:$X$1001,MATCH(ROWS($V$2:V368),$V$2:$V$1001,0),0), INDEX($AC$1004:$AS$1004,1,MATCH(COLUMNS($AC$1006:AQ1006),$AC$1006:$AS$1006,0)))),"Fix")))</f>
        <v xml:space="preserve"> </v>
      </c>
      <c r="Q368" s="4" t="str">
        <f ca="1">IF(OR(INDEX($W$2:$W$1001,MATCH(ROWS($V$2:V368),$V$2:$V$1001,0),1)&gt;=100000,INDEX($AC$1005:$AS$1005,1,MATCH(COLUMNS($AC$1006:AR1006),$AC$1006:$AS$1006,0))&gt;=100000), " ",IF(INDEX($AC$2:$AS$1001,MATCH(ROWS($V$2:V368),$V$2:$V$1001,0),MATCH(COLUMNS($AC$1006:AR1006),$AC$1006:$AS$1006,0)), HYPERLINK("#",""), HYPERLINK(CONCATENATE("#metadata!", ADDRESS(INDEX($X$2:$X$1001,MATCH(ROWS($V$2:V368),$V$2:$V$1001,0),0), INDEX($AC$1004:$AS$1004,1,MATCH(COLUMNS($AC$1006:AR1006),$AC$1006:$AS$1006,0)))),"Fix")))</f>
        <v xml:space="preserve"> </v>
      </c>
      <c r="R368" s="4" t="str">
        <f ca="1">IF(OR(INDEX($W$2:$W$1001,MATCH(ROWS($V$2:V368),$V$2:$V$1001,0),1)&gt;=100000,INDEX($AC$1005:$AS$1005,1,MATCH(COLUMNS($AC$1006:AS1006),$AC$1006:$AS$1006,0))&gt;=100000), " ",IF(INDEX($AC$2:$AS$1001,MATCH(ROWS($V$2:V368),$V$2:$V$1001,0),MATCH(COLUMNS($AC$1006:AS1006),$AC$1006:$AS$1006,0)), HYPERLINK("#",""), HYPERLINK(CONCATENATE("#metadata!", ADDRESS(INDEX($X$2:$X$1001,MATCH(ROWS($V$2:V368),$V$2:$V$1001,0),0), INDEX($AC$1004:$AS$1004,1,MATCH(COLUMNS($AC$1006:AS1006),$AC$1006:$AS$1006,0)))),"Fix")))</f>
        <v xml:space="preserve"> </v>
      </c>
      <c r="V368">
        <v>367</v>
      </c>
      <c r="W368">
        <v>100368</v>
      </c>
      <c r="X368">
        <v>368</v>
      </c>
      <c r="Y368" t="b">
        <f t="shared" si="5"/>
        <v>1</v>
      </c>
      <c r="Z368" t="b">
        <f>COUNTBLANK(metadata!B368:R368)=COLUMNS(metadata!B368:R368)</f>
        <v>1</v>
      </c>
      <c r="AA368" t="str">
        <v/>
      </c>
      <c r="AC368" t="b">
        <f ca="1"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AD368" t="b">
        <f>IF(metadata!C368="",FALSE,ISNUMBER(VALUE(metadata!C368)))</f>
        <v>0</v>
      </c>
      <c r="AE368" t="b">
        <f>AND(IF(metadata!D368="",FALSE,TRUE),EXACT(metadata!D368,"years"))</f>
        <v>0</v>
      </c>
      <c r="AF368" t="b">
        <f>OR(AND(IF(metadata!E368="",FALSE,TRUE),OR(EXACT(metadata!E368,"not applicable"),EXACT(metadata!E368,"missing: not collected"),EXACT(metadata!E368,"missing: not provided"),EXACT(metadata!E368,"missing: restricted access"))),AND(IF(metadata!E368="",FALSE,ISNUMBER(VALUE(metadata!E368))),metadata!E368&gt;0))</f>
        <v>0</v>
      </c>
      <c r="AG368" t="b">
        <f>AND(IF(metadata!F368="",FALSE,TRUE),EXACT(metadata!F368,"Not applicable"))</f>
        <v>0</v>
      </c>
      <c r="AH368" t="b">
        <f>AND(IF(metadata!G368="",FALSE,TRUE),EXACT(metadata!G368,"urban biome"))</f>
        <v>0</v>
      </c>
      <c r="AI368" t="b">
        <f>AND(IF(metadata!H368="",FALSE,TRUE),EXACT(metadata!H368,"human-associated habitat"))</f>
        <v>0</v>
      </c>
      <c r="AJ368" t="b">
        <f>AND(IF(metadata!I368="",FALSE,TRUE),OR(EXACT(metadata!I368,"human-associated"),EXACT(metadata!I368,"human-skin"),EXACT(metadata!I368,"human-oral"),EXACT(metadata!I368,"human-gut"),EXACT(metadata!I368,"human-vaginal")))</f>
        <v>0</v>
      </c>
      <c r="AK368" t="b">
        <f>IF(metadata!J368="",FALSE,ISNUMBER(VALUE(metadata!J368)))</f>
        <v>0</v>
      </c>
      <c r="AL368" t="b">
        <f>AND(IF(metadata!K368="",FALSE,TRUE),EXACT(metadata!K368,"cm"))</f>
        <v>0</v>
      </c>
      <c r="AM368" t="b">
        <f>AND(IF(metadata!L368="",FALSE,TRUE),EXACT(metadata!L368,"human"))</f>
        <v>0</v>
      </c>
      <c r="AN368" t="b">
        <f>AND(IF(metadata!M368="",FALSE,TRUE),EXACT(metadata!M368,"Homo sapiens"))</f>
        <v>0</v>
      </c>
      <c r="AO368" t="b">
        <f>AND(IF(metadata!N368="",FALSE,TRUE),EXACT(metadata!N368,"9606"))</f>
        <v>0</v>
      </c>
      <c r="AP368" t="b">
        <f>IF(metadata!O368="",FALSE,TRUE)</f>
        <v>0</v>
      </c>
      <c r="AQ368" t="b">
        <f>IF(metadata!P368="",FALSE,TRUE)</f>
        <v>0</v>
      </c>
      <c r="AR368" t="b">
        <f>IF(metadata!Q368="",FALSE,ISNUMBER(VALUE(metadata!Q368)))</f>
        <v>0</v>
      </c>
      <c r="AS368" t="b">
        <f>AND(IF(metadata!R368="",FALSE,TRUE),EXACT(metadata!R368,"kg"))</f>
        <v>0</v>
      </c>
    </row>
    <row r="369" spans="1:45" x14ac:dyDescent="0.2">
      <c r="A369" s="5" t="str">
        <f ca="1">IF(B369=" "," ",HYPERLINK(CONCATENATE("#metadata!",ADDRESS(INDEX($X$2:$X$1001,MATCH(ROWS($V$2:V369),$V$2:$V$1001,0),0),1)),INDEX($AA$2:$AA$1001,MATCH(ROWS($V$2:V369),$V$2:$V$1001,0),0)))</f>
        <v xml:space="preserve"> </v>
      </c>
      <c r="B369" s="4" t="str">
        <f ca="1">IF(OR(INDEX($W$2:$W$1001,MATCH(ROWS($V$2:V369),$V$2:$V$1001,0),1)&gt;=100000,INDEX($AC$1005:$AS$1005,1,MATCH(COLUMNS($AC$1006:AC1006),$AC$1006:$AS$1006,0))&gt;=100000), " ",IF(INDEX($AC$2:$AS$1001,MATCH(ROWS($V$2:V369),$V$2:$V$1001,0),MATCH(COLUMNS($AC$1006:AC1006),$AC$1006:$AS$1006,0)), HYPERLINK("#",""), HYPERLINK(CONCATENATE("#metadata!", ADDRESS(INDEX($X$2:$X$1001,MATCH(ROWS($V$2:V369),$V$2:$V$1001,0),0), INDEX($AC$1004:$AS$1004,1,MATCH(COLUMNS($AC$1006:AC1006),$AC$1006:$AS$1006,0)))),"Fix")))</f>
        <v xml:space="preserve"> </v>
      </c>
      <c r="C369" s="4" t="str">
        <f ca="1">IF(OR(INDEX($W$2:$W$1001,MATCH(ROWS($V$2:V369),$V$2:$V$1001,0),1)&gt;=100000,INDEX($AC$1005:$AS$1005,1,MATCH(COLUMNS($AC$1006:AD1006),$AC$1006:$AS$1006,0))&gt;=100000), " ",IF(INDEX($AC$2:$AS$1001,MATCH(ROWS($V$2:V369),$V$2:$V$1001,0),MATCH(COLUMNS($AC$1006:AD1006),$AC$1006:$AS$1006,0)), HYPERLINK("#",""), HYPERLINK(CONCATENATE("#metadata!", ADDRESS(INDEX($X$2:$X$1001,MATCH(ROWS($V$2:V369),$V$2:$V$1001,0),0), INDEX($AC$1004:$AS$1004,1,MATCH(COLUMNS($AC$1006:AD1006),$AC$1006:$AS$1006,0)))),"Fix")))</f>
        <v xml:space="preserve"> </v>
      </c>
      <c r="D369" s="4" t="str">
        <f ca="1">IF(OR(INDEX($W$2:$W$1001,MATCH(ROWS($V$2:V369),$V$2:$V$1001,0),1)&gt;=100000,INDEX($AC$1005:$AS$1005,1,MATCH(COLUMNS($AC$1006:AE1006),$AC$1006:$AS$1006,0))&gt;=100000), " ",IF(INDEX($AC$2:$AS$1001,MATCH(ROWS($V$2:V369),$V$2:$V$1001,0),MATCH(COLUMNS($AC$1006:AE1006),$AC$1006:$AS$1006,0)), HYPERLINK("#",""), HYPERLINK(CONCATENATE("#metadata!", ADDRESS(INDEX($X$2:$X$1001,MATCH(ROWS($V$2:V369),$V$2:$V$1001,0),0), INDEX($AC$1004:$AS$1004,1,MATCH(COLUMNS($AC$1006:AE1006),$AC$1006:$AS$1006,0)))),"Fix")))</f>
        <v xml:space="preserve"> </v>
      </c>
      <c r="E369" s="4" t="str">
        <f ca="1">IF(OR(INDEX($W$2:$W$1001,MATCH(ROWS($V$2:V369),$V$2:$V$1001,0),1)&gt;=100000,INDEX($AC$1005:$AS$1005,1,MATCH(COLUMNS($AC$1006:AF1006),$AC$1006:$AS$1006,0))&gt;=100000), " ",IF(INDEX($AC$2:$AS$1001,MATCH(ROWS($V$2:V369),$V$2:$V$1001,0),MATCH(COLUMNS($AC$1006:AF1006),$AC$1006:$AS$1006,0)), HYPERLINK("#",""), HYPERLINK(CONCATENATE("#metadata!", ADDRESS(INDEX($X$2:$X$1001,MATCH(ROWS($V$2:V369),$V$2:$V$1001,0),0), INDEX($AC$1004:$AS$1004,1,MATCH(COLUMNS($AC$1006:AF1006),$AC$1006:$AS$1006,0)))),"Fix")))</f>
        <v xml:space="preserve"> </v>
      </c>
      <c r="F369" s="4" t="str">
        <f ca="1">IF(OR(INDEX($W$2:$W$1001,MATCH(ROWS($V$2:V369),$V$2:$V$1001,0),1)&gt;=100000,INDEX($AC$1005:$AS$1005,1,MATCH(COLUMNS($AC$1006:AG1006),$AC$1006:$AS$1006,0))&gt;=100000), " ",IF(INDEX($AC$2:$AS$1001,MATCH(ROWS($V$2:V369),$V$2:$V$1001,0),MATCH(COLUMNS($AC$1006:AG1006),$AC$1006:$AS$1006,0)), HYPERLINK("#",""), HYPERLINK(CONCATENATE("#metadata!", ADDRESS(INDEX($X$2:$X$1001,MATCH(ROWS($V$2:V369),$V$2:$V$1001,0),0), INDEX($AC$1004:$AS$1004,1,MATCH(COLUMNS($AC$1006:AG1006),$AC$1006:$AS$1006,0)))),"Fix")))</f>
        <v xml:space="preserve"> </v>
      </c>
      <c r="G369" s="4" t="str">
        <f ca="1">IF(OR(INDEX($W$2:$W$1001,MATCH(ROWS($V$2:V369),$V$2:$V$1001,0),1)&gt;=100000,INDEX($AC$1005:$AS$1005,1,MATCH(COLUMNS($AC$1006:AH1006),$AC$1006:$AS$1006,0))&gt;=100000), " ",IF(INDEX($AC$2:$AS$1001,MATCH(ROWS($V$2:V369),$V$2:$V$1001,0),MATCH(COLUMNS($AC$1006:AH1006),$AC$1006:$AS$1006,0)), HYPERLINK("#",""), HYPERLINK(CONCATENATE("#metadata!", ADDRESS(INDEX($X$2:$X$1001,MATCH(ROWS($V$2:V369),$V$2:$V$1001,0),0), INDEX($AC$1004:$AS$1004,1,MATCH(COLUMNS($AC$1006:AH1006),$AC$1006:$AS$1006,0)))),"Fix")))</f>
        <v xml:space="preserve"> </v>
      </c>
      <c r="H369" s="4" t="str">
        <f ca="1">IF(OR(INDEX($W$2:$W$1001,MATCH(ROWS($V$2:V369),$V$2:$V$1001,0),1)&gt;=100000,INDEX($AC$1005:$AS$1005,1,MATCH(COLUMNS($AC$1006:AI1006),$AC$1006:$AS$1006,0))&gt;=100000), " ",IF(INDEX($AC$2:$AS$1001,MATCH(ROWS($V$2:V369),$V$2:$V$1001,0),MATCH(COLUMNS($AC$1006:AI1006),$AC$1006:$AS$1006,0)), HYPERLINK("#",""), HYPERLINK(CONCATENATE("#metadata!", ADDRESS(INDEX($X$2:$X$1001,MATCH(ROWS($V$2:V369),$V$2:$V$1001,0),0), INDEX($AC$1004:$AS$1004,1,MATCH(COLUMNS($AC$1006:AI1006),$AC$1006:$AS$1006,0)))),"Fix")))</f>
        <v xml:space="preserve"> </v>
      </c>
      <c r="I369" s="4" t="str">
        <f ca="1">IF(OR(INDEX($W$2:$W$1001,MATCH(ROWS($V$2:V369),$V$2:$V$1001,0),1)&gt;=100000,INDEX($AC$1005:$AS$1005,1,MATCH(COLUMNS($AC$1006:AJ1006),$AC$1006:$AS$1006,0))&gt;=100000), " ",IF(INDEX($AC$2:$AS$1001,MATCH(ROWS($V$2:V369),$V$2:$V$1001,0),MATCH(COLUMNS($AC$1006:AJ1006),$AC$1006:$AS$1006,0)), HYPERLINK("#",""), HYPERLINK(CONCATENATE("#metadata!", ADDRESS(INDEX($X$2:$X$1001,MATCH(ROWS($V$2:V369),$V$2:$V$1001,0),0), INDEX($AC$1004:$AS$1004,1,MATCH(COLUMNS($AC$1006:AJ1006),$AC$1006:$AS$1006,0)))),"Fix")))</f>
        <v xml:space="preserve"> </v>
      </c>
      <c r="J369" s="4" t="str">
        <f ca="1">IF(OR(INDEX($W$2:$W$1001,MATCH(ROWS($V$2:V369),$V$2:$V$1001,0),1)&gt;=100000,INDEX($AC$1005:$AS$1005,1,MATCH(COLUMNS($AC$1006:AK1006),$AC$1006:$AS$1006,0))&gt;=100000), " ",IF(INDEX($AC$2:$AS$1001,MATCH(ROWS($V$2:V369),$V$2:$V$1001,0),MATCH(COLUMNS($AC$1006:AK1006),$AC$1006:$AS$1006,0)), HYPERLINK("#",""), HYPERLINK(CONCATENATE("#metadata!", ADDRESS(INDEX($X$2:$X$1001,MATCH(ROWS($V$2:V369),$V$2:$V$1001,0),0), INDEX($AC$1004:$AS$1004,1,MATCH(COLUMNS($AC$1006:AK1006),$AC$1006:$AS$1006,0)))),"Fix")))</f>
        <v xml:space="preserve"> </v>
      </c>
      <c r="K369" s="4" t="str">
        <f ca="1">IF(OR(INDEX($W$2:$W$1001,MATCH(ROWS($V$2:V369),$V$2:$V$1001,0),1)&gt;=100000,INDEX($AC$1005:$AS$1005,1,MATCH(COLUMNS($AC$1006:AL1006),$AC$1006:$AS$1006,0))&gt;=100000), " ",IF(INDEX($AC$2:$AS$1001,MATCH(ROWS($V$2:V369),$V$2:$V$1001,0),MATCH(COLUMNS($AC$1006:AL1006),$AC$1006:$AS$1006,0)), HYPERLINK("#",""), HYPERLINK(CONCATENATE("#metadata!", ADDRESS(INDEX($X$2:$X$1001,MATCH(ROWS($V$2:V369),$V$2:$V$1001,0),0), INDEX($AC$1004:$AS$1004,1,MATCH(COLUMNS($AC$1006:AL1006),$AC$1006:$AS$1006,0)))),"Fix")))</f>
        <v xml:space="preserve"> </v>
      </c>
      <c r="L369" s="4" t="str">
        <f ca="1">IF(OR(INDEX($W$2:$W$1001,MATCH(ROWS($V$2:V369),$V$2:$V$1001,0),1)&gt;=100000,INDEX($AC$1005:$AS$1005,1,MATCH(COLUMNS($AC$1006:AM1006),$AC$1006:$AS$1006,0))&gt;=100000), " ",IF(INDEX($AC$2:$AS$1001,MATCH(ROWS($V$2:V369),$V$2:$V$1001,0),MATCH(COLUMNS($AC$1006:AM1006),$AC$1006:$AS$1006,0)), HYPERLINK("#",""), HYPERLINK(CONCATENATE("#metadata!", ADDRESS(INDEX($X$2:$X$1001,MATCH(ROWS($V$2:V369),$V$2:$V$1001,0),0), INDEX($AC$1004:$AS$1004,1,MATCH(COLUMNS($AC$1006:AM1006),$AC$1006:$AS$1006,0)))),"Fix")))</f>
        <v xml:space="preserve"> </v>
      </c>
      <c r="M369" s="4" t="str">
        <f ca="1">IF(OR(INDEX($W$2:$W$1001,MATCH(ROWS($V$2:V369),$V$2:$V$1001,0),1)&gt;=100000,INDEX($AC$1005:$AS$1005,1,MATCH(COLUMNS($AC$1006:AN1006),$AC$1006:$AS$1006,0))&gt;=100000), " ",IF(INDEX($AC$2:$AS$1001,MATCH(ROWS($V$2:V369),$V$2:$V$1001,0),MATCH(COLUMNS($AC$1006:AN1006),$AC$1006:$AS$1006,0)), HYPERLINK("#",""), HYPERLINK(CONCATENATE("#metadata!", ADDRESS(INDEX($X$2:$X$1001,MATCH(ROWS($V$2:V369),$V$2:$V$1001,0),0), INDEX($AC$1004:$AS$1004,1,MATCH(COLUMNS($AC$1006:AN1006),$AC$1006:$AS$1006,0)))),"Fix")))</f>
        <v xml:space="preserve"> </v>
      </c>
      <c r="N369" s="4" t="str">
        <f ca="1">IF(OR(INDEX($W$2:$W$1001,MATCH(ROWS($V$2:V369),$V$2:$V$1001,0),1)&gt;=100000,INDEX($AC$1005:$AS$1005,1,MATCH(COLUMNS($AC$1006:AO1006),$AC$1006:$AS$1006,0))&gt;=100000), " ",IF(INDEX($AC$2:$AS$1001,MATCH(ROWS($V$2:V369),$V$2:$V$1001,0),MATCH(COLUMNS($AC$1006:AO1006),$AC$1006:$AS$1006,0)), HYPERLINK("#",""), HYPERLINK(CONCATENATE("#metadata!", ADDRESS(INDEX($X$2:$X$1001,MATCH(ROWS($V$2:V369),$V$2:$V$1001,0),0), INDEX($AC$1004:$AS$1004,1,MATCH(COLUMNS($AC$1006:AO1006),$AC$1006:$AS$1006,0)))),"Fix")))</f>
        <v xml:space="preserve"> </v>
      </c>
      <c r="O369" s="4" t="str">
        <f ca="1">IF(OR(INDEX($W$2:$W$1001,MATCH(ROWS($V$2:V369),$V$2:$V$1001,0),1)&gt;=100000,INDEX($AC$1005:$AS$1005,1,MATCH(COLUMNS($AC$1006:AP1006),$AC$1006:$AS$1006,0))&gt;=100000), " ",IF(INDEX($AC$2:$AS$1001,MATCH(ROWS($V$2:V369),$V$2:$V$1001,0),MATCH(COLUMNS($AC$1006:AP1006),$AC$1006:$AS$1006,0)), HYPERLINK("#",""), HYPERLINK(CONCATENATE("#metadata!", ADDRESS(INDEX($X$2:$X$1001,MATCH(ROWS($V$2:V369),$V$2:$V$1001,0),0), INDEX($AC$1004:$AS$1004,1,MATCH(COLUMNS($AC$1006:AP1006),$AC$1006:$AS$1006,0)))),"Fix")))</f>
        <v xml:space="preserve"> </v>
      </c>
      <c r="P369" s="4" t="str">
        <f ca="1">IF(OR(INDEX($W$2:$W$1001,MATCH(ROWS($V$2:V369),$V$2:$V$1001,0),1)&gt;=100000,INDEX($AC$1005:$AS$1005,1,MATCH(COLUMNS($AC$1006:AQ1006),$AC$1006:$AS$1006,0))&gt;=100000), " ",IF(INDEX($AC$2:$AS$1001,MATCH(ROWS($V$2:V369),$V$2:$V$1001,0),MATCH(COLUMNS($AC$1006:AQ1006),$AC$1006:$AS$1006,0)), HYPERLINK("#",""), HYPERLINK(CONCATENATE("#metadata!", ADDRESS(INDEX($X$2:$X$1001,MATCH(ROWS($V$2:V369),$V$2:$V$1001,0),0), INDEX($AC$1004:$AS$1004,1,MATCH(COLUMNS($AC$1006:AQ1006),$AC$1006:$AS$1006,0)))),"Fix")))</f>
        <v xml:space="preserve"> </v>
      </c>
      <c r="Q369" s="4" t="str">
        <f ca="1">IF(OR(INDEX($W$2:$W$1001,MATCH(ROWS($V$2:V369),$V$2:$V$1001,0),1)&gt;=100000,INDEX($AC$1005:$AS$1005,1,MATCH(COLUMNS($AC$1006:AR1006),$AC$1006:$AS$1006,0))&gt;=100000), " ",IF(INDEX($AC$2:$AS$1001,MATCH(ROWS($V$2:V369),$V$2:$V$1001,0),MATCH(COLUMNS($AC$1006:AR1006),$AC$1006:$AS$1006,0)), HYPERLINK("#",""), HYPERLINK(CONCATENATE("#metadata!", ADDRESS(INDEX($X$2:$X$1001,MATCH(ROWS($V$2:V369),$V$2:$V$1001,0),0), INDEX($AC$1004:$AS$1004,1,MATCH(COLUMNS($AC$1006:AR1006),$AC$1006:$AS$1006,0)))),"Fix")))</f>
        <v xml:space="preserve"> </v>
      </c>
      <c r="R369" s="4" t="str">
        <f ca="1">IF(OR(INDEX($W$2:$W$1001,MATCH(ROWS($V$2:V369),$V$2:$V$1001,0),1)&gt;=100000,INDEX($AC$1005:$AS$1005,1,MATCH(COLUMNS($AC$1006:AS1006),$AC$1006:$AS$1006,0))&gt;=100000), " ",IF(INDEX($AC$2:$AS$1001,MATCH(ROWS($V$2:V369),$V$2:$V$1001,0),MATCH(COLUMNS($AC$1006:AS1006),$AC$1006:$AS$1006,0)), HYPERLINK("#",""), HYPERLINK(CONCATENATE("#metadata!", ADDRESS(INDEX($X$2:$X$1001,MATCH(ROWS($V$2:V369),$V$2:$V$1001,0),0), INDEX($AC$1004:$AS$1004,1,MATCH(COLUMNS($AC$1006:AS1006),$AC$1006:$AS$1006,0)))),"Fix")))</f>
        <v xml:space="preserve"> </v>
      </c>
      <c r="V369">
        <v>368</v>
      </c>
      <c r="W369">
        <v>100369</v>
      </c>
      <c r="X369">
        <v>369</v>
      </c>
      <c r="Y369" t="b">
        <f t="shared" si="5"/>
        <v>1</v>
      </c>
      <c r="Z369" t="b">
        <f>COUNTBLANK(metadata!B369:R369)=COLUMNS(metadata!B369:R369)</f>
        <v>1</v>
      </c>
      <c r="AA369" t="str">
        <v/>
      </c>
      <c r="AC369" t="b">
        <f ca="1"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AD369" t="b">
        <f>IF(metadata!C369="",FALSE,ISNUMBER(VALUE(metadata!C369)))</f>
        <v>0</v>
      </c>
      <c r="AE369" t="b">
        <f>AND(IF(metadata!D369="",FALSE,TRUE),EXACT(metadata!D369,"years"))</f>
        <v>0</v>
      </c>
      <c r="AF369" t="b">
        <f>OR(AND(IF(metadata!E369="",FALSE,TRUE),OR(EXACT(metadata!E369,"not applicable"),EXACT(metadata!E369,"missing: not collected"),EXACT(metadata!E369,"missing: not provided"),EXACT(metadata!E369,"missing: restricted access"))),AND(IF(metadata!E369="",FALSE,ISNUMBER(VALUE(metadata!E369))),metadata!E369&gt;0))</f>
        <v>0</v>
      </c>
      <c r="AG369" t="b">
        <f>AND(IF(metadata!F369="",FALSE,TRUE),EXACT(metadata!F369,"Not applicable"))</f>
        <v>0</v>
      </c>
      <c r="AH369" t="b">
        <f>AND(IF(metadata!G369="",FALSE,TRUE),EXACT(metadata!G369,"urban biome"))</f>
        <v>0</v>
      </c>
      <c r="AI369" t="b">
        <f>AND(IF(metadata!H369="",FALSE,TRUE),EXACT(metadata!H369,"human-associated habitat"))</f>
        <v>0</v>
      </c>
      <c r="AJ369" t="b">
        <f>AND(IF(metadata!I369="",FALSE,TRUE),OR(EXACT(metadata!I369,"human-associated"),EXACT(metadata!I369,"human-skin"),EXACT(metadata!I369,"human-oral"),EXACT(metadata!I369,"human-gut"),EXACT(metadata!I369,"human-vaginal")))</f>
        <v>0</v>
      </c>
      <c r="AK369" t="b">
        <f>IF(metadata!J369="",FALSE,ISNUMBER(VALUE(metadata!J369)))</f>
        <v>0</v>
      </c>
      <c r="AL369" t="b">
        <f>AND(IF(metadata!K369="",FALSE,TRUE),EXACT(metadata!K369,"cm"))</f>
        <v>0</v>
      </c>
      <c r="AM369" t="b">
        <f>AND(IF(metadata!L369="",FALSE,TRUE),EXACT(metadata!L369,"human"))</f>
        <v>0</v>
      </c>
      <c r="AN369" t="b">
        <f>AND(IF(metadata!M369="",FALSE,TRUE),EXACT(metadata!M369,"Homo sapiens"))</f>
        <v>0</v>
      </c>
      <c r="AO369" t="b">
        <f>AND(IF(metadata!N369="",FALSE,TRUE),EXACT(metadata!N369,"9606"))</f>
        <v>0</v>
      </c>
      <c r="AP369" t="b">
        <f>IF(metadata!O369="",FALSE,TRUE)</f>
        <v>0</v>
      </c>
      <c r="AQ369" t="b">
        <f>IF(metadata!P369="",FALSE,TRUE)</f>
        <v>0</v>
      </c>
      <c r="AR369" t="b">
        <f>IF(metadata!Q369="",FALSE,ISNUMBER(VALUE(metadata!Q369)))</f>
        <v>0</v>
      </c>
      <c r="AS369" t="b">
        <f>AND(IF(metadata!R369="",FALSE,TRUE),EXACT(metadata!R369,"kg"))</f>
        <v>0</v>
      </c>
    </row>
    <row r="370" spans="1:45" x14ac:dyDescent="0.2">
      <c r="A370" s="5" t="str">
        <f ca="1">IF(B370=" "," ",HYPERLINK(CONCATENATE("#metadata!",ADDRESS(INDEX($X$2:$X$1001,MATCH(ROWS($V$2:V370),$V$2:$V$1001,0),0),1)),INDEX($AA$2:$AA$1001,MATCH(ROWS($V$2:V370),$V$2:$V$1001,0),0)))</f>
        <v xml:space="preserve"> </v>
      </c>
      <c r="B370" s="4" t="str">
        <f ca="1">IF(OR(INDEX($W$2:$W$1001,MATCH(ROWS($V$2:V370),$V$2:$V$1001,0),1)&gt;=100000,INDEX($AC$1005:$AS$1005,1,MATCH(COLUMNS($AC$1006:AC1006),$AC$1006:$AS$1006,0))&gt;=100000), " ",IF(INDEX($AC$2:$AS$1001,MATCH(ROWS($V$2:V370),$V$2:$V$1001,0),MATCH(COLUMNS($AC$1006:AC1006),$AC$1006:$AS$1006,0)), HYPERLINK("#",""), HYPERLINK(CONCATENATE("#metadata!", ADDRESS(INDEX($X$2:$X$1001,MATCH(ROWS($V$2:V370),$V$2:$V$1001,0),0), INDEX($AC$1004:$AS$1004,1,MATCH(COLUMNS($AC$1006:AC1006),$AC$1006:$AS$1006,0)))),"Fix")))</f>
        <v xml:space="preserve"> </v>
      </c>
      <c r="C370" s="4" t="str">
        <f ca="1">IF(OR(INDEX($W$2:$W$1001,MATCH(ROWS($V$2:V370),$V$2:$V$1001,0),1)&gt;=100000,INDEX($AC$1005:$AS$1005,1,MATCH(COLUMNS($AC$1006:AD1006),$AC$1006:$AS$1006,0))&gt;=100000), " ",IF(INDEX($AC$2:$AS$1001,MATCH(ROWS($V$2:V370),$V$2:$V$1001,0),MATCH(COLUMNS($AC$1006:AD1006),$AC$1006:$AS$1006,0)), HYPERLINK("#",""), HYPERLINK(CONCATENATE("#metadata!", ADDRESS(INDEX($X$2:$X$1001,MATCH(ROWS($V$2:V370),$V$2:$V$1001,0),0), INDEX($AC$1004:$AS$1004,1,MATCH(COLUMNS($AC$1006:AD1006),$AC$1006:$AS$1006,0)))),"Fix")))</f>
        <v xml:space="preserve"> </v>
      </c>
      <c r="D370" s="4" t="str">
        <f ca="1">IF(OR(INDEX($W$2:$W$1001,MATCH(ROWS($V$2:V370),$V$2:$V$1001,0),1)&gt;=100000,INDEX($AC$1005:$AS$1005,1,MATCH(COLUMNS($AC$1006:AE1006),$AC$1006:$AS$1006,0))&gt;=100000), " ",IF(INDEX($AC$2:$AS$1001,MATCH(ROWS($V$2:V370),$V$2:$V$1001,0),MATCH(COLUMNS($AC$1006:AE1006),$AC$1006:$AS$1006,0)), HYPERLINK("#",""), HYPERLINK(CONCATENATE("#metadata!", ADDRESS(INDEX($X$2:$X$1001,MATCH(ROWS($V$2:V370),$V$2:$V$1001,0),0), INDEX($AC$1004:$AS$1004,1,MATCH(COLUMNS($AC$1006:AE1006),$AC$1006:$AS$1006,0)))),"Fix")))</f>
        <v xml:space="preserve"> </v>
      </c>
      <c r="E370" s="4" t="str">
        <f ca="1">IF(OR(INDEX($W$2:$W$1001,MATCH(ROWS($V$2:V370),$V$2:$V$1001,0),1)&gt;=100000,INDEX($AC$1005:$AS$1005,1,MATCH(COLUMNS($AC$1006:AF1006),$AC$1006:$AS$1006,0))&gt;=100000), " ",IF(INDEX($AC$2:$AS$1001,MATCH(ROWS($V$2:V370),$V$2:$V$1001,0),MATCH(COLUMNS($AC$1006:AF1006),$AC$1006:$AS$1006,0)), HYPERLINK("#",""), HYPERLINK(CONCATENATE("#metadata!", ADDRESS(INDEX($X$2:$X$1001,MATCH(ROWS($V$2:V370),$V$2:$V$1001,0),0), INDEX($AC$1004:$AS$1004,1,MATCH(COLUMNS($AC$1006:AF1006),$AC$1006:$AS$1006,0)))),"Fix")))</f>
        <v xml:space="preserve"> </v>
      </c>
      <c r="F370" s="4" t="str">
        <f ca="1">IF(OR(INDEX($W$2:$W$1001,MATCH(ROWS($V$2:V370),$V$2:$V$1001,0),1)&gt;=100000,INDEX($AC$1005:$AS$1005,1,MATCH(COLUMNS($AC$1006:AG1006),$AC$1006:$AS$1006,0))&gt;=100000), " ",IF(INDEX($AC$2:$AS$1001,MATCH(ROWS($V$2:V370),$V$2:$V$1001,0),MATCH(COLUMNS($AC$1006:AG1006),$AC$1006:$AS$1006,0)), HYPERLINK("#",""), HYPERLINK(CONCATENATE("#metadata!", ADDRESS(INDEX($X$2:$X$1001,MATCH(ROWS($V$2:V370),$V$2:$V$1001,0),0), INDEX($AC$1004:$AS$1004,1,MATCH(COLUMNS($AC$1006:AG1006),$AC$1006:$AS$1006,0)))),"Fix")))</f>
        <v xml:space="preserve"> </v>
      </c>
      <c r="G370" s="4" t="str">
        <f ca="1">IF(OR(INDEX($W$2:$W$1001,MATCH(ROWS($V$2:V370),$V$2:$V$1001,0),1)&gt;=100000,INDEX($AC$1005:$AS$1005,1,MATCH(COLUMNS($AC$1006:AH1006),$AC$1006:$AS$1006,0))&gt;=100000), " ",IF(INDEX($AC$2:$AS$1001,MATCH(ROWS($V$2:V370),$V$2:$V$1001,0),MATCH(COLUMNS($AC$1006:AH1006),$AC$1006:$AS$1006,0)), HYPERLINK("#",""), HYPERLINK(CONCATENATE("#metadata!", ADDRESS(INDEX($X$2:$X$1001,MATCH(ROWS($V$2:V370),$V$2:$V$1001,0),0), INDEX($AC$1004:$AS$1004,1,MATCH(COLUMNS($AC$1006:AH1006),$AC$1006:$AS$1006,0)))),"Fix")))</f>
        <v xml:space="preserve"> </v>
      </c>
      <c r="H370" s="4" t="str">
        <f ca="1">IF(OR(INDEX($W$2:$W$1001,MATCH(ROWS($V$2:V370),$V$2:$V$1001,0),1)&gt;=100000,INDEX($AC$1005:$AS$1005,1,MATCH(COLUMNS($AC$1006:AI1006),$AC$1006:$AS$1006,0))&gt;=100000), " ",IF(INDEX($AC$2:$AS$1001,MATCH(ROWS($V$2:V370),$V$2:$V$1001,0),MATCH(COLUMNS($AC$1006:AI1006),$AC$1006:$AS$1006,0)), HYPERLINK("#",""), HYPERLINK(CONCATENATE("#metadata!", ADDRESS(INDEX($X$2:$X$1001,MATCH(ROWS($V$2:V370),$V$2:$V$1001,0),0), INDEX($AC$1004:$AS$1004,1,MATCH(COLUMNS($AC$1006:AI1006),$AC$1006:$AS$1006,0)))),"Fix")))</f>
        <v xml:space="preserve"> </v>
      </c>
      <c r="I370" s="4" t="str">
        <f ca="1">IF(OR(INDEX($W$2:$W$1001,MATCH(ROWS($V$2:V370),$V$2:$V$1001,0),1)&gt;=100000,INDEX($AC$1005:$AS$1005,1,MATCH(COLUMNS($AC$1006:AJ1006),$AC$1006:$AS$1006,0))&gt;=100000), " ",IF(INDEX($AC$2:$AS$1001,MATCH(ROWS($V$2:V370),$V$2:$V$1001,0),MATCH(COLUMNS($AC$1006:AJ1006),$AC$1006:$AS$1006,0)), HYPERLINK("#",""), HYPERLINK(CONCATENATE("#metadata!", ADDRESS(INDEX($X$2:$X$1001,MATCH(ROWS($V$2:V370),$V$2:$V$1001,0),0), INDEX($AC$1004:$AS$1004,1,MATCH(COLUMNS($AC$1006:AJ1006),$AC$1006:$AS$1006,0)))),"Fix")))</f>
        <v xml:space="preserve"> </v>
      </c>
      <c r="J370" s="4" t="str">
        <f ca="1">IF(OR(INDEX($W$2:$W$1001,MATCH(ROWS($V$2:V370),$V$2:$V$1001,0),1)&gt;=100000,INDEX($AC$1005:$AS$1005,1,MATCH(COLUMNS($AC$1006:AK1006),$AC$1006:$AS$1006,0))&gt;=100000), " ",IF(INDEX($AC$2:$AS$1001,MATCH(ROWS($V$2:V370),$V$2:$V$1001,0),MATCH(COLUMNS($AC$1006:AK1006),$AC$1006:$AS$1006,0)), HYPERLINK("#",""), HYPERLINK(CONCATENATE("#metadata!", ADDRESS(INDEX($X$2:$X$1001,MATCH(ROWS($V$2:V370),$V$2:$V$1001,0),0), INDEX($AC$1004:$AS$1004,1,MATCH(COLUMNS($AC$1006:AK1006),$AC$1006:$AS$1006,0)))),"Fix")))</f>
        <v xml:space="preserve"> </v>
      </c>
      <c r="K370" s="4" t="str">
        <f ca="1">IF(OR(INDEX($W$2:$W$1001,MATCH(ROWS($V$2:V370),$V$2:$V$1001,0),1)&gt;=100000,INDEX($AC$1005:$AS$1005,1,MATCH(COLUMNS($AC$1006:AL1006),$AC$1006:$AS$1006,0))&gt;=100000), " ",IF(INDEX($AC$2:$AS$1001,MATCH(ROWS($V$2:V370),$V$2:$V$1001,0),MATCH(COLUMNS($AC$1006:AL1006),$AC$1006:$AS$1006,0)), HYPERLINK("#",""), HYPERLINK(CONCATENATE("#metadata!", ADDRESS(INDEX($X$2:$X$1001,MATCH(ROWS($V$2:V370),$V$2:$V$1001,0),0), INDEX($AC$1004:$AS$1004,1,MATCH(COLUMNS($AC$1006:AL1006),$AC$1006:$AS$1006,0)))),"Fix")))</f>
        <v xml:space="preserve"> </v>
      </c>
      <c r="L370" s="4" t="str">
        <f ca="1">IF(OR(INDEX($W$2:$W$1001,MATCH(ROWS($V$2:V370),$V$2:$V$1001,0),1)&gt;=100000,INDEX($AC$1005:$AS$1005,1,MATCH(COLUMNS($AC$1006:AM1006),$AC$1006:$AS$1006,0))&gt;=100000), " ",IF(INDEX($AC$2:$AS$1001,MATCH(ROWS($V$2:V370),$V$2:$V$1001,0),MATCH(COLUMNS($AC$1006:AM1006),$AC$1006:$AS$1006,0)), HYPERLINK("#",""), HYPERLINK(CONCATENATE("#metadata!", ADDRESS(INDEX($X$2:$X$1001,MATCH(ROWS($V$2:V370),$V$2:$V$1001,0),0), INDEX($AC$1004:$AS$1004,1,MATCH(COLUMNS($AC$1006:AM1006),$AC$1006:$AS$1006,0)))),"Fix")))</f>
        <v xml:space="preserve"> </v>
      </c>
      <c r="M370" s="4" t="str">
        <f ca="1">IF(OR(INDEX($W$2:$W$1001,MATCH(ROWS($V$2:V370),$V$2:$V$1001,0),1)&gt;=100000,INDEX($AC$1005:$AS$1005,1,MATCH(COLUMNS($AC$1006:AN1006),$AC$1006:$AS$1006,0))&gt;=100000), " ",IF(INDEX($AC$2:$AS$1001,MATCH(ROWS($V$2:V370),$V$2:$V$1001,0),MATCH(COLUMNS($AC$1006:AN1006),$AC$1006:$AS$1006,0)), HYPERLINK("#",""), HYPERLINK(CONCATENATE("#metadata!", ADDRESS(INDEX($X$2:$X$1001,MATCH(ROWS($V$2:V370),$V$2:$V$1001,0),0), INDEX($AC$1004:$AS$1004,1,MATCH(COLUMNS($AC$1006:AN1006),$AC$1006:$AS$1006,0)))),"Fix")))</f>
        <v xml:space="preserve"> </v>
      </c>
      <c r="N370" s="4" t="str">
        <f ca="1">IF(OR(INDEX($W$2:$W$1001,MATCH(ROWS($V$2:V370),$V$2:$V$1001,0),1)&gt;=100000,INDEX($AC$1005:$AS$1005,1,MATCH(COLUMNS($AC$1006:AO1006),$AC$1006:$AS$1006,0))&gt;=100000), " ",IF(INDEX($AC$2:$AS$1001,MATCH(ROWS($V$2:V370),$V$2:$V$1001,0),MATCH(COLUMNS($AC$1006:AO1006),$AC$1006:$AS$1006,0)), HYPERLINK("#",""), HYPERLINK(CONCATENATE("#metadata!", ADDRESS(INDEX($X$2:$X$1001,MATCH(ROWS($V$2:V370),$V$2:$V$1001,0),0), INDEX($AC$1004:$AS$1004,1,MATCH(COLUMNS($AC$1006:AO1006),$AC$1006:$AS$1006,0)))),"Fix")))</f>
        <v xml:space="preserve"> </v>
      </c>
      <c r="O370" s="4" t="str">
        <f ca="1">IF(OR(INDEX($W$2:$W$1001,MATCH(ROWS($V$2:V370),$V$2:$V$1001,0),1)&gt;=100000,INDEX($AC$1005:$AS$1005,1,MATCH(COLUMNS($AC$1006:AP1006),$AC$1006:$AS$1006,0))&gt;=100000), " ",IF(INDEX($AC$2:$AS$1001,MATCH(ROWS($V$2:V370),$V$2:$V$1001,0),MATCH(COLUMNS($AC$1006:AP1006),$AC$1006:$AS$1006,0)), HYPERLINK("#",""), HYPERLINK(CONCATENATE("#metadata!", ADDRESS(INDEX($X$2:$X$1001,MATCH(ROWS($V$2:V370),$V$2:$V$1001,0),0), INDEX($AC$1004:$AS$1004,1,MATCH(COLUMNS($AC$1006:AP1006),$AC$1006:$AS$1006,0)))),"Fix")))</f>
        <v xml:space="preserve"> </v>
      </c>
      <c r="P370" s="4" t="str">
        <f ca="1">IF(OR(INDEX($W$2:$W$1001,MATCH(ROWS($V$2:V370),$V$2:$V$1001,0),1)&gt;=100000,INDEX($AC$1005:$AS$1005,1,MATCH(COLUMNS($AC$1006:AQ1006),$AC$1006:$AS$1006,0))&gt;=100000), " ",IF(INDEX($AC$2:$AS$1001,MATCH(ROWS($V$2:V370),$V$2:$V$1001,0),MATCH(COLUMNS($AC$1006:AQ1006),$AC$1006:$AS$1006,0)), HYPERLINK("#",""), HYPERLINK(CONCATENATE("#metadata!", ADDRESS(INDEX($X$2:$X$1001,MATCH(ROWS($V$2:V370),$V$2:$V$1001,0),0), INDEX($AC$1004:$AS$1004,1,MATCH(COLUMNS($AC$1006:AQ1006),$AC$1006:$AS$1006,0)))),"Fix")))</f>
        <v xml:space="preserve"> </v>
      </c>
      <c r="Q370" s="4" t="str">
        <f ca="1">IF(OR(INDEX($W$2:$W$1001,MATCH(ROWS($V$2:V370),$V$2:$V$1001,0),1)&gt;=100000,INDEX($AC$1005:$AS$1005,1,MATCH(COLUMNS($AC$1006:AR1006),$AC$1006:$AS$1006,0))&gt;=100000), " ",IF(INDEX($AC$2:$AS$1001,MATCH(ROWS($V$2:V370),$V$2:$V$1001,0),MATCH(COLUMNS($AC$1006:AR1006),$AC$1006:$AS$1006,0)), HYPERLINK("#",""), HYPERLINK(CONCATENATE("#metadata!", ADDRESS(INDEX($X$2:$X$1001,MATCH(ROWS($V$2:V370),$V$2:$V$1001,0),0), INDEX($AC$1004:$AS$1004,1,MATCH(COLUMNS($AC$1006:AR1006),$AC$1006:$AS$1006,0)))),"Fix")))</f>
        <v xml:space="preserve"> </v>
      </c>
      <c r="R370" s="4" t="str">
        <f ca="1">IF(OR(INDEX($W$2:$W$1001,MATCH(ROWS($V$2:V370),$V$2:$V$1001,0),1)&gt;=100000,INDEX($AC$1005:$AS$1005,1,MATCH(COLUMNS($AC$1006:AS1006),$AC$1006:$AS$1006,0))&gt;=100000), " ",IF(INDEX($AC$2:$AS$1001,MATCH(ROWS($V$2:V370),$V$2:$V$1001,0),MATCH(COLUMNS($AC$1006:AS1006),$AC$1006:$AS$1006,0)), HYPERLINK("#",""), HYPERLINK(CONCATENATE("#metadata!", ADDRESS(INDEX($X$2:$X$1001,MATCH(ROWS($V$2:V370),$V$2:$V$1001,0),0), INDEX($AC$1004:$AS$1004,1,MATCH(COLUMNS($AC$1006:AS1006),$AC$1006:$AS$1006,0)))),"Fix")))</f>
        <v xml:space="preserve"> </v>
      </c>
      <c r="V370">
        <v>369</v>
      </c>
      <c r="W370">
        <v>100370</v>
      </c>
      <c r="X370">
        <v>370</v>
      </c>
      <c r="Y370" t="b">
        <f t="shared" si="5"/>
        <v>1</v>
      </c>
      <c r="Z370" t="b">
        <f>COUNTBLANK(metadata!B370:R370)=COLUMNS(metadata!B370:R370)</f>
        <v>1</v>
      </c>
      <c r="AA370" t="str">
        <v/>
      </c>
      <c r="AC370" t="b">
        <f ca="1"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AD370" t="b">
        <f>IF(metadata!C370="",FALSE,ISNUMBER(VALUE(metadata!C370)))</f>
        <v>0</v>
      </c>
      <c r="AE370" t="b">
        <f>AND(IF(metadata!D370="",FALSE,TRUE),EXACT(metadata!D370,"years"))</f>
        <v>0</v>
      </c>
      <c r="AF370" t="b">
        <f>OR(AND(IF(metadata!E370="",FALSE,TRUE),OR(EXACT(metadata!E370,"not applicable"),EXACT(metadata!E370,"missing: not collected"),EXACT(metadata!E370,"missing: not provided"),EXACT(metadata!E370,"missing: restricted access"))),AND(IF(metadata!E370="",FALSE,ISNUMBER(VALUE(metadata!E370))),metadata!E370&gt;0))</f>
        <v>0</v>
      </c>
      <c r="AG370" t="b">
        <f>AND(IF(metadata!F370="",FALSE,TRUE),EXACT(metadata!F370,"Not applicable"))</f>
        <v>0</v>
      </c>
      <c r="AH370" t="b">
        <f>AND(IF(metadata!G370="",FALSE,TRUE),EXACT(metadata!G370,"urban biome"))</f>
        <v>0</v>
      </c>
      <c r="AI370" t="b">
        <f>AND(IF(metadata!H370="",FALSE,TRUE),EXACT(metadata!H370,"human-associated habitat"))</f>
        <v>0</v>
      </c>
      <c r="AJ370" t="b">
        <f>AND(IF(metadata!I370="",FALSE,TRUE),OR(EXACT(metadata!I370,"human-associated"),EXACT(metadata!I370,"human-skin"),EXACT(metadata!I370,"human-oral"),EXACT(metadata!I370,"human-gut"),EXACT(metadata!I370,"human-vaginal")))</f>
        <v>0</v>
      </c>
      <c r="AK370" t="b">
        <f>IF(metadata!J370="",FALSE,ISNUMBER(VALUE(metadata!J370)))</f>
        <v>0</v>
      </c>
      <c r="AL370" t="b">
        <f>AND(IF(metadata!K370="",FALSE,TRUE),EXACT(metadata!K370,"cm"))</f>
        <v>0</v>
      </c>
      <c r="AM370" t="b">
        <f>AND(IF(metadata!L370="",FALSE,TRUE),EXACT(metadata!L370,"human"))</f>
        <v>0</v>
      </c>
      <c r="AN370" t="b">
        <f>AND(IF(metadata!M370="",FALSE,TRUE),EXACT(metadata!M370,"Homo sapiens"))</f>
        <v>0</v>
      </c>
      <c r="AO370" t="b">
        <f>AND(IF(metadata!N370="",FALSE,TRUE),EXACT(metadata!N370,"9606"))</f>
        <v>0</v>
      </c>
      <c r="AP370" t="b">
        <f>IF(metadata!O370="",FALSE,TRUE)</f>
        <v>0</v>
      </c>
      <c r="AQ370" t="b">
        <f>IF(metadata!P370="",FALSE,TRUE)</f>
        <v>0</v>
      </c>
      <c r="AR370" t="b">
        <f>IF(metadata!Q370="",FALSE,ISNUMBER(VALUE(metadata!Q370)))</f>
        <v>0</v>
      </c>
      <c r="AS370" t="b">
        <f>AND(IF(metadata!R370="",FALSE,TRUE),EXACT(metadata!R370,"kg"))</f>
        <v>0</v>
      </c>
    </row>
    <row r="371" spans="1:45" x14ac:dyDescent="0.2">
      <c r="A371" s="5" t="str">
        <f ca="1">IF(B371=" "," ",HYPERLINK(CONCATENATE("#metadata!",ADDRESS(INDEX($X$2:$X$1001,MATCH(ROWS($V$2:V371),$V$2:$V$1001,0),0),1)),INDEX($AA$2:$AA$1001,MATCH(ROWS($V$2:V371),$V$2:$V$1001,0),0)))</f>
        <v xml:space="preserve"> </v>
      </c>
      <c r="B371" s="4" t="str">
        <f ca="1">IF(OR(INDEX($W$2:$W$1001,MATCH(ROWS($V$2:V371),$V$2:$V$1001,0),1)&gt;=100000,INDEX($AC$1005:$AS$1005,1,MATCH(COLUMNS($AC$1006:AC1006),$AC$1006:$AS$1006,0))&gt;=100000), " ",IF(INDEX($AC$2:$AS$1001,MATCH(ROWS($V$2:V371),$V$2:$V$1001,0),MATCH(COLUMNS($AC$1006:AC1006),$AC$1006:$AS$1006,0)), HYPERLINK("#",""), HYPERLINK(CONCATENATE("#metadata!", ADDRESS(INDEX($X$2:$X$1001,MATCH(ROWS($V$2:V371),$V$2:$V$1001,0),0), INDEX($AC$1004:$AS$1004,1,MATCH(COLUMNS($AC$1006:AC1006),$AC$1006:$AS$1006,0)))),"Fix")))</f>
        <v xml:space="preserve"> </v>
      </c>
      <c r="C371" s="4" t="str">
        <f ca="1">IF(OR(INDEX($W$2:$W$1001,MATCH(ROWS($V$2:V371),$V$2:$V$1001,0),1)&gt;=100000,INDEX($AC$1005:$AS$1005,1,MATCH(COLUMNS($AC$1006:AD1006),$AC$1006:$AS$1006,0))&gt;=100000), " ",IF(INDEX($AC$2:$AS$1001,MATCH(ROWS($V$2:V371),$V$2:$V$1001,0),MATCH(COLUMNS($AC$1006:AD1006),$AC$1006:$AS$1006,0)), HYPERLINK("#",""), HYPERLINK(CONCATENATE("#metadata!", ADDRESS(INDEX($X$2:$X$1001,MATCH(ROWS($V$2:V371),$V$2:$V$1001,0),0), INDEX($AC$1004:$AS$1004,1,MATCH(COLUMNS($AC$1006:AD1006),$AC$1006:$AS$1006,0)))),"Fix")))</f>
        <v xml:space="preserve"> </v>
      </c>
      <c r="D371" s="4" t="str">
        <f ca="1">IF(OR(INDEX($W$2:$W$1001,MATCH(ROWS($V$2:V371),$V$2:$V$1001,0),1)&gt;=100000,INDEX($AC$1005:$AS$1005,1,MATCH(COLUMNS($AC$1006:AE1006),$AC$1006:$AS$1006,0))&gt;=100000), " ",IF(INDEX($AC$2:$AS$1001,MATCH(ROWS($V$2:V371),$V$2:$V$1001,0),MATCH(COLUMNS($AC$1006:AE1006),$AC$1006:$AS$1006,0)), HYPERLINK("#",""), HYPERLINK(CONCATENATE("#metadata!", ADDRESS(INDEX($X$2:$X$1001,MATCH(ROWS($V$2:V371),$V$2:$V$1001,0),0), INDEX($AC$1004:$AS$1004,1,MATCH(COLUMNS($AC$1006:AE1006),$AC$1006:$AS$1006,0)))),"Fix")))</f>
        <v xml:space="preserve"> </v>
      </c>
      <c r="E371" s="4" t="str">
        <f ca="1">IF(OR(INDEX($W$2:$W$1001,MATCH(ROWS($V$2:V371),$V$2:$V$1001,0),1)&gt;=100000,INDEX($AC$1005:$AS$1005,1,MATCH(COLUMNS($AC$1006:AF1006),$AC$1006:$AS$1006,0))&gt;=100000), " ",IF(INDEX($AC$2:$AS$1001,MATCH(ROWS($V$2:V371),$V$2:$V$1001,0),MATCH(COLUMNS($AC$1006:AF1006),$AC$1006:$AS$1006,0)), HYPERLINK("#",""), HYPERLINK(CONCATENATE("#metadata!", ADDRESS(INDEX($X$2:$X$1001,MATCH(ROWS($V$2:V371),$V$2:$V$1001,0),0), INDEX($AC$1004:$AS$1004,1,MATCH(COLUMNS($AC$1006:AF1006),$AC$1006:$AS$1006,0)))),"Fix")))</f>
        <v xml:space="preserve"> </v>
      </c>
      <c r="F371" s="4" t="str">
        <f ca="1">IF(OR(INDEX($W$2:$W$1001,MATCH(ROWS($V$2:V371),$V$2:$V$1001,0),1)&gt;=100000,INDEX($AC$1005:$AS$1005,1,MATCH(COLUMNS($AC$1006:AG1006),$AC$1006:$AS$1006,0))&gt;=100000), " ",IF(INDEX($AC$2:$AS$1001,MATCH(ROWS($V$2:V371),$V$2:$V$1001,0),MATCH(COLUMNS($AC$1006:AG1006),$AC$1006:$AS$1006,0)), HYPERLINK("#",""), HYPERLINK(CONCATENATE("#metadata!", ADDRESS(INDEX($X$2:$X$1001,MATCH(ROWS($V$2:V371),$V$2:$V$1001,0),0), INDEX($AC$1004:$AS$1004,1,MATCH(COLUMNS($AC$1006:AG1006),$AC$1006:$AS$1006,0)))),"Fix")))</f>
        <v xml:space="preserve"> </v>
      </c>
      <c r="G371" s="4" t="str">
        <f ca="1">IF(OR(INDEX($W$2:$W$1001,MATCH(ROWS($V$2:V371),$V$2:$V$1001,0),1)&gt;=100000,INDEX($AC$1005:$AS$1005,1,MATCH(COLUMNS($AC$1006:AH1006),$AC$1006:$AS$1006,0))&gt;=100000), " ",IF(INDEX($AC$2:$AS$1001,MATCH(ROWS($V$2:V371),$V$2:$V$1001,0),MATCH(COLUMNS($AC$1006:AH1006),$AC$1006:$AS$1006,0)), HYPERLINK("#",""), HYPERLINK(CONCATENATE("#metadata!", ADDRESS(INDEX($X$2:$X$1001,MATCH(ROWS($V$2:V371),$V$2:$V$1001,0),0), INDEX($AC$1004:$AS$1004,1,MATCH(COLUMNS($AC$1006:AH1006),$AC$1006:$AS$1006,0)))),"Fix")))</f>
        <v xml:space="preserve"> </v>
      </c>
      <c r="H371" s="4" t="str">
        <f ca="1">IF(OR(INDEX($W$2:$W$1001,MATCH(ROWS($V$2:V371),$V$2:$V$1001,0),1)&gt;=100000,INDEX($AC$1005:$AS$1005,1,MATCH(COLUMNS($AC$1006:AI1006),$AC$1006:$AS$1006,0))&gt;=100000), " ",IF(INDEX($AC$2:$AS$1001,MATCH(ROWS($V$2:V371),$V$2:$V$1001,0),MATCH(COLUMNS($AC$1006:AI1006),$AC$1006:$AS$1006,0)), HYPERLINK("#",""), HYPERLINK(CONCATENATE("#metadata!", ADDRESS(INDEX($X$2:$X$1001,MATCH(ROWS($V$2:V371),$V$2:$V$1001,0),0), INDEX($AC$1004:$AS$1004,1,MATCH(COLUMNS($AC$1006:AI1006),$AC$1006:$AS$1006,0)))),"Fix")))</f>
        <v xml:space="preserve"> </v>
      </c>
      <c r="I371" s="4" t="str">
        <f ca="1">IF(OR(INDEX($W$2:$W$1001,MATCH(ROWS($V$2:V371),$V$2:$V$1001,0),1)&gt;=100000,INDEX($AC$1005:$AS$1005,1,MATCH(COLUMNS($AC$1006:AJ1006),$AC$1006:$AS$1006,0))&gt;=100000), " ",IF(INDEX($AC$2:$AS$1001,MATCH(ROWS($V$2:V371),$V$2:$V$1001,0),MATCH(COLUMNS($AC$1006:AJ1006),$AC$1006:$AS$1006,0)), HYPERLINK("#",""), HYPERLINK(CONCATENATE("#metadata!", ADDRESS(INDEX($X$2:$X$1001,MATCH(ROWS($V$2:V371),$V$2:$V$1001,0),0), INDEX($AC$1004:$AS$1004,1,MATCH(COLUMNS($AC$1006:AJ1006),$AC$1006:$AS$1006,0)))),"Fix")))</f>
        <v xml:space="preserve"> </v>
      </c>
      <c r="J371" s="4" t="str">
        <f ca="1">IF(OR(INDEX($W$2:$W$1001,MATCH(ROWS($V$2:V371),$V$2:$V$1001,0),1)&gt;=100000,INDEX($AC$1005:$AS$1005,1,MATCH(COLUMNS($AC$1006:AK1006),$AC$1006:$AS$1006,0))&gt;=100000), " ",IF(INDEX($AC$2:$AS$1001,MATCH(ROWS($V$2:V371),$V$2:$V$1001,0),MATCH(COLUMNS($AC$1006:AK1006),$AC$1006:$AS$1006,0)), HYPERLINK("#",""), HYPERLINK(CONCATENATE("#metadata!", ADDRESS(INDEX($X$2:$X$1001,MATCH(ROWS($V$2:V371),$V$2:$V$1001,0),0), INDEX($AC$1004:$AS$1004,1,MATCH(COLUMNS($AC$1006:AK1006),$AC$1006:$AS$1006,0)))),"Fix")))</f>
        <v xml:space="preserve"> </v>
      </c>
      <c r="K371" s="4" t="str">
        <f ca="1">IF(OR(INDEX($W$2:$W$1001,MATCH(ROWS($V$2:V371),$V$2:$V$1001,0),1)&gt;=100000,INDEX($AC$1005:$AS$1005,1,MATCH(COLUMNS($AC$1006:AL1006),$AC$1006:$AS$1006,0))&gt;=100000), " ",IF(INDEX($AC$2:$AS$1001,MATCH(ROWS($V$2:V371),$V$2:$V$1001,0),MATCH(COLUMNS($AC$1006:AL1006),$AC$1006:$AS$1006,0)), HYPERLINK("#",""), HYPERLINK(CONCATENATE("#metadata!", ADDRESS(INDEX($X$2:$X$1001,MATCH(ROWS($V$2:V371),$V$2:$V$1001,0),0), INDEX($AC$1004:$AS$1004,1,MATCH(COLUMNS($AC$1006:AL1006),$AC$1006:$AS$1006,0)))),"Fix")))</f>
        <v xml:space="preserve"> </v>
      </c>
      <c r="L371" s="4" t="str">
        <f ca="1">IF(OR(INDEX($W$2:$W$1001,MATCH(ROWS($V$2:V371),$V$2:$V$1001,0),1)&gt;=100000,INDEX($AC$1005:$AS$1005,1,MATCH(COLUMNS($AC$1006:AM1006),$AC$1006:$AS$1006,0))&gt;=100000), " ",IF(INDEX($AC$2:$AS$1001,MATCH(ROWS($V$2:V371),$V$2:$V$1001,0),MATCH(COLUMNS($AC$1006:AM1006),$AC$1006:$AS$1006,0)), HYPERLINK("#",""), HYPERLINK(CONCATENATE("#metadata!", ADDRESS(INDEX($X$2:$X$1001,MATCH(ROWS($V$2:V371),$V$2:$V$1001,0),0), INDEX($AC$1004:$AS$1004,1,MATCH(COLUMNS($AC$1006:AM1006),$AC$1006:$AS$1006,0)))),"Fix")))</f>
        <v xml:space="preserve"> </v>
      </c>
      <c r="M371" s="4" t="str">
        <f ca="1">IF(OR(INDEX($W$2:$W$1001,MATCH(ROWS($V$2:V371),$V$2:$V$1001,0),1)&gt;=100000,INDEX($AC$1005:$AS$1005,1,MATCH(COLUMNS($AC$1006:AN1006),$AC$1006:$AS$1006,0))&gt;=100000), " ",IF(INDEX($AC$2:$AS$1001,MATCH(ROWS($V$2:V371),$V$2:$V$1001,0),MATCH(COLUMNS($AC$1006:AN1006),$AC$1006:$AS$1006,0)), HYPERLINK("#",""), HYPERLINK(CONCATENATE("#metadata!", ADDRESS(INDEX($X$2:$X$1001,MATCH(ROWS($V$2:V371),$V$2:$V$1001,0),0), INDEX($AC$1004:$AS$1004,1,MATCH(COLUMNS($AC$1006:AN1006),$AC$1006:$AS$1006,0)))),"Fix")))</f>
        <v xml:space="preserve"> </v>
      </c>
      <c r="N371" s="4" t="str">
        <f ca="1">IF(OR(INDEX($W$2:$W$1001,MATCH(ROWS($V$2:V371),$V$2:$V$1001,0),1)&gt;=100000,INDEX($AC$1005:$AS$1005,1,MATCH(COLUMNS($AC$1006:AO1006),$AC$1006:$AS$1006,0))&gt;=100000), " ",IF(INDEX($AC$2:$AS$1001,MATCH(ROWS($V$2:V371),$V$2:$V$1001,0),MATCH(COLUMNS($AC$1006:AO1006),$AC$1006:$AS$1006,0)), HYPERLINK("#",""), HYPERLINK(CONCATENATE("#metadata!", ADDRESS(INDEX($X$2:$X$1001,MATCH(ROWS($V$2:V371),$V$2:$V$1001,0),0), INDEX($AC$1004:$AS$1004,1,MATCH(COLUMNS($AC$1006:AO1006),$AC$1006:$AS$1006,0)))),"Fix")))</f>
        <v xml:space="preserve"> </v>
      </c>
      <c r="O371" s="4" t="str">
        <f ca="1">IF(OR(INDEX($W$2:$W$1001,MATCH(ROWS($V$2:V371),$V$2:$V$1001,0),1)&gt;=100000,INDEX($AC$1005:$AS$1005,1,MATCH(COLUMNS($AC$1006:AP1006),$AC$1006:$AS$1006,0))&gt;=100000), " ",IF(INDEX($AC$2:$AS$1001,MATCH(ROWS($V$2:V371),$V$2:$V$1001,0),MATCH(COLUMNS($AC$1006:AP1006),$AC$1006:$AS$1006,0)), HYPERLINK("#",""), HYPERLINK(CONCATENATE("#metadata!", ADDRESS(INDEX($X$2:$X$1001,MATCH(ROWS($V$2:V371),$V$2:$V$1001,0),0), INDEX($AC$1004:$AS$1004,1,MATCH(COLUMNS($AC$1006:AP1006),$AC$1006:$AS$1006,0)))),"Fix")))</f>
        <v xml:space="preserve"> </v>
      </c>
      <c r="P371" s="4" t="str">
        <f ca="1">IF(OR(INDEX($W$2:$W$1001,MATCH(ROWS($V$2:V371),$V$2:$V$1001,0),1)&gt;=100000,INDEX($AC$1005:$AS$1005,1,MATCH(COLUMNS($AC$1006:AQ1006),$AC$1006:$AS$1006,0))&gt;=100000), " ",IF(INDEX($AC$2:$AS$1001,MATCH(ROWS($V$2:V371),$V$2:$V$1001,0),MATCH(COLUMNS($AC$1006:AQ1006),$AC$1006:$AS$1006,0)), HYPERLINK("#",""), HYPERLINK(CONCATENATE("#metadata!", ADDRESS(INDEX($X$2:$X$1001,MATCH(ROWS($V$2:V371),$V$2:$V$1001,0),0), INDEX($AC$1004:$AS$1004,1,MATCH(COLUMNS($AC$1006:AQ1006),$AC$1006:$AS$1006,0)))),"Fix")))</f>
        <v xml:space="preserve"> </v>
      </c>
      <c r="Q371" s="4" t="str">
        <f ca="1">IF(OR(INDEX($W$2:$W$1001,MATCH(ROWS($V$2:V371),$V$2:$V$1001,0),1)&gt;=100000,INDEX($AC$1005:$AS$1005,1,MATCH(COLUMNS($AC$1006:AR1006),$AC$1006:$AS$1006,0))&gt;=100000), " ",IF(INDEX($AC$2:$AS$1001,MATCH(ROWS($V$2:V371),$V$2:$V$1001,0),MATCH(COLUMNS($AC$1006:AR1006),$AC$1006:$AS$1006,0)), HYPERLINK("#",""), HYPERLINK(CONCATENATE("#metadata!", ADDRESS(INDEX($X$2:$X$1001,MATCH(ROWS($V$2:V371),$V$2:$V$1001,0),0), INDEX($AC$1004:$AS$1004,1,MATCH(COLUMNS($AC$1006:AR1006),$AC$1006:$AS$1006,0)))),"Fix")))</f>
        <v xml:space="preserve"> </v>
      </c>
      <c r="R371" s="4" t="str">
        <f ca="1">IF(OR(INDEX($W$2:$W$1001,MATCH(ROWS($V$2:V371),$V$2:$V$1001,0),1)&gt;=100000,INDEX($AC$1005:$AS$1005,1,MATCH(COLUMNS($AC$1006:AS1006),$AC$1006:$AS$1006,0))&gt;=100000), " ",IF(INDEX($AC$2:$AS$1001,MATCH(ROWS($V$2:V371),$V$2:$V$1001,0),MATCH(COLUMNS($AC$1006:AS1006),$AC$1006:$AS$1006,0)), HYPERLINK("#",""), HYPERLINK(CONCATENATE("#metadata!", ADDRESS(INDEX($X$2:$X$1001,MATCH(ROWS($V$2:V371),$V$2:$V$1001,0),0), INDEX($AC$1004:$AS$1004,1,MATCH(COLUMNS($AC$1006:AS1006),$AC$1006:$AS$1006,0)))),"Fix")))</f>
        <v xml:space="preserve"> </v>
      </c>
      <c r="V371">
        <v>370</v>
      </c>
      <c r="W371">
        <v>100371</v>
      </c>
      <c r="X371">
        <v>371</v>
      </c>
      <c r="Y371" t="b">
        <f t="shared" si="5"/>
        <v>1</v>
      </c>
      <c r="Z371" t="b">
        <f>COUNTBLANK(metadata!B371:R371)=COLUMNS(metadata!B371:R371)</f>
        <v>1</v>
      </c>
      <c r="AA371" t="str">
        <v/>
      </c>
      <c r="AC371" t="b">
        <f ca="1"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AD371" t="b">
        <f>IF(metadata!C371="",FALSE,ISNUMBER(VALUE(metadata!C371)))</f>
        <v>0</v>
      </c>
      <c r="AE371" t="b">
        <f>AND(IF(metadata!D371="",FALSE,TRUE),EXACT(metadata!D371,"years"))</f>
        <v>0</v>
      </c>
      <c r="AF371" t="b">
        <f>OR(AND(IF(metadata!E371="",FALSE,TRUE),OR(EXACT(metadata!E371,"not applicable"),EXACT(metadata!E371,"missing: not collected"),EXACT(metadata!E371,"missing: not provided"),EXACT(metadata!E371,"missing: restricted access"))),AND(IF(metadata!E371="",FALSE,ISNUMBER(VALUE(metadata!E371))),metadata!E371&gt;0))</f>
        <v>0</v>
      </c>
      <c r="AG371" t="b">
        <f>AND(IF(metadata!F371="",FALSE,TRUE),EXACT(metadata!F371,"Not applicable"))</f>
        <v>0</v>
      </c>
      <c r="AH371" t="b">
        <f>AND(IF(metadata!G371="",FALSE,TRUE),EXACT(metadata!G371,"urban biome"))</f>
        <v>0</v>
      </c>
      <c r="AI371" t="b">
        <f>AND(IF(metadata!H371="",FALSE,TRUE),EXACT(metadata!H371,"human-associated habitat"))</f>
        <v>0</v>
      </c>
      <c r="AJ371" t="b">
        <f>AND(IF(metadata!I371="",FALSE,TRUE),OR(EXACT(metadata!I371,"human-associated"),EXACT(metadata!I371,"human-skin"),EXACT(metadata!I371,"human-oral"),EXACT(metadata!I371,"human-gut"),EXACT(metadata!I371,"human-vaginal")))</f>
        <v>0</v>
      </c>
      <c r="AK371" t="b">
        <f>IF(metadata!J371="",FALSE,ISNUMBER(VALUE(metadata!J371)))</f>
        <v>0</v>
      </c>
      <c r="AL371" t="b">
        <f>AND(IF(metadata!K371="",FALSE,TRUE),EXACT(metadata!K371,"cm"))</f>
        <v>0</v>
      </c>
      <c r="AM371" t="b">
        <f>AND(IF(metadata!L371="",FALSE,TRUE),EXACT(metadata!L371,"human"))</f>
        <v>0</v>
      </c>
      <c r="AN371" t="b">
        <f>AND(IF(metadata!M371="",FALSE,TRUE),EXACT(metadata!M371,"Homo sapiens"))</f>
        <v>0</v>
      </c>
      <c r="AO371" t="b">
        <f>AND(IF(metadata!N371="",FALSE,TRUE),EXACT(metadata!N371,"9606"))</f>
        <v>0</v>
      </c>
      <c r="AP371" t="b">
        <f>IF(metadata!O371="",FALSE,TRUE)</f>
        <v>0</v>
      </c>
      <c r="AQ371" t="b">
        <f>IF(metadata!P371="",FALSE,TRUE)</f>
        <v>0</v>
      </c>
      <c r="AR371" t="b">
        <f>IF(metadata!Q371="",FALSE,ISNUMBER(VALUE(metadata!Q371)))</f>
        <v>0</v>
      </c>
      <c r="AS371" t="b">
        <f>AND(IF(metadata!R371="",FALSE,TRUE),EXACT(metadata!R371,"kg"))</f>
        <v>0</v>
      </c>
    </row>
    <row r="372" spans="1:45" x14ac:dyDescent="0.2">
      <c r="A372" s="5" t="str">
        <f ca="1">IF(B372=" "," ",HYPERLINK(CONCATENATE("#metadata!",ADDRESS(INDEX($X$2:$X$1001,MATCH(ROWS($V$2:V372),$V$2:$V$1001,0),0),1)),INDEX($AA$2:$AA$1001,MATCH(ROWS($V$2:V372),$V$2:$V$1001,0),0)))</f>
        <v xml:space="preserve"> </v>
      </c>
      <c r="B372" s="4" t="str">
        <f ca="1">IF(OR(INDEX($W$2:$W$1001,MATCH(ROWS($V$2:V372),$V$2:$V$1001,0),1)&gt;=100000,INDEX($AC$1005:$AS$1005,1,MATCH(COLUMNS($AC$1006:AC1006),$AC$1006:$AS$1006,0))&gt;=100000), " ",IF(INDEX($AC$2:$AS$1001,MATCH(ROWS($V$2:V372),$V$2:$V$1001,0),MATCH(COLUMNS($AC$1006:AC1006),$AC$1006:$AS$1006,0)), HYPERLINK("#",""), HYPERLINK(CONCATENATE("#metadata!", ADDRESS(INDEX($X$2:$X$1001,MATCH(ROWS($V$2:V372),$V$2:$V$1001,0),0), INDEX($AC$1004:$AS$1004,1,MATCH(COLUMNS($AC$1006:AC1006),$AC$1006:$AS$1006,0)))),"Fix")))</f>
        <v xml:space="preserve"> </v>
      </c>
      <c r="C372" s="4" t="str">
        <f ca="1">IF(OR(INDEX($W$2:$W$1001,MATCH(ROWS($V$2:V372),$V$2:$V$1001,0),1)&gt;=100000,INDEX($AC$1005:$AS$1005,1,MATCH(COLUMNS($AC$1006:AD1006),$AC$1006:$AS$1006,0))&gt;=100000), " ",IF(INDEX($AC$2:$AS$1001,MATCH(ROWS($V$2:V372),$V$2:$V$1001,0),MATCH(COLUMNS($AC$1006:AD1006),$AC$1006:$AS$1006,0)), HYPERLINK("#",""), HYPERLINK(CONCATENATE("#metadata!", ADDRESS(INDEX($X$2:$X$1001,MATCH(ROWS($V$2:V372),$V$2:$V$1001,0),0), INDEX($AC$1004:$AS$1004,1,MATCH(COLUMNS($AC$1006:AD1006),$AC$1006:$AS$1006,0)))),"Fix")))</f>
        <v xml:space="preserve"> </v>
      </c>
      <c r="D372" s="4" t="str">
        <f ca="1">IF(OR(INDEX($W$2:$W$1001,MATCH(ROWS($V$2:V372),$V$2:$V$1001,0),1)&gt;=100000,INDEX($AC$1005:$AS$1005,1,MATCH(COLUMNS($AC$1006:AE1006),$AC$1006:$AS$1006,0))&gt;=100000), " ",IF(INDEX($AC$2:$AS$1001,MATCH(ROWS($V$2:V372),$V$2:$V$1001,0),MATCH(COLUMNS($AC$1006:AE1006),$AC$1006:$AS$1006,0)), HYPERLINK("#",""), HYPERLINK(CONCATENATE("#metadata!", ADDRESS(INDEX($X$2:$X$1001,MATCH(ROWS($V$2:V372),$V$2:$V$1001,0),0), INDEX($AC$1004:$AS$1004,1,MATCH(COLUMNS($AC$1006:AE1006),$AC$1006:$AS$1006,0)))),"Fix")))</f>
        <v xml:space="preserve"> </v>
      </c>
      <c r="E372" s="4" t="str">
        <f ca="1">IF(OR(INDEX($W$2:$W$1001,MATCH(ROWS($V$2:V372),$V$2:$V$1001,0),1)&gt;=100000,INDEX($AC$1005:$AS$1005,1,MATCH(COLUMNS($AC$1006:AF1006),$AC$1006:$AS$1006,0))&gt;=100000), " ",IF(INDEX($AC$2:$AS$1001,MATCH(ROWS($V$2:V372),$V$2:$V$1001,0),MATCH(COLUMNS($AC$1006:AF1006),$AC$1006:$AS$1006,0)), HYPERLINK("#",""), HYPERLINK(CONCATENATE("#metadata!", ADDRESS(INDEX($X$2:$X$1001,MATCH(ROWS($V$2:V372),$V$2:$V$1001,0),0), INDEX($AC$1004:$AS$1004,1,MATCH(COLUMNS($AC$1006:AF1006),$AC$1006:$AS$1006,0)))),"Fix")))</f>
        <v xml:space="preserve"> </v>
      </c>
      <c r="F372" s="4" t="str">
        <f ca="1">IF(OR(INDEX($W$2:$W$1001,MATCH(ROWS($V$2:V372),$V$2:$V$1001,0),1)&gt;=100000,INDEX($AC$1005:$AS$1005,1,MATCH(COLUMNS($AC$1006:AG1006),$AC$1006:$AS$1006,0))&gt;=100000), " ",IF(INDEX($AC$2:$AS$1001,MATCH(ROWS($V$2:V372),$V$2:$V$1001,0),MATCH(COLUMNS($AC$1006:AG1006),$AC$1006:$AS$1006,0)), HYPERLINK("#",""), HYPERLINK(CONCATENATE("#metadata!", ADDRESS(INDEX($X$2:$X$1001,MATCH(ROWS($V$2:V372),$V$2:$V$1001,0),0), INDEX($AC$1004:$AS$1004,1,MATCH(COLUMNS($AC$1006:AG1006),$AC$1006:$AS$1006,0)))),"Fix")))</f>
        <v xml:space="preserve"> </v>
      </c>
      <c r="G372" s="4" t="str">
        <f ca="1">IF(OR(INDEX($W$2:$W$1001,MATCH(ROWS($V$2:V372),$V$2:$V$1001,0),1)&gt;=100000,INDEX($AC$1005:$AS$1005,1,MATCH(COLUMNS($AC$1006:AH1006),$AC$1006:$AS$1006,0))&gt;=100000), " ",IF(INDEX($AC$2:$AS$1001,MATCH(ROWS($V$2:V372),$V$2:$V$1001,0),MATCH(COLUMNS($AC$1006:AH1006),$AC$1006:$AS$1006,0)), HYPERLINK("#",""), HYPERLINK(CONCATENATE("#metadata!", ADDRESS(INDEX($X$2:$X$1001,MATCH(ROWS($V$2:V372),$V$2:$V$1001,0),0), INDEX($AC$1004:$AS$1004,1,MATCH(COLUMNS($AC$1006:AH1006),$AC$1006:$AS$1006,0)))),"Fix")))</f>
        <v xml:space="preserve"> </v>
      </c>
      <c r="H372" s="4" t="str">
        <f ca="1">IF(OR(INDEX($W$2:$W$1001,MATCH(ROWS($V$2:V372),$V$2:$V$1001,0),1)&gt;=100000,INDEX($AC$1005:$AS$1005,1,MATCH(COLUMNS($AC$1006:AI1006),$AC$1006:$AS$1006,0))&gt;=100000), " ",IF(INDEX($AC$2:$AS$1001,MATCH(ROWS($V$2:V372),$V$2:$V$1001,0),MATCH(COLUMNS($AC$1006:AI1006),$AC$1006:$AS$1006,0)), HYPERLINK("#",""), HYPERLINK(CONCATENATE("#metadata!", ADDRESS(INDEX($X$2:$X$1001,MATCH(ROWS($V$2:V372),$V$2:$V$1001,0),0), INDEX($AC$1004:$AS$1004,1,MATCH(COLUMNS($AC$1006:AI1006),$AC$1006:$AS$1006,0)))),"Fix")))</f>
        <v xml:space="preserve"> </v>
      </c>
      <c r="I372" s="4" t="str">
        <f ca="1">IF(OR(INDEX($W$2:$W$1001,MATCH(ROWS($V$2:V372),$V$2:$V$1001,0),1)&gt;=100000,INDEX($AC$1005:$AS$1005,1,MATCH(COLUMNS($AC$1006:AJ1006),$AC$1006:$AS$1006,0))&gt;=100000), " ",IF(INDEX($AC$2:$AS$1001,MATCH(ROWS($V$2:V372),$V$2:$V$1001,0),MATCH(COLUMNS($AC$1006:AJ1006),$AC$1006:$AS$1006,0)), HYPERLINK("#",""), HYPERLINK(CONCATENATE("#metadata!", ADDRESS(INDEX($X$2:$X$1001,MATCH(ROWS($V$2:V372),$V$2:$V$1001,0),0), INDEX($AC$1004:$AS$1004,1,MATCH(COLUMNS($AC$1006:AJ1006),$AC$1006:$AS$1006,0)))),"Fix")))</f>
        <v xml:space="preserve"> </v>
      </c>
      <c r="J372" s="4" t="str">
        <f ca="1">IF(OR(INDEX($W$2:$W$1001,MATCH(ROWS($V$2:V372),$V$2:$V$1001,0),1)&gt;=100000,INDEX($AC$1005:$AS$1005,1,MATCH(COLUMNS($AC$1006:AK1006),$AC$1006:$AS$1006,0))&gt;=100000), " ",IF(INDEX($AC$2:$AS$1001,MATCH(ROWS($V$2:V372),$V$2:$V$1001,0),MATCH(COLUMNS($AC$1006:AK1006),$AC$1006:$AS$1006,0)), HYPERLINK("#",""), HYPERLINK(CONCATENATE("#metadata!", ADDRESS(INDEX($X$2:$X$1001,MATCH(ROWS($V$2:V372),$V$2:$V$1001,0),0), INDEX($AC$1004:$AS$1004,1,MATCH(COLUMNS($AC$1006:AK1006),$AC$1006:$AS$1006,0)))),"Fix")))</f>
        <v xml:space="preserve"> </v>
      </c>
      <c r="K372" s="4" t="str">
        <f ca="1">IF(OR(INDEX($W$2:$W$1001,MATCH(ROWS($V$2:V372),$V$2:$V$1001,0),1)&gt;=100000,INDEX($AC$1005:$AS$1005,1,MATCH(COLUMNS($AC$1006:AL1006),$AC$1006:$AS$1006,0))&gt;=100000), " ",IF(INDEX($AC$2:$AS$1001,MATCH(ROWS($V$2:V372),$V$2:$V$1001,0),MATCH(COLUMNS($AC$1006:AL1006),$AC$1006:$AS$1006,0)), HYPERLINK("#",""), HYPERLINK(CONCATENATE("#metadata!", ADDRESS(INDEX($X$2:$X$1001,MATCH(ROWS($V$2:V372),$V$2:$V$1001,0),0), INDEX($AC$1004:$AS$1004,1,MATCH(COLUMNS($AC$1006:AL1006),$AC$1006:$AS$1006,0)))),"Fix")))</f>
        <v xml:space="preserve"> </v>
      </c>
      <c r="L372" s="4" t="str">
        <f ca="1">IF(OR(INDEX($W$2:$W$1001,MATCH(ROWS($V$2:V372),$V$2:$V$1001,0),1)&gt;=100000,INDEX($AC$1005:$AS$1005,1,MATCH(COLUMNS($AC$1006:AM1006),$AC$1006:$AS$1006,0))&gt;=100000), " ",IF(INDEX($AC$2:$AS$1001,MATCH(ROWS($V$2:V372),$V$2:$V$1001,0),MATCH(COLUMNS($AC$1006:AM1006),$AC$1006:$AS$1006,0)), HYPERLINK("#",""), HYPERLINK(CONCATENATE("#metadata!", ADDRESS(INDEX($X$2:$X$1001,MATCH(ROWS($V$2:V372),$V$2:$V$1001,0),0), INDEX($AC$1004:$AS$1004,1,MATCH(COLUMNS($AC$1006:AM1006),$AC$1006:$AS$1006,0)))),"Fix")))</f>
        <v xml:space="preserve"> </v>
      </c>
      <c r="M372" s="4" t="str">
        <f ca="1">IF(OR(INDEX($W$2:$W$1001,MATCH(ROWS($V$2:V372),$V$2:$V$1001,0),1)&gt;=100000,INDEX($AC$1005:$AS$1005,1,MATCH(COLUMNS($AC$1006:AN1006),$AC$1006:$AS$1006,0))&gt;=100000), " ",IF(INDEX($AC$2:$AS$1001,MATCH(ROWS($V$2:V372),$V$2:$V$1001,0),MATCH(COLUMNS($AC$1006:AN1006),$AC$1006:$AS$1006,0)), HYPERLINK("#",""), HYPERLINK(CONCATENATE("#metadata!", ADDRESS(INDEX($X$2:$X$1001,MATCH(ROWS($V$2:V372),$V$2:$V$1001,0),0), INDEX($AC$1004:$AS$1004,1,MATCH(COLUMNS($AC$1006:AN1006),$AC$1006:$AS$1006,0)))),"Fix")))</f>
        <v xml:space="preserve"> </v>
      </c>
      <c r="N372" s="4" t="str">
        <f ca="1">IF(OR(INDEX($W$2:$W$1001,MATCH(ROWS($V$2:V372),$V$2:$V$1001,0),1)&gt;=100000,INDEX($AC$1005:$AS$1005,1,MATCH(COLUMNS($AC$1006:AO1006),$AC$1006:$AS$1006,0))&gt;=100000), " ",IF(INDEX($AC$2:$AS$1001,MATCH(ROWS($V$2:V372),$V$2:$V$1001,0),MATCH(COLUMNS($AC$1006:AO1006),$AC$1006:$AS$1006,0)), HYPERLINK("#",""), HYPERLINK(CONCATENATE("#metadata!", ADDRESS(INDEX($X$2:$X$1001,MATCH(ROWS($V$2:V372),$V$2:$V$1001,0),0), INDEX($AC$1004:$AS$1004,1,MATCH(COLUMNS($AC$1006:AO1006),$AC$1006:$AS$1006,0)))),"Fix")))</f>
        <v xml:space="preserve"> </v>
      </c>
      <c r="O372" s="4" t="str">
        <f ca="1">IF(OR(INDEX($W$2:$W$1001,MATCH(ROWS($V$2:V372),$V$2:$V$1001,0),1)&gt;=100000,INDEX($AC$1005:$AS$1005,1,MATCH(COLUMNS($AC$1006:AP1006),$AC$1006:$AS$1006,0))&gt;=100000), " ",IF(INDEX($AC$2:$AS$1001,MATCH(ROWS($V$2:V372),$V$2:$V$1001,0),MATCH(COLUMNS($AC$1006:AP1006),$AC$1006:$AS$1006,0)), HYPERLINK("#",""), HYPERLINK(CONCATENATE("#metadata!", ADDRESS(INDEX($X$2:$X$1001,MATCH(ROWS($V$2:V372),$V$2:$V$1001,0),0), INDEX($AC$1004:$AS$1004,1,MATCH(COLUMNS($AC$1006:AP1006),$AC$1006:$AS$1006,0)))),"Fix")))</f>
        <v xml:space="preserve"> </v>
      </c>
      <c r="P372" s="4" t="str">
        <f ca="1">IF(OR(INDEX($W$2:$W$1001,MATCH(ROWS($V$2:V372),$V$2:$V$1001,0),1)&gt;=100000,INDEX($AC$1005:$AS$1005,1,MATCH(COLUMNS($AC$1006:AQ1006),$AC$1006:$AS$1006,0))&gt;=100000), " ",IF(INDEX($AC$2:$AS$1001,MATCH(ROWS($V$2:V372),$V$2:$V$1001,0),MATCH(COLUMNS($AC$1006:AQ1006),$AC$1006:$AS$1006,0)), HYPERLINK("#",""), HYPERLINK(CONCATENATE("#metadata!", ADDRESS(INDEX($X$2:$X$1001,MATCH(ROWS($V$2:V372),$V$2:$V$1001,0),0), INDEX($AC$1004:$AS$1004,1,MATCH(COLUMNS($AC$1006:AQ1006),$AC$1006:$AS$1006,0)))),"Fix")))</f>
        <v xml:space="preserve"> </v>
      </c>
      <c r="Q372" s="4" t="str">
        <f ca="1">IF(OR(INDEX($W$2:$W$1001,MATCH(ROWS($V$2:V372),$V$2:$V$1001,0),1)&gt;=100000,INDEX($AC$1005:$AS$1005,1,MATCH(COLUMNS($AC$1006:AR1006),$AC$1006:$AS$1006,0))&gt;=100000), " ",IF(INDEX($AC$2:$AS$1001,MATCH(ROWS($V$2:V372),$V$2:$V$1001,0),MATCH(COLUMNS($AC$1006:AR1006),$AC$1006:$AS$1006,0)), HYPERLINK("#",""), HYPERLINK(CONCATENATE("#metadata!", ADDRESS(INDEX($X$2:$X$1001,MATCH(ROWS($V$2:V372),$V$2:$V$1001,0),0), INDEX($AC$1004:$AS$1004,1,MATCH(COLUMNS($AC$1006:AR1006),$AC$1006:$AS$1006,0)))),"Fix")))</f>
        <v xml:space="preserve"> </v>
      </c>
      <c r="R372" s="4" t="str">
        <f ca="1">IF(OR(INDEX($W$2:$W$1001,MATCH(ROWS($V$2:V372),$V$2:$V$1001,0),1)&gt;=100000,INDEX($AC$1005:$AS$1005,1,MATCH(COLUMNS($AC$1006:AS1006),$AC$1006:$AS$1006,0))&gt;=100000), " ",IF(INDEX($AC$2:$AS$1001,MATCH(ROWS($V$2:V372),$V$2:$V$1001,0),MATCH(COLUMNS($AC$1006:AS1006),$AC$1006:$AS$1006,0)), HYPERLINK("#",""), HYPERLINK(CONCATENATE("#metadata!", ADDRESS(INDEX($X$2:$X$1001,MATCH(ROWS($V$2:V372),$V$2:$V$1001,0),0), INDEX($AC$1004:$AS$1004,1,MATCH(COLUMNS($AC$1006:AS1006),$AC$1006:$AS$1006,0)))),"Fix")))</f>
        <v xml:space="preserve"> </v>
      </c>
      <c r="V372">
        <v>371</v>
      </c>
      <c r="W372">
        <v>100372</v>
      </c>
      <c r="X372">
        <v>372</v>
      </c>
      <c r="Y372" t="b">
        <f t="shared" si="5"/>
        <v>1</v>
      </c>
      <c r="Z372" t="b">
        <f>COUNTBLANK(metadata!B372:R372)=COLUMNS(metadata!B372:R372)</f>
        <v>1</v>
      </c>
      <c r="AA372" t="str">
        <v/>
      </c>
      <c r="AC372" t="b">
        <f ca="1"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AD372" t="b">
        <f>IF(metadata!C372="",FALSE,ISNUMBER(VALUE(metadata!C372)))</f>
        <v>0</v>
      </c>
      <c r="AE372" t="b">
        <f>AND(IF(metadata!D372="",FALSE,TRUE),EXACT(metadata!D372,"years"))</f>
        <v>0</v>
      </c>
      <c r="AF372" t="b">
        <f>OR(AND(IF(metadata!E372="",FALSE,TRUE),OR(EXACT(metadata!E372,"not applicable"),EXACT(metadata!E372,"missing: not collected"),EXACT(metadata!E372,"missing: not provided"),EXACT(metadata!E372,"missing: restricted access"))),AND(IF(metadata!E372="",FALSE,ISNUMBER(VALUE(metadata!E372))),metadata!E372&gt;0))</f>
        <v>0</v>
      </c>
      <c r="AG372" t="b">
        <f>AND(IF(metadata!F372="",FALSE,TRUE),EXACT(metadata!F372,"Not applicable"))</f>
        <v>0</v>
      </c>
      <c r="AH372" t="b">
        <f>AND(IF(metadata!G372="",FALSE,TRUE),EXACT(metadata!G372,"urban biome"))</f>
        <v>0</v>
      </c>
      <c r="AI372" t="b">
        <f>AND(IF(metadata!H372="",FALSE,TRUE),EXACT(metadata!H372,"human-associated habitat"))</f>
        <v>0</v>
      </c>
      <c r="AJ372" t="b">
        <f>AND(IF(metadata!I372="",FALSE,TRUE),OR(EXACT(metadata!I372,"human-associated"),EXACT(metadata!I372,"human-skin"),EXACT(metadata!I372,"human-oral"),EXACT(metadata!I372,"human-gut"),EXACT(metadata!I372,"human-vaginal")))</f>
        <v>0</v>
      </c>
      <c r="AK372" t="b">
        <f>IF(metadata!J372="",FALSE,ISNUMBER(VALUE(metadata!J372)))</f>
        <v>0</v>
      </c>
      <c r="AL372" t="b">
        <f>AND(IF(metadata!K372="",FALSE,TRUE),EXACT(metadata!K372,"cm"))</f>
        <v>0</v>
      </c>
      <c r="AM372" t="b">
        <f>AND(IF(metadata!L372="",FALSE,TRUE),EXACT(metadata!L372,"human"))</f>
        <v>0</v>
      </c>
      <c r="AN372" t="b">
        <f>AND(IF(metadata!M372="",FALSE,TRUE),EXACT(metadata!M372,"Homo sapiens"))</f>
        <v>0</v>
      </c>
      <c r="AO372" t="b">
        <f>AND(IF(metadata!N372="",FALSE,TRUE),EXACT(metadata!N372,"9606"))</f>
        <v>0</v>
      </c>
      <c r="AP372" t="b">
        <f>IF(metadata!O372="",FALSE,TRUE)</f>
        <v>0</v>
      </c>
      <c r="AQ372" t="b">
        <f>IF(metadata!P372="",FALSE,TRUE)</f>
        <v>0</v>
      </c>
      <c r="AR372" t="b">
        <f>IF(metadata!Q372="",FALSE,ISNUMBER(VALUE(metadata!Q372)))</f>
        <v>0</v>
      </c>
      <c r="AS372" t="b">
        <f>AND(IF(metadata!R372="",FALSE,TRUE),EXACT(metadata!R372,"kg"))</f>
        <v>0</v>
      </c>
    </row>
    <row r="373" spans="1:45" x14ac:dyDescent="0.2">
      <c r="A373" s="5" t="str">
        <f ca="1">IF(B373=" "," ",HYPERLINK(CONCATENATE("#metadata!",ADDRESS(INDEX($X$2:$X$1001,MATCH(ROWS($V$2:V373),$V$2:$V$1001,0),0),1)),INDEX($AA$2:$AA$1001,MATCH(ROWS($V$2:V373),$V$2:$V$1001,0),0)))</f>
        <v xml:space="preserve"> </v>
      </c>
      <c r="B373" s="4" t="str">
        <f ca="1">IF(OR(INDEX($W$2:$W$1001,MATCH(ROWS($V$2:V373),$V$2:$V$1001,0),1)&gt;=100000,INDEX($AC$1005:$AS$1005,1,MATCH(COLUMNS($AC$1006:AC1006),$AC$1006:$AS$1006,0))&gt;=100000), " ",IF(INDEX($AC$2:$AS$1001,MATCH(ROWS($V$2:V373),$V$2:$V$1001,0),MATCH(COLUMNS($AC$1006:AC1006),$AC$1006:$AS$1006,0)), HYPERLINK("#",""), HYPERLINK(CONCATENATE("#metadata!", ADDRESS(INDEX($X$2:$X$1001,MATCH(ROWS($V$2:V373),$V$2:$V$1001,0),0), INDEX($AC$1004:$AS$1004,1,MATCH(COLUMNS($AC$1006:AC1006),$AC$1006:$AS$1006,0)))),"Fix")))</f>
        <v xml:space="preserve"> </v>
      </c>
      <c r="C373" s="4" t="str">
        <f ca="1">IF(OR(INDEX($W$2:$W$1001,MATCH(ROWS($V$2:V373),$V$2:$V$1001,0),1)&gt;=100000,INDEX($AC$1005:$AS$1005,1,MATCH(COLUMNS($AC$1006:AD1006),$AC$1006:$AS$1006,0))&gt;=100000), " ",IF(INDEX($AC$2:$AS$1001,MATCH(ROWS($V$2:V373),$V$2:$V$1001,0),MATCH(COLUMNS($AC$1006:AD1006),$AC$1006:$AS$1006,0)), HYPERLINK("#",""), HYPERLINK(CONCATENATE("#metadata!", ADDRESS(INDEX($X$2:$X$1001,MATCH(ROWS($V$2:V373),$V$2:$V$1001,0),0), INDEX($AC$1004:$AS$1004,1,MATCH(COLUMNS($AC$1006:AD1006),$AC$1006:$AS$1006,0)))),"Fix")))</f>
        <v xml:space="preserve"> </v>
      </c>
      <c r="D373" s="4" t="str">
        <f ca="1">IF(OR(INDEX($W$2:$W$1001,MATCH(ROWS($V$2:V373),$V$2:$V$1001,0),1)&gt;=100000,INDEX($AC$1005:$AS$1005,1,MATCH(COLUMNS($AC$1006:AE1006),$AC$1006:$AS$1006,0))&gt;=100000), " ",IF(INDEX($AC$2:$AS$1001,MATCH(ROWS($V$2:V373),$V$2:$V$1001,0),MATCH(COLUMNS($AC$1006:AE1006),$AC$1006:$AS$1006,0)), HYPERLINK("#",""), HYPERLINK(CONCATENATE("#metadata!", ADDRESS(INDEX($X$2:$X$1001,MATCH(ROWS($V$2:V373),$V$2:$V$1001,0),0), INDEX($AC$1004:$AS$1004,1,MATCH(COLUMNS($AC$1006:AE1006),$AC$1006:$AS$1006,0)))),"Fix")))</f>
        <v xml:space="preserve"> </v>
      </c>
      <c r="E373" s="4" t="str">
        <f ca="1">IF(OR(INDEX($W$2:$W$1001,MATCH(ROWS($V$2:V373),$V$2:$V$1001,0),1)&gt;=100000,INDEX($AC$1005:$AS$1005,1,MATCH(COLUMNS($AC$1006:AF1006),$AC$1006:$AS$1006,0))&gt;=100000), " ",IF(INDEX($AC$2:$AS$1001,MATCH(ROWS($V$2:V373),$V$2:$V$1001,0),MATCH(COLUMNS($AC$1006:AF1006),$AC$1006:$AS$1006,0)), HYPERLINK("#",""), HYPERLINK(CONCATENATE("#metadata!", ADDRESS(INDEX($X$2:$X$1001,MATCH(ROWS($V$2:V373),$V$2:$V$1001,0),0), INDEX($AC$1004:$AS$1004,1,MATCH(COLUMNS($AC$1006:AF1006),$AC$1006:$AS$1006,0)))),"Fix")))</f>
        <v xml:space="preserve"> </v>
      </c>
      <c r="F373" s="4" t="str">
        <f ca="1">IF(OR(INDEX($W$2:$W$1001,MATCH(ROWS($V$2:V373),$V$2:$V$1001,0),1)&gt;=100000,INDEX($AC$1005:$AS$1005,1,MATCH(COLUMNS($AC$1006:AG1006),$AC$1006:$AS$1006,0))&gt;=100000), " ",IF(INDEX($AC$2:$AS$1001,MATCH(ROWS($V$2:V373),$V$2:$V$1001,0),MATCH(COLUMNS($AC$1006:AG1006),$AC$1006:$AS$1006,0)), HYPERLINK("#",""), HYPERLINK(CONCATENATE("#metadata!", ADDRESS(INDEX($X$2:$X$1001,MATCH(ROWS($V$2:V373),$V$2:$V$1001,0),0), INDEX($AC$1004:$AS$1004,1,MATCH(COLUMNS($AC$1006:AG1006),$AC$1006:$AS$1006,0)))),"Fix")))</f>
        <v xml:space="preserve"> </v>
      </c>
      <c r="G373" s="4" t="str">
        <f ca="1">IF(OR(INDEX($W$2:$W$1001,MATCH(ROWS($V$2:V373),$V$2:$V$1001,0),1)&gt;=100000,INDEX($AC$1005:$AS$1005,1,MATCH(COLUMNS($AC$1006:AH1006),$AC$1006:$AS$1006,0))&gt;=100000), " ",IF(INDEX($AC$2:$AS$1001,MATCH(ROWS($V$2:V373),$V$2:$V$1001,0),MATCH(COLUMNS($AC$1006:AH1006),$AC$1006:$AS$1006,0)), HYPERLINK("#",""), HYPERLINK(CONCATENATE("#metadata!", ADDRESS(INDEX($X$2:$X$1001,MATCH(ROWS($V$2:V373),$V$2:$V$1001,0),0), INDEX($AC$1004:$AS$1004,1,MATCH(COLUMNS($AC$1006:AH1006),$AC$1006:$AS$1006,0)))),"Fix")))</f>
        <v xml:space="preserve"> </v>
      </c>
      <c r="H373" s="4" t="str">
        <f ca="1">IF(OR(INDEX($W$2:$W$1001,MATCH(ROWS($V$2:V373),$V$2:$V$1001,0),1)&gt;=100000,INDEX($AC$1005:$AS$1005,1,MATCH(COLUMNS($AC$1006:AI1006),$AC$1006:$AS$1006,0))&gt;=100000), " ",IF(INDEX($AC$2:$AS$1001,MATCH(ROWS($V$2:V373),$V$2:$V$1001,0),MATCH(COLUMNS($AC$1006:AI1006),$AC$1006:$AS$1006,0)), HYPERLINK("#",""), HYPERLINK(CONCATENATE("#metadata!", ADDRESS(INDEX($X$2:$X$1001,MATCH(ROWS($V$2:V373),$V$2:$V$1001,0),0), INDEX($AC$1004:$AS$1004,1,MATCH(COLUMNS($AC$1006:AI1006),$AC$1006:$AS$1006,0)))),"Fix")))</f>
        <v xml:space="preserve"> </v>
      </c>
      <c r="I373" s="4" t="str">
        <f ca="1">IF(OR(INDEX($W$2:$W$1001,MATCH(ROWS($V$2:V373),$V$2:$V$1001,0),1)&gt;=100000,INDEX($AC$1005:$AS$1005,1,MATCH(COLUMNS($AC$1006:AJ1006),$AC$1006:$AS$1006,0))&gt;=100000), " ",IF(INDEX($AC$2:$AS$1001,MATCH(ROWS($V$2:V373),$V$2:$V$1001,0),MATCH(COLUMNS($AC$1006:AJ1006),$AC$1006:$AS$1006,0)), HYPERLINK("#",""), HYPERLINK(CONCATENATE("#metadata!", ADDRESS(INDEX($X$2:$X$1001,MATCH(ROWS($V$2:V373),$V$2:$V$1001,0),0), INDEX($AC$1004:$AS$1004,1,MATCH(COLUMNS($AC$1006:AJ1006),$AC$1006:$AS$1006,0)))),"Fix")))</f>
        <v xml:space="preserve"> </v>
      </c>
      <c r="J373" s="4" t="str">
        <f ca="1">IF(OR(INDEX($W$2:$W$1001,MATCH(ROWS($V$2:V373),$V$2:$V$1001,0),1)&gt;=100000,INDEX($AC$1005:$AS$1005,1,MATCH(COLUMNS($AC$1006:AK1006),$AC$1006:$AS$1006,0))&gt;=100000), " ",IF(INDEX($AC$2:$AS$1001,MATCH(ROWS($V$2:V373),$V$2:$V$1001,0),MATCH(COLUMNS($AC$1006:AK1006),$AC$1006:$AS$1006,0)), HYPERLINK("#",""), HYPERLINK(CONCATENATE("#metadata!", ADDRESS(INDEX($X$2:$X$1001,MATCH(ROWS($V$2:V373),$V$2:$V$1001,0),0), INDEX($AC$1004:$AS$1004,1,MATCH(COLUMNS($AC$1006:AK1006),$AC$1006:$AS$1006,0)))),"Fix")))</f>
        <v xml:space="preserve"> </v>
      </c>
      <c r="K373" s="4" t="str">
        <f ca="1">IF(OR(INDEX($W$2:$W$1001,MATCH(ROWS($V$2:V373),$V$2:$V$1001,0),1)&gt;=100000,INDEX($AC$1005:$AS$1005,1,MATCH(COLUMNS($AC$1006:AL1006),$AC$1006:$AS$1006,0))&gt;=100000), " ",IF(INDEX($AC$2:$AS$1001,MATCH(ROWS($V$2:V373),$V$2:$V$1001,0),MATCH(COLUMNS($AC$1006:AL1006),$AC$1006:$AS$1006,0)), HYPERLINK("#",""), HYPERLINK(CONCATENATE("#metadata!", ADDRESS(INDEX($X$2:$X$1001,MATCH(ROWS($V$2:V373),$V$2:$V$1001,0),0), INDEX($AC$1004:$AS$1004,1,MATCH(COLUMNS($AC$1006:AL1006),$AC$1006:$AS$1006,0)))),"Fix")))</f>
        <v xml:space="preserve"> </v>
      </c>
      <c r="L373" s="4" t="str">
        <f ca="1">IF(OR(INDEX($W$2:$W$1001,MATCH(ROWS($V$2:V373),$V$2:$V$1001,0),1)&gt;=100000,INDEX($AC$1005:$AS$1005,1,MATCH(COLUMNS($AC$1006:AM1006),$AC$1006:$AS$1006,0))&gt;=100000), " ",IF(INDEX($AC$2:$AS$1001,MATCH(ROWS($V$2:V373),$V$2:$V$1001,0),MATCH(COLUMNS($AC$1006:AM1006),$AC$1006:$AS$1006,0)), HYPERLINK("#",""), HYPERLINK(CONCATENATE("#metadata!", ADDRESS(INDEX($X$2:$X$1001,MATCH(ROWS($V$2:V373),$V$2:$V$1001,0),0), INDEX($AC$1004:$AS$1004,1,MATCH(COLUMNS($AC$1006:AM1006),$AC$1006:$AS$1006,0)))),"Fix")))</f>
        <v xml:space="preserve"> </v>
      </c>
      <c r="M373" s="4" t="str">
        <f ca="1">IF(OR(INDEX($W$2:$W$1001,MATCH(ROWS($V$2:V373),$V$2:$V$1001,0),1)&gt;=100000,INDEX($AC$1005:$AS$1005,1,MATCH(COLUMNS($AC$1006:AN1006),$AC$1006:$AS$1006,0))&gt;=100000), " ",IF(INDEX($AC$2:$AS$1001,MATCH(ROWS($V$2:V373),$V$2:$V$1001,0),MATCH(COLUMNS($AC$1006:AN1006),$AC$1006:$AS$1006,0)), HYPERLINK("#",""), HYPERLINK(CONCATENATE("#metadata!", ADDRESS(INDEX($X$2:$X$1001,MATCH(ROWS($V$2:V373),$V$2:$V$1001,0),0), INDEX($AC$1004:$AS$1004,1,MATCH(COLUMNS($AC$1006:AN1006),$AC$1006:$AS$1006,0)))),"Fix")))</f>
        <v xml:space="preserve"> </v>
      </c>
      <c r="N373" s="4" t="str">
        <f ca="1">IF(OR(INDEX($W$2:$W$1001,MATCH(ROWS($V$2:V373),$V$2:$V$1001,0),1)&gt;=100000,INDEX($AC$1005:$AS$1005,1,MATCH(COLUMNS($AC$1006:AO1006),$AC$1006:$AS$1006,0))&gt;=100000), " ",IF(INDEX($AC$2:$AS$1001,MATCH(ROWS($V$2:V373),$V$2:$V$1001,0),MATCH(COLUMNS($AC$1006:AO1006),$AC$1006:$AS$1006,0)), HYPERLINK("#",""), HYPERLINK(CONCATENATE("#metadata!", ADDRESS(INDEX($X$2:$X$1001,MATCH(ROWS($V$2:V373),$V$2:$V$1001,0),0), INDEX($AC$1004:$AS$1004,1,MATCH(COLUMNS($AC$1006:AO1006),$AC$1006:$AS$1006,0)))),"Fix")))</f>
        <v xml:space="preserve"> </v>
      </c>
      <c r="O373" s="4" t="str">
        <f ca="1">IF(OR(INDEX($W$2:$W$1001,MATCH(ROWS($V$2:V373),$V$2:$V$1001,0),1)&gt;=100000,INDEX($AC$1005:$AS$1005,1,MATCH(COLUMNS($AC$1006:AP1006),$AC$1006:$AS$1006,0))&gt;=100000), " ",IF(INDEX($AC$2:$AS$1001,MATCH(ROWS($V$2:V373),$V$2:$V$1001,0),MATCH(COLUMNS($AC$1006:AP1006),$AC$1006:$AS$1006,0)), HYPERLINK("#",""), HYPERLINK(CONCATENATE("#metadata!", ADDRESS(INDEX($X$2:$X$1001,MATCH(ROWS($V$2:V373),$V$2:$V$1001,0),0), INDEX($AC$1004:$AS$1004,1,MATCH(COLUMNS($AC$1006:AP1006),$AC$1006:$AS$1006,0)))),"Fix")))</f>
        <v xml:space="preserve"> </v>
      </c>
      <c r="P373" s="4" t="str">
        <f ca="1">IF(OR(INDEX($W$2:$W$1001,MATCH(ROWS($V$2:V373),$V$2:$V$1001,0),1)&gt;=100000,INDEX($AC$1005:$AS$1005,1,MATCH(COLUMNS($AC$1006:AQ1006),$AC$1006:$AS$1006,0))&gt;=100000), " ",IF(INDEX($AC$2:$AS$1001,MATCH(ROWS($V$2:V373),$V$2:$V$1001,0),MATCH(COLUMNS($AC$1006:AQ1006),$AC$1006:$AS$1006,0)), HYPERLINK("#",""), HYPERLINK(CONCATENATE("#metadata!", ADDRESS(INDEX($X$2:$X$1001,MATCH(ROWS($V$2:V373),$V$2:$V$1001,0),0), INDEX($AC$1004:$AS$1004,1,MATCH(COLUMNS($AC$1006:AQ1006),$AC$1006:$AS$1006,0)))),"Fix")))</f>
        <v xml:space="preserve"> </v>
      </c>
      <c r="Q373" s="4" t="str">
        <f ca="1">IF(OR(INDEX($W$2:$W$1001,MATCH(ROWS($V$2:V373),$V$2:$V$1001,0),1)&gt;=100000,INDEX($AC$1005:$AS$1005,1,MATCH(COLUMNS($AC$1006:AR1006),$AC$1006:$AS$1006,0))&gt;=100000), " ",IF(INDEX($AC$2:$AS$1001,MATCH(ROWS($V$2:V373),$V$2:$V$1001,0),MATCH(COLUMNS($AC$1006:AR1006),$AC$1006:$AS$1006,0)), HYPERLINK("#",""), HYPERLINK(CONCATENATE("#metadata!", ADDRESS(INDEX($X$2:$X$1001,MATCH(ROWS($V$2:V373),$V$2:$V$1001,0),0), INDEX($AC$1004:$AS$1004,1,MATCH(COLUMNS($AC$1006:AR1006),$AC$1006:$AS$1006,0)))),"Fix")))</f>
        <v xml:space="preserve"> </v>
      </c>
      <c r="R373" s="4" t="str">
        <f ca="1">IF(OR(INDEX($W$2:$W$1001,MATCH(ROWS($V$2:V373),$V$2:$V$1001,0),1)&gt;=100000,INDEX($AC$1005:$AS$1005,1,MATCH(COLUMNS($AC$1006:AS1006),$AC$1006:$AS$1006,0))&gt;=100000), " ",IF(INDEX($AC$2:$AS$1001,MATCH(ROWS($V$2:V373),$V$2:$V$1001,0),MATCH(COLUMNS($AC$1006:AS1006),$AC$1006:$AS$1006,0)), HYPERLINK("#",""), HYPERLINK(CONCATENATE("#metadata!", ADDRESS(INDEX($X$2:$X$1001,MATCH(ROWS($V$2:V373),$V$2:$V$1001,0),0), INDEX($AC$1004:$AS$1004,1,MATCH(COLUMNS($AC$1006:AS1006),$AC$1006:$AS$1006,0)))),"Fix")))</f>
        <v xml:space="preserve"> </v>
      </c>
      <c r="V373">
        <v>372</v>
      </c>
      <c r="W373">
        <v>100373</v>
      </c>
      <c r="X373">
        <v>373</v>
      </c>
      <c r="Y373" t="b">
        <f t="shared" si="5"/>
        <v>1</v>
      </c>
      <c r="Z373" t="b">
        <f>COUNTBLANK(metadata!B373:R373)=COLUMNS(metadata!B373:R373)</f>
        <v>1</v>
      </c>
      <c r="AA373" t="str">
        <v/>
      </c>
      <c r="AC373" t="b">
        <f ca="1"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AD373" t="b">
        <f>IF(metadata!C373="",FALSE,ISNUMBER(VALUE(metadata!C373)))</f>
        <v>0</v>
      </c>
      <c r="AE373" t="b">
        <f>AND(IF(metadata!D373="",FALSE,TRUE),EXACT(metadata!D373,"years"))</f>
        <v>0</v>
      </c>
      <c r="AF373" t="b">
        <f>OR(AND(IF(metadata!E373="",FALSE,TRUE),OR(EXACT(metadata!E373,"not applicable"),EXACT(metadata!E373,"missing: not collected"),EXACT(metadata!E373,"missing: not provided"),EXACT(metadata!E373,"missing: restricted access"))),AND(IF(metadata!E373="",FALSE,ISNUMBER(VALUE(metadata!E373))),metadata!E373&gt;0))</f>
        <v>0</v>
      </c>
      <c r="AG373" t="b">
        <f>AND(IF(metadata!F373="",FALSE,TRUE),EXACT(metadata!F373,"Not applicable"))</f>
        <v>0</v>
      </c>
      <c r="AH373" t="b">
        <f>AND(IF(metadata!G373="",FALSE,TRUE),EXACT(metadata!G373,"urban biome"))</f>
        <v>0</v>
      </c>
      <c r="AI373" t="b">
        <f>AND(IF(metadata!H373="",FALSE,TRUE),EXACT(metadata!H373,"human-associated habitat"))</f>
        <v>0</v>
      </c>
      <c r="AJ373" t="b">
        <f>AND(IF(metadata!I373="",FALSE,TRUE),OR(EXACT(metadata!I373,"human-associated"),EXACT(metadata!I373,"human-skin"),EXACT(metadata!I373,"human-oral"),EXACT(metadata!I373,"human-gut"),EXACT(metadata!I373,"human-vaginal")))</f>
        <v>0</v>
      </c>
      <c r="AK373" t="b">
        <f>IF(metadata!J373="",FALSE,ISNUMBER(VALUE(metadata!J373)))</f>
        <v>0</v>
      </c>
      <c r="AL373" t="b">
        <f>AND(IF(metadata!K373="",FALSE,TRUE),EXACT(metadata!K373,"cm"))</f>
        <v>0</v>
      </c>
      <c r="AM373" t="b">
        <f>AND(IF(metadata!L373="",FALSE,TRUE),EXACT(metadata!L373,"human"))</f>
        <v>0</v>
      </c>
      <c r="AN373" t="b">
        <f>AND(IF(metadata!M373="",FALSE,TRUE),EXACT(metadata!M373,"Homo sapiens"))</f>
        <v>0</v>
      </c>
      <c r="AO373" t="b">
        <f>AND(IF(metadata!N373="",FALSE,TRUE),EXACT(metadata!N373,"9606"))</f>
        <v>0</v>
      </c>
      <c r="AP373" t="b">
        <f>IF(metadata!O373="",FALSE,TRUE)</f>
        <v>0</v>
      </c>
      <c r="AQ373" t="b">
        <f>IF(metadata!P373="",FALSE,TRUE)</f>
        <v>0</v>
      </c>
      <c r="AR373" t="b">
        <f>IF(metadata!Q373="",FALSE,ISNUMBER(VALUE(metadata!Q373)))</f>
        <v>0</v>
      </c>
      <c r="AS373" t="b">
        <f>AND(IF(metadata!R373="",FALSE,TRUE),EXACT(metadata!R373,"kg"))</f>
        <v>0</v>
      </c>
    </row>
    <row r="374" spans="1:45" x14ac:dyDescent="0.2">
      <c r="A374" s="5" t="str">
        <f ca="1">IF(B374=" "," ",HYPERLINK(CONCATENATE("#metadata!",ADDRESS(INDEX($X$2:$X$1001,MATCH(ROWS($V$2:V374),$V$2:$V$1001,0),0),1)),INDEX($AA$2:$AA$1001,MATCH(ROWS($V$2:V374),$V$2:$V$1001,0),0)))</f>
        <v xml:space="preserve"> </v>
      </c>
      <c r="B374" s="4" t="str">
        <f ca="1">IF(OR(INDEX($W$2:$W$1001,MATCH(ROWS($V$2:V374),$V$2:$V$1001,0),1)&gt;=100000,INDEX($AC$1005:$AS$1005,1,MATCH(COLUMNS($AC$1006:AC1006),$AC$1006:$AS$1006,0))&gt;=100000), " ",IF(INDEX($AC$2:$AS$1001,MATCH(ROWS($V$2:V374),$V$2:$V$1001,0),MATCH(COLUMNS($AC$1006:AC1006),$AC$1006:$AS$1006,0)), HYPERLINK("#",""), HYPERLINK(CONCATENATE("#metadata!", ADDRESS(INDEX($X$2:$X$1001,MATCH(ROWS($V$2:V374),$V$2:$V$1001,0),0), INDEX($AC$1004:$AS$1004,1,MATCH(COLUMNS($AC$1006:AC1006),$AC$1006:$AS$1006,0)))),"Fix")))</f>
        <v xml:space="preserve"> </v>
      </c>
      <c r="C374" s="4" t="str">
        <f ca="1">IF(OR(INDEX($W$2:$W$1001,MATCH(ROWS($V$2:V374),$V$2:$V$1001,0),1)&gt;=100000,INDEX($AC$1005:$AS$1005,1,MATCH(COLUMNS($AC$1006:AD1006),$AC$1006:$AS$1006,0))&gt;=100000), " ",IF(INDEX($AC$2:$AS$1001,MATCH(ROWS($V$2:V374),$V$2:$V$1001,0),MATCH(COLUMNS($AC$1006:AD1006),$AC$1006:$AS$1006,0)), HYPERLINK("#",""), HYPERLINK(CONCATENATE("#metadata!", ADDRESS(INDEX($X$2:$X$1001,MATCH(ROWS($V$2:V374),$V$2:$V$1001,0),0), INDEX($AC$1004:$AS$1004,1,MATCH(COLUMNS($AC$1006:AD1006),$AC$1006:$AS$1006,0)))),"Fix")))</f>
        <v xml:space="preserve"> </v>
      </c>
      <c r="D374" s="4" t="str">
        <f ca="1">IF(OR(INDEX($W$2:$W$1001,MATCH(ROWS($V$2:V374),$V$2:$V$1001,0),1)&gt;=100000,INDEX($AC$1005:$AS$1005,1,MATCH(COLUMNS($AC$1006:AE1006),$AC$1006:$AS$1006,0))&gt;=100000), " ",IF(INDEX($AC$2:$AS$1001,MATCH(ROWS($V$2:V374),$V$2:$V$1001,0),MATCH(COLUMNS($AC$1006:AE1006),$AC$1006:$AS$1006,0)), HYPERLINK("#",""), HYPERLINK(CONCATENATE("#metadata!", ADDRESS(INDEX($X$2:$X$1001,MATCH(ROWS($V$2:V374),$V$2:$V$1001,0),0), INDEX($AC$1004:$AS$1004,1,MATCH(COLUMNS($AC$1006:AE1006),$AC$1006:$AS$1006,0)))),"Fix")))</f>
        <v xml:space="preserve"> </v>
      </c>
      <c r="E374" s="4" t="str">
        <f ca="1">IF(OR(INDEX($W$2:$W$1001,MATCH(ROWS($V$2:V374),$V$2:$V$1001,0),1)&gt;=100000,INDEX($AC$1005:$AS$1005,1,MATCH(COLUMNS($AC$1006:AF1006),$AC$1006:$AS$1006,0))&gt;=100000), " ",IF(INDEX($AC$2:$AS$1001,MATCH(ROWS($V$2:V374),$V$2:$V$1001,0),MATCH(COLUMNS($AC$1006:AF1006),$AC$1006:$AS$1006,0)), HYPERLINK("#",""), HYPERLINK(CONCATENATE("#metadata!", ADDRESS(INDEX($X$2:$X$1001,MATCH(ROWS($V$2:V374),$V$2:$V$1001,0),0), INDEX($AC$1004:$AS$1004,1,MATCH(COLUMNS($AC$1006:AF1006),$AC$1006:$AS$1006,0)))),"Fix")))</f>
        <v xml:space="preserve"> </v>
      </c>
      <c r="F374" s="4" t="str">
        <f ca="1">IF(OR(INDEX($W$2:$W$1001,MATCH(ROWS($V$2:V374),$V$2:$V$1001,0),1)&gt;=100000,INDEX($AC$1005:$AS$1005,1,MATCH(COLUMNS($AC$1006:AG1006),$AC$1006:$AS$1006,0))&gt;=100000), " ",IF(INDEX($AC$2:$AS$1001,MATCH(ROWS($V$2:V374),$V$2:$V$1001,0),MATCH(COLUMNS($AC$1006:AG1006),$AC$1006:$AS$1006,0)), HYPERLINK("#",""), HYPERLINK(CONCATENATE("#metadata!", ADDRESS(INDEX($X$2:$X$1001,MATCH(ROWS($V$2:V374),$V$2:$V$1001,0),0), INDEX($AC$1004:$AS$1004,1,MATCH(COLUMNS($AC$1006:AG1006),$AC$1006:$AS$1006,0)))),"Fix")))</f>
        <v xml:space="preserve"> </v>
      </c>
      <c r="G374" s="4" t="str">
        <f ca="1">IF(OR(INDEX($W$2:$W$1001,MATCH(ROWS($V$2:V374),$V$2:$V$1001,0),1)&gt;=100000,INDEX($AC$1005:$AS$1005,1,MATCH(COLUMNS($AC$1006:AH1006),$AC$1006:$AS$1006,0))&gt;=100000), " ",IF(INDEX($AC$2:$AS$1001,MATCH(ROWS($V$2:V374),$V$2:$V$1001,0),MATCH(COLUMNS($AC$1006:AH1006),$AC$1006:$AS$1006,0)), HYPERLINK("#",""), HYPERLINK(CONCATENATE("#metadata!", ADDRESS(INDEX($X$2:$X$1001,MATCH(ROWS($V$2:V374),$V$2:$V$1001,0),0), INDEX($AC$1004:$AS$1004,1,MATCH(COLUMNS($AC$1006:AH1006),$AC$1006:$AS$1006,0)))),"Fix")))</f>
        <v xml:space="preserve"> </v>
      </c>
      <c r="H374" s="4" t="str">
        <f ca="1">IF(OR(INDEX($W$2:$W$1001,MATCH(ROWS($V$2:V374),$V$2:$V$1001,0),1)&gt;=100000,INDEX($AC$1005:$AS$1005,1,MATCH(COLUMNS($AC$1006:AI1006),$AC$1006:$AS$1006,0))&gt;=100000), " ",IF(INDEX($AC$2:$AS$1001,MATCH(ROWS($V$2:V374),$V$2:$V$1001,0),MATCH(COLUMNS($AC$1006:AI1006),$AC$1006:$AS$1006,0)), HYPERLINK("#",""), HYPERLINK(CONCATENATE("#metadata!", ADDRESS(INDEX($X$2:$X$1001,MATCH(ROWS($V$2:V374),$V$2:$V$1001,0),0), INDEX($AC$1004:$AS$1004,1,MATCH(COLUMNS($AC$1006:AI1006),$AC$1006:$AS$1006,0)))),"Fix")))</f>
        <v xml:space="preserve"> </v>
      </c>
      <c r="I374" s="4" t="str">
        <f ca="1">IF(OR(INDEX($W$2:$W$1001,MATCH(ROWS($V$2:V374),$V$2:$V$1001,0),1)&gt;=100000,INDEX($AC$1005:$AS$1005,1,MATCH(COLUMNS($AC$1006:AJ1006),$AC$1006:$AS$1006,0))&gt;=100000), " ",IF(INDEX($AC$2:$AS$1001,MATCH(ROWS($V$2:V374),$V$2:$V$1001,0),MATCH(COLUMNS($AC$1006:AJ1006),$AC$1006:$AS$1006,0)), HYPERLINK("#",""), HYPERLINK(CONCATENATE("#metadata!", ADDRESS(INDEX($X$2:$X$1001,MATCH(ROWS($V$2:V374),$V$2:$V$1001,0),0), INDEX($AC$1004:$AS$1004,1,MATCH(COLUMNS($AC$1006:AJ1006),$AC$1006:$AS$1006,0)))),"Fix")))</f>
        <v xml:space="preserve"> </v>
      </c>
      <c r="J374" s="4" t="str">
        <f ca="1">IF(OR(INDEX($W$2:$W$1001,MATCH(ROWS($V$2:V374),$V$2:$V$1001,0),1)&gt;=100000,INDEX($AC$1005:$AS$1005,1,MATCH(COLUMNS($AC$1006:AK1006),$AC$1006:$AS$1006,0))&gt;=100000), " ",IF(INDEX($AC$2:$AS$1001,MATCH(ROWS($V$2:V374),$V$2:$V$1001,0),MATCH(COLUMNS($AC$1006:AK1006),$AC$1006:$AS$1006,0)), HYPERLINK("#",""), HYPERLINK(CONCATENATE("#metadata!", ADDRESS(INDEX($X$2:$X$1001,MATCH(ROWS($V$2:V374),$V$2:$V$1001,0),0), INDEX($AC$1004:$AS$1004,1,MATCH(COLUMNS($AC$1006:AK1006),$AC$1006:$AS$1006,0)))),"Fix")))</f>
        <v xml:space="preserve"> </v>
      </c>
      <c r="K374" s="4" t="str">
        <f ca="1">IF(OR(INDEX($W$2:$W$1001,MATCH(ROWS($V$2:V374),$V$2:$V$1001,0),1)&gt;=100000,INDEX($AC$1005:$AS$1005,1,MATCH(COLUMNS($AC$1006:AL1006),$AC$1006:$AS$1006,0))&gt;=100000), " ",IF(INDEX($AC$2:$AS$1001,MATCH(ROWS($V$2:V374),$V$2:$V$1001,0),MATCH(COLUMNS($AC$1006:AL1006),$AC$1006:$AS$1006,0)), HYPERLINK("#",""), HYPERLINK(CONCATENATE("#metadata!", ADDRESS(INDEX($X$2:$X$1001,MATCH(ROWS($V$2:V374),$V$2:$V$1001,0),0), INDEX($AC$1004:$AS$1004,1,MATCH(COLUMNS($AC$1006:AL1006),$AC$1006:$AS$1006,0)))),"Fix")))</f>
        <v xml:space="preserve"> </v>
      </c>
      <c r="L374" s="4" t="str">
        <f ca="1">IF(OR(INDEX($W$2:$W$1001,MATCH(ROWS($V$2:V374),$V$2:$V$1001,0),1)&gt;=100000,INDEX($AC$1005:$AS$1005,1,MATCH(COLUMNS($AC$1006:AM1006),$AC$1006:$AS$1006,0))&gt;=100000), " ",IF(INDEX($AC$2:$AS$1001,MATCH(ROWS($V$2:V374),$V$2:$V$1001,0),MATCH(COLUMNS($AC$1006:AM1006),$AC$1006:$AS$1006,0)), HYPERLINK("#",""), HYPERLINK(CONCATENATE("#metadata!", ADDRESS(INDEX($X$2:$X$1001,MATCH(ROWS($V$2:V374),$V$2:$V$1001,0),0), INDEX($AC$1004:$AS$1004,1,MATCH(COLUMNS($AC$1006:AM1006),$AC$1006:$AS$1006,0)))),"Fix")))</f>
        <v xml:space="preserve"> </v>
      </c>
      <c r="M374" s="4" t="str">
        <f ca="1">IF(OR(INDEX($W$2:$W$1001,MATCH(ROWS($V$2:V374),$V$2:$V$1001,0),1)&gt;=100000,INDEX($AC$1005:$AS$1005,1,MATCH(COLUMNS($AC$1006:AN1006),$AC$1006:$AS$1006,0))&gt;=100000), " ",IF(INDEX($AC$2:$AS$1001,MATCH(ROWS($V$2:V374),$V$2:$V$1001,0),MATCH(COLUMNS($AC$1006:AN1006),$AC$1006:$AS$1006,0)), HYPERLINK("#",""), HYPERLINK(CONCATENATE("#metadata!", ADDRESS(INDEX($X$2:$X$1001,MATCH(ROWS($V$2:V374),$V$2:$V$1001,0),0), INDEX($AC$1004:$AS$1004,1,MATCH(COLUMNS($AC$1006:AN1006),$AC$1006:$AS$1006,0)))),"Fix")))</f>
        <v xml:space="preserve"> </v>
      </c>
      <c r="N374" s="4" t="str">
        <f ca="1">IF(OR(INDEX($W$2:$W$1001,MATCH(ROWS($V$2:V374),$V$2:$V$1001,0),1)&gt;=100000,INDEX($AC$1005:$AS$1005,1,MATCH(COLUMNS($AC$1006:AO1006),$AC$1006:$AS$1006,0))&gt;=100000), " ",IF(INDEX($AC$2:$AS$1001,MATCH(ROWS($V$2:V374),$V$2:$V$1001,0),MATCH(COLUMNS($AC$1006:AO1006),$AC$1006:$AS$1006,0)), HYPERLINK("#",""), HYPERLINK(CONCATENATE("#metadata!", ADDRESS(INDEX($X$2:$X$1001,MATCH(ROWS($V$2:V374),$V$2:$V$1001,0),0), INDEX($AC$1004:$AS$1004,1,MATCH(COLUMNS($AC$1006:AO1006),$AC$1006:$AS$1006,0)))),"Fix")))</f>
        <v xml:space="preserve"> </v>
      </c>
      <c r="O374" s="4" t="str">
        <f ca="1">IF(OR(INDEX($W$2:$W$1001,MATCH(ROWS($V$2:V374),$V$2:$V$1001,0),1)&gt;=100000,INDEX($AC$1005:$AS$1005,1,MATCH(COLUMNS($AC$1006:AP1006),$AC$1006:$AS$1006,0))&gt;=100000), " ",IF(INDEX($AC$2:$AS$1001,MATCH(ROWS($V$2:V374),$V$2:$V$1001,0),MATCH(COLUMNS($AC$1006:AP1006),$AC$1006:$AS$1006,0)), HYPERLINK("#",""), HYPERLINK(CONCATENATE("#metadata!", ADDRESS(INDEX($X$2:$X$1001,MATCH(ROWS($V$2:V374),$V$2:$V$1001,0),0), INDEX($AC$1004:$AS$1004,1,MATCH(COLUMNS($AC$1006:AP1006),$AC$1006:$AS$1006,0)))),"Fix")))</f>
        <v xml:space="preserve"> </v>
      </c>
      <c r="P374" s="4" t="str">
        <f ca="1">IF(OR(INDEX($W$2:$W$1001,MATCH(ROWS($V$2:V374),$V$2:$V$1001,0),1)&gt;=100000,INDEX($AC$1005:$AS$1005,1,MATCH(COLUMNS($AC$1006:AQ1006),$AC$1006:$AS$1006,0))&gt;=100000), " ",IF(INDEX($AC$2:$AS$1001,MATCH(ROWS($V$2:V374),$V$2:$V$1001,0),MATCH(COLUMNS($AC$1006:AQ1006),$AC$1006:$AS$1006,0)), HYPERLINK("#",""), HYPERLINK(CONCATENATE("#metadata!", ADDRESS(INDEX($X$2:$X$1001,MATCH(ROWS($V$2:V374),$V$2:$V$1001,0),0), INDEX($AC$1004:$AS$1004,1,MATCH(COLUMNS($AC$1006:AQ1006),$AC$1006:$AS$1006,0)))),"Fix")))</f>
        <v xml:space="preserve"> </v>
      </c>
      <c r="Q374" s="4" t="str">
        <f ca="1">IF(OR(INDEX($W$2:$W$1001,MATCH(ROWS($V$2:V374),$V$2:$V$1001,0),1)&gt;=100000,INDEX($AC$1005:$AS$1005,1,MATCH(COLUMNS($AC$1006:AR1006),$AC$1006:$AS$1006,0))&gt;=100000), " ",IF(INDEX($AC$2:$AS$1001,MATCH(ROWS($V$2:V374),$V$2:$V$1001,0),MATCH(COLUMNS($AC$1006:AR1006),$AC$1006:$AS$1006,0)), HYPERLINK("#",""), HYPERLINK(CONCATENATE("#metadata!", ADDRESS(INDEX($X$2:$X$1001,MATCH(ROWS($V$2:V374),$V$2:$V$1001,0),0), INDEX($AC$1004:$AS$1004,1,MATCH(COLUMNS($AC$1006:AR1006),$AC$1006:$AS$1006,0)))),"Fix")))</f>
        <v xml:space="preserve"> </v>
      </c>
      <c r="R374" s="4" t="str">
        <f ca="1">IF(OR(INDEX($W$2:$W$1001,MATCH(ROWS($V$2:V374),$V$2:$V$1001,0),1)&gt;=100000,INDEX($AC$1005:$AS$1005,1,MATCH(COLUMNS($AC$1006:AS1006),$AC$1006:$AS$1006,0))&gt;=100000), " ",IF(INDEX($AC$2:$AS$1001,MATCH(ROWS($V$2:V374),$V$2:$V$1001,0),MATCH(COLUMNS($AC$1006:AS1006),$AC$1006:$AS$1006,0)), HYPERLINK("#",""), HYPERLINK(CONCATENATE("#metadata!", ADDRESS(INDEX($X$2:$X$1001,MATCH(ROWS($V$2:V374),$V$2:$V$1001,0),0), INDEX($AC$1004:$AS$1004,1,MATCH(COLUMNS($AC$1006:AS1006),$AC$1006:$AS$1006,0)))),"Fix")))</f>
        <v xml:space="preserve"> </v>
      </c>
      <c r="V374">
        <v>373</v>
      </c>
      <c r="W374">
        <v>100374</v>
      </c>
      <c r="X374">
        <v>374</v>
      </c>
      <c r="Y374" t="b">
        <f t="shared" si="5"/>
        <v>1</v>
      </c>
      <c r="Z374" t="b">
        <f>COUNTBLANK(metadata!B374:R374)=COLUMNS(metadata!B374:R374)</f>
        <v>1</v>
      </c>
      <c r="AA374" t="str">
        <v/>
      </c>
      <c r="AC374" t="b">
        <f ca="1"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AD374" t="b">
        <f>IF(metadata!C374="",FALSE,ISNUMBER(VALUE(metadata!C374)))</f>
        <v>0</v>
      </c>
      <c r="AE374" t="b">
        <f>AND(IF(metadata!D374="",FALSE,TRUE),EXACT(metadata!D374,"years"))</f>
        <v>0</v>
      </c>
      <c r="AF374" t="b">
        <f>OR(AND(IF(metadata!E374="",FALSE,TRUE),OR(EXACT(metadata!E374,"not applicable"),EXACT(metadata!E374,"missing: not collected"),EXACT(metadata!E374,"missing: not provided"),EXACT(metadata!E374,"missing: restricted access"))),AND(IF(metadata!E374="",FALSE,ISNUMBER(VALUE(metadata!E374))),metadata!E374&gt;0))</f>
        <v>0</v>
      </c>
      <c r="AG374" t="b">
        <f>AND(IF(metadata!F374="",FALSE,TRUE),EXACT(metadata!F374,"Not applicable"))</f>
        <v>0</v>
      </c>
      <c r="AH374" t="b">
        <f>AND(IF(metadata!G374="",FALSE,TRUE),EXACT(metadata!G374,"urban biome"))</f>
        <v>0</v>
      </c>
      <c r="AI374" t="b">
        <f>AND(IF(metadata!H374="",FALSE,TRUE),EXACT(metadata!H374,"human-associated habitat"))</f>
        <v>0</v>
      </c>
      <c r="AJ374" t="b">
        <f>AND(IF(metadata!I374="",FALSE,TRUE),OR(EXACT(metadata!I374,"human-associated"),EXACT(metadata!I374,"human-skin"),EXACT(metadata!I374,"human-oral"),EXACT(metadata!I374,"human-gut"),EXACT(metadata!I374,"human-vaginal")))</f>
        <v>0</v>
      </c>
      <c r="AK374" t="b">
        <f>IF(metadata!J374="",FALSE,ISNUMBER(VALUE(metadata!J374)))</f>
        <v>0</v>
      </c>
      <c r="AL374" t="b">
        <f>AND(IF(metadata!K374="",FALSE,TRUE),EXACT(metadata!K374,"cm"))</f>
        <v>0</v>
      </c>
      <c r="AM374" t="b">
        <f>AND(IF(metadata!L374="",FALSE,TRUE),EXACT(metadata!L374,"human"))</f>
        <v>0</v>
      </c>
      <c r="AN374" t="b">
        <f>AND(IF(metadata!M374="",FALSE,TRUE),EXACT(metadata!M374,"Homo sapiens"))</f>
        <v>0</v>
      </c>
      <c r="AO374" t="b">
        <f>AND(IF(metadata!N374="",FALSE,TRUE),EXACT(metadata!N374,"9606"))</f>
        <v>0</v>
      </c>
      <c r="AP374" t="b">
        <f>IF(metadata!O374="",FALSE,TRUE)</f>
        <v>0</v>
      </c>
      <c r="AQ374" t="b">
        <f>IF(metadata!P374="",FALSE,TRUE)</f>
        <v>0</v>
      </c>
      <c r="AR374" t="b">
        <f>IF(metadata!Q374="",FALSE,ISNUMBER(VALUE(metadata!Q374)))</f>
        <v>0</v>
      </c>
      <c r="AS374" t="b">
        <f>AND(IF(metadata!R374="",FALSE,TRUE),EXACT(metadata!R374,"kg"))</f>
        <v>0</v>
      </c>
    </row>
    <row r="375" spans="1:45" x14ac:dyDescent="0.2">
      <c r="A375" s="5" t="str">
        <f ca="1">IF(B375=" "," ",HYPERLINK(CONCATENATE("#metadata!",ADDRESS(INDEX($X$2:$X$1001,MATCH(ROWS($V$2:V375),$V$2:$V$1001,0),0),1)),INDEX($AA$2:$AA$1001,MATCH(ROWS($V$2:V375),$V$2:$V$1001,0),0)))</f>
        <v xml:space="preserve"> </v>
      </c>
      <c r="B375" s="4" t="str">
        <f ca="1">IF(OR(INDEX($W$2:$W$1001,MATCH(ROWS($V$2:V375),$V$2:$V$1001,0),1)&gt;=100000,INDEX($AC$1005:$AS$1005,1,MATCH(COLUMNS($AC$1006:AC1006),$AC$1006:$AS$1006,0))&gt;=100000), " ",IF(INDEX($AC$2:$AS$1001,MATCH(ROWS($V$2:V375),$V$2:$V$1001,0),MATCH(COLUMNS($AC$1006:AC1006),$AC$1006:$AS$1006,0)), HYPERLINK("#",""), HYPERLINK(CONCATENATE("#metadata!", ADDRESS(INDEX($X$2:$X$1001,MATCH(ROWS($V$2:V375),$V$2:$V$1001,0),0), INDEX($AC$1004:$AS$1004,1,MATCH(COLUMNS($AC$1006:AC1006),$AC$1006:$AS$1006,0)))),"Fix")))</f>
        <v xml:space="preserve"> </v>
      </c>
      <c r="C375" s="4" t="str">
        <f ca="1">IF(OR(INDEX($W$2:$W$1001,MATCH(ROWS($V$2:V375),$V$2:$V$1001,0),1)&gt;=100000,INDEX($AC$1005:$AS$1005,1,MATCH(COLUMNS($AC$1006:AD1006),$AC$1006:$AS$1006,0))&gt;=100000), " ",IF(INDEX($AC$2:$AS$1001,MATCH(ROWS($V$2:V375),$V$2:$V$1001,0),MATCH(COLUMNS($AC$1006:AD1006),$AC$1006:$AS$1006,0)), HYPERLINK("#",""), HYPERLINK(CONCATENATE("#metadata!", ADDRESS(INDEX($X$2:$X$1001,MATCH(ROWS($V$2:V375),$V$2:$V$1001,0),0), INDEX($AC$1004:$AS$1004,1,MATCH(COLUMNS($AC$1006:AD1006),$AC$1006:$AS$1006,0)))),"Fix")))</f>
        <v xml:space="preserve"> </v>
      </c>
      <c r="D375" s="4" t="str">
        <f ca="1">IF(OR(INDEX($W$2:$W$1001,MATCH(ROWS($V$2:V375),$V$2:$V$1001,0),1)&gt;=100000,INDEX($AC$1005:$AS$1005,1,MATCH(COLUMNS($AC$1006:AE1006),$AC$1006:$AS$1006,0))&gt;=100000), " ",IF(INDEX($AC$2:$AS$1001,MATCH(ROWS($V$2:V375),$V$2:$V$1001,0),MATCH(COLUMNS($AC$1006:AE1006),$AC$1006:$AS$1006,0)), HYPERLINK("#",""), HYPERLINK(CONCATENATE("#metadata!", ADDRESS(INDEX($X$2:$X$1001,MATCH(ROWS($V$2:V375),$V$2:$V$1001,0),0), INDEX($AC$1004:$AS$1004,1,MATCH(COLUMNS($AC$1006:AE1006),$AC$1006:$AS$1006,0)))),"Fix")))</f>
        <v xml:space="preserve"> </v>
      </c>
      <c r="E375" s="4" t="str">
        <f ca="1">IF(OR(INDEX($W$2:$W$1001,MATCH(ROWS($V$2:V375),$V$2:$V$1001,0),1)&gt;=100000,INDEX($AC$1005:$AS$1005,1,MATCH(COLUMNS($AC$1006:AF1006),$AC$1006:$AS$1006,0))&gt;=100000), " ",IF(INDEX($AC$2:$AS$1001,MATCH(ROWS($V$2:V375),$V$2:$V$1001,0),MATCH(COLUMNS($AC$1006:AF1006),$AC$1006:$AS$1006,0)), HYPERLINK("#",""), HYPERLINK(CONCATENATE("#metadata!", ADDRESS(INDEX($X$2:$X$1001,MATCH(ROWS($V$2:V375),$V$2:$V$1001,0),0), INDEX($AC$1004:$AS$1004,1,MATCH(COLUMNS($AC$1006:AF1006),$AC$1006:$AS$1006,0)))),"Fix")))</f>
        <v xml:space="preserve"> </v>
      </c>
      <c r="F375" s="4" t="str">
        <f ca="1">IF(OR(INDEX($W$2:$W$1001,MATCH(ROWS($V$2:V375),$V$2:$V$1001,0),1)&gt;=100000,INDEX($AC$1005:$AS$1005,1,MATCH(COLUMNS($AC$1006:AG1006),$AC$1006:$AS$1006,0))&gt;=100000), " ",IF(INDEX($AC$2:$AS$1001,MATCH(ROWS($V$2:V375),$V$2:$V$1001,0),MATCH(COLUMNS($AC$1006:AG1006),$AC$1006:$AS$1006,0)), HYPERLINK("#",""), HYPERLINK(CONCATENATE("#metadata!", ADDRESS(INDEX($X$2:$X$1001,MATCH(ROWS($V$2:V375),$V$2:$V$1001,0),0), INDEX($AC$1004:$AS$1004,1,MATCH(COLUMNS($AC$1006:AG1006),$AC$1006:$AS$1006,0)))),"Fix")))</f>
        <v xml:space="preserve"> </v>
      </c>
      <c r="G375" s="4" t="str">
        <f ca="1">IF(OR(INDEX($W$2:$W$1001,MATCH(ROWS($V$2:V375),$V$2:$V$1001,0),1)&gt;=100000,INDEX($AC$1005:$AS$1005,1,MATCH(COLUMNS($AC$1006:AH1006),$AC$1006:$AS$1006,0))&gt;=100000), " ",IF(INDEX($AC$2:$AS$1001,MATCH(ROWS($V$2:V375),$V$2:$V$1001,0),MATCH(COLUMNS($AC$1006:AH1006),$AC$1006:$AS$1006,0)), HYPERLINK("#",""), HYPERLINK(CONCATENATE("#metadata!", ADDRESS(INDEX($X$2:$X$1001,MATCH(ROWS($V$2:V375),$V$2:$V$1001,0),0), INDEX($AC$1004:$AS$1004,1,MATCH(COLUMNS($AC$1006:AH1006),$AC$1006:$AS$1006,0)))),"Fix")))</f>
        <v xml:space="preserve"> </v>
      </c>
      <c r="H375" s="4" t="str">
        <f ca="1">IF(OR(INDEX($W$2:$W$1001,MATCH(ROWS($V$2:V375),$V$2:$V$1001,0),1)&gt;=100000,INDEX($AC$1005:$AS$1005,1,MATCH(COLUMNS($AC$1006:AI1006),$AC$1006:$AS$1006,0))&gt;=100000), " ",IF(INDEX($AC$2:$AS$1001,MATCH(ROWS($V$2:V375),$V$2:$V$1001,0),MATCH(COLUMNS($AC$1006:AI1006),$AC$1006:$AS$1006,0)), HYPERLINK("#",""), HYPERLINK(CONCATENATE("#metadata!", ADDRESS(INDEX($X$2:$X$1001,MATCH(ROWS($V$2:V375),$V$2:$V$1001,0),0), INDEX($AC$1004:$AS$1004,1,MATCH(COLUMNS($AC$1006:AI1006),$AC$1006:$AS$1006,0)))),"Fix")))</f>
        <v xml:space="preserve"> </v>
      </c>
      <c r="I375" s="4" t="str">
        <f ca="1">IF(OR(INDEX($W$2:$W$1001,MATCH(ROWS($V$2:V375),$V$2:$V$1001,0),1)&gt;=100000,INDEX($AC$1005:$AS$1005,1,MATCH(COLUMNS($AC$1006:AJ1006),$AC$1006:$AS$1006,0))&gt;=100000), " ",IF(INDEX($AC$2:$AS$1001,MATCH(ROWS($V$2:V375),$V$2:$V$1001,0),MATCH(COLUMNS($AC$1006:AJ1006),$AC$1006:$AS$1006,0)), HYPERLINK("#",""), HYPERLINK(CONCATENATE("#metadata!", ADDRESS(INDEX($X$2:$X$1001,MATCH(ROWS($V$2:V375),$V$2:$V$1001,0),0), INDEX($AC$1004:$AS$1004,1,MATCH(COLUMNS($AC$1006:AJ1006),$AC$1006:$AS$1006,0)))),"Fix")))</f>
        <v xml:space="preserve"> </v>
      </c>
      <c r="J375" s="4" t="str">
        <f ca="1">IF(OR(INDEX($W$2:$W$1001,MATCH(ROWS($V$2:V375),$V$2:$V$1001,0),1)&gt;=100000,INDEX($AC$1005:$AS$1005,1,MATCH(COLUMNS($AC$1006:AK1006),$AC$1006:$AS$1006,0))&gt;=100000), " ",IF(INDEX($AC$2:$AS$1001,MATCH(ROWS($V$2:V375),$V$2:$V$1001,0),MATCH(COLUMNS($AC$1006:AK1006),$AC$1006:$AS$1006,0)), HYPERLINK("#",""), HYPERLINK(CONCATENATE("#metadata!", ADDRESS(INDEX($X$2:$X$1001,MATCH(ROWS($V$2:V375),$V$2:$V$1001,0),0), INDEX($AC$1004:$AS$1004,1,MATCH(COLUMNS($AC$1006:AK1006),$AC$1006:$AS$1006,0)))),"Fix")))</f>
        <v xml:space="preserve"> </v>
      </c>
      <c r="K375" s="4" t="str">
        <f ca="1">IF(OR(INDEX($W$2:$W$1001,MATCH(ROWS($V$2:V375),$V$2:$V$1001,0),1)&gt;=100000,INDEX($AC$1005:$AS$1005,1,MATCH(COLUMNS($AC$1006:AL1006),$AC$1006:$AS$1006,0))&gt;=100000), " ",IF(INDEX($AC$2:$AS$1001,MATCH(ROWS($V$2:V375),$V$2:$V$1001,0),MATCH(COLUMNS($AC$1006:AL1006),$AC$1006:$AS$1006,0)), HYPERLINK("#",""), HYPERLINK(CONCATENATE("#metadata!", ADDRESS(INDEX($X$2:$X$1001,MATCH(ROWS($V$2:V375),$V$2:$V$1001,0),0), INDEX($AC$1004:$AS$1004,1,MATCH(COLUMNS($AC$1006:AL1006),$AC$1006:$AS$1006,0)))),"Fix")))</f>
        <v xml:space="preserve"> </v>
      </c>
      <c r="L375" s="4" t="str">
        <f ca="1">IF(OR(INDEX($W$2:$W$1001,MATCH(ROWS($V$2:V375),$V$2:$V$1001,0),1)&gt;=100000,INDEX($AC$1005:$AS$1005,1,MATCH(COLUMNS($AC$1006:AM1006),$AC$1006:$AS$1006,0))&gt;=100000), " ",IF(INDEX($AC$2:$AS$1001,MATCH(ROWS($V$2:V375),$V$2:$V$1001,0),MATCH(COLUMNS($AC$1006:AM1006),$AC$1006:$AS$1006,0)), HYPERLINK("#",""), HYPERLINK(CONCATENATE("#metadata!", ADDRESS(INDEX($X$2:$X$1001,MATCH(ROWS($V$2:V375),$V$2:$V$1001,0),0), INDEX($AC$1004:$AS$1004,1,MATCH(COLUMNS($AC$1006:AM1006),$AC$1006:$AS$1006,0)))),"Fix")))</f>
        <v xml:space="preserve"> </v>
      </c>
      <c r="M375" s="4" t="str">
        <f ca="1">IF(OR(INDEX($W$2:$W$1001,MATCH(ROWS($V$2:V375),$V$2:$V$1001,0),1)&gt;=100000,INDEX($AC$1005:$AS$1005,1,MATCH(COLUMNS($AC$1006:AN1006),$AC$1006:$AS$1006,0))&gt;=100000), " ",IF(INDEX($AC$2:$AS$1001,MATCH(ROWS($V$2:V375),$V$2:$V$1001,0),MATCH(COLUMNS($AC$1006:AN1006),$AC$1006:$AS$1006,0)), HYPERLINK("#",""), HYPERLINK(CONCATENATE("#metadata!", ADDRESS(INDEX($X$2:$X$1001,MATCH(ROWS($V$2:V375),$V$2:$V$1001,0),0), INDEX($AC$1004:$AS$1004,1,MATCH(COLUMNS($AC$1006:AN1006),$AC$1006:$AS$1006,0)))),"Fix")))</f>
        <v xml:space="preserve"> </v>
      </c>
      <c r="N375" s="4" t="str">
        <f ca="1">IF(OR(INDEX($W$2:$W$1001,MATCH(ROWS($V$2:V375),$V$2:$V$1001,0),1)&gt;=100000,INDEX($AC$1005:$AS$1005,1,MATCH(COLUMNS($AC$1006:AO1006),$AC$1006:$AS$1006,0))&gt;=100000), " ",IF(INDEX($AC$2:$AS$1001,MATCH(ROWS($V$2:V375),$V$2:$V$1001,0),MATCH(COLUMNS($AC$1006:AO1006),$AC$1006:$AS$1006,0)), HYPERLINK("#",""), HYPERLINK(CONCATENATE("#metadata!", ADDRESS(INDEX($X$2:$X$1001,MATCH(ROWS($V$2:V375),$V$2:$V$1001,0),0), INDEX($AC$1004:$AS$1004,1,MATCH(COLUMNS($AC$1006:AO1006),$AC$1006:$AS$1006,0)))),"Fix")))</f>
        <v xml:space="preserve"> </v>
      </c>
      <c r="O375" s="4" t="str">
        <f ca="1">IF(OR(INDEX($W$2:$W$1001,MATCH(ROWS($V$2:V375),$V$2:$V$1001,0),1)&gt;=100000,INDEX($AC$1005:$AS$1005,1,MATCH(COLUMNS($AC$1006:AP1006),$AC$1006:$AS$1006,0))&gt;=100000), " ",IF(INDEX($AC$2:$AS$1001,MATCH(ROWS($V$2:V375),$V$2:$V$1001,0),MATCH(COLUMNS($AC$1006:AP1006),$AC$1006:$AS$1006,0)), HYPERLINK("#",""), HYPERLINK(CONCATENATE("#metadata!", ADDRESS(INDEX($X$2:$X$1001,MATCH(ROWS($V$2:V375),$V$2:$V$1001,0),0), INDEX($AC$1004:$AS$1004,1,MATCH(COLUMNS($AC$1006:AP1006),$AC$1006:$AS$1006,0)))),"Fix")))</f>
        <v xml:space="preserve"> </v>
      </c>
      <c r="P375" s="4" t="str">
        <f ca="1">IF(OR(INDEX($W$2:$W$1001,MATCH(ROWS($V$2:V375),$V$2:$V$1001,0),1)&gt;=100000,INDEX($AC$1005:$AS$1005,1,MATCH(COLUMNS($AC$1006:AQ1006),$AC$1006:$AS$1006,0))&gt;=100000), " ",IF(INDEX($AC$2:$AS$1001,MATCH(ROWS($V$2:V375),$V$2:$V$1001,0),MATCH(COLUMNS($AC$1006:AQ1006),$AC$1006:$AS$1006,0)), HYPERLINK("#",""), HYPERLINK(CONCATENATE("#metadata!", ADDRESS(INDEX($X$2:$X$1001,MATCH(ROWS($V$2:V375),$V$2:$V$1001,0),0), INDEX($AC$1004:$AS$1004,1,MATCH(COLUMNS($AC$1006:AQ1006),$AC$1006:$AS$1006,0)))),"Fix")))</f>
        <v xml:space="preserve"> </v>
      </c>
      <c r="Q375" s="4" t="str">
        <f ca="1">IF(OR(INDEX($W$2:$W$1001,MATCH(ROWS($V$2:V375),$V$2:$V$1001,0),1)&gt;=100000,INDEX($AC$1005:$AS$1005,1,MATCH(COLUMNS($AC$1006:AR1006),$AC$1006:$AS$1006,0))&gt;=100000), " ",IF(INDEX($AC$2:$AS$1001,MATCH(ROWS($V$2:V375),$V$2:$V$1001,0),MATCH(COLUMNS($AC$1006:AR1006),$AC$1006:$AS$1006,0)), HYPERLINK("#",""), HYPERLINK(CONCATENATE("#metadata!", ADDRESS(INDEX($X$2:$X$1001,MATCH(ROWS($V$2:V375),$V$2:$V$1001,0),0), INDEX($AC$1004:$AS$1004,1,MATCH(COLUMNS($AC$1006:AR1006),$AC$1006:$AS$1006,0)))),"Fix")))</f>
        <v xml:space="preserve"> </v>
      </c>
      <c r="R375" s="4" t="str">
        <f ca="1">IF(OR(INDEX($W$2:$W$1001,MATCH(ROWS($V$2:V375),$V$2:$V$1001,0),1)&gt;=100000,INDEX($AC$1005:$AS$1005,1,MATCH(COLUMNS($AC$1006:AS1006),$AC$1006:$AS$1006,0))&gt;=100000), " ",IF(INDEX($AC$2:$AS$1001,MATCH(ROWS($V$2:V375),$V$2:$V$1001,0),MATCH(COLUMNS($AC$1006:AS1006),$AC$1006:$AS$1006,0)), HYPERLINK("#",""), HYPERLINK(CONCATENATE("#metadata!", ADDRESS(INDEX($X$2:$X$1001,MATCH(ROWS($V$2:V375),$V$2:$V$1001,0),0), INDEX($AC$1004:$AS$1004,1,MATCH(COLUMNS($AC$1006:AS1006),$AC$1006:$AS$1006,0)))),"Fix")))</f>
        <v xml:space="preserve"> </v>
      </c>
      <c r="V375">
        <v>374</v>
      </c>
      <c r="W375">
        <v>100375</v>
      </c>
      <c r="X375">
        <v>375</v>
      </c>
      <c r="Y375" t="b">
        <f t="shared" si="5"/>
        <v>1</v>
      </c>
      <c r="Z375" t="b">
        <f>COUNTBLANK(metadata!B375:R375)=COLUMNS(metadata!B375:R375)</f>
        <v>1</v>
      </c>
      <c r="AA375" t="str">
        <v/>
      </c>
      <c r="AC375" t="b">
        <f ca="1"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AD375" t="b">
        <f>IF(metadata!C375="",FALSE,ISNUMBER(VALUE(metadata!C375)))</f>
        <v>0</v>
      </c>
      <c r="AE375" t="b">
        <f>AND(IF(metadata!D375="",FALSE,TRUE),EXACT(metadata!D375,"years"))</f>
        <v>0</v>
      </c>
      <c r="AF375" t="b">
        <f>OR(AND(IF(metadata!E375="",FALSE,TRUE),OR(EXACT(metadata!E375,"not applicable"),EXACT(metadata!E375,"missing: not collected"),EXACT(metadata!E375,"missing: not provided"),EXACT(metadata!E375,"missing: restricted access"))),AND(IF(metadata!E375="",FALSE,ISNUMBER(VALUE(metadata!E375))),metadata!E375&gt;0))</f>
        <v>0</v>
      </c>
      <c r="AG375" t="b">
        <f>AND(IF(metadata!F375="",FALSE,TRUE),EXACT(metadata!F375,"Not applicable"))</f>
        <v>0</v>
      </c>
      <c r="AH375" t="b">
        <f>AND(IF(metadata!G375="",FALSE,TRUE),EXACT(metadata!G375,"urban biome"))</f>
        <v>0</v>
      </c>
      <c r="AI375" t="b">
        <f>AND(IF(metadata!H375="",FALSE,TRUE),EXACT(metadata!H375,"human-associated habitat"))</f>
        <v>0</v>
      </c>
      <c r="AJ375" t="b">
        <f>AND(IF(metadata!I375="",FALSE,TRUE),OR(EXACT(metadata!I375,"human-associated"),EXACT(metadata!I375,"human-skin"),EXACT(metadata!I375,"human-oral"),EXACT(metadata!I375,"human-gut"),EXACT(metadata!I375,"human-vaginal")))</f>
        <v>0</v>
      </c>
      <c r="AK375" t="b">
        <f>IF(metadata!J375="",FALSE,ISNUMBER(VALUE(metadata!J375)))</f>
        <v>0</v>
      </c>
      <c r="AL375" t="b">
        <f>AND(IF(metadata!K375="",FALSE,TRUE),EXACT(metadata!K375,"cm"))</f>
        <v>0</v>
      </c>
      <c r="AM375" t="b">
        <f>AND(IF(metadata!L375="",FALSE,TRUE),EXACT(metadata!L375,"human"))</f>
        <v>0</v>
      </c>
      <c r="AN375" t="b">
        <f>AND(IF(metadata!M375="",FALSE,TRUE),EXACT(metadata!M375,"Homo sapiens"))</f>
        <v>0</v>
      </c>
      <c r="AO375" t="b">
        <f>AND(IF(metadata!N375="",FALSE,TRUE),EXACT(metadata!N375,"9606"))</f>
        <v>0</v>
      </c>
      <c r="AP375" t="b">
        <f>IF(metadata!O375="",FALSE,TRUE)</f>
        <v>0</v>
      </c>
      <c r="AQ375" t="b">
        <f>IF(metadata!P375="",FALSE,TRUE)</f>
        <v>0</v>
      </c>
      <c r="AR375" t="b">
        <f>IF(metadata!Q375="",FALSE,ISNUMBER(VALUE(metadata!Q375)))</f>
        <v>0</v>
      </c>
      <c r="AS375" t="b">
        <f>AND(IF(metadata!R375="",FALSE,TRUE),EXACT(metadata!R375,"kg"))</f>
        <v>0</v>
      </c>
    </row>
    <row r="376" spans="1:45" x14ac:dyDescent="0.2">
      <c r="A376" s="5" t="str">
        <f ca="1">IF(B376=" "," ",HYPERLINK(CONCATENATE("#metadata!",ADDRESS(INDEX($X$2:$X$1001,MATCH(ROWS($V$2:V376),$V$2:$V$1001,0),0),1)),INDEX($AA$2:$AA$1001,MATCH(ROWS($V$2:V376),$V$2:$V$1001,0),0)))</f>
        <v xml:space="preserve"> </v>
      </c>
      <c r="B376" s="4" t="str">
        <f ca="1">IF(OR(INDEX($W$2:$W$1001,MATCH(ROWS($V$2:V376),$V$2:$V$1001,0),1)&gt;=100000,INDEX($AC$1005:$AS$1005,1,MATCH(COLUMNS($AC$1006:AC1006),$AC$1006:$AS$1006,0))&gt;=100000), " ",IF(INDEX($AC$2:$AS$1001,MATCH(ROWS($V$2:V376),$V$2:$V$1001,0),MATCH(COLUMNS($AC$1006:AC1006),$AC$1006:$AS$1006,0)), HYPERLINK("#",""), HYPERLINK(CONCATENATE("#metadata!", ADDRESS(INDEX($X$2:$X$1001,MATCH(ROWS($V$2:V376),$V$2:$V$1001,0),0), INDEX($AC$1004:$AS$1004,1,MATCH(COLUMNS($AC$1006:AC1006),$AC$1006:$AS$1006,0)))),"Fix")))</f>
        <v xml:space="preserve"> </v>
      </c>
      <c r="C376" s="4" t="str">
        <f ca="1">IF(OR(INDEX($W$2:$W$1001,MATCH(ROWS($V$2:V376),$V$2:$V$1001,0),1)&gt;=100000,INDEX($AC$1005:$AS$1005,1,MATCH(COLUMNS($AC$1006:AD1006),$AC$1006:$AS$1006,0))&gt;=100000), " ",IF(INDEX($AC$2:$AS$1001,MATCH(ROWS($V$2:V376),$V$2:$V$1001,0),MATCH(COLUMNS($AC$1006:AD1006),$AC$1006:$AS$1006,0)), HYPERLINK("#",""), HYPERLINK(CONCATENATE("#metadata!", ADDRESS(INDEX($X$2:$X$1001,MATCH(ROWS($V$2:V376),$V$2:$V$1001,0),0), INDEX($AC$1004:$AS$1004,1,MATCH(COLUMNS($AC$1006:AD1006),$AC$1006:$AS$1006,0)))),"Fix")))</f>
        <v xml:space="preserve"> </v>
      </c>
      <c r="D376" s="4" t="str">
        <f ca="1">IF(OR(INDEX($W$2:$W$1001,MATCH(ROWS($V$2:V376),$V$2:$V$1001,0),1)&gt;=100000,INDEX($AC$1005:$AS$1005,1,MATCH(COLUMNS($AC$1006:AE1006),$AC$1006:$AS$1006,0))&gt;=100000), " ",IF(INDEX($AC$2:$AS$1001,MATCH(ROWS($V$2:V376),$V$2:$V$1001,0),MATCH(COLUMNS($AC$1006:AE1006),$AC$1006:$AS$1006,0)), HYPERLINK("#",""), HYPERLINK(CONCATENATE("#metadata!", ADDRESS(INDEX($X$2:$X$1001,MATCH(ROWS($V$2:V376),$V$2:$V$1001,0),0), INDEX($AC$1004:$AS$1004,1,MATCH(COLUMNS($AC$1006:AE1006),$AC$1006:$AS$1006,0)))),"Fix")))</f>
        <v xml:space="preserve"> </v>
      </c>
      <c r="E376" s="4" t="str">
        <f ca="1">IF(OR(INDEX($W$2:$W$1001,MATCH(ROWS($V$2:V376),$V$2:$V$1001,0),1)&gt;=100000,INDEX($AC$1005:$AS$1005,1,MATCH(COLUMNS($AC$1006:AF1006),$AC$1006:$AS$1006,0))&gt;=100000), " ",IF(INDEX($AC$2:$AS$1001,MATCH(ROWS($V$2:V376),$V$2:$V$1001,0),MATCH(COLUMNS($AC$1006:AF1006),$AC$1006:$AS$1006,0)), HYPERLINK("#",""), HYPERLINK(CONCATENATE("#metadata!", ADDRESS(INDEX($X$2:$X$1001,MATCH(ROWS($V$2:V376),$V$2:$V$1001,0),0), INDEX($AC$1004:$AS$1004,1,MATCH(COLUMNS($AC$1006:AF1006),$AC$1006:$AS$1006,0)))),"Fix")))</f>
        <v xml:space="preserve"> </v>
      </c>
      <c r="F376" s="4" t="str">
        <f ca="1">IF(OR(INDEX($W$2:$W$1001,MATCH(ROWS($V$2:V376),$V$2:$V$1001,0),1)&gt;=100000,INDEX($AC$1005:$AS$1005,1,MATCH(COLUMNS($AC$1006:AG1006),$AC$1006:$AS$1006,0))&gt;=100000), " ",IF(INDEX($AC$2:$AS$1001,MATCH(ROWS($V$2:V376),$V$2:$V$1001,0),MATCH(COLUMNS($AC$1006:AG1006),$AC$1006:$AS$1006,0)), HYPERLINK("#",""), HYPERLINK(CONCATENATE("#metadata!", ADDRESS(INDEX($X$2:$X$1001,MATCH(ROWS($V$2:V376),$V$2:$V$1001,0),0), INDEX($AC$1004:$AS$1004,1,MATCH(COLUMNS($AC$1006:AG1006),$AC$1006:$AS$1006,0)))),"Fix")))</f>
        <v xml:space="preserve"> </v>
      </c>
      <c r="G376" s="4" t="str">
        <f ca="1">IF(OR(INDEX($W$2:$W$1001,MATCH(ROWS($V$2:V376),$V$2:$V$1001,0),1)&gt;=100000,INDEX($AC$1005:$AS$1005,1,MATCH(COLUMNS($AC$1006:AH1006),$AC$1006:$AS$1006,0))&gt;=100000), " ",IF(INDEX($AC$2:$AS$1001,MATCH(ROWS($V$2:V376),$V$2:$V$1001,0),MATCH(COLUMNS($AC$1006:AH1006),$AC$1006:$AS$1006,0)), HYPERLINK("#",""), HYPERLINK(CONCATENATE("#metadata!", ADDRESS(INDEX($X$2:$X$1001,MATCH(ROWS($V$2:V376),$V$2:$V$1001,0),0), INDEX($AC$1004:$AS$1004,1,MATCH(COLUMNS($AC$1006:AH1006),$AC$1006:$AS$1006,0)))),"Fix")))</f>
        <v xml:space="preserve"> </v>
      </c>
      <c r="H376" s="4" t="str">
        <f ca="1">IF(OR(INDEX($W$2:$W$1001,MATCH(ROWS($V$2:V376),$V$2:$V$1001,0),1)&gt;=100000,INDEX($AC$1005:$AS$1005,1,MATCH(COLUMNS($AC$1006:AI1006),$AC$1006:$AS$1006,0))&gt;=100000), " ",IF(INDEX($AC$2:$AS$1001,MATCH(ROWS($V$2:V376),$V$2:$V$1001,0),MATCH(COLUMNS($AC$1006:AI1006),$AC$1006:$AS$1006,0)), HYPERLINK("#",""), HYPERLINK(CONCATENATE("#metadata!", ADDRESS(INDEX($X$2:$X$1001,MATCH(ROWS($V$2:V376),$V$2:$V$1001,0),0), INDEX($AC$1004:$AS$1004,1,MATCH(COLUMNS($AC$1006:AI1006),$AC$1006:$AS$1006,0)))),"Fix")))</f>
        <v xml:space="preserve"> </v>
      </c>
      <c r="I376" s="4" t="str">
        <f ca="1">IF(OR(INDEX($W$2:$W$1001,MATCH(ROWS($V$2:V376),$V$2:$V$1001,0),1)&gt;=100000,INDEX($AC$1005:$AS$1005,1,MATCH(COLUMNS($AC$1006:AJ1006),$AC$1006:$AS$1006,0))&gt;=100000), " ",IF(INDEX($AC$2:$AS$1001,MATCH(ROWS($V$2:V376),$V$2:$V$1001,0),MATCH(COLUMNS($AC$1006:AJ1006),$AC$1006:$AS$1006,0)), HYPERLINK("#",""), HYPERLINK(CONCATENATE("#metadata!", ADDRESS(INDEX($X$2:$X$1001,MATCH(ROWS($V$2:V376),$V$2:$V$1001,0),0), INDEX($AC$1004:$AS$1004,1,MATCH(COLUMNS($AC$1006:AJ1006),$AC$1006:$AS$1006,0)))),"Fix")))</f>
        <v xml:space="preserve"> </v>
      </c>
      <c r="J376" s="4" t="str">
        <f ca="1">IF(OR(INDEX($W$2:$W$1001,MATCH(ROWS($V$2:V376),$V$2:$V$1001,0),1)&gt;=100000,INDEX($AC$1005:$AS$1005,1,MATCH(COLUMNS($AC$1006:AK1006),$AC$1006:$AS$1006,0))&gt;=100000), " ",IF(INDEX($AC$2:$AS$1001,MATCH(ROWS($V$2:V376),$V$2:$V$1001,0),MATCH(COLUMNS($AC$1006:AK1006),$AC$1006:$AS$1006,0)), HYPERLINK("#",""), HYPERLINK(CONCATENATE("#metadata!", ADDRESS(INDEX($X$2:$X$1001,MATCH(ROWS($V$2:V376),$V$2:$V$1001,0),0), INDEX($AC$1004:$AS$1004,1,MATCH(COLUMNS($AC$1006:AK1006),$AC$1006:$AS$1006,0)))),"Fix")))</f>
        <v xml:space="preserve"> </v>
      </c>
      <c r="K376" s="4" t="str">
        <f ca="1">IF(OR(INDEX($W$2:$W$1001,MATCH(ROWS($V$2:V376),$V$2:$V$1001,0),1)&gt;=100000,INDEX($AC$1005:$AS$1005,1,MATCH(COLUMNS($AC$1006:AL1006),$AC$1006:$AS$1006,0))&gt;=100000), " ",IF(INDEX($AC$2:$AS$1001,MATCH(ROWS($V$2:V376),$V$2:$V$1001,0),MATCH(COLUMNS($AC$1006:AL1006),$AC$1006:$AS$1006,0)), HYPERLINK("#",""), HYPERLINK(CONCATENATE("#metadata!", ADDRESS(INDEX($X$2:$X$1001,MATCH(ROWS($V$2:V376),$V$2:$V$1001,0),0), INDEX($AC$1004:$AS$1004,1,MATCH(COLUMNS($AC$1006:AL1006),$AC$1006:$AS$1006,0)))),"Fix")))</f>
        <v xml:space="preserve"> </v>
      </c>
      <c r="L376" s="4" t="str">
        <f ca="1">IF(OR(INDEX($W$2:$W$1001,MATCH(ROWS($V$2:V376),$V$2:$V$1001,0),1)&gt;=100000,INDEX($AC$1005:$AS$1005,1,MATCH(COLUMNS($AC$1006:AM1006),$AC$1006:$AS$1006,0))&gt;=100000), " ",IF(INDEX($AC$2:$AS$1001,MATCH(ROWS($V$2:V376),$V$2:$V$1001,0),MATCH(COLUMNS($AC$1006:AM1006),$AC$1006:$AS$1006,0)), HYPERLINK("#",""), HYPERLINK(CONCATENATE("#metadata!", ADDRESS(INDEX($X$2:$X$1001,MATCH(ROWS($V$2:V376),$V$2:$V$1001,0),0), INDEX($AC$1004:$AS$1004,1,MATCH(COLUMNS($AC$1006:AM1006),$AC$1006:$AS$1006,0)))),"Fix")))</f>
        <v xml:space="preserve"> </v>
      </c>
      <c r="M376" s="4" t="str">
        <f ca="1">IF(OR(INDEX($W$2:$W$1001,MATCH(ROWS($V$2:V376),$V$2:$V$1001,0),1)&gt;=100000,INDEX($AC$1005:$AS$1005,1,MATCH(COLUMNS($AC$1006:AN1006),$AC$1006:$AS$1006,0))&gt;=100000), " ",IF(INDEX($AC$2:$AS$1001,MATCH(ROWS($V$2:V376),$V$2:$V$1001,0),MATCH(COLUMNS($AC$1006:AN1006),$AC$1006:$AS$1006,0)), HYPERLINK("#",""), HYPERLINK(CONCATENATE("#metadata!", ADDRESS(INDEX($X$2:$X$1001,MATCH(ROWS($V$2:V376),$V$2:$V$1001,0),0), INDEX($AC$1004:$AS$1004,1,MATCH(COLUMNS($AC$1006:AN1006),$AC$1006:$AS$1006,0)))),"Fix")))</f>
        <v xml:space="preserve"> </v>
      </c>
      <c r="N376" s="4" t="str">
        <f ca="1">IF(OR(INDEX($W$2:$W$1001,MATCH(ROWS($V$2:V376),$V$2:$V$1001,0),1)&gt;=100000,INDEX($AC$1005:$AS$1005,1,MATCH(COLUMNS($AC$1006:AO1006),$AC$1006:$AS$1006,0))&gt;=100000), " ",IF(INDEX($AC$2:$AS$1001,MATCH(ROWS($V$2:V376),$V$2:$V$1001,0),MATCH(COLUMNS($AC$1006:AO1006),$AC$1006:$AS$1006,0)), HYPERLINK("#",""), HYPERLINK(CONCATENATE("#metadata!", ADDRESS(INDEX($X$2:$X$1001,MATCH(ROWS($V$2:V376),$V$2:$V$1001,0),0), INDEX($AC$1004:$AS$1004,1,MATCH(COLUMNS($AC$1006:AO1006),$AC$1006:$AS$1006,0)))),"Fix")))</f>
        <v xml:space="preserve"> </v>
      </c>
      <c r="O376" s="4" t="str">
        <f ca="1">IF(OR(INDEX($W$2:$W$1001,MATCH(ROWS($V$2:V376),$V$2:$V$1001,0),1)&gt;=100000,INDEX($AC$1005:$AS$1005,1,MATCH(COLUMNS($AC$1006:AP1006),$AC$1006:$AS$1006,0))&gt;=100000), " ",IF(INDEX($AC$2:$AS$1001,MATCH(ROWS($V$2:V376),$V$2:$V$1001,0),MATCH(COLUMNS($AC$1006:AP1006),$AC$1006:$AS$1006,0)), HYPERLINK("#",""), HYPERLINK(CONCATENATE("#metadata!", ADDRESS(INDEX($X$2:$X$1001,MATCH(ROWS($V$2:V376),$V$2:$V$1001,0),0), INDEX($AC$1004:$AS$1004,1,MATCH(COLUMNS($AC$1006:AP1006),$AC$1006:$AS$1006,0)))),"Fix")))</f>
        <v xml:space="preserve"> </v>
      </c>
      <c r="P376" s="4" t="str">
        <f ca="1">IF(OR(INDEX($W$2:$W$1001,MATCH(ROWS($V$2:V376),$V$2:$V$1001,0),1)&gt;=100000,INDEX($AC$1005:$AS$1005,1,MATCH(COLUMNS($AC$1006:AQ1006),$AC$1006:$AS$1006,0))&gt;=100000), " ",IF(INDEX($AC$2:$AS$1001,MATCH(ROWS($V$2:V376),$V$2:$V$1001,0),MATCH(COLUMNS($AC$1006:AQ1006),$AC$1006:$AS$1006,0)), HYPERLINK("#",""), HYPERLINK(CONCATENATE("#metadata!", ADDRESS(INDEX($X$2:$X$1001,MATCH(ROWS($V$2:V376),$V$2:$V$1001,0),0), INDEX($AC$1004:$AS$1004,1,MATCH(COLUMNS($AC$1006:AQ1006),$AC$1006:$AS$1006,0)))),"Fix")))</f>
        <v xml:space="preserve"> </v>
      </c>
      <c r="Q376" s="4" t="str">
        <f ca="1">IF(OR(INDEX($W$2:$W$1001,MATCH(ROWS($V$2:V376),$V$2:$V$1001,0),1)&gt;=100000,INDEX($AC$1005:$AS$1005,1,MATCH(COLUMNS($AC$1006:AR1006),$AC$1006:$AS$1006,0))&gt;=100000), " ",IF(INDEX($AC$2:$AS$1001,MATCH(ROWS($V$2:V376),$V$2:$V$1001,0),MATCH(COLUMNS($AC$1006:AR1006),$AC$1006:$AS$1006,0)), HYPERLINK("#",""), HYPERLINK(CONCATENATE("#metadata!", ADDRESS(INDEX($X$2:$X$1001,MATCH(ROWS($V$2:V376),$V$2:$V$1001,0),0), INDEX($AC$1004:$AS$1004,1,MATCH(COLUMNS($AC$1006:AR1006),$AC$1006:$AS$1006,0)))),"Fix")))</f>
        <v xml:space="preserve"> </v>
      </c>
      <c r="R376" s="4" t="str">
        <f ca="1">IF(OR(INDEX($W$2:$W$1001,MATCH(ROWS($V$2:V376),$V$2:$V$1001,0),1)&gt;=100000,INDEX($AC$1005:$AS$1005,1,MATCH(COLUMNS($AC$1006:AS1006),$AC$1006:$AS$1006,0))&gt;=100000), " ",IF(INDEX($AC$2:$AS$1001,MATCH(ROWS($V$2:V376),$V$2:$V$1001,0),MATCH(COLUMNS($AC$1006:AS1006),$AC$1006:$AS$1006,0)), HYPERLINK("#",""), HYPERLINK(CONCATENATE("#metadata!", ADDRESS(INDEX($X$2:$X$1001,MATCH(ROWS($V$2:V376),$V$2:$V$1001,0),0), INDEX($AC$1004:$AS$1004,1,MATCH(COLUMNS($AC$1006:AS1006),$AC$1006:$AS$1006,0)))),"Fix")))</f>
        <v xml:space="preserve"> </v>
      </c>
      <c r="V376">
        <v>375</v>
      </c>
      <c r="W376">
        <v>100376</v>
      </c>
      <c r="X376">
        <v>376</v>
      </c>
      <c r="Y376" t="b">
        <f t="shared" si="5"/>
        <v>1</v>
      </c>
      <c r="Z376" t="b">
        <f>COUNTBLANK(metadata!B376:R376)=COLUMNS(metadata!B376:R376)</f>
        <v>1</v>
      </c>
      <c r="AA376" t="str">
        <v/>
      </c>
      <c r="AC376" t="b">
        <f ca="1"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AD376" t="b">
        <f>IF(metadata!C376="",FALSE,ISNUMBER(VALUE(metadata!C376)))</f>
        <v>0</v>
      </c>
      <c r="AE376" t="b">
        <f>AND(IF(metadata!D376="",FALSE,TRUE),EXACT(metadata!D376,"years"))</f>
        <v>0</v>
      </c>
      <c r="AF376" t="b">
        <f>OR(AND(IF(metadata!E376="",FALSE,TRUE),OR(EXACT(metadata!E376,"not applicable"),EXACT(metadata!E376,"missing: not collected"),EXACT(metadata!E376,"missing: not provided"),EXACT(metadata!E376,"missing: restricted access"))),AND(IF(metadata!E376="",FALSE,ISNUMBER(VALUE(metadata!E376))),metadata!E376&gt;0))</f>
        <v>0</v>
      </c>
      <c r="AG376" t="b">
        <f>AND(IF(metadata!F376="",FALSE,TRUE),EXACT(metadata!F376,"Not applicable"))</f>
        <v>0</v>
      </c>
      <c r="AH376" t="b">
        <f>AND(IF(metadata!G376="",FALSE,TRUE),EXACT(metadata!G376,"urban biome"))</f>
        <v>0</v>
      </c>
      <c r="AI376" t="b">
        <f>AND(IF(metadata!H376="",FALSE,TRUE),EXACT(metadata!H376,"human-associated habitat"))</f>
        <v>0</v>
      </c>
      <c r="AJ376" t="b">
        <f>AND(IF(metadata!I376="",FALSE,TRUE),OR(EXACT(metadata!I376,"human-associated"),EXACT(metadata!I376,"human-skin"),EXACT(metadata!I376,"human-oral"),EXACT(metadata!I376,"human-gut"),EXACT(metadata!I376,"human-vaginal")))</f>
        <v>0</v>
      </c>
      <c r="AK376" t="b">
        <f>IF(metadata!J376="",FALSE,ISNUMBER(VALUE(metadata!J376)))</f>
        <v>0</v>
      </c>
      <c r="AL376" t="b">
        <f>AND(IF(metadata!K376="",FALSE,TRUE),EXACT(metadata!K376,"cm"))</f>
        <v>0</v>
      </c>
      <c r="AM376" t="b">
        <f>AND(IF(metadata!L376="",FALSE,TRUE),EXACT(metadata!L376,"human"))</f>
        <v>0</v>
      </c>
      <c r="AN376" t="b">
        <f>AND(IF(metadata!M376="",FALSE,TRUE),EXACT(metadata!M376,"Homo sapiens"))</f>
        <v>0</v>
      </c>
      <c r="AO376" t="b">
        <f>AND(IF(metadata!N376="",FALSE,TRUE),EXACT(metadata!N376,"9606"))</f>
        <v>0</v>
      </c>
      <c r="AP376" t="b">
        <f>IF(metadata!O376="",FALSE,TRUE)</f>
        <v>0</v>
      </c>
      <c r="AQ376" t="b">
        <f>IF(metadata!P376="",FALSE,TRUE)</f>
        <v>0</v>
      </c>
      <c r="AR376" t="b">
        <f>IF(metadata!Q376="",FALSE,ISNUMBER(VALUE(metadata!Q376)))</f>
        <v>0</v>
      </c>
      <c r="AS376" t="b">
        <f>AND(IF(metadata!R376="",FALSE,TRUE),EXACT(metadata!R376,"kg"))</f>
        <v>0</v>
      </c>
    </row>
    <row r="377" spans="1:45" x14ac:dyDescent="0.2">
      <c r="A377" s="5" t="str">
        <f ca="1">IF(B377=" "," ",HYPERLINK(CONCATENATE("#metadata!",ADDRESS(INDEX($X$2:$X$1001,MATCH(ROWS($V$2:V377),$V$2:$V$1001,0),0),1)),INDEX($AA$2:$AA$1001,MATCH(ROWS($V$2:V377),$V$2:$V$1001,0),0)))</f>
        <v xml:space="preserve"> </v>
      </c>
      <c r="B377" s="4" t="str">
        <f ca="1">IF(OR(INDEX($W$2:$W$1001,MATCH(ROWS($V$2:V377),$V$2:$V$1001,0),1)&gt;=100000,INDEX($AC$1005:$AS$1005,1,MATCH(COLUMNS($AC$1006:AC1006),$AC$1006:$AS$1006,0))&gt;=100000), " ",IF(INDEX($AC$2:$AS$1001,MATCH(ROWS($V$2:V377),$V$2:$V$1001,0),MATCH(COLUMNS($AC$1006:AC1006),$AC$1006:$AS$1006,0)), HYPERLINK("#",""), HYPERLINK(CONCATENATE("#metadata!", ADDRESS(INDEX($X$2:$X$1001,MATCH(ROWS($V$2:V377),$V$2:$V$1001,0),0), INDEX($AC$1004:$AS$1004,1,MATCH(COLUMNS($AC$1006:AC1006),$AC$1006:$AS$1006,0)))),"Fix")))</f>
        <v xml:space="preserve"> </v>
      </c>
      <c r="C377" s="4" t="str">
        <f ca="1">IF(OR(INDEX($W$2:$W$1001,MATCH(ROWS($V$2:V377),$V$2:$V$1001,0),1)&gt;=100000,INDEX($AC$1005:$AS$1005,1,MATCH(COLUMNS($AC$1006:AD1006),$AC$1006:$AS$1006,0))&gt;=100000), " ",IF(INDEX($AC$2:$AS$1001,MATCH(ROWS($V$2:V377),$V$2:$V$1001,0),MATCH(COLUMNS($AC$1006:AD1006),$AC$1006:$AS$1006,0)), HYPERLINK("#",""), HYPERLINK(CONCATENATE("#metadata!", ADDRESS(INDEX($X$2:$X$1001,MATCH(ROWS($V$2:V377),$V$2:$V$1001,0),0), INDEX($AC$1004:$AS$1004,1,MATCH(COLUMNS($AC$1006:AD1006),$AC$1006:$AS$1006,0)))),"Fix")))</f>
        <v xml:space="preserve"> </v>
      </c>
      <c r="D377" s="4" t="str">
        <f ca="1">IF(OR(INDEX($W$2:$W$1001,MATCH(ROWS($V$2:V377),$V$2:$V$1001,0),1)&gt;=100000,INDEX($AC$1005:$AS$1005,1,MATCH(COLUMNS($AC$1006:AE1006),$AC$1006:$AS$1006,0))&gt;=100000), " ",IF(INDEX($AC$2:$AS$1001,MATCH(ROWS($V$2:V377),$V$2:$V$1001,0),MATCH(COLUMNS($AC$1006:AE1006),$AC$1006:$AS$1006,0)), HYPERLINK("#",""), HYPERLINK(CONCATENATE("#metadata!", ADDRESS(INDEX($X$2:$X$1001,MATCH(ROWS($V$2:V377),$V$2:$V$1001,0),0), INDEX($AC$1004:$AS$1004,1,MATCH(COLUMNS($AC$1006:AE1006),$AC$1006:$AS$1006,0)))),"Fix")))</f>
        <v xml:space="preserve"> </v>
      </c>
      <c r="E377" s="4" t="str">
        <f ca="1">IF(OR(INDEX($W$2:$W$1001,MATCH(ROWS($V$2:V377),$V$2:$V$1001,0),1)&gt;=100000,INDEX($AC$1005:$AS$1005,1,MATCH(COLUMNS($AC$1006:AF1006),$AC$1006:$AS$1006,0))&gt;=100000), " ",IF(INDEX($AC$2:$AS$1001,MATCH(ROWS($V$2:V377),$V$2:$V$1001,0),MATCH(COLUMNS($AC$1006:AF1006),$AC$1006:$AS$1006,0)), HYPERLINK("#",""), HYPERLINK(CONCATENATE("#metadata!", ADDRESS(INDEX($X$2:$X$1001,MATCH(ROWS($V$2:V377),$V$2:$V$1001,0),0), INDEX($AC$1004:$AS$1004,1,MATCH(COLUMNS($AC$1006:AF1006),$AC$1006:$AS$1006,0)))),"Fix")))</f>
        <v xml:space="preserve"> </v>
      </c>
      <c r="F377" s="4" t="str">
        <f ca="1">IF(OR(INDEX($W$2:$W$1001,MATCH(ROWS($V$2:V377),$V$2:$V$1001,0),1)&gt;=100000,INDEX($AC$1005:$AS$1005,1,MATCH(COLUMNS($AC$1006:AG1006),$AC$1006:$AS$1006,0))&gt;=100000), " ",IF(INDEX($AC$2:$AS$1001,MATCH(ROWS($V$2:V377),$V$2:$V$1001,0),MATCH(COLUMNS($AC$1006:AG1006),$AC$1006:$AS$1006,0)), HYPERLINK("#",""), HYPERLINK(CONCATENATE("#metadata!", ADDRESS(INDEX($X$2:$X$1001,MATCH(ROWS($V$2:V377),$V$2:$V$1001,0),0), INDEX($AC$1004:$AS$1004,1,MATCH(COLUMNS($AC$1006:AG1006),$AC$1006:$AS$1006,0)))),"Fix")))</f>
        <v xml:space="preserve"> </v>
      </c>
      <c r="G377" s="4" t="str">
        <f ca="1">IF(OR(INDEX($W$2:$W$1001,MATCH(ROWS($V$2:V377),$V$2:$V$1001,0),1)&gt;=100000,INDEX($AC$1005:$AS$1005,1,MATCH(COLUMNS($AC$1006:AH1006),$AC$1006:$AS$1006,0))&gt;=100000), " ",IF(INDEX($AC$2:$AS$1001,MATCH(ROWS($V$2:V377),$V$2:$V$1001,0),MATCH(COLUMNS($AC$1006:AH1006),$AC$1006:$AS$1006,0)), HYPERLINK("#",""), HYPERLINK(CONCATENATE("#metadata!", ADDRESS(INDEX($X$2:$X$1001,MATCH(ROWS($V$2:V377),$V$2:$V$1001,0),0), INDEX($AC$1004:$AS$1004,1,MATCH(COLUMNS($AC$1006:AH1006),$AC$1006:$AS$1006,0)))),"Fix")))</f>
        <v xml:space="preserve"> </v>
      </c>
      <c r="H377" s="4" t="str">
        <f ca="1">IF(OR(INDEX($W$2:$W$1001,MATCH(ROWS($V$2:V377),$V$2:$V$1001,0),1)&gt;=100000,INDEX($AC$1005:$AS$1005,1,MATCH(COLUMNS($AC$1006:AI1006),$AC$1006:$AS$1006,0))&gt;=100000), " ",IF(INDEX($AC$2:$AS$1001,MATCH(ROWS($V$2:V377),$V$2:$V$1001,0),MATCH(COLUMNS($AC$1006:AI1006),$AC$1006:$AS$1006,0)), HYPERLINK("#",""), HYPERLINK(CONCATENATE("#metadata!", ADDRESS(INDEX($X$2:$X$1001,MATCH(ROWS($V$2:V377),$V$2:$V$1001,0),0), INDEX($AC$1004:$AS$1004,1,MATCH(COLUMNS($AC$1006:AI1006),$AC$1006:$AS$1006,0)))),"Fix")))</f>
        <v xml:space="preserve"> </v>
      </c>
      <c r="I377" s="4" t="str">
        <f ca="1">IF(OR(INDEX($W$2:$W$1001,MATCH(ROWS($V$2:V377),$V$2:$V$1001,0),1)&gt;=100000,INDEX($AC$1005:$AS$1005,1,MATCH(COLUMNS($AC$1006:AJ1006),$AC$1006:$AS$1006,0))&gt;=100000), " ",IF(INDEX($AC$2:$AS$1001,MATCH(ROWS($V$2:V377),$V$2:$V$1001,0),MATCH(COLUMNS($AC$1006:AJ1006),$AC$1006:$AS$1006,0)), HYPERLINK("#",""), HYPERLINK(CONCATENATE("#metadata!", ADDRESS(INDEX($X$2:$X$1001,MATCH(ROWS($V$2:V377),$V$2:$V$1001,0),0), INDEX($AC$1004:$AS$1004,1,MATCH(COLUMNS($AC$1006:AJ1006),$AC$1006:$AS$1006,0)))),"Fix")))</f>
        <v xml:space="preserve"> </v>
      </c>
      <c r="J377" s="4" t="str">
        <f ca="1">IF(OR(INDEX($W$2:$W$1001,MATCH(ROWS($V$2:V377),$V$2:$V$1001,0),1)&gt;=100000,INDEX($AC$1005:$AS$1005,1,MATCH(COLUMNS($AC$1006:AK1006),$AC$1006:$AS$1006,0))&gt;=100000), " ",IF(INDEX($AC$2:$AS$1001,MATCH(ROWS($V$2:V377),$V$2:$V$1001,0),MATCH(COLUMNS($AC$1006:AK1006),$AC$1006:$AS$1006,0)), HYPERLINK("#",""), HYPERLINK(CONCATENATE("#metadata!", ADDRESS(INDEX($X$2:$X$1001,MATCH(ROWS($V$2:V377),$V$2:$V$1001,0),0), INDEX($AC$1004:$AS$1004,1,MATCH(COLUMNS($AC$1006:AK1006),$AC$1006:$AS$1006,0)))),"Fix")))</f>
        <v xml:space="preserve"> </v>
      </c>
      <c r="K377" s="4" t="str">
        <f ca="1">IF(OR(INDEX($W$2:$W$1001,MATCH(ROWS($V$2:V377),$V$2:$V$1001,0),1)&gt;=100000,INDEX($AC$1005:$AS$1005,1,MATCH(COLUMNS($AC$1006:AL1006),$AC$1006:$AS$1006,0))&gt;=100000), " ",IF(INDEX($AC$2:$AS$1001,MATCH(ROWS($V$2:V377),$V$2:$V$1001,0),MATCH(COLUMNS($AC$1006:AL1006),$AC$1006:$AS$1006,0)), HYPERLINK("#",""), HYPERLINK(CONCATENATE("#metadata!", ADDRESS(INDEX($X$2:$X$1001,MATCH(ROWS($V$2:V377),$V$2:$V$1001,0),0), INDEX($AC$1004:$AS$1004,1,MATCH(COLUMNS($AC$1006:AL1006),$AC$1006:$AS$1006,0)))),"Fix")))</f>
        <v xml:space="preserve"> </v>
      </c>
      <c r="L377" s="4" t="str">
        <f ca="1">IF(OR(INDEX($W$2:$W$1001,MATCH(ROWS($V$2:V377),$V$2:$V$1001,0),1)&gt;=100000,INDEX($AC$1005:$AS$1005,1,MATCH(COLUMNS($AC$1006:AM1006),$AC$1006:$AS$1006,0))&gt;=100000), " ",IF(INDEX($AC$2:$AS$1001,MATCH(ROWS($V$2:V377),$V$2:$V$1001,0),MATCH(COLUMNS($AC$1006:AM1006),$AC$1006:$AS$1006,0)), HYPERLINK("#",""), HYPERLINK(CONCATENATE("#metadata!", ADDRESS(INDEX($X$2:$X$1001,MATCH(ROWS($V$2:V377),$V$2:$V$1001,0),0), INDEX($AC$1004:$AS$1004,1,MATCH(COLUMNS($AC$1006:AM1006),$AC$1006:$AS$1006,0)))),"Fix")))</f>
        <v xml:space="preserve"> </v>
      </c>
      <c r="M377" s="4" t="str">
        <f ca="1">IF(OR(INDEX($W$2:$W$1001,MATCH(ROWS($V$2:V377),$V$2:$V$1001,0),1)&gt;=100000,INDEX($AC$1005:$AS$1005,1,MATCH(COLUMNS($AC$1006:AN1006),$AC$1006:$AS$1006,0))&gt;=100000), " ",IF(INDEX($AC$2:$AS$1001,MATCH(ROWS($V$2:V377),$V$2:$V$1001,0),MATCH(COLUMNS($AC$1006:AN1006),$AC$1006:$AS$1006,0)), HYPERLINK("#",""), HYPERLINK(CONCATENATE("#metadata!", ADDRESS(INDEX($X$2:$X$1001,MATCH(ROWS($V$2:V377),$V$2:$V$1001,0),0), INDEX($AC$1004:$AS$1004,1,MATCH(COLUMNS($AC$1006:AN1006),$AC$1006:$AS$1006,0)))),"Fix")))</f>
        <v xml:space="preserve"> </v>
      </c>
      <c r="N377" s="4" t="str">
        <f ca="1">IF(OR(INDEX($W$2:$W$1001,MATCH(ROWS($V$2:V377),$V$2:$V$1001,0),1)&gt;=100000,INDEX($AC$1005:$AS$1005,1,MATCH(COLUMNS($AC$1006:AO1006),$AC$1006:$AS$1006,0))&gt;=100000), " ",IF(INDEX($AC$2:$AS$1001,MATCH(ROWS($V$2:V377),$V$2:$V$1001,0),MATCH(COLUMNS($AC$1006:AO1006),$AC$1006:$AS$1006,0)), HYPERLINK("#",""), HYPERLINK(CONCATENATE("#metadata!", ADDRESS(INDEX($X$2:$X$1001,MATCH(ROWS($V$2:V377),$V$2:$V$1001,0),0), INDEX($AC$1004:$AS$1004,1,MATCH(COLUMNS($AC$1006:AO1006),$AC$1006:$AS$1006,0)))),"Fix")))</f>
        <v xml:space="preserve"> </v>
      </c>
      <c r="O377" s="4" t="str">
        <f ca="1">IF(OR(INDEX($W$2:$W$1001,MATCH(ROWS($V$2:V377),$V$2:$V$1001,0),1)&gt;=100000,INDEX($AC$1005:$AS$1005,1,MATCH(COLUMNS($AC$1006:AP1006),$AC$1006:$AS$1006,0))&gt;=100000), " ",IF(INDEX($AC$2:$AS$1001,MATCH(ROWS($V$2:V377),$V$2:$V$1001,0),MATCH(COLUMNS($AC$1006:AP1006),$AC$1006:$AS$1006,0)), HYPERLINK("#",""), HYPERLINK(CONCATENATE("#metadata!", ADDRESS(INDEX($X$2:$X$1001,MATCH(ROWS($V$2:V377),$V$2:$V$1001,0),0), INDEX($AC$1004:$AS$1004,1,MATCH(COLUMNS($AC$1006:AP1006),$AC$1006:$AS$1006,0)))),"Fix")))</f>
        <v xml:space="preserve"> </v>
      </c>
      <c r="P377" s="4" t="str">
        <f ca="1">IF(OR(INDEX($W$2:$W$1001,MATCH(ROWS($V$2:V377),$V$2:$V$1001,0),1)&gt;=100000,INDEX($AC$1005:$AS$1005,1,MATCH(COLUMNS($AC$1006:AQ1006),$AC$1006:$AS$1006,0))&gt;=100000), " ",IF(INDEX($AC$2:$AS$1001,MATCH(ROWS($V$2:V377),$V$2:$V$1001,0),MATCH(COLUMNS($AC$1006:AQ1006),$AC$1006:$AS$1006,0)), HYPERLINK("#",""), HYPERLINK(CONCATENATE("#metadata!", ADDRESS(INDEX($X$2:$X$1001,MATCH(ROWS($V$2:V377),$V$2:$V$1001,0),0), INDEX($AC$1004:$AS$1004,1,MATCH(COLUMNS($AC$1006:AQ1006),$AC$1006:$AS$1006,0)))),"Fix")))</f>
        <v xml:space="preserve"> </v>
      </c>
      <c r="Q377" s="4" t="str">
        <f ca="1">IF(OR(INDEX($W$2:$W$1001,MATCH(ROWS($V$2:V377),$V$2:$V$1001,0),1)&gt;=100000,INDEX($AC$1005:$AS$1005,1,MATCH(COLUMNS($AC$1006:AR1006),$AC$1006:$AS$1006,0))&gt;=100000), " ",IF(INDEX($AC$2:$AS$1001,MATCH(ROWS($V$2:V377),$V$2:$V$1001,0),MATCH(COLUMNS($AC$1006:AR1006),$AC$1006:$AS$1006,0)), HYPERLINK("#",""), HYPERLINK(CONCATENATE("#metadata!", ADDRESS(INDEX($X$2:$X$1001,MATCH(ROWS($V$2:V377),$V$2:$V$1001,0),0), INDEX($AC$1004:$AS$1004,1,MATCH(COLUMNS($AC$1006:AR1006),$AC$1006:$AS$1006,0)))),"Fix")))</f>
        <v xml:space="preserve"> </v>
      </c>
      <c r="R377" s="4" t="str">
        <f ca="1">IF(OR(INDEX($W$2:$W$1001,MATCH(ROWS($V$2:V377),$V$2:$V$1001,0),1)&gt;=100000,INDEX($AC$1005:$AS$1005,1,MATCH(COLUMNS($AC$1006:AS1006),$AC$1006:$AS$1006,0))&gt;=100000), " ",IF(INDEX($AC$2:$AS$1001,MATCH(ROWS($V$2:V377),$V$2:$V$1001,0),MATCH(COLUMNS($AC$1006:AS1006),$AC$1006:$AS$1006,0)), HYPERLINK("#",""), HYPERLINK(CONCATENATE("#metadata!", ADDRESS(INDEX($X$2:$X$1001,MATCH(ROWS($V$2:V377),$V$2:$V$1001,0),0), INDEX($AC$1004:$AS$1004,1,MATCH(COLUMNS($AC$1006:AS1006),$AC$1006:$AS$1006,0)))),"Fix")))</f>
        <v xml:space="preserve"> </v>
      </c>
      <c r="V377">
        <v>376</v>
      </c>
      <c r="W377">
        <v>100377</v>
      </c>
      <c r="X377">
        <v>377</v>
      </c>
      <c r="Y377" t="b">
        <f t="shared" si="5"/>
        <v>1</v>
      </c>
      <c r="Z377" t="b">
        <f>COUNTBLANK(metadata!B377:R377)=COLUMNS(metadata!B377:R377)</f>
        <v>1</v>
      </c>
      <c r="AA377" t="str">
        <v/>
      </c>
      <c r="AC377" t="b">
        <f ca="1"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AD377" t="b">
        <f>IF(metadata!C377="",FALSE,ISNUMBER(VALUE(metadata!C377)))</f>
        <v>0</v>
      </c>
      <c r="AE377" t="b">
        <f>AND(IF(metadata!D377="",FALSE,TRUE),EXACT(metadata!D377,"years"))</f>
        <v>0</v>
      </c>
      <c r="AF377" t="b">
        <f>OR(AND(IF(metadata!E377="",FALSE,TRUE),OR(EXACT(metadata!E377,"not applicable"),EXACT(metadata!E377,"missing: not collected"),EXACT(metadata!E377,"missing: not provided"),EXACT(metadata!E377,"missing: restricted access"))),AND(IF(metadata!E377="",FALSE,ISNUMBER(VALUE(metadata!E377))),metadata!E377&gt;0))</f>
        <v>0</v>
      </c>
      <c r="AG377" t="b">
        <f>AND(IF(metadata!F377="",FALSE,TRUE),EXACT(metadata!F377,"Not applicable"))</f>
        <v>0</v>
      </c>
      <c r="AH377" t="b">
        <f>AND(IF(metadata!G377="",FALSE,TRUE),EXACT(metadata!G377,"urban biome"))</f>
        <v>0</v>
      </c>
      <c r="AI377" t="b">
        <f>AND(IF(metadata!H377="",FALSE,TRUE),EXACT(metadata!H377,"human-associated habitat"))</f>
        <v>0</v>
      </c>
      <c r="AJ377" t="b">
        <f>AND(IF(metadata!I377="",FALSE,TRUE),OR(EXACT(metadata!I377,"human-associated"),EXACT(metadata!I377,"human-skin"),EXACT(metadata!I377,"human-oral"),EXACT(metadata!I377,"human-gut"),EXACT(metadata!I377,"human-vaginal")))</f>
        <v>0</v>
      </c>
      <c r="AK377" t="b">
        <f>IF(metadata!J377="",FALSE,ISNUMBER(VALUE(metadata!J377)))</f>
        <v>0</v>
      </c>
      <c r="AL377" t="b">
        <f>AND(IF(metadata!K377="",FALSE,TRUE),EXACT(metadata!K377,"cm"))</f>
        <v>0</v>
      </c>
      <c r="AM377" t="b">
        <f>AND(IF(metadata!L377="",FALSE,TRUE),EXACT(metadata!L377,"human"))</f>
        <v>0</v>
      </c>
      <c r="AN377" t="b">
        <f>AND(IF(metadata!M377="",FALSE,TRUE),EXACT(metadata!M377,"Homo sapiens"))</f>
        <v>0</v>
      </c>
      <c r="AO377" t="b">
        <f>AND(IF(metadata!N377="",FALSE,TRUE),EXACT(metadata!N377,"9606"))</f>
        <v>0</v>
      </c>
      <c r="AP377" t="b">
        <f>IF(metadata!O377="",FALSE,TRUE)</f>
        <v>0</v>
      </c>
      <c r="AQ377" t="b">
        <f>IF(metadata!P377="",FALSE,TRUE)</f>
        <v>0</v>
      </c>
      <c r="AR377" t="b">
        <f>IF(metadata!Q377="",FALSE,ISNUMBER(VALUE(metadata!Q377)))</f>
        <v>0</v>
      </c>
      <c r="AS377" t="b">
        <f>AND(IF(metadata!R377="",FALSE,TRUE),EXACT(metadata!R377,"kg"))</f>
        <v>0</v>
      </c>
    </row>
    <row r="378" spans="1:45" x14ac:dyDescent="0.2">
      <c r="A378" s="5" t="str">
        <f ca="1">IF(B378=" "," ",HYPERLINK(CONCATENATE("#metadata!",ADDRESS(INDEX($X$2:$X$1001,MATCH(ROWS($V$2:V378),$V$2:$V$1001,0),0),1)),INDEX($AA$2:$AA$1001,MATCH(ROWS($V$2:V378),$V$2:$V$1001,0),0)))</f>
        <v xml:space="preserve"> </v>
      </c>
      <c r="B378" s="4" t="str">
        <f ca="1">IF(OR(INDEX($W$2:$W$1001,MATCH(ROWS($V$2:V378),$V$2:$V$1001,0),1)&gt;=100000,INDEX($AC$1005:$AS$1005,1,MATCH(COLUMNS($AC$1006:AC1006),$AC$1006:$AS$1006,0))&gt;=100000), " ",IF(INDEX($AC$2:$AS$1001,MATCH(ROWS($V$2:V378),$V$2:$V$1001,0),MATCH(COLUMNS($AC$1006:AC1006),$AC$1006:$AS$1006,0)), HYPERLINK("#",""), HYPERLINK(CONCATENATE("#metadata!", ADDRESS(INDEX($X$2:$X$1001,MATCH(ROWS($V$2:V378),$V$2:$V$1001,0),0), INDEX($AC$1004:$AS$1004,1,MATCH(COLUMNS($AC$1006:AC1006),$AC$1006:$AS$1006,0)))),"Fix")))</f>
        <v xml:space="preserve"> </v>
      </c>
      <c r="C378" s="4" t="str">
        <f ca="1">IF(OR(INDEX($W$2:$W$1001,MATCH(ROWS($V$2:V378),$V$2:$V$1001,0),1)&gt;=100000,INDEX($AC$1005:$AS$1005,1,MATCH(COLUMNS($AC$1006:AD1006),$AC$1006:$AS$1006,0))&gt;=100000), " ",IF(INDEX($AC$2:$AS$1001,MATCH(ROWS($V$2:V378),$V$2:$V$1001,0),MATCH(COLUMNS($AC$1006:AD1006),$AC$1006:$AS$1006,0)), HYPERLINK("#",""), HYPERLINK(CONCATENATE("#metadata!", ADDRESS(INDEX($X$2:$X$1001,MATCH(ROWS($V$2:V378),$V$2:$V$1001,0),0), INDEX($AC$1004:$AS$1004,1,MATCH(COLUMNS($AC$1006:AD1006),$AC$1006:$AS$1006,0)))),"Fix")))</f>
        <v xml:space="preserve"> </v>
      </c>
      <c r="D378" s="4" t="str">
        <f ca="1">IF(OR(INDEX($W$2:$W$1001,MATCH(ROWS($V$2:V378),$V$2:$V$1001,0),1)&gt;=100000,INDEX($AC$1005:$AS$1005,1,MATCH(COLUMNS($AC$1006:AE1006),$AC$1006:$AS$1006,0))&gt;=100000), " ",IF(INDEX($AC$2:$AS$1001,MATCH(ROWS($V$2:V378),$V$2:$V$1001,0),MATCH(COLUMNS($AC$1006:AE1006),$AC$1006:$AS$1006,0)), HYPERLINK("#",""), HYPERLINK(CONCATENATE("#metadata!", ADDRESS(INDEX($X$2:$X$1001,MATCH(ROWS($V$2:V378),$V$2:$V$1001,0),0), INDEX($AC$1004:$AS$1004,1,MATCH(COLUMNS($AC$1006:AE1006),$AC$1006:$AS$1006,0)))),"Fix")))</f>
        <v xml:space="preserve"> </v>
      </c>
      <c r="E378" s="4" t="str">
        <f ca="1">IF(OR(INDEX($W$2:$W$1001,MATCH(ROWS($V$2:V378),$V$2:$V$1001,0),1)&gt;=100000,INDEX($AC$1005:$AS$1005,1,MATCH(COLUMNS($AC$1006:AF1006),$AC$1006:$AS$1006,0))&gt;=100000), " ",IF(INDEX($AC$2:$AS$1001,MATCH(ROWS($V$2:V378),$V$2:$V$1001,0),MATCH(COLUMNS($AC$1006:AF1006),$AC$1006:$AS$1006,0)), HYPERLINK("#",""), HYPERLINK(CONCATENATE("#metadata!", ADDRESS(INDEX($X$2:$X$1001,MATCH(ROWS($V$2:V378),$V$2:$V$1001,0),0), INDEX($AC$1004:$AS$1004,1,MATCH(COLUMNS($AC$1006:AF1006),$AC$1006:$AS$1006,0)))),"Fix")))</f>
        <v xml:space="preserve"> </v>
      </c>
      <c r="F378" s="4" t="str">
        <f ca="1">IF(OR(INDEX($W$2:$W$1001,MATCH(ROWS($V$2:V378),$V$2:$V$1001,0),1)&gt;=100000,INDEX($AC$1005:$AS$1005,1,MATCH(COLUMNS($AC$1006:AG1006),$AC$1006:$AS$1006,0))&gt;=100000), " ",IF(INDEX($AC$2:$AS$1001,MATCH(ROWS($V$2:V378),$V$2:$V$1001,0),MATCH(COLUMNS($AC$1006:AG1006),$AC$1006:$AS$1006,0)), HYPERLINK("#",""), HYPERLINK(CONCATENATE("#metadata!", ADDRESS(INDEX($X$2:$X$1001,MATCH(ROWS($V$2:V378),$V$2:$V$1001,0),0), INDEX($AC$1004:$AS$1004,1,MATCH(COLUMNS($AC$1006:AG1006),$AC$1006:$AS$1006,0)))),"Fix")))</f>
        <v xml:space="preserve"> </v>
      </c>
      <c r="G378" s="4" t="str">
        <f ca="1">IF(OR(INDEX($W$2:$W$1001,MATCH(ROWS($V$2:V378),$V$2:$V$1001,0),1)&gt;=100000,INDEX($AC$1005:$AS$1005,1,MATCH(COLUMNS($AC$1006:AH1006),$AC$1006:$AS$1006,0))&gt;=100000), " ",IF(INDEX($AC$2:$AS$1001,MATCH(ROWS($V$2:V378),$V$2:$V$1001,0),MATCH(COLUMNS($AC$1006:AH1006),$AC$1006:$AS$1006,0)), HYPERLINK("#",""), HYPERLINK(CONCATENATE("#metadata!", ADDRESS(INDEX($X$2:$X$1001,MATCH(ROWS($V$2:V378),$V$2:$V$1001,0),0), INDEX($AC$1004:$AS$1004,1,MATCH(COLUMNS($AC$1006:AH1006),$AC$1006:$AS$1006,0)))),"Fix")))</f>
        <v xml:space="preserve"> </v>
      </c>
      <c r="H378" s="4" t="str">
        <f ca="1">IF(OR(INDEX($W$2:$W$1001,MATCH(ROWS($V$2:V378),$V$2:$V$1001,0),1)&gt;=100000,INDEX($AC$1005:$AS$1005,1,MATCH(COLUMNS($AC$1006:AI1006),$AC$1006:$AS$1006,0))&gt;=100000), " ",IF(INDEX($AC$2:$AS$1001,MATCH(ROWS($V$2:V378),$V$2:$V$1001,0),MATCH(COLUMNS($AC$1006:AI1006),$AC$1006:$AS$1006,0)), HYPERLINK("#",""), HYPERLINK(CONCATENATE("#metadata!", ADDRESS(INDEX($X$2:$X$1001,MATCH(ROWS($V$2:V378),$V$2:$V$1001,0),0), INDEX($AC$1004:$AS$1004,1,MATCH(COLUMNS($AC$1006:AI1006),$AC$1006:$AS$1006,0)))),"Fix")))</f>
        <v xml:space="preserve"> </v>
      </c>
      <c r="I378" s="4" t="str">
        <f ca="1">IF(OR(INDEX($W$2:$W$1001,MATCH(ROWS($V$2:V378),$V$2:$V$1001,0),1)&gt;=100000,INDEX($AC$1005:$AS$1005,1,MATCH(COLUMNS($AC$1006:AJ1006),$AC$1006:$AS$1006,0))&gt;=100000), " ",IF(INDEX($AC$2:$AS$1001,MATCH(ROWS($V$2:V378),$V$2:$V$1001,0),MATCH(COLUMNS($AC$1006:AJ1006),$AC$1006:$AS$1006,0)), HYPERLINK("#",""), HYPERLINK(CONCATENATE("#metadata!", ADDRESS(INDEX($X$2:$X$1001,MATCH(ROWS($V$2:V378),$V$2:$V$1001,0),0), INDEX($AC$1004:$AS$1004,1,MATCH(COLUMNS($AC$1006:AJ1006),$AC$1006:$AS$1006,0)))),"Fix")))</f>
        <v xml:space="preserve"> </v>
      </c>
      <c r="J378" s="4" t="str">
        <f ca="1">IF(OR(INDEX($W$2:$W$1001,MATCH(ROWS($V$2:V378),$V$2:$V$1001,0),1)&gt;=100000,INDEX($AC$1005:$AS$1005,1,MATCH(COLUMNS($AC$1006:AK1006),$AC$1006:$AS$1006,0))&gt;=100000), " ",IF(INDEX($AC$2:$AS$1001,MATCH(ROWS($V$2:V378),$V$2:$V$1001,0),MATCH(COLUMNS($AC$1006:AK1006),$AC$1006:$AS$1006,0)), HYPERLINK("#",""), HYPERLINK(CONCATENATE("#metadata!", ADDRESS(INDEX($X$2:$X$1001,MATCH(ROWS($V$2:V378),$V$2:$V$1001,0),0), INDEX($AC$1004:$AS$1004,1,MATCH(COLUMNS($AC$1006:AK1006),$AC$1006:$AS$1006,0)))),"Fix")))</f>
        <v xml:space="preserve"> </v>
      </c>
      <c r="K378" s="4" t="str">
        <f ca="1">IF(OR(INDEX($W$2:$W$1001,MATCH(ROWS($V$2:V378),$V$2:$V$1001,0),1)&gt;=100000,INDEX($AC$1005:$AS$1005,1,MATCH(COLUMNS($AC$1006:AL1006),$AC$1006:$AS$1006,0))&gt;=100000), " ",IF(INDEX($AC$2:$AS$1001,MATCH(ROWS($V$2:V378),$V$2:$V$1001,0),MATCH(COLUMNS($AC$1006:AL1006),$AC$1006:$AS$1006,0)), HYPERLINK("#",""), HYPERLINK(CONCATENATE("#metadata!", ADDRESS(INDEX($X$2:$X$1001,MATCH(ROWS($V$2:V378),$V$2:$V$1001,0),0), INDEX($AC$1004:$AS$1004,1,MATCH(COLUMNS($AC$1006:AL1006),$AC$1006:$AS$1006,0)))),"Fix")))</f>
        <v xml:space="preserve"> </v>
      </c>
      <c r="L378" s="4" t="str">
        <f ca="1">IF(OR(INDEX($W$2:$W$1001,MATCH(ROWS($V$2:V378),$V$2:$V$1001,0),1)&gt;=100000,INDEX($AC$1005:$AS$1005,1,MATCH(COLUMNS($AC$1006:AM1006),$AC$1006:$AS$1006,0))&gt;=100000), " ",IF(INDEX($AC$2:$AS$1001,MATCH(ROWS($V$2:V378),$V$2:$V$1001,0),MATCH(COLUMNS($AC$1006:AM1006),$AC$1006:$AS$1006,0)), HYPERLINK("#",""), HYPERLINK(CONCATENATE("#metadata!", ADDRESS(INDEX($X$2:$X$1001,MATCH(ROWS($V$2:V378),$V$2:$V$1001,0),0), INDEX($AC$1004:$AS$1004,1,MATCH(COLUMNS($AC$1006:AM1006),$AC$1006:$AS$1006,0)))),"Fix")))</f>
        <v xml:space="preserve"> </v>
      </c>
      <c r="M378" s="4" t="str">
        <f ca="1">IF(OR(INDEX($W$2:$W$1001,MATCH(ROWS($V$2:V378),$V$2:$V$1001,0),1)&gt;=100000,INDEX($AC$1005:$AS$1005,1,MATCH(COLUMNS($AC$1006:AN1006),$AC$1006:$AS$1006,0))&gt;=100000), " ",IF(INDEX($AC$2:$AS$1001,MATCH(ROWS($V$2:V378),$V$2:$V$1001,0),MATCH(COLUMNS($AC$1006:AN1006),$AC$1006:$AS$1006,0)), HYPERLINK("#",""), HYPERLINK(CONCATENATE("#metadata!", ADDRESS(INDEX($X$2:$X$1001,MATCH(ROWS($V$2:V378),$V$2:$V$1001,0),0), INDEX($AC$1004:$AS$1004,1,MATCH(COLUMNS($AC$1006:AN1006),$AC$1006:$AS$1006,0)))),"Fix")))</f>
        <v xml:space="preserve"> </v>
      </c>
      <c r="N378" s="4" t="str">
        <f ca="1">IF(OR(INDEX($W$2:$W$1001,MATCH(ROWS($V$2:V378),$V$2:$V$1001,0),1)&gt;=100000,INDEX($AC$1005:$AS$1005,1,MATCH(COLUMNS($AC$1006:AO1006),$AC$1006:$AS$1006,0))&gt;=100000), " ",IF(INDEX($AC$2:$AS$1001,MATCH(ROWS($V$2:V378),$V$2:$V$1001,0),MATCH(COLUMNS($AC$1006:AO1006),$AC$1006:$AS$1006,0)), HYPERLINK("#",""), HYPERLINK(CONCATENATE("#metadata!", ADDRESS(INDEX($X$2:$X$1001,MATCH(ROWS($V$2:V378),$V$2:$V$1001,0),0), INDEX($AC$1004:$AS$1004,1,MATCH(COLUMNS($AC$1006:AO1006),$AC$1006:$AS$1006,0)))),"Fix")))</f>
        <v xml:space="preserve"> </v>
      </c>
      <c r="O378" s="4" t="str">
        <f ca="1">IF(OR(INDEX($W$2:$W$1001,MATCH(ROWS($V$2:V378),$V$2:$V$1001,0),1)&gt;=100000,INDEX($AC$1005:$AS$1005,1,MATCH(COLUMNS($AC$1006:AP1006),$AC$1006:$AS$1006,0))&gt;=100000), " ",IF(INDEX($AC$2:$AS$1001,MATCH(ROWS($V$2:V378),$V$2:$V$1001,0),MATCH(COLUMNS($AC$1006:AP1006),$AC$1006:$AS$1006,0)), HYPERLINK("#",""), HYPERLINK(CONCATENATE("#metadata!", ADDRESS(INDEX($X$2:$X$1001,MATCH(ROWS($V$2:V378),$V$2:$V$1001,0),0), INDEX($AC$1004:$AS$1004,1,MATCH(COLUMNS($AC$1006:AP1006),$AC$1006:$AS$1006,0)))),"Fix")))</f>
        <v xml:space="preserve"> </v>
      </c>
      <c r="P378" s="4" t="str">
        <f ca="1">IF(OR(INDEX($W$2:$W$1001,MATCH(ROWS($V$2:V378),$V$2:$V$1001,0),1)&gt;=100000,INDEX($AC$1005:$AS$1005,1,MATCH(COLUMNS($AC$1006:AQ1006),$AC$1006:$AS$1006,0))&gt;=100000), " ",IF(INDEX($AC$2:$AS$1001,MATCH(ROWS($V$2:V378),$V$2:$V$1001,0),MATCH(COLUMNS($AC$1006:AQ1006),$AC$1006:$AS$1006,0)), HYPERLINK("#",""), HYPERLINK(CONCATENATE("#metadata!", ADDRESS(INDEX($X$2:$X$1001,MATCH(ROWS($V$2:V378),$V$2:$V$1001,0),0), INDEX($AC$1004:$AS$1004,1,MATCH(COLUMNS($AC$1006:AQ1006),$AC$1006:$AS$1006,0)))),"Fix")))</f>
        <v xml:space="preserve"> </v>
      </c>
      <c r="Q378" s="4" t="str">
        <f ca="1">IF(OR(INDEX($W$2:$W$1001,MATCH(ROWS($V$2:V378),$V$2:$V$1001,0),1)&gt;=100000,INDEX($AC$1005:$AS$1005,1,MATCH(COLUMNS($AC$1006:AR1006),$AC$1006:$AS$1006,0))&gt;=100000), " ",IF(INDEX($AC$2:$AS$1001,MATCH(ROWS($V$2:V378),$V$2:$V$1001,0),MATCH(COLUMNS($AC$1006:AR1006),$AC$1006:$AS$1006,0)), HYPERLINK("#",""), HYPERLINK(CONCATENATE("#metadata!", ADDRESS(INDEX($X$2:$X$1001,MATCH(ROWS($V$2:V378),$V$2:$V$1001,0),0), INDEX($AC$1004:$AS$1004,1,MATCH(COLUMNS($AC$1006:AR1006),$AC$1006:$AS$1006,0)))),"Fix")))</f>
        <v xml:space="preserve"> </v>
      </c>
      <c r="R378" s="4" t="str">
        <f ca="1">IF(OR(INDEX($W$2:$W$1001,MATCH(ROWS($V$2:V378),$V$2:$V$1001,0),1)&gt;=100000,INDEX($AC$1005:$AS$1005,1,MATCH(COLUMNS($AC$1006:AS1006),$AC$1006:$AS$1006,0))&gt;=100000), " ",IF(INDEX($AC$2:$AS$1001,MATCH(ROWS($V$2:V378),$V$2:$V$1001,0),MATCH(COLUMNS($AC$1006:AS1006),$AC$1006:$AS$1006,0)), HYPERLINK("#",""), HYPERLINK(CONCATENATE("#metadata!", ADDRESS(INDEX($X$2:$X$1001,MATCH(ROWS($V$2:V378),$V$2:$V$1001,0),0), INDEX($AC$1004:$AS$1004,1,MATCH(COLUMNS($AC$1006:AS1006),$AC$1006:$AS$1006,0)))),"Fix")))</f>
        <v xml:space="preserve"> </v>
      </c>
      <c r="V378">
        <v>377</v>
      </c>
      <c r="W378">
        <v>100378</v>
      </c>
      <c r="X378">
        <v>378</v>
      </c>
      <c r="Y378" t="b">
        <f t="shared" si="5"/>
        <v>1</v>
      </c>
      <c r="Z378" t="b">
        <f>COUNTBLANK(metadata!B378:R378)=COLUMNS(metadata!B378:R378)</f>
        <v>1</v>
      </c>
      <c r="AA378" t="str">
        <v/>
      </c>
      <c r="AC378" t="b">
        <f ca="1"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AD378" t="b">
        <f>IF(metadata!C378="",FALSE,ISNUMBER(VALUE(metadata!C378)))</f>
        <v>0</v>
      </c>
      <c r="AE378" t="b">
        <f>AND(IF(metadata!D378="",FALSE,TRUE),EXACT(metadata!D378,"years"))</f>
        <v>0</v>
      </c>
      <c r="AF378" t="b">
        <f>OR(AND(IF(metadata!E378="",FALSE,TRUE),OR(EXACT(metadata!E378,"not applicable"),EXACT(metadata!E378,"missing: not collected"),EXACT(metadata!E378,"missing: not provided"),EXACT(metadata!E378,"missing: restricted access"))),AND(IF(metadata!E378="",FALSE,ISNUMBER(VALUE(metadata!E378))),metadata!E378&gt;0))</f>
        <v>0</v>
      </c>
      <c r="AG378" t="b">
        <f>AND(IF(metadata!F378="",FALSE,TRUE),EXACT(metadata!F378,"Not applicable"))</f>
        <v>0</v>
      </c>
      <c r="AH378" t="b">
        <f>AND(IF(metadata!G378="",FALSE,TRUE),EXACT(metadata!G378,"urban biome"))</f>
        <v>0</v>
      </c>
      <c r="AI378" t="b">
        <f>AND(IF(metadata!H378="",FALSE,TRUE),EXACT(metadata!H378,"human-associated habitat"))</f>
        <v>0</v>
      </c>
      <c r="AJ378" t="b">
        <f>AND(IF(metadata!I378="",FALSE,TRUE),OR(EXACT(metadata!I378,"human-associated"),EXACT(metadata!I378,"human-skin"),EXACT(metadata!I378,"human-oral"),EXACT(metadata!I378,"human-gut"),EXACT(metadata!I378,"human-vaginal")))</f>
        <v>0</v>
      </c>
      <c r="AK378" t="b">
        <f>IF(metadata!J378="",FALSE,ISNUMBER(VALUE(metadata!J378)))</f>
        <v>0</v>
      </c>
      <c r="AL378" t="b">
        <f>AND(IF(metadata!K378="",FALSE,TRUE),EXACT(metadata!K378,"cm"))</f>
        <v>0</v>
      </c>
      <c r="AM378" t="b">
        <f>AND(IF(metadata!L378="",FALSE,TRUE),EXACT(metadata!L378,"human"))</f>
        <v>0</v>
      </c>
      <c r="AN378" t="b">
        <f>AND(IF(metadata!M378="",FALSE,TRUE),EXACT(metadata!M378,"Homo sapiens"))</f>
        <v>0</v>
      </c>
      <c r="AO378" t="b">
        <f>AND(IF(metadata!N378="",FALSE,TRUE),EXACT(metadata!N378,"9606"))</f>
        <v>0</v>
      </c>
      <c r="AP378" t="b">
        <f>IF(metadata!O378="",FALSE,TRUE)</f>
        <v>0</v>
      </c>
      <c r="AQ378" t="b">
        <f>IF(metadata!P378="",FALSE,TRUE)</f>
        <v>0</v>
      </c>
      <c r="AR378" t="b">
        <f>IF(metadata!Q378="",FALSE,ISNUMBER(VALUE(metadata!Q378)))</f>
        <v>0</v>
      </c>
      <c r="AS378" t="b">
        <f>AND(IF(metadata!R378="",FALSE,TRUE),EXACT(metadata!R378,"kg"))</f>
        <v>0</v>
      </c>
    </row>
    <row r="379" spans="1:45" x14ac:dyDescent="0.2">
      <c r="A379" s="5" t="str">
        <f ca="1">IF(B379=" "," ",HYPERLINK(CONCATENATE("#metadata!",ADDRESS(INDEX($X$2:$X$1001,MATCH(ROWS($V$2:V379),$V$2:$V$1001,0),0),1)),INDEX($AA$2:$AA$1001,MATCH(ROWS($V$2:V379),$V$2:$V$1001,0),0)))</f>
        <v xml:space="preserve"> </v>
      </c>
      <c r="B379" s="4" t="str">
        <f ca="1">IF(OR(INDEX($W$2:$W$1001,MATCH(ROWS($V$2:V379),$V$2:$V$1001,0),1)&gt;=100000,INDEX($AC$1005:$AS$1005,1,MATCH(COLUMNS($AC$1006:AC1006),$AC$1006:$AS$1006,0))&gt;=100000), " ",IF(INDEX($AC$2:$AS$1001,MATCH(ROWS($V$2:V379),$V$2:$V$1001,0),MATCH(COLUMNS($AC$1006:AC1006),$AC$1006:$AS$1006,0)), HYPERLINK("#",""), HYPERLINK(CONCATENATE("#metadata!", ADDRESS(INDEX($X$2:$X$1001,MATCH(ROWS($V$2:V379),$V$2:$V$1001,0),0), INDEX($AC$1004:$AS$1004,1,MATCH(COLUMNS($AC$1006:AC1006),$AC$1006:$AS$1006,0)))),"Fix")))</f>
        <v xml:space="preserve"> </v>
      </c>
      <c r="C379" s="4" t="str">
        <f ca="1">IF(OR(INDEX($W$2:$W$1001,MATCH(ROWS($V$2:V379),$V$2:$V$1001,0),1)&gt;=100000,INDEX($AC$1005:$AS$1005,1,MATCH(COLUMNS($AC$1006:AD1006),$AC$1006:$AS$1006,0))&gt;=100000), " ",IF(INDEX($AC$2:$AS$1001,MATCH(ROWS($V$2:V379),$V$2:$V$1001,0),MATCH(COLUMNS($AC$1006:AD1006),$AC$1006:$AS$1006,0)), HYPERLINK("#",""), HYPERLINK(CONCATENATE("#metadata!", ADDRESS(INDEX($X$2:$X$1001,MATCH(ROWS($V$2:V379),$V$2:$V$1001,0),0), INDEX($AC$1004:$AS$1004,1,MATCH(COLUMNS($AC$1006:AD1006),$AC$1006:$AS$1006,0)))),"Fix")))</f>
        <v xml:space="preserve"> </v>
      </c>
      <c r="D379" s="4" t="str">
        <f ca="1">IF(OR(INDEX($W$2:$W$1001,MATCH(ROWS($V$2:V379),$V$2:$V$1001,0),1)&gt;=100000,INDEX($AC$1005:$AS$1005,1,MATCH(COLUMNS($AC$1006:AE1006),$AC$1006:$AS$1006,0))&gt;=100000), " ",IF(INDEX($AC$2:$AS$1001,MATCH(ROWS($V$2:V379),$V$2:$V$1001,0),MATCH(COLUMNS($AC$1006:AE1006),$AC$1006:$AS$1006,0)), HYPERLINK("#",""), HYPERLINK(CONCATENATE("#metadata!", ADDRESS(INDEX($X$2:$X$1001,MATCH(ROWS($V$2:V379),$V$2:$V$1001,0),0), INDEX($AC$1004:$AS$1004,1,MATCH(COLUMNS($AC$1006:AE1006),$AC$1006:$AS$1006,0)))),"Fix")))</f>
        <v xml:space="preserve"> </v>
      </c>
      <c r="E379" s="4" t="str">
        <f ca="1">IF(OR(INDEX($W$2:$W$1001,MATCH(ROWS($V$2:V379),$V$2:$V$1001,0),1)&gt;=100000,INDEX($AC$1005:$AS$1005,1,MATCH(COLUMNS($AC$1006:AF1006),$AC$1006:$AS$1006,0))&gt;=100000), " ",IF(INDEX($AC$2:$AS$1001,MATCH(ROWS($V$2:V379),$V$2:$V$1001,0),MATCH(COLUMNS($AC$1006:AF1006),$AC$1006:$AS$1006,0)), HYPERLINK("#",""), HYPERLINK(CONCATENATE("#metadata!", ADDRESS(INDEX($X$2:$X$1001,MATCH(ROWS($V$2:V379),$V$2:$V$1001,0),0), INDEX($AC$1004:$AS$1004,1,MATCH(COLUMNS($AC$1006:AF1006),$AC$1006:$AS$1006,0)))),"Fix")))</f>
        <v xml:space="preserve"> </v>
      </c>
      <c r="F379" s="4" t="str">
        <f ca="1">IF(OR(INDEX($W$2:$W$1001,MATCH(ROWS($V$2:V379),$V$2:$V$1001,0),1)&gt;=100000,INDEX($AC$1005:$AS$1005,1,MATCH(COLUMNS($AC$1006:AG1006),$AC$1006:$AS$1006,0))&gt;=100000), " ",IF(INDEX($AC$2:$AS$1001,MATCH(ROWS($V$2:V379),$V$2:$V$1001,0),MATCH(COLUMNS($AC$1006:AG1006),$AC$1006:$AS$1006,0)), HYPERLINK("#",""), HYPERLINK(CONCATENATE("#metadata!", ADDRESS(INDEX($X$2:$X$1001,MATCH(ROWS($V$2:V379),$V$2:$V$1001,0),0), INDEX($AC$1004:$AS$1004,1,MATCH(COLUMNS($AC$1006:AG1006),$AC$1006:$AS$1006,0)))),"Fix")))</f>
        <v xml:space="preserve"> </v>
      </c>
      <c r="G379" s="4" t="str">
        <f ca="1">IF(OR(INDEX($W$2:$W$1001,MATCH(ROWS($V$2:V379),$V$2:$V$1001,0),1)&gt;=100000,INDEX($AC$1005:$AS$1005,1,MATCH(COLUMNS($AC$1006:AH1006),$AC$1006:$AS$1006,0))&gt;=100000), " ",IF(INDEX($AC$2:$AS$1001,MATCH(ROWS($V$2:V379),$V$2:$V$1001,0),MATCH(COLUMNS($AC$1006:AH1006),$AC$1006:$AS$1006,0)), HYPERLINK("#",""), HYPERLINK(CONCATENATE("#metadata!", ADDRESS(INDEX($X$2:$X$1001,MATCH(ROWS($V$2:V379),$V$2:$V$1001,0),0), INDEX($AC$1004:$AS$1004,1,MATCH(COLUMNS($AC$1006:AH1006),$AC$1006:$AS$1006,0)))),"Fix")))</f>
        <v xml:space="preserve"> </v>
      </c>
      <c r="H379" s="4" t="str">
        <f ca="1">IF(OR(INDEX($W$2:$W$1001,MATCH(ROWS($V$2:V379),$V$2:$V$1001,0),1)&gt;=100000,INDEX($AC$1005:$AS$1005,1,MATCH(COLUMNS($AC$1006:AI1006),$AC$1006:$AS$1006,0))&gt;=100000), " ",IF(INDEX($AC$2:$AS$1001,MATCH(ROWS($V$2:V379),$V$2:$V$1001,0),MATCH(COLUMNS($AC$1006:AI1006),$AC$1006:$AS$1006,0)), HYPERLINK("#",""), HYPERLINK(CONCATENATE("#metadata!", ADDRESS(INDEX($X$2:$X$1001,MATCH(ROWS($V$2:V379),$V$2:$V$1001,0),0), INDEX($AC$1004:$AS$1004,1,MATCH(COLUMNS($AC$1006:AI1006),$AC$1006:$AS$1006,0)))),"Fix")))</f>
        <v xml:space="preserve"> </v>
      </c>
      <c r="I379" s="4" t="str">
        <f ca="1">IF(OR(INDEX($W$2:$W$1001,MATCH(ROWS($V$2:V379),$V$2:$V$1001,0),1)&gt;=100000,INDEX($AC$1005:$AS$1005,1,MATCH(COLUMNS($AC$1006:AJ1006),$AC$1006:$AS$1006,0))&gt;=100000), " ",IF(INDEX($AC$2:$AS$1001,MATCH(ROWS($V$2:V379),$V$2:$V$1001,0),MATCH(COLUMNS($AC$1006:AJ1006),$AC$1006:$AS$1006,0)), HYPERLINK("#",""), HYPERLINK(CONCATENATE("#metadata!", ADDRESS(INDEX($X$2:$X$1001,MATCH(ROWS($V$2:V379),$V$2:$V$1001,0),0), INDEX($AC$1004:$AS$1004,1,MATCH(COLUMNS($AC$1006:AJ1006),$AC$1006:$AS$1006,0)))),"Fix")))</f>
        <v xml:space="preserve"> </v>
      </c>
      <c r="J379" s="4" t="str">
        <f ca="1">IF(OR(INDEX($W$2:$W$1001,MATCH(ROWS($V$2:V379),$V$2:$V$1001,0),1)&gt;=100000,INDEX($AC$1005:$AS$1005,1,MATCH(COLUMNS($AC$1006:AK1006),$AC$1006:$AS$1006,0))&gt;=100000), " ",IF(INDEX($AC$2:$AS$1001,MATCH(ROWS($V$2:V379),$V$2:$V$1001,0),MATCH(COLUMNS($AC$1006:AK1006),$AC$1006:$AS$1006,0)), HYPERLINK("#",""), HYPERLINK(CONCATENATE("#metadata!", ADDRESS(INDEX($X$2:$X$1001,MATCH(ROWS($V$2:V379),$V$2:$V$1001,0),0), INDEX($AC$1004:$AS$1004,1,MATCH(COLUMNS($AC$1006:AK1006),$AC$1006:$AS$1006,0)))),"Fix")))</f>
        <v xml:space="preserve"> </v>
      </c>
      <c r="K379" s="4" t="str">
        <f ca="1">IF(OR(INDEX($W$2:$W$1001,MATCH(ROWS($V$2:V379),$V$2:$V$1001,0),1)&gt;=100000,INDEX($AC$1005:$AS$1005,1,MATCH(COLUMNS($AC$1006:AL1006),$AC$1006:$AS$1006,0))&gt;=100000), " ",IF(INDEX($AC$2:$AS$1001,MATCH(ROWS($V$2:V379),$V$2:$V$1001,0),MATCH(COLUMNS($AC$1006:AL1006),$AC$1006:$AS$1006,0)), HYPERLINK("#",""), HYPERLINK(CONCATENATE("#metadata!", ADDRESS(INDEX($X$2:$X$1001,MATCH(ROWS($V$2:V379),$V$2:$V$1001,0),0), INDEX($AC$1004:$AS$1004,1,MATCH(COLUMNS($AC$1006:AL1006),$AC$1006:$AS$1006,0)))),"Fix")))</f>
        <v xml:space="preserve"> </v>
      </c>
      <c r="L379" s="4" t="str">
        <f ca="1">IF(OR(INDEX($W$2:$W$1001,MATCH(ROWS($V$2:V379),$V$2:$V$1001,0),1)&gt;=100000,INDEX($AC$1005:$AS$1005,1,MATCH(COLUMNS($AC$1006:AM1006),$AC$1006:$AS$1006,0))&gt;=100000), " ",IF(INDEX($AC$2:$AS$1001,MATCH(ROWS($V$2:V379),$V$2:$V$1001,0),MATCH(COLUMNS($AC$1006:AM1006),$AC$1006:$AS$1006,0)), HYPERLINK("#",""), HYPERLINK(CONCATENATE("#metadata!", ADDRESS(INDEX($X$2:$X$1001,MATCH(ROWS($V$2:V379),$V$2:$V$1001,0),0), INDEX($AC$1004:$AS$1004,1,MATCH(COLUMNS($AC$1006:AM1006),$AC$1006:$AS$1006,0)))),"Fix")))</f>
        <v xml:space="preserve"> </v>
      </c>
      <c r="M379" s="4" t="str">
        <f ca="1">IF(OR(INDEX($W$2:$W$1001,MATCH(ROWS($V$2:V379),$V$2:$V$1001,0),1)&gt;=100000,INDEX($AC$1005:$AS$1005,1,MATCH(COLUMNS($AC$1006:AN1006),$AC$1006:$AS$1006,0))&gt;=100000), " ",IF(INDEX($AC$2:$AS$1001,MATCH(ROWS($V$2:V379),$V$2:$V$1001,0),MATCH(COLUMNS($AC$1006:AN1006),$AC$1006:$AS$1006,0)), HYPERLINK("#",""), HYPERLINK(CONCATENATE("#metadata!", ADDRESS(INDEX($X$2:$X$1001,MATCH(ROWS($V$2:V379),$V$2:$V$1001,0),0), INDEX($AC$1004:$AS$1004,1,MATCH(COLUMNS($AC$1006:AN1006),$AC$1006:$AS$1006,0)))),"Fix")))</f>
        <v xml:space="preserve"> </v>
      </c>
      <c r="N379" s="4" t="str">
        <f ca="1">IF(OR(INDEX($W$2:$W$1001,MATCH(ROWS($V$2:V379),$V$2:$V$1001,0),1)&gt;=100000,INDEX($AC$1005:$AS$1005,1,MATCH(COLUMNS($AC$1006:AO1006),$AC$1006:$AS$1006,0))&gt;=100000), " ",IF(INDEX($AC$2:$AS$1001,MATCH(ROWS($V$2:V379),$V$2:$V$1001,0),MATCH(COLUMNS($AC$1006:AO1006),$AC$1006:$AS$1006,0)), HYPERLINK("#",""), HYPERLINK(CONCATENATE("#metadata!", ADDRESS(INDEX($X$2:$X$1001,MATCH(ROWS($V$2:V379),$V$2:$V$1001,0),0), INDEX($AC$1004:$AS$1004,1,MATCH(COLUMNS($AC$1006:AO1006),$AC$1006:$AS$1006,0)))),"Fix")))</f>
        <v xml:space="preserve"> </v>
      </c>
      <c r="O379" s="4" t="str">
        <f ca="1">IF(OR(INDEX($W$2:$W$1001,MATCH(ROWS($V$2:V379),$V$2:$V$1001,0),1)&gt;=100000,INDEX($AC$1005:$AS$1005,1,MATCH(COLUMNS($AC$1006:AP1006),$AC$1006:$AS$1006,0))&gt;=100000), " ",IF(INDEX($AC$2:$AS$1001,MATCH(ROWS($V$2:V379),$V$2:$V$1001,0),MATCH(COLUMNS($AC$1006:AP1006),$AC$1006:$AS$1006,0)), HYPERLINK("#",""), HYPERLINK(CONCATENATE("#metadata!", ADDRESS(INDEX($X$2:$X$1001,MATCH(ROWS($V$2:V379),$V$2:$V$1001,0),0), INDEX($AC$1004:$AS$1004,1,MATCH(COLUMNS($AC$1006:AP1006),$AC$1006:$AS$1006,0)))),"Fix")))</f>
        <v xml:space="preserve"> </v>
      </c>
      <c r="P379" s="4" t="str">
        <f ca="1">IF(OR(INDEX($W$2:$W$1001,MATCH(ROWS($V$2:V379),$V$2:$V$1001,0),1)&gt;=100000,INDEX($AC$1005:$AS$1005,1,MATCH(COLUMNS($AC$1006:AQ1006),$AC$1006:$AS$1006,0))&gt;=100000), " ",IF(INDEX($AC$2:$AS$1001,MATCH(ROWS($V$2:V379),$V$2:$V$1001,0),MATCH(COLUMNS($AC$1006:AQ1006),$AC$1006:$AS$1006,0)), HYPERLINK("#",""), HYPERLINK(CONCATENATE("#metadata!", ADDRESS(INDEX($X$2:$X$1001,MATCH(ROWS($V$2:V379),$V$2:$V$1001,0),0), INDEX($AC$1004:$AS$1004,1,MATCH(COLUMNS($AC$1006:AQ1006),$AC$1006:$AS$1006,0)))),"Fix")))</f>
        <v xml:space="preserve"> </v>
      </c>
      <c r="Q379" s="4" t="str">
        <f ca="1">IF(OR(INDEX($W$2:$W$1001,MATCH(ROWS($V$2:V379),$V$2:$V$1001,0),1)&gt;=100000,INDEX($AC$1005:$AS$1005,1,MATCH(COLUMNS($AC$1006:AR1006),$AC$1006:$AS$1006,0))&gt;=100000), " ",IF(INDEX($AC$2:$AS$1001,MATCH(ROWS($V$2:V379),$V$2:$V$1001,0),MATCH(COLUMNS($AC$1006:AR1006),$AC$1006:$AS$1006,0)), HYPERLINK("#",""), HYPERLINK(CONCATENATE("#metadata!", ADDRESS(INDEX($X$2:$X$1001,MATCH(ROWS($V$2:V379),$V$2:$V$1001,0),0), INDEX($AC$1004:$AS$1004,1,MATCH(COLUMNS($AC$1006:AR1006),$AC$1006:$AS$1006,0)))),"Fix")))</f>
        <v xml:space="preserve"> </v>
      </c>
      <c r="R379" s="4" t="str">
        <f ca="1">IF(OR(INDEX($W$2:$W$1001,MATCH(ROWS($V$2:V379),$V$2:$V$1001,0),1)&gt;=100000,INDEX($AC$1005:$AS$1005,1,MATCH(COLUMNS($AC$1006:AS1006),$AC$1006:$AS$1006,0))&gt;=100000), " ",IF(INDEX($AC$2:$AS$1001,MATCH(ROWS($V$2:V379),$V$2:$V$1001,0),MATCH(COLUMNS($AC$1006:AS1006),$AC$1006:$AS$1006,0)), HYPERLINK("#",""), HYPERLINK(CONCATENATE("#metadata!", ADDRESS(INDEX($X$2:$X$1001,MATCH(ROWS($V$2:V379),$V$2:$V$1001,0),0), INDEX($AC$1004:$AS$1004,1,MATCH(COLUMNS($AC$1006:AS1006),$AC$1006:$AS$1006,0)))),"Fix")))</f>
        <v xml:space="preserve"> </v>
      </c>
      <c r="V379">
        <v>378</v>
      </c>
      <c r="W379">
        <v>100379</v>
      </c>
      <c r="X379">
        <v>379</v>
      </c>
      <c r="Y379" t="b">
        <f t="shared" si="5"/>
        <v>1</v>
      </c>
      <c r="Z379" t="b">
        <f>COUNTBLANK(metadata!B379:R379)=COLUMNS(metadata!B379:R379)</f>
        <v>1</v>
      </c>
      <c r="AA379" t="str">
        <v/>
      </c>
      <c r="AC379" t="b">
        <f ca="1"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AD379" t="b">
        <f>IF(metadata!C379="",FALSE,ISNUMBER(VALUE(metadata!C379)))</f>
        <v>0</v>
      </c>
      <c r="AE379" t="b">
        <f>AND(IF(metadata!D379="",FALSE,TRUE),EXACT(metadata!D379,"years"))</f>
        <v>0</v>
      </c>
      <c r="AF379" t="b">
        <f>OR(AND(IF(metadata!E379="",FALSE,TRUE),OR(EXACT(metadata!E379,"not applicable"),EXACT(metadata!E379,"missing: not collected"),EXACT(metadata!E379,"missing: not provided"),EXACT(metadata!E379,"missing: restricted access"))),AND(IF(metadata!E379="",FALSE,ISNUMBER(VALUE(metadata!E379))),metadata!E379&gt;0))</f>
        <v>0</v>
      </c>
      <c r="AG379" t="b">
        <f>AND(IF(metadata!F379="",FALSE,TRUE),EXACT(metadata!F379,"Not applicable"))</f>
        <v>0</v>
      </c>
      <c r="AH379" t="b">
        <f>AND(IF(metadata!G379="",FALSE,TRUE),EXACT(metadata!G379,"urban biome"))</f>
        <v>0</v>
      </c>
      <c r="AI379" t="b">
        <f>AND(IF(metadata!H379="",FALSE,TRUE),EXACT(metadata!H379,"human-associated habitat"))</f>
        <v>0</v>
      </c>
      <c r="AJ379" t="b">
        <f>AND(IF(metadata!I379="",FALSE,TRUE),OR(EXACT(metadata!I379,"human-associated"),EXACT(metadata!I379,"human-skin"),EXACT(metadata!I379,"human-oral"),EXACT(metadata!I379,"human-gut"),EXACT(metadata!I379,"human-vaginal")))</f>
        <v>0</v>
      </c>
      <c r="AK379" t="b">
        <f>IF(metadata!J379="",FALSE,ISNUMBER(VALUE(metadata!J379)))</f>
        <v>0</v>
      </c>
      <c r="AL379" t="b">
        <f>AND(IF(metadata!K379="",FALSE,TRUE),EXACT(metadata!K379,"cm"))</f>
        <v>0</v>
      </c>
      <c r="AM379" t="b">
        <f>AND(IF(metadata!L379="",FALSE,TRUE),EXACT(metadata!L379,"human"))</f>
        <v>0</v>
      </c>
      <c r="AN379" t="b">
        <f>AND(IF(metadata!M379="",FALSE,TRUE),EXACT(metadata!M379,"Homo sapiens"))</f>
        <v>0</v>
      </c>
      <c r="AO379" t="b">
        <f>AND(IF(metadata!N379="",FALSE,TRUE),EXACT(metadata!N379,"9606"))</f>
        <v>0</v>
      </c>
      <c r="AP379" t="b">
        <f>IF(metadata!O379="",FALSE,TRUE)</f>
        <v>0</v>
      </c>
      <c r="AQ379" t="b">
        <f>IF(metadata!P379="",FALSE,TRUE)</f>
        <v>0</v>
      </c>
      <c r="AR379" t="b">
        <f>IF(metadata!Q379="",FALSE,ISNUMBER(VALUE(metadata!Q379)))</f>
        <v>0</v>
      </c>
      <c r="AS379" t="b">
        <f>AND(IF(metadata!R379="",FALSE,TRUE),EXACT(metadata!R379,"kg"))</f>
        <v>0</v>
      </c>
    </row>
    <row r="380" spans="1:45" x14ac:dyDescent="0.2">
      <c r="A380" s="5" t="str">
        <f ca="1">IF(B380=" "," ",HYPERLINK(CONCATENATE("#metadata!",ADDRESS(INDEX($X$2:$X$1001,MATCH(ROWS($V$2:V380),$V$2:$V$1001,0),0),1)),INDEX($AA$2:$AA$1001,MATCH(ROWS($V$2:V380),$V$2:$V$1001,0),0)))</f>
        <v xml:space="preserve"> </v>
      </c>
      <c r="B380" s="4" t="str">
        <f ca="1">IF(OR(INDEX($W$2:$W$1001,MATCH(ROWS($V$2:V380),$V$2:$V$1001,0),1)&gt;=100000,INDEX($AC$1005:$AS$1005,1,MATCH(COLUMNS($AC$1006:AC1006),$AC$1006:$AS$1006,0))&gt;=100000), " ",IF(INDEX($AC$2:$AS$1001,MATCH(ROWS($V$2:V380),$V$2:$V$1001,0),MATCH(COLUMNS($AC$1006:AC1006),$AC$1006:$AS$1006,0)), HYPERLINK("#",""), HYPERLINK(CONCATENATE("#metadata!", ADDRESS(INDEX($X$2:$X$1001,MATCH(ROWS($V$2:V380),$V$2:$V$1001,0),0), INDEX($AC$1004:$AS$1004,1,MATCH(COLUMNS($AC$1006:AC1006),$AC$1006:$AS$1006,0)))),"Fix")))</f>
        <v xml:space="preserve"> </v>
      </c>
      <c r="C380" s="4" t="str">
        <f ca="1">IF(OR(INDEX($W$2:$W$1001,MATCH(ROWS($V$2:V380),$V$2:$V$1001,0),1)&gt;=100000,INDEX($AC$1005:$AS$1005,1,MATCH(COLUMNS($AC$1006:AD1006),$AC$1006:$AS$1006,0))&gt;=100000), " ",IF(INDEX($AC$2:$AS$1001,MATCH(ROWS($V$2:V380),$V$2:$V$1001,0),MATCH(COLUMNS($AC$1006:AD1006),$AC$1006:$AS$1006,0)), HYPERLINK("#",""), HYPERLINK(CONCATENATE("#metadata!", ADDRESS(INDEX($X$2:$X$1001,MATCH(ROWS($V$2:V380),$V$2:$V$1001,0),0), INDEX($AC$1004:$AS$1004,1,MATCH(COLUMNS($AC$1006:AD1006),$AC$1006:$AS$1006,0)))),"Fix")))</f>
        <v xml:space="preserve"> </v>
      </c>
      <c r="D380" s="4" t="str">
        <f ca="1">IF(OR(INDEX($W$2:$W$1001,MATCH(ROWS($V$2:V380),$V$2:$V$1001,0),1)&gt;=100000,INDEX($AC$1005:$AS$1005,1,MATCH(COLUMNS($AC$1006:AE1006),$AC$1006:$AS$1006,0))&gt;=100000), " ",IF(INDEX($AC$2:$AS$1001,MATCH(ROWS($V$2:V380),$V$2:$V$1001,0),MATCH(COLUMNS($AC$1006:AE1006),$AC$1006:$AS$1006,0)), HYPERLINK("#",""), HYPERLINK(CONCATENATE("#metadata!", ADDRESS(INDEX($X$2:$X$1001,MATCH(ROWS($V$2:V380),$V$2:$V$1001,0),0), INDEX($AC$1004:$AS$1004,1,MATCH(COLUMNS($AC$1006:AE1006),$AC$1006:$AS$1006,0)))),"Fix")))</f>
        <v xml:space="preserve"> </v>
      </c>
      <c r="E380" s="4" t="str">
        <f ca="1">IF(OR(INDEX($W$2:$W$1001,MATCH(ROWS($V$2:V380),$V$2:$V$1001,0),1)&gt;=100000,INDEX($AC$1005:$AS$1005,1,MATCH(COLUMNS($AC$1006:AF1006),$AC$1006:$AS$1006,0))&gt;=100000), " ",IF(INDEX($AC$2:$AS$1001,MATCH(ROWS($V$2:V380),$V$2:$V$1001,0),MATCH(COLUMNS($AC$1006:AF1006),$AC$1006:$AS$1006,0)), HYPERLINK("#",""), HYPERLINK(CONCATENATE("#metadata!", ADDRESS(INDEX($X$2:$X$1001,MATCH(ROWS($V$2:V380),$V$2:$V$1001,0),0), INDEX($AC$1004:$AS$1004,1,MATCH(COLUMNS($AC$1006:AF1006),$AC$1006:$AS$1006,0)))),"Fix")))</f>
        <v xml:space="preserve"> </v>
      </c>
      <c r="F380" s="4" t="str">
        <f ca="1">IF(OR(INDEX($W$2:$W$1001,MATCH(ROWS($V$2:V380),$V$2:$V$1001,0),1)&gt;=100000,INDEX($AC$1005:$AS$1005,1,MATCH(COLUMNS($AC$1006:AG1006),$AC$1006:$AS$1006,0))&gt;=100000), " ",IF(INDEX($AC$2:$AS$1001,MATCH(ROWS($V$2:V380),$V$2:$V$1001,0),MATCH(COLUMNS($AC$1006:AG1006),$AC$1006:$AS$1006,0)), HYPERLINK("#",""), HYPERLINK(CONCATENATE("#metadata!", ADDRESS(INDEX($X$2:$X$1001,MATCH(ROWS($V$2:V380),$V$2:$V$1001,0),0), INDEX($AC$1004:$AS$1004,1,MATCH(COLUMNS($AC$1006:AG1006),$AC$1006:$AS$1006,0)))),"Fix")))</f>
        <v xml:space="preserve"> </v>
      </c>
      <c r="G380" s="4" t="str">
        <f ca="1">IF(OR(INDEX($W$2:$W$1001,MATCH(ROWS($V$2:V380),$V$2:$V$1001,0),1)&gt;=100000,INDEX($AC$1005:$AS$1005,1,MATCH(COLUMNS($AC$1006:AH1006),$AC$1006:$AS$1006,0))&gt;=100000), " ",IF(INDEX($AC$2:$AS$1001,MATCH(ROWS($V$2:V380),$V$2:$V$1001,0),MATCH(COLUMNS($AC$1006:AH1006),$AC$1006:$AS$1006,0)), HYPERLINK("#",""), HYPERLINK(CONCATENATE("#metadata!", ADDRESS(INDEX($X$2:$X$1001,MATCH(ROWS($V$2:V380),$V$2:$V$1001,0),0), INDEX($AC$1004:$AS$1004,1,MATCH(COLUMNS($AC$1006:AH1006),$AC$1006:$AS$1006,0)))),"Fix")))</f>
        <v xml:space="preserve"> </v>
      </c>
      <c r="H380" s="4" t="str">
        <f ca="1">IF(OR(INDEX($W$2:$W$1001,MATCH(ROWS($V$2:V380),$V$2:$V$1001,0),1)&gt;=100000,INDEX($AC$1005:$AS$1005,1,MATCH(COLUMNS($AC$1006:AI1006),$AC$1006:$AS$1006,0))&gt;=100000), " ",IF(INDEX($AC$2:$AS$1001,MATCH(ROWS($V$2:V380),$V$2:$V$1001,0),MATCH(COLUMNS($AC$1006:AI1006),$AC$1006:$AS$1006,0)), HYPERLINK("#",""), HYPERLINK(CONCATENATE("#metadata!", ADDRESS(INDEX($X$2:$X$1001,MATCH(ROWS($V$2:V380),$V$2:$V$1001,0),0), INDEX($AC$1004:$AS$1004,1,MATCH(COLUMNS($AC$1006:AI1006),$AC$1006:$AS$1006,0)))),"Fix")))</f>
        <v xml:space="preserve"> </v>
      </c>
      <c r="I380" s="4" t="str">
        <f ca="1">IF(OR(INDEX($W$2:$W$1001,MATCH(ROWS($V$2:V380),$V$2:$V$1001,0),1)&gt;=100000,INDEX($AC$1005:$AS$1005,1,MATCH(COLUMNS($AC$1006:AJ1006),$AC$1006:$AS$1006,0))&gt;=100000), " ",IF(INDEX($AC$2:$AS$1001,MATCH(ROWS($V$2:V380),$V$2:$V$1001,0),MATCH(COLUMNS($AC$1006:AJ1006),$AC$1006:$AS$1006,0)), HYPERLINK("#",""), HYPERLINK(CONCATENATE("#metadata!", ADDRESS(INDEX($X$2:$X$1001,MATCH(ROWS($V$2:V380),$V$2:$V$1001,0),0), INDEX($AC$1004:$AS$1004,1,MATCH(COLUMNS($AC$1006:AJ1006),$AC$1006:$AS$1006,0)))),"Fix")))</f>
        <v xml:space="preserve"> </v>
      </c>
      <c r="J380" s="4" t="str">
        <f ca="1">IF(OR(INDEX($W$2:$W$1001,MATCH(ROWS($V$2:V380),$V$2:$V$1001,0),1)&gt;=100000,INDEX($AC$1005:$AS$1005,1,MATCH(COLUMNS($AC$1006:AK1006),$AC$1006:$AS$1006,0))&gt;=100000), " ",IF(INDEX($AC$2:$AS$1001,MATCH(ROWS($V$2:V380),$V$2:$V$1001,0),MATCH(COLUMNS($AC$1006:AK1006),$AC$1006:$AS$1006,0)), HYPERLINK("#",""), HYPERLINK(CONCATENATE("#metadata!", ADDRESS(INDEX($X$2:$X$1001,MATCH(ROWS($V$2:V380),$V$2:$V$1001,0),0), INDEX($AC$1004:$AS$1004,1,MATCH(COLUMNS($AC$1006:AK1006),$AC$1006:$AS$1006,0)))),"Fix")))</f>
        <v xml:space="preserve"> </v>
      </c>
      <c r="K380" s="4" t="str">
        <f ca="1">IF(OR(INDEX($W$2:$W$1001,MATCH(ROWS($V$2:V380),$V$2:$V$1001,0),1)&gt;=100000,INDEX($AC$1005:$AS$1005,1,MATCH(COLUMNS($AC$1006:AL1006),$AC$1006:$AS$1006,0))&gt;=100000), " ",IF(INDEX($AC$2:$AS$1001,MATCH(ROWS($V$2:V380),$V$2:$V$1001,0),MATCH(COLUMNS($AC$1006:AL1006),$AC$1006:$AS$1006,0)), HYPERLINK("#",""), HYPERLINK(CONCATENATE("#metadata!", ADDRESS(INDEX($X$2:$X$1001,MATCH(ROWS($V$2:V380),$V$2:$V$1001,0),0), INDEX($AC$1004:$AS$1004,1,MATCH(COLUMNS($AC$1006:AL1006),$AC$1006:$AS$1006,0)))),"Fix")))</f>
        <v xml:space="preserve"> </v>
      </c>
      <c r="L380" s="4" t="str">
        <f ca="1">IF(OR(INDEX($W$2:$W$1001,MATCH(ROWS($V$2:V380),$V$2:$V$1001,0),1)&gt;=100000,INDEX($AC$1005:$AS$1005,1,MATCH(COLUMNS($AC$1006:AM1006),$AC$1006:$AS$1006,0))&gt;=100000), " ",IF(INDEX($AC$2:$AS$1001,MATCH(ROWS($V$2:V380),$V$2:$V$1001,0),MATCH(COLUMNS($AC$1006:AM1006),$AC$1006:$AS$1006,0)), HYPERLINK("#",""), HYPERLINK(CONCATENATE("#metadata!", ADDRESS(INDEX($X$2:$X$1001,MATCH(ROWS($V$2:V380),$V$2:$V$1001,0),0), INDEX($AC$1004:$AS$1004,1,MATCH(COLUMNS($AC$1006:AM1006),$AC$1006:$AS$1006,0)))),"Fix")))</f>
        <v xml:space="preserve"> </v>
      </c>
      <c r="M380" s="4" t="str">
        <f ca="1">IF(OR(INDEX($W$2:$W$1001,MATCH(ROWS($V$2:V380),$V$2:$V$1001,0),1)&gt;=100000,INDEX($AC$1005:$AS$1005,1,MATCH(COLUMNS($AC$1006:AN1006),$AC$1006:$AS$1006,0))&gt;=100000), " ",IF(INDEX($AC$2:$AS$1001,MATCH(ROWS($V$2:V380),$V$2:$V$1001,0),MATCH(COLUMNS($AC$1006:AN1006),$AC$1006:$AS$1006,0)), HYPERLINK("#",""), HYPERLINK(CONCATENATE("#metadata!", ADDRESS(INDEX($X$2:$X$1001,MATCH(ROWS($V$2:V380),$V$2:$V$1001,0),0), INDEX($AC$1004:$AS$1004,1,MATCH(COLUMNS($AC$1006:AN1006),$AC$1006:$AS$1006,0)))),"Fix")))</f>
        <v xml:space="preserve"> </v>
      </c>
      <c r="N380" s="4" t="str">
        <f ca="1">IF(OR(INDEX($W$2:$W$1001,MATCH(ROWS($V$2:V380),$V$2:$V$1001,0),1)&gt;=100000,INDEX($AC$1005:$AS$1005,1,MATCH(COLUMNS($AC$1006:AO1006),$AC$1006:$AS$1006,0))&gt;=100000), " ",IF(INDEX($AC$2:$AS$1001,MATCH(ROWS($V$2:V380),$V$2:$V$1001,0),MATCH(COLUMNS($AC$1006:AO1006),$AC$1006:$AS$1006,0)), HYPERLINK("#",""), HYPERLINK(CONCATENATE("#metadata!", ADDRESS(INDEX($X$2:$X$1001,MATCH(ROWS($V$2:V380),$V$2:$V$1001,0),0), INDEX($AC$1004:$AS$1004,1,MATCH(COLUMNS($AC$1006:AO1006),$AC$1006:$AS$1006,0)))),"Fix")))</f>
        <v xml:space="preserve"> </v>
      </c>
      <c r="O380" s="4" t="str">
        <f ca="1">IF(OR(INDEX($W$2:$W$1001,MATCH(ROWS($V$2:V380),$V$2:$V$1001,0),1)&gt;=100000,INDEX($AC$1005:$AS$1005,1,MATCH(COLUMNS($AC$1006:AP1006),$AC$1006:$AS$1006,0))&gt;=100000), " ",IF(INDEX($AC$2:$AS$1001,MATCH(ROWS($V$2:V380),$V$2:$V$1001,0),MATCH(COLUMNS($AC$1006:AP1006),$AC$1006:$AS$1006,0)), HYPERLINK("#",""), HYPERLINK(CONCATENATE("#metadata!", ADDRESS(INDEX($X$2:$X$1001,MATCH(ROWS($V$2:V380),$V$2:$V$1001,0),0), INDEX($AC$1004:$AS$1004,1,MATCH(COLUMNS($AC$1006:AP1006),$AC$1006:$AS$1006,0)))),"Fix")))</f>
        <v xml:space="preserve"> </v>
      </c>
      <c r="P380" s="4" t="str">
        <f ca="1">IF(OR(INDEX($W$2:$W$1001,MATCH(ROWS($V$2:V380),$V$2:$V$1001,0),1)&gt;=100000,INDEX($AC$1005:$AS$1005,1,MATCH(COLUMNS($AC$1006:AQ1006),$AC$1006:$AS$1006,0))&gt;=100000), " ",IF(INDEX($AC$2:$AS$1001,MATCH(ROWS($V$2:V380),$V$2:$V$1001,0),MATCH(COLUMNS($AC$1006:AQ1006),$AC$1006:$AS$1006,0)), HYPERLINK("#",""), HYPERLINK(CONCATENATE("#metadata!", ADDRESS(INDEX($X$2:$X$1001,MATCH(ROWS($V$2:V380),$V$2:$V$1001,0),0), INDEX($AC$1004:$AS$1004,1,MATCH(COLUMNS($AC$1006:AQ1006),$AC$1006:$AS$1006,0)))),"Fix")))</f>
        <v xml:space="preserve"> </v>
      </c>
      <c r="Q380" s="4" t="str">
        <f ca="1">IF(OR(INDEX($W$2:$W$1001,MATCH(ROWS($V$2:V380),$V$2:$V$1001,0),1)&gt;=100000,INDEX($AC$1005:$AS$1005,1,MATCH(COLUMNS($AC$1006:AR1006),$AC$1006:$AS$1006,0))&gt;=100000), " ",IF(INDEX($AC$2:$AS$1001,MATCH(ROWS($V$2:V380),$V$2:$V$1001,0),MATCH(COLUMNS($AC$1006:AR1006),$AC$1006:$AS$1006,0)), HYPERLINK("#",""), HYPERLINK(CONCATENATE("#metadata!", ADDRESS(INDEX($X$2:$X$1001,MATCH(ROWS($V$2:V380),$V$2:$V$1001,0),0), INDEX($AC$1004:$AS$1004,1,MATCH(COLUMNS($AC$1006:AR1006),$AC$1006:$AS$1006,0)))),"Fix")))</f>
        <v xml:space="preserve"> </v>
      </c>
      <c r="R380" s="4" t="str">
        <f ca="1">IF(OR(INDEX($W$2:$W$1001,MATCH(ROWS($V$2:V380),$V$2:$V$1001,0),1)&gt;=100000,INDEX($AC$1005:$AS$1005,1,MATCH(COLUMNS($AC$1006:AS1006),$AC$1006:$AS$1006,0))&gt;=100000), " ",IF(INDEX($AC$2:$AS$1001,MATCH(ROWS($V$2:V380),$V$2:$V$1001,0),MATCH(COLUMNS($AC$1006:AS1006),$AC$1006:$AS$1006,0)), HYPERLINK("#",""), HYPERLINK(CONCATENATE("#metadata!", ADDRESS(INDEX($X$2:$X$1001,MATCH(ROWS($V$2:V380),$V$2:$V$1001,0),0), INDEX($AC$1004:$AS$1004,1,MATCH(COLUMNS($AC$1006:AS1006),$AC$1006:$AS$1006,0)))),"Fix")))</f>
        <v xml:space="preserve"> </v>
      </c>
      <c r="V380">
        <v>379</v>
      </c>
      <c r="W380">
        <v>100380</v>
      </c>
      <c r="X380">
        <v>380</v>
      </c>
      <c r="Y380" t="b">
        <f t="shared" si="5"/>
        <v>1</v>
      </c>
      <c r="Z380" t="b">
        <f>COUNTBLANK(metadata!B380:R380)=COLUMNS(metadata!B380:R380)</f>
        <v>1</v>
      </c>
      <c r="AA380" t="str">
        <v/>
      </c>
      <c r="AC380" t="b">
        <f ca="1"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AD380" t="b">
        <f>IF(metadata!C380="",FALSE,ISNUMBER(VALUE(metadata!C380)))</f>
        <v>0</v>
      </c>
      <c r="AE380" t="b">
        <f>AND(IF(metadata!D380="",FALSE,TRUE),EXACT(metadata!D380,"years"))</f>
        <v>0</v>
      </c>
      <c r="AF380" t="b">
        <f>OR(AND(IF(metadata!E380="",FALSE,TRUE),OR(EXACT(metadata!E380,"not applicable"),EXACT(metadata!E380,"missing: not collected"),EXACT(metadata!E380,"missing: not provided"),EXACT(metadata!E380,"missing: restricted access"))),AND(IF(metadata!E380="",FALSE,ISNUMBER(VALUE(metadata!E380))),metadata!E380&gt;0))</f>
        <v>0</v>
      </c>
      <c r="AG380" t="b">
        <f>AND(IF(metadata!F380="",FALSE,TRUE),EXACT(metadata!F380,"Not applicable"))</f>
        <v>0</v>
      </c>
      <c r="AH380" t="b">
        <f>AND(IF(metadata!G380="",FALSE,TRUE),EXACT(metadata!G380,"urban biome"))</f>
        <v>0</v>
      </c>
      <c r="AI380" t="b">
        <f>AND(IF(metadata!H380="",FALSE,TRUE),EXACT(metadata!H380,"human-associated habitat"))</f>
        <v>0</v>
      </c>
      <c r="AJ380" t="b">
        <f>AND(IF(metadata!I380="",FALSE,TRUE),OR(EXACT(metadata!I380,"human-associated"),EXACT(metadata!I380,"human-skin"),EXACT(metadata!I380,"human-oral"),EXACT(metadata!I380,"human-gut"),EXACT(metadata!I380,"human-vaginal")))</f>
        <v>0</v>
      </c>
      <c r="AK380" t="b">
        <f>IF(metadata!J380="",FALSE,ISNUMBER(VALUE(metadata!J380)))</f>
        <v>0</v>
      </c>
      <c r="AL380" t="b">
        <f>AND(IF(metadata!K380="",FALSE,TRUE),EXACT(metadata!K380,"cm"))</f>
        <v>0</v>
      </c>
      <c r="AM380" t="b">
        <f>AND(IF(metadata!L380="",FALSE,TRUE),EXACT(metadata!L380,"human"))</f>
        <v>0</v>
      </c>
      <c r="AN380" t="b">
        <f>AND(IF(metadata!M380="",FALSE,TRUE),EXACT(metadata!M380,"Homo sapiens"))</f>
        <v>0</v>
      </c>
      <c r="AO380" t="b">
        <f>AND(IF(metadata!N380="",FALSE,TRUE),EXACT(metadata!N380,"9606"))</f>
        <v>0</v>
      </c>
      <c r="AP380" t="b">
        <f>IF(metadata!O380="",FALSE,TRUE)</f>
        <v>0</v>
      </c>
      <c r="AQ380" t="b">
        <f>IF(metadata!P380="",FALSE,TRUE)</f>
        <v>0</v>
      </c>
      <c r="AR380" t="b">
        <f>IF(metadata!Q380="",FALSE,ISNUMBER(VALUE(metadata!Q380)))</f>
        <v>0</v>
      </c>
      <c r="AS380" t="b">
        <f>AND(IF(metadata!R380="",FALSE,TRUE),EXACT(metadata!R380,"kg"))</f>
        <v>0</v>
      </c>
    </row>
    <row r="381" spans="1:45" x14ac:dyDescent="0.2">
      <c r="A381" s="5" t="str">
        <f ca="1">IF(B381=" "," ",HYPERLINK(CONCATENATE("#metadata!",ADDRESS(INDEX($X$2:$X$1001,MATCH(ROWS($V$2:V381),$V$2:$V$1001,0),0),1)),INDEX($AA$2:$AA$1001,MATCH(ROWS($V$2:V381),$V$2:$V$1001,0),0)))</f>
        <v xml:space="preserve"> </v>
      </c>
      <c r="B381" s="4" t="str">
        <f ca="1">IF(OR(INDEX($W$2:$W$1001,MATCH(ROWS($V$2:V381),$V$2:$V$1001,0),1)&gt;=100000,INDEX($AC$1005:$AS$1005,1,MATCH(COLUMNS($AC$1006:AC1006),$AC$1006:$AS$1006,0))&gt;=100000), " ",IF(INDEX($AC$2:$AS$1001,MATCH(ROWS($V$2:V381),$V$2:$V$1001,0),MATCH(COLUMNS($AC$1006:AC1006),$AC$1006:$AS$1006,0)), HYPERLINK("#",""), HYPERLINK(CONCATENATE("#metadata!", ADDRESS(INDEX($X$2:$X$1001,MATCH(ROWS($V$2:V381),$V$2:$V$1001,0),0), INDEX($AC$1004:$AS$1004,1,MATCH(COLUMNS($AC$1006:AC1006),$AC$1006:$AS$1006,0)))),"Fix")))</f>
        <v xml:space="preserve"> </v>
      </c>
      <c r="C381" s="4" t="str">
        <f ca="1">IF(OR(INDEX($W$2:$W$1001,MATCH(ROWS($V$2:V381),$V$2:$V$1001,0),1)&gt;=100000,INDEX($AC$1005:$AS$1005,1,MATCH(COLUMNS($AC$1006:AD1006),$AC$1006:$AS$1006,0))&gt;=100000), " ",IF(INDEX($AC$2:$AS$1001,MATCH(ROWS($V$2:V381),$V$2:$V$1001,0),MATCH(COLUMNS($AC$1006:AD1006),$AC$1006:$AS$1006,0)), HYPERLINK("#",""), HYPERLINK(CONCATENATE("#metadata!", ADDRESS(INDEX($X$2:$X$1001,MATCH(ROWS($V$2:V381),$V$2:$V$1001,0),0), INDEX($AC$1004:$AS$1004,1,MATCH(COLUMNS($AC$1006:AD1006),$AC$1006:$AS$1006,0)))),"Fix")))</f>
        <v xml:space="preserve"> </v>
      </c>
      <c r="D381" s="4" t="str">
        <f ca="1">IF(OR(INDEX($W$2:$W$1001,MATCH(ROWS($V$2:V381),$V$2:$V$1001,0),1)&gt;=100000,INDEX($AC$1005:$AS$1005,1,MATCH(COLUMNS($AC$1006:AE1006),$AC$1006:$AS$1006,0))&gt;=100000), " ",IF(INDEX($AC$2:$AS$1001,MATCH(ROWS($V$2:V381),$V$2:$V$1001,0),MATCH(COLUMNS($AC$1006:AE1006),$AC$1006:$AS$1006,0)), HYPERLINK("#",""), HYPERLINK(CONCATENATE("#metadata!", ADDRESS(INDEX($X$2:$X$1001,MATCH(ROWS($V$2:V381),$V$2:$V$1001,0),0), INDEX($AC$1004:$AS$1004,1,MATCH(COLUMNS($AC$1006:AE1006),$AC$1006:$AS$1006,0)))),"Fix")))</f>
        <v xml:space="preserve"> </v>
      </c>
      <c r="E381" s="4" t="str">
        <f ca="1">IF(OR(INDEX($W$2:$W$1001,MATCH(ROWS($V$2:V381),$V$2:$V$1001,0),1)&gt;=100000,INDEX($AC$1005:$AS$1005,1,MATCH(COLUMNS($AC$1006:AF1006),$AC$1006:$AS$1006,0))&gt;=100000), " ",IF(INDEX($AC$2:$AS$1001,MATCH(ROWS($V$2:V381),$V$2:$V$1001,0),MATCH(COLUMNS($AC$1006:AF1006),$AC$1006:$AS$1006,0)), HYPERLINK("#",""), HYPERLINK(CONCATENATE("#metadata!", ADDRESS(INDEX($X$2:$X$1001,MATCH(ROWS($V$2:V381),$V$2:$V$1001,0),0), INDEX($AC$1004:$AS$1004,1,MATCH(COLUMNS($AC$1006:AF1006),$AC$1006:$AS$1006,0)))),"Fix")))</f>
        <v xml:space="preserve"> </v>
      </c>
      <c r="F381" s="4" t="str">
        <f ca="1">IF(OR(INDEX($W$2:$W$1001,MATCH(ROWS($V$2:V381),$V$2:$V$1001,0),1)&gt;=100000,INDEX($AC$1005:$AS$1005,1,MATCH(COLUMNS($AC$1006:AG1006),$AC$1006:$AS$1006,0))&gt;=100000), " ",IF(INDEX($AC$2:$AS$1001,MATCH(ROWS($V$2:V381),$V$2:$V$1001,0),MATCH(COLUMNS($AC$1006:AG1006),$AC$1006:$AS$1006,0)), HYPERLINK("#",""), HYPERLINK(CONCATENATE("#metadata!", ADDRESS(INDEX($X$2:$X$1001,MATCH(ROWS($V$2:V381),$V$2:$V$1001,0),0), INDEX($AC$1004:$AS$1004,1,MATCH(COLUMNS($AC$1006:AG1006),$AC$1006:$AS$1006,0)))),"Fix")))</f>
        <v xml:space="preserve"> </v>
      </c>
      <c r="G381" s="4" t="str">
        <f ca="1">IF(OR(INDEX($W$2:$W$1001,MATCH(ROWS($V$2:V381),$V$2:$V$1001,0),1)&gt;=100000,INDEX($AC$1005:$AS$1005,1,MATCH(COLUMNS($AC$1006:AH1006),$AC$1006:$AS$1006,0))&gt;=100000), " ",IF(INDEX($AC$2:$AS$1001,MATCH(ROWS($V$2:V381),$V$2:$V$1001,0),MATCH(COLUMNS($AC$1006:AH1006),$AC$1006:$AS$1006,0)), HYPERLINK("#",""), HYPERLINK(CONCATENATE("#metadata!", ADDRESS(INDEX($X$2:$X$1001,MATCH(ROWS($V$2:V381),$V$2:$V$1001,0),0), INDEX($AC$1004:$AS$1004,1,MATCH(COLUMNS($AC$1006:AH1006),$AC$1006:$AS$1006,0)))),"Fix")))</f>
        <v xml:space="preserve"> </v>
      </c>
      <c r="H381" s="4" t="str">
        <f ca="1">IF(OR(INDEX($W$2:$W$1001,MATCH(ROWS($V$2:V381),$V$2:$V$1001,0),1)&gt;=100000,INDEX($AC$1005:$AS$1005,1,MATCH(COLUMNS($AC$1006:AI1006),$AC$1006:$AS$1006,0))&gt;=100000), " ",IF(INDEX($AC$2:$AS$1001,MATCH(ROWS($V$2:V381),$V$2:$V$1001,0),MATCH(COLUMNS($AC$1006:AI1006),$AC$1006:$AS$1006,0)), HYPERLINK("#",""), HYPERLINK(CONCATENATE("#metadata!", ADDRESS(INDEX($X$2:$X$1001,MATCH(ROWS($V$2:V381),$V$2:$V$1001,0),0), INDEX($AC$1004:$AS$1004,1,MATCH(COLUMNS($AC$1006:AI1006),$AC$1006:$AS$1006,0)))),"Fix")))</f>
        <v xml:space="preserve"> </v>
      </c>
      <c r="I381" s="4" t="str">
        <f ca="1">IF(OR(INDEX($W$2:$W$1001,MATCH(ROWS($V$2:V381),$V$2:$V$1001,0),1)&gt;=100000,INDEX($AC$1005:$AS$1005,1,MATCH(COLUMNS($AC$1006:AJ1006),$AC$1006:$AS$1006,0))&gt;=100000), " ",IF(INDEX($AC$2:$AS$1001,MATCH(ROWS($V$2:V381),$V$2:$V$1001,0),MATCH(COLUMNS($AC$1006:AJ1006),$AC$1006:$AS$1006,0)), HYPERLINK("#",""), HYPERLINK(CONCATENATE("#metadata!", ADDRESS(INDEX($X$2:$X$1001,MATCH(ROWS($V$2:V381),$V$2:$V$1001,0),0), INDEX($AC$1004:$AS$1004,1,MATCH(COLUMNS($AC$1006:AJ1006),$AC$1006:$AS$1006,0)))),"Fix")))</f>
        <v xml:space="preserve"> </v>
      </c>
      <c r="J381" s="4" t="str">
        <f ca="1">IF(OR(INDEX($W$2:$W$1001,MATCH(ROWS($V$2:V381),$V$2:$V$1001,0),1)&gt;=100000,INDEX($AC$1005:$AS$1005,1,MATCH(COLUMNS($AC$1006:AK1006),$AC$1006:$AS$1006,0))&gt;=100000), " ",IF(INDEX($AC$2:$AS$1001,MATCH(ROWS($V$2:V381),$V$2:$V$1001,0),MATCH(COLUMNS($AC$1006:AK1006),$AC$1006:$AS$1006,0)), HYPERLINK("#",""), HYPERLINK(CONCATENATE("#metadata!", ADDRESS(INDEX($X$2:$X$1001,MATCH(ROWS($V$2:V381),$V$2:$V$1001,0),0), INDEX($AC$1004:$AS$1004,1,MATCH(COLUMNS($AC$1006:AK1006),$AC$1006:$AS$1006,0)))),"Fix")))</f>
        <v xml:space="preserve"> </v>
      </c>
      <c r="K381" s="4" t="str">
        <f ca="1">IF(OR(INDEX($W$2:$W$1001,MATCH(ROWS($V$2:V381),$V$2:$V$1001,0),1)&gt;=100000,INDEX($AC$1005:$AS$1005,1,MATCH(COLUMNS($AC$1006:AL1006),$AC$1006:$AS$1006,0))&gt;=100000), " ",IF(INDEX($AC$2:$AS$1001,MATCH(ROWS($V$2:V381),$V$2:$V$1001,0),MATCH(COLUMNS($AC$1006:AL1006),$AC$1006:$AS$1006,0)), HYPERLINK("#",""), HYPERLINK(CONCATENATE("#metadata!", ADDRESS(INDEX($X$2:$X$1001,MATCH(ROWS($V$2:V381),$V$2:$V$1001,0),0), INDEX($AC$1004:$AS$1004,1,MATCH(COLUMNS($AC$1006:AL1006),$AC$1006:$AS$1006,0)))),"Fix")))</f>
        <v xml:space="preserve"> </v>
      </c>
      <c r="L381" s="4" t="str">
        <f ca="1">IF(OR(INDEX($W$2:$W$1001,MATCH(ROWS($V$2:V381),$V$2:$V$1001,0),1)&gt;=100000,INDEX($AC$1005:$AS$1005,1,MATCH(COLUMNS($AC$1006:AM1006),$AC$1006:$AS$1006,0))&gt;=100000), " ",IF(INDEX($AC$2:$AS$1001,MATCH(ROWS($V$2:V381),$V$2:$V$1001,0),MATCH(COLUMNS($AC$1006:AM1006),$AC$1006:$AS$1006,0)), HYPERLINK("#",""), HYPERLINK(CONCATENATE("#metadata!", ADDRESS(INDEX($X$2:$X$1001,MATCH(ROWS($V$2:V381),$V$2:$V$1001,0),0), INDEX($AC$1004:$AS$1004,1,MATCH(COLUMNS($AC$1006:AM1006),$AC$1006:$AS$1006,0)))),"Fix")))</f>
        <v xml:space="preserve"> </v>
      </c>
      <c r="M381" s="4" t="str">
        <f ca="1">IF(OR(INDEX($W$2:$W$1001,MATCH(ROWS($V$2:V381),$V$2:$V$1001,0),1)&gt;=100000,INDEX($AC$1005:$AS$1005,1,MATCH(COLUMNS($AC$1006:AN1006),$AC$1006:$AS$1006,0))&gt;=100000), " ",IF(INDEX($AC$2:$AS$1001,MATCH(ROWS($V$2:V381),$V$2:$V$1001,0),MATCH(COLUMNS($AC$1006:AN1006),$AC$1006:$AS$1006,0)), HYPERLINK("#",""), HYPERLINK(CONCATENATE("#metadata!", ADDRESS(INDEX($X$2:$X$1001,MATCH(ROWS($V$2:V381),$V$2:$V$1001,0),0), INDEX($AC$1004:$AS$1004,1,MATCH(COLUMNS($AC$1006:AN1006),$AC$1006:$AS$1006,0)))),"Fix")))</f>
        <v xml:space="preserve"> </v>
      </c>
      <c r="N381" s="4" t="str">
        <f ca="1">IF(OR(INDEX($W$2:$W$1001,MATCH(ROWS($V$2:V381),$V$2:$V$1001,0),1)&gt;=100000,INDEX($AC$1005:$AS$1005,1,MATCH(COLUMNS($AC$1006:AO1006),$AC$1006:$AS$1006,0))&gt;=100000), " ",IF(INDEX($AC$2:$AS$1001,MATCH(ROWS($V$2:V381),$V$2:$V$1001,0),MATCH(COLUMNS($AC$1006:AO1006),$AC$1006:$AS$1006,0)), HYPERLINK("#",""), HYPERLINK(CONCATENATE("#metadata!", ADDRESS(INDEX($X$2:$X$1001,MATCH(ROWS($V$2:V381),$V$2:$V$1001,0),0), INDEX($AC$1004:$AS$1004,1,MATCH(COLUMNS($AC$1006:AO1006),$AC$1006:$AS$1006,0)))),"Fix")))</f>
        <v xml:space="preserve"> </v>
      </c>
      <c r="O381" s="4" t="str">
        <f ca="1">IF(OR(INDEX($W$2:$W$1001,MATCH(ROWS($V$2:V381),$V$2:$V$1001,0),1)&gt;=100000,INDEX($AC$1005:$AS$1005,1,MATCH(COLUMNS($AC$1006:AP1006),$AC$1006:$AS$1006,0))&gt;=100000), " ",IF(INDEX($AC$2:$AS$1001,MATCH(ROWS($V$2:V381),$V$2:$V$1001,0),MATCH(COLUMNS($AC$1006:AP1006),$AC$1006:$AS$1006,0)), HYPERLINK("#",""), HYPERLINK(CONCATENATE("#metadata!", ADDRESS(INDEX($X$2:$X$1001,MATCH(ROWS($V$2:V381),$V$2:$V$1001,0),0), INDEX($AC$1004:$AS$1004,1,MATCH(COLUMNS($AC$1006:AP1006),$AC$1006:$AS$1006,0)))),"Fix")))</f>
        <v xml:space="preserve"> </v>
      </c>
      <c r="P381" s="4" t="str">
        <f ca="1">IF(OR(INDEX($W$2:$W$1001,MATCH(ROWS($V$2:V381),$V$2:$V$1001,0),1)&gt;=100000,INDEX($AC$1005:$AS$1005,1,MATCH(COLUMNS($AC$1006:AQ1006),$AC$1006:$AS$1006,0))&gt;=100000), " ",IF(INDEX($AC$2:$AS$1001,MATCH(ROWS($V$2:V381),$V$2:$V$1001,0),MATCH(COLUMNS($AC$1006:AQ1006),$AC$1006:$AS$1006,0)), HYPERLINK("#",""), HYPERLINK(CONCATENATE("#metadata!", ADDRESS(INDEX($X$2:$X$1001,MATCH(ROWS($V$2:V381),$V$2:$V$1001,0),0), INDEX($AC$1004:$AS$1004,1,MATCH(COLUMNS($AC$1006:AQ1006),$AC$1006:$AS$1006,0)))),"Fix")))</f>
        <v xml:space="preserve"> </v>
      </c>
      <c r="Q381" s="4" t="str">
        <f ca="1">IF(OR(INDEX($W$2:$W$1001,MATCH(ROWS($V$2:V381),$V$2:$V$1001,0),1)&gt;=100000,INDEX($AC$1005:$AS$1005,1,MATCH(COLUMNS($AC$1006:AR1006),$AC$1006:$AS$1006,0))&gt;=100000), " ",IF(INDEX($AC$2:$AS$1001,MATCH(ROWS($V$2:V381),$V$2:$V$1001,0),MATCH(COLUMNS($AC$1006:AR1006),$AC$1006:$AS$1006,0)), HYPERLINK("#",""), HYPERLINK(CONCATENATE("#metadata!", ADDRESS(INDEX($X$2:$X$1001,MATCH(ROWS($V$2:V381),$V$2:$V$1001,0),0), INDEX($AC$1004:$AS$1004,1,MATCH(COLUMNS($AC$1006:AR1006),$AC$1006:$AS$1006,0)))),"Fix")))</f>
        <v xml:space="preserve"> </v>
      </c>
      <c r="R381" s="4" t="str">
        <f ca="1">IF(OR(INDEX($W$2:$W$1001,MATCH(ROWS($V$2:V381),$V$2:$V$1001,0),1)&gt;=100000,INDEX($AC$1005:$AS$1005,1,MATCH(COLUMNS($AC$1006:AS1006),$AC$1006:$AS$1006,0))&gt;=100000), " ",IF(INDEX($AC$2:$AS$1001,MATCH(ROWS($V$2:V381),$V$2:$V$1001,0),MATCH(COLUMNS($AC$1006:AS1006),$AC$1006:$AS$1006,0)), HYPERLINK("#",""), HYPERLINK(CONCATENATE("#metadata!", ADDRESS(INDEX($X$2:$X$1001,MATCH(ROWS($V$2:V381),$V$2:$V$1001,0),0), INDEX($AC$1004:$AS$1004,1,MATCH(COLUMNS($AC$1006:AS1006),$AC$1006:$AS$1006,0)))),"Fix")))</f>
        <v xml:space="preserve"> </v>
      </c>
      <c r="V381">
        <v>380</v>
      </c>
      <c r="W381">
        <v>100381</v>
      </c>
      <c r="X381">
        <v>381</v>
      </c>
      <c r="Y381" t="b">
        <f t="shared" si="5"/>
        <v>1</v>
      </c>
      <c r="Z381" t="b">
        <f>COUNTBLANK(metadata!B381:R381)=COLUMNS(metadata!B381:R381)</f>
        <v>1</v>
      </c>
      <c r="AA381" t="str">
        <v/>
      </c>
      <c r="AC381" t="b">
        <f ca="1"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AD381" t="b">
        <f>IF(metadata!C381="",FALSE,ISNUMBER(VALUE(metadata!C381)))</f>
        <v>0</v>
      </c>
      <c r="AE381" t="b">
        <f>AND(IF(metadata!D381="",FALSE,TRUE),EXACT(metadata!D381,"years"))</f>
        <v>0</v>
      </c>
      <c r="AF381" t="b">
        <f>OR(AND(IF(metadata!E381="",FALSE,TRUE),OR(EXACT(metadata!E381,"not applicable"),EXACT(metadata!E381,"missing: not collected"),EXACT(metadata!E381,"missing: not provided"),EXACT(metadata!E381,"missing: restricted access"))),AND(IF(metadata!E381="",FALSE,ISNUMBER(VALUE(metadata!E381))),metadata!E381&gt;0))</f>
        <v>0</v>
      </c>
      <c r="AG381" t="b">
        <f>AND(IF(metadata!F381="",FALSE,TRUE),EXACT(metadata!F381,"Not applicable"))</f>
        <v>0</v>
      </c>
      <c r="AH381" t="b">
        <f>AND(IF(metadata!G381="",FALSE,TRUE),EXACT(metadata!G381,"urban biome"))</f>
        <v>0</v>
      </c>
      <c r="AI381" t="b">
        <f>AND(IF(metadata!H381="",FALSE,TRUE),EXACT(metadata!H381,"human-associated habitat"))</f>
        <v>0</v>
      </c>
      <c r="AJ381" t="b">
        <f>AND(IF(metadata!I381="",FALSE,TRUE),OR(EXACT(metadata!I381,"human-associated"),EXACT(metadata!I381,"human-skin"),EXACT(metadata!I381,"human-oral"),EXACT(metadata!I381,"human-gut"),EXACT(metadata!I381,"human-vaginal")))</f>
        <v>0</v>
      </c>
      <c r="AK381" t="b">
        <f>IF(metadata!J381="",FALSE,ISNUMBER(VALUE(metadata!J381)))</f>
        <v>0</v>
      </c>
      <c r="AL381" t="b">
        <f>AND(IF(metadata!K381="",FALSE,TRUE),EXACT(metadata!K381,"cm"))</f>
        <v>0</v>
      </c>
      <c r="AM381" t="b">
        <f>AND(IF(metadata!L381="",FALSE,TRUE),EXACT(metadata!L381,"human"))</f>
        <v>0</v>
      </c>
      <c r="AN381" t="b">
        <f>AND(IF(metadata!M381="",FALSE,TRUE),EXACT(metadata!M381,"Homo sapiens"))</f>
        <v>0</v>
      </c>
      <c r="AO381" t="b">
        <f>AND(IF(metadata!N381="",FALSE,TRUE),EXACT(metadata!N381,"9606"))</f>
        <v>0</v>
      </c>
      <c r="AP381" t="b">
        <f>IF(metadata!O381="",FALSE,TRUE)</f>
        <v>0</v>
      </c>
      <c r="AQ381" t="b">
        <f>IF(metadata!P381="",FALSE,TRUE)</f>
        <v>0</v>
      </c>
      <c r="AR381" t="b">
        <f>IF(metadata!Q381="",FALSE,ISNUMBER(VALUE(metadata!Q381)))</f>
        <v>0</v>
      </c>
      <c r="AS381" t="b">
        <f>AND(IF(metadata!R381="",FALSE,TRUE),EXACT(metadata!R381,"kg"))</f>
        <v>0</v>
      </c>
    </row>
    <row r="382" spans="1:45" x14ac:dyDescent="0.2">
      <c r="A382" s="5" t="str">
        <f ca="1">IF(B382=" "," ",HYPERLINK(CONCATENATE("#metadata!",ADDRESS(INDEX($X$2:$X$1001,MATCH(ROWS($V$2:V382),$V$2:$V$1001,0),0),1)),INDEX($AA$2:$AA$1001,MATCH(ROWS($V$2:V382),$V$2:$V$1001,0),0)))</f>
        <v xml:space="preserve"> </v>
      </c>
      <c r="B382" s="4" t="str">
        <f ca="1">IF(OR(INDEX($W$2:$W$1001,MATCH(ROWS($V$2:V382),$V$2:$V$1001,0),1)&gt;=100000,INDEX($AC$1005:$AS$1005,1,MATCH(COLUMNS($AC$1006:AC1006),$AC$1006:$AS$1006,0))&gt;=100000), " ",IF(INDEX($AC$2:$AS$1001,MATCH(ROWS($V$2:V382),$V$2:$V$1001,0),MATCH(COLUMNS($AC$1006:AC1006),$AC$1006:$AS$1006,0)), HYPERLINK("#",""), HYPERLINK(CONCATENATE("#metadata!", ADDRESS(INDEX($X$2:$X$1001,MATCH(ROWS($V$2:V382),$V$2:$V$1001,0),0), INDEX($AC$1004:$AS$1004,1,MATCH(COLUMNS($AC$1006:AC1006),$AC$1006:$AS$1006,0)))),"Fix")))</f>
        <v xml:space="preserve"> </v>
      </c>
      <c r="C382" s="4" t="str">
        <f ca="1">IF(OR(INDEX($W$2:$W$1001,MATCH(ROWS($V$2:V382),$V$2:$V$1001,0),1)&gt;=100000,INDEX($AC$1005:$AS$1005,1,MATCH(COLUMNS($AC$1006:AD1006),$AC$1006:$AS$1006,0))&gt;=100000), " ",IF(INDEX($AC$2:$AS$1001,MATCH(ROWS($V$2:V382),$V$2:$V$1001,0),MATCH(COLUMNS($AC$1006:AD1006),$AC$1006:$AS$1006,0)), HYPERLINK("#",""), HYPERLINK(CONCATENATE("#metadata!", ADDRESS(INDEX($X$2:$X$1001,MATCH(ROWS($V$2:V382),$V$2:$V$1001,0),0), INDEX($AC$1004:$AS$1004,1,MATCH(COLUMNS($AC$1006:AD1006),$AC$1006:$AS$1006,0)))),"Fix")))</f>
        <v xml:space="preserve"> </v>
      </c>
      <c r="D382" s="4" t="str">
        <f ca="1">IF(OR(INDEX($W$2:$W$1001,MATCH(ROWS($V$2:V382),$V$2:$V$1001,0),1)&gt;=100000,INDEX($AC$1005:$AS$1005,1,MATCH(COLUMNS($AC$1006:AE1006),$AC$1006:$AS$1006,0))&gt;=100000), " ",IF(INDEX($AC$2:$AS$1001,MATCH(ROWS($V$2:V382),$V$2:$V$1001,0),MATCH(COLUMNS($AC$1006:AE1006),$AC$1006:$AS$1006,0)), HYPERLINK("#",""), HYPERLINK(CONCATENATE("#metadata!", ADDRESS(INDEX($X$2:$X$1001,MATCH(ROWS($V$2:V382),$V$2:$V$1001,0),0), INDEX($AC$1004:$AS$1004,1,MATCH(COLUMNS($AC$1006:AE1006),$AC$1006:$AS$1006,0)))),"Fix")))</f>
        <v xml:space="preserve"> </v>
      </c>
      <c r="E382" s="4" t="str">
        <f ca="1">IF(OR(INDEX($W$2:$W$1001,MATCH(ROWS($V$2:V382),$V$2:$V$1001,0),1)&gt;=100000,INDEX($AC$1005:$AS$1005,1,MATCH(COLUMNS($AC$1006:AF1006),$AC$1006:$AS$1006,0))&gt;=100000), " ",IF(INDEX($AC$2:$AS$1001,MATCH(ROWS($V$2:V382),$V$2:$V$1001,0),MATCH(COLUMNS($AC$1006:AF1006),$AC$1006:$AS$1006,0)), HYPERLINK("#",""), HYPERLINK(CONCATENATE("#metadata!", ADDRESS(INDEX($X$2:$X$1001,MATCH(ROWS($V$2:V382),$V$2:$V$1001,0),0), INDEX($AC$1004:$AS$1004,1,MATCH(COLUMNS($AC$1006:AF1006),$AC$1006:$AS$1006,0)))),"Fix")))</f>
        <v xml:space="preserve"> </v>
      </c>
      <c r="F382" s="4" t="str">
        <f ca="1">IF(OR(INDEX($W$2:$W$1001,MATCH(ROWS($V$2:V382),$V$2:$V$1001,0),1)&gt;=100000,INDEX($AC$1005:$AS$1005,1,MATCH(COLUMNS($AC$1006:AG1006),$AC$1006:$AS$1006,0))&gt;=100000), " ",IF(INDEX($AC$2:$AS$1001,MATCH(ROWS($V$2:V382),$V$2:$V$1001,0),MATCH(COLUMNS($AC$1006:AG1006),$AC$1006:$AS$1006,0)), HYPERLINK("#",""), HYPERLINK(CONCATENATE("#metadata!", ADDRESS(INDEX($X$2:$X$1001,MATCH(ROWS($V$2:V382),$V$2:$V$1001,0),0), INDEX($AC$1004:$AS$1004,1,MATCH(COLUMNS($AC$1006:AG1006),$AC$1006:$AS$1006,0)))),"Fix")))</f>
        <v xml:space="preserve"> </v>
      </c>
      <c r="G382" s="4" t="str">
        <f ca="1">IF(OR(INDEX($W$2:$W$1001,MATCH(ROWS($V$2:V382),$V$2:$V$1001,0),1)&gt;=100000,INDEX($AC$1005:$AS$1005,1,MATCH(COLUMNS($AC$1006:AH1006),$AC$1006:$AS$1006,0))&gt;=100000), " ",IF(INDEX($AC$2:$AS$1001,MATCH(ROWS($V$2:V382),$V$2:$V$1001,0),MATCH(COLUMNS($AC$1006:AH1006),$AC$1006:$AS$1006,0)), HYPERLINK("#",""), HYPERLINK(CONCATENATE("#metadata!", ADDRESS(INDEX($X$2:$X$1001,MATCH(ROWS($V$2:V382),$V$2:$V$1001,0),0), INDEX($AC$1004:$AS$1004,1,MATCH(COLUMNS($AC$1006:AH1006),$AC$1006:$AS$1006,0)))),"Fix")))</f>
        <v xml:space="preserve"> </v>
      </c>
      <c r="H382" s="4" t="str">
        <f ca="1">IF(OR(INDEX($W$2:$W$1001,MATCH(ROWS($V$2:V382),$V$2:$V$1001,0),1)&gt;=100000,INDEX($AC$1005:$AS$1005,1,MATCH(COLUMNS($AC$1006:AI1006),$AC$1006:$AS$1006,0))&gt;=100000), " ",IF(INDEX($AC$2:$AS$1001,MATCH(ROWS($V$2:V382),$V$2:$V$1001,0),MATCH(COLUMNS($AC$1006:AI1006),$AC$1006:$AS$1006,0)), HYPERLINK("#",""), HYPERLINK(CONCATENATE("#metadata!", ADDRESS(INDEX($X$2:$X$1001,MATCH(ROWS($V$2:V382),$V$2:$V$1001,0),0), INDEX($AC$1004:$AS$1004,1,MATCH(COLUMNS($AC$1006:AI1006),$AC$1006:$AS$1006,0)))),"Fix")))</f>
        <v xml:space="preserve"> </v>
      </c>
      <c r="I382" s="4" t="str">
        <f ca="1">IF(OR(INDEX($W$2:$W$1001,MATCH(ROWS($V$2:V382),$V$2:$V$1001,0),1)&gt;=100000,INDEX($AC$1005:$AS$1005,1,MATCH(COLUMNS($AC$1006:AJ1006),$AC$1006:$AS$1006,0))&gt;=100000), " ",IF(INDEX($AC$2:$AS$1001,MATCH(ROWS($V$2:V382),$V$2:$V$1001,0),MATCH(COLUMNS($AC$1006:AJ1006),$AC$1006:$AS$1006,0)), HYPERLINK("#",""), HYPERLINK(CONCATENATE("#metadata!", ADDRESS(INDEX($X$2:$X$1001,MATCH(ROWS($V$2:V382),$V$2:$V$1001,0),0), INDEX($AC$1004:$AS$1004,1,MATCH(COLUMNS($AC$1006:AJ1006),$AC$1006:$AS$1006,0)))),"Fix")))</f>
        <v xml:space="preserve"> </v>
      </c>
      <c r="J382" s="4" t="str">
        <f ca="1">IF(OR(INDEX($W$2:$W$1001,MATCH(ROWS($V$2:V382),$V$2:$V$1001,0),1)&gt;=100000,INDEX($AC$1005:$AS$1005,1,MATCH(COLUMNS($AC$1006:AK1006),$AC$1006:$AS$1006,0))&gt;=100000), " ",IF(INDEX($AC$2:$AS$1001,MATCH(ROWS($V$2:V382),$V$2:$V$1001,0),MATCH(COLUMNS($AC$1006:AK1006),$AC$1006:$AS$1006,0)), HYPERLINK("#",""), HYPERLINK(CONCATENATE("#metadata!", ADDRESS(INDEX($X$2:$X$1001,MATCH(ROWS($V$2:V382),$V$2:$V$1001,0),0), INDEX($AC$1004:$AS$1004,1,MATCH(COLUMNS($AC$1006:AK1006),$AC$1006:$AS$1006,0)))),"Fix")))</f>
        <v xml:space="preserve"> </v>
      </c>
      <c r="K382" s="4" t="str">
        <f ca="1">IF(OR(INDEX($W$2:$W$1001,MATCH(ROWS($V$2:V382),$V$2:$V$1001,0),1)&gt;=100000,INDEX($AC$1005:$AS$1005,1,MATCH(COLUMNS($AC$1006:AL1006),$AC$1006:$AS$1006,0))&gt;=100000), " ",IF(INDEX($AC$2:$AS$1001,MATCH(ROWS($V$2:V382),$V$2:$V$1001,0),MATCH(COLUMNS($AC$1006:AL1006),$AC$1006:$AS$1006,0)), HYPERLINK("#",""), HYPERLINK(CONCATENATE("#metadata!", ADDRESS(INDEX($X$2:$X$1001,MATCH(ROWS($V$2:V382),$V$2:$V$1001,0),0), INDEX($AC$1004:$AS$1004,1,MATCH(COLUMNS($AC$1006:AL1006),$AC$1006:$AS$1006,0)))),"Fix")))</f>
        <v xml:space="preserve"> </v>
      </c>
      <c r="L382" s="4" t="str">
        <f ca="1">IF(OR(INDEX($W$2:$W$1001,MATCH(ROWS($V$2:V382),$V$2:$V$1001,0),1)&gt;=100000,INDEX($AC$1005:$AS$1005,1,MATCH(COLUMNS($AC$1006:AM1006),$AC$1006:$AS$1006,0))&gt;=100000), " ",IF(INDEX($AC$2:$AS$1001,MATCH(ROWS($V$2:V382),$V$2:$V$1001,0),MATCH(COLUMNS($AC$1006:AM1006),$AC$1006:$AS$1006,0)), HYPERLINK("#",""), HYPERLINK(CONCATENATE("#metadata!", ADDRESS(INDEX($X$2:$X$1001,MATCH(ROWS($V$2:V382),$V$2:$V$1001,0),0), INDEX($AC$1004:$AS$1004,1,MATCH(COLUMNS($AC$1006:AM1006),$AC$1006:$AS$1006,0)))),"Fix")))</f>
        <v xml:space="preserve"> </v>
      </c>
      <c r="M382" s="4" t="str">
        <f ca="1">IF(OR(INDEX($W$2:$W$1001,MATCH(ROWS($V$2:V382),$V$2:$V$1001,0),1)&gt;=100000,INDEX($AC$1005:$AS$1005,1,MATCH(COLUMNS($AC$1006:AN1006),$AC$1006:$AS$1006,0))&gt;=100000), " ",IF(INDEX($AC$2:$AS$1001,MATCH(ROWS($V$2:V382),$V$2:$V$1001,0),MATCH(COLUMNS($AC$1006:AN1006),$AC$1006:$AS$1006,0)), HYPERLINK("#",""), HYPERLINK(CONCATENATE("#metadata!", ADDRESS(INDEX($X$2:$X$1001,MATCH(ROWS($V$2:V382),$V$2:$V$1001,0),0), INDEX($AC$1004:$AS$1004,1,MATCH(COLUMNS($AC$1006:AN1006),$AC$1006:$AS$1006,0)))),"Fix")))</f>
        <v xml:space="preserve"> </v>
      </c>
      <c r="N382" s="4" t="str">
        <f ca="1">IF(OR(INDEX($W$2:$W$1001,MATCH(ROWS($V$2:V382),$V$2:$V$1001,0),1)&gt;=100000,INDEX($AC$1005:$AS$1005,1,MATCH(COLUMNS($AC$1006:AO1006),$AC$1006:$AS$1006,0))&gt;=100000), " ",IF(INDEX($AC$2:$AS$1001,MATCH(ROWS($V$2:V382),$V$2:$V$1001,0),MATCH(COLUMNS($AC$1006:AO1006),$AC$1006:$AS$1006,0)), HYPERLINK("#",""), HYPERLINK(CONCATENATE("#metadata!", ADDRESS(INDEX($X$2:$X$1001,MATCH(ROWS($V$2:V382),$V$2:$V$1001,0),0), INDEX($AC$1004:$AS$1004,1,MATCH(COLUMNS($AC$1006:AO1006),$AC$1006:$AS$1006,0)))),"Fix")))</f>
        <v xml:space="preserve"> </v>
      </c>
      <c r="O382" s="4" t="str">
        <f ca="1">IF(OR(INDEX($W$2:$W$1001,MATCH(ROWS($V$2:V382),$V$2:$V$1001,0),1)&gt;=100000,INDEX($AC$1005:$AS$1005,1,MATCH(COLUMNS($AC$1006:AP1006),$AC$1006:$AS$1006,0))&gt;=100000), " ",IF(INDEX($AC$2:$AS$1001,MATCH(ROWS($V$2:V382),$V$2:$V$1001,0),MATCH(COLUMNS($AC$1006:AP1006),$AC$1006:$AS$1006,0)), HYPERLINK("#",""), HYPERLINK(CONCATENATE("#metadata!", ADDRESS(INDEX($X$2:$X$1001,MATCH(ROWS($V$2:V382),$V$2:$V$1001,0),0), INDEX($AC$1004:$AS$1004,1,MATCH(COLUMNS($AC$1006:AP1006),$AC$1006:$AS$1006,0)))),"Fix")))</f>
        <v xml:space="preserve"> </v>
      </c>
      <c r="P382" s="4" t="str">
        <f ca="1">IF(OR(INDEX($W$2:$W$1001,MATCH(ROWS($V$2:V382),$V$2:$V$1001,0),1)&gt;=100000,INDEX($AC$1005:$AS$1005,1,MATCH(COLUMNS($AC$1006:AQ1006),$AC$1006:$AS$1006,0))&gt;=100000), " ",IF(INDEX($AC$2:$AS$1001,MATCH(ROWS($V$2:V382),$V$2:$V$1001,0),MATCH(COLUMNS($AC$1006:AQ1006),$AC$1006:$AS$1006,0)), HYPERLINK("#",""), HYPERLINK(CONCATENATE("#metadata!", ADDRESS(INDEX($X$2:$X$1001,MATCH(ROWS($V$2:V382),$V$2:$V$1001,0),0), INDEX($AC$1004:$AS$1004,1,MATCH(COLUMNS($AC$1006:AQ1006),$AC$1006:$AS$1006,0)))),"Fix")))</f>
        <v xml:space="preserve"> </v>
      </c>
      <c r="Q382" s="4" t="str">
        <f ca="1">IF(OR(INDEX($W$2:$W$1001,MATCH(ROWS($V$2:V382),$V$2:$V$1001,0),1)&gt;=100000,INDEX($AC$1005:$AS$1005,1,MATCH(COLUMNS($AC$1006:AR1006),$AC$1006:$AS$1006,0))&gt;=100000), " ",IF(INDEX($AC$2:$AS$1001,MATCH(ROWS($V$2:V382),$V$2:$V$1001,0),MATCH(COLUMNS($AC$1006:AR1006),$AC$1006:$AS$1006,0)), HYPERLINK("#",""), HYPERLINK(CONCATENATE("#metadata!", ADDRESS(INDEX($X$2:$X$1001,MATCH(ROWS($V$2:V382),$V$2:$V$1001,0),0), INDEX($AC$1004:$AS$1004,1,MATCH(COLUMNS($AC$1006:AR1006),$AC$1006:$AS$1006,0)))),"Fix")))</f>
        <v xml:space="preserve"> </v>
      </c>
      <c r="R382" s="4" t="str">
        <f ca="1">IF(OR(INDEX($W$2:$W$1001,MATCH(ROWS($V$2:V382),$V$2:$V$1001,0),1)&gt;=100000,INDEX($AC$1005:$AS$1005,1,MATCH(COLUMNS($AC$1006:AS1006),$AC$1006:$AS$1006,0))&gt;=100000), " ",IF(INDEX($AC$2:$AS$1001,MATCH(ROWS($V$2:V382),$V$2:$V$1001,0),MATCH(COLUMNS($AC$1006:AS1006),$AC$1006:$AS$1006,0)), HYPERLINK("#",""), HYPERLINK(CONCATENATE("#metadata!", ADDRESS(INDEX($X$2:$X$1001,MATCH(ROWS($V$2:V382),$V$2:$V$1001,0),0), INDEX($AC$1004:$AS$1004,1,MATCH(COLUMNS($AC$1006:AS1006),$AC$1006:$AS$1006,0)))),"Fix")))</f>
        <v xml:space="preserve"> </v>
      </c>
      <c r="V382">
        <v>381</v>
      </c>
      <c r="W382">
        <v>100382</v>
      </c>
      <c r="X382">
        <v>382</v>
      </c>
      <c r="Y382" t="b">
        <f t="shared" si="5"/>
        <v>1</v>
      </c>
      <c r="Z382" t="b">
        <f>COUNTBLANK(metadata!B382:R382)=COLUMNS(metadata!B382:R382)</f>
        <v>1</v>
      </c>
      <c r="AA382" t="str">
        <v/>
      </c>
      <c r="AC382" t="b">
        <f ca="1"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AD382" t="b">
        <f>IF(metadata!C382="",FALSE,ISNUMBER(VALUE(metadata!C382)))</f>
        <v>0</v>
      </c>
      <c r="AE382" t="b">
        <f>AND(IF(metadata!D382="",FALSE,TRUE),EXACT(metadata!D382,"years"))</f>
        <v>0</v>
      </c>
      <c r="AF382" t="b">
        <f>OR(AND(IF(metadata!E382="",FALSE,TRUE),OR(EXACT(metadata!E382,"not applicable"),EXACT(metadata!E382,"missing: not collected"),EXACT(metadata!E382,"missing: not provided"),EXACT(metadata!E382,"missing: restricted access"))),AND(IF(metadata!E382="",FALSE,ISNUMBER(VALUE(metadata!E382))),metadata!E382&gt;0))</f>
        <v>0</v>
      </c>
      <c r="AG382" t="b">
        <f>AND(IF(metadata!F382="",FALSE,TRUE),EXACT(metadata!F382,"Not applicable"))</f>
        <v>0</v>
      </c>
      <c r="AH382" t="b">
        <f>AND(IF(metadata!G382="",FALSE,TRUE),EXACT(metadata!G382,"urban biome"))</f>
        <v>0</v>
      </c>
      <c r="AI382" t="b">
        <f>AND(IF(metadata!H382="",FALSE,TRUE),EXACT(metadata!H382,"human-associated habitat"))</f>
        <v>0</v>
      </c>
      <c r="AJ382" t="b">
        <f>AND(IF(metadata!I382="",FALSE,TRUE),OR(EXACT(metadata!I382,"human-associated"),EXACT(metadata!I382,"human-skin"),EXACT(metadata!I382,"human-oral"),EXACT(metadata!I382,"human-gut"),EXACT(metadata!I382,"human-vaginal")))</f>
        <v>0</v>
      </c>
      <c r="AK382" t="b">
        <f>IF(metadata!J382="",FALSE,ISNUMBER(VALUE(metadata!J382)))</f>
        <v>0</v>
      </c>
      <c r="AL382" t="b">
        <f>AND(IF(metadata!K382="",FALSE,TRUE),EXACT(metadata!K382,"cm"))</f>
        <v>0</v>
      </c>
      <c r="AM382" t="b">
        <f>AND(IF(metadata!L382="",FALSE,TRUE),EXACT(metadata!L382,"human"))</f>
        <v>0</v>
      </c>
      <c r="AN382" t="b">
        <f>AND(IF(metadata!M382="",FALSE,TRUE),EXACT(metadata!M382,"Homo sapiens"))</f>
        <v>0</v>
      </c>
      <c r="AO382" t="b">
        <f>AND(IF(metadata!N382="",FALSE,TRUE),EXACT(metadata!N382,"9606"))</f>
        <v>0</v>
      </c>
      <c r="AP382" t="b">
        <f>IF(metadata!O382="",FALSE,TRUE)</f>
        <v>0</v>
      </c>
      <c r="AQ382" t="b">
        <f>IF(metadata!P382="",FALSE,TRUE)</f>
        <v>0</v>
      </c>
      <c r="AR382" t="b">
        <f>IF(metadata!Q382="",FALSE,ISNUMBER(VALUE(metadata!Q382)))</f>
        <v>0</v>
      </c>
      <c r="AS382" t="b">
        <f>AND(IF(metadata!R382="",FALSE,TRUE),EXACT(metadata!R382,"kg"))</f>
        <v>0</v>
      </c>
    </row>
    <row r="383" spans="1:45" x14ac:dyDescent="0.2">
      <c r="A383" s="5" t="str">
        <f ca="1">IF(B383=" "," ",HYPERLINK(CONCATENATE("#metadata!",ADDRESS(INDEX($X$2:$X$1001,MATCH(ROWS($V$2:V383),$V$2:$V$1001,0),0),1)),INDEX($AA$2:$AA$1001,MATCH(ROWS($V$2:V383),$V$2:$V$1001,0),0)))</f>
        <v xml:space="preserve"> </v>
      </c>
      <c r="B383" s="4" t="str">
        <f ca="1">IF(OR(INDEX($W$2:$W$1001,MATCH(ROWS($V$2:V383),$V$2:$V$1001,0),1)&gt;=100000,INDEX($AC$1005:$AS$1005,1,MATCH(COLUMNS($AC$1006:AC1006),$AC$1006:$AS$1006,0))&gt;=100000), " ",IF(INDEX($AC$2:$AS$1001,MATCH(ROWS($V$2:V383),$V$2:$V$1001,0),MATCH(COLUMNS($AC$1006:AC1006),$AC$1006:$AS$1006,0)), HYPERLINK("#",""), HYPERLINK(CONCATENATE("#metadata!", ADDRESS(INDEX($X$2:$X$1001,MATCH(ROWS($V$2:V383),$V$2:$V$1001,0),0), INDEX($AC$1004:$AS$1004,1,MATCH(COLUMNS($AC$1006:AC1006),$AC$1006:$AS$1006,0)))),"Fix")))</f>
        <v xml:space="preserve"> </v>
      </c>
      <c r="C383" s="4" t="str">
        <f ca="1">IF(OR(INDEX($W$2:$W$1001,MATCH(ROWS($V$2:V383),$V$2:$V$1001,0),1)&gt;=100000,INDEX($AC$1005:$AS$1005,1,MATCH(COLUMNS($AC$1006:AD1006),$AC$1006:$AS$1006,0))&gt;=100000), " ",IF(INDEX($AC$2:$AS$1001,MATCH(ROWS($V$2:V383),$V$2:$V$1001,0),MATCH(COLUMNS($AC$1006:AD1006),$AC$1006:$AS$1006,0)), HYPERLINK("#",""), HYPERLINK(CONCATENATE("#metadata!", ADDRESS(INDEX($X$2:$X$1001,MATCH(ROWS($V$2:V383),$V$2:$V$1001,0),0), INDEX($AC$1004:$AS$1004,1,MATCH(COLUMNS($AC$1006:AD1006),$AC$1006:$AS$1006,0)))),"Fix")))</f>
        <v xml:space="preserve"> </v>
      </c>
      <c r="D383" s="4" t="str">
        <f ca="1">IF(OR(INDEX($W$2:$W$1001,MATCH(ROWS($V$2:V383),$V$2:$V$1001,0),1)&gt;=100000,INDEX($AC$1005:$AS$1005,1,MATCH(COLUMNS($AC$1006:AE1006),$AC$1006:$AS$1006,0))&gt;=100000), " ",IF(INDEX($AC$2:$AS$1001,MATCH(ROWS($V$2:V383),$V$2:$V$1001,0),MATCH(COLUMNS($AC$1006:AE1006),$AC$1006:$AS$1006,0)), HYPERLINK("#",""), HYPERLINK(CONCATENATE("#metadata!", ADDRESS(INDEX($X$2:$X$1001,MATCH(ROWS($V$2:V383),$V$2:$V$1001,0),0), INDEX($AC$1004:$AS$1004,1,MATCH(COLUMNS($AC$1006:AE1006),$AC$1006:$AS$1006,0)))),"Fix")))</f>
        <v xml:space="preserve"> </v>
      </c>
      <c r="E383" s="4" t="str">
        <f ca="1">IF(OR(INDEX($W$2:$W$1001,MATCH(ROWS($V$2:V383),$V$2:$V$1001,0),1)&gt;=100000,INDEX($AC$1005:$AS$1005,1,MATCH(COLUMNS($AC$1006:AF1006),$AC$1006:$AS$1006,0))&gt;=100000), " ",IF(INDEX($AC$2:$AS$1001,MATCH(ROWS($V$2:V383),$V$2:$V$1001,0),MATCH(COLUMNS($AC$1006:AF1006),$AC$1006:$AS$1006,0)), HYPERLINK("#",""), HYPERLINK(CONCATENATE("#metadata!", ADDRESS(INDEX($X$2:$X$1001,MATCH(ROWS($V$2:V383),$V$2:$V$1001,0),0), INDEX($AC$1004:$AS$1004,1,MATCH(COLUMNS($AC$1006:AF1006),$AC$1006:$AS$1006,0)))),"Fix")))</f>
        <v xml:space="preserve"> </v>
      </c>
      <c r="F383" s="4" t="str">
        <f ca="1">IF(OR(INDEX($W$2:$W$1001,MATCH(ROWS($V$2:V383),$V$2:$V$1001,0),1)&gt;=100000,INDEX($AC$1005:$AS$1005,1,MATCH(COLUMNS($AC$1006:AG1006),$AC$1006:$AS$1006,0))&gt;=100000), " ",IF(INDEX($AC$2:$AS$1001,MATCH(ROWS($V$2:V383),$V$2:$V$1001,0),MATCH(COLUMNS($AC$1006:AG1006),$AC$1006:$AS$1006,0)), HYPERLINK("#",""), HYPERLINK(CONCATENATE("#metadata!", ADDRESS(INDEX($X$2:$X$1001,MATCH(ROWS($V$2:V383),$V$2:$V$1001,0),0), INDEX($AC$1004:$AS$1004,1,MATCH(COLUMNS($AC$1006:AG1006),$AC$1006:$AS$1006,0)))),"Fix")))</f>
        <v xml:space="preserve"> </v>
      </c>
      <c r="G383" s="4" t="str">
        <f ca="1">IF(OR(INDEX($W$2:$W$1001,MATCH(ROWS($V$2:V383),$V$2:$V$1001,0),1)&gt;=100000,INDEX($AC$1005:$AS$1005,1,MATCH(COLUMNS($AC$1006:AH1006),$AC$1006:$AS$1006,0))&gt;=100000), " ",IF(INDEX($AC$2:$AS$1001,MATCH(ROWS($V$2:V383),$V$2:$V$1001,0),MATCH(COLUMNS($AC$1006:AH1006),$AC$1006:$AS$1006,0)), HYPERLINK("#",""), HYPERLINK(CONCATENATE("#metadata!", ADDRESS(INDEX($X$2:$X$1001,MATCH(ROWS($V$2:V383),$V$2:$V$1001,0),0), INDEX($AC$1004:$AS$1004,1,MATCH(COLUMNS($AC$1006:AH1006),$AC$1006:$AS$1006,0)))),"Fix")))</f>
        <v xml:space="preserve"> </v>
      </c>
      <c r="H383" s="4" t="str">
        <f ca="1">IF(OR(INDEX($W$2:$W$1001,MATCH(ROWS($V$2:V383),$V$2:$V$1001,0),1)&gt;=100000,INDEX($AC$1005:$AS$1005,1,MATCH(COLUMNS($AC$1006:AI1006),$AC$1006:$AS$1006,0))&gt;=100000), " ",IF(INDEX($AC$2:$AS$1001,MATCH(ROWS($V$2:V383),$V$2:$V$1001,0),MATCH(COLUMNS($AC$1006:AI1006),$AC$1006:$AS$1006,0)), HYPERLINK("#",""), HYPERLINK(CONCATENATE("#metadata!", ADDRESS(INDEX($X$2:$X$1001,MATCH(ROWS($V$2:V383),$V$2:$V$1001,0),0), INDEX($AC$1004:$AS$1004,1,MATCH(COLUMNS($AC$1006:AI1006),$AC$1006:$AS$1006,0)))),"Fix")))</f>
        <v xml:space="preserve"> </v>
      </c>
      <c r="I383" s="4" t="str">
        <f ca="1">IF(OR(INDEX($W$2:$W$1001,MATCH(ROWS($V$2:V383),$V$2:$V$1001,0),1)&gt;=100000,INDEX($AC$1005:$AS$1005,1,MATCH(COLUMNS($AC$1006:AJ1006),$AC$1006:$AS$1006,0))&gt;=100000), " ",IF(INDEX($AC$2:$AS$1001,MATCH(ROWS($V$2:V383),$V$2:$V$1001,0),MATCH(COLUMNS($AC$1006:AJ1006),$AC$1006:$AS$1006,0)), HYPERLINK("#",""), HYPERLINK(CONCATENATE("#metadata!", ADDRESS(INDEX($X$2:$X$1001,MATCH(ROWS($V$2:V383),$V$2:$V$1001,0),0), INDEX($AC$1004:$AS$1004,1,MATCH(COLUMNS($AC$1006:AJ1006),$AC$1006:$AS$1006,0)))),"Fix")))</f>
        <v xml:space="preserve"> </v>
      </c>
      <c r="J383" s="4" t="str">
        <f ca="1">IF(OR(INDEX($W$2:$W$1001,MATCH(ROWS($V$2:V383),$V$2:$V$1001,0),1)&gt;=100000,INDEX($AC$1005:$AS$1005,1,MATCH(COLUMNS($AC$1006:AK1006),$AC$1006:$AS$1006,0))&gt;=100000), " ",IF(INDEX($AC$2:$AS$1001,MATCH(ROWS($V$2:V383),$V$2:$V$1001,0),MATCH(COLUMNS($AC$1006:AK1006),$AC$1006:$AS$1006,0)), HYPERLINK("#",""), HYPERLINK(CONCATENATE("#metadata!", ADDRESS(INDEX($X$2:$X$1001,MATCH(ROWS($V$2:V383),$V$2:$V$1001,0),0), INDEX($AC$1004:$AS$1004,1,MATCH(COLUMNS($AC$1006:AK1006),$AC$1006:$AS$1006,0)))),"Fix")))</f>
        <v xml:space="preserve"> </v>
      </c>
      <c r="K383" s="4" t="str">
        <f ca="1">IF(OR(INDEX($W$2:$W$1001,MATCH(ROWS($V$2:V383),$V$2:$V$1001,0),1)&gt;=100000,INDEX($AC$1005:$AS$1005,1,MATCH(COLUMNS($AC$1006:AL1006),$AC$1006:$AS$1006,0))&gt;=100000), " ",IF(INDEX($AC$2:$AS$1001,MATCH(ROWS($V$2:V383),$V$2:$V$1001,0),MATCH(COLUMNS($AC$1006:AL1006),$AC$1006:$AS$1006,0)), HYPERLINK("#",""), HYPERLINK(CONCATENATE("#metadata!", ADDRESS(INDEX($X$2:$X$1001,MATCH(ROWS($V$2:V383),$V$2:$V$1001,0),0), INDEX($AC$1004:$AS$1004,1,MATCH(COLUMNS($AC$1006:AL1006),$AC$1006:$AS$1006,0)))),"Fix")))</f>
        <v xml:space="preserve"> </v>
      </c>
      <c r="L383" s="4" t="str">
        <f ca="1">IF(OR(INDEX($W$2:$W$1001,MATCH(ROWS($V$2:V383),$V$2:$V$1001,0),1)&gt;=100000,INDEX($AC$1005:$AS$1005,1,MATCH(COLUMNS($AC$1006:AM1006),$AC$1006:$AS$1006,0))&gt;=100000), " ",IF(INDEX($AC$2:$AS$1001,MATCH(ROWS($V$2:V383),$V$2:$V$1001,0),MATCH(COLUMNS($AC$1006:AM1006),$AC$1006:$AS$1006,0)), HYPERLINK("#",""), HYPERLINK(CONCATENATE("#metadata!", ADDRESS(INDEX($X$2:$X$1001,MATCH(ROWS($V$2:V383),$V$2:$V$1001,0),0), INDEX($AC$1004:$AS$1004,1,MATCH(COLUMNS($AC$1006:AM1006),$AC$1006:$AS$1006,0)))),"Fix")))</f>
        <v xml:space="preserve"> </v>
      </c>
      <c r="M383" s="4" t="str">
        <f ca="1">IF(OR(INDEX($W$2:$W$1001,MATCH(ROWS($V$2:V383),$V$2:$V$1001,0),1)&gt;=100000,INDEX($AC$1005:$AS$1005,1,MATCH(COLUMNS($AC$1006:AN1006),$AC$1006:$AS$1006,0))&gt;=100000), " ",IF(INDEX($AC$2:$AS$1001,MATCH(ROWS($V$2:V383),$V$2:$V$1001,0),MATCH(COLUMNS($AC$1006:AN1006),$AC$1006:$AS$1006,0)), HYPERLINK("#",""), HYPERLINK(CONCATENATE("#metadata!", ADDRESS(INDEX($X$2:$X$1001,MATCH(ROWS($V$2:V383),$V$2:$V$1001,0),0), INDEX($AC$1004:$AS$1004,1,MATCH(COLUMNS($AC$1006:AN1006),$AC$1006:$AS$1006,0)))),"Fix")))</f>
        <v xml:space="preserve"> </v>
      </c>
      <c r="N383" s="4" t="str">
        <f ca="1">IF(OR(INDEX($W$2:$W$1001,MATCH(ROWS($V$2:V383),$V$2:$V$1001,0),1)&gt;=100000,INDEX($AC$1005:$AS$1005,1,MATCH(COLUMNS($AC$1006:AO1006),$AC$1006:$AS$1006,0))&gt;=100000), " ",IF(INDEX($AC$2:$AS$1001,MATCH(ROWS($V$2:V383),$V$2:$V$1001,0),MATCH(COLUMNS($AC$1006:AO1006),$AC$1006:$AS$1006,0)), HYPERLINK("#",""), HYPERLINK(CONCATENATE("#metadata!", ADDRESS(INDEX($X$2:$X$1001,MATCH(ROWS($V$2:V383),$V$2:$V$1001,0),0), INDEX($AC$1004:$AS$1004,1,MATCH(COLUMNS($AC$1006:AO1006),$AC$1006:$AS$1006,0)))),"Fix")))</f>
        <v xml:space="preserve"> </v>
      </c>
      <c r="O383" s="4" t="str">
        <f ca="1">IF(OR(INDEX($W$2:$W$1001,MATCH(ROWS($V$2:V383),$V$2:$V$1001,0),1)&gt;=100000,INDEX($AC$1005:$AS$1005,1,MATCH(COLUMNS($AC$1006:AP1006),$AC$1006:$AS$1006,0))&gt;=100000), " ",IF(INDEX($AC$2:$AS$1001,MATCH(ROWS($V$2:V383),$V$2:$V$1001,0),MATCH(COLUMNS($AC$1006:AP1006),$AC$1006:$AS$1006,0)), HYPERLINK("#",""), HYPERLINK(CONCATENATE("#metadata!", ADDRESS(INDEX($X$2:$X$1001,MATCH(ROWS($V$2:V383),$V$2:$V$1001,0),0), INDEX($AC$1004:$AS$1004,1,MATCH(COLUMNS($AC$1006:AP1006),$AC$1006:$AS$1006,0)))),"Fix")))</f>
        <v xml:space="preserve"> </v>
      </c>
      <c r="P383" s="4" t="str">
        <f ca="1">IF(OR(INDEX($W$2:$W$1001,MATCH(ROWS($V$2:V383),$V$2:$V$1001,0),1)&gt;=100000,INDEX($AC$1005:$AS$1005,1,MATCH(COLUMNS($AC$1006:AQ1006),$AC$1006:$AS$1006,0))&gt;=100000), " ",IF(INDEX($AC$2:$AS$1001,MATCH(ROWS($V$2:V383),$V$2:$V$1001,0),MATCH(COLUMNS($AC$1006:AQ1006),$AC$1006:$AS$1006,0)), HYPERLINK("#",""), HYPERLINK(CONCATENATE("#metadata!", ADDRESS(INDEX($X$2:$X$1001,MATCH(ROWS($V$2:V383),$V$2:$V$1001,0),0), INDEX($AC$1004:$AS$1004,1,MATCH(COLUMNS($AC$1006:AQ1006),$AC$1006:$AS$1006,0)))),"Fix")))</f>
        <v xml:space="preserve"> </v>
      </c>
      <c r="Q383" s="4" t="str">
        <f ca="1">IF(OR(INDEX($W$2:$W$1001,MATCH(ROWS($V$2:V383),$V$2:$V$1001,0),1)&gt;=100000,INDEX($AC$1005:$AS$1005,1,MATCH(COLUMNS($AC$1006:AR1006),$AC$1006:$AS$1006,0))&gt;=100000), " ",IF(INDEX($AC$2:$AS$1001,MATCH(ROWS($V$2:V383),$V$2:$V$1001,0),MATCH(COLUMNS($AC$1006:AR1006),$AC$1006:$AS$1006,0)), HYPERLINK("#",""), HYPERLINK(CONCATENATE("#metadata!", ADDRESS(INDEX($X$2:$X$1001,MATCH(ROWS($V$2:V383),$V$2:$V$1001,0),0), INDEX($AC$1004:$AS$1004,1,MATCH(COLUMNS($AC$1006:AR1006),$AC$1006:$AS$1006,0)))),"Fix")))</f>
        <v xml:space="preserve"> </v>
      </c>
      <c r="R383" s="4" t="str">
        <f ca="1">IF(OR(INDEX($W$2:$W$1001,MATCH(ROWS($V$2:V383),$V$2:$V$1001,0),1)&gt;=100000,INDEX($AC$1005:$AS$1005,1,MATCH(COLUMNS($AC$1006:AS1006),$AC$1006:$AS$1006,0))&gt;=100000), " ",IF(INDEX($AC$2:$AS$1001,MATCH(ROWS($V$2:V383),$V$2:$V$1001,0),MATCH(COLUMNS($AC$1006:AS1006),$AC$1006:$AS$1006,0)), HYPERLINK("#",""), HYPERLINK(CONCATENATE("#metadata!", ADDRESS(INDEX($X$2:$X$1001,MATCH(ROWS($V$2:V383),$V$2:$V$1001,0),0), INDEX($AC$1004:$AS$1004,1,MATCH(COLUMNS($AC$1006:AS1006),$AC$1006:$AS$1006,0)))),"Fix")))</f>
        <v xml:space="preserve"> </v>
      </c>
      <c r="V383">
        <v>382</v>
      </c>
      <c r="W383">
        <v>100383</v>
      </c>
      <c r="X383">
        <v>383</v>
      </c>
      <c r="Y383" t="b">
        <f t="shared" si="5"/>
        <v>1</v>
      </c>
      <c r="Z383" t="b">
        <f>COUNTBLANK(metadata!B383:R383)=COLUMNS(metadata!B383:R383)</f>
        <v>1</v>
      </c>
      <c r="AA383" t="str">
        <v/>
      </c>
      <c r="AC383" t="b">
        <f ca="1"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AD383" t="b">
        <f>IF(metadata!C383="",FALSE,ISNUMBER(VALUE(metadata!C383)))</f>
        <v>0</v>
      </c>
      <c r="AE383" t="b">
        <f>AND(IF(metadata!D383="",FALSE,TRUE),EXACT(metadata!D383,"years"))</f>
        <v>0</v>
      </c>
      <c r="AF383" t="b">
        <f>OR(AND(IF(metadata!E383="",FALSE,TRUE),OR(EXACT(metadata!E383,"not applicable"),EXACT(metadata!E383,"missing: not collected"),EXACT(metadata!E383,"missing: not provided"),EXACT(metadata!E383,"missing: restricted access"))),AND(IF(metadata!E383="",FALSE,ISNUMBER(VALUE(metadata!E383))),metadata!E383&gt;0))</f>
        <v>0</v>
      </c>
      <c r="AG383" t="b">
        <f>AND(IF(metadata!F383="",FALSE,TRUE),EXACT(metadata!F383,"Not applicable"))</f>
        <v>0</v>
      </c>
      <c r="AH383" t="b">
        <f>AND(IF(metadata!G383="",FALSE,TRUE),EXACT(metadata!G383,"urban biome"))</f>
        <v>0</v>
      </c>
      <c r="AI383" t="b">
        <f>AND(IF(metadata!H383="",FALSE,TRUE),EXACT(metadata!H383,"human-associated habitat"))</f>
        <v>0</v>
      </c>
      <c r="AJ383" t="b">
        <f>AND(IF(metadata!I383="",FALSE,TRUE),OR(EXACT(metadata!I383,"human-associated"),EXACT(metadata!I383,"human-skin"),EXACT(metadata!I383,"human-oral"),EXACT(metadata!I383,"human-gut"),EXACT(metadata!I383,"human-vaginal")))</f>
        <v>0</v>
      </c>
      <c r="AK383" t="b">
        <f>IF(metadata!J383="",FALSE,ISNUMBER(VALUE(metadata!J383)))</f>
        <v>0</v>
      </c>
      <c r="AL383" t="b">
        <f>AND(IF(metadata!K383="",FALSE,TRUE),EXACT(metadata!K383,"cm"))</f>
        <v>0</v>
      </c>
      <c r="AM383" t="b">
        <f>AND(IF(metadata!L383="",FALSE,TRUE),EXACT(metadata!L383,"human"))</f>
        <v>0</v>
      </c>
      <c r="AN383" t="b">
        <f>AND(IF(metadata!M383="",FALSE,TRUE),EXACT(metadata!M383,"Homo sapiens"))</f>
        <v>0</v>
      </c>
      <c r="AO383" t="b">
        <f>AND(IF(metadata!N383="",FALSE,TRUE),EXACT(metadata!N383,"9606"))</f>
        <v>0</v>
      </c>
      <c r="AP383" t="b">
        <f>IF(metadata!O383="",FALSE,TRUE)</f>
        <v>0</v>
      </c>
      <c r="AQ383" t="b">
        <f>IF(metadata!P383="",FALSE,TRUE)</f>
        <v>0</v>
      </c>
      <c r="AR383" t="b">
        <f>IF(metadata!Q383="",FALSE,ISNUMBER(VALUE(metadata!Q383)))</f>
        <v>0</v>
      </c>
      <c r="AS383" t="b">
        <f>AND(IF(metadata!R383="",FALSE,TRUE),EXACT(metadata!R383,"kg"))</f>
        <v>0</v>
      </c>
    </row>
    <row r="384" spans="1:45" x14ac:dyDescent="0.2">
      <c r="A384" s="5" t="str">
        <f ca="1">IF(B384=" "," ",HYPERLINK(CONCATENATE("#metadata!",ADDRESS(INDEX($X$2:$X$1001,MATCH(ROWS($V$2:V384),$V$2:$V$1001,0),0),1)),INDEX($AA$2:$AA$1001,MATCH(ROWS($V$2:V384),$V$2:$V$1001,0),0)))</f>
        <v xml:space="preserve"> </v>
      </c>
      <c r="B384" s="4" t="str">
        <f ca="1">IF(OR(INDEX($W$2:$W$1001,MATCH(ROWS($V$2:V384),$V$2:$V$1001,0),1)&gt;=100000,INDEX($AC$1005:$AS$1005,1,MATCH(COLUMNS($AC$1006:AC1006),$AC$1006:$AS$1006,0))&gt;=100000), " ",IF(INDEX($AC$2:$AS$1001,MATCH(ROWS($V$2:V384),$V$2:$V$1001,0),MATCH(COLUMNS($AC$1006:AC1006),$AC$1006:$AS$1006,0)), HYPERLINK("#",""), HYPERLINK(CONCATENATE("#metadata!", ADDRESS(INDEX($X$2:$X$1001,MATCH(ROWS($V$2:V384),$V$2:$V$1001,0),0), INDEX($AC$1004:$AS$1004,1,MATCH(COLUMNS($AC$1006:AC1006),$AC$1006:$AS$1006,0)))),"Fix")))</f>
        <v xml:space="preserve"> </v>
      </c>
      <c r="C384" s="4" t="str">
        <f ca="1">IF(OR(INDEX($W$2:$W$1001,MATCH(ROWS($V$2:V384),$V$2:$V$1001,0),1)&gt;=100000,INDEX($AC$1005:$AS$1005,1,MATCH(COLUMNS($AC$1006:AD1006),$AC$1006:$AS$1006,0))&gt;=100000), " ",IF(INDEX($AC$2:$AS$1001,MATCH(ROWS($V$2:V384),$V$2:$V$1001,0),MATCH(COLUMNS($AC$1006:AD1006),$AC$1006:$AS$1006,0)), HYPERLINK("#",""), HYPERLINK(CONCATENATE("#metadata!", ADDRESS(INDEX($X$2:$X$1001,MATCH(ROWS($V$2:V384),$V$2:$V$1001,0),0), INDEX($AC$1004:$AS$1004,1,MATCH(COLUMNS($AC$1006:AD1006),$AC$1006:$AS$1006,0)))),"Fix")))</f>
        <v xml:space="preserve"> </v>
      </c>
      <c r="D384" s="4" t="str">
        <f ca="1">IF(OR(INDEX($W$2:$W$1001,MATCH(ROWS($V$2:V384),$V$2:$V$1001,0),1)&gt;=100000,INDEX($AC$1005:$AS$1005,1,MATCH(COLUMNS($AC$1006:AE1006),$AC$1006:$AS$1006,0))&gt;=100000), " ",IF(INDEX($AC$2:$AS$1001,MATCH(ROWS($V$2:V384),$V$2:$V$1001,0),MATCH(COLUMNS($AC$1006:AE1006),$AC$1006:$AS$1006,0)), HYPERLINK("#",""), HYPERLINK(CONCATENATE("#metadata!", ADDRESS(INDEX($X$2:$X$1001,MATCH(ROWS($V$2:V384),$V$2:$V$1001,0),0), INDEX($AC$1004:$AS$1004,1,MATCH(COLUMNS($AC$1006:AE1006),$AC$1006:$AS$1006,0)))),"Fix")))</f>
        <v xml:space="preserve"> </v>
      </c>
      <c r="E384" s="4" t="str">
        <f ca="1">IF(OR(INDEX($W$2:$W$1001,MATCH(ROWS($V$2:V384),$V$2:$V$1001,0),1)&gt;=100000,INDEX($AC$1005:$AS$1005,1,MATCH(COLUMNS($AC$1006:AF1006),$AC$1006:$AS$1006,0))&gt;=100000), " ",IF(INDEX($AC$2:$AS$1001,MATCH(ROWS($V$2:V384),$V$2:$V$1001,0),MATCH(COLUMNS($AC$1006:AF1006),$AC$1006:$AS$1006,0)), HYPERLINK("#",""), HYPERLINK(CONCATENATE("#metadata!", ADDRESS(INDEX($X$2:$X$1001,MATCH(ROWS($V$2:V384),$V$2:$V$1001,0),0), INDEX($AC$1004:$AS$1004,1,MATCH(COLUMNS($AC$1006:AF1006),$AC$1006:$AS$1006,0)))),"Fix")))</f>
        <v xml:space="preserve"> </v>
      </c>
      <c r="F384" s="4" t="str">
        <f ca="1">IF(OR(INDEX($W$2:$W$1001,MATCH(ROWS($V$2:V384),$V$2:$V$1001,0),1)&gt;=100000,INDEX($AC$1005:$AS$1005,1,MATCH(COLUMNS($AC$1006:AG1006),$AC$1006:$AS$1006,0))&gt;=100000), " ",IF(INDEX($AC$2:$AS$1001,MATCH(ROWS($V$2:V384),$V$2:$V$1001,0),MATCH(COLUMNS($AC$1006:AG1006),$AC$1006:$AS$1006,0)), HYPERLINK("#",""), HYPERLINK(CONCATENATE("#metadata!", ADDRESS(INDEX($X$2:$X$1001,MATCH(ROWS($V$2:V384),$V$2:$V$1001,0),0), INDEX($AC$1004:$AS$1004,1,MATCH(COLUMNS($AC$1006:AG1006),$AC$1006:$AS$1006,0)))),"Fix")))</f>
        <v xml:space="preserve"> </v>
      </c>
      <c r="G384" s="4" t="str">
        <f ca="1">IF(OR(INDEX($W$2:$W$1001,MATCH(ROWS($V$2:V384),$V$2:$V$1001,0),1)&gt;=100000,INDEX($AC$1005:$AS$1005,1,MATCH(COLUMNS($AC$1006:AH1006),$AC$1006:$AS$1006,0))&gt;=100000), " ",IF(INDEX($AC$2:$AS$1001,MATCH(ROWS($V$2:V384),$V$2:$V$1001,0),MATCH(COLUMNS($AC$1006:AH1006),$AC$1006:$AS$1006,0)), HYPERLINK("#",""), HYPERLINK(CONCATENATE("#metadata!", ADDRESS(INDEX($X$2:$X$1001,MATCH(ROWS($V$2:V384),$V$2:$V$1001,0),0), INDEX($AC$1004:$AS$1004,1,MATCH(COLUMNS($AC$1006:AH1006),$AC$1006:$AS$1006,0)))),"Fix")))</f>
        <v xml:space="preserve"> </v>
      </c>
      <c r="H384" s="4" t="str">
        <f ca="1">IF(OR(INDEX($W$2:$W$1001,MATCH(ROWS($V$2:V384),$V$2:$V$1001,0),1)&gt;=100000,INDEX($AC$1005:$AS$1005,1,MATCH(COLUMNS($AC$1006:AI1006),$AC$1006:$AS$1006,0))&gt;=100000), " ",IF(INDEX($AC$2:$AS$1001,MATCH(ROWS($V$2:V384),$V$2:$V$1001,0),MATCH(COLUMNS($AC$1006:AI1006),$AC$1006:$AS$1006,0)), HYPERLINK("#",""), HYPERLINK(CONCATENATE("#metadata!", ADDRESS(INDEX($X$2:$X$1001,MATCH(ROWS($V$2:V384),$V$2:$V$1001,0),0), INDEX($AC$1004:$AS$1004,1,MATCH(COLUMNS($AC$1006:AI1006),$AC$1006:$AS$1006,0)))),"Fix")))</f>
        <v xml:space="preserve"> </v>
      </c>
      <c r="I384" s="4" t="str">
        <f ca="1">IF(OR(INDEX($W$2:$W$1001,MATCH(ROWS($V$2:V384),$V$2:$V$1001,0),1)&gt;=100000,INDEX($AC$1005:$AS$1005,1,MATCH(COLUMNS($AC$1006:AJ1006),$AC$1006:$AS$1006,0))&gt;=100000), " ",IF(INDEX($AC$2:$AS$1001,MATCH(ROWS($V$2:V384),$V$2:$V$1001,0),MATCH(COLUMNS($AC$1006:AJ1006),$AC$1006:$AS$1006,0)), HYPERLINK("#",""), HYPERLINK(CONCATENATE("#metadata!", ADDRESS(INDEX($X$2:$X$1001,MATCH(ROWS($V$2:V384),$V$2:$V$1001,0),0), INDEX($AC$1004:$AS$1004,1,MATCH(COLUMNS($AC$1006:AJ1006),$AC$1006:$AS$1006,0)))),"Fix")))</f>
        <v xml:space="preserve"> </v>
      </c>
      <c r="J384" s="4" t="str">
        <f ca="1">IF(OR(INDEX($W$2:$W$1001,MATCH(ROWS($V$2:V384),$V$2:$V$1001,0),1)&gt;=100000,INDEX($AC$1005:$AS$1005,1,MATCH(COLUMNS($AC$1006:AK1006),$AC$1006:$AS$1006,0))&gt;=100000), " ",IF(INDEX($AC$2:$AS$1001,MATCH(ROWS($V$2:V384),$V$2:$V$1001,0),MATCH(COLUMNS($AC$1006:AK1006),$AC$1006:$AS$1006,0)), HYPERLINK("#",""), HYPERLINK(CONCATENATE("#metadata!", ADDRESS(INDEX($X$2:$X$1001,MATCH(ROWS($V$2:V384),$V$2:$V$1001,0),0), INDEX($AC$1004:$AS$1004,1,MATCH(COLUMNS($AC$1006:AK1006),$AC$1006:$AS$1006,0)))),"Fix")))</f>
        <v xml:space="preserve"> </v>
      </c>
      <c r="K384" s="4" t="str">
        <f ca="1">IF(OR(INDEX($W$2:$W$1001,MATCH(ROWS($V$2:V384),$V$2:$V$1001,0),1)&gt;=100000,INDEX($AC$1005:$AS$1005,1,MATCH(COLUMNS($AC$1006:AL1006),$AC$1006:$AS$1006,0))&gt;=100000), " ",IF(INDEX($AC$2:$AS$1001,MATCH(ROWS($V$2:V384),$V$2:$V$1001,0),MATCH(COLUMNS($AC$1006:AL1006),$AC$1006:$AS$1006,0)), HYPERLINK("#",""), HYPERLINK(CONCATENATE("#metadata!", ADDRESS(INDEX($X$2:$X$1001,MATCH(ROWS($V$2:V384),$V$2:$V$1001,0),0), INDEX($AC$1004:$AS$1004,1,MATCH(COLUMNS($AC$1006:AL1006),$AC$1006:$AS$1006,0)))),"Fix")))</f>
        <v xml:space="preserve"> </v>
      </c>
      <c r="L384" s="4" t="str">
        <f ca="1">IF(OR(INDEX($W$2:$W$1001,MATCH(ROWS($V$2:V384),$V$2:$V$1001,0),1)&gt;=100000,INDEX($AC$1005:$AS$1005,1,MATCH(COLUMNS($AC$1006:AM1006),$AC$1006:$AS$1006,0))&gt;=100000), " ",IF(INDEX($AC$2:$AS$1001,MATCH(ROWS($V$2:V384),$V$2:$V$1001,0),MATCH(COLUMNS($AC$1006:AM1006),$AC$1006:$AS$1006,0)), HYPERLINK("#",""), HYPERLINK(CONCATENATE("#metadata!", ADDRESS(INDEX($X$2:$X$1001,MATCH(ROWS($V$2:V384),$V$2:$V$1001,0),0), INDEX($AC$1004:$AS$1004,1,MATCH(COLUMNS($AC$1006:AM1006),$AC$1006:$AS$1006,0)))),"Fix")))</f>
        <v xml:space="preserve"> </v>
      </c>
      <c r="M384" s="4" t="str">
        <f ca="1">IF(OR(INDEX($W$2:$W$1001,MATCH(ROWS($V$2:V384),$V$2:$V$1001,0),1)&gt;=100000,INDEX($AC$1005:$AS$1005,1,MATCH(COLUMNS($AC$1006:AN1006),$AC$1006:$AS$1006,0))&gt;=100000), " ",IF(INDEX($AC$2:$AS$1001,MATCH(ROWS($V$2:V384),$V$2:$V$1001,0),MATCH(COLUMNS($AC$1006:AN1006),$AC$1006:$AS$1006,0)), HYPERLINK("#",""), HYPERLINK(CONCATENATE("#metadata!", ADDRESS(INDEX($X$2:$X$1001,MATCH(ROWS($V$2:V384),$V$2:$V$1001,0),0), INDEX($AC$1004:$AS$1004,1,MATCH(COLUMNS($AC$1006:AN1006),$AC$1006:$AS$1006,0)))),"Fix")))</f>
        <v xml:space="preserve"> </v>
      </c>
      <c r="N384" s="4" t="str">
        <f ca="1">IF(OR(INDEX($W$2:$W$1001,MATCH(ROWS($V$2:V384),$V$2:$V$1001,0),1)&gt;=100000,INDEX($AC$1005:$AS$1005,1,MATCH(COLUMNS($AC$1006:AO1006),$AC$1006:$AS$1006,0))&gt;=100000), " ",IF(INDEX($AC$2:$AS$1001,MATCH(ROWS($V$2:V384),$V$2:$V$1001,0),MATCH(COLUMNS($AC$1006:AO1006),$AC$1006:$AS$1006,0)), HYPERLINK("#",""), HYPERLINK(CONCATENATE("#metadata!", ADDRESS(INDEX($X$2:$X$1001,MATCH(ROWS($V$2:V384),$V$2:$V$1001,0),0), INDEX($AC$1004:$AS$1004,1,MATCH(COLUMNS($AC$1006:AO1006),$AC$1006:$AS$1006,0)))),"Fix")))</f>
        <v xml:space="preserve"> </v>
      </c>
      <c r="O384" s="4" t="str">
        <f ca="1">IF(OR(INDEX($W$2:$W$1001,MATCH(ROWS($V$2:V384),$V$2:$V$1001,0),1)&gt;=100000,INDEX($AC$1005:$AS$1005,1,MATCH(COLUMNS($AC$1006:AP1006),$AC$1006:$AS$1006,0))&gt;=100000), " ",IF(INDEX($AC$2:$AS$1001,MATCH(ROWS($V$2:V384),$V$2:$V$1001,0),MATCH(COLUMNS($AC$1006:AP1006),$AC$1006:$AS$1006,0)), HYPERLINK("#",""), HYPERLINK(CONCATENATE("#metadata!", ADDRESS(INDEX($X$2:$X$1001,MATCH(ROWS($V$2:V384),$V$2:$V$1001,0),0), INDEX($AC$1004:$AS$1004,1,MATCH(COLUMNS($AC$1006:AP1006),$AC$1006:$AS$1006,0)))),"Fix")))</f>
        <v xml:space="preserve"> </v>
      </c>
      <c r="P384" s="4" t="str">
        <f ca="1">IF(OR(INDEX($W$2:$W$1001,MATCH(ROWS($V$2:V384),$V$2:$V$1001,0),1)&gt;=100000,INDEX($AC$1005:$AS$1005,1,MATCH(COLUMNS($AC$1006:AQ1006),$AC$1006:$AS$1006,0))&gt;=100000), " ",IF(INDEX($AC$2:$AS$1001,MATCH(ROWS($V$2:V384),$V$2:$V$1001,0),MATCH(COLUMNS($AC$1006:AQ1006),$AC$1006:$AS$1006,0)), HYPERLINK("#",""), HYPERLINK(CONCATENATE("#metadata!", ADDRESS(INDEX($X$2:$X$1001,MATCH(ROWS($V$2:V384),$V$2:$V$1001,0),0), INDEX($AC$1004:$AS$1004,1,MATCH(COLUMNS($AC$1006:AQ1006),$AC$1006:$AS$1006,0)))),"Fix")))</f>
        <v xml:space="preserve"> </v>
      </c>
      <c r="Q384" s="4" t="str">
        <f ca="1">IF(OR(INDEX($W$2:$W$1001,MATCH(ROWS($V$2:V384),$V$2:$V$1001,0),1)&gt;=100000,INDEX($AC$1005:$AS$1005,1,MATCH(COLUMNS($AC$1006:AR1006),$AC$1006:$AS$1006,0))&gt;=100000), " ",IF(INDEX($AC$2:$AS$1001,MATCH(ROWS($V$2:V384),$V$2:$V$1001,0),MATCH(COLUMNS($AC$1006:AR1006),$AC$1006:$AS$1006,0)), HYPERLINK("#",""), HYPERLINK(CONCATENATE("#metadata!", ADDRESS(INDEX($X$2:$X$1001,MATCH(ROWS($V$2:V384),$V$2:$V$1001,0),0), INDEX($AC$1004:$AS$1004,1,MATCH(COLUMNS($AC$1006:AR1006),$AC$1006:$AS$1006,0)))),"Fix")))</f>
        <v xml:space="preserve"> </v>
      </c>
      <c r="R384" s="4" t="str">
        <f ca="1">IF(OR(INDEX($W$2:$W$1001,MATCH(ROWS($V$2:V384),$V$2:$V$1001,0),1)&gt;=100000,INDEX($AC$1005:$AS$1005,1,MATCH(COLUMNS($AC$1006:AS1006),$AC$1006:$AS$1006,0))&gt;=100000), " ",IF(INDEX($AC$2:$AS$1001,MATCH(ROWS($V$2:V384),$V$2:$V$1001,0),MATCH(COLUMNS($AC$1006:AS1006),$AC$1006:$AS$1006,0)), HYPERLINK("#",""), HYPERLINK(CONCATENATE("#metadata!", ADDRESS(INDEX($X$2:$X$1001,MATCH(ROWS($V$2:V384),$V$2:$V$1001,0),0), INDEX($AC$1004:$AS$1004,1,MATCH(COLUMNS($AC$1006:AS1006),$AC$1006:$AS$1006,0)))),"Fix")))</f>
        <v xml:space="preserve"> </v>
      </c>
      <c r="V384">
        <v>383</v>
      </c>
      <c r="W384">
        <v>100384</v>
      </c>
      <c r="X384">
        <v>384</v>
      </c>
      <c r="Y384" t="b">
        <f t="shared" si="5"/>
        <v>1</v>
      </c>
      <c r="Z384" t="b">
        <f>COUNTBLANK(metadata!B384:R384)=COLUMNS(metadata!B384:R384)</f>
        <v>1</v>
      </c>
      <c r="AA384" t="str">
        <v/>
      </c>
      <c r="AC384" t="b">
        <f ca="1"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AD384" t="b">
        <f>IF(metadata!C384="",FALSE,ISNUMBER(VALUE(metadata!C384)))</f>
        <v>0</v>
      </c>
      <c r="AE384" t="b">
        <f>AND(IF(metadata!D384="",FALSE,TRUE),EXACT(metadata!D384,"years"))</f>
        <v>0</v>
      </c>
      <c r="AF384" t="b">
        <f>OR(AND(IF(metadata!E384="",FALSE,TRUE),OR(EXACT(metadata!E384,"not applicable"),EXACT(metadata!E384,"missing: not collected"),EXACT(metadata!E384,"missing: not provided"),EXACT(metadata!E384,"missing: restricted access"))),AND(IF(metadata!E384="",FALSE,ISNUMBER(VALUE(metadata!E384))),metadata!E384&gt;0))</f>
        <v>0</v>
      </c>
      <c r="AG384" t="b">
        <f>AND(IF(metadata!F384="",FALSE,TRUE),EXACT(metadata!F384,"Not applicable"))</f>
        <v>0</v>
      </c>
      <c r="AH384" t="b">
        <f>AND(IF(metadata!G384="",FALSE,TRUE),EXACT(metadata!G384,"urban biome"))</f>
        <v>0</v>
      </c>
      <c r="AI384" t="b">
        <f>AND(IF(metadata!H384="",FALSE,TRUE),EXACT(metadata!H384,"human-associated habitat"))</f>
        <v>0</v>
      </c>
      <c r="AJ384" t="b">
        <f>AND(IF(metadata!I384="",FALSE,TRUE),OR(EXACT(metadata!I384,"human-associated"),EXACT(metadata!I384,"human-skin"),EXACT(metadata!I384,"human-oral"),EXACT(metadata!I384,"human-gut"),EXACT(metadata!I384,"human-vaginal")))</f>
        <v>0</v>
      </c>
      <c r="AK384" t="b">
        <f>IF(metadata!J384="",FALSE,ISNUMBER(VALUE(metadata!J384)))</f>
        <v>0</v>
      </c>
      <c r="AL384" t="b">
        <f>AND(IF(metadata!K384="",FALSE,TRUE),EXACT(metadata!K384,"cm"))</f>
        <v>0</v>
      </c>
      <c r="AM384" t="b">
        <f>AND(IF(metadata!L384="",FALSE,TRUE),EXACT(metadata!L384,"human"))</f>
        <v>0</v>
      </c>
      <c r="AN384" t="b">
        <f>AND(IF(metadata!M384="",FALSE,TRUE),EXACT(metadata!M384,"Homo sapiens"))</f>
        <v>0</v>
      </c>
      <c r="AO384" t="b">
        <f>AND(IF(metadata!N384="",FALSE,TRUE),EXACT(metadata!N384,"9606"))</f>
        <v>0</v>
      </c>
      <c r="AP384" t="b">
        <f>IF(metadata!O384="",FALSE,TRUE)</f>
        <v>0</v>
      </c>
      <c r="AQ384" t="b">
        <f>IF(metadata!P384="",FALSE,TRUE)</f>
        <v>0</v>
      </c>
      <c r="AR384" t="b">
        <f>IF(metadata!Q384="",FALSE,ISNUMBER(VALUE(metadata!Q384)))</f>
        <v>0</v>
      </c>
      <c r="AS384" t="b">
        <f>AND(IF(metadata!R384="",FALSE,TRUE),EXACT(metadata!R384,"kg"))</f>
        <v>0</v>
      </c>
    </row>
    <row r="385" spans="1:45" x14ac:dyDescent="0.2">
      <c r="A385" s="5" t="str">
        <f ca="1">IF(B385=" "," ",HYPERLINK(CONCATENATE("#metadata!",ADDRESS(INDEX($X$2:$X$1001,MATCH(ROWS($V$2:V385),$V$2:$V$1001,0),0),1)),INDEX($AA$2:$AA$1001,MATCH(ROWS($V$2:V385),$V$2:$V$1001,0),0)))</f>
        <v xml:space="preserve"> </v>
      </c>
      <c r="B385" s="4" t="str">
        <f ca="1">IF(OR(INDEX($W$2:$W$1001,MATCH(ROWS($V$2:V385),$V$2:$V$1001,0),1)&gt;=100000,INDEX($AC$1005:$AS$1005,1,MATCH(COLUMNS($AC$1006:AC1006),$AC$1006:$AS$1006,0))&gt;=100000), " ",IF(INDEX($AC$2:$AS$1001,MATCH(ROWS($V$2:V385),$V$2:$V$1001,0),MATCH(COLUMNS($AC$1006:AC1006),$AC$1006:$AS$1006,0)), HYPERLINK("#",""), HYPERLINK(CONCATENATE("#metadata!", ADDRESS(INDEX($X$2:$X$1001,MATCH(ROWS($V$2:V385),$V$2:$V$1001,0),0), INDEX($AC$1004:$AS$1004,1,MATCH(COLUMNS($AC$1006:AC1006),$AC$1006:$AS$1006,0)))),"Fix")))</f>
        <v xml:space="preserve"> </v>
      </c>
      <c r="C385" s="4" t="str">
        <f ca="1">IF(OR(INDEX($W$2:$W$1001,MATCH(ROWS($V$2:V385),$V$2:$V$1001,0),1)&gt;=100000,INDEX($AC$1005:$AS$1005,1,MATCH(COLUMNS($AC$1006:AD1006),$AC$1006:$AS$1006,0))&gt;=100000), " ",IF(INDEX($AC$2:$AS$1001,MATCH(ROWS($V$2:V385),$V$2:$V$1001,0),MATCH(COLUMNS($AC$1006:AD1006),$AC$1006:$AS$1006,0)), HYPERLINK("#",""), HYPERLINK(CONCATENATE("#metadata!", ADDRESS(INDEX($X$2:$X$1001,MATCH(ROWS($V$2:V385),$V$2:$V$1001,0),0), INDEX($AC$1004:$AS$1004,1,MATCH(COLUMNS($AC$1006:AD1006),$AC$1006:$AS$1006,0)))),"Fix")))</f>
        <v xml:space="preserve"> </v>
      </c>
      <c r="D385" s="4" t="str">
        <f ca="1">IF(OR(INDEX($W$2:$W$1001,MATCH(ROWS($V$2:V385),$V$2:$V$1001,0),1)&gt;=100000,INDEX($AC$1005:$AS$1005,1,MATCH(COLUMNS($AC$1006:AE1006),$AC$1006:$AS$1006,0))&gt;=100000), " ",IF(INDEX($AC$2:$AS$1001,MATCH(ROWS($V$2:V385),$V$2:$V$1001,0),MATCH(COLUMNS($AC$1006:AE1006),$AC$1006:$AS$1006,0)), HYPERLINK("#",""), HYPERLINK(CONCATENATE("#metadata!", ADDRESS(INDEX($X$2:$X$1001,MATCH(ROWS($V$2:V385),$V$2:$V$1001,0),0), INDEX($AC$1004:$AS$1004,1,MATCH(COLUMNS($AC$1006:AE1006),$AC$1006:$AS$1006,0)))),"Fix")))</f>
        <v xml:space="preserve"> </v>
      </c>
      <c r="E385" s="4" t="str">
        <f ca="1">IF(OR(INDEX($W$2:$W$1001,MATCH(ROWS($V$2:V385),$V$2:$V$1001,0),1)&gt;=100000,INDEX($AC$1005:$AS$1005,1,MATCH(COLUMNS($AC$1006:AF1006),$AC$1006:$AS$1006,0))&gt;=100000), " ",IF(INDEX($AC$2:$AS$1001,MATCH(ROWS($V$2:V385),$V$2:$V$1001,0),MATCH(COLUMNS($AC$1006:AF1006),$AC$1006:$AS$1006,0)), HYPERLINK("#",""), HYPERLINK(CONCATENATE("#metadata!", ADDRESS(INDEX($X$2:$X$1001,MATCH(ROWS($V$2:V385),$V$2:$V$1001,0),0), INDEX($AC$1004:$AS$1004,1,MATCH(COLUMNS($AC$1006:AF1006),$AC$1006:$AS$1006,0)))),"Fix")))</f>
        <v xml:space="preserve"> </v>
      </c>
      <c r="F385" s="4" t="str">
        <f ca="1">IF(OR(INDEX($W$2:$W$1001,MATCH(ROWS($V$2:V385),$V$2:$V$1001,0),1)&gt;=100000,INDEX($AC$1005:$AS$1005,1,MATCH(COLUMNS($AC$1006:AG1006),$AC$1006:$AS$1006,0))&gt;=100000), " ",IF(INDEX($AC$2:$AS$1001,MATCH(ROWS($V$2:V385),$V$2:$V$1001,0),MATCH(COLUMNS($AC$1006:AG1006),$AC$1006:$AS$1006,0)), HYPERLINK("#",""), HYPERLINK(CONCATENATE("#metadata!", ADDRESS(INDEX($X$2:$X$1001,MATCH(ROWS($V$2:V385),$V$2:$V$1001,0),0), INDEX($AC$1004:$AS$1004,1,MATCH(COLUMNS($AC$1006:AG1006),$AC$1006:$AS$1006,0)))),"Fix")))</f>
        <v xml:space="preserve"> </v>
      </c>
      <c r="G385" s="4" t="str">
        <f ca="1">IF(OR(INDEX($W$2:$W$1001,MATCH(ROWS($V$2:V385),$V$2:$V$1001,0),1)&gt;=100000,INDEX($AC$1005:$AS$1005,1,MATCH(COLUMNS($AC$1006:AH1006),$AC$1006:$AS$1006,0))&gt;=100000), " ",IF(INDEX($AC$2:$AS$1001,MATCH(ROWS($V$2:V385),$V$2:$V$1001,0),MATCH(COLUMNS($AC$1006:AH1006),$AC$1006:$AS$1006,0)), HYPERLINK("#",""), HYPERLINK(CONCATENATE("#metadata!", ADDRESS(INDEX($X$2:$X$1001,MATCH(ROWS($V$2:V385),$V$2:$V$1001,0),0), INDEX($AC$1004:$AS$1004,1,MATCH(COLUMNS($AC$1006:AH1006),$AC$1006:$AS$1006,0)))),"Fix")))</f>
        <v xml:space="preserve"> </v>
      </c>
      <c r="H385" s="4" t="str">
        <f ca="1">IF(OR(INDEX($W$2:$W$1001,MATCH(ROWS($V$2:V385),$V$2:$V$1001,0),1)&gt;=100000,INDEX($AC$1005:$AS$1005,1,MATCH(COLUMNS($AC$1006:AI1006),$AC$1006:$AS$1006,0))&gt;=100000), " ",IF(INDEX($AC$2:$AS$1001,MATCH(ROWS($V$2:V385),$V$2:$V$1001,0),MATCH(COLUMNS($AC$1006:AI1006),$AC$1006:$AS$1006,0)), HYPERLINK("#",""), HYPERLINK(CONCATENATE("#metadata!", ADDRESS(INDEX($X$2:$X$1001,MATCH(ROWS($V$2:V385),$V$2:$V$1001,0),0), INDEX($AC$1004:$AS$1004,1,MATCH(COLUMNS($AC$1006:AI1006),$AC$1006:$AS$1006,0)))),"Fix")))</f>
        <v xml:space="preserve"> </v>
      </c>
      <c r="I385" s="4" t="str">
        <f ca="1">IF(OR(INDEX($W$2:$W$1001,MATCH(ROWS($V$2:V385),$V$2:$V$1001,0),1)&gt;=100000,INDEX($AC$1005:$AS$1005,1,MATCH(COLUMNS($AC$1006:AJ1006),$AC$1006:$AS$1006,0))&gt;=100000), " ",IF(INDEX($AC$2:$AS$1001,MATCH(ROWS($V$2:V385),$V$2:$V$1001,0),MATCH(COLUMNS($AC$1006:AJ1006),$AC$1006:$AS$1006,0)), HYPERLINK("#",""), HYPERLINK(CONCATENATE("#metadata!", ADDRESS(INDEX($X$2:$X$1001,MATCH(ROWS($V$2:V385),$V$2:$V$1001,0),0), INDEX($AC$1004:$AS$1004,1,MATCH(COLUMNS($AC$1006:AJ1006),$AC$1006:$AS$1006,0)))),"Fix")))</f>
        <v xml:space="preserve"> </v>
      </c>
      <c r="J385" s="4" t="str">
        <f ca="1">IF(OR(INDEX($W$2:$W$1001,MATCH(ROWS($V$2:V385),$V$2:$V$1001,0),1)&gt;=100000,INDEX($AC$1005:$AS$1005,1,MATCH(COLUMNS($AC$1006:AK1006),$AC$1006:$AS$1006,0))&gt;=100000), " ",IF(INDEX($AC$2:$AS$1001,MATCH(ROWS($V$2:V385),$V$2:$V$1001,0),MATCH(COLUMNS($AC$1006:AK1006),$AC$1006:$AS$1006,0)), HYPERLINK("#",""), HYPERLINK(CONCATENATE("#metadata!", ADDRESS(INDEX($X$2:$X$1001,MATCH(ROWS($V$2:V385),$V$2:$V$1001,0),0), INDEX($AC$1004:$AS$1004,1,MATCH(COLUMNS($AC$1006:AK1006),$AC$1006:$AS$1006,0)))),"Fix")))</f>
        <v xml:space="preserve"> </v>
      </c>
      <c r="K385" s="4" t="str">
        <f ca="1">IF(OR(INDEX($W$2:$W$1001,MATCH(ROWS($V$2:V385),$V$2:$V$1001,0),1)&gt;=100000,INDEX($AC$1005:$AS$1005,1,MATCH(COLUMNS($AC$1006:AL1006),$AC$1006:$AS$1006,0))&gt;=100000), " ",IF(INDEX($AC$2:$AS$1001,MATCH(ROWS($V$2:V385),$V$2:$V$1001,0),MATCH(COLUMNS($AC$1006:AL1006),$AC$1006:$AS$1006,0)), HYPERLINK("#",""), HYPERLINK(CONCATENATE("#metadata!", ADDRESS(INDEX($X$2:$X$1001,MATCH(ROWS($V$2:V385),$V$2:$V$1001,0),0), INDEX($AC$1004:$AS$1004,1,MATCH(COLUMNS($AC$1006:AL1006),$AC$1006:$AS$1006,0)))),"Fix")))</f>
        <v xml:space="preserve"> </v>
      </c>
      <c r="L385" s="4" t="str">
        <f ca="1">IF(OR(INDEX($W$2:$W$1001,MATCH(ROWS($V$2:V385),$V$2:$V$1001,0),1)&gt;=100000,INDEX($AC$1005:$AS$1005,1,MATCH(COLUMNS($AC$1006:AM1006),$AC$1006:$AS$1006,0))&gt;=100000), " ",IF(INDEX($AC$2:$AS$1001,MATCH(ROWS($V$2:V385),$V$2:$V$1001,0),MATCH(COLUMNS($AC$1006:AM1006),$AC$1006:$AS$1006,0)), HYPERLINK("#",""), HYPERLINK(CONCATENATE("#metadata!", ADDRESS(INDEX($X$2:$X$1001,MATCH(ROWS($V$2:V385),$V$2:$V$1001,0),0), INDEX($AC$1004:$AS$1004,1,MATCH(COLUMNS($AC$1006:AM1006),$AC$1006:$AS$1006,0)))),"Fix")))</f>
        <v xml:space="preserve"> </v>
      </c>
      <c r="M385" s="4" t="str">
        <f ca="1">IF(OR(INDEX($W$2:$W$1001,MATCH(ROWS($V$2:V385),$V$2:$V$1001,0),1)&gt;=100000,INDEX($AC$1005:$AS$1005,1,MATCH(COLUMNS($AC$1006:AN1006),$AC$1006:$AS$1006,0))&gt;=100000), " ",IF(INDEX($AC$2:$AS$1001,MATCH(ROWS($V$2:V385),$V$2:$V$1001,0),MATCH(COLUMNS($AC$1006:AN1006),$AC$1006:$AS$1006,0)), HYPERLINK("#",""), HYPERLINK(CONCATENATE("#metadata!", ADDRESS(INDEX($X$2:$X$1001,MATCH(ROWS($V$2:V385),$V$2:$V$1001,0),0), INDEX($AC$1004:$AS$1004,1,MATCH(COLUMNS($AC$1006:AN1006),$AC$1006:$AS$1006,0)))),"Fix")))</f>
        <v xml:space="preserve"> </v>
      </c>
      <c r="N385" s="4" t="str">
        <f ca="1">IF(OR(INDEX($W$2:$W$1001,MATCH(ROWS($V$2:V385),$V$2:$V$1001,0),1)&gt;=100000,INDEX($AC$1005:$AS$1005,1,MATCH(COLUMNS($AC$1006:AO1006),$AC$1006:$AS$1006,0))&gt;=100000), " ",IF(INDEX($AC$2:$AS$1001,MATCH(ROWS($V$2:V385),$V$2:$V$1001,0),MATCH(COLUMNS($AC$1006:AO1006),$AC$1006:$AS$1006,0)), HYPERLINK("#",""), HYPERLINK(CONCATENATE("#metadata!", ADDRESS(INDEX($X$2:$X$1001,MATCH(ROWS($V$2:V385),$V$2:$V$1001,0),0), INDEX($AC$1004:$AS$1004,1,MATCH(COLUMNS($AC$1006:AO1006),$AC$1006:$AS$1006,0)))),"Fix")))</f>
        <v xml:space="preserve"> </v>
      </c>
      <c r="O385" s="4" t="str">
        <f ca="1">IF(OR(INDEX($W$2:$W$1001,MATCH(ROWS($V$2:V385),$V$2:$V$1001,0),1)&gt;=100000,INDEX($AC$1005:$AS$1005,1,MATCH(COLUMNS($AC$1006:AP1006),$AC$1006:$AS$1006,0))&gt;=100000), " ",IF(INDEX($AC$2:$AS$1001,MATCH(ROWS($V$2:V385),$V$2:$V$1001,0),MATCH(COLUMNS($AC$1006:AP1006),$AC$1006:$AS$1006,0)), HYPERLINK("#",""), HYPERLINK(CONCATENATE("#metadata!", ADDRESS(INDEX($X$2:$X$1001,MATCH(ROWS($V$2:V385),$V$2:$V$1001,0),0), INDEX($AC$1004:$AS$1004,1,MATCH(COLUMNS($AC$1006:AP1006),$AC$1006:$AS$1006,0)))),"Fix")))</f>
        <v xml:space="preserve"> </v>
      </c>
      <c r="P385" s="4" t="str">
        <f ca="1">IF(OR(INDEX($W$2:$W$1001,MATCH(ROWS($V$2:V385),$V$2:$V$1001,0),1)&gt;=100000,INDEX($AC$1005:$AS$1005,1,MATCH(COLUMNS($AC$1006:AQ1006),$AC$1006:$AS$1006,0))&gt;=100000), " ",IF(INDEX($AC$2:$AS$1001,MATCH(ROWS($V$2:V385),$V$2:$V$1001,0),MATCH(COLUMNS($AC$1006:AQ1006),$AC$1006:$AS$1006,0)), HYPERLINK("#",""), HYPERLINK(CONCATENATE("#metadata!", ADDRESS(INDEX($X$2:$X$1001,MATCH(ROWS($V$2:V385),$V$2:$V$1001,0),0), INDEX($AC$1004:$AS$1004,1,MATCH(COLUMNS($AC$1006:AQ1006),$AC$1006:$AS$1006,0)))),"Fix")))</f>
        <v xml:space="preserve"> </v>
      </c>
      <c r="Q385" s="4" t="str">
        <f ca="1">IF(OR(INDEX($W$2:$W$1001,MATCH(ROWS($V$2:V385),$V$2:$V$1001,0),1)&gt;=100000,INDEX($AC$1005:$AS$1005,1,MATCH(COLUMNS($AC$1006:AR1006),$AC$1006:$AS$1006,0))&gt;=100000), " ",IF(INDEX($AC$2:$AS$1001,MATCH(ROWS($V$2:V385),$V$2:$V$1001,0),MATCH(COLUMNS($AC$1006:AR1006),$AC$1006:$AS$1006,0)), HYPERLINK("#",""), HYPERLINK(CONCATENATE("#metadata!", ADDRESS(INDEX($X$2:$X$1001,MATCH(ROWS($V$2:V385),$V$2:$V$1001,0),0), INDEX($AC$1004:$AS$1004,1,MATCH(COLUMNS($AC$1006:AR1006),$AC$1006:$AS$1006,0)))),"Fix")))</f>
        <v xml:space="preserve"> </v>
      </c>
      <c r="R385" s="4" t="str">
        <f ca="1">IF(OR(INDEX($W$2:$W$1001,MATCH(ROWS($V$2:V385),$V$2:$V$1001,0),1)&gt;=100000,INDEX($AC$1005:$AS$1005,1,MATCH(COLUMNS($AC$1006:AS1006),$AC$1006:$AS$1006,0))&gt;=100000), " ",IF(INDEX($AC$2:$AS$1001,MATCH(ROWS($V$2:V385),$V$2:$V$1001,0),MATCH(COLUMNS($AC$1006:AS1006),$AC$1006:$AS$1006,0)), HYPERLINK("#",""), HYPERLINK(CONCATENATE("#metadata!", ADDRESS(INDEX($X$2:$X$1001,MATCH(ROWS($V$2:V385),$V$2:$V$1001,0),0), INDEX($AC$1004:$AS$1004,1,MATCH(COLUMNS($AC$1006:AS1006),$AC$1006:$AS$1006,0)))),"Fix")))</f>
        <v xml:space="preserve"> </v>
      </c>
      <c r="V385">
        <v>384</v>
      </c>
      <c r="W385">
        <v>100385</v>
      </c>
      <c r="X385">
        <v>385</v>
      </c>
      <c r="Y385" t="b">
        <f t="shared" si="5"/>
        <v>1</v>
      </c>
      <c r="Z385" t="b">
        <f>COUNTBLANK(metadata!B385:R385)=COLUMNS(metadata!B385:R385)</f>
        <v>1</v>
      </c>
      <c r="AA385" t="str">
        <v/>
      </c>
      <c r="AC385" t="b">
        <f ca="1"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AD385" t="b">
        <f>IF(metadata!C385="",FALSE,ISNUMBER(VALUE(metadata!C385)))</f>
        <v>0</v>
      </c>
      <c r="AE385" t="b">
        <f>AND(IF(metadata!D385="",FALSE,TRUE),EXACT(metadata!D385,"years"))</f>
        <v>0</v>
      </c>
      <c r="AF385" t="b">
        <f>OR(AND(IF(metadata!E385="",FALSE,TRUE),OR(EXACT(metadata!E385,"not applicable"),EXACT(metadata!E385,"missing: not collected"),EXACT(metadata!E385,"missing: not provided"),EXACT(metadata!E385,"missing: restricted access"))),AND(IF(metadata!E385="",FALSE,ISNUMBER(VALUE(metadata!E385))),metadata!E385&gt;0))</f>
        <v>0</v>
      </c>
      <c r="AG385" t="b">
        <f>AND(IF(metadata!F385="",FALSE,TRUE),EXACT(metadata!F385,"Not applicable"))</f>
        <v>0</v>
      </c>
      <c r="AH385" t="b">
        <f>AND(IF(metadata!G385="",FALSE,TRUE),EXACT(metadata!G385,"urban biome"))</f>
        <v>0</v>
      </c>
      <c r="AI385" t="b">
        <f>AND(IF(metadata!H385="",FALSE,TRUE),EXACT(metadata!H385,"human-associated habitat"))</f>
        <v>0</v>
      </c>
      <c r="AJ385" t="b">
        <f>AND(IF(metadata!I385="",FALSE,TRUE),OR(EXACT(metadata!I385,"human-associated"),EXACT(metadata!I385,"human-skin"),EXACT(metadata!I385,"human-oral"),EXACT(metadata!I385,"human-gut"),EXACT(metadata!I385,"human-vaginal")))</f>
        <v>0</v>
      </c>
      <c r="AK385" t="b">
        <f>IF(metadata!J385="",FALSE,ISNUMBER(VALUE(metadata!J385)))</f>
        <v>0</v>
      </c>
      <c r="AL385" t="b">
        <f>AND(IF(metadata!K385="",FALSE,TRUE),EXACT(metadata!K385,"cm"))</f>
        <v>0</v>
      </c>
      <c r="AM385" t="b">
        <f>AND(IF(metadata!L385="",FALSE,TRUE),EXACT(metadata!L385,"human"))</f>
        <v>0</v>
      </c>
      <c r="AN385" t="b">
        <f>AND(IF(metadata!M385="",FALSE,TRUE),EXACT(metadata!M385,"Homo sapiens"))</f>
        <v>0</v>
      </c>
      <c r="AO385" t="b">
        <f>AND(IF(metadata!N385="",FALSE,TRUE),EXACT(metadata!N385,"9606"))</f>
        <v>0</v>
      </c>
      <c r="AP385" t="b">
        <f>IF(metadata!O385="",FALSE,TRUE)</f>
        <v>0</v>
      </c>
      <c r="AQ385" t="b">
        <f>IF(metadata!P385="",FALSE,TRUE)</f>
        <v>0</v>
      </c>
      <c r="AR385" t="b">
        <f>IF(metadata!Q385="",FALSE,ISNUMBER(VALUE(metadata!Q385)))</f>
        <v>0</v>
      </c>
      <c r="AS385" t="b">
        <f>AND(IF(metadata!R385="",FALSE,TRUE),EXACT(metadata!R385,"kg"))</f>
        <v>0</v>
      </c>
    </row>
    <row r="386" spans="1:45" x14ac:dyDescent="0.2">
      <c r="A386" s="5" t="str">
        <f ca="1">IF(B386=" "," ",HYPERLINK(CONCATENATE("#metadata!",ADDRESS(INDEX($X$2:$X$1001,MATCH(ROWS($V$2:V386),$V$2:$V$1001,0),0),1)),INDEX($AA$2:$AA$1001,MATCH(ROWS($V$2:V386),$V$2:$V$1001,0),0)))</f>
        <v xml:space="preserve"> </v>
      </c>
      <c r="B386" s="4" t="str">
        <f ca="1">IF(OR(INDEX($W$2:$W$1001,MATCH(ROWS($V$2:V386),$V$2:$V$1001,0),1)&gt;=100000,INDEX($AC$1005:$AS$1005,1,MATCH(COLUMNS($AC$1006:AC1006),$AC$1006:$AS$1006,0))&gt;=100000), " ",IF(INDEX($AC$2:$AS$1001,MATCH(ROWS($V$2:V386),$V$2:$V$1001,0),MATCH(COLUMNS($AC$1006:AC1006),$AC$1006:$AS$1006,0)), HYPERLINK("#",""), HYPERLINK(CONCATENATE("#metadata!", ADDRESS(INDEX($X$2:$X$1001,MATCH(ROWS($V$2:V386),$V$2:$V$1001,0),0), INDEX($AC$1004:$AS$1004,1,MATCH(COLUMNS($AC$1006:AC1006),$AC$1006:$AS$1006,0)))),"Fix")))</f>
        <v xml:space="preserve"> </v>
      </c>
      <c r="C386" s="4" t="str">
        <f ca="1">IF(OR(INDEX($W$2:$W$1001,MATCH(ROWS($V$2:V386),$V$2:$V$1001,0),1)&gt;=100000,INDEX($AC$1005:$AS$1005,1,MATCH(COLUMNS($AC$1006:AD1006),$AC$1006:$AS$1006,0))&gt;=100000), " ",IF(INDEX($AC$2:$AS$1001,MATCH(ROWS($V$2:V386),$V$2:$V$1001,0),MATCH(COLUMNS($AC$1006:AD1006),$AC$1006:$AS$1006,0)), HYPERLINK("#",""), HYPERLINK(CONCATENATE("#metadata!", ADDRESS(INDEX($X$2:$X$1001,MATCH(ROWS($V$2:V386),$V$2:$V$1001,0),0), INDEX($AC$1004:$AS$1004,1,MATCH(COLUMNS($AC$1006:AD1006),$AC$1006:$AS$1006,0)))),"Fix")))</f>
        <v xml:space="preserve"> </v>
      </c>
      <c r="D386" s="4" t="str">
        <f ca="1">IF(OR(INDEX($W$2:$W$1001,MATCH(ROWS($V$2:V386),$V$2:$V$1001,0),1)&gt;=100000,INDEX($AC$1005:$AS$1005,1,MATCH(COLUMNS($AC$1006:AE1006),$AC$1006:$AS$1006,0))&gt;=100000), " ",IF(INDEX($AC$2:$AS$1001,MATCH(ROWS($V$2:V386),$V$2:$V$1001,0),MATCH(COLUMNS($AC$1006:AE1006),$AC$1006:$AS$1006,0)), HYPERLINK("#",""), HYPERLINK(CONCATENATE("#metadata!", ADDRESS(INDEX($X$2:$X$1001,MATCH(ROWS($V$2:V386),$V$2:$V$1001,0),0), INDEX($AC$1004:$AS$1004,1,MATCH(COLUMNS($AC$1006:AE1006),$AC$1006:$AS$1006,0)))),"Fix")))</f>
        <v xml:space="preserve"> </v>
      </c>
      <c r="E386" s="4" t="str">
        <f ca="1">IF(OR(INDEX($W$2:$W$1001,MATCH(ROWS($V$2:V386),$V$2:$V$1001,0),1)&gt;=100000,INDEX($AC$1005:$AS$1005,1,MATCH(COLUMNS($AC$1006:AF1006),$AC$1006:$AS$1006,0))&gt;=100000), " ",IF(INDEX($AC$2:$AS$1001,MATCH(ROWS($V$2:V386),$V$2:$V$1001,0),MATCH(COLUMNS($AC$1006:AF1006),$AC$1006:$AS$1006,0)), HYPERLINK("#",""), HYPERLINK(CONCATENATE("#metadata!", ADDRESS(INDEX($X$2:$X$1001,MATCH(ROWS($V$2:V386),$V$2:$V$1001,0),0), INDEX($AC$1004:$AS$1004,1,MATCH(COLUMNS($AC$1006:AF1006),$AC$1006:$AS$1006,0)))),"Fix")))</f>
        <v xml:space="preserve"> </v>
      </c>
      <c r="F386" s="4" t="str">
        <f ca="1">IF(OR(INDEX($W$2:$W$1001,MATCH(ROWS($V$2:V386),$V$2:$V$1001,0),1)&gt;=100000,INDEX($AC$1005:$AS$1005,1,MATCH(COLUMNS($AC$1006:AG1006),$AC$1006:$AS$1006,0))&gt;=100000), " ",IF(INDEX($AC$2:$AS$1001,MATCH(ROWS($V$2:V386),$V$2:$V$1001,0),MATCH(COLUMNS($AC$1006:AG1006),$AC$1006:$AS$1006,0)), HYPERLINK("#",""), HYPERLINK(CONCATENATE("#metadata!", ADDRESS(INDEX($X$2:$X$1001,MATCH(ROWS($V$2:V386),$V$2:$V$1001,0),0), INDEX($AC$1004:$AS$1004,1,MATCH(COLUMNS($AC$1006:AG1006),$AC$1006:$AS$1006,0)))),"Fix")))</f>
        <v xml:space="preserve"> </v>
      </c>
      <c r="G386" s="4" t="str">
        <f ca="1">IF(OR(INDEX($W$2:$W$1001,MATCH(ROWS($V$2:V386),$V$2:$V$1001,0),1)&gt;=100000,INDEX($AC$1005:$AS$1005,1,MATCH(COLUMNS($AC$1006:AH1006),$AC$1006:$AS$1006,0))&gt;=100000), " ",IF(INDEX($AC$2:$AS$1001,MATCH(ROWS($V$2:V386),$V$2:$V$1001,0),MATCH(COLUMNS($AC$1006:AH1006),$AC$1006:$AS$1006,0)), HYPERLINK("#",""), HYPERLINK(CONCATENATE("#metadata!", ADDRESS(INDEX($X$2:$X$1001,MATCH(ROWS($V$2:V386),$V$2:$V$1001,0),0), INDEX($AC$1004:$AS$1004,1,MATCH(COLUMNS($AC$1006:AH1006),$AC$1006:$AS$1006,0)))),"Fix")))</f>
        <v xml:space="preserve"> </v>
      </c>
      <c r="H386" s="4" t="str">
        <f ca="1">IF(OR(INDEX($W$2:$W$1001,MATCH(ROWS($V$2:V386),$V$2:$V$1001,0),1)&gt;=100000,INDEX($AC$1005:$AS$1005,1,MATCH(COLUMNS($AC$1006:AI1006),$AC$1006:$AS$1006,0))&gt;=100000), " ",IF(INDEX($AC$2:$AS$1001,MATCH(ROWS($V$2:V386),$V$2:$V$1001,0),MATCH(COLUMNS($AC$1006:AI1006),$AC$1006:$AS$1006,0)), HYPERLINK("#",""), HYPERLINK(CONCATENATE("#metadata!", ADDRESS(INDEX($X$2:$X$1001,MATCH(ROWS($V$2:V386),$V$2:$V$1001,0),0), INDEX($AC$1004:$AS$1004,1,MATCH(COLUMNS($AC$1006:AI1006),$AC$1006:$AS$1006,0)))),"Fix")))</f>
        <v xml:space="preserve"> </v>
      </c>
      <c r="I386" s="4" t="str">
        <f ca="1">IF(OR(INDEX($W$2:$W$1001,MATCH(ROWS($V$2:V386),$V$2:$V$1001,0),1)&gt;=100000,INDEX($AC$1005:$AS$1005,1,MATCH(COLUMNS($AC$1006:AJ1006),$AC$1006:$AS$1006,0))&gt;=100000), " ",IF(INDEX($AC$2:$AS$1001,MATCH(ROWS($V$2:V386),$V$2:$V$1001,0),MATCH(COLUMNS($AC$1006:AJ1006),$AC$1006:$AS$1006,0)), HYPERLINK("#",""), HYPERLINK(CONCATENATE("#metadata!", ADDRESS(INDEX($X$2:$X$1001,MATCH(ROWS($V$2:V386),$V$2:$V$1001,0),0), INDEX($AC$1004:$AS$1004,1,MATCH(COLUMNS($AC$1006:AJ1006),$AC$1006:$AS$1006,0)))),"Fix")))</f>
        <v xml:space="preserve"> </v>
      </c>
      <c r="J386" s="4" t="str">
        <f ca="1">IF(OR(INDEX($W$2:$W$1001,MATCH(ROWS($V$2:V386),$V$2:$V$1001,0),1)&gt;=100000,INDEX($AC$1005:$AS$1005,1,MATCH(COLUMNS($AC$1006:AK1006),$AC$1006:$AS$1006,0))&gt;=100000), " ",IF(INDEX($AC$2:$AS$1001,MATCH(ROWS($V$2:V386),$V$2:$V$1001,0),MATCH(COLUMNS($AC$1006:AK1006),$AC$1006:$AS$1006,0)), HYPERLINK("#",""), HYPERLINK(CONCATENATE("#metadata!", ADDRESS(INDEX($X$2:$X$1001,MATCH(ROWS($V$2:V386),$V$2:$V$1001,0),0), INDEX($AC$1004:$AS$1004,1,MATCH(COLUMNS($AC$1006:AK1006),$AC$1006:$AS$1006,0)))),"Fix")))</f>
        <v xml:space="preserve"> </v>
      </c>
      <c r="K386" s="4" t="str">
        <f ca="1">IF(OR(INDEX($W$2:$W$1001,MATCH(ROWS($V$2:V386),$V$2:$V$1001,0),1)&gt;=100000,INDEX($AC$1005:$AS$1005,1,MATCH(COLUMNS($AC$1006:AL1006),$AC$1006:$AS$1006,0))&gt;=100000), " ",IF(INDEX($AC$2:$AS$1001,MATCH(ROWS($V$2:V386),$V$2:$V$1001,0),MATCH(COLUMNS($AC$1006:AL1006),$AC$1006:$AS$1006,0)), HYPERLINK("#",""), HYPERLINK(CONCATENATE("#metadata!", ADDRESS(INDEX($X$2:$X$1001,MATCH(ROWS($V$2:V386),$V$2:$V$1001,0),0), INDEX($AC$1004:$AS$1004,1,MATCH(COLUMNS($AC$1006:AL1006),$AC$1006:$AS$1006,0)))),"Fix")))</f>
        <v xml:space="preserve"> </v>
      </c>
      <c r="L386" s="4" t="str">
        <f ca="1">IF(OR(INDEX($W$2:$W$1001,MATCH(ROWS($V$2:V386),$V$2:$V$1001,0),1)&gt;=100000,INDEX($AC$1005:$AS$1005,1,MATCH(COLUMNS($AC$1006:AM1006),$AC$1006:$AS$1006,0))&gt;=100000), " ",IF(INDEX($AC$2:$AS$1001,MATCH(ROWS($V$2:V386),$V$2:$V$1001,0),MATCH(COLUMNS($AC$1006:AM1006),$AC$1006:$AS$1006,0)), HYPERLINK("#",""), HYPERLINK(CONCATENATE("#metadata!", ADDRESS(INDEX($X$2:$X$1001,MATCH(ROWS($V$2:V386),$V$2:$V$1001,0),0), INDEX($AC$1004:$AS$1004,1,MATCH(COLUMNS($AC$1006:AM1006),$AC$1006:$AS$1006,0)))),"Fix")))</f>
        <v xml:space="preserve"> </v>
      </c>
      <c r="M386" s="4" t="str">
        <f ca="1">IF(OR(INDEX($W$2:$W$1001,MATCH(ROWS($V$2:V386),$V$2:$V$1001,0),1)&gt;=100000,INDEX($AC$1005:$AS$1005,1,MATCH(COLUMNS($AC$1006:AN1006),$AC$1006:$AS$1006,0))&gt;=100000), " ",IF(INDEX($AC$2:$AS$1001,MATCH(ROWS($V$2:V386),$V$2:$V$1001,0),MATCH(COLUMNS($AC$1006:AN1006),$AC$1006:$AS$1006,0)), HYPERLINK("#",""), HYPERLINK(CONCATENATE("#metadata!", ADDRESS(INDEX($X$2:$X$1001,MATCH(ROWS($V$2:V386),$V$2:$V$1001,0),0), INDEX($AC$1004:$AS$1004,1,MATCH(COLUMNS($AC$1006:AN1006),$AC$1006:$AS$1006,0)))),"Fix")))</f>
        <v xml:space="preserve"> </v>
      </c>
      <c r="N386" s="4" t="str">
        <f ca="1">IF(OR(INDEX($W$2:$W$1001,MATCH(ROWS($V$2:V386),$V$2:$V$1001,0),1)&gt;=100000,INDEX($AC$1005:$AS$1005,1,MATCH(COLUMNS($AC$1006:AO1006),$AC$1006:$AS$1006,0))&gt;=100000), " ",IF(INDEX($AC$2:$AS$1001,MATCH(ROWS($V$2:V386),$V$2:$V$1001,0),MATCH(COLUMNS($AC$1006:AO1006),$AC$1006:$AS$1006,0)), HYPERLINK("#",""), HYPERLINK(CONCATENATE("#metadata!", ADDRESS(INDEX($X$2:$X$1001,MATCH(ROWS($V$2:V386),$V$2:$V$1001,0),0), INDEX($AC$1004:$AS$1004,1,MATCH(COLUMNS($AC$1006:AO1006),$AC$1006:$AS$1006,0)))),"Fix")))</f>
        <v xml:space="preserve"> </v>
      </c>
      <c r="O386" s="4" t="str">
        <f ca="1">IF(OR(INDEX($W$2:$W$1001,MATCH(ROWS($V$2:V386),$V$2:$V$1001,0),1)&gt;=100000,INDEX($AC$1005:$AS$1005,1,MATCH(COLUMNS($AC$1006:AP1006),$AC$1006:$AS$1006,0))&gt;=100000), " ",IF(INDEX($AC$2:$AS$1001,MATCH(ROWS($V$2:V386),$V$2:$V$1001,0),MATCH(COLUMNS($AC$1006:AP1006),$AC$1006:$AS$1006,0)), HYPERLINK("#",""), HYPERLINK(CONCATENATE("#metadata!", ADDRESS(INDEX($X$2:$X$1001,MATCH(ROWS($V$2:V386),$V$2:$V$1001,0),0), INDEX($AC$1004:$AS$1004,1,MATCH(COLUMNS($AC$1006:AP1006),$AC$1006:$AS$1006,0)))),"Fix")))</f>
        <v xml:space="preserve"> </v>
      </c>
      <c r="P386" s="4" t="str">
        <f ca="1">IF(OR(INDEX($W$2:$W$1001,MATCH(ROWS($V$2:V386),$V$2:$V$1001,0),1)&gt;=100000,INDEX($AC$1005:$AS$1005,1,MATCH(COLUMNS($AC$1006:AQ1006),$AC$1006:$AS$1006,0))&gt;=100000), " ",IF(INDEX($AC$2:$AS$1001,MATCH(ROWS($V$2:V386),$V$2:$V$1001,0),MATCH(COLUMNS($AC$1006:AQ1006),$AC$1006:$AS$1006,0)), HYPERLINK("#",""), HYPERLINK(CONCATENATE("#metadata!", ADDRESS(INDEX($X$2:$X$1001,MATCH(ROWS($V$2:V386),$V$2:$V$1001,0),0), INDEX($AC$1004:$AS$1004,1,MATCH(COLUMNS($AC$1006:AQ1006),$AC$1006:$AS$1006,0)))),"Fix")))</f>
        <v xml:space="preserve"> </v>
      </c>
      <c r="Q386" s="4" t="str">
        <f ca="1">IF(OR(INDEX($W$2:$W$1001,MATCH(ROWS($V$2:V386),$V$2:$V$1001,0),1)&gt;=100000,INDEX($AC$1005:$AS$1005,1,MATCH(COLUMNS($AC$1006:AR1006),$AC$1006:$AS$1006,0))&gt;=100000), " ",IF(INDEX($AC$2:$AS$1001,MATCH(ROWS($V$2:V386),$V$2:$V$1001,0),MATCH(COLUMNS($AC$1006:AR1006),$AC$1006:$AS$1006,0)), HYPERLINK("#",""), HYPERLINK(CONCATENATE("#metadata!", ADDRESS(INDEX($X$2:$X$1001,MATCH(ROWS($V$2:V386),$V$2:$V$1001,0),0), INDEX($AC$1004:$AS$1004,1,MATCH(COLUMNS($AC$1006:AR1006),$AC$1006:$AS$1006,0)))),"Fix")))</f>
        <v xml:space="preserve"> </v>
      </c>
      <c r="R386" s="4" t="str">
        <f ca="1">IF(OR(INDEX($W$2:$W$1001,MATCH(ROWS($V$2:V386),$V$2:$V$1001,0),1)&gt;=100000,INDEX($AC$1005:$AS$1005,1,MATCH(COLUMNS($AC$1006:AS1006),$AC$1006:$AS$1006,0))&gt;=100000), " ",IF(INDEX($AC$2:$AS$1001,MATCH(ROWS($V$2:V386),$V$2:$V$1001,0),MATCH(COLUMNS($AC$1006:AS1006),$AC$1006:$AS$1006,0)), HYPERLINK("#",""), HYPERLINK(CONCATENATE("#metadata!", ADDRESS(INDEX($X$2:$X$1001,MATCH(ROWS($V$2:V386),$V$2:$V$1001,0),0), INDEX($AC$1004:$AS$1004,1,MATCH(COLUMNS($AC$1006:AS1006),$AC$1006:$AS$1006,0)))),"Fix")))</f>
        <v xml:space="preserve"> </v>
      </c>
      <c r="V386">
        <v>385</v>
      </c>
      <c r="W386">
        <v>100386</v>
      </c>
      <c r="X386">
        <v>386</v>
      </c>
      <c r="Y386" t="b">
        <f t="shared" ref="Y386:Y449" si="6">IF(Z386,TRUE,AND(AC386:AS386))</f>
        <v>1</v>
      </c>
      <c r="Z386" t="b">
        <f>COUNTBLANK(metadata!B386:R386)=COLUMNS(metadata!B386:R386)</f>
        <v>1</v>
      </c>
      <c r="AA386" t="str">
        <v/>
      </c>
      <c r="AC386" t="b">
        <f ca="1"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AD386" t="b">
        <f>IF(metadata!C386="",FALSE,ISNUMBER(VALUE(metadata!C386)))</f>
        <v>0</v>
      </c>
      <c r="AE386" t="b">
        <f>AND(IF(metadata!D386="",FALSE,TRUE),EXACT(metadata!D386,"years"))</f>
        <v>0</v>
      </c>
      <c r="AF386" t="b">
        <f>OR(AND(IF(metadata!E386="",FALSE,TRUE),OR(EXACT(metadata!E386,"not applicable"),EXACT(metadata!E386,"missing: not collected"),EXACT(metadata!E386,"missing: not provided"),EXACT(metadata!E386,"missing: restricted access"))),AND(IF(metadata!E386="",FALSE,ISNUMBER(VALUE(metadata!E386))),metadata!E386&gt;0))</f>
        <v>0</v>
      </c>
      <c r="AG386" t="b">
        <f>AND(IF(metadata!F386="",FALSE,TRUE),EXACT(metadata!F386,"Not applicable"))</f>
        <v>0</v>
      </c>
      <c r="AH386" t="b">
        <f>AND(IF(metadata!G386="",FALSE,TRUE),EXACT(metadata!G386,"urban biome"))</f>
        <v>0</v>
      </c>
      <c r="AI386" t="b">
        <f>AND(IF(metadata!H386="",FALSE,TRUE),EXACT(metadata!H386,"human-associated habitat"))</f>
        <v>0</v>
      </c>
      <c r="AJ386" t="b">
        <f>AND(IF(metadata!I386="",FALSE,TRUE),OR(EXACT(metadata!I386,"human-associated"),EXACT(metadata!I386,"human-skin"),EXACT(metadata!I386,"human-oral"),EXACT(metadata!I386,"human-gut"),EXACT(metadata!I386,"human-vaginal")))</f>
        <v>0</v>
      </c>
      <c r="AK386" t="b">
        <f>IF(metadata!J386="",FALSE,ISNUMBER(VALUE(metadata!J386)))</f>
        <v>0</v>
      </c>
      <c r="AL386" t="b">
        <f>AND(IF(metadata!K386="",FALSE,TRUE),EXACT(metadata!K386,"cm"))</f>
        <v>0</v>
      </c>
      <c r="AM386" t="b">
        <f>AND(IF(metadata!L386="",FALSE,TRUE),EXACT(metadata!L386,"human"))</f>
        <v>0</v>
      </c>
      <c r="AN386" t="b">
        <f>AND(IF(metadata!M386="",FALSE,TRUE),EXACT(metadata!M386,"Homo sapiens"))</f>
        <v>0</v>
      </c>
      <c r="AO386" t="b">
        <f>AND(IF(metadata!N386="",FALSE,TRUE),EXACT(metadata!N386,"9606"))</f>
        <v>0</v>
      </c>
      <c r="AP386" t="b">
        <f>IF(metadata!O386="",FALSE,TRUE)</f>
        <v>0</v>
      </c>
      <c r="AQ386" t="b">
        <f>IF(metadata!P386="",FALSE,TRUE)</f>
        <v>0</v>
      </c>
      <c r="AR386" t="b">
        <f>IF(metadata!Q386="",FALSE,ISNUMBER(VALUE(metadata!Q386)))</f>
        <v>0</v>
      </c>
      <c r="AS386" t="b">
        <f>AND(IF(metadata!R386="",FALSE,TRUE),EXACT(metadata!R386,"kg"))</f>
        <v>0</v>
      </c>
    </row>
    <row r="387" spans="1:45" x14ac:dyDescent="0.2">
      <c r="A387" s="5" t="str">
        <f ca="1">IF(B387=" "," ",HYPERLINK(CONCATENATE("#metadata!",ADDRESS(INDEX($X$2:$X$1001,MATCH(ROWS($V$2:V387),$V$2:$V$1001,0),0),1)),INDEX($AA$2:$AA$1001,MATCH(ROWS($V$2:V387),$V$2:$V$1001,0),0)))</f>
        <v xml:space="preserve"> </v>
      </c>
      <c r="B387" s="4" t="str">
        <f ca="1">IF(OR(INDEX($W$2:$W$1001,MATCH(ROWS($V$2:V387),$V$2:$V$1001,0),1)&gt;=100000,INDEX($AC$1005:$AS$1005,1,MATCH(COLUMNS($AC$1006:AC1006),$AC$1006:$AS$1006,0))&gt;=100000), " ",IF(INDEX($AC$2:$AS$1001,MATCH(ROWS($V$2:V387),$V$2:$V$1001,0),MATCH(COLUMNS($AC$1006:AC1006),$AC$1006:$AS$1006,0)), HYPERLINK("#",""), HYPERLINK(CONCATENATE("#metadata!", ADDRESS(INDEX($X$2:$X$1001,MATCH(ROWS($V$2:V387),$V$2:$V$1001,0),0), INDEX($AC$1004:$AS$1004,1,MATCH(COLUMNS($AC$1006:AC1006),$AC$1006:$AS$1006,0)))),"Fix")))</f>
        <v xml:space="preserve"> </v>
      </c>
      <c r="C387" s="4" t="str">
        <f ca="1">IF(OR(INDEX($W$2:$W$1001,MATCH(ROWS($V$2:V387),$V$2:$V$1001,0),1)&gt;=100000,INDEX($AC$1005:$AS$1005,1,MATCH(COLUMNS($AC$1006:AD1006),$AC$1006:$AS$1006,0))&gt;=100000), " ",IF(INDEX($AC$2:$AS$1001,MATCH(ROWS($V$2:V387),$V$2:$V$1001,0),MATCH(COLUMNS($AC$1006:AD1006),$AC$1006:$AS$1006,0)), HYPERLINK("#",""), HYPERLINK(CONCATENATE("#metadata!", ADDRESS(INDEX($X$2:$X$1001,MATCH(ROWS($V$2:V387),$V$2:$V$1001,0),0), INDEX($AC$1004:$AS$1004,1,MATCH(COLUMNS($AC$1006:AD1006),$AC$1006:$AS$1006,0)))),"Fix")))</f>
        <v xml:space="preserve"> </v>
      </c>
      <c r="D387" s="4" t="str">
        <f ca="1">IF(OR(INDEX($W$2:$W$1001,MATCH(ROWS($V$2:V387),$V$2:$V$1001,0),1)&gt;=100000,INDEX($AC$1005:$AS$1005,1,MATCH(COLUMNS($AC$1006:AE1006),$AC$1006:$AS$1006,0))&gt;=100000), " ",IF(INDEX($AC$2:$AS$1001,MATCH(ROWS($V$2:V387),$V$2:$V$1001,0),MATCH(COLUMNS($AC$1006:AE1006),$AC$1006:$AS$1006,0)), HYPERLINK("#",""), HYPERLINK(CONCATENATE("#metadata!", ADDRESS(INDEX($X$2:$X$1001,MATCH(ROWS($V$2:V387),$V$2:$V$1001,0),0), INDEX($AC$1004:$AS$1004,1,MATCH(COLUMNS($AC$1006:AE1006),$AC$1006:$AS$1006,0)))),"Fix")))</f>
        <v xml:space="preserve"> </v>
      </c>
      <c r="E387" s="4" t="str">
        <f ca="1">IF(OR(INDEX($W$2:$W$1001,MATCH(ROWS($V$2:V387),$V$2:$V$1001,0),1)&gt;=100000,INDEX($AC$1005:$AS$1005,1,MATCH(COLUMNS($AC$1006:AF1006),$AC$1006:$AS$1006,0))&gt;=100000), " ",IF(INDEX($AC$2:$AS$1001,MATCH(ROWS($V$2:V387),$V$2:$V$1001,0),MATCH(COLUMNS($AC$1006:AF1006),$AC$1006:$AS$1006,0)), HYPERLINK("#",""), HYPERLINK(CONCATENATE("#metadata!", ADDRESS(INDEX($X$2:$X$1001,MATCH(ROWS($V$2:V387),$V$2:$V$1001,0),0), INDEX($AC$1004:$AS$1004,1,MATCH(COLUMNS($AC$1006:AF1006),$AC$1006:$AS$1006,0)))),"Fix")))</f>
        <v xml:space="preserve"> </v>
      </c>
      <c r="F387" s="4" t="str">
        <f ca="1">IF(OR(INDEX($W$2:$W$1001,MATCH(ROWS($V$2:V387),$V$2:$V$1001,0),1)&gt;=100000,INDEX($AC$1005:$AS$1005,1,MATCH(COLUMNS($AC$1006:AG1006),$AC$1006:$AS$1006,0))&gt;=100000), " ",IF(INDEX($AC$2:$AS$1001,MATCH(ROWS($V$2:V387),$V$2:$V$1001,0),MATCH(COLUMNS($AC$1006:AG1006),$AC$1006:$AS$1006,0)), HYPERLINK("#",""), HYPERLINK(CONCATENATE("#metadata!", ADDRESS(INDEX($X$2:$X$1001,MATCH(ROWS($V$2:V387),$V$2:$V$1001,0),0), INDEX($AC$1004:$AS$1004,1,MATCH(COLUMNS($AC$1006:AG1006),$AC$1006:$AS$1006,0)))),"Fix")))</f>
        <v xml:space="preserve"> </v>
      </c>
      <c r="G387" s="4" t="str">
        <f ca="1">IF(OR(INDEX($W$2:$W$1001,MATCH(ROWS($V$2:V387),$V$2:$V$1001,0),1)&gt;=100000,INDEX($AC$1005:$AS$1005,1,MATCH(COLUMNS($AC$1006:AH1006),$AC$1006:$AS$1006,0))&gt;=100000), " ",IF(INDEX($AC$2:$AS$1001,MATCH(ROWS($V$2:V387),$V$2:$V$1001,0),MATCH(COLUMNS($AC$1006:AH1006),$AC$1006:$AS$1006,0)), HYPERLINK("#",""), HYPERLINK(CONCATENATE("#metadata!", ADDRESS(INDEX($X$2:$X$1001,MATCH(ROWS($V$2:V387),$V$2:$V$1001,0),0), INDEX($AC$1004:$AS$1004,1,MATCH(COLUMNS($AC$1006:AH1006),$AC$1006:$AS$1006,0)))),"Fix")))</f>
        <v xml:space="preserve"> </v>
      </c>
      <c r="H387" s="4" t="str">
        <f ca="1">IF(OR(INDEX($W$2:$W$1001,MATCH(ROWS($V$2:V387),$V$2:$V$1001,0),1)&gt;=100000,INDEX($AC$1005:$AS$1005,1,MATCH(COLUMNS($AC$1006:AI1006),$AC$1006:$AS$1006,0))&gt;=100000), " ",IF(INDEX($AC$2:$AS$1001,MATCH(ROWS($V$2:V387),$V$2:$V$1001,0),MATCH(COLUMNS($AC$1006:AI1006),$AC$1006:$AS$1006,0)), HYPERLINK("#",""), HYPERLINK(CONCATENATE("#metadata!", ADDRESS(INDEX($X$2:$X$1001,MATCH(ROWS($V$2:V387),$V$2:$V$1001,0),0), INDEX($AC$1004:$AS$1004,1,MATCH(COLUMNS($AC$1006:AI1006),$AC$1006:$AS$1006,0)))),"Fix")))</f>
        <v xml:space="preserve"> </v>
      </c>
      <c r="I387" s="4" t="str">
        <f ca="1">IF(OR(INDEX($W$2:$W$1001,MATCH(ROWS($V$2:V387),$V$2:$V$1001,0),1)&gt;=100000,INDEX($AC$1005:$AS$1005,1,MATCH(COLUMNS($AC$1006:AJ1006),$AC$1006:$AS$1006,0))&gt;=100000), " ",IF(INDEX($AC$2:$AS$1001,MATCH(ROWS($V$2:V387),$V$2:$V$1001,0),MATCH(COLUMNS($AC$1006:AJ1006),$AC$1006:$AS$1006,0)), HYPERLINK("#",""), HYPERLINK(CONCATENATE("#metadata!", ADDRESS(INDEX($X$2:$X$1001,MATCH(ROWS($V$2:V387),$V$2:$V$1001,0),0), INDEX($AC$1004:$AS$1004,1,MATCH(COLUMNS($AC$1006:AJ1006),$AC$1006:$AS$1006,0)))),"Fix")))</f>
        <v xml:space="preserve"> </v>
      </c>
      <c r="J387" s="4" t="str">
        <f ca="1">IF(OR(INDEX($W$2:$W$1001,MATCH(ROWS($V$2:V387),$V$2:$V$1001,0),1)&gt;=100000,INDEX($AC$1005:$AS$1005,1,MATCH(COLUMNS($AC$1006:AK1006),$AC$1006:$AS$1006,0))&gt;=100000), " ",IF(INDEX($AC$2:$AS$1001,MATCH(ROWS($V$2:V387),$V$2:$V$1001,0),MATCH(COLUMNS($AC$1006:AK1006),$AC$1006:$AS$1006,0)), HYPERLINK("#",""), HYPERLINK(CONCATENATE("#metadata!", ADDRESS(INDEX($X$2:$X$1001,MATCH(ROWS($V$2:V387),$V$2:$V$1001,0),0), INDEX($AC$1004:$AS$1004,1,MATCH(COLUMNS($AC$1006:AK1006),$AC$1006:$AS$1006,0)))),"Fix")))</f>
        <v xml:space="preserve"> </v>
      </c>
      <c r="K387" s="4" t="str">
        <f ca="1">IF(OR(INDEX($W$2:$W$1001,MATCH(ROWS($V$2:V387),$V$2:$V$1001,0),1)&gt;=100000,INDEX($AC$1005:$AS$1005,1,MATCH(COLUMNS($AC$1006:AL1006),$AC$1006:$AS$1006,0))&gt;=100000), " ",IF(INDEX($AC$2:$AS$1001,MATCH(ROWS($V$2:V387),$V$2:$V$1001,0),MATCH(COLUMNS($AC$1006:AL1006),$AC$1006:$AS$1006,0)), HYPERLINK("#",""), HYPERLINK(CONCATENATE("#metadata!", ADDRESS(INDEX($X$2:$X$1001,MATCH(ROWS($V$2:V387),$V$2:$V$1001,0),0), INDEX($AC$1004:$AS$1004,1,MATCH(COLUMNS($AC$1006:AL1006),$AC$1006:$AS$1006,0)))),"Fix")))</f>
        <v xml:space="preserve"> </v>
      </c>
      <c r="L387" s="4" t="str">
        <f ca="1">IF(OR(INDEX($W$2:$W$1001,MATCH(ROWS($V$2:V387),$V$2:$V$1001,0),1)&gt;=100000,INDEX($AC$1005:$AS$1005,1,MATCH(COLUMNS($AC$1006:AM1006),$AC$1006:$AS$1006,0))&gt;=100000), " ",IF(INDEX($AC$2:$AS$1001,MATCH(ROWS($V$2:V387),$V$2:$V$1001,0),MATCH(COLUMNS($AC$1006:AM1006),$AC$1006:$AS$1006,0)), HYPERLINK("#",""), HYPERLINK(CONCATENATE("#metadata!", ADDRESS(INDEX($X$2:$X$1001,MATCH(ROWS($V$2:V387),$V$2:$V$1001,0),0), INDEX($AC$1004:$AS$1004,1,MATCH(COLUMNS($AC$1006:AM1006),$AC$1006:$AS$1006,0)))),"Fix")))</f>
        <v xml:space="preserve"> </v>
      </c>
      <c r="M387" s="4" t="str">
        <f ca="1">IF(OR(INDEX($W$2:$W$1001,MATCH(ROWS($V$2:V387),$V$2:$V$1001,0),1)&gt;=100000,INDEX($AC$1005:$AS$1005,1,MATCH(COLUMNS($AC$1006:AN1006),$AC$1006:$AS$1006,0))&gt;=100000), " ",IF(INDEX($AC$2:$AS$1001,MATCH(ROWS($V$2:V387),$V$2:$V$1001,0),MATCH(COLUMNS($AC$1006:AN1006),$AC$1006:$AS$1006,0)), HYPERLINK("#",""), HYPERLINK(CONCATENATE("#metadata!", ADDRESS(INDEX($X$2:$X$1001,MATCH(ROWS($V$2:V387),$V$2:$V$1001,0),0), INDEX($AC$1004:$AS$1004,1,MATCH(COLUMNS($AC$1006:AN1006),$AC$1006:$AS$1006,0)))),"Fix")))</f>
        <v xml:space="preserve"> </v>
      </c>
      <c r="N387" s="4" t="str">
        <f ca="1">IF(OR(INDEX($W$2:$W$1001,MATCH(ROWS($V$2:V387),$V$2:$V$1001,0),1)&gt;=100000,INDEX($AC$1005:$AS$1005,1,MATCH(COLUMNS($AC$1006:AO1006),$AC$1006:$AS$1006,0))&gt;=100000), " ",IF(INDEX($AC$2:$AS$1001,MATCH(ROWS($V$2:V387),$V$2:$V$1001,0),MATCH(COLUMNS($AC$1006:AO1006),$AC$1006:$AS$1006,0)), HYPERLINK("#",""), HYPERLINK(CONCATENATE("#metadata!", ADDRESS(INDEX($X$2:$X$1001,MATCH(ROWS($V$2:V387),$V$2:$V$1001,0),0), INDEX($AC$1004:$AS$1004,1,MATCH(COLUMNS($AC$1006:AO1006),$AC$1006:$AS$1006,0)))),"Fix")))</f>
        <v xml:space="preserve"> </v>
      </c>
      <c r="O387" s="4" t="str">
        <f ca="1">IF(OR(INDEX($W$2:$W$1001,MATCH(ROWS($V$2:V387),$V$2:$V$1001,0),1)&gt;=100000,INDEX($AC$1005:$AS$1005,1,MATCH(COLUMNS($AC$1006:AP1006),$AC$1006:$AS$1006,0))&gt;=100000), " ",IF(INDEX($AC$2:$AS$1001,MATCH(ROWS($V$2:V387),$V$2:$V$1001,0),MATCH(COLUMNS($AC$1006:AP1006),$AC$1006:$AS$1006,0)), HYPERLINK("#",""), HYPERLINK(CONCATENATE("#metadata!", ADDRESS(INDEX($X$2:$X$1001,MATCH(ROWS($V$2:V387),$V$2:$V$1001,0),0), INDEX($AC$1004:$AS$1004,1,MATCH(COLUMNS($AC$1006:AP1006),$AC$1006:$AS$1006,0)))),"Fix")))</f>
        <v xml:space="preserve"> </v>
      </c>
      <c r="P387" s="4" t="str">
        <f ca="1">IF(OR(INDEX($W$2:$W$1001,MATCH(ROWS($V$2:V387),$V$2:$V$1001,0),1)&gt;=100000,INDEX($AC$1005:$AS$1005,1,MATCH(COLUMNS($AC$1006:AQ1006),$AC$1006:$AS$1006,0))&gt;=100000), " ",IF(INDEX($AC$2:$AS$1001,MATCH(ROWS($V$2:V387),$V$2:$V$1001,0),MATCH(COLUMNS($AC$1006:AQ1006),$AC$1006:$AS$1006,0)), HYPERLINK("#",""), HYPERLINK(CONCATENATE("#metadata!", ADDRESS(INDEX($X$2:$X$1001,MATCH(ROWS($V$2:V387),$V$2:$V$1001,0),0), INDEX($AC$1004:$AS$1004,1,MATCH(COLUMNS($AC$1006:AQ1006),$AC$1006:$AS$1006,0)))),"Fix")))</f>
        <v xml:space="preserve"> </v>
      </c>
      <c r="Q387" s="4" t="str">
        <f ca="1">IF(OR(INDEX($W$2:$W$1001,MATCH(ROWS($V$2:V387),$V$2:$V$1001,0),1)&gt;=100000,INDEX($AC$1005:$AS$1005,1,MATCH(COLUMNS($AC$1006:AR1006),$AC$1006:$AS$1006,0))&gt;=100000), " ",IF(INDEX($AC$2:$AS$1001,MATCH(ROWS($V$2:V387),$V$2:$V$1001,0),MATCH(COLUMNS($AC$1006:AR1006),$AC$1006:$AS$1006,0)), HYPERLINK("#",""), HYPERLINK(CONCATENATE("#metadata!", ADDRESS(INDEX($X$2:$X$1001,MATCH(ROWS($V$2:V387),$V$2:$V$1001,0),0), INDEX($AC$1004:$AS$1004,1,MATCH(COLUMNS($AC$1006:AR1006),$AC$1006:$AS$1006,0)))),"Fix")))</f>
        <v xml:space="preserve"> </v>
      </c>
      <c r="R387" s="4" t="str">
        <f ca="1">IF(OR(INDEX($W$2:$W$1001,MATCH(ROWS($V$2:V387),$V$2:$V$1001,0),1)&gt;=100000,INDEX($AC$1005:$AS$1005,1,MATCH(COLUMNS($AC$1006:AS1006),$AC$1006:$AS$1006,0))&gt;=100000), " ",IF(INDEX($AC$2:$AS$1001,MATCH(ROWS($V$2:V387),$V$2:$V$1001,0),MATCH(COLUMNS($AC$1006:AS1006),$AC$1006:$AS$1006,0)), HYPERLINK("#",""), HYPERLINK(CONCATENATE("#metadata!", ADDRESS(INDEX($X$2:$X$1001,MATCH(ROWS($V$2:V387),$V$2:$V$1001,0),0), INDEX($AC$1004:$AS$1004,1,MATCH(COLUMNS($AC$1006:AS1006),$AC$1006:$AS$1006,0)))),"Fix")))</f>
        <v xml:space="preserve"> </v>
      </c>
      <c r="V387">
        <v>386</v>
      </c>
      <c r="W387">
        <v>100387</v>
      </c>
      <c r="X387">
        <v>387</v>
      </c>
      <c r="Y387" t="b">
        <f t="shared" si="6"/>
        <v>1</v>
      </c>
      <c r="Z387" t="b">
        <f>COUNTBLANK(metadata!B387:R387)=COLUMNS(metadata!B387:R387)</f>
        <v>1</v>
      </c>
      <c r="AA387" t="str">
        <v/>
      </c>
      <c r="AC387" t="b">
        <f ca="1"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AD387" t="b">
        <f>IF(metadata!C387="",FALSE,ISNUMBER(VALUE(metadata!C387)))</f>
        <v>0</v>
      </c>
      <c r="AE387" t="b">
        <f>AND(IF(metadata!D387="",FALSE,TRUE),EXACT(metadata!D387,"years"))</f>
        <v>0</v>
      </c>
      <c r="AF387" t="b">
        <f>OR(AND(IF(metadata!E387="",FALSE,TRUE),OR(EXACT(metadata!E387,"not applicable"),EXACT(metadata!E387,"missing: not collected"),EXACT(metadata!E387,"missing: not provided"),EXACT(metadata!E387,"missing: restricted access"))),AND(IF(metadata!E387="",FALSE,ISNUMBER(VALUE(metadata!E387))),metadata!E387&gt;0))</f>
        <v>0</v>
      </c>
      <c r="AG387" t="b">
        <f>AND(IF(metadata!F387="",FALSE,TRUE),EXACT(metadata!F387,"Not applicable"))</f>
        <v>0</v>
      </c>
      <c r="AH387" t="b">
        <f>AND(IF(metadata!G387="",FALSE,TRUE),EXACT(metadata!G387,"urban biome"))</f>
        <v>0</v>
      </c>
      <c r="AI387" t="b">
        <f>AND(IF(metadata!H387="",FALSE,TRUE),EXACT(metadata!H387,"human-associated habitat"))</f>
        <v>0</v>
      </c>
      <c r="AJ387" t="b">
        <f>AND(IF(metadata!I387="",FALSE,TRUE),OR(EXACT(metadata!I387,"human-associated"),EXACT(metadata!I387,"human-skin"),EXACT(metadata!I387,"human-oral"),EXACT(metadata!I387,"human-gut"),EXACT(metadata!I387,"human-vaginal")))</f>
        <v>0</v>
      </c>
      <c r="AK387" t="b">
        <f>IF(metadata!J387="",FALSE,ISNUMBER(VALUE(metadata!J387)))</f>
        <v>0</v>
      </c>
      <c r="AL387" t="b">
        <f>AND(IF(metadata!K387="",FALSE,TRUE),EXACT(metadata!K387,"cm"))</f>
        <v>0</v>
      </c>
      <c r="AM387" t="b">
        <f>AND(IF(metadata!L387="",FALSE,TRUE),EXACT(metadata!L387,"human"))</f>
        <v>0</v>
      </c>
      <c r="AN387" t="b">
        <f>AND(IF(metadata!M387="",FALSE,TRUE),EXACT(metadata!M387,"Homo sapiens"))</f>
        <v>0</v>
      </c>
      <c r="AO387" t="b">
        <f>AND(IF(metadata!N387="",FALSE,TRUE),EXACT(metadata!N387,"9606"))</f>
        <v>0</v>
      </c>
      <c r="AP387" t="b">
        <f>IF(metadata!O387="",FALSE,TRUE)</f>
        <v>0</v>
      </c>
      <c r="AQ387" t="b">
        <f>IF(metadata!P387="",FALSE,TRUE)</f>
        <v>0</v>
      </c>
      <c r="AR387" t="b">
        <f>IF(metadata!Q387="",FALSE,ISNUMBER(VALUE(metadata!Q387)))</f>
        <v>0</v>
      </c>
      <c r="AS387" t="b">
        <f>AND(IF(metadata!R387="",FALSE,TRUE),EXACT(metadata!R387,"kg"))</f>
        <v>0</v>
      </c>
    </row>
    <row r="388" spans="1:45" x14ac:dyDescent="0.2">
      <c r="A388" s="5" t="str">
        <f ca="1">IF(B388=" "," ",HYPERLINK(CONCATENATE("#metadata!",ADDRESS(INDEX($X$2:$X$1001,MATCH(ROWS($V$2:V388),$V$2:$V$1001,0),0),1)),INDEX($AA$2:$AA$1001,MATCH(ROWS($V$2:V388),$V$2:$V$1001,0),0)))</f>
        <v xml:space="preserve"> </v>
      </c>
      <c r="B388" s="4" t="str">
        <f ca="1">IF(OR(INDEX($W$2:$W$1001,MATCH(ROWS($V$2:V388),$V$2:$V$1001,0),1)&gt;=100000,INDEX($AC$1005:$AS$1005,1,MATCH(COLUMNS($AC$1006:AC1006),$AC$1006:$AS$1006,0))&gt;=100000), " ",IF(INDEX($AC$2:$AS$1001,MATCH(ROWS($V$2:V388),$V$2:$V$1001,0),MATCH(COLUMNS($AC$1006:AC1006),$AC$1006:$AS$1006,0)), HYPERLINK("#",""), HYPERLINK(CONCATENATE("#metadata!", ADDRESS(INDEX($X$2:$X$1001,MATCH(ROWS($V$2:V388),$V$2:$V$1001,0),0), INDEX($AC$1004:$AS$1004,1,MATCH(COLUMNS($AC$1006:AC1006),$AC$1006:$AS$1006,0)))),"Fix")))</f>
        <v xml:space="preserve"> </v>
      </c>
      <c r="C388" s="4" t="str">
        <f ca="1">IF(OR(INDEX($W$2:$W$1001,MATCH(ROWS($V$2:V388),$V$2:$V$1001,0),1)&gt;=100000,INDEX($AC$1005:$AS$1005,1,MATCH(COLUMNS($AC$1006:AD1006),$AC$1006:$AS$1006,0))&gt;=100000), " ",IF(INDEX($AC$2:$AS$1001,MATCH(ROWS($V$2:V388),$V$2:$V$1001,0),MATCH(COLUMNS($AC$1006:AD1006),$AC$1006:$AS$1006,0)), HYPERLINK("#",""), HYPERLINK(CONCATENATE("#metadata!", ADDRESS(INDEX($X$2:$X$1001,MATCH(ROWS($V$2:V388),$V$2:$V$1001,0),0), INDEX($AC$1004:$AS$1004,1,MATCH(COLUMNS($AC$1006:AD1006),$AC$1006:$AS$1006,0)))),"Fix")))</f>
        <v xml:space="preserve"> </v>
      </c>
      <c r="D388" s="4" t="str">
        <f ca="1">IF(OR(INDEX($W$2:$W$1001,MATCH(ROWS($V$2:V388),$V$2:$V$1001,0),1)&gt;=100000,INDEX($AC$1005:$AS$1005,1,MATCH(COLUMNS($AC$1006:AE1006),$AC$1006:$AS$1006,0))&gt;=100000), " ",IF(INDEX($AC$2:$AS$1001,MATCH(ROWS($V$2:V388),$V$2:$V$1001,0),MATCH(COLUMNS($AC$1006:AE1006),$AC$1006:$AS$1006,0)), HYPERLINK("#",""), HYPERLINK(CONCATENATE("#metadata!", ADDRESS(INDEX($X$2:$X$1001,MATCH(ROWS($V$2:V388),$V$2:$V$1001,0),0), INDEX($AC$1004:$AS$1004,1,MATCH(COLUMNS($AC$1006:AE1006),$AC$1006:$AS$1006,0)))),"Fix")))</f>
        <v xml:space="preserve"> </v>
      </c>
      <c r="E388" s="4" t="str">
        <f ca="1">IF(OR(INDEX($W$2:$W$1001,MATCH(ROWS($V$2:V388),$V$2:$V$1001,0),1)&gt;=100000,INDEX($AC$1005:$AS$1005,1,MATCH(COLUMNS($AC$1006:AF1006),$AC$1006:$AS$1006,0))&gt;=100000), " ",IF(INDEX($AC$2:$AS$1001,MATCH(ROWS($V$2:V388),$V$2:$V$1001,0),MATCH(COLUMNS($AC$1006:AF1006),$AC$1006:$AS$1006,0)), HYPERLINK("#",""), HYPERLINK(CONCATENATE("#metadata!", ADDRESS(INDEX($X$2:$X$1001,MATCH(ROWS($V$2:V388),$V$2:$V$1001,0),0), INDEX($AC$1004:$AS$1004,1,MATCH(COLUMNS($AC$1006:AF1006),$AC$1006:$AS$1006,0)))),"Fix")))</f>
        <v xml:space="preserve"> </v>
      </c>
      <c r="F388" s="4" t="str">
        <f ca="1">IF(OR(INDEX($W$2:$W$1001,MATCH(ROWS($V$2:V388),$V$2:$V$1001,0),1)&gt;=100000,INDEX($AC$1005:$AS$1005,1,MATCH(COLUMNS($AC$1006:AG1006),$AC$1006:$AS$1006,0))&gt;=100000), " ",IF(INDEX($AC$2:$AS$1001,MATCH(ROWS($V$2:V388),$V$2:$V$1001,0),MATCH(COLUMNS($AC$1006:AG1006),$AC$1006:$AS$1006,0)), HYPERLINK("#",""), HYPERLINK(CONCATENATE("#metadata!", ADDRESS(INDEX($X$2:$X$1001,MATCH(ROWS($V$2:V388),$V$2:$V$1001,0),0), INDEX($AC$1004:$AS$1004,1,MATCH(COLUMNS($AC$1006:AG1006),$AC$1006:$AS$1006,0)))),"Fix")))</f>
        <v xml:space="preserve"> </v>
      </c>
      <c r="G388" s="4" t="str">
        <f ca="1">IF(OR(INDEX($W$2:$W$1001,MATCH(ROWS($V$2:V388),$V$2:$V$1001,0),1)&gt;=100000,INDEX($AC$1005:$AS$1005,1,MATCH(COLUMNS($AC$1006:AH1006),$AC$1006:$AS$1006,0))&gt;=100000), " ",IF(INDEX($AC$2:$AS$1001,MATCH(ROWS($V$2:V388),$V$2:$V$1001,0),MATCH(COLUMNS($AC$1006:AH1006),$AC$1006:$AS$1006,0)), HYPERLINK("#",""), HYPERLINK(CONCATENATE("#metadata!", ADDRESS(INDEX($X$2:$X$1001,MATCH(ROWS($V$2:V388),$V$2:$V$1001,0),0), INDEX($AC$1004:$AS$1004,1,MATCH(COLUMNS($AC$1006:AH1006),$AC$1006:$AS$1006,0)))),"Fix")))</f>
        <v xml:space="preserve"> </v>
      </c>
      <c r="H388" s="4" t="str">
        <f ca="1">IF(OR(INDEX($W$2:$W$1001,MATCH(ROWS($V$2:V388),$V$2:$V$1001,0),1)&gt;=100000,INDEX($AC$1005:$AS$1005,1,MATCH(COLUMNS($AC$1006:AI1006),$AC$1006:$AS$1006,0))&gt;=100000), " ",IF(INDEX($AC$2:$AS$1001,MATCH(ROWS($V$2:V388),$V$2:$V$1001,0),MATCH(COLUMNS($AC$1006:AI1006),$AC$1006:$AS$1006,0)), HYPERLINK("#",""), HYPERLINK(CONCATENATE("#metadata!", ADDRESS(INDEX($X$2:$X$1001,MATCH(ROWS($V$2:V388),$V$2:$V$1001,0),0), INDEX($AC$1004:$AS$1004,1,MATCH(COLUMNS($AC$1006:AI1006),$AC$1006:$AS$1006,0)))),"Fix")))</f>
        <v xml:space="preserve"> </v>
      </c>
      <c r="I388" s="4" t="str">
        <f ca="1">IF(OR(INDEX($W$2:$W$1001,MATCH(ROWS($V$2:V388),$V$2:$V$1001,0),1)&gt;=100000,INDEX($AC$1005:$AS$1005,1,MATCH(COLUMNS($AC$1006:AJ1006),$AC$1006:$AS$1006,0))&gt;=100000), " ",IF(INDEX($AC$2:$AS$1001,MATCH(ROWS($V$2:V388),$V$2:$V$1001,0),MATCH(COLUMNS($AC$1006:AJ1006),$AC$1006:$AS$1006,0)), HYPERLINK("#",""), HYPERLINK(CONCATENATE("#metadata!", ADDRESS(INDEX($X$2:$X$1001,MATCH(ROWS($V$2:V388),$V$2:$V$1001,0),0), INDEX($AC$1004:$AS$1004,1,MATCH(COLUMNS($AC$1006:AJ1006),$AC$1006:$AS$1006,0)))),"Fix")))</f>
        <v xml:space="preserve"> </v>
      </c>
      <c r="J388" s="4" t="str">
        <f ca="1">IF(OR(INDEX($W$2:$W$1001,MATCH(ROWS($V$2:V388),$V$2:$V$1001,0),1)&gt;=100000,INDEX($AC$1005:$AS$1005,1,MATCH(COLUMNS($AC$1006:AK1006),$AC$1006:$AS$1006,0))&gt;=100000), " ",IF(INDEX($AC$2:$AS$1001,MATCH(ROWS($V$2:V388),$V$2:$V$1001,0),MATCH(COLUMNS($AC$1006:AK1006),$AC$1006:$AS$1006,0)), HYPERLINK("#",""), HYPERLINK(CONCATENATE("#metadata!", ADDRESS(INDEX($X$2:$X$1001,MATCH(ROWS($V$2:V388),$V$2:$V$1001,0),0), INDEX($AC$1004:$AS$1004,1,MATCH(COLUMNS($AC$1006:AK1006),$AC$1006:$AS$1006,0)))),"Fix")))</f>
        <v xml:space="preserve"> </v>
      </c>
      <c r="K388" s="4" t="str">
        <f ca="1">IF(OR(INDEX($W$2:$W$1001,MATCH(ROWS($V$2:V388),$V$2:$V$1001,0),1)&gt;=100000,INDEX($AC$1005:$AS$1005,1,MATCH(COLUMNS($AC$1006:AL1006),$AC$1006:$AS$1006,0))&gt;=100000), " ",IF(INDEX($AC$2:$AS$1001,MATCH(ROWS($V$2:V388),$V$2:$V$1001,0),MATCH(COLUMNS($AC$1006:AL1006),$AC$1006:$AS$1006,0)), HYPERLINK("#",""), HYPERLINK(CONCATENATE("#metadata!", ADDRESS(INDEX($X$2:$X$1001,MATCH(ROWS($V$2:V388),$V$2:$V$1001,0),0), INDEX($AC$1004:$AS$1004,1,MATCH(COLUMNS($AC$1006:AL1006),$AC$1006:$AS$1006,0)))),"Fix")))</f>
        <v xml:space="preserve"> </v>
      </c>
      <c r="L388" s="4" t="str">
        <f ca="1">IF(OR(INDEX($W$2:$W$1001,MATCH(ROWS($V$2:V388),$V$2:$V$1001,0),1)&gt;=100000,INDEX($AC$1005:$AS$1005,1,MATCH(COLUMNS($AC$1006:AM1006),$AC$1006:$AS$1006,0))&gt;=100000), " ",IF(INDEX($AC$2:$AS$1001,MATCH(ROWS($V$2:V388),$V$2:$V$1001,0),MATCH(COLUMNS($AC$1006:AM1006),$AC$1006:$AS$1006,0)), HYPERLINK("#",""), HYPERLINK(CONCATENATE("#metadata!", ADDRESS(INDEX($X$2:$X$1001,MATCH(ROWS($V$2:V388),$V$2:$V$1001,0),0), INDEX($AC$1004:$AS$1004,1,MATCH(COLUMNS($AC$1006:AM1006),$AC$1006:$AS$1006,0)))),"Fix")))</f>
        <v xml:space="preserve"> </v>
      </c>
      <c r="M388" s="4" t="str">
        <f ca="1">IF(OR(INDEX($W$2:$W$1001,MATCH(ROWS($V$2:V388),$V$2:$V$1001,0),1)&gt;=100000,INDEX($AC$1005:$AS$1005,1,MATCH(COLUMNS($AC$1006:AN1006),$AC$1006:$AS$1006,0))&gt;=100000), " ",IF(INDEX($AC$2:$AS$1001,MATCH(ROWS($V$2:V388),$V$2:$V$1001,0),MATCH(COLUMNS($AC$1006:AN1006),$AC$1006:$AS$1006,0)), HYPERLINK("#",""), HYPERLINK(CONCATENATE("#metadata!", ADDRESS(INDEX($X$2:$X$1001,MATCH(ROWS($V$2:V388),$V$2:$V$1001,0),0), INDEX($AC$1004:$AS$1004,1,MATCH(COLUMNS($AC$1006:AN1006),$AC$1006:$AS$1006,0)))),"Fix")))</f>
        <v xml:space="preserve"> </v>
      </c>
      <c r="N388" s="4" t="str">
        <f ca="1">IF(OR(INDEX($W$2:$W$1001,MATCH(ROWS($V$2:V388),$V$2:$V$1001,0),1)&gt;=100000,INDEX($AC$1005:$AS$1005,1,MATCH(COLUMNS($AC$1006:AO1006),$AC$1006:$AS$1006,0))&gt;=100000), " ",IF(INDEX($AC$2:$AS$1001,MATCH(ROWS($V$2:V388),$V$2:$V$1001,0),MATCH(COLUMNS($AC$1006:AO1006),$AC$1006:$AS$1006,0)), HYPERLINK("#",""), HYPERLINK(CONCATENATE("#metadata!", ADDRESS(INDEX($X$2:$X$1001,MATCH(ROWS($V$2:V388),$V$2:$V$1001,0),0), INDEX($AC$1004:$AS$1004,1,MATCH(COLUMNS($AC$1006:AO1006),$AC$1006:$AS$1006,0)))),"Fix")))</f>
        <v xml:space="preserve"> </v>
      </c>
      <c r="O388" s="4" t="str">
        <f ca="1">IF(OR(INDEX($W$2:$W$1001,MATCH(ROWS($V$2:V388),$V$2:$V$1001,0),1)&gt;=100000,INDEX($AC$1005:$AS$1005,1,MATCH(COLUMNS($AC$1006:AP1006),$AC$1006:$AS$1006,0))&gt;=100000), " ",IF(INDEX($AC$2:$AS$1001,MATCH(ROWS($V$2:V388),$V$2:$V$1001,0),MATCH(COLUMNS($AC$1006:AP1006),$AC$1006:$AS$1006,0)), HYPERLINK("#",""), HYPERLINK(CONCATENATE("#metadata!", ADDRESS(INDEX($X$2:$X$1001,MATCH(ROWS($V$2:V388),$V$2:$V$1001,0),0), INDEX($AC$1004:$AS$1004,1,MATCH(COLUMNS($AC$1006:AP1006),$AC$1006:$AS$1006,0)))),"Fix")))</f>
        <v xml:space="preserve"> </v>
      </c>
      <c r="P388" s="4" t="str">
        <f ca="1">IF(OR(INDEX($W$2:$W$1001,MATCH(ROWS($V$2:V388),$V$2:$V$1001,0),1)&gt;=100000,INDEX($AC$1005:$AS$1005,1,MATCH(COLUMNS($AC$1006:AQ1006),$AC$1006:$AS$1006,0))&gt;=100000), " ",IF(INDEX($AC$2:$AS$1001,MATCH(ROWS($V$2:V388),$V$2:$V$1001,0),MATCH(COLUMNS($AC$1006:AQ1006),$AC$1006:$AS$1006,0)), HYPERLINK("#",""), HYPERLINK(CONCATENATE("#metadata!", ADDRESS(INDEX($X$2:$X$1001,MATCH(ROWS($V$2:V388),$V$2:$V$1001,0),0), INDEX($AC$1004:$AS$1004,1,MATCH(COLUMNS($AC$1006:AQ1006),$AC$1006:$AS$1006,0)))),"Fix")))</f>
        <v xml:space="preserve"> </v>
      </c>
      <c r="Q388" s="4" t="str">
        <f ca="1">IF(OR(INDEX($W$2:$W$1001,MATCH(ROWS($V$2:V388),$V$2:$V$1001,0),1)&gt;=100000,INDEX($AC$1005:$AS$1005,1,MATCH(COLUMNS($AC$1006:AR1006),$AC$1006:$AS$1006,0))&gt;=100000), " ",IF(INDEX($AC$2:$AS$1001,MATCH(ROWS($V$2:V388),$V$2:$V$1001,0),MATCH(COLUMNS($AC$1006:AR1006),$AC$1006:$AS$1006,0)), HYPERLINK("#",""), HYPERLINK(CONCATENATE("#metadata!", ADDRESS(INDEX($X$2:$X$1001,MATCH(ROWS($V$2:V388),$V$2:$V$1001,0),0), INDEX($AC$1004:$AS$1004,1,MATCH(COLUMNS($AC$1006:AR1006),$AC$1006:$AS$1006,0)))),"Fix")))</f>
        <v xml:space="preserve"> </v>
      </c>
      <c r="R388" s="4" t="str">
        <f ca="1">IF(OR(INDEX($W$2:$W$1001,MATCH(ROWS($V$2:V388),$V$2:$V$1001,0),1)&gt;=100000,INDEX($AC$1005:$AS$1005,1,MATCH(COLUMNS($AC$1006:AS1006),$AC$1006:$AS$1006,0))&gt;=100000), " ",IF(INDEX($AC$2:$AS$1001,MATCH(ROWS($V$2:V388),$V$2:$V$1001,0),MATCH(COLUMNS($AC$1006:AS1006),$AC$1006:$AS$1006,0)), HYPERLINK("#",""), HYPERLINK(CONCATENATE("#metadata!", ADDRESS(INDEX($X$2:$X$1001,MATCH(ROWS($V$2:V388),$V$2:$V$1001,0),0), INDEX($AC$1004:$AS$1004,1,MATCH(COLUMNS($AC$1006:AS1006),$AC$1006:$AS$1006,0)))),"Fix")))</f>
        <v xml:space="preserve"> </v>
      </c>
      <c r="V388">
        <v>387</v>
      </c>
      <c r="W388">
        <v>100388</v>
      </c>
      <c r="X388">
        <v>388</v>
      </c>
      <c r="Y388" t="b">
        <f t="shared" si="6"/>
        <v>1</v>
      </c>
      <c r="Z388" t="b">
        <f>COUNTBLANK(metadata!B388:R388)=COLUMNS(metadata!B388:R388)</f>
        <v>1</v>
      </c>
      <c r="AA388" t="str">
        <v/>
      </c>
      <c r="AC388" t="b">
        <f ca="1"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AD388" t="b">
        <f>IF(metadata!C388="",FALSE,ISNUMBER(VALUE(metadata!C388)))</f>
        <v>0</v>
      </c>
      <c r="AE388" t="b">
        <f>AND(IF(metadata!D388="",FALSE,TRUE),EXACT(metadata!D388,"years"))</f>
        <v>0</v>
      </c>
      <c r="AF388" t="b">
        <f>OR(AND(IF(metadata!E388="",FALSE,TRUE),OR(EXACT(metadata!E388,"not applicable"),EXACT(metadata!E388,"missing: not collected"),EXACT(metadata!E388,"missing: not provided"),EXACT(metadata!E388,"missing: restricted access"))),AND(IF(metadata!E388="",FALSE,ISNUMBER(VALUE(metadata!E388))),metadata!E388&gt;0))</f>
        <v>0</v>
      </c>
      <c r="AG388" t="b">
        <f>AND(IF(metadata!F388="",FALSE,TRUE),EXACT(metadata!F388,"Not applicable"))</f>
        <v>0</v>
      </c>
      <c r="AH388" t="b">
        <f>AND(IF(metadata!G388="",FALSE,TRUE),EXACT(metadata!G388,"urban biome"))</f>
        <v>0</v>
      </c>
      <c r="AI388" t="b">
        <f>AND(IF(metadata!H388="",FALSE,TRUE),EXACT(metadata!H388,"human-associated habitat"))</f>
        <v>0</v>
      </c>
      <c r="AJ388" t="b">
        <f>AND(IF(metadata!I388="",FALSE,TRUE),OR(EXACT(metadata!I388,"human-associated"),EXACT(metadata!I388,"human-skin"),EXACT(metadata!I388,"human-oral"),EXACT(metadata!I388,"human-gut"),EXACT(metadata!I388,"human-vaginal")))</f>
        <v>0</v>
      </c>
      <c r="AK388" t="b">
        <f>IF(metadata!J388="",FALSE,ISNUMBER(VALUE(metadata!J388)))</f>
        <v>0</v>
      </c>
      <c r="AL388" t="b">
        <f>AND(IF(metadata!K388="",FALSE,TRUE),EXACT(metadata!K388,"cm"))</f>
        <v>0</v>
      </c>
      <c r="AM388" t="b">
        <f>AND(IF(metadata!L388="",FALSE,TRUE),EXACT(metadata!L388,"human"))</f>
        <v>0</v>
      </c>
      <c r="AN388" t="b">
        <f>AND(IF(metadata!M388="",FALSE,TRUE),EXACT(metadata!M388,"Homo sapiens"))</f>
        <v>0</v>
      </c>
      <c r="AO388" t="b">
        <f>AND(IF(metadata!N388="",FALSE,TRUE),EXACT(metadata!N388,"9606"))</f>
        <v>0</v>
      </c>
      <c r="AP388" t="b">
        <f>IF(metadata!O388="",FALSE,TRUE)</f>
        <v>0</v>
      </c>
      <c r="AQ388" t="b">
        <f>IF(metadata!P388="",FALSE,TRUE)</f>
        <v>0</v>
      </c>
      <c r="AR388" t="b">
        <f>IF(metadata!Q388="",FALSE,ISNUMBER(VALUE(metadata!Q388)))</f>
        <v>0</v>
      </c>
      <c r="AS388" t="b">
        <f>AND(IF(metadata!R388="",FALSE,TRUE),EXACT(metadata!R388,"kg"))</f>
        <v>0</v>
      </c>
    </row>
    <row r="389" spans="1:45" x14ac:dyDescent="0.2">
      <c r="A389" s="5" t="str">
        <f ca="1">IF(B389=" "," ",HYPERLINK(CONCATENATE("#metadata!",ADDRESS(INDEX($X$2:$X$1001,MATCH(ROWS($V$2:V389),$V$2:$V$1001,0),0),1)),INDEX($AA$2:$AA$1001,MATCH(ROWS($V$2:V389),$V$2:$V$1001,0),0)))</f>
        <v xml:space="preserve"> </v>
      </c>
      <c r="B389" s="4" t="str">
        <f ca="1">IF(OR(INDEX($W$2:$W$1001,MATCH(ROWS($V$2:V389),$V$2:$V$1001,0),1)&gt;=100000,INDEX($AC$1005:$AS$1005,1,MATCH(COLUMNS($AC$1006:AC1006),$AC$1006:$AS$1006,0))&gt;=100000), " ",IF(INDEX($AC$2:$AS$1001,MATCH(ROWS($V$2:V389),$V$2:$V$1001,0),MATCH(COLUMNS($AC$1006:AC1006),$AC$1006:$AS$1006,0)), HYPERLINK("#",""), HYPERLINK(CONCATENATE("#metadata!", ADDRESS(INDEX($X$2:$X$1001,MATCH(ROWS($V$2:V389),$V$2:$V$1001,0),0), INDEX($AC$1004:$AS$1004,1,MATCH(COLUMNS($AC$1006:AC1006),$AC$1006:$AS$1006,0)))),"Fix")))</f>
        <v xml:space="preserve"> </v>
      </c>
      <c r="C389" s="4" t="str">
        <f ca="1">IF(OR(INDEX($W$2:$W$1001,MATCH(ROWS($V$2:V389),$V$2:$V$1001,0),1)&gt;=100000,INDEX($AC$1005:$AS$1005,1,MATCH(COLUMNS($AC$1006:AD1006),$AC$1006:$AS$1006,0))&gt;=100000), " ",IF(INDEX($AC$2:$AS$1001,MATCH(ROWS($V$2:V389),$V$2:$V$1001,0),MATCH(COLUMNS($AC$1006:AD1006),$AC$1006:$AS$1006,0)), HYPERLINK("#",""), HYPERLINK(CONCATENATE("#metadata!", ADDRESS(INDEX($X$2:$X$1001,MATCH(ROWS($V$2:V389),$V$2:$V$1001,0),0), INDEX($AC$1004:$AS$1004,1,MATCH(COLUMNS($AC$1006:AD1006),$AC$1006:$AS$1006,0)))),"Fix")))</f>
        <v xml:space="preserve"> </v>
      </c>
      <c r="D389" s="4" t="str">
        <f ca="1">IF(OR(INDEX($W$2:$W$1001,MATCH(ROWS($V$2:V389),$V$2:$V$1001,0),1)&gt;=100000,INDEX($AC$1005:$AS$1005,1,MATCH(COLUMNS($AC$1006:AE1006),$AC$1006:$AS$1006,0))&gt;=100000), " ",IF(INDEX($AC$2:$AS$1001,MATCH(ROWS($V$2:V389),$V$2:$V$1001,0),MATCH(COLUMNS($AC$1006:AE1006),$AC$1006:$AS$1006,0)), HYPERLINK("#",""), HYPERLINK(CONCATENATE("#metadata!", ADDRESS(INDEX($X$2:$X$1001,MATCH(ROWS($V$2:V389),$V$2:$V$1001,0),0), INDEX($AC$1004:$AS$1004,1,MATCH(COLUMNS($AC$1006:AE1006),$AC$1006:$AS$1006,0)))),"Fix")))</f>
        <v xml:space="preserve"> </v>
      </c>
      <c r="E389" s="4" t="str">
        <f ca="1">IF(OR(INDEX($W$2:$W$1001,MATCH(ROWS($V$2:V389),$V$2:$V$1001,0),1)&gt;=100000,INDEX($AC$1005:$AS$1005,1,MATCH(COLUMNS($AC$1006:AF1006),$AC$1006:$AS$1006,0))&gt;=100000), " ",IF(INDEX($AC$2:$AS$1001,MATCH(ROWS($V$2:V389),$V$2:$V$1001,0),MATCH(COLUMNS($AC$1006:AF1006),$AC$1006:$AS$1006,0)), HYPERLINK("#",""), HYPERLINK(CONCATENATE("#metadata!", ADDRESS(INDEX($X$2:$X$1001,MATCH(ROWS($V$2:V389),$V$2:$V$1001,0),0), INDEX($AC$1004:$AS$1004,1,MATCH(COLUMNS($AC$1006:AF1006),$AC$1006:$AS$1006,0)))),"Fix")))</f>
        <v xml:space="preserve"> </v>
      </c>
      <c r="F389" s="4" t="str">
        <f ca="1">IF(OR(INDEX($W$2:$W$1001,MATCH(ROWS($V$2:V389),$V$2:$V$1001,0),1)&gt;=100000,INDEX($AC$1005:$AS$1005,1,MATCH(COLUMNS($AC$1006:AG1006),$AC$1006:$AS$1006,0))&gt;=100000), " ",IF(INDEX($AC$2:$AS$1001,MATCH(ROWS($V$2:V389),$V$2:$V$1001,0),MATCH(COLUMNS($AC$1006:AG1006),$AC$1006:$AS$1006,0)), HYPERLINK("#",""), HYPERLINK(CONCATENATE("#metadata!", ADDRESS(INDEX($X$2:$X$1001,MATCH(ROWS($V$2:V389),$V$2:$V$1001,0),0), INDEX($AC$1004:$AS$1004,1,MATCH(COLUMNS($AC$1006:AG1006),$AC$1006:$AS$1006,0)))),"Fix")))</f>
        <v xml:space="preserve"> </v>
      </c>
      <c r="G389" s="4" t="str">
        <f ca="1">IF(OR(INDEX($W$2:$W$1001,MATCH(ROWS($V$2:V389),$V$2:$V$1001,0),1)&gt;=100000,INDEX($AC$1005:$AS$1005,1,MATCH(COLUMNS($AC$1006:AH1006),$AC$1006:$AS$1006,0))&gt;=100000), " ",IF(INDEX($AC$2:$AS$1001,MATCH(ROWS($V$2:V389),$V$2:$V$1001,0),MATCH(COLUMNS($AC$1006:AH1006),$AC$1006:$AS$1006,0)), HYPERLINK("#",""), HYPERLINK(CONCATENATE("#metadata!", ADDRESS(INDEX($X$2:$X$1001,MATCH(ROWS($V$2:V389),$V$2:$V$1001,0),0), INDEX($AC$1004:$AS$1004,1,MATCH(COLUMNS($AC$1006:AH1006),$AC$1006:$AS$1006,0)))),"Fix")))</f>
        <v xml:space="preserve"> </v>
      </c>
      <c r="H389" s="4" t="str">
        <f ca="1">IF(OR(INDEX($W$2:$W$1001,MATCH(ROWS($V$2:V389),$V$2:$V$1001,0),1)&gt;=100000,INDEX($AC$1005:$AS$1005,1,MATCH(COLUMNS($AC$1006:AI1006),$AC$1006:$AS$1006,0))&gt;=100000), " ",IF(INDEX($AC$2:$AS$1001,MATCH(ROWS($V$2:V389),$V$2:$V$1001,0),MATCH(COLUMNS($AC$1006:AI1006),$AC$1006:$AS$1006,0)), HYPERLINK("#",""), HYPERLINK(CONCATENATE("#metadata!", ADDRESS(INDEX($X$2:$X$1001,MATCH(ROWS($V$2:V389),$V$2:$V$1001,0),0), INDEX($AC$1004:$AS$1004,1,MATCH(COLUMNS($AC$1006:AI1006),$AC$1006:$AS$1006,0)))),"Fix")))</f>
        <v xml:space="preserve"> </v>
      </c>
      <c r="I389" s="4" t="str">
        <f ca="1">IF(OR(INDEX($W$2:$W$1001,MATCH(ROWS($V$2:V389),$V$2:$V$1001,0),1)&gt;=100000,INDEX($AC$1005:$AS$1005,1,MATCH(COLUMNS($AC$1006:AJ1006),$AC$1006:$AS$1006,0))&gt;=100000), " ",IF(INDEX($AC$2:$AS$1001,MATCH(ROWS($V$2:V389),$V$2:$V$1001,0),MATCH(COLUMNS($AC$1006:AJ1006),$AC$1006:$AS$1006,0)), HYPERLINK("#",""), HYPERLINK(CONCATENATE("#metadata!", ADDRESS(INDEX($X$2:$X$1001,MATCH(ROWS($V$2:V389),$V$2:$V$1001,0),0), INDEX($AC$1004:$AS$1004,1,MATCH(COLUMNS($AC$1006:AJ1006),$AC$1006:$AS$1006,0)))),"Fix")))</f>
        <v xml:space="preserve"> </v>
      </c>
      <c r="J389" s="4" t="str">
        <f ca="1">IF(OR(INDEX($W$2:$W$1001,MATCH(ROWS($V$2:V389),$V$2:$V$1001,0),1)&gt;=100000,INDEX($AC$1005:$AS$1005,1,MATCH(COLUMNS($AC$1006:AK1006),$AC$1006:$AS$1006,0))&gt;=100000), " ",IF(INDEX($AC$2:$AS$1001,MATCH(ROWS($V$2:V389),$V$2:$V$1001,0),MATCH(COLUMNS($AC$1006:AK1006),$AC$1006:$AS$1006,0)), HYPERLINK("#",""), HYPERLINK(CONCATENATE("#metadata!", ADDRESS(INDEX($X$2:$X$1001,MATCH(ROWS($V$2:V389),$V$2:$V$1001,0),0), INDEX($AC$1004:$AS$1004,1,MATCH(COLUMNS($AC$1006:AK1006),$AC$1006:$AS$1006,0)))),"Fix")))</f>
        <v xml:space="preserve"> </v>
      </c>
      <c r="K389" s="4" t="str">
        <f ca="1">IF(OR(INDEX($W$2:$W$1001,MATCH(ROWS($V$2:V389),$V$2:$V$1001,0),1)&gt;=100000,INDEX($AC$1005:$AS$1005,1,MATCH(COLUMNS($AC$1006:AL1006),$AC$1006:$AS$1006,0))&gt;=100000), " ",IF(INDEX($AC$2:$AS$1001,MATCH(ROWS($V$2:V389),$V$2:$V$1001,0),MATCH(COLUMNS($AC$1006:AL1006),$AC$1006:$AS$1006,0)), HYPERLINK("#",""), HYPERLINK(CONCATENATE("#metadata!", ADDRESS(INDEX($X$2:$X$1001,MATCH(ROWS($V$2:V389),$V$2:$V$1001,0),0), INDEX($AC$1004:$AS$1004,1,MATCH(COLUMNS($AC$1006:AL1006),$AC$1006:$AS$1006,0)))),"Fix")))</f>
        <v xml:space="preserve"> </v>
      </c>
      <c r="L389" s="4" t="str">
        <f ca="1">IF(OR(INDEX($W$2:$W$1001,MATCH(ROWS($V$2:V389),$V$2:$V$1001,0),1)&gt;=100000,INDEX($AC$1005:$AS$1005,1,MATCH(COLUMNS($AC$1006:AM1006),$AC$1006:$AS$1006,0))&gt;=100000), " ",IF(INDEX($AC$2:$AS$1001,MATCH(ROWS($V$2:V389),$V$2:$V$1001,0),MATCH(COLUMNS($AC$1006:AM1006),$AC$1006:$AS$1006,0)), HYPERLINK("#",""), HYPERLINK(CONCATENATE("#metadata!", ADDRESS(INDEX($X$2:$X$1001,MATCH(ROWS($V$2:V389),$V$2:$V$1001,0),0), INDEX($AC$1004:$AS$1004,1,MATCH(COLUMNS($AC$1006:AM1006),$AC$1006:$AS$1006,0)))),"Fix")))</f>
        <v xml:space="preserve"> </v>
      </c>
      <c r="M389" s="4" t="str">
        <f ca="1">IF(OR(INDEX($W$2:$W$1001,MATCH(ROWS($V$2:V389),$V$2:$V$1001,0),1)&gt;=100000,INDEX($AC$1005:$AS$1005,1,MATCH(COLUMNS($AC$1006:AN1006),$AC$1006:$AS$1006,0))&gt;=100000), " ",IF(INDEX($AC$2:$AS$1001,MATCH(ROWS($V$2:V389),$V$2:$V$1001,0),MATCH(COLUMNS($AC$1006:AN1006),$AC$1006:$AS$1006,0)), HYPERLINK("#",""), HYPERLINK(CONCATENATE("#metadata!", ADDRESS(INDEX($X$2:$X$1001,MATCH(ROWS($V$2:V389),$V$2:$V$1001,0),0), INDEX($AC$1004:$AS$1004,1,MATCH(COLUMNS($AC$1006:AN1006),$AC$1006:$AS$1006,0)))),"Fix")))</f>
        <v xml:space="preserve"> </v>
      </c>
      <c r="N389" s="4" t="str">
        <f ca="1">IF(OR(INDEX($W$2:$W$1001,MATCH(ROWS($V$2:V389),$V$2:$V$1001,0),1)&gt;=100000,INDEX($AC$1005:$AS$1005,1,MATCH(COLUMNS($AC$1006:AO1006),$AC$1006:$AS$1006,0))&gt;=100000), " ",IF(INDEX($AC$2:$AS$1001,MATCH(ROWS($V$2:V389),$V$2:$V$1001,0),MATCH(COLUMNS($AC$1006:AO1006),$AC$1006:$AS$1006,0)), HYPERLINK("#",""), HYPERLINK(CONCATENATE("#metadata!", ADDRESS(INDEX($X$2:$X$1001,MATCH(ROWS($V$2:V389),$V$2:$V$1001,0),0), INDEX($AC$1004:$AS$1004,1,MATCH(COLUMNS($AC$1006:AO1006),$AC$1006:$AS$1006,0)))),"Fix")))</f>
        <v xml:space="preserve"> </v>
      </c>
      <c r="O389" s="4" t="str">
        <f ca="1">IF(OR(INDEX($W$2:$W$1001,MATCH(ROWS($V$2:V389),$V$2:$V$1001,0),1)&gt;=100000,INDEX($AC$1005:$AS$1005,1,MATCH(COLUMNS($AC$1006:AP1006),$AC$1006:$AS$1006,0))&gt;=100000), " ",IF(INDEX($AC$2:$AS$1001,MATCH(ROWS($V$2:V389),$V$2:$V$1001,0),MATCH(COLUMNS($AC$1006:AP1006),$AC$1006:$AS$1006,0)), HYPERLINK("#",""), HYPERLINK(CONCATENATE("#metadata!", ADDRESS(INDEX($X$2:$X$1001,MATCH(ROWS($V$2:V389),$V$2:$V$1001,0),0), INDEX($AC$1004:$AS$1004,1,MATCH(COLUMNS($AC$1006:AP1006),$AC$1006:$AS$1006,0)))),"Fix")))</f>
        <v xml:space="preserve"> </v>
      </c>
      <c r="P389" s="4" t="str">
        <f ca="1">IF(OR(INDEX($W$2:$W$1001,MATCH(ROWS($V$2:V389),$V$2:$V$1001,0),1)&gt;=100000,INDEX($AC$1005:$AS$1005,1,MATCH(COLUMNS($AC$1006:AQ1006),$AC$1006:$AS$1006,0))&gt;=100000), " ",IF(INDEX($AC$2:$AS$1001,MATCH(ROWS($V$2:V389),$V$2:$V$1001,0),MATCH(COLUMNS($AC$1006:AQ1006),$AC$1006:$AS$1006,0)), HYPERLINK("#",""), HYPERLINK(CONCATENATE("#metadata!", ADDRESS(INDEX($X$2:$X$1001,MATCH(ROWS($V$2:V389),$V$2:$V$1001,0),0), INDEX($AC$1004:$AS$1004,1,MATCH(COLUMNS($AC$1006:AQ1006),$AC$1006:$AS$1006,0)))),"Fix")))</f>
        <v xml:space="preserve"> </v>
      </c>
      <c r="Q389" s="4" t="str">
        <f ca="1">IF(OR(INDEX($W$2:$W$1001,MATCH(ROWS($V$2:V389),$V$2:$V$1001,0),1)&gt;=100000,INDEX($AC$1005:$AS$1005,1,MATCH(COLUMNS($AC$1006:AR1006),$AC$1006:$AS$1006,0))&gt;=100000), " ",IF(INDEX($AC$2:$AS$1001,MATCH(ROWS($V$2:V389),$V$2:$V$1001,0),MATCH(COLUMNS($AC$1006:AR1006),$AC$1006:$AS$1006,0)), HYPERLINK("#",""), HYPERLINK(CONCATENATE("#metadata!", ADDRESS(INDEX($X$2:$X$1001,MATCH(ROWS($V$2:V389),$V$2:$V$1001,0),0), INDEX($AC$1004:$AS$1004,1,MATCH(COLUMNS($AC$1006:AR1006),$AC$1006:$AS$1006,0)))),"Fix")))</f>
        <v xml:space="preserve"> </v>
      </c>
      <c r="R389" s="4" t="str">
        <f ca="1">IF(OR(INDEX($W$2:$W$1001,MATCH(ROWS($V$2:V389),$V$2:$V$1001,0),1)&gt;=100000,INDEX($AC$1005:$AS$1005,1,MATCH(COLUMNS($AC$1006:AS1006),$AC$1006:$AS$1006,0))&gt;=100000), " ",IF(INDEX($AC$2:$AS$1001,MATCH(ROWS($V$2:V389),$V$2:$V$1001,0),MATCH(COLUMNS($AC$1006:AS1006),$AC$1006:$AS$1006,0)), HYPERLINK("#",""), HYPERLINK(CONCATENATE("#metadata!", ADDRESS(INDEX($X$2:$X$1001,MATCH(ROWS($V$2:V389),$V$2:$V$1001,0),0), INDEX($AC$1004:$AS$1004,1,MATCH(COLUMNS($AC$1006:AS1006),$AC$1006:$AS$1006,0)))),"Fix")))</f>
        <v xml:space="preserve"> </v>
      </c>
      <c r="V389">
        <v>388</v>
      </c>
      <c r="W389">
        <v>100389</v>
      </c>
      <c r="X389">
        <v>389</v>
      </c>
      <c r="Y389" t="b">
        <f t="shared" si="6"/>
        <v>1</v>
      </c>
      <c r="Z389" t="b">
        <f>COUNTBLANK(metadata!B389:R389)=COLUMNS(metadata!B389:R389)</f>
        <v>1</v>
      </c>
      <c r="AA389" t="str">
        <v/>
      </c>
      <c r="AC389" t="b">
        <f ca="1"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AD389" t="b">
        <f>IF(metadata!C389="",FALSE,ISNUMBER(VALUE(metadata!C389)))</f>
        <v>0</v>
      </c>
      <c r="AE389" t="b">
        <f>AND(IF(metadata!D389="",FALSE,TRUE),EXACT(metadata!D389,"years"))</f>
        <v>0</v>
      </c>
      <c r="AF389" t="b">
        <f>OR(AND(IF(metadata!E389="",FALSE,TRUE),OR(EXACT(metadata!E389,"not applicable"),EXACT(metadata!E389,"missing: not collected"),EXACT(metadata!E389,"missing: not provided"),EXACT(metadata!E389,"missing: restricted access"))),AND(IF(metadata!E389="",FALSE,ISNUMBER(VALUE(metadata!E389))),metadata!E389&gt;0))</f>
        <v>0</v>
      </c>
      <c r="AG389" t="b">
        <f>AND(IF(metadata!F389="",FALSE,TRUE),EXACT(metadata!F389,"Not applicable"))</f>
        <v>0</v>
      </c>
      <c r="AH389" t="b">
        <f>AND(IF(metadata!G389="",FALSE,TRUE),EXACT(metadata!G389,"urban biome"))</f>
        <v>0</v>
      </c>
      <c r="AI389" t="b">
        <f>AND(IF(metadata!H389="",FALSE,TRUE),EXACT(metadata!H389,"human-associated habitat"))</f>
        <v>0</v>
      </c>
      <c r="AJ389" t="b">
        <f>AND(IF(metadata!I389="",FALSE,TRUE),OR(EXACT(metadata!I389,"human-associated"),EXACT(metadata!I389,"human-skin"),EXACT(metadata!I389,"human-oral"),EXACT(metadata!I389,"human-gut"),EXACT(metadata!I389,"human-vaginal")))</f>
        <v>0</v>
      </c>
      <c r="AK389" t="b">
        <f>IF(metadata!J389="",FALSE,ISNUMBER(VALUE(metadata!J389)))</f>
        <v>0</v>
      </c>
      <c r="AL389" t="b">
        <f>AND(IF(metadata!K389="",FALSE,TRUE),EXACT(metadata!K389,"cm"))</f>
        <v>0</v>
      </c>
      <c r="AM389" t="b">
        <f>AND(IF(metadata!L389="",FALSE,TRUE),EXACT(metadata!L389,"human"))</f>
        <v>0</v>
      </c>
      <c r="AN389" t="b">
        <f>AND(IF(metadata!M389="",FALSE,TRUE),EXACT(metadata!M389,"Homo sapiens"))</f>
        <v>0</v>
      </c>
      <c r="AO389" t="b">
        <f>AND(IF(metadata!N389="",FALSE,TRUE),EXACT(metadata!N389,"9606"))</f>
        <v>0</v>
      </c>
      <c r="AP389" t="b">
        <f>IF(metadata!O389="",FALSE,TRUE)</f>
        <v>0</v>
      </c>
      <c r="AQ389" t="b">
        <f>IF(metadata!P389="",FALSE,TRUE)</f>
        <v>0</v>
      </c>
      <c r="AR389" t="b">
        <f>IF(metadata!Q389="",FALSE,ISNUMBER(VALUE(metadata!Q389)))</f>
        <v>0</v>
      </c>
      <c r="AS389" t="b">
        <f>AND(IF(metadata!R389="",FALSE,TRUE),EXACT(metadata!R389,"kg"))</f>
        <v>0</v>
      </c>
    </row>
    <row r="390" spans="1:45" x14ac:dyDescent="0.2">
      <c r="A390" s="5" t="str">
        <f ca="1">IF(B390=" "," ",HYPERLINK(CONCATENATE("#metadata!",ADDRESS(INDEX($X$2:$X$1001,MATCH(ROWS($V$2:V390),$V$2:$V$1001,0),0),1)),INDEX($AA$2:$AA$1001,MATCH(ROWS($V$2:V390),$V$2:$V$1001,0),0)))</f>
        <v xml:space="preserve"> </v>
      </c>
      <c r="B390" s="4" t="str">
        <f ca="1">IF(OR(INDEX($W$2:$W$1001,MATCH(ROWS($V$2:V390),$V$2:$V$1001,0),1)&gt;=100000,INDEX($AC$1005:$AS$1005,1,MATCH(COLUMNS($AC$1006:AC1006),$AC$1006:$AS$1006,0))&gt;=100000), " ",IF(INDEX($AC$2:$AS$1001,MATCH(ROWS($V$2:V390),$V$2:$V$1001,0),MATCH(COLUMNS($AC$1006:AC1006),$AC$1006:$AS$1006,0)), HYPERLINK("#",""), HYPERLINK(CONCATENATE("#metadata!", ADDRESS(INDEX($X$2:$X$1001,MATCH(ROWS($V$2:V390),$V$2:$V$1001,0),0), INDEX($AC$1004:$AS$1004,1,MATCH(COLUMNS($AC$1006:AC1006),$AC$1006:$AS$1006,0)))),"Fix")))</f>
        <v xml:space="preserve"> </v>
      </c>
      <c r="C390" s="4" t="str">
        <f ca="1">IF(OR(INDEX($W$2:$W$1001,MATCH(ROWS($V$2:V390),$V$2:$V$1001,0),1)&gt;=100000,INDEX($AC$1005:$AS$1005,1,MATCH(COLUMNS($AC$1006:AD1006),$AC$1006:$AS$1006,0))&gt;=100000), " ",IF(INDEX($AC$2:$AS$1001,MATCH(ROWS($V$2:V390),$V$2:$V$1001,0),MATCH(COLUMNS($AC$1006:AD1006),$AC$1006:$AS$1006,0)), HYPERLINK("#",""), HYPERLINK(CONCATENATE("#metadata!", ADDRESS(INDEX($X$2:$X$1001,MATCH(ROWS($V$2:V390),$V$2:$V$1001,0),0), INDEX($AC$1004:$AS$1004,1,MATCH(COLUMNS($AC$1006:AD1006),$AC$1006:$AS$1006,0)))),"Fix")))</f>
        <v xml:space="preserve"> </v>
      </c>
      <c r="D390" s="4" t="str">
        <f ca="1">IF(OR(INDEX($W$2:$W$1001,MATCH(ROWS($V$2:V390),$V$2:$V$1001,0),1)&gt;=100000,INDEX($AC$1005:$AS$1005,1,MATCH(COLUMNS($AC$1006:AE1006),$AC$1006:$AS$1006,0))&gt;=100000), " ",IF(INDEX($AC$2:$AS$1001,MATCH(ROWS($V$2:V390),$V$2:$V$1001,0),MATCH(COLUMNS($AC$1006:AE1006),$AC$1006:$AS$1006,0)), HYPERLINK("#",""), HYPERLINK(CONCATENATE("#metadata!", ADDRESS(INDEX($X$2:$X$1001,MATCH(ROWS($V$2:V390),$V$2:$V$1001,0),0), INDEX($AC$1004:$AS$1004,1,MATCH(COLUMNS($AC$1006:AE1006),$AC$1006:$AS$1006,0)))),"Fix")))</f>
        <v xml:space="preserve"> </v>
      </c>
      <c r="E390" s="4" t="str">
        <f ca="1">IF(OR(INDEX($W$2:$W$1001,MATCH(ROWS($V$2:V390),$V$2:$V$1001,0),1)&gt;=100000,INDEX($AC$1005:$AS$1005,1,MATCH(COLUMNS($AC$1006:AF1006),$AC$1006:$AS$1006,0))&gt;=100000), " ",IF(INDEX($AC$2:$AS$1001,MATCH(ROWS($V$2:V390),$V$2:$V$1001,0),MATCH(COLUMNS($AC$1006:AF1006),$AC$1006:$AS$1006,0)), HYPERLINK("#",""), HYPERLINK(CONCATENATE("#metadata!", ADDRESS(INDEX($X$2:$X$1001,MATCH(ROWS($V$2:V390),$V$2:$V$1001,0),0), INDEX($AC$1004:$AS$1004,1,MATCH(COLUMNS($AC$1006:AF1006),$AC$1006:$AS$1006,0)))),"Fix")))</f>
        <v xml:space="preserve"> </v>
      </c>
      <c r="F390" s="4" t="str">
        <f ca="1">IF(OR(INDEX($W$2:$W$1001,MATCH(ROWS($V$2:V390),$V$2:$V$1001,0),1)&gt;=100000,INDEX($AC$1005:$AS$1005,1,MATCH(COLUMNS($AC$1006:AG1006),$AC$1006:$AS$1006,0))&gt;=100000), " ",IF(INDEX($AC$2:$AS$1001,MATCH(ROWS($V$2:V390),$V$2:$V$1001,0),MATCH(COLUMNS($AC$1006:AG1006),$AC$1006:$AS$1006,0)), HYPERLINK("#",""), HYPERLINK(CONCATENATE("#metadata!", ADDRESS(INDEX($X$2:$X$1001,MATCH(ROWS($V$2:V390),$V$2:$V$1001,0),0), INDEX($AC$1004:$AS$1004,1,MATCH(COLUMNS($AC$1006:AG1006),$AC$1006:$AS$1006,0)))),"Fix")))</f>
        <v xml:space="preserve"> </v>
      </c>
      <c r="G390" s="4" t="str">
        <f ca="1">IF(OR(INDEX($W$2:$W$1001,MATCH(ROWS($V$2:V390),$V$2:$V$1001,0),1)&gt;=100000,INDEX($AC$1005:$AS$1005,1,MATCH(COLUMNS($AC$1006:AH1006),$AC$1006:$AS$1006,0))&gt;=100000), " ",IF(INDEX($AC$2:$AS$1001,MATCH(ROWS($V$2:V390),$V$2:$V$1001,0),MATCH(COLUMNS($AC$1006:AH1006),$AC$1006:$AS$1006,0)), HYPERLINK("#",""), HYPERLINK(CONCATENATE("#metadata!", ADDRESS(INDEX($X$2:$X$1001,MATCH(ROWS($V$2:V390),$V$2:$V$1001,0),0), INDEX($AC$1004:$AS$1004,1,MATCH(COLUMNS($AC$1006:AH1006),$AC$1006:$AS$1006,0)))),"Fix")))</f>
        <v xml:space="preserve"> </v>
      </c>
      <c r="H390" s="4" t="str">
        <f ca="1">IF(OR(INDEX($W$2:$W$1001,MATCH(ROWS($V$2:V390),$V$2:$V$1001,0),1)&gt;=100000,INDEX($AC$1005:$AS$1005,1,MATCH(COLUMNS($AC$1006:AI1006),$AC$1006:$AS$1006,0))&gt;=100000), " ",IF(INDEX($AC$2:$AS$1001,MATCH(ROWS($V$2:V390),$V$2:$V$1001,0),MATCH(COLUMNS($AC$1006:AI1006),$AC$1006:$AS$1006,0)), HYPERLINK("#",""), HYPERLINK(CONCATENATE("#metadata!", ADDRESS(INDEX($X$2:$X$1001,MATCH(ROWS($V$2:V390),$V$2:$V$1001,0),0), INDEX($AC$1004:$AS$1004,1,MATCH(COLUMNS($AC$1006:AI1006),$AC$1006:$AS$1006,0)))),"Fix")))</f>
        <v xml:space="preserve"> </v>
      </c>
      <c r="I390" s="4" t="str">
        <f ca="1">IF(OR(INDEX($W$2:$W$1001,MATCH(ROWS($V$2:V390),$V$2:$V$1001,0),1)&gt;=100000,INDEX($AC$1005:$AS$1005,1,MATCH(COLUMNS($AC$1006:AJ1006),$AC$1006:$AS$1006,0))&gt;=100000), " ",IF(INDEX($AC$2:$AS$1001,MATCH(ROWS($V$2:V390),$V$2:$V$1001,0),MATCH(COLUMNS($AC$1006:AJ1006),$AC$1006:$AS$1006,0)), HYPERLINK("#",""), HYPERLINK(CONCATENATE("#metadata!", ADDRESS(INDEX($X$2:$X$1001,MATCH(ROWS($V$2:V390),$V$2:$V$1001,0),0), INDEX($AC$1004:$AS$1004,1,MATCH(COLUMNS($AC$1006:AJ1006),$AC$1006:$AS$1006,0)))),"Fix")))</f>
        <v xml:space="preserve"> </v>
      </c>
      <c r="J390" s="4" t="str">
        <f ca="1">IF(OR(INDEX($W$2:$W$1001,MATCH(ROWS($V$2:V390),$V$2:$V$1001,0),1)&gt;=100000,INDEX($AC$1005:$AS$1005,1,MATCH(COLUMNS($AC$1006:AK1006),$AC$1006:$AS$1006,0))&gt;=100000), " ",IF(INDEX($AC$2:$AS$1001,MATCH(ROWS($V$2:V390),$V$2:$V$1001,0),MATCH(COLUMNS($AC$1006:AK1006),$AC$1006:$AS$1006,0)), HYPERLINK("#",""), HYPERLINK(CONCATENATE("#metadata!", ADDRESS(INDEX($X$2:$X$1001,MATCH(ROWS($V$2:V390),$V$2:$V$1001,0),0), INDEX($AC$1004:$AS$1004,1,MATCH(COLUMNS($AC$1006:AK1006),$AC$1006:$AS$1006,0)))),"Fix")))</f>
        <v xml:space="preserve"> </v>
      </c>
      <c r="K390" s="4" t="str">
        <f ca="1">IF(OR(INDEX($W$2:$W$1001,MATCH(ROWS($V$2:V390),$V$2:$V$1001,0),1)&gt;=100000,INDEX($AC$1005:$AS$1005,1,MATCH(COLUMNS($AC$1006:AL1006),$AC$1006:$AS$1006,0))&gt;=100000), " ",IF(INDEX($AC$2:$AS$1001,MATCH(ROWS($V$2:V390),$V$2:$V$1001,0),MATCH(COLUMNS($AC$1006:AL1006),$AC$1006:$AS$1006,0)), HYPERLINK("#",""), HYPERLINK(CONCATENATE("#metadata!", ADDRESS(INDEX($X$2:$X$1001,MATCH(ROWS($V$2:V390),$V$2:$V$1001,0),0), INDEX($AC$1004:$AS$1004,1,MATCH(COLUMNS($AC$1006:AL1006),$AC$1006:$AS$1006,0)))),"Fix")))</f>
        <v xml:space="preserve"> </v>
      </c>
      <c r="L390" s="4" t="str">
        <f ca="1">IF(OR(INDEX($W$2:$W$1001,MATCH(ROWS($V$2:V390),$V$2:$V$1001,0),1)&gt;=100000,INDEX($AC$1005:$AS$1005,1,MATCH(COLUMNS($AC$1006:AM1006),$AC$1006:$AS$1006,0))&gt;=100000), " ",IF(INDEX($AC$2:$AS$1001,MATCH(ROWS($V$2:V390),$V$2:$V$1001,0),MATCH(COLUMNS($AC$1006:AM1006),$AC$1006:$AS$1006,0)), HYPERLINK("#",""), HYPERLINK(CONCATENATE("#metadata!", ADDRESS(INDEX($X$2:$X$1001,MATCH(ROWS($V$2:V390),$V$2:$V$1001,0),0), INDEX($AC$1004:$AS$1004,1,MATCH(COLUMNS($AC$1006:AM1006),$AC$1006:$AS$1006,0)))),"Fix")))</f>
        <v xml:space="preserve"> </v>
      </c>
      <c r="M390" s="4" t="str">
        <f ca="1">IF(OR(INDEX($W$2:$W$1001,MATCH(ROWS($V$2:V390),$V$2:$V$1001,0),1)&gt;=100000,INDEX($AC$1005:$AS$1005,1,MATCH(COLUMNS($AC$1006:AN1006),$AC$1006:$AS$1006,0))&gt;=100000), " ",IF(INDEX($AC$2:$AS$1001,MATCH(ROWS($V$2:V390),$V$2:$V$1001,0),MATCH(COLUMNS($AC$1006:AN1006),$AC$1006:$AS$1006,0)), HYPERLINK("#",""), HYPERLINK(CONCATENATE("#metadata!", ADDRESS(INDEX($X$2:$X$1001,MATCH(ROWS($V$2:V390),$V$2:$V$1001,0),0), INDEX($AC$1004:$AS$1004,1,MATCH(COLUMNS($AC$1006:AN1006),$AC$1006:$AS$1006,0)))),"Fix")))</f>
        <v xml:space="preserve"> </v>
      </c>
      <c r="N390" s="4" t="str">
        <f ca="1">IF(OR(INDEX($W$2:$W$1001,MATCH(ROWS($V$2:V390),$V$2:$V$1001,0),1)&gt;=100000,INDEX($AC$1005:$AS$1005,1,MATCH(COLUMNS($AC$1006:AO1006),$AC$1006:$AS$1006,0))&gt;=100000), " ",IF(INDEX($AC$2:$AS$1001,MATCH(ROWS($V$2:V390),$V$2:$V$1001,0),MATCH(COLUMNS($AC$1006:AO1006),$AC$1006:$AS$1006,0)), HYPERLINK("#",""), HYPERLINK(CONCATENATE("#metadata!", ADDRESS(INDEX($X$2:$X$1001,MATCH(ROWS($V$2:V390),$V$2:$V$1001,0),0), INDEX($AC$1004:$AS$1004,1,MATCH(COLUMNS($AC$1006:AO1006),$AC$1006:$AS$1006,0)))),"Fix")))</f>
        <v xml:space="preserve"> </v>
      </c>
      <c r="O390" s="4" t="str">
        <f ca="1">IF(OR(INDEX($W$2:$W$1001,MATCH(ROWS($V$2:V390),$V$2:$V$1001,0),1)&gt;=100000,INDEX($AC$1005:$AS$1005,1,MATCH(COLUMNS($AC$1006:AP1006),$AC$1006:$AS$1006,0))&gt;=100000), " ",IF(INDEX($AC$2:$AS$1001,MATCH(ROWS($V$2:V390),$V$2:$V$1001,0),MATCH(COLUMNS($AC$1006:AP1006),$AC$1006:$AS$1006,0)), HYPERLINK("#",""), HYPERLINK(CONCATENATE("#metadata!", ADDRESS(INDEX($X$2:$X$1001,MATCH(ROWS($V$2:V390),$V$2:$V$1001,0),0), INDEX($AC$1004:$AS$1004,1,MATCH(COLUMNS($AC$1006:AP1006),$AC$1006:$AS$1006,0)))),"Fix")))</f>
        <v xml:space="preserve"> </v>
      </c>
      <c r="P390" s="4" t="str">
        <f ca="1">IF(OR(INDEX($W$2:$W$1001,MATCH(ROWS($V$2:V390),$V$2:$V$1001,0),1)&gt;=100000,INDEX($AC$1005:$AS$1005,1,MATCH(COLUMNS($AC$1006:AQ1006),$AC$1006:$AS$1006,0))&gt;=100000), " ",IF(INDEX($AC$2:$AS$1001,MATCH(ROWS($V$2:V390),$V$2:$V$1001,0),MATCH(COLUMNS($AC$1006:AQ1006),$AC$1006:$AS$1006,0)), HYPERLINK("#",""), HYPERLINK(CONCATENATE("#metadata!", ADDRESS(INDEX($X$2:$X$1001,MATCH(ROWS($V$2:V390),$V$2:$V$1001,0),0), INDEX($AC$1004:$AS$1004,1,MATCH(COLUMNS($AC$1006:AQ1006),$AC$1006:$AS$1006,0)))),"Fix")))</f>
        <v xml:space="preserve"> </v>
      </c>
      <c r="Q390" s="4" t="str">
        <f ca="1">IF(OR(INDEX($W$2:$W$1001,MATCH(ROWS($V$2:V390),$V$2:$V$1001,0),1)&gt;=100000,INDEX($AC$1005:$AS$1005,1,MATCH(COLUMNS($AC$1006:AR1006),$AC$1006:$AS$1006,0))&gt;=100000), " ",IF(INDEX($AC$2:$AS$1001,MATCH(ROWS($V$2:V390),$V$2:$V$1001,0),MATCH(COLUMNS($AC$1006:AR1006),$AC$1006:$AS$1006,0)), HYPERLINK("#",""), HYPERLINK(CONCATENATE("#metadata!", ADDRESS(INDEX($X$2:$X$1001,MATCH(ROWS($V$2:V390),$V$2:$V$1001,0),0), INDEX($AC$1004:$AS$1004,1,MATCH(COLUMNS($AC$1006:AR1006),$AC$1006:$AS$1006,0)))),"Fix")))</f>
        <v xml:space="preserve"> </v>
      </c>
      <c r="R390" s="4" t="str">
        <f ca="1">IF(OR(INDEX($W$2:$W$1001,MATCH(ROWS($V$2:V390),$V$2:$V$1001,0),1)&gt;=100000,INDEX($AC$1005:$AS$1005,1,MATCH(COLUMNS($AC$1006:AS1006),$AC$1006:$AS$1006,0))&gt;=100000), " ",IF(INDEX($AC$2:$AS$1001,MATCH(ROWS($V$2:V390),$V$2:$V$1001,0),MATCH(COLUMNS($AC$1006:AS1006),$AC$1006:$AS$1006,0)), HYPERLINK("#",""), HYPERLINK(CONCATENATE("#metadata!", ADDRESS(INDEX($X$2:$X$1001,MATCH(ROWS($V$2:V390),$V$2:$V$1001,0),0), INDEX($AC$1004:$AS$1004,1,MATCH(COLUMNS($AC$1006:AS1006),$AC$1006:$AS$1006,0)))),"Fix")))</f>
        <v xml:space="preserve"> </v>
      </c>
      <c r="V390">
        <v>389</v>
      </c>
      <c r="W390">
        <v>100390</v>
      </c>
      <c r="X390">
        <v>390</v>
      </c>
      <c r="Y390" t="b">
        <f t="shared" si="6"/>
        <v>1</v>
      </c>
      <c r="Z390" t="b">
        <f>COUNTBLANK(metadata!B390:R390)=COLUMNS(metadata!B390:R390)</f>
        <v>1</v>
      </c>
      <c r="AA390" t="str">
        <v/>
      </c>
      <c r="AC390" t="b">
        <f ca="1"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AD390" t="b">
        <f>IF(metadata!C390="",FALSE,ISNUMBER(VALUE(metadata!C390)))</f>
        <v>0</v>
      </c>
      <c r="AE390" t="b">
        <f>AND(IF(metadata!D390="",FALSE,TRUE),EXACT(metadata!D390,"years"))</f>
        <v>0</v>
      </c>
      <c r="AF390" t="b">
        <f>OR(AND(IF(metadata!E390="",FALSE,TRUE),OR(EXACT(metadata!E390,"not applicable"),EXACT(metadata!E390,"missing: not collected"),EXACT(metadata!E390,"missing: not provided"),EXACT(metadata!E390,"missing: restricted access"))),AND(IF(metadata!E390="",FALSE,ISNUMBER(VALUE(metadata!E390))),metadata!E390&gt;0))</f>
        <v>0</v>
      </c>
      <c r="AG390" t="b">
        <f>AND(IF(metadata!F390="",FALSE,TRUE),EXACT(metadata!F390,"Not applicable"))</f>
        <v>0</v>
      </c>
      <c r="AH390" t="b">
        <f>AND(IF(metadata!G390="",FALSE,TRUE),EXACT(metadata!G390,"urban biome"))</f>
        <v>0</v>
      </c>
      <c r="AI390" t="b">
        <f>AND(IF(metadata!H390="",FALSE,TRUE),EXACT(metadata!H390,"human-associated habitat"))</f>
        <v>0</v>
      </c>
      <c r="AJ390" t="b">
        <f>AND(IF(metadata!I390="",FALSE,TRUE),OR(EXACT(metadata!I390,"human-associated"),EXACT(metadata!I390,"human-skin"),EXACT(metadata!I390,"human-oral"),EXACT(metadata!I390,"human-gut"),EXACT(metadata!I390,"human-vaginal")))</f>
        <v>0</v>
      </c>
      <c r="AK390" t="b">
        <f>IF(metadata!J390="",FALSE,ISNUMBER(VALUE(metadata!J390)))</f>
        <v>0</v>
      </c>
      <c r="AL390" t="b">
        <f>AND(IF(metadata!K390="",FALSE,TRUE),EXACT(metadata!K390,"cm"))</f>
        <v>0</v>
      </c>
      <c r="AM390" t="b">
        <f>AND(IF(metadata!L390="",FALSE,TRUE),EXACT(metadata!L390,"human"))</f>
        <v>0</v>
      </c>
      <c r="AN390" t="b">
        <f>AND(IF(metadata!M390="",FALSE,TRUE),EXACT(metadata!M390,"Homo sapiens"))</f>
        <v>0</v>
      </c>
      <c r="AO390" t="b">
        <f>AND(IF(metadata!N390="",FALSE,TRUE),EXACT(metadata!N390,"9606"))</f>
        <v>0</v>
      </c>
      <c r="AP390" t="b">
        <f>IF(metadata!O390="",FALSE,TRUE)</f>
        <v>0</v>
      </c>
      <c r="AQ390" t="b">
        <f>IF(metadata!P390="",FALSE,TRUE)</f>
        <v>0</v>
      </c>
      <c r="AR390" t="b">
        <f>IF(metadata!Q390="",FALSE,ISNUMBER(VALUE(metadata!Q390)))</f>
        <v>0</v>
      </c>
      <c r="AS390" t="b">
        <f>AND(IF(metadata!R390="",FALSE,TRUE),EXACT(metadata!R390,"kg"))</f>
        <v>0</v>
      </c>
    </row>
    <row r="391" spans="1:45" x14ac:dyDescent="0.2">
      <c r="A391" s="5" t="str">
        <f ca="1">IF(B391=" "," ",HYPERLINK(CONCATENATE("#metadata!",ADDRESS(INDEX($X$2:$X$1001,MATCH(ROWS($V$2:V391),$V$2:$V$1001,0),0),1)),INDEX($AA$2:$AA$1001,MATCH(ROWS($V$2:V391),$V$2:$V$1001,0),0)))</f>
        <v xml:space="preserve"> </v>
      </c>
      <c r="B391" s="4" t="str">
        <f ca="1">IF(OR(INDEX($W$2:$W$1001,MATCH(ROWS($V$2:V391),$V$2:$V$1001,0),1)&gt;=100000,INDEX($AC$1005:$AS$1005,1,MATCH(COLUMNS($AC$1006:AC1006),$AC$1006:$AS$1006,0))&gt;=100000), " ",IF(INDEX($AC$2:$AS$1001,MATCH(ROWS($V$2:V391),$V$2:$V$1001,0),MATCH(COLUMNS($AC$1006:AC1006),$AC$1006:$AS$1006,0)), HYPERLINK("#",""), HYPERLINK(CONCATENATE("#metadata!", ADDRESS(INDEX($X$2:$X$1001,MATCH(ROWS($V$2:V391),$V$2:$V$1001,0),0), INDEX($AC$1004:$AS$1004,1,MATCH(COLUMNS($AC$1006:AC1006),$AC$1006:$AS$1006,0)))),"Fix")))</f>
        <v xml:space="preserve"> </v>
      </c>
      <c r="C391" s="4" t="str">
        <f ca="1">IF(OR(INDEX($W$2:$W$1001,MATCH(ROWS($V$2:V391),$V$2:$V$1001,0),1)&gt;=100000,INDEX($AC$1005:$AS$1005,1,MATCH(COLUMNS($AC$1006:AD1006),$AC$1006:$AS$1006,0))&gt;=100000), " ",IF(INDEX($AC$2:$AS$1001,MATCH(ROWS($V$2:V391),$V$2:$V$1001,0),MATCH(COLUMNS($AC$1006:AD1006),$AC$1006:$AS$1006,0)), HYPERLINK("#",""), HYPERLINK(CONCATENATE("#metadata!", ADDRESS(INDEX($X$2:$X$1001,MATCH(ROWS($V$2:V391),$V$2:$V$1001,0),0), INDEX($AC$1004:$AS$1004,1,MATCH(COLUMNS($AC$1006:AD1006),$AC$1006:$AS$1006,0)))),"Fix")))</f>
        <v xml:space="preserve"> </v>
      </c>
      <c r="D391" s="4" t="str">
        <f ca="1">IF(OR(INDEX($W$2:$W$1001,MATCH(ROWS($V$2:V391),$V$2:$V$1001,0),1)&gt;=100000,INDEX($AC$1005:$AS$1005,1,MATCH(COLUMNS($AC$1006:AE1006),$AC$1006:$AS$1006,0))&gt;=100000), " ",IF(INDEX($AC$2:$AS$1001,MATCH(ROWS($V$2:V391),$V$2:$V$1001,0),MATCH(COLUMNS($AC$1006:AE1006),$AC$1006:$AS$1006,0)), HYPERLINK("#",""), HYPERLINK(CONCATENATE("#metadata!", ADDRESS(INDEX($X$2:$X$1001,MATCH(ROWS($V$2:V391),$V$2:$V$1001,0),0), INDEX($AC$1004:$AS$1004,1,MATCH(COLUMNS($AC$1006:AE1006),$AC$1006:$AS$1006,0)))),"Fix")))</f>
        <v xml:space="preserve"> </v>
      </c>
      <c r="E391" s="4" t="str">
        <f ca="1">IF(OR(INDEX($W$2:$W$1001,MATCH(ROWS($V$2:V391),$V$2:$V$1001,0),1)&gt;=100000,INDEX($AC$1005:$AS$1005,1,MATCH(COLUMNS($AC$1006:AF1006),$AC$1006:$AS$1006,0))&gt;=100000), " ",IF(INDEX($AC$2:$AS$1001,MATCH(ROWS($V$2:V391),$V$2:$V$1001,0),MATCH(COLUMNS($AC$1006:AF1006),$AC$1006:$AS$1006,0)), HYPERLINK("#",""), HYPERLINK(CONCATENATE("#metadata!", ADDRESS(INDEX($X$2:$X$1001,MATCH(ROWS($V$2:V391),$V$2:$V$1001,0),0), INDEX($AC$1004:$AS$1004,1,MATCH(COLUMNS($AC$1006:AF1006),$AC$1006:$AS$1006,0)))),"Fix")))</f>
        <v xml:space="preserve"> </v>
      </c>
      <c r="F391" s="4" t="str">
        <f ca="1">IF(OR(INDEX($W$2:$W$1001,MATCH(ROWS($V$2:V391),$V$2:$V$1001,0),1)&gt;=100000,INDEX($AC$1005:$AS$1005,1,MATCH(COLUMNS($AC$1006:AG1006),$AC$1006:$AS$1006,0))&gt;=100000), " ",IF(INDEX($AC$2:$AS$1001,MATCH(ROWS($V$2:V391),$V$2:$V$1001,0),MATCH(COLUMNS($AC$1006:AG1006),$AC$1006:$AS$1006,0)), HYPERLINK("#",""), HYPERLINK(CONCATENATE("#metadata!", ADDRESS(INDEX($X$2:$X$1001,MATCH(ROWS($V$2:V391),$V$2:$V$1001,0),0), INDEX($AC$1004:$AS$1004,1,MATCH(COLUMNS($AC$1006:AG1006),$AC$1006:$AS$1006,0)))),"Fix")))</f>
        <v xml:space="preserve"> </v>
      </c>
      <c r="G391" s="4" t="str">
        <f ca="1">IF(OR(INDEX($W$2:$W$1001,MATCH(ROWS($V$2:V391),$V$2:$V$1001,0),1)&gt;=100000,INDEX($AC$1005:$AS$1005,1,MATCH(COLUMNS($AC$1006:AH1006),$AC$1006:$AS$1006,0))&gt;=100000), " ",IF(INDEX($AC$2:$AS$1001,MATCH(ROWS($V$2:V391),$V$2:$V$1001,0),MATCH(COLUMNS($AC$1006:AH1006),$AC$1006:$AS$1006,0)), HYPERLINK("#",""), HYPERLINK(CONCATENATE("#metadata!", ADDRESS(INDEX($X$2:$X$1001,MATCH(ROWS($V$2:V391),$V$2:$V$1001,0),0), INDEX($AC$1004:$AS$1004,1,MATCH(COLUMNS($AC$1006:AH1006),$AC$1006:$AS$1006,0)))),"Fix")))</f>
        <v xml:space="preserve"> </v>
      </c>
      <c r="H391" s="4" t="str">
        <f ca="1">IF(OR(INDEX($W$2:$W$1001,MATCH(ROWS($V$2:V391),$V$2:$V$1001,0),1)&gt;=100000,INDEX($AC$1005:$AS$1005,1,MATCH(COLUMNS($AC$1006:AI1006),$AC$1006:$AS$1006,0))&gt;=100000), " ",IF(INDEX($AC$2:$AS$1001,MATCH(ROWS($V$2:V391),$V$2:$V$1001,0),MATCH(COLUMNS($AC$1006:AI1006),$AC$1006:$AS$1006,0)), HYPERLINK("#",""), HYPERLINK(CONCATENATE("#metadata!", ADDRESS(INDEX($X$2:$X$1001,MATCH(ROWS($V$2:V391),$V$2:$V$1001,0),0), INDEX($AC$1004:$AS$1004,1,MATCH(COLUMNS($AC$1006:AI1006),$AC$1006:$AS$1006,0)))),"Fix")))</f>
        <v xml:space="preserve"> </v>
      </c>
      <c r="I391" s="4" t="str">
        <f ca="1">IF(OR(INDEX($W$2:$W$1001,MATCH(ROWS($V$2:V391),$V$2:$V$1001,0),1)&gt;=100000,INDEX($AC$1005:$AS$1005,1,MATCH(COLUMNS($AC$1006:AJ1006),$AC$1006:$AS$1006,0))&gt;=100000), " ",IF(INDEX($AC$2:$AS$1001,MATCH(ROWS($V$2:V391),$V$2:$V$1001,0),MATCH(COLUMNS($AC$1006:AJ1006),$AC$1006:$AS$1006,0)), HYPERLINK("#",""), HYPERLINK(CONCATENATE("#metadata!", ADDRESS(INDEX($X$2:$X$1001,MATCH(ROWS($V$2:V391),$V$2:$V$1001,0),0), INDEX($AC$1004:$AS$1004,1,MATCH(COLUMNS($AC$1006:AJ1006),$AC$1006:$AS$1006,0)))),"Fix")))</f>
        <v xml:space="preserve"> </v>
      </c>
      <c r="J391" s="4" t="str">
        <f ca="1">IF(OR(INDEX($W$2:$W$1001,MATCH(ROWS($V$2:V391),$V$2:$V$1001,0),1)&gt;=100000,INDEX($AC$1005:$AS$1005,1,MATCH(COLUMNS($AC$1006:AK1006),$AC$1006:$AS$1006,0))&gt;=100000), " ",IF(INDEX($AC$2:$AS$1001,MATCH(ROWS($V$2:V391),$V$2:$V$1001,0),MATCH(COLUMNS($AC$1006:AK1006),$AC$1006:$AS$1006,0)), HYPERLINK("#",""), HYPERLINK(CONCATENATE("#metadata!", ADDRESS(INDEX($X$2:$X$1001,MATCH(ROWS($V$2:V391),$V$2:$V$1001,0),0), INDEX($AC$1004:$AS$1004,1,MATCH(COLUMNS($AC$1006:AK1006),$AC$1006:$AS$1006,0)))),"Fix")))</f>
        <v xml:space="preserve"> </v>
      </c>
      <c r="K391" s="4" t="str">
        <f ca="1">IF(OR(INDEX($W$2:$W$1001,MATCH(ROWS($V$2:V391),$V$2:$V$1001,0),1)&gt;=100000,INDEX($AC$1005:$AS$1005,1,MATCH(COLUMNS($AC$1006:AL1006),$AC$1006:$AS$1006,0))&gt;=100000), " ",IF(INDEX($AC$2:$AS$1001,MATCH(ROWS($V$2:V391),$V$2:$V$1001,0),MATCH(COLUMNS($AC$1006:AL1006),$AC$1006:$AS$1006,0)), HYPERLINK("#",""), HYPERLINK(CONCATENATE("#metadata!", ADDRESS(INDEX($X$2:$X$1001,MATCH(ROWS($V$2:V391),$V$2:$V$1001,0),0), INDEX($AC$1004:$AS$1004,1,MATCH(COLUMNS($AC$1006:AL1006),$AC$1006:$AS$1006,0)))),"Fix")))</f>
        <v xml:space="preserve"> </v>
      </c>
      <c r="L391" s="4" t="str">
        <f ca="1">IF(OR(INDEX($W$2:$W$1001,MATCH(ROWS($V$2:V391),$V$2:$V$1001,0),1)&gt;=100000,INDEX($AC$1005:$AS$1005,1,MATCH(COLUMNS($AC$1006:AM1006),$AC$1006:$AS$1006,0))&gt;=100000), " ",IF(INDEX($AC$2:$AS$1001,MATCH(ROWS($V$2:V391),$V$2:$V$1001,0),MATCH(COLUMNS($AC$1006:AM1006),$AC$1006:$AS$1006,0)), HYPERLINK("#",""), HYPERLINK(CONCATENATE("#metadata!", ADDRESS(INDEX($X$2:$X$1001,MATCH(ROWS($V$2:V391),$V$2:$V$1001,0),0), INDEX($AC$1004:$AS$1004,1,MATCH(COLUMNS($AC$1006:AM1006),$AC$1006:$AS$1006,0)))),"Fix")))</f>
        <v xml:space="preserve"> </v>
      </c>
      <c r="M391" s="4" t="str">
        <f ca="1">IF(OR(INDEX($W$2:$W$1001,MATCH(ROWS($V$2:V391),$V$2:$V$1001,0),1)&gt;=100000,INDEX($AC$1005:$AS$1005,1,MATCH(COLUMNS($AC$1006:AN1006),$AC$1006:$AS$1006,0))&gt;=100000), " ",IF(INDEX($AC$2:$AS$1001,MATCH(ROWS($V$2:V391),$V$2:$V$1001,0),MATCH(COLUMNS($AC$1006:AN1006),$AC$1006:$AS$1006,0)), HYPERLINK("#",""), HYPERLINK(CONCATENATE("#metadata!", ADDRESS(INDEX($X$2:$X$1001,MATCH(ROWS($V$2:V391),$V$2:$V$1001,0),0), INDEX($AC$1004:$AS$1004,1,MATCH(COLUMNS($AC$1006:AN1006),$AC$1006:$AS$1006,0)))),"Fix")))</f>
        <v xml:space="preserve"> </v>
      </c>
      <c r="N391" s="4" t="str">
        <f ca="1">IF(OR(INDEX($W$2:$W$1001,MATCH(ROWS($V$2:V391),$V$2:$V$1001,0),1)&gt;=100000,INDEX($AC$1005:$AS$1005,1,MATCH(COLUMNS($AC$1006:AO1006),$AC$1006:$AS$1006,0))&gt;=100000), " ",IF(INDEX($AC$2:$AS$1001,MATCH(ROWS($V$2:V391),$V$2:$V$1001,0),MATCH(COLUMNS($AC$1006:AO1006),$AC$1006:$AS$1006,0)), HYPERLINK("#",""), HYPERLINK(CONCATENATE("#metadata!", ADDRESS(INDEX($X$2:$X$1001,MATCH(ROWS($V$2:V391),$V$2:$V$1001,0),0), INDEX($AC$1004:$AS$1004,1,MATCH(COLUMNS($AC$1006:AO1006),$AC$1006:$AS$1006,0)))),"Fix")))</f>
        <v xml:space="preserve"> </v>
      </c>
      <c r="O391" s="4" t="str">
        <f ca="1">IF(OR(INDEX($W$2:$W$1001,MATCH(ROWS($V$2:V391),$V$2:$V$1001,0),1)&gt;=100000,INDEX($AC$1005:$AS$1005,1,MATCH(COLUMNS($AC$1006:AP1006),$AC$1006:$AS$1006,0))&gt;=100000), " ",IF(INDEX($AC$2:$AS$1001,MATCH(ROWS($V$2:V391),$V$2:$V$1001,0),MATCH(COLUMNS($AC$1006:AP1006),$AC$1006:$AS$1006,0)), HYPERLINK("#",""), HYPERLINK(CONCATENATE("#metadata!", ADDRESS(INDEX($X$2:$X$1001,MATCH(ROWS($V$2:V391),$V$2:$V$1001,0),0), INDEX($AC$1004:$AS$1004,1,MATCH(COLUMNS($AC$1006:AP1006),$AC$1006:$AS$1006,0)))),"Fix")))</f>
        <v xml:space="preserve"> </v>
      </c>
      <c r="P391" s="4" t="str">
        <f ca="1">IF(OR(INDEX($W$2:$W$1001,MATCH(ROWS($V$2:V391),$V$2:$V$1001,0),1)&gt;=100000,INDEX($AC$1005:$AS$1005,1,MATCH(COLUMNS($AC$1006:AQ1006),$AC$1006:$AS$1006,0))&gt;=100000), " ",IF(INDEX($AC$2:$AS$1001,MATCH(ROWS($V$2:V391),$V$2:$V$1001,0),MATCH(COLUMNS($AC$1006:AQ1006),$AC$1006:$AS$1006,0)), HYPERLINK("#",""), HYPERLINK(CONCATENATE("#metadata!", ADDRESS(INDEX($X$2:$X$1001,MATCH(ROWS($V$2:V391),$V$2:$V$1001,0),0), INDEX($AC$1004:$AS$1004,1,MATCH(COLUMNS($AC$1006:AQ1006),$AC$1006:$AS$1006,0)))),"Fix")))</f>
        <v xml:space="preserve"> </v>
      </c>
      <c r="Q391" s="4" t="str">
        <f ca="1">IF(OR(INDEX($W$2:$W$1001,MATCH(ROWS($V$2:V391),$V$2:$V$1001,0),1)&gt;=100000,INDEX($AC$1005:$AS$1005,1,MATCH(COLUMNS($AC$1006:AR1006),$AC$1006:$AS$1006,0))&gt;=100000), " ",IF(INDEX($AC$2:$AS$1001,MATCH(ROWS($V$2:V391),$V$2:$V$1001,0),MATCH(COLUMNS($AC$1006:AR1006),$AC$1006:$AS$1006,0)), HYPERLINK("#",""), HYPERLINK(CONCATENATE("#metadata!", ADDRESS(INDEX($X$2:$X$1001,MATCH(ROWS($V$2:V391),$V$2:$V$1001,0),0), INDEX($AC$1004:$AS$1004,1,MATCH(COLUMNS($AC$1006:AR1006),$AC$1006:$AS$1006,0)))),"Fix")))</f>
        <v xml:space="preserve"> </v>
      </c>
      <c r="R391" s="4" t="str">
        <f ca="1">IF(OR(INDEX($W$2:$W$1001,MATCH(ROWS($V$2:V391),$V$2:$V$1001,0),1)&gt;=100000,INDEX($AC$1005:$AS$1005,1,MATCH(COLUMNS($AC$1006:AS1006),$AC$1006:$AS$1006,0))&gt;=100000), " ",IF(INDEX($AC$2:$AS$1001,MATCH(ROWS($V$2:V391),$V$2:$V$1001,0),MATCH(COLUMNS($AC$1006:AS1006),$AC$1006:$AS$1006,0)), HYPERLINK("#",""), HYPERLINK(CONCATENATE("#metadata!", ADDRESS(INDEX($X$2:$X$1001,MATCH(ROWS($V$2:V391),$V$2:$V$1001,0),0), INDEX($AC$1004:$AS$1004,1,MATCH(COLUMNS($AC$1006:AS1006),$AC$1006:$AS$1006,0)))),"Fix")))</f>
        <v xml:space="preserve"> </v>
      </c>
      <c r="V391">
        <v>390</v>
      </c>
      <c r="W391">
        <v>100391</v>
      </c>
      <c r="X391">
        <v>391</v>
      </c>
      <c r="Y391" t="b">
        <f t="shared" si="6"/>
        <v>1</v>
      </c>
      <c r="Z391" t="b">
        <f>COUNTBLANK(metadata!B391:R391)=COLUMNS(metadata!B391:R391)</f>
        <v>1</v>
      </c>
      <c r="AA391" t="str">
        <v/>
      </c>
      <c r="AC391" t="b">
        <f ca="1"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AD391" t="b">
        <f>IF(metadata!C391="",FALSE,ISNUMBER(VALUE(metadata!C391)))</f>
        <v>0</v>
      </c>
      <c r="AE391" t="b">
        <f>AND(IF(metadata!D391="",FALSE,TRUE),EXACT(metadata!D391,"years"))</f>
        <v>0</v>
      </c>
      <c r="AF391" t="b">
        <f>OR(AND(IF(metadata!E391="",FALSE,TRUE),OR(EXACT(metadata!E391,"not applicable"),EXACT(metadata!E391,"missing: not collected"),EXACT(metadata!E391,"missing: not provided"),EXACT(metadata!E391,"missing: restricted access"))),AND(IF(metadata!E391="",FALSE,ISNUMBER(VALUE(metadata!E391))),metadata!E391&gt;0))</f>
        <v>0</v>
      </c>
      <c r="AG391" t="b">
        <f>AND(IF(metadata!F391="",FALSE,TRUE),EXACT(metadata!F391,"Not applicable"))</f>
        <v>0</v>
      </c>
      <c r="AH391" t="b">
        <f>AND(IF(metadata!G391="",FALSE,TRUE),EXACT(metadata!G391,"urban biome"))</f>
        <v>0</v>
      </c>
      <c r="AI391" t="b">
        <f>AND(IF(metadata!H391="",FALSE,TRUE),EXACT(metadata!H391,"human-associated habitat"))</f>
        <v>0</v>
      </c>
      <c r="AJ391" t="b">
        <f>AND(IF(metadata!I391="",FALSE,TRUE),OR(EXACT(metadata!I391,"human-associated"),EXACT(metadata!I391,"human-skin"),EXACT(metadata!I391,"human-oral"),EXACT(metadata!I391,"human-gut"),EXACT(metadata!I391,"human-vaginal")))</f>
        <v>0</v>
      </c>
      <c r="AK391" t="b">
        <f>IF(metadata!J391="",FALSE,ISNUMBER(VALUE(metadata!J391)))</f>
        <v>0</v>
      </c>
      <c r="AL391" t="b">
        <f>AND(IF(metadata!K391="",FALSE,TRUE),EXACT(metadata!K391,"cm"))</f>
        <v>0</v>
      </c>
      <c r="AM391" t="b">
        <f>AND(IF(metadata!L391="",FALSE,TRUE),EXACT(metadata!L391,"human"))</f>
        <v>0</v>
      </c>
      <c r="AN391" t="b">
        <f>AND(IF(metadata!M391="",FALSE,TRUE),EXACT(metadata!M391,"Homo sapiens"))</f>
        <v>0</v>
      </c>
      <c r="AO391" t="b">
        <f>AND(IF(metadata!N391="",FALSE,TRUE),EXACT(metadata!N391,"9606"))</f>
        <v>0</v>
      </c>
      <c r="AP391" t="b">
        <f>IF(metadata!O391="",FALSE,TRUE)</f>
        <v>0</v>
      </c>
      <c r="AQ391" t="b">
        <f>IF(metadata!P391="",FALSE,TRUE)</f>
        <v>0</v>
      </c>
      <c r="AR391" t="b">
        <f>IF(metadata!Q391="",FALSE,ISNUMBER(VALUE(metadata!Q391)))</f>
        <v>0</v>
      </c>
      <c r="AS391" t="b">
        <f>AND(IF(metadata!R391="",FALSE,TRUE),EXACT(metadata!R391,"kg"))</f>
        <v>0</v>
      </c>
    </row>
    <row r="392" spans="1:45" x14ac:dyDescent="0.2">
      <c r="A392" s="5" t="str">
        <f ca="1">IF(B392=" "," ",HYPERLINK(CONCATENATE("#metadata!",ADDRESS(INDEX($X$2:$X$1001,MATCH(ROWS($V$2:V392),$V$2:$V$1001,0),0),1)),INDEX($AA$2:$AA$1001,MATCH(ROWS($V$2:V392),$V$2:$V$1001,0),0)))</f>
        <v xml:space="preserve"> </v>
      </c>
      <c r="B392" s="4" t="str">
        <f ca="1">IF(OR(INDEX($W$2:$W$1001,MATCH(ROWS($V$2:V392),$V$2:$V$1001,0),1)&gt;=100000,INDEX($AC$1005:$AS$1005,1,MATCH(COLUMNS($AC$1006:AC1006),$AC$1006:$AS$1006,0))&gt;=100000), " ",IF(INDEX($AC$2:$AS$1001,MATCH(ROWS($V$2:V392),$V$2:$V$1001,0),MATCH(COLUMNS($AC$1006:AC1006),$AC$1006:$AS$1006,0)), HYPERLINK("#",""), HYPERLINK(CONCATENATE("#metadata!", ADDRESS(INDEX($X$2:$X$1001,MATCH(ROWS($V$2:V392),$V$2:$V$1001,0),0), INDEX($AC$1004:$AS$1004,1,MATCH(COLUMNS($AC$1006:AC1006),$AC$1006:$AS$1006,0)))),"Fix")))</f>
        <v xml:space="preserve"> </v>
      </c>
      <c r="C392" s="4" t="str">
        <f ca="1">IF(OR(INDEX($W$2:$W$1001,MATCH(ROWS($V$2:V392),$V$2:$V$1001,0),1)&gt;=100000,INDEX($AC$1005:$AS$1005,1,MATCH(COLUMNS($AC$1006:AD1006),$AC$1006:$AS$1006,0))&gt;=100000), " ",IF(INDEX($AC$2:$AS$1001,MATCH(ROWS($V$2:V392),$V$2:$V$1001,0),MATCH(COLUMNS($AC$1006:AD1006),$AC$1006:$AS$1006,0)), HYPERLINK("#",""), HYPERLINK(CONCATENATE("#metadata!", ADDRESS(INDEX($X$2:$X$1001,MATCH(ROWS($V$2:V392),$V$2:$V$1001,0),0), INDEX($AC$1004:$AS$1004,1,MATCH(COLUMNS($AC$1006:AD1006),$AC$1006:$AS$1006,0)))),"Fix")))</f>
        <v xml:space="preserve"> </v>
      </c>
      <c r="D392" s="4" t="str">
        <f ca="1">IF(OR(INDEX($W$2:$W$1001,MATCH(ROWS($V$2:V392),$V$2:$V$1001,0),1)&gt;=100000,INDEX($AC$1005:$AS$1005,1,MATCH(COLUMNS($AC$1006:AE1006),$AC$1006:$AS$1006,0))&gt;=100000), " ",IF(INDEX($AC$2:$AS$1001,MATCH(ROWS($V$2:V392),$V$2:$V$1001,0),MATCH(COLUMNS($AC$1006:AE1006),$AC$1006:$AS$1006,0)), HYPERLINK("#",""), HYPERLINK(CONCATENATE("#metadata!", ADDRESS(INDEX($X$2:$X$1001,MATCH(ROWS($V$2:V392),$V$2:$V$1001,0),0), INDEX($AC$1004:$AS$1004,1,MATCH(COLUMNS($AC$1006:AE1006),$AC$1006:$AS$1006,0)))),"Fix")))</f>
        <v xml:space="preserve"> </v>
      </c>
      <c r="E392" s="4" t="str">
        <f ca="1">IF(OR(INDEX($W$2:$W$1001,MATCH(ROWS($V$2:V392),$V$2:$V$1001,0),1)&gt;=100000,INDEX($AC$1005:$AS$1005,1,MATCH(COLUMNS($AC$1006:AF1006),$AC$1006:$AS$1006,0))&gt;=100000), " ",IF(INDEX($AC$2:$AS$1001,MATCH(ROWS($V$2:V392),$V$2:$V$1001,0),MATCH(COLUMNS($AC$1006:AF1006),$AC$1006:$AS$1006,0)), HYPERLINK("#",""), HYPERLINK(CONCATENATE("#metadata!", ADDRESS(INDEX($X$2:$X$1001,MATCH(ROWS($V$2:V392),$V$2:$V$1001,0),0), INDEX($AC$1004:$AS$1004,1,MATCH(COLUMNS($AC$1006:AF1006),$AC$1006:$AS$1006,0)))),"Fix")))</f>
        <v xml:space="preserve"> </v>
      </c>
      <c r="F392" s="4" t="str">
        <f ca="1">IF(OR(INDEX($W$2:$W$1001,MATCH(ROWS($V$2:V392),$V$2:$V$1001,0),1)&gt;=100000,INDEX($AC$1005:$AS$1005,1,MATCH(COLUMNS($AC$1006:AG1006),$AC$1006:$AS$1006,0))&gt;=100000), " ",IF(INDEX($AC$2:$AS$1001,MATCH(ROWS($V$2:V392),$V$2:$V$1001,0),MATCH(COLUMNS($AC$1006:AG1006),$AC$1006:$AS$1006,0)), HYPERLINK("#",""), HYPERLINK(CONCATENATE("#metadata!", ADDRESS(INDEX($X$2:$X$1001,MATCH(ROWS($V$2:V392),$V$2:$V$1001,0),0), INDEX($AC$1004:$AS$1004,1,MATCH(COLUMNS($AC$1006:AG1006),$AC$1006:$AS$1006,0)))),"Fix")))</f>
        <v xml:space="preserve"> </v>
      </c>
      <c r="G392" s="4" t="str">
        <f ca="1">IF(OR(INDEX($W$2:$W$1001,MATCH(ROWS($V$2:V392),$V$2:$V$1001,0),1)&gt;=100000,INDEX($AC$1005:$AS$1005,1,MATCH(COLUMNS($AC$1006:AH1006),$AC$1006:$AS$1006,0))&gt;=100000), " ",IF(INDEX($AC$2:$AS$1001,MATCH(ROWS($V$2:V392),$V$2:$V$1001,0),MATCH(COLUMNS($AC$1006:AH1006),$AC$1006:$AS$1006,0)), HYPERLINK("#",""), HYPERLINK(CONCATENATE("#metadata!", ADDRESS(INDEX($X$2:$X$1001,MATCH(ROWS($V$2:V392),$V$2:$V$1001,0),0), INDEX($AC$1004:$AS$1004,1,MATCH(COLUMNS($AC$1006:AH1006),$AC$1006:$AS$1006,0)))),"Fix")))</f>
        <v xml:space="preserve"> </v>
      </c>
      <c r="H392" s="4" t="str">
        <f ca="1">IF(OR(INDEX($W$2:$W$1001,MATCH(ROWS($V$2:V392),$V$2:$V$1001,0),1)&gt;=100000,INDEX($AC$1005:$AS$1005,1,MATCH(COLUMNS($AC$1006:AI1006),$AC$1006:$AS$1006,0))&gt;=100000), " ",IF(INDEX($AC$2:$AS$1001,MATCH(ROWS($V$2:V392),$V$2:$V$1001,0),MATCH(COLUMNS($AC$1006:AI1006),$AC$1006:$AS$1006,0)), HYPERLINK("#",""), HYPERLINK(CONCATENATE("#metadata!", ADDRESS(INDEX($X$2:$X$1001,MATCH(ROWS($V$2:V392),$V$2:$V$1001,0),0), INDEX($AC$1004:$AS$1004,1,MATCH(COLUMNS($AC$1006:AI1006),$AC$1006:$AS$1006,0)))),"Fix")))</f>
        <v xml:space="preserve"> </v>
      </c>
      <c r="I392" s="4" t="str">
        <f ca="1">IF(OR(INDEX($W$2:$W$1001,MATCH(ROWS($V$2:V392),$V$2:$V$1001,0),1)&gt;=100000,INDEX($AC$1005:$AS$1005,1,MATCH(COLUMNS($AC$1006:AJ1006),$AC$1006:$AS$1006,0))&gt;=100000), " ",IF(INDEX($AC$2:$AS$1001,MATCH(ROWS($V$2:V392),$V$2:$V$1001,0),MATCH(COLUMNS($AC$1006:AJ1006),$AC$1006:$AS$1006,0)), HYPERLINK("#",""), HYPERLINK(CONCATENATE("#metadata!", ADDRESS(INDEX($X$2:$X$1001,MATCH(ROWS($V$2:V392),$V$2:$V$1001,0),0), INDEX($AC$1004:$AS$1004,1,MATCH(COLUMNS($AC$1006:AJ1006),$AC$1006:$AS$1006,0)))),"Fix")))</f>
        <v xml:space="preserve"> </v>
      </c>
      <c r="J392" s="4" t="str">
        <f ca="1">IF(OR(INDEX($W$2:$W$1001,MATCH(ROWS($V$2:V392),$V$2:$V$1001,0),1)&gt;=100000,INDEX($AC$1005:$AS$1005,1,MATCH(COLUMNS($AC$1006:AK1006),$AC$1006:$AS$1006,0))&gt;=100000), " ",IF(INDEX($AC$2:$AS$1001,MATCH(ROWS($V$2:V392),$V$2:$V$1001,0),MATCH(COLUMNS($AC$1006:AK1006),$AC$1006:$AS$1006,0)), HYPERLINK("#",""), HYPERLINK(CONCATENATE("#metadata!", ADDRESS(INDEX($X$2:$X$1001,MATCH(ROWS($V$2:V392),$V$2:$V$1001,0),0), INDEX($AC$1004:$AS$1004,1,MATCH(COLUMNS($AC$1006:AK1006),$AC$1006:$AS$1006,0)))),"Fix")))</f>
        <v xml:space="preserve"> </v>
      </c>
      <c r="K392" s="4" t="str">
        <f ca="1">IF(OR(INDEX($W$2:$W$1001,MATCH(ROWS($V$2:V392),$V$2:$V$1001,0),1)&gt;=100000,INDEX($AC$1005:$AS$1005,1,MATCH(COLUMNS($AC$1006:AL1006),$AC$1006:$AS$1006,0))&gt;=100000), " ",IF(INDEX($AC$2:$AS$1001,MATCH(ROWS($V$2:V392),$V$2:$V$1001,0),MATCH(COLUMNS($AC$1006:AL1006),$AC$1006:$AS$1006,0)), HYPERLINK("#",""), HYPERLINK(CONCATENATE("#metadata!", ADDRESS(INDEX($X$2:$X$1001,MATCH(ROWS($V$2:V392),$V$2:$V$1001,0),0), INDEX($AC$1004:$AS$1004,1,MATCH(COLUMNS($AC$1006:AL1006),$AC$1006:$AS$1006,0)))),"Fix")))</f>
        <v xml:space="preserve"> </v>
      </c>
      <c r="L392" s="4" t="str">
        <f ca="1">IF(OR(INDEX($W$2:$W$1001,MATCH(ROWS($V$2:V392),$V$2:$V$1001,0),1)&gt;=100000,INDEX($AC$1005:$AS$1005,1,MATCH(COLUMNS($AC$1006:AM1006),$AC$1006:$AS$1006,0))&gt;=100000), " ",IF(INDEX($AC$2:$AS$1001,MATCH(ROWS($V$2:V392),$V$2:$V$1001,0),MATCH(COLUMNS($AC$1006:AM1006),$AC$1006:$AS$1006,0)), HYPERLINK("#",""), HYPERLINK(CONCATENATE("#metadata!", ADDRESS(INDEX($X$2:$X$1001,MATCH(ROWS($V$2:V392),$V$2:$V$1001,0),0), INDEX($AC$1004:$AS$1004,1,MATCH(COLUMNS($AC$1006:AM1006),$AC$1006:$AS$1006,0)))),"Fix")))</f>
        <v xml:space="preserve"> </v>
      </c>
      <c r="M392" s="4" t="str">
        <f ca="1">IF(OR(INDEX($W$2:$W$1001,MATCH(ROWS($V$2:V392),$V$2:$V$1001,0),1)&gt;=100000,INDEX($AC$1005:$AS$1005,1,MATCH(COLUMNS($AC$1006:AN1006),$AC$1006:$AS$1006,0))&gt;=100000), " ",IF(INDEX($AC$2:$AS$1001,MATCH(ROWS($V$2:V392),$V$2:$V$1001,0),MATCH(COLUMNS($AC$1006:AN1006),$AC$1006:$AS$1006,0)), HYPERLINK("#",""), HYPERLINK(CONCATENATE("#metadata!", ADDRESS(INDEX($X$2:$X$1001,MATCH(ROWS($V$2:V392),$V$2:$V$1001,0),0), INDEX($AC$1004:$AS$1004,1,MATCH(COLUMNS($AC$1006:AN1006),$AC$1006:$AS$1006,0)))),"Fix")))</f>
        <v xml:space="preserve"> </v>
      </c>
      <c r="N392" s="4" t="str">
        <f ca="1">IF(OR(INDEX($W$2:$W$1001,MATCH(ROWS($V$2:V392),$V$2:$V$1001,0),1)&gt;=100000,INDEX($AC$1005:$AS$1005,1,MATCH(COLUMNS($AC$1006:AO1006),$AC$1006:$AS$1006,0))&gt;=100000), " ",IF(INDEX($AC$2:$AS$1001,MATCH(ROWS($V$2:V392),$V$2:$V$1001,0),MATCH(COLUMNS($AC$1006:AO1006),$AC$1006:$AS$1006,0)), HYPERLINK("#",""), HYPERLINK(CONCATENATE("#metadata!", ADDRESS(INDEX($X$2:$X$1001,MATCH(ROWS($V$2:V392),$V$2:$V$1001,0),0), INDEX($AC$1004:$AS$1004,1,MATCH(COLUMNS($AC$1006:AO1006),$AC$1006:$AS$1006,0)))),"Fix")))</f>
        <v xml:space="preserve"> </v>
      </c>
      <c r="O392" s="4" t="str">
        <f ca="1">IF(OR(INDEX($W$2:$W$1001,MATCH(ROWS($V$2:V392),$V$2:$V$1001,0),1)&gt;=100000,INDEX($AC$1005:$AS$1005,1,MATCH(COLUMNS($AC$1006:AP1006),$AC$1006:$AS$1006,0))&gt;=100000), " ",IF(INDEX($AC$2:$AS$1001,MATCH(ROWS($V$2:V392),$V$2:$V$1001,0),MATCH(COLUMNS($AC$1006:AP1006),$AC$1006:$AS$1006,0)), HYPERLINK("#",""), HYPERLINK(CONCATENATE("#metadata!", ADDRESS(INDEX($X$2:$X$1001,MATCH(ROWS($V$2:V392),$V$2:$V$1001,0),0), INDEX($AC$1004:$AS$1004,1,MATCH(COLUMNS($AC$1006:AP1006),$AC$1006:$AS$1006,0)))),"Fix")))</f>
        <v xml:space="preserve"> </v>
      </c>
      <c r="P392" s="4" t="str">
        <f ca="1">IF(OR(INDEX($W$2:$W$1001,MATCH(ROWS($V$2:V392),$V$2:$V$1001,0),1)&gt;=100000,INDEX($AC$1005:$AS$1005,1,MATCH(COLUMNS($AC$1006:AQ1006),$AC$1006:$AS$1006,0))&gt;=100000), " ",IF(INDEX($AC$2:$AS$1001,MATCH(ROWS($V$2:V392),$V$2:$V$1001,0),MATCH(COLUMNS($AC$1006:AQ1006),$AC$1006:$AS$1006,0)), HYPERLINK("#",""), HYPERLINK(CONCATENATE("#metadata!", ADDRESS(INDEX($X$2:$X$1001,MATCH(ROWS($V$2:V392),$V$2:$V$1001,0),0), INDEX($AC$1004:$AS$1004,1,MATCH(COLUMNS($AC$1006:AQ1006),$AC$1006:$AS$1006,0)))),"Fix")))</f>
        <v xml:space="preserve"> </v>
      </c>
      <c r="Q392" s="4" t="str">
        <f ca="1">IF(OR(INDEX($W$2:$W$1001,MATCH(ROWS($V$2:V392),$V$2:$V$1001,0),1)&gt;=100000,INDEX($AC$1005:$AS$1005,1,MATCH(COLUMNS($AC$1006:AR1006),$AC$1006:$AS$1006,0))&gt;=100000), " ",IF(INDEX($AC$2:$AS$1001,MATCH(ROWS($V$2:V392),$V$2:$V$1001,0),MATCH(COLUMNS($AC$1006:AR1006),$AC$1006:$AS$1006,0)), HYPERLINK("#",""), HYPERLINK(CONCATENATE("#metadata!", ADDRESS(INDEX($X$2:$X$1001,MATCH(ROWS($V$2:V392),$V$2:$V$1001,0),0), INDEX($AC$1004:$AS$1004,1,MATCH(COLUMNS($AC$1006:AR1006),$AC$1006:$AS$1006,0)))),"Fix")))</f>
        <v xml:space="preserve"> </v>
      </c>
      <c r="R392" s="4" t="str">
        <f ca="1">IF(OR(INDEX($W$2:$W$1001,MATCH(ROWS($V$2:V392),$V$2:$V$1001,0),1)&gt;=100000,INDEX($AC$1005:$AS$1005,1,MATCH(COLUMNS($AC$1006:AS1006),$AC$1006:$AS$1006,0))&gt;=100000), " ",IF(INDEX($AC$2:$AS$1001,MATCH(ROWS($V$2:V392),$V$2:$V$1001,0),MATCH(COLUMNS($AC$1006:AS1006),$AC$1006:$AS$1006,0)), HYPERLINK("#",""), HYPERLINK(CONCATENATE("#metadata!", ADDRESS(INDEX($X$2:$X$1001,MATCH(ROWS($V$2:V392),$V$2:$V$1001,0),0), INDEX($AC$1004:$AS$1004,1,MATCH(COLUMNS($AC$1006:AS1006),$AC$1006:$AS$1006,0)))),"Fix")))</f>
        <v xml:space="preserve"> </v>
      </c>
      <c r="V392">
        <v>391</v>
      </c>
      <c r="W392">
        <v>100392</v>
      </c>
      <c r="X392">
        <v>392</v>
      </c>
      <c r="Y392" t="b">
        <f t="shared" si="6"/>
        <v>1</v>
      </c>
      <c r="Z392" t="b">
        <f>COUNTBLANK(metadata!B392:R392)=COLUMNS(metadata!B392:R392)</f>
        <v>1</v>
      </c>
      <c r="AA392" t="str">
        <v/>
      </c>
      <c r="AC392" t="b">
        <f ca="1"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AD392" t="b">
        <f>IF(metadata!C392="",FALSE,ISNUMBER(VALUE(metadata!C392)))</f>
        <v>0</v>
      </c>
      <c r="AE392" t="b">
        <f>AND(IF(metadata!D392="",FALSE,TRUE),EXACT(metadata!D392,"years"))</f>
        <v>0</v>
      </c>
      <c r="AF392" t="b">
        <f>OR(AND(IF(metadata!E392="",FALSE,TRUE),OR(EXACT(metadata!E392,"not applicable"),EXACT(metadata!E392,"missing: not collected"),EXACT(metadata!E392,"missing: not provided"),EXACT(metadata!E392,"missing: restricted access"))),AND(IF(metadata!E392="",FALSE,ISNUMBER(VALUE(metadata!E392))),metadata!E392&gt;0))</f>
        <v>0</v>
      </c>
      <c r="AG392" t="b">
        <f>AND(IF(metadata!F392="",FALSE,TRUE),EXACT(metadata!F392,"Not applicable"))</f>
        <v>0</v>
      </c>
      <c r="AH392" t="b">
        <f>AND(IF(metadata!G392="",FALSE,TRUE),EXACT(metadata!G392,"urban biome"))</f>
        <v>0</v>
      </c>
      <c r="AI392" t="b">
        <f>AND(IF(metadata!H392="",FALSE,TRUE),EXACT(metadata!H392,"human-associated habitat"))</f>
        <v>0</v>
      </c>
      <c r="AJ392" t="b">
        <f>AND(IF(metadata!I392="",FALSE,TRUE),OR(EXACT(metadata!I392,"human-associated"),EXACT(metadata!I392,"human-skin"),EXACT(metadata!I392,"human-oral"),EXACT(metadata!I392,"human-gut"),EXACT(metadata!I392,"human-vaginal")))</f>
        <v>0</v>
      </c>
      <c r="AK392" t="b">
        <f>IF(metadata!J392="",FALSE,ISNUMBER(VALUE(metadata!J392)))</f>
        <v>0</v>
      </c>
      <c r="AL392" t="b">
        <f>AND(IF(metadata!K392="",FALSE,TRUE),EXACT(metadata!K392,"cm"))</f>
        <v>0</v>
      </c>
      <c r="AM392" t="b">
        <f>AND(IF(metadata!L392="",FALSE,TRUE),EXACT(metadata!L392,"human"))</f>
        <v>0</v>
      </c>
      <c r="AN392" t="b">
        <f>AND(IF(metadata!M392="",FALSE,TRUE),EXACT(metadata!M392,"Homo sapiens"))</f>
        <v>0</v>
      </c>
      <c r="AO392" t="b">
        <f>AND(IF(metadata!N392="",FALSE,TRUE),EXACT(metadata!N392,"9606"))</f>
        <v>0</v>
      </c>
      <c r="AP392" t="b">
        <f>IF(metadata!O392="",FALSE,TRUE)</f>
        <v>0</v>
      </c>
      <c r="AQ392" t="b">
        <f>IF(metadata!P392="",FALSE,TRUE)</f>
        <v>0</v>
      </c>
      <c r="AR392" t="b">
        <f>IF(metadata!Q392="",FALSE,ISNUMBER(VALUE(metadata!Q392)))</f>
        <v>0</v>
      </c>
      <c r="AS392" t="b">
        <f>AND(IF(metadata!R392="",FALSE,TRUE),EXACT(metadata!R392,"kg"))</f>
        <v>0</v>
      </c>
    </row>
    <row r="393" spans="1:45" x14ac:dyDescent="0.2">
      <c r="A393" s="5" t="str">
        <f ca="1">IF(B393=" "," ",HYPERLINK(CONCATENATE("#metadata!",ADDRESS(INDEX($X$2:$X$1001,MATCH(ROWS($V$2:V393),$V$2:$V$1001,0),0),1)),INDEX($AA$2:$AA$1001,MATCH(ROWS($V$2:V393),$V$2:$V$1001,0),0)))</f>
        <v xml:space="preserve"> </v>
      </c>
      <c r="B393" s="4" t="str">
        <f ca="1">IF(OR(INDEX($W$2:$W$1001,MATCH(ROWS($V$2:V393),$V$2:$V$1001,0),1)&gt;=100000,INDEX($AC$1005:$AS$1005,1,MATCH(COLUMNS($AC$1006:AC1006),$AC$1006:$AS$1006,0))&gt;=100000), " ",IF(INDEX($AC$2:$AS$1001,MATCH(ROWS($V$2:V393),$V$2:$V$1001,0),MATCH(COLUMNS($AC$1006:AC1006),$AC$1006:$AS$1006,0)), HYPERLINK("#",""), HYPERLINK(CONCATENATE("#metadata!", ADDRESS(INDEX($X$2:$X$1001,MATCH(ROWS($V$2:V393),$V$2:$V$1001,0),0), INDEX($AC$1004:$AS$1004,1,MATCH(COLUMNS($AC$1006:AC1006),$AC$1006:$AS$1006,0)))),"Fix")))</f>
        <v xml:space="preserve"> </v>
      </c>
      <c r="C393" s="4" t="str">
        <f ca="1">IF(OR(INDEX($W$2:$W$1001,MATCH(ROWS($V$2:V393),$V$2:$V$1001,0),1)&gt;=100000,INDEX($AC$1005:$AS$1005,1,MATCH(COLUMNS($AC$1006:AD1006),$AC$1006:$AS$1006,0))&gt;=100000), " ",IF(INDEX($AC$2:$AS$1001,MATCH(ROWS($V$2:V393),$V$2:$V$1001,0),MATCH(COLUMNS($AC$1006:AD1006),$AC$1006:$AS$1006,0)), HYPERLINK("#",""), HYPERLINK(CONCATENATE("#metadata!", ADDRESS(INDEX($X$2:$X$1001,MATCH(ROWS($V$2:V393),$V$2:$V$1001,0),0), INDEX($AC$1004:$AS$1004,1,MATCH(COLUMNS($AC$1006:AD1006),$AC$1006:$AS$1006,0)))),"Fix")))</f>
        <v xml:space="preserve"> </v>
      </c>
      <c r="D393" s="4" t="str">
        <f ca="1">IF(OR(INDEX($W$2:$W$1001,MATCH(ROWS($V$2:V393),$V$2:$V$1001,0),1)&gt;=100000,INDEX($AC$1005:$AS$1005,1,MATCH(COLUMNS($AC$1006:AE1006),$AC$1006:$AS$1006,0))&gt;=100000), " ",IF(INDEX($AC$2:$AS$1001,MATCH(ROWS($V$2:V393),$V$2:$V$1001,0),MATCH(COLUMNS($AC$1006:AE1006),$AC$1006:$AS$1006,0)), HYPERLINK("#",""), HYPERLINK(CONCATENATE("#metadata!", ADDRESS(INDEX($X$2:$X$1001,MATCH(ROWS($V$2:V393),$V$2:$V$1001,0),0), INDEX($AC$1004:$AS$1004,1,MATCH(COLUMNS($AC$1006:AE1006),$AC$1006:$AS$1006,0)))),"Fix")))</f>
        <v xml:space="preserve"> </v>
      </c>
      <c r="E393" s="4" t="str">
        <f ca="1">IF(OR(INDEX($W$2:$W$1001,MATCH(ROWS($V$2:V393),$V$2:$V$1001,0),1)&gt;=100000,INDEX($AC$1005:$AS$1005,1,MATCH(COLUMNS($AC$1006:AF1006),$AC$1006:$AS$1006,0))&gt;=100000), " ",IF(INDEX($AC$2:$AS$1001,MATCH(ROWS($V$2:V393),$V$2:$V$1001,0),MATCH(COLUMNS($AC$1006:AF1006),$AC$1006:$AS$1006,0)), HYPERLINK("#",""), HYPERLINK(CONCATENATE("#metadata!", ADDRESS(INDEX($X$2:$X$1001,MATCH(ROWS($V$2:V393),$V$2:$V$1001,0),0), INDEX($AC$1004:$AS$1004,1,MATCH(COLUMNS($AC$1006:AF1006),$AC$1006:$AS$1006,0)))),"Fix")))</f>
        <v xml:space="preserve"> </v>
      </c>
      <c r="F393" s="4" t="str">
        <f ca="1">IF(OR(INDEX($W$2:$W$1001,MATCH(ROWS($V$2:V393),$V$2:$V$1001,0),1)&gt;=100000,INDEX($AC$1005:$AS$1005,1,MATCH(COLUMNS($AC$1006:AG1006),$AC$1006:$AS$1006,0))&gt;=100000), " ",IF(INDEX($AC$2:$AS$1001,MATCH(ROWS($V$2:V393),$V$2:$V$1001,0),MATCH(COLUMNS($AC$1006:AG1006),$AC$1006:$AS$1006,0)), HYPERLINK("#",""), HYPERLINK(CONCATENATE("#metadata!", ADDRESS(INDEX($X$2:$X$1001,MATCH(ROWS($V$2:V393),$V$2:$V$1001,0),0), INDEX($AC$1004:$AS$1004,1,MATCH(COLUMNS($AC$1006:AG1006),$AC$1006:$AS$1006,0)))),"Fix")))</f>
        <v xml:space="preserve"> </v>
      </c>
      <c r="G393" s="4" t="str">
        <f ca="1">IF(OR(INDEX($W$2:$W$1001,MATCH(ROWS($V$2:V393),$V$2:$V$1001,0),1)&gt;=100000,INDEX($AC$1005:$AS$1005,1,MATCH(COLUMNS($AC$1006:AH1006),$AC$1006:$AS$1006,0))&gt;=100000), " ",IF(INDEX($AC$2:$AS$1001,MATCH(ROWS($V$2:V393),$V$2:$V$1001,0),MATCH(COLUMNS($AC$1006:AH1006),$AC$1006:$AS$1006,0)), HYPERLINK("#",""), HYPERLINK(CONCATENATE("#metadata!", ADDRESS(INDEX($X$2:$X$1001,MATCH(ROWS($V$2:V393),$V$2:$V$1001,0),0), INDEX($AC$1004:$AS$1004,1,MATCH(COLUMNS($AC$1006:AH1006),$AC$1006:$AS$1006,0)))),"Fix")))</f>
        <v xml:space="preserve"> </v>
      </c>
      <c r="H393" s="4" t="str">
        <f ca="1">IF(OR(INDEX($W$2:$W$1001,MATCH(ROWS($V$2:V393),$V$2:$V$1001,0),1)&gt;=100000,INDEX($AC$1005:$AS$1005,1,MATCH(COLUMNS($AC$1006:AI1006),$AC$1006:$AS$1006,0))&gt;=100000), " ",IF(INDEX($AC$2:$AS$1001,MATCH(ROWS($V$2:V393),$V$2:$V$1001,0),MATCH(COLUMNS($AC$1006:AI1006),$AC$1006:$AS$1006,0)), HYPERLINK("#",""), HYPERLINK(CONCATENATE("#metadata!", ADDRESS(INDEX($X$2:$X$1001,MATCH(ROWS($V$2:V393),$V$2:$V$1001,0),0), INDEX($AC$1004:$AS$1004,1,MATCH(COLUMNS($AC$1006:AI1006),$AC$1006:$AS$1006,0)))),"Fix")))</f>
        <v xml:space="preserve"> </v>
      </c>
      <c r="I393" s="4" t="str">
        <f ca="1">IF(OR(INDEX($W$2:$W$1001,MATCH(ROWS($V$2:V393),$V$2:$V$1001,0),1)&gt;=100000,INDEX($AC$1005:$AS$1005,1,MATCH(COLUMNS($AC$1006:AJ1006),$AC$1006:$AS$1006,0))&gt;=100000), " ",IF(INDEX($AC$2:$AS$1001,MATCH(ROWS($V$2:V393),$V$2:$V$1001,0),MATCH(COLUMNS($AC$1006:AJ1006),$AC$1006:$AS$1006,0)), HYPERLINK("#",""), HYPERLINK(CONCATENATE("#metadata!", ADDRESS(INDEX($X$2:$X$1001,MATCH(ROWS($V$2:V393),$V$2:$V$1001,0),0), INDEX($AC$1004:$AS$1004,1,MATCH(COLUMNS($AC$1006:AJ1006),$AC$1006:$AS$1006,0)))),"Fix")))</f>
        <v xml:space="preserve"> </v>
      </c>
      <c r="J393" s="4" t="str">
        <f ca="1">IF(OR(INDEX($W$2:$W$1001,MATCH(ROWS($V$2:V393),$V$2:$V$1001,0),1)&gt;=100000,INDEX($AC$1005:$AS$1005,1,MATCH(COLUMNS($AC$1006:AK1006),$AC$1006:$AS$1006,0))&gt;=100000), " ",IF(INDEX($AC$2:$AS$1001,MATCH(ROWS($V$2:V393),$V$2:$V$1001,0),MATCH(COLUMNS($AC$1006:AK1006),$AC$1006:$AS$1006,0)), HYPERLINK("#",""), HYPERLINK(CONCATENATE("#metadata!", ADDRESS(INDEX($X$2:$X$1001,MATCH(ROWS($V$2:V393),$V$2:$V$1001,0),0), INDEX($AC$1004:$AS$1004,1,MATCH(COLUMNS($AC$1006:AK1006),$AC$1006:$AS$1006,0)))),"Fix")))</f>
        <v xml:space="preserve"> </v>
      </c>
      <c r="K393" s="4" t="str">
        <f ca="1">IF(OR(INDEX($W$2:$W$1001,MATCH(ROWS($V$2:V393),$V$2:$V$1001,0),1)&gt;=100000,INDEX($AC$1005:$AS$1005,1,MATCH(COLUMNS($AC$1006:AL1006),$AC$1006:$AS$1006,0))&gt;=100000), " ",IF(INDEX($AC$2:$AS$1001,MATCH(ROWS($V$2:V393),$V$2:$V$1001,0),MATCH(COLUMNS($AC$1006:AL1006),$AC$1006:$AS$1006,0)), HYPERLINK("#",""), HYPERLINK(CONCATENATE("#metadata!", ADDRESS(INDEX($X$2:$X$1001,MATCH(ROWS($V$2:V393),$V$2:$V$1001,0),0), INDEX($AC$1004:$AS$1004,1,MATCH(COLUMNS($AC$1006:AL1006),$AC$1006:$AS$1006,0)))),"Fix")))</f>
        <v xml:space="preserve"> </v>
      </c>
      <c r="L393" s="4" t="str">
        <f ca="1">IF(OR(INDEX($W$2:$W$1001,MATCH(ROWS($V$2:V393),$V$2:$V$1001,0),1)&gt;=100000,INDEX($AC$1005:$AS$1005,1,MATCH(COLUMNS($AC$1006:AM1006),$AC$1006:$AS$1006,0))&gt;=100000), " ",IF(INDEX($AC$2:$AS$1001,MATCH(ROWS($V$2:V393),$V$2:$V$1001,0),MATCH(COLUMNS($AC$1006:AM1006),$AC$1006:$AS$1006,0)), HYPERLINK("#",""), HYPERLINK(CONCATENATE("#metadata!", ADDRESS(INDEX($X$2:$X$1001,MATCH(ROWS($V$2:V393),$V$2:$V$1001,0),0), INDEX($AC$1004:$AS$1004,1,MATCH(COLUMNS($AC$1006:AM1006),$AC$1006:$AS$1006,0)))),"Fix")))</f>
        <v xml:space="preserve"> </v>
      </c>
      <c r="M393" s="4" t="str">
        <f ca="1">IF(OR(INDEX($W$2:$W$1001,MATCH(ROWS($V$2:V393),$V$2:$V$1001,0),1)&gt;=100000,INDEX($AC$1005:$AS$1005,1,MATCH(COLUMNS($AC$1006:AN1006),$AC$1006:$AS$1006,0))&gt;=100000), " ",IF(INDEX($AC$2:$AS$1001,MATCH(ROWS($V$2:V393),$V$2:$V$1001,0),MATCH(COLUMNS($AC$1006:AN1006),$AC$1006:$AS$1006,0)), HYPERLINK("#",""), HYPERLINK(CONCATENATE("#metadata!", ADDRESS(INDEX($X$2:$X$1001,MATCH(ROWS($V$2:V393),$V$2:$V$1001,0),0), INDEX($AC$1004:$AS$1004,1,MATCH(COLUMNS($AC$1006:AN1006),$AC$1006:$AS$1006,0)))),"Fix")))</f>
        <v xml:space="preserve"> </v>
      </c>
      <c r="N393" s="4" t="str">
        <f ca="1">IF(OR(INDEX($W$2:$W$1001,MATCH(ROWS($V$2:V393),$V$2:$V$1001,0),1)&gt;=100000,INDEX($AC$1005:$AS$1005,1,MATCH(COLUMNS($AC$1006:AO1006),$AC$1006:$AS$1006,0))&gt;=100000), " ",IF(INDEX($AC$2:$AS$1001,MATCH(ROWS($V$2:V393),$V$2:$V$1001,0),MATCH(COLUMNS($AC$1006:AO1006),$AC$1006:$AS$1006,0)), HYPERLINK("#",""), HYPERLINK(CONCATENATE("#metadata!", ADDRESS(INDEX($X$2:$X$1001,MATCH(ROWS($V$2:V393),$V$2:$V$1001,0),0), INDEX($AC$1004:$AS$1004,1,MATCH(COLUMNS($AC$1006:AO1006),$AC$1006:$AS$1006,0)))),"Fix")))</f>
        <v xml:space="preserve"> </v>
      </c>
      <c r="O393" s="4" t="str">
        <f ca="1">IF(OR(INDEX($W$2:$W$1001,MATCH(ROWS($V$2:V393),$V$2:$V$1001,0),1)&gt;=100000,INDEX($AC$1005:$AS$1005,1,MATCH(COLUMNS($AC$1006:AP1006),$AC$1006:$AS$1006,0))&gt;=100000), " ",IF(INDEX($AC$2:$AS$1001,MATCH(ROWS($V$2:V393),$V$2:$V$1001,0),MATCH(COLUMNS($AC$1006:AP1006),$AC$1006:$AS$1006,0)), HYPERLINK("#",""), HYPERLINK(CONCATENATE("#metadata!", ADDRESS(INDEX($X$2:$X$1001,MATCH(ROWS($V$2:V393),$V$2:$V$1001,0),0), INDEX($AC$1004:$AS$1004,1,MATCH(COLUMNS($AC$1006:AP1006),$AC$1006:$AS$1006,0)))),"Fix")))</f>
        <v xml:space="preserve"> </v>
      </c>
      <c r="P393" s="4" t="str">
        <f ca="1">IF(OR(INDEX($W$2:$W$1001,MATCH(ROWS($V$2:V393),$V$2:$V$1001,0),1)&gt;=100000,INDEX($AC$1005:$AS$1005,1,MATCH(COLUMNS($AC$1006:AQ1006),$AC$1006:$AS$1006,0))&gt;=100000), " ",IF(INDEX($AC$2:$AS$1001,MATCH(ROWS($V$2:V393),$V$2:$V$1001,0),MATCH(COLUMNS($AC$1006:AQ1006),$AC$1006:$AS$1006,0)), HYPERLINK("#",""), HYPERLINK(CONCATENATE("#metadata!", ADDRESS(INDEX($X$2:$X$1001,MATCH(ROWS($V$2:V393),$V$2:$V$1001,0),0), INDEX($AC$1004:$AS$1004,1,MATCH(COLUMNS($AC$1006:AQ1006),$AC$1006:$AS$1006,0)))),"Fix")))</f>
        <v xml:space="preserve"> </v>
      </c>
      <c r="Q393" s="4" t="str">
        <f ca="1">IF(OR(INDEX($W$2:$W$1001,MATCH(ROWS($V$2:V393),$V$2:$V$1001,0),1)&gt;=100000,INDEX($AC$1005:$AS$1005,1,MATCH(COLUMNS($AC$1006:AR1006),$AC$1006:$AS$1006,0))&gt;=100000), " ",IF(INDEX($AC$2:$AS$1001,MATCH(ROWS($V$2:V393),$V$2:$V$1001,0),MATCH(COLUMNS($AC$1006:AR1006),$AC$1006:$AS$1006,0)), HYPERLINK("#",""), HYPERLINK(CONCATENATE("#metadata!", ADDRESS(INDEX($X$2:$X$1001,MATCH(ROWS($V$2:V393),$V$2:$V$1001,0),0), INDEX($AC$1004:$AS$1004,1,MATCH(COLUMNS($AC$1006:AR1006),$AC$1006:$AS$1006,0)))),"Fix")))</f>
        <v xml:space="preserve"> </v>
      </c>
      <c r="R393" s="4" t="str">
        <f ca="1">IF(OR(INDEX($W$2:$W$1001,MATCH(ROWS($V$2:V393),$V$2:$V$1001,0),1)&gt;=100000,INDEX($AC$1005:$AS$1005,1,MATCH(COLUMNS($AC$1006:AS1006),$AC$1006:$AS$1006,0))&gt;=100000), " ",IF(INDEX($AC$2:$AS$1001,MATCH(ROWS($V$2:V393),$V$2:$V$1001,0),MATCH(COLUMNS($AC$1006:AS1006),$AC$1006:$AS$1006,0)), HYPERLINK("#",""), HYPERLINK(CONCATENATE("#metadata!", ADDRESS(INDEX($X$2:$X$1001,MATCH(ROWS($V$2:V393),$V$2:$V$1001,0),0), INDEX($AC$1004:$AS$1004,1,MATCH(COLUMNS($AC$1006:AS1006),$AC$1006:$AS$1006,0)))),"Fix")))</f>
        <v xml:space="preserve"> </v>
      </c>
      <c r="V393">
        <v>392</v>
      </c>
      <c r="W393">
        <v>100393</v>
      </c>
      <c r="X393">
        <v>393</v>
      </c>
      <c r="Y393" t="b">
        <f t="shared" si="6"/>
        <v>1</v>
      </c>
      <c r="Z393" t="b">
        <f>COUNTBLANK(metadata!B393:R393)=COLUMNS(metadata!B393:R393)</f>
        <v>1</v>
      </c>
      <c r="AA393" t="str">
        <v/>
      </c>
      <c r="AC393" t="b">
        <f ca="1"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AD393" t="b">
        <f>IF(metadata!C393="",FALSE,ISNUMBER(VALUE(metadata!C393)))</f>
        <v>0</v>
      </c>
      <c r="AE393" t="b">
        <f>AND(IF(metadata!D393="",FALSE,TRUE),EXACT(metadata!D393,"years"))</f>
        <v>0</v>
      </c>
      <c r="AF393" t="b">
        <f>OR(AND(IF(metadata!E393="",FALSE,TRUE),OR(EXACT(metadata!E393,"not applicable"),EXACT(metadata!E393,"missing: not collected"),EXACT(metadata!E393,"missing: not provided"),EXACT(metadata!E393,"missing: restricted access"))),AND(IF(metadata!E393="",FALSE,ISNUMBER(VALUE(metadata!E393))),metadata!E393&gt;0))</f>
        <v>0</v>
      </c>
      <c r="AG393" t="b">
        <f>AND(IF(metadata!F393="",FALSE,TRUE),EXACT(metadata!F393,"Not applicable"))</f>
        <v>0</v>
      </c>
      <c r="AH393" t="b">
        <f>AND(IF(metadata!G393="",FALSE,TRUE),EXACT(metadata!G393,"urban biome"))</f>
        <v>0</v>
      </c>
      <c r="AI393" t="b">
        <f>AND(IF(metadata!H393="",FALSE,TRUE),EXACT(metadata!H393,"human-associated habitat"))</f>
        <v>0</v>
      </c>
      <c r="AJ393" t="b">
        <f>AND(IF(metadata!I393="",FALSE,TRUE),OR(EXACT(metadata!I393,"human-associated"),EXACT(metadata!I393,"human-skin"),EXACT(metadata!I393,"human-oral"),EXACT(metadata!I393,"human-gut"),EXACT(metadata!I393,"human-vaginal")))</f>
        <v>0</v>
      </c>
      <c r="AK393" t="b">
        <f>IF(metadata!J393="",FALSE,ISNUMBER(VALUE(metadata!J393)))</f>
        <v>0</v>
      </c>
      <c r="AL393" t="b">
        <f>AND(IF(metadata!K393="",FALSE,TRUE),EXACT(metadata!K393,"cm"))</f>
        <v>0</v>
      </c>
      <c r="AM393" t="b">
        <f>AND(IF(metadata!L393="",FALSE,TRUE),EXACT(metadata!L393,"human"))</f>
        <v>0</v>
      </c>
      <c r="AN393" t="b">
        <f>AND(IF(metadata!M393="",FALSE,TRUE),EXACT(metadata!M393,"Homo sapiens"))</f>
        <v>0</v>
      </c>
      <c r="AO393" t="b">
        <f>AND(IF(metadata!N393="",FALSE,TRUE),EXACT(metadata!N393,"9606"))</f>
        <v>0</v>
      </c>
      <c r="AP393" t="b">
        <f>IF(metadata!O393="",FALSE,TRUE)</f>
        <v>0</v>
      </c>
      <c r="AQ393" t="b">
        <f>IF(metadata!P393="",FALSE,TRUE)</f>
        <v>0</v>
      </c>
      <c r="AR393" t="b">
        <f>IF(metadata!Q393="",FALSE,ISNUMBER(VALUE(metadata!Q393)))</f>
        <v>0</v>
      </c>
      <c r="AS393" t="b">
        <f>AND(IF(metadata!R393="",FALSE,TRUE),EXACT(metadata!R393,"kg"))</f>
        <v>0</v>
      </c>
    </row>
    <row r="394" spans="1:45" x14ac:dyDescent="0.2">
      <c r="A394" s="5" t="str">
        <f ca="1">IF(B394=" "," ",HYPERLINK(CONCATENATE("#metadata!",ADDRESS(INDEX($X$2:$X$1001,MATCH(ROWS($V$2:V394),$V$2:$V$1001,0),0),1)),INDEX($AA$2:$AA$1001,MATCH(ROWS($V$2:V394),$V$2:$V$1001,0),0)))</f>
        <v xml:space="preserve"> </v>
      </c>
      <c r="B394" s="4" t="str">
        <f ca="1">IF(OR(INDEX($W$2:$W$1001,MATCH(ROWS($V$2:V394),$V$2:$V$1001,0),1)&gt;=100000,INDEX($AC$1005:$AS$1005,1,MATCH(COLUMNS($AC$1006:AC1006),$AC$1006:$AS$1006,0))&gt;=100000), " ",IF(INDEX($AC$2:$AS$1001,MATCH(ROWS($V$2:V394),$V$2:$V$1001,0),MATCH(COLUMNS($AC$1006:AC1006),$AC$1006:$AS$1006,0)), HYPERLINK("#",""), HYPERLINK(CONCATENATE("#metadata!", ADDRESS(INDEX($X$2:$X$1001,MATCH(ROWS($V$2:V394),$V$2:$V$1001,0),0), INDEX($AC$1004:$AS$1004,1,MATCH(COLUMNS($AC$1006:AC1006),$AC$1006:$AS$1006,0)))),"Fix")))</f>
        <v xml:space="preserve"> </v>
      </c>
      <c r="C394" s="4" t="str">
        <f ca="1">IF(OR(INDEX($W$2:$W$1001,MATCH(ROWS($V$2:V394),$V$2:$V$1001,0),1)&gt;=100000,INDEX($AC$1005:$AS$1005,1,MATCH(COLUMNS($AC$1006:AD1006),$AC$1006:$AS$1006,0))&gt;=100000), " ",IF(INDEX($AC$2:$AS$1001,MATCH(ROWS($V$2:V394),$V$2:$V$1001,0),MATCH(COLUMNS($AC$1006:AD1006),$AC$1006:$AS$1006,0)), HYPERLINK("#",""), HYPERLINK(CONCATENATE("#metadata!", ADDRESS(INDEX($X$2:$X$1001,MATCH(ROWS($V$2:V394),$V$2:$V$1001,0),0), INDEX($AC$1004:$AS$1004,1,MATCH(COLUMNS($AC$1006:AD1006),$AC$1006:$AS$1006,0)))),"Fix")))</f>
        <v xml:space="preserve"> </v>
      </c>
      <c r="D394" s="4" t="str">
        <f ca="1">IF(OR(INDEX($W$2:$W$1001,MATCH(ROWS($V$2:V394),$V$2:$V$1001,0),1)&gt;=100000,INDEX($AC$1005:$AS$1005,1,MATCH(COLUMNS($AC$1006:AE1006),$AC$1006:$AS$1006,0))&gt;=100000), " ",IF(INDEX($AC$2:$AS$1001,MATCH(ROWS($V$2:V394),$V$2:$V$1001,0),MATCH(COLUMNS($AC$1006:AE1006),$AC$1006:$AS$1006,0)), HYPERLINK("#",""), HYPERLINK(CONCATENATE("#metadata!", ADDRESS(INDEX($X$2:$X$1001,MATCH(ROWS($V$2:V394),$V$2:$V$1001,0),0), INDEX($AC$1004:$AS$1004,1,MATCH(COLUMNS($AC$1006:AE1006),$AC$1006:$AS$1006,0)))),"Fix")))</f>
        <v xml:space="preserve"> </v>
      </c>
      <c r="E394" s="4" t="str">
        <f ca="1">IF(OR(INDEX($W$2:$W$1001,MATCH(ROWS($V$2:V394),$V$2:$V$1001,0),1)&gt;=100000,INDEX($AC$1005:$AS$1005,1,MATCH(COLUMNS($AC$1006:AF1006),$AC$1006:$AS$1006,0))&gt;=100000), " ",IF(INDEX($AC$2:$AS$1001,MATCH(ROWS($V$2:V394),$V$2:$V$1001,0),MATCH(COLUMNS($AC$1006:AF1006),$AC$1006:$AS$1006,0)), HYPERLINK("#",""), HYPERLINK(CONCATENATE("#metadata!", ADDRESS(INDEX($X$2:$X$1001,MATCH(ROWS($V$2:V394),$V$2:$V$1001,0),0), INDEX($AC$1004:$AS$1004,1,MATCH(COLUMNS($AC$1006:AF1006),$AC$1006:$AS$1006,0)))),"Fix")))</f>
        <v xml:space="preserve"> </v>
      </c>
      <c r="F394" s="4" t="str">
        <f ca="1">IF(OR(INDEX($W$2:$W$1001,MATCH(ROWS($V$2:V394),$V$2:$V$1001,0),1)&gt;=100000,INDEX($AC$1005:$AS$1005,1,MATCH(COLUMNS($AC$1006:AG1006),$AC$1006:$AS$1006,0))&gt;=100000), " ",IF(INDEX($AC$2:$AS$1001,MATCH(ROWS($V$2:V394),$V$2:$V$1001,0),MATCH(COLUMNS($AC$1006:AG1006),$AC$1006:$AS$1006,0)), HYPERLINK("#",""), HYPERLINK(CONCATENATE("#metadata!", ADDRESS(INDEX($X$2:$X$1001,MATCH(ROWS($V$2:V394),$V$2:$V$1001,0),0), INDEX($AC$1004:$AS$1004,1,MATCH(COLUMNS($AC$1006:AG1006),$AC$1006:$AS$1006,0)))),"Fix")))</f>
        <v xml:space="preserve"> </v>
      </c>
      <c r="G394" s="4" t="str">
        <f ca="1">IF(OR(INDEX($W$2:$W$1001,MATCH(ROWS($V$2:V394),$V$2:$V$1001,0),1)&gt;=100000,INDEX($AC$1005:$AS$1005,1,MATCH(COLUMNS($AC$1006:AH1006),$AC$1006:$AS$1006,0))&gt;=100000), " ",IF(INDEX($AC$2:$AS$1001,MATCH(ROWS($V$2:V394),$V$2:$V$1001,0),MATCH(COLUMNS($AC$1006:AH1006),$AC$1006:$AS$1006,0)), HYPERLINK("#",""), HYPERLINK(CONCATENATE("#metadata!", ADDRESS(INDEX($X$2:$X$1001,MATCH(ROWS($V$2:V394),$V$2:$V$1001,0),0), INDEX($AC$1004:$AS$1004,1,MATCH(COLUMNS($AC$1006:AH1006),$AC$1006:$AS$1006,0)))),"Fix")))</f>
        <v xml:space="preserve"> </v>
      </c>
      <c r="H394" s="4" t="str">
        <f ca="1">IF(OR(INDEX($W$2:$W$1001,MATCH(ROWS($V$2:V394),$V$2:$V$1001,0),1)&gt;=100000,INDEX($AC$1005:$AS$1005,1,MATCH(COLUMNS($AC$1006:AI1006),$AC$1006:$AS$1006,0))&gt;=100000), " ",IF(INDEX($AC$2:$AS$1001,MATCH(ROWS($V$2:V394),$V$2:$V$1001,0),MATCH(COLUMNS($AC$1006:AI1006),$AC$1006:$AS$1006,0)), HYPERLINK("#",""), HYPERLINK(CONCATENATE("#metadata!", ADDRESS(INDEX($X$2:$X$1001,MATCH(ROWS($V$2:V394),$V$2:$V$1001,0),0), INDEX($AC$1004:$AS$1004,1,MATCH(COLUMNS($AC$1006:AI1006),$AC$1006:$AS$1006,0)))),"Fix")))</f>
        <v xml:space="preserve"> </v>
      </c>
      <c r="I394" s="4" t="str">
        <f ca="1">IF(OR(INDEX($W$2:$W$1001,MATCH(ROWS($V$2:V394),$V$2:$V$1001,0),1)&gt;=100000,INDEX($AC$1005:$AS$1005,1,MATCH(COLUMNS($AC$1006:AJ1006),$AC$1006:$AS$1006,0))&gt;=100000), " ",IF(INDEX($AC$2:$AS$1001,MATCH(ROWS($V$2:V394),$V$2:$V$1001,0),MATCH(COLUMNS($AC$1006:AJ1006),$AC$1006:$AS$1006,0)), HYPERLINK("#",""), HYPERLINK(CONCATENATE("#metadata!", ADDRESS(INDEX($X$2:$X$1001,MATCH(ROWS($V$2:V394),$V$2:$V$1001,0),0), INDEX($AC$1004:$AS$1004,1,MATCH(COLUMNS($AC$1006:AJ1006),$AC$1006:$AS$1006,0)))),"Fix")))</f>
        <v xml:space="preserve"> </v>
      </c>
      <c r="J394" s="4" t="str">
        <f ca="1">IF(OR(INDEX($W$2:$W$1001,MATCH(ROWS($V$2:V394),$V$2:$V$1001,0),1)&gt;=100000,INDEX($AC$1005:$AS$1005,1,MATCH(COLUMNS($AC$1006:AK1006),$AC$1006:$AS$1006,0))&gt;=100000), " ",IF(INDEX($AC$2:$AS$1001,MATCH(ROWS($V$2:V394),$V$2:$V$1001,0),MATCH(COLUMNS($AC$1006:AK1006),$AC$1006:$AS$1006,0)), HYPERLINK("#",""), HYPERLINK(CONCATENATE("#metadata!", ADDRESS(INDEX($X$2:$X$1001,MATCH(ROWS($V$2:V394),$V$2:$V$1001,0),0), INDEX($AC$1004:$AS$1004,1,MATCH(COLUMNS($AC$1006:AK1006),$AC$1006:$AS$1006,0)))),"Fix")))</f>
        <v xml:space="preserve"> </v>
      </c>
      <c r="K394" s="4" t="str">
        <f ca="1">IF(OR(INDEX($W$2:$W$1001,MATCH(ROWS($V$2:V394),$V$2:$V$1001,0),1)&gt;=100000,INDEX($AC$1005:$AS$1005,1,MATCH(COLUMNS($AC$1006:AL1006),$AC$1006:$AS$1006,0))&gt;=100000), " ",IF(INDEX($AC$2:$AS$1001,MATCH(ROWS($V$2:V394),$V$2:$V$1001,0),MATCH(COLUMNS($AC$1006:AL1006),$AC$1006:$AS$1006,0)), HYPERLINK("#",""), HYPERLINK(CONCATENATE("#metadata!", ADDRESS(INDEX($X$2:$X$1001,MATCH(ROWS($V$2:V394),$V$2:$V$1001,0),0), INDEX($AC$1004:$AS$1004,1,MATCH(COLUMNS($AC$1006:AL1006),$AC$1006:$AS$1006,0)))),"Fix")))</f>
        <v xml:space="preserve"> </v>
      </c>
      <c r="L394" s="4" t="str">
        <f ca="1">IF(OR(INDEX($W$2:$W$1001,MATCH(ROWS($V$2:V394),$V$2:$V$1001,0),1)&gt;=100000,INDEX($AC$1005:$AS$1005,1,MATCH(COLUMNS($AC$1006:AM1006),$AC$1006:$AS$1006,0))&gt;=100000), " ",IF(INDEX($AC$2:$AS$1001,MATCH(ROWS($V$2:V394),$V$2:$V$1001,0),MATCH(COLUMNS($AC$1006:AM1006),$AC$1006:$AS$1006,0)), HYPERLINK("#",""), HYPERLINK(CONCATENATE("#metadata!", ADDRESS(INDEX($X$2:$X$1001,MATCH(ROWS($V$2:V394),$V$2:$V$1001,0),0), INDEX($AC$1004:$AS$1004,1,MATCH(COLUMNS($AC$1006:AM1006),$AC$1006:$AS$1006,0)))),"Fix")))</f>
        <v xml:space="preserve"> </v>
      </c>
      <c r="M394" s="4" t="str">
        <f ca="1">IF(OR(INDEX($W$2:$W$1001,MATCH(ROWS($V$2:V394),$V$2:$V$1001,0),1)&gt;=100000,INDEX($AC$1005:$AS$1005,1,MATCH(COLUMNS($AC$1006:AN1006),$AC$1006:$AS$1006,0))&gt;=100000), " ",IF(INDEX($AC$2:$AS$1001,MATCH(ROWS($V$2:V394),$V$2:$V$1001,0),MATCH(COLUMNS($AC$1006:AN1006),$AC$1006:$AS$1006,0)), HYPERLINK("#",""), HYPERLINK(CONCATENATE("#metadata!", ADDRESS(INDEX($X$2:$X$1001,MATCH(ROWS($V$2:V394),$V$2:$V$1001,0),0), INDEX($AC$1004:$AS$1004,1,MATCH(COLUMNS($AC$1006:AN1006),$AC$1006:$AS$1006,0)))),"Fix")))</f>
        <v xml:space="preserve"> </v>
      </c>
      <c r="N394" s="4" t="str">
        <f ca="1">IF(OR(INDEX($W$2:$W$1001,MATCH(ROWS($V$2:V394),$V$2:$V$1001,0),1)&gt;=100000,INDEX($AC$1005:$AS$1005,1,MATCH(COLUMNS($AC$1006:AO1006),$AC$1006:$AS$1006,0))&gt;=100000), " ",IF(INDEX($AC$2:$AS$1001,MATCH(ROWS($V$2:V394),$V$2:$V$1001,0),MATCH(COLUMNS($AC$1006:AO1006),$AC$1006:$AS$1006,0)), HYPERLINK("#",""), HYPERLINK(CONCATENATE("#metadata!", ADDRESS(INDEX($X$2:$X$1001,MATCH(ROWS($V$2:V394),$V$2:$V$1001,0),0), INDEX($AC$1004:$AS$1004,1,MATCH(COLUMNS($AC$1006:AO1006),$AC$1006:$AS$1006,0)))),"Fix")))</f>
        <v xml:space="preserve"> </v>
      </c>
      <c r="O394" s="4" t="str">
        <f ca="1">IF(OR(INDEX($W$2:$W$1001,MATCH(ROWS($V$2:V394),$V$2:$V$1001,0),1)&gt;=100000,INDEX($AC$1005:$AS$1005,1,MATCH(COLUMNS($AC$1006:AP1006),$AC$1006:$AS$1006,0))&gt;=100000), " ",IF(INDEX($AC$2:$AS$1001,MATCH(ROWS($V$2:V394),$V$2:$V$1001,0),MATCH(COLUMNS($AC$1006:AP1006),$AC$1006:$AS$1006,0)), HYPERLINK("#",""), HYPERLINK(CONCATENATE("#metadata!", ADDRESS(INDEX($X$2:$X$1001,MATCH(ROWS($V$2:V394),$V$2:$V$1001,0),0), INDEX($AC$1004:$AS$1004,1,MATCH(COLUMNS($AC$1006:AP1006),$AC$1006:$AS$1006,0)))),"Fix")))</f>
        <v xml:space="preserve"> </v>
      </c>
      <c r="P394" s="4" t="str">
        <f ca="1">IF(OR(INDEX($W$2:$W$1001,MATCH(ROWS($V$2:V394),$V$2:$V$1001,0),1)&gt;=100000,INDEX($AC$1005:$AS$1005,1,MATCH(COLUMNS($AC$1006:AQ1006),$AC$1006:$AS$1006,0))&gt;=100000), " ",IF(INDEX($AC$2:$AS$1001,MATCH(ROWS($V$2:V394),$V$2:$V$1001,0),MATCH(COLUMNS($AC$1006:AQ1006),$AC$1006:$AS$1006,0)), HYPERLINK("#",""), HYPERLINK(CONCATENATE("#metadata!", ADDRESS(INDEX($X$2:$X$1001,MATCH(ROWS($V$2:V394),$V$2:$V$1001,0),0), INDEX($AC$1004:$AS$1004,1,MATCH(COLUMNS($AC$1006:AQ1006),$AC$1006:$AS$1006,0)))),"Fix")))</f>
        <v xml:space="preserve"> </v>
      </c>
      <c r="Q394" s="4" t="str">
        <f ca="1">IF(OR(INDEX($W$2:$W$1001,MATCH(ROWS($V$2:V394),$V$2:$V$1001,0),1)&gt;=100000,INDEX($AC$1005:$AS$1005,1,MATCH(COLUMNS($AC$1006:AR1006),$AC$1006:$AS$1006,0))&gt;=100000), " ",IF(INDEX($AC$2:$AS$1001,MATCH(ROWS($V$2:V394),$V$2:$V$1001,0),MATCH(COLUMNS($AC$1006:AR1006),$AC$1006:$AS$1006,0)), HYPERLINK("#",""), HYPERLINK(CONCATENATE("#metadata!", ADDRESS(INDEX($X$2:$X$1001,MATCH(ROWS($V$2:V394),$V$2:$V$1001,0),0), INDEX($AC$1004:$AS$1004,1,MATCH(COLUMNS($AC$1006:AR1006),$AC$1006:$AS$1006,0)))),"Fix")))</f>
        <v xml:space="preserve"> </v>
      </c>
      <c r="R394" s="4" t="str">
        <f ca="1">IF(OR(INDEX($W$2:$W$1001,MATCH(ROWS($V$2:V394),$V$2:$V$1001,0),1)&gt;=100000,INDEX($AC$1005:$AS$1005,1,MATCH(COLUMNS($AC$1006:AS1006),$AC$1006:$AS$1006,0))&gt;=100000), " ",IF(INDEX($AC$2:$AS$1001,MATCH(ROWS($V$2:V394),$V$2:$V$1001,0),MATCH(COLUMNS($AC$1006:AS1006),$AC$1006:$AS$1006,0)), HYPERLINK("#",""), HYPERLINK(CONCATENATE("#metadata!", ADDRESS(INDEX($X$2:$X$1001,MATCH(ROWS($V$2:V394),$V$2:$V$1001,0),0), INDEX($AC$1004:$AS$1004,1,MATCH(COLUMNS($AC$1006:AS1006),$AC$1006:$AS$1006,0)))),"Fix")))</f>
        <v xml:space="preserve"> </v>
      </c>
      <c r="V394">
        <v>393</v>
      </c>
      <c r="W394">
        <v>100394</v>
      </c>
      <c r="X394">
        <v>394</v>
      </c>
      <c r="Y394" t="b">
        <f t="shared" si="6"/>
        <v>1</v>
      </c>
      <c r="Z394" t="b">
        <f>COUNTBLANK(metadata!B394:R394)=COLUMNS(metadata!B394:R394)</f>
        <v>1</v>
      </c>
      <c r="AA394" t="str">
        <v/>
      </c>
      <c r="AC394" t="b">
        <f ca="1"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AD394" t="b">
        <f>IF(metadata!C394="",FALSE,ISNUMBER(VALUE(metadata!C394)))</f>
        <v>0</v>
      </c>
      <c r="AE394" t="b">
        <f>AND(IF(metadata!D394="",FALSE,TRUE),EXACT(metadata!D394,"years"))</f>
        <v>0</v>
      </c>
      <c r="AF394" t="b">
        <f>OR(AND(IF(metadata!E394="",FALSE,TRUE),OR(EXACT(metadata!E394,"not applicable"),EXACT(metadata!E394,"missing: not collected"),EXACT(metadata!E394,"missing: not provided"),EXACT(metadata!E394,"missing: restricted access"))),AND(IF(metadata!E394="",FALSE,ISNUMBER(VALUE(metadata!E394))),metadata!E394&gt;0))</f>
        <v>0</v>
      </c>
      <c r="AG394" t="b">
        <f>AND(IF(metadata!F394="",FALSE,TRUE),EXACT(metadata!F394,"Not applicable"))</f>
        <v>0</v>
      </c>
      <c r="AH394" t="b">
        <f>AND(IF(metadata!G394="",FALSE,TRUE),EXACT(metadata!G394,"urban biome"))</f>
        <v>0</v>
      </c>
      <c r="AI394" t="b">
        <f>AND(IF(metadata!H394="",FALSE,TRUE),EXACT(metadata!H394,"human-associated habitat"))</f>
        <v>0</v>
      </c>
      <c r="AJ394" t="b">
        <f>AND(IF(metadata!I394="",FALSE,TRUE),OR(EXACT(metadata!I394,"human-associated"),EXACT(metadata!I394,"human-skin"),EXACT(metadata!I394,"human-oral"),EXACT(metadata!I394,"human-gut"),EXACT(metadata!I394,"human-vaginal")))</f>
        <v>0</v>
      </c>
      <c r="AK394" t="b">
        <f>IF(metadata!J394="",FALSE,ISNUMBER(VALUE(metadata!J394)))</f>
        <v>0</v>
      </c>
      <c r="AL394" t="b">
        <f>AND(IF(metadata!K394="",FALSE,TRUE),EXACT(metadata!K394,"cm"))</f>
        <v>0</v>
      </c>
      <c r="AM394" t="b">
        <f>AND(IF(metadata!L394="",FALSE,TRUE),EXACT(metadata!L394,"human"))</f>
        <v>0</v>
      </c>
      <c r="AN394" t="b">
        <f>AND(IF(metadata!M394="",FALSE,TRUE),EXACT(metadata!M394,"Homo sapiens"))</f>
        <v>0</v>
      </c>
      <c r="AO394" t="b">
        <f>AND(IF(metadata!N394="",FALSE,TRUE),EXACT(metadata!N394,"9606"))</f>
        <v>0</v>
      </c>
      <c r="AP394" t="b">
        <f>IF(metadata!O394="",FALSE,TRUE)</f>
        <v>0</v>
      </c>
      <c r="AQ394" t="b">
        <f>IF(metadata!P394="",FALSE,TRUE)</f>
        <v>0</v>
      </c>
      <c r="AR394" t="b">
        <f>IF(metadata!Q394="",FALSE,ISNUMBER(VALUE(metadata!Q394)))</f>
        <v>0</v>
      </c>
      <c r="AS394" t="b">
        <f>AND(IF(metadata!R394="",FALSE,TRUE),EXACT(metadata!R394,"kg"))</f>
        <v>0</v>
      </c>
    </row>
    <row r="395" spans="1:45" x14ac:dyDescent="0.2">
      <c r="A395" s="5" t="str">
        <f ca="1">IF(B395=" "," ",HYPERLINK(CONCATENATE("#metadata!",ADDRESS(INDEX($X$2:$X$1001,MATCH(ROWS($V$2:V395),$V$2:$V$1001,0),0),1)),INDEX($AA$2:$AA$1001,MATCH(ROWS($V$2:V395),$V$2:$V$1001,0),0)))</f>
        <v xml:space="preserve"> </v>
      </c>
      <c r="B395" s="4" t="str">
        <f ca="1">IF(OR(INDEX($W$2:$W$1001,MATCH(ROWS($V$2:V395),$V$2:$V$1001,0),1)&gt;=100000,INDEX($AC$1005:$AS$1005,1,MATCH(COLUMNS($AC$1006:AC1006),$AC$1006:$AS$1006,0))&gt;=100000), " ",IF(INDEX($AC$2:$AS$1001,MATCH(ROWS($V$2:V395),$V$2:$V$1001,0),MATCH(COLUMNS($AC$1006:AC1006),$AC$1006:$AS$1006,0)), HYPERLINK("#",""), HYPERLINK(CONCATENATE("#metadata!", ADDRESS(INDEX($X$2:$X$1001,MATCH(ROWS($V$2:V395),$V$2:$V$1001,0),0), INDEX($AC$1004:$AS$1004,1,MATCH(COLUMNS($AC$1006:AC1006),$AC$1006:$AS$1006,0)))),"Fix")))</f>
        <v xml:space="preserve"> </v>
      </c>
      <c r="C395" s="4" t="str">
        <f ca="1">IF(OR(INDEX($W$2:$W$1001,MATCH(ROWS($V$2:V395),$V$2:$V$1001,0),1)&gt;=100000,INDEX($AC$1005:$AS$1005,1,MATCH(COLUMNS($AC$1006:AD1006),$AC$1006:$AS$1006,0))&gt;=100000), " ",IF(INDEX($AC$2:$AS$1001,MATCH(ROWS($V$2:V395),$V$2:$V$1001,0),MATCH(COLUMNS($AC$1006:AD1006),$AC$1006:$AS$1006,0)), HYPERLINK("#",""), HYPERLINK(CONCATENATE("#metadata!", ADDRESS(INDEX($X$2:$X$1001,MATCH(ROWS($V$2:V395),$V$2:$V$1001,0),0), INDEX($AC$1004:$AS$1004,1,MATCH(COLUMNS($AC$1006:AD1006),$AC$1006:$AS$1006,0)))),"Fix")))</f>
        <v xml:space="preserve"> </v>
      </c>
      <c r="D395" s="4" t="str">
        <f ca="1">IF(OR(INDEX($W$2:$W$1001,MATCH(ROWS($V$2:V395),$V$2:$V$1001,0),1)&gt;=100000,INDEX($AC$1005:$AS$1005,1,MATCH(COLUMNS($AC$1006:AE1006),$AC$1006:$AS$1006,0))&gt;=100000), " ",IF(INDEX($AC$2:$AS$1001,MATCH(ROWS($V$2:V395),$V$2:$V$1001,0),MATCH(COLUMNS($AC$1006:AE1006),$AC$1006:$AS$1006,0)), HYPERLINK("#",""), HYPERLINK(CONCATENATE("#metadata!", ADDRESS(INDEX($X$2:$X$1001,MATCH(ROWS($V$2:V395),$V$2:$V$1001,0),0), INDEX($AC$1004:$AS$1004,1,MATCH(COLUMNS($AC$1006:AE1006),$AC$1006:$AS$1006,0)))),"Fix")))</f>
        <v xml:space="preserve"> </v>
      </c>
      <c r="E395" s="4" t="str">
        <f ca="1">IF(OR(INDEX($W$2:$W$1001,MATCH(ROWS($V$2:V395),$V$2:$V$1001,0),1)&gt;=100000,INDEX($AC$1005:$AS$1005,1,MATCH(COLUMNS($AC$1006:AF1006),$AC$1006:$AS$1006,0))&gt;=100000), " ",IF(INDEX($AC$2:$AS$1001,MATCH(ROWS($V$2:V395),$V$2:$V$1001,0),MATCH(COLUMNS($AC$1006:AF1006),$AC$1006:$AS$1006,0)), HYPERLINK("#",""), HYPERLINK(CONCATENATE("#metadata!", ADDRESS(INDEX($X$2:$X$1001,MATCH(ROWS($V$2:V395),$V$2:$V$1001,0),0), INDEX($AC$1004:$AS$1004,1,MATCH(COLUMNS($AC$1006:AF1006),$AC$1006:$AS$1006,0)))),"Fix")))</f>
        <v xml:space="preserve"> </v>
      </c>
      <c r="F395" s="4" t="str">
        <f ca="1">IF(OR(INDEX($W$2:$W$1001,MATCH(ROWS($V$2:V395),$V$2:$V$1001,0),1)&gt;=100000,INDEX($AC$1005:$AS$1005,1,MATCH(COLUMNS($AC$1006:AG1006),$AC$1006:$AS$1006,0))&gt;=100000), " ",IF(INDEX($AC$2:$AS$1001,MATCH(ROWS($V$2:V395),$V$2:$V$1001,0),MATCH(COLUMNS($AC$1006:AG1006),$AC$1006:$AS$1006,0)), HYPERLINK("#",""), HYPERLINK(CONCATENATE("#metadata!", ADDRESS(INDEX($X$2:$X$1001,MATCH(ROWS($V$2:V395),$V$2:$V$1001,0),0), INDEX($AC$1004:$AS$1004,1,MATCH(COLUMNS($AC$1006:AG1006),$AC$1006:$AS$1006,0)))),"Fix")))</f>
        <v xml:space="preserve"> </v>
      </c>
      <c r="G395" s="4" t="str">
        <f ca="1">IF(OR(INDEX($W$2:$W$1001,MATCH(ROWS($V$2:V395),$V$2:$V$1001,0),1)&gt;=100000,INDEX($AC$1005:$AS$1005,1,MATCH(COLUMNS($AC$1006:AH1006),$AC$1006:$AS$1006,0))&gt;=100000), " ",IF(INDEX($AC$2:$AS$1001,MATCH(ROWS($V$2:V395),$V$2:$V$1001,0),MATCH(COLUMNS($AC$1006:AH1006),$AC$1006:$AS$1006,0)), HYPERLINK("#",""), HYPERLINK(CONCATENATE("#metadata!", ADDRESS(INDEX($X$2:$X$1001,MATCH(ROWS($V$2:V395),$V$2:$V$1001,0),0), INDEX($AC$1004:$AS$1004,1,MATCH(COLUMNS($AC$1006:AH1006),$AC$1006:$AS$1006,0)))),"Fix")))</f>
        <v xml:space="preserve"> </v>
      </c>
      <c r="H395" s="4" t="str">
        <f ca="1">IF(OR(INDEX($W$2:$W$1001,MATCH(ROWS($V$2:V395),$V$2:$V$1001,0),1)&gt;=100000,INDEX($AC$1005:$AS$1005,1,MATCH(COLUMNS($AC$1006:AI1006),$AC$1006:$AS$1006,0))&gt;=100000), " ",IF(INDEX($AC$2:$AS$1001,MATCH(ROWS($V$2:V395),$V$2:$V$1001,0),MATCH(COLUMNS($AC$1006:AI1006),$AC$1006:$AS$1006,0)), HYPERLINK("#",""), HYPERLINK(CONCATENATE("#metadata!", ADDRESS(INDEX($X$2:$X$1001,MATCH(ROWS($V$2:V395),$V$2:$V$1001,0),0), INDEX($AC$1004:$AS$1004,1,MATCH(COLUMNS($AC$1006:AI1006),$AC$1006:$AS$1006,0)))),"Fix")))</f>
        <v xml:space="preserve"> </v>
      </c>
      <c r="I395" s="4" t="str">
        <f ca="1">IF(OR(INDEX($W$2:$W$1001,MATCH(ROWS($V$2:V395),$V$2:$V$1001,0),1)&gt;=100000,INDEX($AC$1005:$AS$1005,1,MATCH(COLUMNS($AC$1006:AJ1006),$AC$1006:$AS$1006,0))&gt;=100000), " ",IF(INDEX($AC$2:$AS$1001,MATCH(ROWS($V$2:V395),$V$2:$V$1001,0),MATCH(COLUMNS($AC$1006:AJ1006),$AC$1006:$AS$1006,0)), HYPERLINK("#",""), HYPERLINK(CONCATENATE("#metadata!", ADDRESS(INDEX($X$2:$X$1001,MATCH(ROWS($V$2:V395),$V$2:$V$1001,0),0), INDEX($AC$1004:$AS$1004,1,MATCH(COLUMNS($AC$1006:AJ1006),$AC$1006:$AS$1006,0)))),"Fix")))</f>
        <v xml:space="preserve"> </v>
      </c>
      <c r="J395" s="4" t="str">
        <f ca="1">IF(OR(INDEX($W$2:$W$1001,MATCH(ROWS($V$2:V395),$V$2:$V$1001,0),1)&gt;=100000,INDEX($AC$1005:$AS$1005,1,MATCH(COLUMNS($AC$1006:AK1006),$AC$1006:$AS$1006,0))&gt;=100000), " ",IF(INDEX($AC$2:$AS$1001,MATCH(ROWS($V$2:V395),$V$2:$V$1001,0),MATCH(COLUMNS($AC$1006:AK1006),$AC$1006:$AS$1006,0)), HYPERLINK("#",""), HYPERLINK(CONCATENATE("#metadata!", ADDRESS(INDEX($X$2:$X$1001,MATCH(ROWS($V$2:V395),$V$2:$V$1001,0),0), INDEX($AC$1004:$AS$1004,1,MATCH(COLUMNS($AC$1006:AK1006),$AC$1006:$AS$1006,0)))),"Fix")))</f>
        <v xml:space="preserve"> </v>
      </c>
      <c r="K395" s="4" t="str">
        <f ca="1">IF(OR(INDEX($W$2:$W$1001,MATCH(ROWS($V$2:V395),$V$2:$V$1001,0),1)&gt;=100000,INDEX($AC$1005:$AS$1005,1,MATCH(COLUMNS($AC$1006:AL1006),$AC$1006:$AS$1006,0))&gt;=100000), " ",IF(INDEX($AC$2:$AS$1001,MATCH(ROWS($V$2:V395),$V$2:$V$1001,0),MATCH(COLUMNS($AC$1006:AL1006),$AC$1006:$AS$1006,0)), HYPERLINK("#",""), HYPERLINK(CONCATENATE("#metadata!", ADDRESS(INDEX($X$2:$X$1001,MATCH(ROWS($V$2:V395),$V$2:$V$1001,0),0), INDEX($AC$1004:$AS$1004,1,MATCH(COLUMNS($AC$1006:AL1006),$AC$1006:$AS$1006,0)))),"Fix")))</f>
        <v xml:space="preserve"> </v>
      </c>
      <c r="L395" s="4" t="str">
        <f ca="1">IF(OR(INDEX($W$2:$W$1001,MATCH(ROWS($V$2:V395),$V$2:$V$1001,0),1)&gt;=100000,INDEX($AC$1005:$AS$1005,1,MATCH(COLUMNS($AC$1006:AM1006),$AC$1006:$AS$1006,0))&gt;=100000), " ",IF(INDEX($AC$2:$AS$1001,MATCH(ROWS($V$2:V395),$V$2:$V$1001,0),MATCH(COLUMNS($AC$1006:AM1006),$AC$1006:$AS$1006,0)), HYPERLINK("#",""), HYPERLINK(CONCATENATE("#metadata!", ADDRESS(INDEX($X$2:$X$1001,MATCH(ROWS($V$2:V395),$V$2:$V$1001,0),0), INDEX($AC$1004:$AS$1004,1,MATCH(COLUMNS($AC$1006:AM1006),$AC$1006:$AS$1006,0)))),"Fix")))</f>
        <v xml:space="preserve"> </v>
      </c>
      <c r="M395" s="4" t="str">
        <f ca="1">IF(OR(INDEX($W$2:$W$1001,MATCH(ROWS($V$2:V395),$V$2:$V$1001,0),1)&gt;=100000,INDEX($AC$1005:$AS$1005,1,MATCH(COLUMNS($AC$1006:AN1006),$AC$1006:$AS$1006,0))&gt;=100000), " ",IF(INDEX($AC$2:$AS$1001,MATCH(ROWS($V$2:V395),$V$2:$V$1001,0),MATCH(COLUMNS($AC$1006:AN1006),$AC$1006:$AS$1006,0)), HYPERLINK("#",""), HYPERLINK(CONCATENATE("#metadata!", ADDRESS(INDEX($X$2:$X$1001,MATCH(ROWS($V$2:V395),$V$2:$V$1001,0),0), INDEX($AC$1004:$AS$1004,1,MATCH(COLUMNS($AC$1006:AN1006),$AC$1006:$AS$1006,0)))),"Fix")))</f>
        <v xml:space="preserve"> </v>
      </c>
      <c r="N395" s="4" t="str">
        <f ca="1">IF(OR(INDEX($W$2:$W$1001,MATCH(ROWS($V$2:V395),$V$2:$V$1001,0),1)&gt;=100000,INDEX($AC$1005:$AS$1005,1,MATCH(COLUMNS($AC$1006:AO1006),$AC$1006:$AS$1006,0))&gt;=100000), " ",IF(INDEX($AC$2:$AS$1001,MATCH(ROWS($V$2:V395),$V$2:$V$1001,0),MATCH(COLUMNS($AC$1006:AO1006),$AC$1006:$AS$1006,0)), HYPERLINK("#",""), HYPERLINK(CONCATENATE("#metadata!", ADDRESS(INDEX($X$2:$X$1001,MATCH(ROWS($V$2:V395),$V$2:$V$1001,0),0), INDEX($AC$1004:$AS$1004,1,MATCH(COLUMNS($AC$1006:AO1006),$AC$1006:$AS$1006,0)))),"Fix")))</f>
        <v xml:space="preserve"> </v>
      </c>
      <c r="O395" s="4" t="str">
        <f ca="1">IF(OR(INDEX($W$2:$W$1001,MATCH(ROWS($V$2:V395),$V$2:$V$1001,0),1)&gt;=100000,INDEX($AC$1005:$AS$1005,1,MATCH(COLUMNS($AC$1006:AP1006),$AC$1006:$AS$1006,0))&gt;=100000), " ",IF(INDEX($AC$2:$AS$1001,MATCH(ROWS($V$2:V395),$V$2:$V$1001,0),MATCH(COLUMNS($AC$1006:AP1006),$AC$1006:$AS$1006,0)), HYPERLINK("#",""), HYPERLINK(CONCATENATE("#metadata!", ADDRESS(INDEX($X$2:$X$1001,MATCH(ROWS($V$2:V395),$V$2:$V$1001,0),0), INDEX($AC$1004:$AS$1004,1,MATCH(COLUMNS($AC$1006:AP1006),$AC$1006:$AS$1006,0)))),"Fix")))</f>
        <v xml:space="preserve"> </v>
      </c>
      <c r="P395" s="4" t="str">
        <f ca="1">IF(OR(INDEX($W$2:$W$1001,MATCH(ROWS($V$2:V395),$V$2:$V$1001,0),1)&gt;=100000,INDEX($AC$1005:$AS$1005,1,MATCH(COLUMNS($AC$1006:AQ1006),$AC$1006:$AS$1006,0))&gt;=100000), " ",IF(INDEX($AC$2:$AS$1001,MATCH(ROWS($V$2:V395),$V$2:$V$1001,0),MATCH(COLUMNS($AC$1006:AQ1006),$AC$1006:$AS$1006,0)), HYPERLINK("#",""), HYPERLINK(CONCATENATE("#metadata!", ADDRESS(INDEX($X$2:$X$1001,MATCH(ROWS($V$2:V395),$V$2:$V$1001,0),0), INDEX($AC$1004:$AS$1004,1,MATCH(COLUMNS($AC$1006:AQ1006),$AC$1006:$AS$1006,0)))),"Fix")))</f>
        <v xml:space="preserve"> </v>
      </c>
      <c r="Q395" s="4" t="str">
        <f ca="1">IF(OR(INDEX($W$2:$W$1001,MATCH(ROWS($V$2:V395),$V$2:$V$1001,0),1)&gt;=100000,INDEX($AC$1005:$AS$1005,1,MATCH(COLUMNS($AC$1006:AR1006),$AC$1006:$AS$1006,0))&gt;=100000), " ",IF(INDEX($AC$2:$AS$1001,MATCH(ROWS($V$2:V395),$V$2:$V$1001,0),MATCH(COLUMNS($AC$1006:AR1006),$AC$1006:$AS$1006,0)), HYPERLINK("#",""), HYPERLINK(CONCATENATE("#metadata!", ADDRESS(INDEX($X$2:$X$1001,MATCH(ROWS($V$2:V395),$V$2:$V$1001,0),0), INDEX($AC$1004:$AS$1004,1,MATCH(COLUMNS($AC$1006:AR1006),$AC$1006:$AS$1006,0)))),"Fix")))</f>
        <v xml:space="preserve"> </v>
      </c>
      <c r="R395" s="4" t="str">
        <f ca="1">IF(OR(INDEX($W$2:$W$1001,MATCH(ROWS($V$2:V395),$V$2:$V$1001,0),1)&gt;=100000,INDEX($AC$1005:$AS$1005,1,MATCH(COLUMNS($AC$1006:AS1006),$AC$1006:$AS$1006,0))&gt;=100000), " ",IF(INDEX($AC$2:$AS$1001,MATCH(ROWS($V$2:V395),$V$2:$V$1001,0),MATCH(COLUMNS($AC$1006:AS1006),$AC$1006:$AS$1006,0)), HYPERLINK("#",""), HYPERLINK(CONCATENATE("#metadata!", ADDRESS(INDEX($X$2:$X$1001,MATCH(ROWS($V$2:V395),$V$2:$V$1001,0),0), INDEX($AC$1004:$AS$1004,1,MATCH(COLUMNS($AC$1006:AS1006),$AC$1006:$AS$1006,0)))),"Fix")))</f>
        <v xml:space="preserve"> </v>
      </c>
      <c r="V395">
        <v>394</v>
      </c>
      <c r="W395">
        <v>100395</v>
      </c>
      <c r="X395">
        <v>395</v>
      </c>
      <c r="Y395" t="b">
        <f t="shared" si="6"/>
        <v>1</v>
      </c>
      <c r="Z395" t="b">
        <f>COUNTBLANK(metadata!B395:R395)=COLUMNS(metadata!B395:R395)</f>
        <v>1</v>
      </c>
      <c r="AA395" t="str">
        <v/>
      </c>
      <c r="AC395" t="b">
        <f ca="1"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AD395" t="b">
        <f>IF(metadata!C395="",FALSE,ISNUMBER(VALUE(metadata!C395)))</f>
        <v>0</v>
      </c>
      <c r="AE395" t="b">
        <f>AND(IF(metadata!D395="",FALSE,TRUE),EXACT(metadata!D395,"years"))</f>
        <v>0</v>
      </c>
      <c r="AF395" t="b">
        <f>OR(AND(IF(metadata!E395="",FALSE,TRUE),OR(EXACT(metadata!E395,"not applicable"),EXACT(metadata!E395,"missing: not collected"),EXACT(metadata!E395,"missing: not provided"),EXACT(metadata!E395,"missing: restricted access"))),AND(IF(metadata!E395="",FALSE,ISNUMBER(VALUE(metadata!E395))),metadata!E395&gt;0))</f>
        <v>0</v>
      </c>
      <c r="AG395" t="b">
        <f>AND(IF(metadata!F395="",FALSE,TRUE),EXACT(metadata!F395,"Not applicable"))</f>
        <v>0</v>
      </c>
      <c r="AH395" t="b">
        <f>AND(IF(metadata!G395="",FALSE,TRUE),EXACT(metadata!G395,"urban biome"))</f>
        <v>0</v>
      </c>
      <c r="AI395" t="b">
        <f>AND(IF(metadata!H395="",FALSE,TRUE),EXACT(metadata!H395,"human-associated habitat"))</f>
        <v>0</v>
      </c>
      <c r="AJ395" t="b">
        <f>AND(IF(metadata!I395="",FALSE,TRUE),OR(EXACT(metadata!I395,"human-associated"),EXACT(metadata!I395,"human-skin"),EXACT(metadata!I395,"human-oral"),EXACT(metadata!I395,"human-gut"),EXACT(metadata!I395,"human-vaginal")))</f>
        <v>0</v>
      </c>
      <c r="AK395" t="b">
        <f>IF(metadata!J395="",FALSE,ISNUMBER(VALUE(metadata!J395)))</f>
        <v>0</v>
      </c>
      <c r="AL395" t="b">
        <f>AND(IF(metadata!K395="",FALSE,TRUE),EXACT(metadata!K395,"cm"))</f>
        <v>0</v>
      </c>
      <c r="AM395" t="b">
        <f>AND(IF(metadata!L395="",FALSE,TRUE),EXACT(metadata!L395,"human"))</f>
        <v>0</v>
      </c>
      <c r="AN395" t="b">
        <f>AND(IF(metadata!M395="",FALSE,TRUE),EXACT(metadata!M395,"Homo sapiens"))</f>
        <v>0</v>
      </c>
      <c r="AO395" t="b">
        <f>AND(IF(metadata!N395="",FALSE,TRUE),EXACT(metadata!N395,"9606"))</f>
        <v>0</v>
      </c>
      <c r="AP395" t="b">
        <f>IF(metadata!O395="",FALSE,TRUE)</f>
        <v>0</v>
      </c>
      <c r="AQ395" t="b">
        <f>IF(metadata!P395="",FALSE,TRUE)</f>
        <v>0</v>
      </c>
      <c r="AR395" t="b">
        <f>IF(metadata!Q395="",FALSE,ISNUMBER(VALUE(metadata!Q395)))</f>
        <v>0</v>
      </c>
      <c r="AS395" t="b">
        <f>AND(IF(metadata!R395="",FALSE,TRUE),EXACT(metadata!R395,"kg"))</f>
        <v>0</v>
      </c>
    </row>
    <row r="396" spans="1:45" x14ac:dyDescent="0.2">
      <c r="A396" s="5" t="str">
        <f ca="1">IF(B396=" "," ",HYPERLINK(CONCATENATE("#metadata!",ADDRESS(INDEX($X$2:$X$1001,MATCH(ROWS($V$2:V396),$V$2:$V$1001,0),0),1)),INDEX($AA$2:$AA$1001,MATCH(ROWS($V$2:V396),$V$2:$V$1001,0),0)))</f>
        <v xml:space="preserve"> </v>
      </c>
      <c r="B396" s="4" t="str">
        <f ca="1">IF(OR(INDEX($W$2:$W$1001,MATCH(ROWS($V$2:V396),$V$2:$V$1001,0),1)&gt;=100000,INDEX($AC$1005:$AS$1005,1,MATCH(COLUMNS($AC$1006:AC1006),$AC$1006:$AS$1006,0))&gt;=100000), " ",IF(INDEX($AC$2:$AS$1001,MATCH(ROWS($V$2:V396),$V$2:$V$1001,0),MATCH(COLUMNS($AC$1006:AC1006),$AC$1006:$AS$1006,0)), HYPERLINK("#",""), HYPERLINK(CONCATENATE("#metadata!", ADDRESS(INDEX($X$2:$X$1001,MATCH(ROWS($V$2:V396),$V$2:$V$1001,0),0), INDEX($AC$1004:$AS$1004,1,MATCH(COLUMNS($AC$1006:AC1006),$AC$1006:$AS$1006,0)))),"Fix")))</f>
        <v xml:space="preserve"> </v>
      </c>
      <c r="C396" s="4" t="str">
        <f ca="1">IF(OR(INDEX($W$2:$W$1001,MATCH(ROWS($V$2:V396),$V$2:$V$1001,0),1)&gt;=100000,INDEX($AC$1005:$AS$1005,1,MATCH(COLUMNS($AC$1006:AD1006),$AC$1006:$AS$1006,0))&gt;=100000), " ",IF(INDEX($AC$2:$AS$1001,MATCH(ROWS($V$2:V396),$V$2:$V$1001,0),MATCH(COLUMNS($AC$1006:AD1006),$AC$1006:$AS$1006,0)), HYPERLINK("#",""), HYPERLINK(CONCATENATE("#metadata!", ADDRESS(INDEX($X$2:$X$1001,MATCH(ROWS($V$2:V396),$V$2:$V$1001,0),0), INDEX($AC$1004:$AS$1004,1,MATCH(COLUMNS($AC$1006:AD1006),$AC$1006:$AS$1006,0)))),"Fix")))</f>
        <v xml:space="preserve"> </v>
      </c>
      <c r="D396" s="4" t="str">
        <f ca="1">IF(OR(INDEX($W$2:$W$1001,MATCH(ROWS($V$2:V396),$V$2:$V$1001,0),1)&gt;=100000,INDEX($AC$1005:$AS$1005,1,MATCH(COLUMNS($AC$1006:AE1006),$AC$1006:$AS$1006,0))&gt;=100000), " ",IF(INDEX($AC$2:$AS$1001,MATCH(ROWS($V$2:V396),$V$2:$V$1001,0),MATCH(COLUMNS($AC$1006:AE1006),$AC$1006:$AS$1006,0)), HYPERLINK("#",""), HYPERLINK(CONCATENATE("#metadata!", ADDRESS(INDEX($X$2:$X$1001,MATCH(ROWS($V$2:V396),$V$2:$V$1001,0),0), INDEX($AC$1004:$AS$1004,1,MATCH(COLUMNS($AC$1006:AE1006),$AC$1006:$AS$1006,0)))),"Fix")))</f>
        <v xml:space="preserve"> </v>
      </c>
      <c r="E396" s="4" t="str">
        <f ca="1">IF(OR(INDEX($W$2:$W$1001,MATCH(ROWS($V$2:V396),$V$2:$V$1001,0),1)&gt;=100000,INDEX($AC$1005:$AS$1005,1,MATCH(COLUMNS($AC$1006:AF1006),$AC$1006:$AS$1006,0))&gt;=100000), " ",IF(INDEX($AC$2:$AS$1001,MATCH(ROWS($V$2:V396),$V$2:$V$1001,0),MATCH(COLUMNS($AC$1006:AF1006),$AC$1006:$AS$1006,0)), HYPERLINK("#",""), HYPERLINK(CONCATENATE("#metadata!", ADDRESS(INDEX($X$2:$X$1001,MATCH(ROWS($V$2:V396),$V$2:$V$1001,0),0), INDEX($AC$1004:$AS$1004,1,MATCH(COLUMNS($AC$1006:AF1006),$AC$1006:$AS$1006,0)))),"Fix")))</f>
        <v xml:space="preserve"> </v>
      </c>
      <c r="F396" s="4" t="str">
        <f ca="1">IF(OR(INDEX($W$2:$W$1001,MATCH(ROWS($V$2:V396),$V$2:$V$1001,0),1)&gt;=100000,INDEX($AC$1005:$AS$1005,1,MATCH(COLUMNS($AC$1006:AG1006),$AC$1006:$AS$1006,0))&gt;=100000), " ",IF(INDEX($AC$2:$AS$1001,MATCH(ROWS($V$2:V396),$V$2:$V$1001,0),MATCH(COLUMNS($AC$1006:AG1006),$AC$1006:$AS$1006,0)), HYPERLINK("#",""), HYPERLINK(CONCATENATE("#metadata!", ADDRESS(INDEX($X$2:$X$1001,MATCH(ROWS($V$2:V396),$V$2:$V$1001,0),0), INDEX($AC$1004:$AS$1004,1,MATCH(COLUMNS($AC$1006:AG1006),$AC$1006:$AS$1006,0)))),"Fix")))</f>
        <v xml:space="preserve"> </v>
      </c>
      <c r="G396" s="4" t="str">
        <f ca="1">IF(OR(INDEX($W$2:$W$1001,MATCH(ROWS($V$2:V396),$V$2:$V$1001,0),1)&gt;=100000,INDEX($AC$1005:$AS$1005,1,MATCH(COLUMNS($AC$1006:AH1006),$AC$1006:$AS$1006,0))&gt;=100000), " ",IF(INDEX($AC$2:$AS$1001,MATCH(ROWS($V$2:V396),$V$2:$V$1001,0),MATCH(COLUMNS($AC$1006:AH1006),$AC$1006:$AS$1006,0)), HYPERLINK("#",""), HYPERLINK(CONCATENATE("#metadata!", ADDRESS(INDEX($X$2:$X$1001,MATCH(ROWS($V$2:V396),$V$2:$V$1001,0),0), INDEX($AC$1004:$AS$1004,1,MATCH(COLUMNS($AC$1006:AH1006),$AC$1006:$AS$1006,0)))),"Fix")))</f>
        <v xml:space="preserve"> </v>
      </c>
      <c r="H396" s="4" t="str">
        <f ca="1">IF(OR(INDEX($W$2:$W$1001,MATCH(ROWS($V$2:V396),$V$2:$V$1001,0),1)&gt;=100000,INDEX($AC$1005:$AS$1005,1,MATCH(COLUMNS($AC$1006:AI1006),$AC$1006:$AS$1006,0))&gt;=100000), " ",IF(INDEX($AC$2:$AS$1001,MATCH(ROWS($V$2:V396),$V$2:$V$1001,0),MATCH(COLUMNS($AC$1006:AI1006),$AC$1006:$AS$1006,0)), HYPERLINK("#",""), HYPERLINK(CONCATENATE("#metadata!", ADDRESS(INDEX($X$2:$X$1001,MATCH(ROWS($V$2:V396),$V$2:$V$1001,0),0), INDEX($AC$1004:$AS$1004,1,MATCH(COLUMNS($AC$1006:AI1006),$AC$1006:$AS$1006,0)))),"Fix")))</f>
        <v xml:space="preserve"> </v>
      </c>
      <c r="I396" s="4" t="str">
        <f ca="1">IF(OR(INDEX($W$2:$W$1001,MATCH(ROWS($V$2:V396),$V$2:$V$1001,0),1)&gt;=100000,INDEX($AC$1005:$AS$1005,1,MATCH(COLUMNS($AC$1006:AJ1006),$AC$1006:$AS$1006,0))&gt;=100000), " ",IF(INDEX($AC$2:$AS$1001,MATCH(ROWS($V$2:V396),$V$2:$V$1001,0),MATCH(COLUMNS($AC$1006:AJ1006),$AC$1006:$AS$1006,0)), HYPERLINK("#",""), HYPERLINK(CONCATENATE("#metadata!", ADDRESS(INDEX($X$2:$X$1001,MATCH(ROWS($V$2:V396),$V$2:$V$1001,0),0), INDEX($AC$1004:$AS$1004,1,MATCH(COLUMNS($AC$1006:AJ1006),$AC$1006:$AS$1006,0)))),"Fix")))</f>
        <v xml:space="preserve"> </v>
      </c>
      <c r="J396" s="4" t="str">
        <f ca="1">IF(OR(INDEX($W$2:$W$1001,MATCH(ROWS($V$2:V396),$V$2:$V$1001,0),1)&gt;=100000,INDEX($AC$1005:$AS$1005,1,MATCH(COLUMNS($AC$1006:AK1006),$AC$1006:$AS$1006,0))&gt;=100000), " ",IF(INDEX($AC$2:$AS$1001,MATCH(ROWS($V$2:V396),$V$2:$V$1001,0),MATCH(COLUMNS($AC$1006:AK1006),$AC$1006:$AS$1006,0)), HYPERLINK("#",""), HYPERLINK(CONCATENATE("#metadata!", ADDRESS(INDEX($X$2:$X$1001,MATCH(ROWS($V$2:V396),$V$2:$V$1001,0),0), INDEX($AC$1004:$AS$1004,1,MATCH(COLUMNS($AC$1006:AK1006),$AC$1006:$AS$1006,0)))),"Fix")))</f>
        <v xml:space="preserve"> </v>
      </c>
      <c r="K396" s="4" t="str">
        <f ca="1">IF(OR(INDEX($W$2:$W$1001,MATCH(ROWS($V$2:V396),$V$2:$V$1001,0),1)&gt;=100000,INDEX($AC$1005:$AS$1005,1,MATCH(COLUMNS($AC$1006:AL1006),$AC$1006:$AS$1006,0))&gt;=100000), " ",IF(INDEX($AC$2:$AS$1001,MATCH(ROWS($V$2:V396),$V$2:$V$1001,0),MATCH(COLUMNS($AC$1006:AL1006),$AC$1006:$AS$1006,0)), HYPERLINK("#",""), HYPERLINK(CONCATENATE("#metadata!", ADDRESS(INDEX($X$2:$X$1001,MATCH(ROWS($V$2:V396),$V$2:$V$1001,0),0), INDEX($AC$1004:$AS$1004,1,MATCH(COLUMNS($AC$1006:AL1006),$AC$1006:$AS$1006,0)))),"Fix")))</f>
        <v xml:space="preserve"> </v>
      </c>
      <c r="L396" s="4" t="str">
        <f ca="1">IF(OR(INDEX($W$2:$W$1001,MATCH(ROWS($V$2:V396),$V$2:$V$1001,0),1)&gt;=100000,INDEX($AC$1005:$AS$1005,1,MATCH(COLUMNS($AC$1006:AM1006),$AC$1006:$AS$1006,0))&gt;=100000), " ",IF(INDEX($AC$2:$AS$1001,MATCH(ROWS($V$2:V396),$V$2:$V$1001,0),MATCH(COLUMNS($AC$1006:AM1006),$AC$1006:$AS$1006,0)), HYPERLINK("#",""), HYPERLINK(CONCATENATE("#metadata!", ADDRESS(INDEX($X$2:$X$1001,MATCH(ROWS($V$2:V396),$V$2:$V$1001,0),0), INDEX($AC$1004:$AS$1004,1,MATCH(COLUMNS($AC$1006:AM1006),$AC$1006:$AS$1006,0)))),"Fix")))</f>
        <v xml:space="preserve"> </v>
      </c>
      <c r="M396" s="4" t="str">
        <f ca="1">IF(OR(INDEX($W$2:$W$1001,MATCH(ROWS($V$2:V396),$V$2:$V$1001,0),1)&gt;=100000,INDEX($AC$1005:$AS$1005,1,MATCH(COLUMNS($AC$1006:AN1006),$AC$1006:$AS$1006,0))&gt;=100000), " ",IF(INDEX($AC$2:$AS$1001,MATCH(ROWS($V$2:V396),$V$2:$V$1001,0),MATCH(COLUMNS($AC$1006:AN1006),$AC$1006:$AS$1006,0)), HYPERLINK("#",""), HYPERLINK(CONCATENATE("#metadata!", ADDRESS(INDEX($X$2:$X$1001,MATCH(ROWS($V$2:V396),$V$2:$V$1001,0),0), INDEX($AC$1004:$AS$1004,1,MATCH(COLUMNS($AC$1006:AN1006),$AC$1006:$AS$1006,0)))),"Fix")))</f>
        <v xml:space="preserve"> </v>
      </c>
      <c r="N396" s="4" t="str">
        <f ca="1">IF(OR(INDEX($W$2:$W$1001,MATCH(ROWS($V$2:V396),$V$2:$V$1001,0),1)&gt;=100000,INDEX($AC$1005:$AS$1005,1,MATCH(COLUMNS($AC$1006:AO1006),$AC$1006:$AS$1006,0))&gt;=100000), " ",IF(INDEX($AC$2:$AS$1001,MATCH(ROWS($V$2:V396),$V$2:$V$1001,0),MATCH(COLUMNS($AC$1006:AO1006),$AC$1006:$AS$1006,0)), HYPERLINK("#",""), HYPERLINK(CONCATENATE("#metadata!", ADDRESS(INDEX($X$2:$X$1001,MATCH(ROWS($V$2:V396),$V$2:$V$1001,0),0), INDEX($AC$1004:$AS$1004,1,MATCH(COLUMNS($AC$1006:AO1006),$AC$1006:$AS$1006,0)))),"Fix")))</f>
        <v xml:space="preserve"> </v>
      </c>
      <c r="O396" s="4" t="str">
        <f ca="1">IF(OR(INDEX($W$2:$W$1001,MATCH(ROWS($V$2:V396),$V$2:$V$1001,0),1)&gt;=100000,INDEX($AC$1005:$AS$1005,1,MATCH(COLUMNS($AC$1006:AP1006),$AC$1006:$AS$1006,0))&gt;=100000), " ",IF(INDEX($AC$2:$AS$1001,MATCH(ROWS($V$2:V396),$V$2:$V$1001,0),MATCH(COLUMNS($AC$1006:AP1006),$AC$1006:$AS$1006,0)), HYPERLINK("#",""), HYPERLINK(CONCATENATE("#metadata!", ADDRESS(INDEX($X$2:$X$1001,MATCH(ROWS($V$2:V396),$V$2:$V$1001,0),0), INDEX($AC$1004:$AS$1004,1,MATCH(COLUMNS($AC$1006:AP1006),$AC$1006:$AS$1006,0)))),"Fix")))</f>
        <v xml:space="preserve"> </v>
      </c>
      <c r="P396" s="4" t="str">
        <f ca="1">IF(OR(INDEX($W$2:$W$1001,MATCH(ROWS($V$2:V396),$V$2:$V$1001,0),1)&gt;=100000,INDEX($AC$1005:$AS$1005,1,MATCH(COLUMNS($AC$1006:AQ1006),$AC$1006:$AS$1006,0))&gt;=100000), " ",IF(INDEX($AC$2:$AS$1001,MATCH(ROWS($V$2:V396),$V$2:$V$1001,0),MATCH(COLUMNS($AC$1006:AQ1006),$AC$1006:$AS$1006,0)), HYPERLINK("#",""), HYPERLINK(CONCATENATE("#metadata!", ADDRESS(INDEX($X$2:$X$1001,MATCH(ROWS($V$2:V396),$V$2:$V$1001,0),0), INDEX($AC$1004:$AS$1004,1,MATCH(COLUMNS($AC$1006:AQ1006),$AC$1006:$AS$1006,0)))),"Fix")))</f>
        <v xml:space="preserve"> </v>
      </c>
      <c r="Q396" s="4" t="str">
        <f ca="1">IF(OR(INDEX($W$2:$W$1001,MATCH(ROWS($V$2:V396),$V$2:$V$1001,0),1)&gt;=100000,INDEX($AC$1005:$AS$1005,1,MATCH(COLUMNS($AC$1006:AR1006),$AC$1006:$AS$1006,0))&gt;=100000), " ",IF(INDEX($AC$2:$AS$1001,MATCH(ROWS($V$2:V396),$V$2:$V$1001,0),MATCH(COLUMNS($AC$1006:AR1006),$AC$1006:$AS$1006,0)), HYPERLINK("#",""), HYPERLINK(CONCATENATE("#metadata!", ADDRESS(INDEX($X$2:$X$1001,MATCH(ROWS($V$2:V396),$V$2:$V$1001,0),0), INDEX($AC$1004:$AS$1004,1,MATCH(COLUMNS($AC$1006:AR1006),$AC$1006:$AS$1006,0)))),"Fix")))</f>
        <v xml:space="preserve"> </v>
      </c>
      <c r="R396" s="4" t="str">
        <f ca="1">IF(OR(INDEX($W$2:$W$1001,MATCH(ROWS($V$2:V396),$V$2:$V$1001,0),1)&gt;=100000,INDEX($AC$1005:$AS$1005,1,MATCH(COLUMNS($AC$1006:AS1006),$AC$1006:$AS$1006,0))&gt;=100000), " ",IF(INDEX($AC$2:$AS$1001,MATCH(ROWS($V$2:V396),$V$2:$V$1001,0),MATCH(COLUMNS($AC$1006:AS1006),$AC$1006:$AS$1006,0)), HYPERLINK("#",""), HYPERLINK(CONCATENATE("#metadata!", ADDRESS(INDEX($X$2:$X$1001,MATCH(ROWS($V$2:V396),$V$2:$V$1001,0),0), INDEX($AC$1004:$AS$1004,1,MATCH(COLUMNS($AC$1006:AS1006),$AC$1006:$AS$1006,0)))),"Fix")))</f>
        <v xml:space="preserve"> </v>
      </c>
      <c r="V396">
        <v>395</v>
      </c>
      <c r="W396">
        <v>100396</v>
      </c>
      <c r="X396">
        <v>396</v>
      </c>
      <c r="Y396" t="b">
        <f t="shared" si="6"/>
        <v>1</v>
      </c>
      <c r="Z396" t="b">
        <f>COUNTBLANK(metadata!B396:R396)=COLUMNS(metadata!B396:R396)</f>
        <v>1</v>
      </c>
      <c r="AA396" t="str">
        <v/>
      </c>
      <c r="AC396" t="b">
        <f ca="1"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AD396" t="b">
        <f>IF(metadata!C396="",FALSE,ISNUMBER(VALUE(metadata!C396)))</f>
        <v>0</v>
      </c>
      <c r="AE396" t="b">
        <f>AND(IF(metadata!D396="",FALSE,TRUE),EXACT(metadata!D396,"years"))</f>
        <v>0</v>
      </c>
      <c r="AF396" t="b">
        <f>OR(AND(IF(metadata!E396="",FALSE,TRUE),OR(EXACT(metadata!E396,"not applicable"),EXACT(metadata!E396,"missing: not collected"),EXACT(metadata!E396,"missing: not provided"),EXACT(metadata!E396,"missing: restricted access"))),AND(IF(metadata!E396="",FALSE,ISNUMBER(VALUE(metadata!E396))),metadata!E396&gt;0))</f>
        <v>0</v>
      </c>
      <c r="AG396" t="b">
        <f>AND(IF(metadata!F396="",FALSE,TRUE),EXACT(metadata!F396,"Not applicable"))</f>
        <v>0</v>
      </c>
      <c r="AH396" t="b">
        <f>AND(IF(metadata!G396="",FALSE,TRUE),EXACT(metadata!G396,"urban biome"))</f>
        <v>0</v>
      </c>
      <c r="AI396" t="b">
        <f>AND(IF(metadata!H396="",FALSE,TRUE),EXACT(metadata!H396,"human-associated habitat"))</f>
        <v>0</v>
      </c>
      <c r="AJ396" t="b">
        <f>AND(IF(metadata!I396="",FALSE,TRUE),OR(EXACT(metadata!I396,"human-associated"),EXACT(metadata!I396,"human-skin"),EXACT(metadata!I396,"human-oral"),EXACT(metadata!I396,"human-gut"),EXACT(metadata!I396,"human-vaginal")))</f>
        <v>0</v>
      </c>
      <c r="AK396" t="b">
        <f>IF(metadata!J396="",FALSE,ISNUMBER(VALUE(metadata!J396)))</f>
        <v>0</v>
      </c>
      <c r="AL396" t="b">
        <f>AND(IF(metadata!K396="",FALSE,TRUE),EXACT(metadata!K396,"cm"))</f>
        <v>0</v>
      </c>
      <c r="AM396" t="b">
        <f>AND(IF(metadata!L396="",FALSE,TRUE),EXACT(metadata!L396,"human"))</f>
        <v>0</v>
      </c>
      <c r="AN396" t="b">
        <f>AND(IF(metadata!M396="",FALSE,TRUE),EXACT(metadata!M396,"Homo sapiens"))</f>
        <v>0</v>
      </c>
      <c r="AO396" t="b">
        <f>AND(IF(metadata!N396="",FALSE,TRUE),EXACT(metadata!N396,"9606"))</f>
        <v>0</v>
      </c>
      <c r="AP396" t="b">
        <f>IF(metadata!O396="",FALSE,TRUE)</f>
        <v>0</v>
      </c>
      <c r="AQ396" t="b">
        <f>IF(metadata!P396="",FALSE,TRUE)</f>
        <v>0</v>
      </c>
      <c r="AR396" t="b">
        <f>IF(metadata!Q396="",FALSE,ISNUMBER(VALUE(metadata!Q396)))</f>
        <v>0</v>
      </c>
      <c r="AS396" t="b">
        <f>AND(IF(metadata!R396="",FALSE,TRUE),EXACT(metadata!R396,"kg"))</f>
        <v>0</v>
      </c>
    </row>
    <row r="397" spans="1:45" x14ac:dyDescent="0.2">
      <c r="A397" s="5" t="str">
        <f ca="1">IF(B397=" "," ",HYPERLINK(CONCATENATE("#metadata!",ADDRESS(INDEX($X$2:$X$1001,MATCH(ROWS($V$2:V397),$V$2:$V$1001,0),0),1)),INDEX($AA$2:$AA$1001,MATCH(ROWS($V$2:V397),$V$2:$V$1001,0),0)))</f>
        <v xml:space="preserve"> </v>
      </c>
      <c r="B397" s="4" t="str">
        <f ca="1">IF(OR(INDEX($W$2:$W$1001,MATCH(ROWS($V$2:V397),$V$2:$V$1001,0),1)&gt;=100000,INDEX($AC$1005:$AS$1005,1,MATCH(COLUMNS($AC$1006:AC1006),$AC$1006:$AS$1006,0))&gt;=100000), " ",IF(INDEX($AC$2:$AS$1001,MATCH(ROWS($V$2:V397),$V$2:$V$1001,0),MATCH(COLUMNS($AC$1006:AC1006),$AC$1006:$AS$1006,0)), HYPERLINK("#",""), HYPERLINK(CONCATENATE("#metadata!", ADDRESS(INDEX($X$2:$X$1001,MATCH(ROWS($V$2:V397),$V$2:$V$1001,0),0), INDEX($AC$1004:$AS$1004,1,MATCH(COLUMNS($AC$1006:AC1006),$AC$1006:$AS$1006,0)))),"Fix")))</f>
        <v xml:space="preserve"> </v>
      </c>
      <c r="C397" s="4" t="str">
        <f ca="1">IF(OR(INDEX($W$2:$W$1001,MATCH(ROWS($V$2:V397),$V$2:$V$1001,0),1)&gt;=100000,INDEX($AC$1005:$AS$1005,1,MATCH(COLUMNS($AC$1006:AD1006),$AC$1006:$AS$1006,0))&gt;=100000), " ",IF(INDEX($AC$2:$AS$1001,MATCH(ROWS($V$2:V397),$V$2:$V$1001,0),MATCH(COLUMNS($AC$1006:AD1006),$AC$1006:$AS$1006,0)), HYPERLINK("#",""), HYPERLINK(CONCATENATE("#metadata!", ADDRESS(INDEX($X$2:$X$1001,MATCH(ROWS($V$2:V397),$V$2:$V$1001,0),0), INDEX($AC$1004:$AS$1004,1,MATCH(COLUMNS($AC$1006:AD1006),$AC$1006:$AS$1006,0)))),"Fix")))</f>
        <v xml:space="preserve"> </v>
      </c>
      <c r="D397" s="4" t="str">
        <f ca="1">IF(OR(INDEX($W$2:$W$1001,MATCH(ROWS($V$2:V397),$V$2:$V$1001,0),1)&gt;=100000,INDEX($AC$1005:$AS$1005,1,MATCH(COLUMNS($AC$1006:AE1006),$AC$1006:$AS$1006,0))&gt;=100000), " ",IF(INDEX($AC$2:$AS$1001,MATCH(ROWS($V$2:V397),$V$2:$V$1001,0),MATCH(COLUMNS($AC$1006:AE1006),$AC$1006:$AS$1006,0)), HYPERLINK("#",""), HYPERLINK(CONCATENATE("#metadata!", ADDRESS(INDEX($X$2:$X$1001,MATCH(ROWS($V$2:V397),$V$2:$V$1001,0),0), INDEX($AC$1004:$AS$1004,1,MATCH(COLUMNS($AC$1006:AE1006),$AC$1006:$AS$1006,0)))),"Fix")))</f>
        <v xml:space="preserve"> </v>
      </c>
      <c r="E397" s="4" t="str">
        <f ca="1">IF(OR(INDEX($W$2:$W$1001,MATCH(ROWS($V$2:V397),$V$2:$V$1001,0),1)&gt;=100000,INDEX($AC$1005:$AS$1005,1,MATCH(COLUMNS($AC$1006:AF1006),$AC$1006:$AS$1006,0))&gt;=100000), " ",IF(INDEX($AC$2:$AS$1001,MATCH(ROWS($V$2:V397),$V$2:$V$1001,0),MATCH(COLUMNS($AC$1006:AF1006),$AC$1006:$AS$1006,0)), HYPERLINK("#",""), HYPERLINK(CONCATENATE("#metadata!", ADDRESS(INDEX($X$2:$X$1001,MATCH(ROWS($V$2:V397),$V$2:$V$1001,0),0), INDEX($AC$1004:$AS$1004,1,MATCH(COLUMNS($AC$1006:AF1006),$AC$1006:$AS$1006,0)))),"Fix")))</f>
        <v xml:space="preserve"> </v>
      </c>
      <c r="F397" s="4" t="str">
        <f ca="1">IF(OR(INDEX($W$2:$W$1001,MATCH(ROWS($V$2:V397),$V$2:$V$1001,0),1)&gt;=100000,INDEX($AC$1005:$AS$1005,1,MATCH(COLUMNS($AC$1006:AG1006),$AC$1006:$AS$1006,0))&gt;=100000), " ",IF(INDEX($AC$2:$AS$1001,MATCH(ROWS($V$2:V397),$V$2:$V$1001,0),MATCH(COLUMNS($AC$1006:AG1006),$AC$1006:$AS$1006,0)), HYPERLINK("#",""), HYPERLINK(CONCATENATE("#metadata!", ADDRESS(INDEX($X$2:$X$1001,MATCH(ROWS($V$2:V397),$V$2:$V$1001,0),0), INDEX($AC$1004:$AS$1004,1,MATCH(COLUMNS($AC$1006:AG1006),$AC$1006:$AS$1006,0)))),"Fix")))</f>
        <v xml:space="preserve"> </v>
      </c>
      <c r="G397" s="4" t="str">
        <f ca="1">IF(OR(INDEX($W$2:$W$1001,MATCH(ROWS($V$2:V397),$V$2:$V$1001,0),1)&gt;=100000,INDEX($AC$1005:$AS$1005,1,MATCH(COLUMNS($AC$1006:AH1006),$AC$1006:$AS$1006,0))&gt;=100000), " ",IF(INDEX($AC$2:$AS$1001,MATCH(ROWS($V$2:V397),$V$2:$V$1001,0),MATCH(COLUMNS($AC$1006:AH1006),$AC$1006:$AS$1006,0)), HYPERLINK("#",""), HYPERLINK(CONCATENATE("#metadata!", ADDRESS(INDEX($X$2:$X$1001,MATCH(ROWS($V$2:V397),$V$2:$V$1001,0),0), INDEX($AC$1004:$AS$1004,1,MATCH(COLUMNS($AC$1006:AH1006),$AC$1006:$AS$1006,0)))),"Fix")))</f>
        <v xml:space="preserve"> </v>
      </c>
      <c r="H397" s="4" t="str">
        <f ca="1">IF(OR(INDEX($W$2:$W$1001,MATCH(ROWS($V$2:V397),$V$2:$V$1001,0),1)&gt;=100000,INDEX($AC$1005:$AS$1005,1,MATCH(COLUMNS($AC$1006:AI1006),$AC$1006:$AS$1006,0))&gt;=100000), " ",IF(INDEX($AC$2:$AS$1001,MATCH(ROWS($V$2:V397),$V$2:$V$1001,0),MATCH(COLUMNS($AC$1006:AI1006),$AC$1006:$AS$1006,0)), HYPERLINK("#",""), HYPERLINK(CONCATENATE("#metadata!", ADDRESS(INDEX($X$2:$X$1001,MATCH(ROWS($V$2:V397),$V$2:$V$1001,0),0), INDEX($AC$1004:$AS$1004,1,MATCH(COLUMNS($AC$1006:AI1006),$AC$1006:$AS$1006,0)))),"Fix")))</f>
        <v xml:space="preserve"> </v>
      </c>
      <c r="I397" s="4" t="str">
        <f ca="1">IF(OR(INDEX($W$2:$W$1001,MATCH(ROWS($V$2:V397),$V$2:$V$1001,0),1)&gt;=100000,INDEX($AC$1005:$AS$1005,1,MATCH(COLUMNS($AC$1006:AJ1006),$AC$1006:$AS$1006,0))&gt;=100000), " ",IF(INDEX($AC$2:$AS$1001,MATCH(ROWS($V$2:V397),$V$2:$V$1001,0),MATCH(COLUMNS($AC$1006:AJ1006),$AC$1006:$AS$1006,0)), HYPERLINK("#",""), HYPERLINK(CONCATENATE("#metadata!", ADDRESS(INDEX($X$2:$X$1001,MATCH(ROWS($V$2:V397),$V$2:$V$1001,0),0), INDEX($AC$1004:$AS$1004,1,MATCH(COLUMNS($AC$1006:AJ1006),$AC$1006:$AS$1006,0)))),"Fix")))</f>
        <v xml:space="preserve"> </v>
      </c>
      <c r="J397" s="4" t="str">
        <f ca="1">IF(OR(INDEX($W$2:$W$1001,MATCH(ROWS($V$2:V397),$V$2:$V$1001,0),1)&gt;=100000,INDEX($AC$1005:$AS$1005,1,MATCH(COLUMNS($AC$1006:AK1006),$AC$1006:$AS$1006,0))&gt;=100000), " ",IF(INDEX($AC$2:$AS$1001,MATCH(ROWS($V$2:V397),$V$2:$V$1001,0),MATCH(COLUMNS($AC$1006:AK1006),$AC$1006:$AS$1006,0)), HYPERLINK("#",""), HYPERLINK(CONCATENATE("#metadata!", ADDRESS(INDEX($X$2:$X$1001,MATCH(ROWS($V$2:V397),$V$2:$V$1001,0),0), INDEX($AC$1004:$AS$1004,1,MATCH(COLUMNS($AC$1006:AK1006),$AC$1006:$AS$1006,0)))),"Fix")))</f>
        <v xml:space="preserve"> </v>
      </c>
      <c r="K397" s="4" t="str">
        <f ca="1">IF(OR(INDEX($W$2:$W$1001,MATCH(ROWS($V$2:V397),$V$2:$V$1001,0),1)&gt;=100000,INDEX($AC$1005:$AS$1005,1,MATCH(COLUMNS($AC$1006:AL1006),$AC$1006:$AS$1006,0))&gt;=100000), " ",IF(INDEX($AC$2:$AS$1001,MATCH(ROWS($V$2:V397),$V$2:$V$1001,0),MATCH(COLUMNS($AC$1006:AL1006),$AC$1006:$AS$1006,0)), HYPERLINK("#",""), HYPERLINK(CONCATENATE("#metadata!", ADDRESS(INDEX($X$2:$X$1001,MATCH(ROWS($V$2:V397),$V$2:$V$1001,0),0), INDEX($AC$1004:$AS$1004,1,MATCH(COLUMNS($AC$1006:AL1006),$AC$1006:$AS$1006,0)))),"Fix")))</f>
        <v xml:space="preserve"> </v>
      </c>
      <c r="L397" s="4" t="str">
        <f ca="1">IF(OR(INDEX($W$2:$W$1001,MATCH(ROWS($V$2:V397),$V$2:$V$1001,0),1)&gt;=100000,INDEX($AC$1005:$AS$1005,1,MATCH(COLUMNS($AC$1006:AM1006),$AC$1006:$AS$1006,0))&gt;=100000), " ",IF(INDEX($AC$2:$AS$1001,MATCH(ROWS($V$2:V397),$V$2:$V$1001,0),MATCH(COLUMNS($AC$1006:AM1006),$AC$1006:$AS$1006,0)), HYPERLINK("#",""), HYPERLINK(CONCATENATE("#metadata!", ADDRESS(INDEX($X$2:$X$1001,MATCH(ROWS($V$2:V397),$V$2:$V$1001,0),0), INDEX($AC$1004:$AS$1004,1,MATCH(COLUMNS($AC$1006:AM1006),$AC$1006:$AS$1006,0)))),"Fix")))</f>
        <v xml:space="preserve"> </v>
      </c>
      <c r="M397" s="4" t="str">
        <f ca="1">IF(OR(INDEX($W$2:$W$1001,MATCH(ROWS($V$2:V397),$V$2:$V$1001,0),1)&gt;=100000,INDEX($AC$1005:$AS$1005,1,MATCH(COLUMNS($AC$1006:AN1006),$AC$1006:$AS$1006,0))&gt;=100000), " ",IF(INDEX($AC$2:$AS$1001,MATCH(ROWS($V$2:V397),$V$2:$V$1001,0),MATCH(COLUMNS($AC$1006:AN1006),$AC$1006:$AS$1006,0)), HYPERLINK("#",""), HYPERLINK(CONCATENATE("#metadata!", ADDRESS(INDEX($X$2:$X$1001,MATCH(ROWS($V$2:V397),$V$2:$V$1001,0),0), INDEX($AC$1004:$AS$1004,1,MATCH(COLUMNS($AC$1006:AN1006),$AC$1006:$AS$1006,0)))),"Fix")))</f>
        <v xml:space="preserve"> </v>
      </c>
      <c r="N397" s="4" t="str">
        <f ca="1">IF(OR(INDEX($W$2:$W$1001,MATCH(ROWS($V$2:V397),$V$2:$V$1001,0),1)&gt;=100000,INDEX($AC$1005:$AS$1005,1,MATCH(COLUMNS($AC$1006:AO1006),$AC$1006:$AS$1006,0))&gt;=100000), " ",IF(INDEX($AC$2:$AS$1001,MATCH(ROWS($V$2:V397),$V$2:$V$1001,0),MATCH(COLUMNS($AC$1006:AO1006),$AC$1006:$AS$1006,0)), HYPERLINK("#",""), HYPERLINK(CONCATENATE("#metadata!", ADDRESS(INDEX($X$2:$X$1001,MATCH(ROWS($V$2:V397),$V$2:$V$1001,0),0), INDEX($AC$1004:$AS$1004,1,MATCH(COLUMNS($AC$1006:AO1006),$AC$1006:$AS$1006,0)))),"Fix")))</f>
        <v xml:space="preserve"> </v>
      </c>
      <c r="O397" s="4" t="str">
        <f ca="1">IF(OR(INDEX($W$2:$W$1001,MATCH(ROWS($V$2:V397),$V$2:$V$1001,0),1)&gt;=100000,INDEX($AC$1005:$AS$1005,1,MATCH(COLUMNS($AC$1006:AP1006),$AC$1006:$AS$1006,0))&gt;=100000), " ",IF(INDEX($AC$2:$AS$1001,MATCH(ROWS($V$2:V397),$V$2:$V$1001,0),MATCH(COLUMNS($AC$1006:AP1006),$AC$1006:$AS$1006,0)), HYPERLINK("#",""), HYPERLINK(CONCATENATE("#metadata!", ADDRESS(INDEX($X$2:$X$1001,MATCH(ROWS($V$2:V397),$V$2:$V$1001,0),0), INDEX($AC$1004:$AS$1004,1,MATCH(COLUMNS($AC$1006:AP1006),$AC$1006:$AS$1006,0)))),"Fix")))</f>
        <v xml:space="preserve"> </v>
      </c>
      <c r="P397" s="4" t="str">
        <f ca="1">IF(OR(INDEX($W$2:$W$1001,MATCH(ROWS($V$2:V397),$V$2:$V$1001,0),1)&gt;=100000,INDEX($AC$1005:$AS$1005,1,MATCH(COLUMNS($AC$1006:AQ1006),$AC$1006:$AS$1006,0))&gt;=100000), " ",IF(INDEX($AC$2:$AS$1001,MATCH(ROWS($V$2:V397),$V$2:$V$1001,0),MATCH(COLUMNS($AC$1006:AQ1006),$AC$1006:$AS$1006,0)), HYPERLINK("#",""), HYPERLINK(CONCATENATE("#metadata!", ADDRESS(INDEX($X$2:$X$1001,MATCH(ROWS($V$2:V397),$V$2:$V$1001,0),0), INDEX($AC$1004:$AS$1004,1,MATCH(COLUMNS($AC$1006:AQ1006),$AC$1006:$AS$1006,0)))),"Fix")))</f>
        <v xml:space="preserve"> </v>
      </c>
      <c r="Q397" s="4" t="str">
        <f ca="1">IF(OR(INDEX($W$2:$W$1001,MATCH(ROWS($V$2:V397),$V$2:$V$1001,0),1)&gt;=100000,INDEX($AC$1005:$AS$1005,1,MATCH(COLUMNS($AC$1006:AR1006),$AC$1006:$AS$1006,0))&gt;=100000), " ",IF(INDEX($AC$2:$AS$1001,MATCH(ROWS($V$2:V397),$V$2:$V$1001,0),MATCH(COLUMNS($AC$1006:AR1006),$AC$1006:$AS$1006,0)), HYPERLINK("#",""), HYPERLINK(CONCATENATE("#metadata!", ADDRESS(INDEX($X$2:$X$1001,MATCH(ROWS($V$2:V397),$V$2:$V$1001,0),0), INDEX($AC$1004:$AS$1004,1,MATCH(COLUMNS($AC$1006:AR1006),$AC$1006:$AS$1006,0)))),"Fix")))</f>
        <v xml:space="preserve"> </v>
      </c>
      <c r="R397" s="4" t="str">
        <f ca="1">IF(OR(INDEX($W$2:$W$1001,MATCH(ROWS($V$2:V397),$V$2:$V$1001,0),1)&gt;=100000,INDEX($AC$1005:$AS$1005,1,MATCH(COLUMNS($AC$1006:AS1006),$AC$1006:$AS$1006,0))&gt;=100000), " ",IF(INDEX($AC$2:$AS$1001,MATCH(ROWS($V$2:V397),$V$2:$V$1001,0),MATCH(COLUMNS($AC$1006:AS1006),$AC$1006:$AS$1006,0)), HYPERLINK("#",""), HYPERLINK(CONCATENATE("#metadata!", ADDRESS(INDEX($X$2:$X$1001,MATCH(ROWS($V$2:V397),$V$2:$V$1001,0),0), INDEX($AC$1004:$AS$1004,1,MATCH(COLUMNS($AC$1006:AS1006),$AC$1006:$AS$1006,0)))),"Fix")))</f>
        <v xml:space="preserve"> </v>
      </c>
      <c r="V397">
        <v>396</v>
      </c>
      <c r="W397">
        <v>100397</v>
      </c>
      <c r="X397">
        <v>397</v>
      </c>
      <c r="Y397" t="b">
        <f t="shared" si="6"/>
        <v>1</v>
      </c>
      <c r="Z397" t="b">
        <f>COUNTBLANK(metadata!B397:R397)=COLUMNS(metadata!B397:R397)</f>
        <v>1</v>
      </c>
      <c r="AA397" t="str">
        <v/>
      </c>
      <c r="AC397" t="b">
        <f ca="1"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AD397" t="b">
        <f>IF(metadata!C397="",FALSE,ISNUMBER(VALUE(metadata!C397)))</f>
        <v>0</v>
      </c>
      <c r="AE397" t="b">
        <f>AND(IF(metadata!D397="",FALSE,TRUE),EXACT(metadata!D397,"years"))</f>
        <v>0</v>
      </c>
      <c r="AF397" t="b">
        <f>OR(AND(IF(metadata!E397="",FALSE,TRUE),OR(EXACT(metadata!E397,"not applicable"),EXACT(metadata!E397,"missing: not collected"),EXACT(metadata!E397,"missing: not provided"),EXACT(metadata!E397,"missing: restricted access"))),AND(IF(metadata!E397="",FALSE,ISNUMBER(VALUE(metadata!E397))),metadata!E397&gt;0))</f>
        <v>0</v>
      </c>
      <c r="AG397" t="b">
        <f>AND(IF(metadata!F397="",FALSE,TRUE),EXACT(metadata!F397,"Not applicable"))</f>
        <v>0</v>
      </c>
      <c r="AH397" t="b">
        <f>AND(IF(metadata!G397="",FALSE,TRUE),EXACT(metadata!G397,"urban biome"))</f>
        <v>0</v>
      </c>
      <c r="AI397" t="b">
        <f>AND(IF(metadata!H397="",FALSE,TRUE),EXACT(metadata!H397,"human-associated habitat"))</f>
        <v>0</v>
      </c>
      <c r="AJ397" t="b">
        <f>AND(IF(metadata!I397="",FALSE,TRUE),OR(EXACT(metadata!I397,"human-associated"),EXACT(metadata!I397,"human-skin"),EXACT(metadata!I397,"human-oral"),EXACT(metadata!I397,"human-gut"),EXACT(metadata!I397,"human-vaginal")))</f>
        <v>0</v>
      </c>
      <c r="AK397" t="b">
        <f>IF(metadata!J397="",FALSE,ISNUMBER(VALUE(metadata!J397)))</f>
        <v>0</v>
      </c>
      <c r="AL397" t="b">
        <f>AND(IF(metadata!K397="",FALSE,TRUE),EXACT(metadata!K397,"cm"))</f>
        <v>0</v>
      </c>
      <c r="AM397" t="b">
        <f>AND(IF(metadata!L397="",FALSE,TRUE),EXACT(metadata!L397,"human"))</f>
        <v>0</v>
      </c>
      <c r="AN397" t="b">
        <f>AND(IF(metadata!M397="",FALSE,TRUE),EXACT(metadata!M397,"Homo sapiens"))</f>
        <v>0</v>
      </c>
      <c r="AO397" t="b">
        <f>AND(IF(metadata!N397="",FALSE,TRUE),EXACT(metadata!N397,"9606"))</f>
        <v>0</v>
      </c>
      <c r="AP397" t="b">
        <f>IF(metadata!O397="",FALSE,TRUE)</f>
        <v>0</v>
      </c>
      <c r="AQ397" t="b">
        <f>IF(metadata!P397="",FALSE,TRUE)</f>
        <v>0</v>
      </c>
      <c r="AR397" t="b">
        <f>IF(metadata!Q397="",FALSE,ISNUMBER(VALUE(metadata!Q397)))</f>
        <v>0</v>
      </c>
      <c r="AS397" t="b">
        <f>AND(IF(metadata!R397="",FALSE,TRUE),EXACT(metadata!R397,"kg"))</f>
        <v>0</v>
      </c>
    </row>
    <row r="398" spans="1:45" x14ac:dyDescent="0.2">
      <c r="A398" s="5" t="str">
        <f ca="1">IF(B398=" "," ",HYPERLINK(CONCATENATE("#metadata!",ADDRESS(INDEX($X$2:$X$1001,MATCH(ROWS($V$2:V398),$V$2:$V$1001,0),0),1)),INDEX($AA$2:$AA$1001,MATCH(ROWS($V$2:V398),$V$2:$V$1001,0),0)))</f>
        <v xml:space="preserve"> </v>
      </c>
      <c r="B398" s="4" t="str">
        <f ca="1">IF(OR(INDEX($W$2:$W$1001,MATCH(ROWS($V$2:V398),$V$2:$V$1001,0),1)&gt;=100000,INDEX($AC$1005:$AS$1005,1,MATCH(COLUMNS($AC$1006:AC1006),$AC$1006:$AS$1006,0))&gt;=100000), " ",IF(INDEX($AC$2:$AS$1001,MATCH(ROWS($V$2:V398),$V$2:$V$1001,0),MATCH(COLUMNS($AC$1006:AC1006),$AC$1006:$AS$1006,0)), HYPERLINK("#",""), HYPERLINK(CONCATENATE("#metadata!", ADDRESS(INDEX($X$2:$X$1001,MATCH(ROWS($V$2:V398),$V$2:$V$1001,0),0), INDEX($AC$1004:$AS$1004,1,MATCH(COLUMNS($AC$1006:AC1006),$AC$1006:$AS$1006,0)))),"Fix")))</f>
        <v xml:space="preserve"> </v>
      </c>
      <c r="C398" s="4" t="str">
        <f ca="1">IF(OR(INDEX($W$2:$W$1001,MATCH(ROWS($V$2:V398),$V$2:$V$1001,0),1)&gt;=100000,INDEX($AC$1005:$AS$1005,1,MATCH(COLUMNS($AC$1006:AD1006),$AC$1006:$AS$1006,0))&gt;=100000), " ",IF(INDEX($AC$2:$AS$1001,MATCH(ROWS($V$2:V398),$V$2:$V$1001,0),MATCH(COLUMNS($AC$1006:AD1006),$AC$1006:$AS$1006,0)), HYPERLINK("#",""), HYPERLINK(CONCATENATE("#metadata!", ADDRESS(INDEX($X$2:$X$1001,MATCH(ROWS($V$2:V398),$V$2:$V$1001,0),0), INDEX($AC$1004:$AS$1004,1,MATCH(COLUMNS($AC$1006:AD1006),$AC$1006:$AS$1006,0)))),"Fix")))</f>
        <v xml:space="preserve"> </v>
      </c>
      <c r="D398" s="4" t="str">
        <f ca="1">IF(OR(INDEX($W$2:$W$1001,MATCH(ROWS($V$2:V398),$V$2:$V$1001,0),1)&gt;=100000,INDEX($AC$1005:$AS$1005,1,MATCH(COLUMNS($AC$1006:AE1006),$AC$1006:$AS$1006,0))&gt;=100000), " ",IF(INDEX($AC$2:$AS$1001,MATCH(ROWS($V$2:V398),$V$2:$V$1001,0),MATCH(COLUMNS($AC$1006:AE1006),$AC$1006:$AS$1006,0)), HYPERLINK("#",""), HYPERLINK(CONCATENATE("#metadata!", ADDRESS(INDEX($X$2:$X$1001,MATCH(ROWS($V$2:V398),$V$2:$V$1001,0),0), INDEX($AC$1004:$AS$1004,1,MATCH(COLUMNS($AC$1006:AE1006),$AC$1006:$AS$1006,0)))),"Fix")))</f>
        <v xml:space="preserve"> </v>
      </c>
      <c r="E398" s="4" t="str">
        <f ca="1">IF(OR(INDEX($W$2:$W$1001,MATCH(ROWS($V$2:V398),$V$2:$V$1001,0),1)&gt;=100000,INDEX($AC$1005:$AS$1005,1,MATCH(COLUMNS($AC$1006:AF1006),$AC$1006:$AS$1006,0))&gt;=100000), " ",IF(INDEX($AC$2:$AS$1001,MATCH(ROWS($V$2:V398),$V$2:$V$1001,0),MATCH(COLUMNS($AC$1006:AF1006),$AC$1006:$AS$1006,0)), HYPERLINK("#",""), HYPERLINK(CONCATENATE("#metadata!", ADDRESS(INDEX($X$2:$X$1001,MATCH(ROWS($V$2:V398),$V$2:$V$1001,0),0), INDEX($AC$1004:$AS$1004,1,MATCH(COLUMNS($AC$1006:AF1006),$AC$1006:$AS$1006,0)))),"Fix")))</f>
        <v xml:space="preserve"> </v>
      </c>
      <c r="F398" s="4" t="str">
        <f ca="1">IF(OR(INDEX($W$2:$W$1001,MATCH(ROWS($V$2:V398),$V$2:$V$1001,0),1)&gt;=100000,INDEX($AC$1005:$AS$1005,1,MATCH(COLUMNS($AC$1006:AG1006),$AC$1006:$AS$1006,0))&gt;=100000), " ",IF(INDEX($AC$2:$AS$1001,MATCH(ROWS($V$2:V398),$V$2:$V$1001,0),MATCH(COLUMNS($AC$1006:AG1006),$AC$1006:$AS$1006,0)), HYPERLINK("#",""), HYPERLINK(CONCATENATE("#metadata!", ADDRESS(INDEX($X$2:$X$1001,MATCH(ROWS($V$2:V398),$V$2:$V$1001,0),0), INDEX($AC$1004:$AS$1004,1,MATCH(COLUMNS($AC$1006:AG1006),$AC$1006:$AS$1006,0)))),"Fix")))</f>
        <v xml:space="preserve"> </v>
      </c>
      <c r="G398" s="4" t="str">
        <f ca="1">IF(OR(INDEX($W$2:$W$1001,MATCH(ROWS($V$2:V398),$V$2:$V$1001,0),1)&gt;=100000,INDEX($AC$1005:$AS$1005,1,MATCH(COLUMNS($AC$1006:AH1006),$AC$1006:$AS$1006,0))&gt;=100000), " ",IF(INDEX($AC$2:$AS$1001,MATCH(ROWS($V$2:V398),$V$2:$V$1001,0),MATCH(COLUMNS($AC$1006:AH1006),$AC$1006:$AS$1006,0)), HYPERLINK("#",""), HYPERLINK(CONCATENATE("#metadata!", ADDRESS(INDEX($X$2:$X$1001,MATCH(ROWS($V$2:V398),$V$2:$V$1001,0),0), INDEX($AC$1004:$AS$1004,1,MATCH(COLUMNS($AC$1006:AH1006),$AC$1006:$AS$1006,0)))),"Fix")))</f>
        <v xml:space="preserve"> </v>
      </c>
      <c r="H398" s="4" t="str">
        <f ca="1">IF(OR(INDEX($W$2:$W$1001,MATCH(ROWS($V$2:V398),$V$2:$V$1001,0),1)&gt;=100000,INDEX($AC$1005:$AS$1005,1,MATCH(COLUMNS($AC$1006:AI1006),$AC$1006:$AS$1006,0))&gt;=100000), " ",IF(INDEX($AC$2:$AS$1001,MATCH(ROWS($V$2:V398),$V$2:$V$1001,0),MATCH(COLUMNS($AC$1006:AI1006),$AC$1006:$AS$1006,0)), HYPERLINK("#",""), HYPERLINK(CONCATENATE("#metadata!", ADDRESS(INDEX($X$2:$X$1001,MATCH(ROWS($V$2:V398),$V$2:$V$1001,0),0), INDEX($AC$1004:$AS$1004,1,MATCH(COLUMNS($AC$1006:AI1006),$AC$1006:$AS$1006,0)))),"Fix")))</f>
        <v xml:space="preserve"> </v>
      </c>
      <c r="I398" s="4" t="str">
        <f ca="1">IF(OR(INDEX($W$2:$W$1001,MATCH(ROWS($V$2:V398),$V$2:$V$1001,0),1)&gt;=100000,INDEX($AC$1005:$AS$1005,1,MATCH(COLUMNS($AC$1006:AJ1006),$AC$1006:$AS$1006,0))&gt;=100000), " ",IF(INDEX($AC$2:$AS$1001,MATCH(ROWS($V$2:V398),$V$2:$V$1001,0),MATCH(COLUMNS($AC$1006:AJ1006),$AC$1006:$AS$1006,0)), HYPERLINK("#",""), HYPERLINK(CONCATENATE("#metadata!", ADDRESS(INDEX($X$2:$X$1001,MATCH(ROWS($V$2:V398),$V$2:$V$1001,0),0), INDEX($AC$1004:$AS$1004,1,MATCH(COLUMNS($AC$1006:AJ1006),$AC$1006:$AS$1006,0)))),"Fix")))</f>
        <v xml:space="preserve"> </v>
      </c>
      <c r="J398" s="4" t="str">
        <f ca="1">IF(OR(INDEX($W$2:$W$1001,MATCH(ROWS($V$2:V398),$V$2:$V$1001,0),1)&gt;=100000,INDEX($AC$1005:$AS$1005,1,MATCH(COLUMNS($AC$1006:AK1006),$AC$1006:$AS$1006,0))&gt;=100000), " ",IF(INDEX($AC$2:$AS$1001,MATCH(ROWS($V$2:V398),$V$2:$V$1001,0),MATCH(COLUMNS($AC$1006:AK1006),$AC$1006:$AS$1006,0)), HYPERLINK("#",""), HYPERLINK(CONCATENATE("#metadata!", ADDRESS(INDEX($X$2:$X$1001,MATCH(ROWS($V$2:V398),$V$2:$V$1001,0),0), INDEX($AC$1004:$AS$1004,1,MATCH(COLUMNS($AC$1006:AK1006),$AC$1006:$AS$1006,0)))),"Fix")))</f>
        <v xml:space="preserve"> </v>
      </c>
      <c r="K398" s="4" t="str">
        <f ca="1">IF(OR(INDEX($W$2:$W$1001,MATCH(ROWS($V$2:V398),$V$2:$V$1001,0),1)&gt;=100000,INDEX($AC$1005:$AS$1005,1,MATCH(COLUMNS($AC$1006:AL1006),$AC$1006:$AS$1006,0))&gt;=100000), " ",IF(INDEX($AC$2:$AS$1001,MATCH(ROWS($V$2:V398),$V$2:$V$1001,0),MATCH(COLUMNS($AC$1006:AL1006),$AC$1006:$AS$1006,0)), HYPERLINK("#",""), HYPERLINK(CONCATENATE("#metadata!", ADDRESS(INDEX($X$2:$X$1001,MATCH(ROWS($V$2:V398),$V$2:$V$1001,0),0), INDEX($AC$1004:$AS$1004,1,MATCH(COLUMNS($AC$1006:AL1006),$AC$1006:$AS$1006,0)))),"Fix")))</f>
        <v xml:space="preserve"> </v>
      </c>
      <c r="L398" s="4" t="str">
        <f ca="1">IF(OR(INDEX($W$2:$W$1001,MATCH(ROWS($V$2:V398),$V$2:$V$1001,0),1)&gt;=100000,INDEX($AC$1005:$AS$1005,1,MATCH(COLUMNS($AC$1006:AM1006),$AC$1006:$AS$1006,0))&gt;=100000), " ",IF(INDEX($AC$2:$AS$1001,MATCH(ROWS($V$2:V398),$V$2:$V$1001,0),MATCH(COLUMNS($AC$1006:AM1006),$AC$1006:$AS$1006,0)), HYPERLINK("#",""), HYPERLINK(CONCATENATE("#metadata!", ADDRESS(INDEX($X$2:$X$1001,MATCH(ROWS($V$2:V398),$V$2:$V$1001,0),0), INDEX($AC$1004:$AS$1004,1,MATCH(COLUMNS($AC$1006:AM1006),$AC$1006:$AS$1006,0)))),"Fix")))</f>
        <v xml:space="preserve"> </v>
      </c>
      <c r="M398" s="4" t="str">
        <f ca="1">IF(OR(INDEX($W$2:$W$1001,MATCH(ROWS($V$2:V398),$V$2:$V$1001,0),1)&gt;=100000,INDEX($AC$1005:$AS$1005,1,MATCH(COLUMNS($AC$1006:AN1006),$AC$1006:$AS$1006,0))&gt;=100000), " ",IF(INDEX($AC$2:$AS$1001,MATCH(ROWS($V$2:V398),$V$2:$V$1001,0),MATCH(COLUMNS($AC$1006:AN1006),$AC$1006:$AS$1006,0)), HYPERLINK("#",""), HYPERLINK(CONCATENATE("#metadata!", ADDRESS(INDEX($X$2:$X$1001,MATCH(ROWS($V$2:V398),$V$2:$V$1001,0),0), INDEX($AC$1004:$AS$1004,1,MATCH(COLUMNS($AC$1006:AN1006),$AC$1006:$AS$1006,0)))),"Fix")))</f>
        <v xml:space="preserve"> </v>
      </c>
      <c r="N398" s="4" t="str">
        <f ca="1">IF(OR(INDEX($W$2:$W$1001,MATCH(ROWS($V$2:V398),$V$2:$V$1001,0),1)&gt;=100000,INDEX($AC$1005:$AS$1005,1,MATCH(COLUMNS($AC$1006:AO1006),$AC$1006:$AS$1006,0))&gt;=100000), " ",IF(INDEX($AC$2:$AS$1001,MATCH(ROWS($V$2:V398),$V$2:$V$1001,0),MATCH(COLUMNS($AC$1006:AO1006),$AC$1006:$AS$1006,0)), HYPERLINK("#",""), HYPERLINK(CONCATENATE("#metadata!", ADDRESS(INDEX($X$2:$X$1001,MATCH(ROWS($V$2:V398),$V$2:$V$1001,0),0), INDEX($AC$1004:$AS$1004,1,MATCH(COLUMNS($AC$1006:AO1006),$AC$1006:$AS$1006,0)))),"Fix")))</f>
        <v xml:space="preserve"> </v>
      </c>
      <c r="O398" s="4" t="str">
        <f ca="1">IF(OR(INDEX($W$2:$W$1001,MATCH(ROWS($V$2:V398),$V$2:$V$1001,0),1)&gt;=100000,INDEX($AC$1005:$AS$1005,1,MATCH(COLUMNS($AC$1006:AP1006),$AC$1006:$AS$1006,0))&gt;=100000), " ",IF(INDEX($AC$2:$AS$1001,MATCH(ROWS($V$2:V398),$V$2:$V$1001,0),MATCH(COLUMNS($AC$1006:AP1006),$AC$1006:$AS$1006,0)), HYPERLINK("#",""), HYPERLINK(CONCATENATE("#metadata!", ADDRESS(INDEX($X$2:$X$1001,MATCH(ROWS($V$2:V398),$V$2:$V$1001,0),0), INDEX($AC$1004:$AS$1004,1,MATCH(COLUMNS($AC$1006:AP1006),$AC$1006:$AS$1006,0)))),"Fix")))</f>
        <v xml:space="preserve"> </v>
      </c>
      <c r="P398" s="4" t="str">
        <f ca="1">IF(OR(INDEX($W$2:$W$1001,MATCH(ROWS($V$2:V398),$V$2:$V$1001,0),1)&gt;=100000,INDEX($AC$1005:$AS$1005,1,MATCH(COLUMNS($AC$1006:AQ1006),$AC$1006:$AS$1006,0))&gt;=100000), " ",IF(INDEX($AC$2:$AS$1001,MATCH(ROWS($V$2:V398),$V$2:$V$1001,0),MATCH(COLUMNS($AC$1006:AQ1006),$AC$1006:$AS$1006,0)), HYPERLINK("#",""), HYPERLINK(CONCATENATE("#metadata!", ADDRESS(INDEX($X$2:$X$1001,MATCH(ROWS($V$2:V398),$V$2:$V$1001,0),0), INDEX($AC$1004:$AS$1004,1,MATCH(COLUMNS($AC$1006:AQ1006),$AC$1006:$AS$1006,0)))),"Fix")))</f>
        <v xml:space="preserve"> </v>
      </c>
      <c r="Q398" s="4" t="str">
        <f ca="1">IF(OR(INDEX($W$2:$W$1001,MATCH(ROWS($V$2:V398),$V$2:$V$1001,0),1)&gt;=100000,INDEX($AC$1005:$AS$1005,1,MATCH(COLUMNS($AC$1006:AR1006),$AC$1006:$AS$1006,0))&gt;=100000), " ",IF(INDEX($AC$2:$AS$1001,MATCH(ROWS($V$2:V398),$V$2:$V$1001,0),MATCH(COLUMNS($AC$1006:AR1006),$AC$1006:$AS$1006,0)), HYPERLINK("#",""), HYPERLINK(CONCATENATE("#metadata!", ADDRESS(INDEX($X$2:$X$1001,MATCH(ROWS($V$2:V398),$V$2:$V$1001,0),0), INDEX($AC$1004:$AS$1004,1,MATCH(COLUMNS($AC$1006:AR1006),$AC$1006:$AS$1006,0)))),"Fix")))</f>
        <v xml:space="preserve"> </v>
      </c>
      <c r="R398" s="4" t="str">
        <f ca="1">IF(OR(INDEX($W$2:$W$1001,MATCH(ROWS($V$2:V398),$V$2:$V$1001,0),1)&gt;=100000,INDEX($AC$1005:$AS$1005,1,MATCH(COLUMNS($AC$1006:AS1006),$AC$1006:$AS$1006,0))&gt;=100000), " ",IF(INDEX($AC$2:$AS$1001,MATCH(ROWS($V$2:V398),$V$2:$V$1001,0),MATCH(COLUMNS($AC$1006:AS1006),$AC$1006:$AS$1006,0)), HYPERLINK("#",""), HYPERLINK(CONCATENATE("#metadata!", ADDRESS(INDEX($X$2:$X$1001,MATCH(ROWS($V$2:V398),$V$2:$V$1001,0),0), INDEX($AC$1004:$AS$1004,1,MATCH(COLUMNS($AC$1006:AS1006),$AC$1006:$AS$1006,0)))),"Fix")))</f>
        <v xml:space="preserve"> </v>
      </c>
      <c r="V398">
        <v>397</v>
      </c>
      <c r="W398">
        <v>100398</v>
      </c>
      <c r="X398">
        <v>398</v>
      </c>
      <c r="Y398" t="b">
        <f t="shared" si="6"/>
        <v>1</v>
      </c>
      <c r="Z398" t="b">
        <f>COUNTBLANK(metadata!B398:R398)=COLUMNS(metadata!B398:R398)</f>
        <v>1</v>
      </c>
      <c r="AA398" t="str">
        <v/>
      </c>
      <c r="AC398" t="b">
        <f ca="1"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AD398" t="b">
        <f>IF(metadata!C398="",FALSE,ISNUMBER(VALUE(metadata!C398)))</f>
        <v>0</v>
      </c>
      <c r="AE398" t="b">
        <f>AND(IF(metadata!D398="",FALSE,TRUE),EXACT(metadata!D398,"years"))</f>
        <v>0</v>
      </c>
      <c r="AF398" t="b">
        <f>OR(AND(IF(metadata!E398="",FALSE,TRUE),OR(EXACT(metadata!E398,"not applicable"),EXACT(metadata!E398,"missing: not collected"),EXACT(metadata!E398,"missing: not provided"),EXACT(metadata!E398,"missing: restricted access"))),AND(IF(metadata!E398="",FALSE,ISNUMBER(VALUE(metadata!E398))),metadata!E398&gt;0))</f>
        <v>0</v>
      </c>
      <c r="AG398" t="b">
        <f>AND(IF(metadata!F398="",FALSE,TRUE),EXACT(metadata!F398,"Not applicable"))</f>
        <v>0</v>
      </c>
      <c r="AH398" t="b">
        <f>AND(IF(metadata!G398="",FALSE,TRUE),EXACT(metadata!G398,"urban biome"))</f>
        <v>0</v>
      </c>
      <c r="AI398" t="b">
        <f>AND(IF(metadata!H398="",FALSE,TRUE),EXACT(metadata!H398,"human-associated habitat"))</f>
        <v>0</v>
      </c>
      <c r="AJ398" t="b">
        <f>AND(IF(metadata!I398="",FALSE,TRUE),OR(EXACT(metadata!I398,"human-associated"),EXACT(metadata!I398,"human-skin"),EXACT(metadata!I398,"human-oral"),EXACT(metadata!I398,"human-gut"),EXACT(metadata!I398,"human-vaginal")))</f>
        <v>0</v>
      </c>
      <c r="AK398" t="b">
        <f>IF(metadata!J398="",FALSE,ISNUMBER(VALUE(metadata!J398)))</f>
        <v>0</v>
      </c>
      <c r="AL398" t="b">
        <f>AND(IF(metadata!K398="",FALSE,TRUE),EXACT(metadata!K398,"cm"))</f>
        <v>0</v>
      </c>
      <c r="AM398" t="b">
        <f>AND(IF(metadata!L398="",FALSE,TRUE),EXACT(metadata!L398,"human"))</f>
        <v>0</v>
      </c>
      <c r="AN398" t="b">
        <f>AND(IF(metadata!M398="",FALSE,TRUE),EXACT(metadata!M398,"Homo sapiens"))</f>
        <v>0</v>
      </c>
      <c r="AO398" t="b">
        <f>AND(IF(metadata!N398="",FALSE,TRUE),EXACT(metadata!N398,"9606"))</f>
        <v>0</v>
      </c>
      <c r="AP398" t="b">
        <f>IF(metadata!O398="",FALSE,TRUE)</f>
        <v>0</v>
      </c>
      <c r="AQ398" t="b">
        <f>IF(metadata!P398="",FALSE,TRUE)</f>
        <v>0</v>
      </c>
      <c r="AR398" t="b">
        <f>IF(metadata!Q398="",FALSE,ISNUMBER(VALUE(metadata!Q398)))</f>
        <v>0</v>
      </c>
      <c r="AS398" t="b">
        <f>AND(IF(metadata!R398="",FALSE,TRUE),EXACT(metadata!R398,"kg"))</f>
        <v>0</v>
      </c>
    </row>
    <row r="399" spans="1:45" x14ac:dyDescent="0.2">
      <c r="A399" s="5" t="str">
        <f ca="1">IF(B399=" "," ",HYPERLINK(CONCATENATE("#metadata!",ADDRESS(INDEX($X$2:$X$1001,MATCH(ROWS($V$2:V399),$V$2:$V$1001,0),0),1)),INDEX($AA$2:$AA$1001,MATCH(ROWS($V$2:V399),$V$2:$V$1001,0),0)))</f>
        <v xml:space="preserve"> </v>
      </c>
      <c r="B399" s="4" t="str">
        <f ca="1">IF(OR(INDEX($W$2:$W$1001,MATCH(ROWS($V$2:V399),$V$2:$V$1001,0),1)&gt;=100000,INDEX($AC$1005:$AS$1005,1,MATCH(COLUMNS($AC$1006:AC1006),$AC$1006:$AS$1006,0))&gt;=100000), " ",IF(INDEX($AC$2:$AS$1001,MATCH(ROWS($V$2:V399),$V$2:$V$1001,0),MATCH(COLUMNS($AC$1006:AC1006),$AC$1006:$AS$1006,0)), HYPERLINK("#",""), HYPERLINK(CONCATENATE("#metadata!", ADDRESS(INDEX($X$2:$X$1001,MATCH(ROWS($V$2:V399),$V$2:$V$1001,0),0), INDEX($AC$1004:$AS$1004,1,MATCH(COLUMNS($AC$1006:AC1006),$AC$1006:$AS$1006,0)))),"Fix")))</f>
        <v xml:space="preserve"> </v>
      </c>
      <c r="C399" s="4" t="str">
        <f ca="1">IF(OR(INDEX($W$2:$W$1001,MATCH(ROWS($V$2:V399),$V$2:$V$1001,0),1)&gt;=100000,INDEX($AC$1005:$AS$1005,1,MATCH(COLUMNS($AC$1006:AD1006),$AC$1006:$AS$1006,0))&gt;=100000), " ",IF(INDEX($AC$2:$AS$1001,MATCH(ROWS($V$2:V399),$V$2:$V$1001,0),MATCH(COLUMNS($AC$1006:AD1006),$AC$1006:$AS$1006,0)), HYPERLINK("#",""), HYPERLINK(CONCATENATE("#metadata!", ADDRESS(INDEX($X$2:$X$1001,MATCH(ROWS($V$2:V399),$V$2:$V$1001,0),0), INDEX($AC$1004:$AS$1004,1,MATCH(COLUMNS($AC$1006:AD1006),$AC$1006:$AS$1006,0)))),"Fix")))</f>
        <v xml:space="preserve"> </v>
      </c>
      <c r="D399" s="4" t="str">
        <f ca="1">IF(OR(INDEX($W$2:$W$1001,MATCH(ROWS($V$2:V399),$V$2:$V$1001,0),1)&gt;=100000,INDEX($AC$1005:$AS$1005,1,MATCH(COLUMNS($AC$1006:AE1006),$AC$1006:$AS$1006,0))&gt;=100000), " ",IF(INDEX($AC$2:$AS$1001,MATCH(ROWS($V$2:V399),$V$2:$V$1001,0),MATCH(COLUMNS($AC$1006:AE1006),$AC$1006:$AS$1006,0)), HYPERLINK("#",""), HYPERLINK(CONCATENATE("#metadata!", ADDRESS(INDEX($X$2:$X$1001,MATCH(ROWS($V$2:V399),$V$2:$V$1001,0),0), INDEX($AC$1004:$AS$1004,1,MATCH(COLUMNS($AC$1006:AE1006),$AC$1006:$AS$1006,0)))),"Fix")))</f>
        <v xml:space="preserve"> </v>
      </c>
      <c r="E399" s="4" t="str">
        <f ca="1">IF(OR(INDEX($W$2:$W$1001,MATCH(ROWS($V$2:V399),$V$2:$V$1001,0),1)&gt;=100000,INDEX($AC$1005:$AS$1005,1,MATCH(COLUMNS($AC$1006:AF1006),$AC$1006:$AS$1006,0))&gt;=100000), " ",IF(INDEX($AC$2:$AS$1001,MATCH(ROWS($V$2:V399),$V$2:$V$1001,0),MATCH(COLUMNS($AC$1006:AF1006),$AC$1006:$AS$1006,0)), HYPERLINK("#",""), HYPERLINK(CONCATENATE("#metadata!", ADDRESS(INDEX($X$2:$X$1001,MATCH(ROWS($V$2:V399),$V$2:$V$1001,0),0), INDEX($AC$1004:$AS$1004,1,MATCH(COLUMNS($AC$1006:AF1006),$AC$1006:$AS$1006,0)))),"Fix")))</f>
        <v xml:space="preserve"> </v>
      </c>
      <c r="F399" s="4" t="str">
        <f ca="1">IF(OR(INDEX($W$2:$W$1001,MATCH(ROWS($V$2:V399),$V$2:$V$1001,0),1)&gt;=100000,INDEX($AC$1005:$AS$1005,1,MATCH(COLUMNS($AC$1006:AG1006),$AC$1006:$AS$1006,0))&gt;=100000), " ",IF(INDEX($AC$2:$AS$1001,MATCH(ROWS($V$2:V399),$V$2:$V$1001,0),MATCH(COLUMNS($AC$1006:AG1006),$AC$1006:$AS$1006,0)), HYPERLINK("#",""), HYPERLINK(CONCATENATE("#metadata!", ADDRESS(INDEX($X$2:$X$1001,MATCH(ROWS($V$2:V399),$V$2:$V$1001,0),0), INDEX($AC$1004:$AS$1004,1,MATCH(COLUMNS($AC$1006:AG1006),$AC$1006:$AS$1006,0)))),"Fix")))</f>
        <v xml:space="preserve"> </v>
      </c>
      <c r="G399" s="4" t="str">
        <f ca="1">IF(OR(INDEX($W$2:$W$1001,MATCH(ROWS($V$2:V399),$V$2:$V$1001,0),1)&gt;=100000,INDEX($AC$1005:$AS$1005,1,MATCH(COLUMNS($AC$1006:AH1006),$AC$1006:$AS$1006,0))&gt;=100000), " ",IF(INDEX($AC$2:$AS$1001,MATCH(ROWS($V$2:V399),$V$2:$V$1001,0),MATCH(COLUMNS($AC$1006:AH1006),$AC$1006:$AS$1006,0)), HYPERLINK("#",""), HYPERLINK(CONCATENATE("#metadata!", ADDRESS(INDEX($X$2:$X$1001,MATCH(ROWS($V$2:V399),$V$2:$V$1001,0),0), INDEX($AC$1004:$AS$1004,1,MATCH(COLUMNS($AC$1006:AH1006),$AC$1006:$AS$1006,0)))),"Fix")))</f>
        <v xml:space="preserve"> </v>
      </c>
      <c r="H399" s="4" t="str">
        <f ca="1">IF(OR(INDEX($W$2:$W$1001,MATCH(ROWS($V$2:V399),$V$2:$V$1001,0),1)&gt;=100000,INDEX($AC$1005:$AS$1005,1,MATCH(COLUMNS($AC$1006:AI1006),$AC$1006:$AS$1006,0))&gt;=100000), " ",IF(INDEX($AC$2:$AS$1001,MATCH(ROWS($V$2:V399),$V$2:$V$1001,0),MATCH(COLUMNS($AC$1006:AI1006),$AC$1006:$AS$1006,0)), HYPERLINK("#",""), HYPERLINK(CONCATENATE("#metadata!", ADDRESS(INDEX($X$2:$X$1001,MATCH(ROWS($V$2:V399),$V$2:$V$1001,0),0), INDEX($AC$1004:$AS$1004,1,MATCH(COLUMNS($AC$1006:AI1006),$AC$1006:$AS$1006,0)))),"Fix")))</f>
        <v xml:space="preserve"> </v>
      </c>
      <c r="I399" s="4" t="str">
        <f ca="1">IF(OR(INDEX($W$2:$W$1001,MATCH(ROWS($V$2:V399),$V$2:$V$1001,0),1)&gt;=100000,INDEX($AC$1005:$AS$1005,1,MATCH(COLUMNS($AC$1006:AJ1006),$AC$1006:$AS$1006,0))&gt;=100000), " ",IF(INDEX($AC$2:$AS$1001,MATCH(ROWS($V$2:V399),$V$2:$V$1001,0),MATCH(COLUMNS($AC$1006:AJ1006),$AC$1006:$AS$1006,0)), HYPERLINK("#",""), HYPERLINK(CONCATENATE("#metadata!", ADDRESS(INDEX($X$2:$X$1001,MATCH(ROWS($V$2:V399),$V$2:$V$1001,0),0), INDEX($AC$1004:$AS$1004,1,MATCH(COLUMNS($AC$1006:AJ1006),$AC$1006:$AS$1006,0)))),"Fix")))</f>
        <v xml:space="preserve"> </v>
      </c>
      <c r="J399" s="4" t="str">
        <f ca="1">IF(OR(INDEX($W$2:$W$1001,MATCH(ROWS($V$2:V399),$V$2:$V$1001,0),1)&gt;=100000,INDEX($AC$1005:$AS$1005,1,MATCH(COLUMNS($AC$1006:AK1006),$AC$1006:$AS$1006,0))&gt;=100000), " ",IF(INDEX($AC$2:$AS$1001,MATCH(ROWS($V$2:V399),$V$2:$V$1001,0),MATCH(COLUMNS($AC$1006:AK1006),$AC$1006:$AS$1006,0)), HYPERLINK("#",""), HYPERLINK(CONCATENATE("#metadata!", ADDRESS(INDEX($X$2:$X$1001,MATCH(ROWS($V$2:V399),$V$2:$V$1001,0),0), INDEX($AC$1004:$AS$1004,1,MATCH(COLUMNS($AC$1006:AK1006),$AC$1006:$AS$1006,0)))),"Fix")))</f>
        <v xml:space="preserve"> </v>
      </c>
      <c r="K399" s="4" t="str">
        <f ca="1">IF(OR(INDEX($W$2:$W$1001,MATCH(ROWS($V$2:V399),$V$2:$V$1001,0),1)&gt;=100000,INDEX($AC$1005:$AS$1005,1,MATCH(COLUMNS($AC$1006:AL1006),$AC$1006:$AS$1006,0))&gt;=100000), " ",IF(INDEX($AC$2:$AS$1001,MATCH(ROWS($V$2:V399),$V$2:$V$1001,0),MATCH(COLUMNS($AC$1006:AL1006),$AC$1006:$AS$1006,0)), HYPERLINK("#",""), HYPERLINK(CONCATENATE("#metadata!", ADDRESS(INDEX($X$2:$X$1001,MATCH(ROWS($V$2:V399),$V$2:$V$1001,0),0), INDEX($AC$1004:$AS$1004,1,MATCH(COLUMNS($AC$1006:AL1006),$AC$1006:$AS$1006,0)))),"Fix")))</f>
        <v xml:space="preserve"> </v>
      </c>
      <c r="L399" s="4" t="str">
        <f ca="1">IF(OR(INDEX($W$2:$W$1001,MATCH(ROWS($V$2:V399),$V$2:$V$1001,0),1)&gt;=100000,INDEX($AC$1005:$AS$1005,1,MATCH(COLUMNS($AC$1006:AM1006),$AC$1006:$AS$1006,0))&gt;=100000), " ",IF(INDEX($AC$2:$AS$1001,MATCH(ROWS($V$2:V399),$V$2:$V$1001,0),MATCH(COLUMNS($AC$1006:AM1006),$AC$1006:$AS$1006,0)), HYPERLINK("#",""), HYPERLINK(CONCATENATE("#metadata!", ADDRESS(INDEX($X$2:$X$1001,MATCH(ROWS($V$2:V399),$V$2:$V$1001,0),0), INDEX($AC$1004:$AS$1004,1,MATCH(COLUMNS($AC$1006:AM1006),$AC$1006:$AS$1006,0)))),"Fix")))</f>
        <v xml:space="preserve"> </v>
      </c>
      <c r="M399" s="4" t="str">
        <f ca="1">IF(OR(INDEX($W$2:$W$1001,MATCH(ROWS($V$2:V399),$V$2:$V$1001,0),1)&gt;=100000,INDEX($AC$1005:$AS$1005,1,MATCH(COLUMNS($AC$1006:AN1006),$AC$1006:$AS$1006,0))&gt;=100000), " ",IF(INDEX($AC$2:$AS$1001,MATCH(ROWS($V$2:V399),$V$2:$V$1001,0),MATCH(COLUMNS($AC$1006:AN1006),$AC$1006:$AS$1006,0)), HYPERLINK("#",""), HYPERLINK(CONCATENATE("#metadata!", ADDRESS(INDEX($X$2:$X$1001,MATCH(ROWS($V$2:V399),$V$2:$V$1001,0),0), INDEX($AC$1004:$AS$1004,1,MATCH(COLUMNS($AC$1006:AN1006),$AC$1006:$AS$1006,0)))),"Fix")))</f>
        <v xml:space="preserve"> </v>
      </c>
      <c r="N399" s="4" t="str">
        <f ca="1">IF(OR(INDEX($W$2:$W$1001,MATCH(ROWS($V$2:V399),$V$2:$V$1001,0),1)&gt;=100000,INDEX($AC$1005:$AS$1005,1,MATCH(COLUMNS($AC$1006:AO1006),$AC$1006:$AS$1006,0))&gt;=100000), " ",IF(INDEX($AC$2:$AS$1001,MATCH(ROWS($V$2:V399),$V$2:$V$1001,0),MATCH(COLUMNS($AC$1006:AO1006),$AC$1006:$AS$1006,0)), HYPERLINK("#",""), HYPERLINK(CONCATENATE("#metadata!", ADDRESS(INDEX($X$2:$X$1001,MATCH(ROWS($V$2:V399),$V$2:$V$1001,0),0), INDEX($AC$1004:$AS$1004,1,MATCH(COLUMNS($AC$1006:AO1006),$AC$1006:$AS$1006,0)))),"Fix")))</f>
        <v xml:space="preserve"> </v>
      </c>
      <c r="O399" s="4" t="str">
        <f ca="1">IF(OR(INDEX($W$2:$W$1001,MATCH(ROWS($V$2:V399),$V$2:$V$1001,0),1)&gt;=100000,INDEX($AC$1005:$AS$1005,1,MATCH(COLUMNS($AC$1006:AP1006),$AC$1006:$AS$1006,0))&gt;=100000), " ",IF(INDEX($AC$2:$AS$1001,MATCH(ROWS($V$2:V399),$V$2:$V$1001,0),MATCH(COLUMNS($AC$1006:AP1006),$AC$1006:$AS$1006,0)), HYPERLINK("#",""), HYPERLINK(CONCATENATE("#metadata!", ADDRESS(INDEX($X$2:$X$1001,MATCH(ROWS($V$2:V399),$V$2:$V$1001,0),0), INDEX($AC$1004:$AS$1004,1,MATCH(COLUMNS($AC$1006:AP1006),$AC$1006:$AS$1006,0)))),"Fix")))</f>
        <v xml:space="preserve"> </v>
      </c>
      <c r="P399" s="4" t="str">
        <f ca="1">IF(OR(INDEX($W$2:$W$1001,MATCH(ROWS($V$2:V399),$V$2:$V$1001,0),1)&gt;=100000,INDEX($AC$1005:$AS$1005,1,MATCH(COLUMNS($AC$1006:AQ1006),$AC$1006:$AS$1006,0))&gt;=100000), " ",IF(INDEX($AC$2:$AS$1001,MATCH(ROWS($V$2:V399),$V$2:$V$1001,0),MATCH(COLUMNS($AC$1006:AQ1006),$AC$1006:$AS$1006,0)), HYPERLINK("#",""), HYPERLINK(CONCATENATE("#metadata!", ADDRESS(INDEX($X$2:$X$1001,MATCH(ROWS($V$2:V399),$V$2:$V$1001,0),0), INDEX($AC$1004:$AS$1004,1,MATCH(COLUMNS($AC$1006:AQ1006),$AC$1006:$AS$1006,0)))),"Fix")))</f>
        <v xml:space="preserve"> </v>
      </c>
      <c r="Q399" s="4" t="str">
        <f ca="1">IF(OR(INDEX($W$2:$W$1001,MATCH(ROWS($V$2:V399),$V$2:$V$1001,0),1)&gt;=100000,INDEX($AC$1005:$AS$1005,1,MATCH(COLUMNS($AC$1006:AR1006),$AC$1006:$AS$1006,0))&gt;=100000), " ",IF(INDEX($AC$2:$AS$1001,MATCH(ROWS($V$2:V399),$V$2:$V$1001,0),MATCH(COLUMNS($AC$1006:AR1006),$AC$1006:$AS$1006,0)), HYPERLINK("#",""), HYPERLINK(CONCATENATE("#metadata!", ADDRESS(INDEX($X$2:$X$1001,MATCH(ROWS($V$2:V399),$V$2:$V$1001,0),0), INDEX($AC$1004:$AS$1004,1,MATCH(COLUMNS($AC$1006:AR1006),$AC$1006:$AS$1006,0)))),"Fix")))</f>
        <v xml:space="preserve"> </v>
      </c>
      <c r="R399" s="4" t="str">
        <f ca="1">IF(OR(INDEX($W$2:$W$1001,MATCH(ROWS($V$2:V399),$V$2:$V$1001,0),1)&gt;=100000,INDEX($AC$1005:$AS$1005,1,MATCH(COLUMNS($AC$1006:AS1006),$AC$1006:$AS$1006,0))&gt;=100000), " ",IF(INDEX($AC$2:$AS$1001,MATCH(ROWS($V$2:V399),$V$2:$V$1001,0),MATCH(COLUMNS($AC$1006:AS1006),$AC$1006:$AS$1006,0)), HYPERLINK("#",""), HYPERLINK(CONCATENATE("#metadata!", ADDRESS(INDEX($X$2:$X$1001,MATCH(ROWS($V$2:V399),$V$2:$V$1001,0),0), INDEX($AC$1004:$AS$1004,1,MATCH(COLUMNS($AC$1006:AS1006),$AC$1006:$AS$1006,0)))),"Fix")))</f>
        <v xml:space="preserve"> </v>
      </c>
      <c r="V399">
        <v>398</v>
      </c>
      <c r="W399">
        <v>100399</v>
      </c>
      <c r="X399">
        <v>399</v>
      </c>
      <c r="Y399" t="b">
        <f t="shared" si="6"/>
        <v>1</v>
      </c>
      <c r="Z399" t="b">
        <f>COUNTBLANK(metadata!B399:R399)=COLUMNS(metadata!B399:R399)</f>
        <v>1</v>
      </c>
      <c r="AA399" t="str">
        <v/>
      </c>
      <c r="AC399" t="b">
        <f ca="1"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AD399" t="b">
        <f>IF(metadata!C399="",FALSE,ISNUMBER(VALUE(metadata!C399)))</f>
        <v>0</v>
      </c>
      <c r="AE399" t="b">
        <f>AND(IF(metadata!D399="",FALSE,TRUE),EXACT(metadata!D399,"years"))</f>
        <v>0</v>
      </c>
      <c r="AF399" t="b">
        <f>OR(AND(IF(metadata!E399="",FALSE,TRUE),OR(EXACT(metadata!E399,"not applicable"),EXACT(metadata!E399,"missing: not collected"),EXACT(metadata!E399,"missing: not provided"),EXACT(metadata!E399,"missing: restricted access"))),AND(IF(metadata!E399="",FALSE,ISNUMBER(VALUE(metadata!E399))),metadata!E399&gt;0))</f>
        <v>0</v>
      </c>
      <c r="AG399" t="b">
        <f>AND(IF(metadata!F399="",FALSE,TRUE),EXACT(metadata!F399,"Not applicable"))</f>
        <v>0</v>
      </c>
      <c r="AH399" t="b">
        <f>AND(IF(metadata!G399="",FALSE,TRUE),EXACT(metadata!G399,"urban biome"))</f>
        <v>0</v>
      </c>
      <c r="AI399" t="b">
        <f>AND(IF(metadata!H399="",FALSE,TRUE),EXACT(metadata!H399,"human-associated habitat"))</f>
        <v>0</v>
      </c>
      <c r="AJ399" t="b">
        <f>AND(IF(metadata!I399="",FALSE,TRUE),OR(EXACT(metadata!I399,"human-associated"),EXACT(metadata!I399,"human-skin"),EXACT(metadata!I399,"human-oral"),EXACT(metadata!I399,"human-gut"),EXACT(metadata!I399,"human-vaginal")))</f>
        <v>0</v>
      </c>
      <c r="AK399" t="b">
        <f>IF(metadata!J399="",FALSE,ISNUMBER(VALUE(metadata!J399)))</f>
        <v>0</v>
      </c>
      <c r="AL399" t="b">
        <f>AND(IF(metadata!K399="",FALSE,TRUE),EXACT(metadata!K399,"cm"))</f>
        <v>0</v>
      </c>
      <c r="AM399" t="b">
        <f>AND(IF(metadata!L399="",FALSE,TRUE),EXACT(metadata!L399,"human"))</f>
        <v>0</v>
      </c>
      <c r="AN399" t="b">
        <f>AND(IF(metadata!M399="",FALSE,TRUE),EXACT(metadata!M399,"Homo sapiens"))</f>
        <v>0</v>
      </c>
      <c r="AO399" t="b">
        <f>AND(IF(metadata!N399="",FALSE,TRUE),EXACT(metadata!N399,"9606"))</f>
        <v>0</v>
      </c>
      <c r="AP399" t="b">
        <f>IF(metadata!O399="",FALSE,TRUE)</f>
        <v>0</v>
      </c>
      <c r="AQ399" t="b">
        <f>IF(metadata!P399="",FALSE,TRUE)</f>
        <v>0</v>
      </c>
      <c r="AR399" t="b">
        <f>IF(metadata!Q399="",FALSE,ISNUMBER(VALUE(metadata!Q399)))</f>
        <v>0</v>
      </c>
      <c r="AS399" t="b">
        <f>AND(IF(metadata!R399="",FALSE,TRUE),EXACT(metadata!R399,"kg"))</f>
        <v>0</v>
      </c>
    </row>
    <row r="400" spans="1:45" x14ac:dyDescent="0.2">
      <c r="A400" s="5" t="str">
        <f ca="1">IF(B400=" "," ",HYPERLINK(CONCATENATE("#metadata!",ADDRESS(INDEX($X$2:$X$1001,MATCH(ROWS($V$2:V400),$V$2:$V$1001,0),0),1)),INDEX($AA$2:$AA$1001,MATCH(ROWS($V$2:V400),$V$2:$V$1001,0),0)))</f>
        <v xml:space="preserve"> </v>
      </c>
      <c r="B400" s="4" t="str">
        <f ca="1">IF(OR(INDEX($W$2:$W$1001,MATCH(ROWS($V$2:V400),$V$2:$V$1001,0),1)&gt;=100000,INDEX($AC$1005:$AS$1005,1,MATCH(COLUMNS($AC$1006:AC1006),$AC$1006:$AS$1006,0))&gt;=100000), " ",IF(INDEX($AC$2:$AS$1001,MATCH(ROWS($V$2:V400),$V$2:$V$1001,0),MATCH(COLUMNS($AC$1006:AC1006),$AC$1006:$AS$1006,0)), HYPERLINK("#",""), HYPERLINK(CONCATENATE("#metadata!", ADDRESS(INDEX($X$2:$X$1001,MATCH(ROWS($V$2:V400),$V$2:$V$1001,0),0), INDEX($AC$1004:$AS$1004,1,MATCH(COLUMNS($AC$1006:AC1006),$AC$1006:$AS$1006,0)))),"Fix")))</f>
        <v xml:space="preserve"> </v>
      </c>
      <c r="C400" s="4" t="str">
        <f ca="1">IF(OR(INDEX($W$2:$W$1001,MATCH(ROWS($V$2:V400),$V$2:$V$1001,0),1)&gt;=100000,INDEX($AC$1005:$AS$1005,1,MATCH(COLUMNS($AC$1006:AD1006),$AC$1006:$AS$1006,0))&gt;=100000), " ",IF(INDEX($AC$2:$AS$1001,MATCH(ROWS($V$2:V400),$V$2:$V$1001,0),MATCH(COLUMNS($AC$1006:AD1006),$AC$1006:$AS$1006,0)), HYPERLINK("#",""), HYPERLINK(CONCATENATE("#metadata!", ADDRESS(INDEX($X$2:$X$1001,MATCH(ROWS($V$2:V400),$V$2:$V$1001,0),0), INDEX($AC$1004:$AS$1004,1,MATCH(COLUMNS($AC$1006:AD1006),$AC$1006:$AS$1006,0)))),"Fix")))</f>
        <v xml:space="preserve"> </v>
      </c>
      <c r="D400" s="4" t="str">
        <f ca="1">IF(OR(INDEX($W$2:$W$1001,MATCH(ROWS($V$2:V400),$V$2:$V$1001,0),1)&gt;=100000,INDEX($AC$1005:$AS$1005,1,MATCH(COLUMNS($AC$1006:AE1006),$AC$1006:$AS$1006,0))&gt;=100000), " ",IF(INDEX($AC$2:$AS$1001,MATCH(ROWS($V$2:V400),$V$2:$V$1001,0),MATCH(COLUMNS($AC$1006:AE1006),$AC$1006:$AS$1006,0)), HYPERLINK("#",""), HYPERLINK(CONCATENATE("#metadata!", ADDRESS(INDEX($X$2:$X$1001,MATCH(ROWS($V$2:V400),$V$2:$V$1001,0),0), INDEX($AC$1004:$AS$1004,1,MATCH(COLUMNS($AC$1006:AE1006),$AC$1006:$AS$1006,0)))),"Fix")))</f>
        <v xml:space="preserve"> </v>
      </c>
      <c r="E400" s="4" t="str">
        <f ca="1">IF(OR(INDEX($W$2:$W$1001,MATCH(ROWS($V$2:V400),$V$2:$V$1001,0),1)&gt;=100000,INDEX($AC$1005:$AS$1005,1,MATCH(COLUMNS($AC$1006:AF1006),$AC$1006:$AS$1006,0))&gt;=100000), " ",IF(INDEX($AC$2:$AS$1001,MATCH(ROWS($V$2:V400),$V$2:$V$1001,0),MATCH(COLUMNS($AC$1006:AF1006),$AC$1006:$AS$1006,0)), HYPERLINK("#",""), HYPERLINK(CONCATENATE("#metadata!", ADDRESS(INDEX($X$2:$X$1001,MATCH(ROWS($V$2:V400),$V$2:$V$1001,0),0), INDEX($AC$1004:$AS$1004,1,MATCH(COLUMNS($AC$1006:AF1006),$AC$1006:$AS$1006,0)))),"Fix")))</f>
        <v xml:space="preserve"> </v>
      </c>
      <c r="F400" s="4" t="str">
        <f ca="1">IF(OR(INDEX($W$2:$W$1001,MATCH(ROWS($V$2:V400),$V$2:$V$1001,0),1)&gt;=100000,INDEX($AC$1005:$AS$1005,1,MATCH(COLUMNS($AC$1006:AG1006),$AC$1006:$AS$1006,0))&gt;=100000), " ",IF(INDEX($AC$2:$AS$1001,MATCH(ROWS($V$2:V400),$V$2:$V$1001,0),MATCH(COLUMNS($AC$1006:AG1006),$AC$1006:$AS$1006,0)), HYPERLINK("#",""), HYPERLINK(CONCATENATE("#metadata!", ADDRESS(INDEX($X$2:$X$1001,MATCH(ROWS($V$2:V400),$V$2:$V$1001,0),0), INDEX($AC$1004:$AS$1004,1,MATCH(COLUMNS($AC$1006:AG1006),$AC$1006:$AS$1006,0)))),"Fix")))</f>
        <v xml:space="preserve"> </v>
      </c>
      <c r="G400" s="4" t="str">
        <f ca="1">IF(OR(INDEX($W$2:$W$1001,MATCH(ROWS($V$2:V400),$V$2:$V$1001,0),1)&gt;=100000,INDEX($AC$1005:$AS$1005,1,MATCH(COLUMNS($AC$1006:AH1006),$AC$1006:$AS$1006,0))&gt;=100000), " ",IF(INDEX($AC$2:$AS$1001,MATCH(ROWS($V$2:V400),$V$2:$V$1001,0),MATCH(COLUMNS($AC$1006:AH1006),$AC$1006:$AS$1006,0)), HYPERLINK("#",""), HYPERLINK(CONCATENATE("#metadata!", ADDRESS(INDEX($X$2:$X$1001,MATCH(ROWS($V$2:V400),$V$2:$V$1001,0),0), INDEX($AC$1004:$AS$1004,1,MATCH(COLUMNS($AC$1006:AH1006),$AC$1006:$AS$1006,0)))),"Fix")))</f>
        <v xml:space="preserve"> </v>
      </c>
      <c r="H400" s="4" t="str">
        <f ca="1">IF(OR(INDEX($W$2:$W$1001,MATCH(ROWS($V$2:V400),$V$2:$V$1001,0),1)&gt;=100000,INDEX($AC$1005:$AS$1005,1,MATCH(COLUMNS($AC$1006:AI1006),$AC$1006:$AS$1006,0))&gt;=100000), " ",IF(INDEX($AC$2:$AS$1001,MATCH(ROWS($V$2:V400),$V$2:$V$1001,0),MATCH(COLUMNS($AC$1006:AI1006),$AC$1006:$AS$1006,0)), HYPERLINK("#",""), HYPERLINK(CONCATENATE("#metadata!", ADDRESS(INDEX($X$2:$X$1001,MATCH(ROWS($V$2:V400),$V$2:$V$1001,0),0), INDEX($AC$1004:$AS$1004,1,MATCH(COLUMNS($AC$1006:AI1006),$AC$1006:$AS$1006,0)))),"Fix")))</f>
        <v xml:space="preserve"> </v>
      </c>
      <c r="I400" s="4" t="str">
        <f ca="1">IF(OR(INDEX($W$2:$W$1001,MATCH(ROWS($V$2:V400),$V$2:$V$1001,0),1)&gt;=100000,INDEX($AC$1005:$AS$1005,1,MATCH(COLUMNS($AC$1006:AJ1006),$AC$1006:$AS$1006,0))&gt;=100000), " ",IF(INDEX($AC$2:$AS$1001,MATCH(ROWS($V$2:V400),$V$2:$V$1001,0),MATCH(COLUMNS($AC$1006:AJ1006),$AC$1006:$AS$1006,0)), HYPERLINK("#",""), HYPERLINK(CONCATENATE("#metadata!", ADDRESS(INDEX($X$2:$X$1001,MATCH(ROWS($V$2:V400),$V$2:$V$1001,0),0), INDEX($AC$1004:$AS$1004,1,MATCH(COLUMNS($AC$1006:AJ1006),$AC$1006:$AS$1006,0)))),"Fix")))</f>
        <v xml:space="preserve"> </v>
      </c>
      <c r="J400" s="4" t="str">
        <f ca="1">IF(OR(INDEX($W$2:$W$1001,MATCH(ROWS($V$2:V400),$V$2:$V$1001,0),1)&gt;=100000,INDEX($AC$1005:$AS$1005,1,MATCH(COLUMNS($AC$1006:AK1006),$AC$1006:$AS$1006,0))&gt;=100000), " ",IF(INDEX($AC$2:$AS$1001,MATCH(ROWS($V$2:V400),$V$2:$V$1001,0),MATCH(COLUMNS($AC$1006:AK1006),$AC$1006:$AS$1006,0)), HYPERLINK("#",""), HYPERLINK(CONCATENATE("#metadata!", ADDRESS(INDEX($X$2:$X$1001,MATCH(ROWS($V$2:V400),$V$2:$V$1001,0),0), INDEX($AC$1004:$AS$1004,1,MATCH(COLUMNS($AC$1006:AK1006),$AC$1006:$AS$1006,0)))),"Fix")))</f>
        <v xml:space="preserve"> </v>
      </c>
      <c r="K400" s="4" t="str">
        <f ca="1">IF(OR(INDEX($W$2:$W$1001,MATCH(ROWS($V$2:V400),$V$2:$V$1001,0),1)&gt;=100000,INDEX($AC$1005:$AS$1005,1,MATCH(COLUMNS($AC$1006:AL1006),$AC$1006:$AS$1006,0))&gt;=100000), " ",IF(INDEX($AC$2:$AS$1001,MATCH(ROWS($V$2:V400),$V$2:$V$1001,0),MATCH(COLUMNS($AC$1006:AL1006),$AC$1006:$AS$1006,0)), HYPERLINK("#",""), HYPERLINK(CONCATENATE("#metadata!", ADDRESS(INDEX($X$2:$X$1001,MATCH(ROWS($V$2:V400),$V$2:$V$1001,0),0), INDEX($AC$1004:$AS$1004,1,MATCH(COLUMNS($AC$1006:AL1006),$AC$1006:$AS$1006,0)))),"Fix")))</f>
        <v xml:space="preserve"> </v>
      </c>
      <c r="L400" s="4" t="str">
        <f ca="1">IF(OR(INDEX($W$2:$W$1001,MATCH(ROWS($V$2:V400),$V$2:$V$1001,0),1)&gt;=100000,INDEX($AC$1005:$AS$1005,1,MATCH(COLUMNS($AC$1006:AM1006),$AC$1006:$AS$1006,0))&gt;=100000), " ",IF(INDEX($AC$2:$AS$1001,MATCH(ROWS($V$2:V400),$V$2:$V$1001,0),MATCH(COLUMNS($AC$1006:AM1006),$AC$1006:$AS$1006,0)), HYPERLINK("#",""), HYPERLINK(CONCATENATE("#metadata!", ADDRESS(INDEX($X$2:$X$1001,MATCH(ROWS($V$2:V400),$V$2:$V$1001,0),0), INDEX($AC$1004:$AS$1004,1,MATCH(COLUMNS($AC$1006:AM1006),$AC$1006:$AS$1006,0)))),"Fix")))</f>
        <v xml:space="preserve"> </v>
      </c>
      <c r="M400" s="4" t="str">
        <f ca="1">IF(OR(INDEX($W$2:$W$1001,MATCH(ROWS($V$2:V400),$V$2:$V$1001,0),1)&gt;=100000,INDEX($AC$1005:$AS$1005,1,MATCH(COLUMNS($AC$1006:AN1006),$AC$1006:$AS$1006,0))&gt;=100000), " ",IF(INDEX($AC$2:$AS$1001,MATCH(ROWS($V$2:V400),$V$2:$V$1001,0),MATCH(COLUMNS($AC$1006:AN1006),$AC$1006:$AS$1006,0)), HYPERLINK("#",""), HYPERLINK(CONCATENATE("#metadata!", ADDRESS(INDEX($X$2:$X$1001,MATCH(ROWS($V$2:V400),$V$2:$V$1001,0),0), INDEX($AC$1004:$AS$1004,1,MATCH(COLUMNS($AC$1006:AN1006),$AC$1006:$AS$1006,0)))),"Fix")))</f>
        <v xml:space="preserve"> </v>
      </c>
      <c r="N400" s="4" t="str">
        <f ca="1">IF(OR(INDEX($W$2:$W$1001,MATCH(ROWS($V$2:V400),$V$2:$V$1001,0),1)&gt;=100000,INDEX($AC$1005:$AS$1005,1,MATCH(COLUMNS($AC$1006:AO1006),$AC$1006:$AS$1006,0))&gt;=100000), " ",IF(INDEX($AC$2:$AS$1001,MATCH(ROWS($V$2:V400),$V$2:$V$1001,0),MATCH(COLUMNS($AC$1006:AO1006),$AC$1006:$AS$1006,0)), HYPERLINK("#",""), HYPERLINK(CONCATENATE("#metadata!", ADDRESS(INDEX($X$2:$X$1001,MATCH(ROWS($V$2:V400),$V$2:$V$1001,0),0), INDEX($AC$1004:$AS$1004,1,MATCH(COLUMNS($AC$1006:AO1006),$AC$1006:$AS$1006,0)))),"Fix")))</f>
        <v xml:space="preserve"> </v>
      </c>
      <c r="O400" s="4" t="str">
        <f ca="1">IF(OR(INDEX($W$2:$W$1001,MATCH(ROWS($V$2:V400),$V$2:$V$1001,0),1)&gt;=100000,INDEX($AC$1005:$AS$1005,1,MATCH(COLUMNS($AC$1006:AP1006),$AC$1006:$AS$1006,0))&gt;=100000), " ",IF(INDEX($AC$2:$AS$1001,MATCH(ROWS($V$2:V400),$V$2:$V$1001,0),MATCH(COLUMNS($AC$1006:AP1006),$AC$1006:$AS$1006,0)), HYPERLINK("#",""), HYPERLINK(CONCATENATE("#metadata!", ADDRESS(INDEX($X$2:$X$1001,MATCH(ROWS($V$2:V400),$V$2:$V$1001,0),0), INDEX($AC$1004:$AS$1004,1,MATCH(COLUMNS($AC$1006:AP1006),$AC$1006:$AS$1006,0)))),"Fix")))</f>
        <v xml:space="preserve"> </v>
      </c>
      <c r="P400" s="4" t="str">
        <f ca="1">IF(OR(INDEX($W$2:$W$1001,MATCH(ROWS($V$2:V400),$V$2:$V$1001,0),1)&gt;=100000,INDEX($AC$1005:$AS$1005,1,MATCH(COLUMNS($AC$1006:AQ1006),$AC$1006:$AS$1006,0))&gt;=100000), " ",IF(INDEX($AC$2:$AS$1001,MATCH(ROWS($V$2:V400),$V$2:$V$1001,0),MATCH(COLUMNS($AC$1006:AQ1006),$AC$1006:$AS$1006,0)), HYPERLINK("#",""), HYPERLINK(CONCATENATE("#metadata!", ADDRESS(INDEX($X$2:$X$1001,MATCH(ROWS($V$2:V400),$V$2:$V$1001,0),0), INDEX($AC$1004:$AS$1004,1,MATCH(COLUMNS($AC$1006:AQ1006),$AC$1006:$AS$1006,0)))),"Fix")))</f>
        <v xml:space="preserve"> </v>
      </c>
      <c r="Q400" s="4" t="str">
        <f ca="1">IF(OR(INDEX($W$2:$W$1001,MATCH(ROWS($V$2:V400),$V$2:$V$1001,0),1)&gt;=100000,INDEX($AC$1005:$AS$1005,1,MATCH(COLUMNS($AC$1006:AR1006),$AC$1006:$AS$1006,0))&gt;=100000), " ",IF(INDEX($AC$2:$AS$1001,MATCH(ROWS($V$2:V400),$V$2:$V$1001,0),MATCH(COLUMNS($AC$1006:AR1006),$AC$1006:$AS$1006,0)), HYPERLINK("#",""), HYPERLINK(CONCATENATE("#metadata!", ADDRESS(INDEX($X$2:$X$1001,MATCH(ROWS($V$2:V400),$V$2:$V$1001,0),0), INDEX($AC$1004:$AS$1004,1,MATCH(COLUMNS($AC$1006:AR1006),$AC$1006:$AS$1006,0)))),"Fix")))</f>
        <v xml:space="preserve"> </v>
      </c>
      <c r="R400" s="4" t="str">
        <f ca="1">IF(OR(INDEX($W$2:$W$1001,MATCH(ROWS($V$2:V400),$V$2:$V$1001,0),1)&gt;=100000,INDEX($AC$1005:$AS$1005,1,MATCH(COLUMNS($AC$1006:AS1006),$AC$1006:$AS$1006,0))&gt;=100000), " ",IF(INDEX($AC$2:$AS$1001,MATCH(ROWS($V$2:V400),$V$2:$V$1001,0),MATCH(COLUMNS($AC$1006:AS1006),$AC$1006:$AS$1006,0)), HYPERLINK("#",""), HYPERLINK(CONCATENATE("#metadata!", ADDRESS(INDEX($X$2:$X$1001,MATCH(ROWS($V$2:V400),$V$2:$V$1001,0),0), INDEX($AC$1004:$AS$1004,1,MATCH(COLUMNS($AC$1006:AS1006),$AC$1006:$AS$1006,0)))),"Fix")))</f>
        <v xml:space="preserve"> </v>
      </c>
      <c r="V400">
        <v>399</v>
      </c>
      <c r="W400">
        <v>100400</v>
      </c>
      <c r="X400">
        <v>400</v>
      </c>
      <c r="Y400" t="b">
        <f t="shared" si="6"/>
        <v>1</v>
      </c>
      <c r="Z400" t="b">
        <f>COUNTBLANK(metadata!B400:R400)=COLUMNS(metadata!B400:R400)</f>
        <v>1</v>
      </c>
      <c r="AA400" t="str">
        <v/>
      </c>
      <c r="AC400" t="b">
        <f ca="1"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AD400" t="b">
        <f>IF(metadata!C400="",FALSE,ISNUMBER(VALUE(metadata!C400)))</f>
        <v>0</v>
      </c>
      <c r="AE400" t="b">
        <f>AND(IF(metadata!D400="",FALSE,TRUE),EXACT(metadata!D400,"years"))</f>
        <v>0</v>
      </c>
      <c r="AF400" t="b">
        <f>OR(AND(IF(metadata!E400="",FALSE,TRUE),OR(EXACT(metadata!E400,"not applicable"),EXACT(metadata!E400,"missing: not collected"),EXACT(metadata!E400,"missing: not provided"),EXACT(metadata!E400,"missing: restricted access"))),AND(IF(metadata!E400="",FALSE,ISNUMBER(VALUE(metadata!E400))),metadata!E400&gt;0))</f>
        <v>0</v>
      </c>
      <c r="AG400" t="b">
        <f>AND(IF(metadata!F400="",FALSE,TRUE),EXACT(metadata!F400,"Not applicable"))</f>
        <v>0</v>
      </c>
      <c r="AH400" t="b">
        <f>AND(IF(metadata!G400="",FALSE,TRUE),EXACT(metadata!G400,"urban biome"))</f>
        <v>0</v>
      </c>
      <c r="AI400" t="b">
        <f>AND(IF(metadata!H400="",FALSE,TRUE),EXACT(metadata!H400,"human-associated habitat"))</f>
        <v>0</v>
      </c>
      <c r="AJ400" t="b">
        <f>AND(IF(metadata!I400="",FALSE,TRUE),OR(EXACT(metadata!I400,"human-associated"),EXACT(metadata!I400,"human-skin"),EXACT(metadata!I400,"human-oral"),EXACT(metadata!I400,"human-gut"),EXACT(metadata!I400,"human-vaginal")))</f>
        <v>0</v>
      </c>
      <c r="AK400" t="b">
        <f>IF(metadata!J400="",FALSE,ISNUMBER(VALUE(metadata!J400)))</f>
        <v>0</v>
      </c>
      <c r="AL400" t="b">
        <f>AND(IF(metadata!K400="",FALSE,TRUE),EXACT(metadata!K400,"cm"))</f>
        <v>0</v>
      </c>
      <c r="AM400" t="b">
        <f>AND(IF(metadata!L400="",FALSE,TRUE),EXACT(metadata!L400,"human"))</f>
        <v>0</v>
      </c>
      <c r="AN400" t="b">
        <f>AND(IF(metadata!M400="",FALSE,TRUE),EXACT(metadata!M400,"Homo sapiens"))</f>
        <v>0</v>
      </c>
      <c r="AO400" t="b">
        <f>AND(IF(metadata!N400="",FALSE,TRUE),EXACT(metadata!N400,"9606"))</f>
        <v>0</v>
      </c>
      <c r="AP400" t="b">
        <f>IF(metadata!O400="",FALSE,TRUE)</f>
        <v>0</v>
      </c>
      <c r="AQ400" t="b">
        <f>IF(metadata!P400="",FALSE,TRUE)</f>
        <v>0</v>
      </c>
      <c r="AR400" t="b">
        <f>IF(metadata!Q400="",FALSE,ISNUMBER(VALUE(metadata!Q400)))</f>
        <v>0</v>
      </c>
      <c r="AS400" t="b">
        <f>AND(IF(metadata!R400="",FALSE,TRUE),EXACT(metadata!R400,"kg"))</f>
        <v>0</v>
      </c>
    </row>
    <row r="401" spans="1:45" x14ac:dyDescent="0.2">
      <c r="A401" s="5" t="str">
        <f ca="1">IF(B401=" "," ",HYPERLINK(CONCATENATE("#metadata!",ADDRESS(INDEX($X$2:$X$1001,MATCH(ROWS($V$2:V401),$V$2:$V$1001,0),0),1)),INDEX($AA$2:$AA$1001,MATCH(ROWS($V$2:V401),$V$2:$V$1001,0),0)))</f>
        <v xml:space="preserve"> </v>
      </c>
      <c r="B401" s="4" t="str">
        <f ca="1">IF(OR(INDEX($W$2:$W$1001,MATCH(ROWS($V$2:V401),$V$2:$V$1001,0),1)&gt;=100000,INDEX($AC$1005:$AS$1005,1,MATCH(COLUMNS($AC$1006:AC1006),$AC$1006:$AS$1006,0))&gt;=100000), " ",IF(INDEX($AC$2:$AS$1001,MATCH(ROWS($V$2:V401),$V$2:$V$1001,0),MATCH(COLUMNS($AC$1006:AC1006),$AC$1006:$AS$1006,0)), HYPERLINK("#",""), HYPERLINK(CONCATENATE("#metadata!", ADDRESS(INDEX($X$2:$X$1001,MATCH(ROWS($V$2:V401),$V$2:$V$1001,0),0), INDEX($AC$1004:$AS$1004,1,MATCH(COLUMNS($AC$1006:AC1006),$AC$1006:$AS$1006,0)))),"Fix")))</f>
        <v xml:space="preserve"> </v>
      </c>
      <c r="C401" s="4" t="str">
        <f ca="1">IF(OR(INDEX($W$2:$W$1001,MATCH(ROWS($V$2:V401),$V$2:$V$1001,0),1)&gt;=100000,INDEX($AC$1005:$AS$1005,1,MATCH(COLUMNS($AC$1006:AD1006),$AC$1006:$AS$1006,0))&gt;=100000), " ",IF(INDEX($AC$2:$AS$1001,MATCH(ROWS($V$2:V401),$V$2:$V$1001,0),MATCH(COLUMNS($AC$1006:AD1006),$AC$1006:$AS$1006,0)), HYPERLINK("#",""), HYPERLINK(CONCATENATE("#metadata!", ADDRESS(INDEX($X$2:$X$1001,MATCH(ROWS($V$2:V401),$V$2:$V$1001,0),0), INDEX($AC$1004:$AS$1004,1,MATCH(COLUMNS($AC$1006:AD1006),$AC$1006:$AS$1006,0)))),"Fix")))</f>
        <v xml:space="preserve"> </v>
      </c>
      <c r="D401" s="4" t="str">
        <f ca="1">IF(OR(INDEX($W$2:$W$1001,MATCH(ROWS($V$2:V401),$V$2:$V$1001,0),1)&gt;=100000,INDEX($AC$1005:$AS$1005,1,MATCH(COLUMNS($AC$1006:AE1006),$AC$1006:$AS$1006,0))&gt;=100000), " ",IF(INDEX($AC$2:$AS$1001,MATCH(ROWS($V$2:V401),$V$2:$V$1001,0),MATCH(COLUMNS($AC$1006:AE1006),$AC$1006:$AS$1006,0)), HYPERLINK("#",""), HYPERLINK(CONCATENATE("#metadata!", ADDRESS(INDEX($X$2:$X$1001,MATCH(ROWS($V$2:V401),$V$2:$V$1001,0),0), INDEX($AC$1004:$AS$1004,1,MATCH(COLUMNS($AC$1006:AE1006),$AC$1006:$AS$1006,0)))),"Fix")))</f>
        <v xml:space="preserve"> </v>
      </c>
      <c r="E401" s="4" t="str">
        <f ca="1">IF(OR(INDEX($W$2:$W$1001,MATCH(ROWS($V$2:V401),$V$2:$V$1001,0),1)&gt;=100000,INDEX($AC$1005:$AS$1005,1,MATCH(COLUMNS($AC$1006:AF1006),$AC$1006:$AS$1006,0))&gt;=100000), " ",IF(INDEX($AC$2:$AS$1001,MATCH(ROWS($V$2:V401),$V$2:$V$1001,0),MATCH(COLUMNS($AC$1006:AF1006),$AC$1006:$AS$1006,0)), HYPERLINK("#",""), HYPERLINK(CONCATENATE("#metadata!", ADDRESS(INDEX($X$2:$X$1001,MATCH(ROWS($V$2:V401),$V$2:$V$1001,0),0), INDEX($AC$1004:$AS$1004,1,MATCH(COLUMNS($AC$1006:AF1006),$AC$1006:$AS$1006,0)))),"Fix")))</f>
        <v xml:space="preserve"> </v>
      </c>
      <c r="F401" s="4" t="str">
        <f ca="1">IF(OR(INDEX($W$2:$W$1001,MATCH(ROWS($V$2:V401),$V$2:$V$1001,0),1)&gt;=100000,INDEX($AC$1005:$AS$1005,1,MATCH(COLUMNS($AC$1006:AG1006),$AC$1006:$AS$1006,0))&gt;=100000), " ",IF(INDEX($AC$2:$AS$1001,MATCH(ROWS($V$2:V401),$V$2:$V$1001,0),MATCH(COLUMNS($AC$1006:AG1006),$AC$1006:$AS$1006,0)), HYPERLINK("#",""), HYPERLINK(CONCATENATE("#metadata!", ADDRESS(INDEX($X$2:$X$1001,MATCH(ROWS($V$2:V401),$V$2:$V$1001,0),0), INDEX($AC$1004:$AS$1004,1,MATCH(COLUMNS($AC$1006:AG1006),$AC$1006:$AS$1006,0)))),"Fix")))</f>
        <v xml:space="preserve"> </v>
      </c>
      <c r="G401" s="4" t="str">
        <f ca="1">IF(OR(INDEX($W$2:$W$1001,MATCH(ROWS($V$2:V401),$V$2:$V$1001,0),1)&gt;=100000,INDEX($AC$1005:$AS$1005,1,MATCH(COLUMNS($AC$1006:AH1006),$AC$1006:$AS$1006,0))&gt;=100000), " ",IF(INDEX($AC$2:$AS$1001,MATCH(ROWS($V$2:V401),$V$2:$V$1001,0),MATCH(COLUMNS($AC$1006:AH1006),$AC$1006:$AS$1006,0)), HYPERLINK("#",""), HYPERLINK(CONCATENATE("#metadata!", ADDRESS(INDEX($X$2:$X$1001,MATCH(ROWS($V$2:V401),$V$2:$V$1001,0),0), INDEX($AC$1004:$AS$1004,1,MATCH(COLUMNS($AC$1006:AH1006),$AC$1006:$AS$1006,0)))),"Fix")))</f>
        <v xml:space="preserve"> </v>
      </c>
      <c r="H401" s="4" t="str">
        <f ca="1">IF(OR(INDEX($W$2:$W$1001,MATCH(ROWS($V$2:V401),$V$2:$V$1001,0),1)&gt;=100000,INDEX($AC$1005:$AS$1005,1,MATCH(COLUMNS($AC$1006:AI1006),$AC$1006:$AS$1006,0))&gt;=100000), " ",IF(INDEX($AC$2:$AS$1001,MATCH(ROWS($V$2:V401),$V$2:$V$1001,0),MATCH(COLUMNS($AC$1006:AI1006),$AC$1006:$AS$1006,0)), HYPERLINK("#",""), HYPERLINK(CONCATENATE("#metadata!", ADDRESS(INDEX($X$2:$X$1001,MATCH(ROWS($V$2:V401),$V$2:$V$1001,0),0), INDEX($AC$1004:$AS$1004,1,MATCH(COLUMNS($AC$1006:AI1006),$AC$1006:$AS$1006,0)))),"Fix")))</f>
        <v xml:space="preserve"> </v>
      </c>
      <c r="I401" s="4" t="str">
        <f ca="1">IF(OR(INDEX($W$2:$W$1001,MATCH(ROWS($V$2:V401),$V$2:$V$1001,0),1)&gt;=100000,INDEX($AC$1005:$AS$1005,1,MATCH(COLUMNS($AC$1006:AJ1006),$AC$1006:$AS$1006,0))&gt;=100000), " ",IF(INDEX($AC$2:$AS$1001,MATCH(ROWS($V$2:V401),$V$2:$V$1001,0),MATCH(COLUMNS($AC$1006:AJ1006),$AC$1006:$AS$1006,0)), HYPERLINK("#",""), HYPERLINK(CONCATENATE("#metadata!", ADDRESS(INDEX($X$2:$X$1001,MATCH(ROWS($V$2:V401),$V$2:$V$1001,0),0), INDEX($AC$1004:$AS$1004,1,MATCH(COLUMNS($AC$1006:AJ1006),$AC$1006:$AS$1006,0)))),"Fix")))</f>
        <v xml:space="preserve"> </v>
      </c>
      <c r="J401" s="4" t="str">
        <f ca="1">IF(OR(INDEX($W$2:$W$1001,MATCH(ROWS($V$2:V401),$V$2:$V$1001,0),1)&gt;=100000,INDEX($AC$1005:$AS$1005,1,MATCH(COLUMNS($AC$1006:AK1006),$AC$1006:$AS$1006,0))&gt;=100000), " ",IF(INDEX($AC$2:$AS$1001,MATCH(ROWS($V$2:V401),$V$2:$V$1001,0),MATCH(COLUMNS($AC$1006:AK1006),$AC$1006:$AS$1006,0)), HYPERLINK("#",""), HYPERLINK(CONCATENATE("#metadata!", ADDRESS(INDEX($X$2:$X$1001,MATCH(ROWS($V$2:V401),$V$2:$V$1001,0),0), INDEX($AC$1004:$AS$1004,1,MATCH(COLUMNS($AC$1006:AK1006),$AC$1006:$AS$1006,0)))),"Fix")))</f>
        <v xml:space="preserve"> </v>
      </c>
      <c r="K401" s="4" t="str">
        <f ca="1">IF(OR(INDEX($W$2:$W$1001,MATCH(ROWS($V$2:V401),$V$2:$V$1001,0),1)&gt;=100000,INDEX($AC$1005:$AS$1005,1,MATCH(COLUMNS($AC$1006:AL1006),$AC$1006:$AS$1006,0))&gt;=100000), " ",IF(INDEX($AC$2:$AS$1001,MATCH(ROWS($V$2:V401),$V$2:$V$1001,0),MATCH(COLUMNS($AC$1006:AL1006),$AC$1006:$AS$1006,0)), HYPERLINK("#",""), HYPERLINK(CONCATENATE("#metadata!", ADDRESS(INDEX($X$2:$X$1001,MATCH(ROWS($V$2:V401),$V$2:$V$1001,0),0), INDEX($AC$1004:$AS$1004,1,MATCH(COLUMNS($AC$1006:AL1006),$AC$1006:$AS$1006,0)))),"Fix")))</f>
        <v xml:space="preserve"> </v>
      </c>
      <c r="L401" s="4" t="str">
        <f ca="1">IF(OR(INDEX($W$2:$W$1001,MATCH(ROWS($V$2:V401),$V$2:$V$1001,0),1)&gt;=100000,INDEX($AC$1005:$AS$1005,1,MATCH(COLUMNS($AC$1006:AM1006),$AC$1006:$AS$1006,0))&gt;=100000), " ",IF(INDEX($AC$2:$AS$1001,MATCH(ROWS($V$2:V401),$V$2:$V$1001,0),MATCH(COLUMNS($AC$1006:AM1006),$AC$1006:$AS$1006,0)), HYPERLINK("#",""), HYPERLINK(CONCATENATE("#metadata!", ADDRESS(INDEX($X$2:$X$1001,MATCH(ROWS($V$2:V401),$V$2:$V$1001,0),0), INDEX($AC$1004:$AS$1004,1,MATCH(COLUMNS($AC$1006:AM1006),$AC$1006:$AS$1006,0)))),"Fix")))</f>
        <v xml:space="preserve"> </v>
      </c>
      <c r="M401" s="4" t="str">
        <f ca="1">IF(OR(INDEX($W$2:$W$1001,MATCH(ROWS($V$2:V401),$V$2:$V$1001,0),1)&gt;=100000,INDEX($AC$1005:$AS$1005,1,MATCH(COLUMNS($AC$1006:AN1006),$AC$1006:$AS$1006,0))&gt;=100000), " ",IF(INDEX($AC$2:$AS$1001,MATCH(ROWS($V$2:V401),$V$2:$V$1001,0),MATCH(COLUMNS($AC$1006:AN1006),$AC$1006:$AS$1006,0)), HYPERLINK("#",""), HYPERLINK(CONCATENATE("#metadata!", ADDRESS(INDEX($X$2:$X$1001,MATCH(ROWS($V$2:V401),$V$2:$V$1001,0),0), INDEX($AC$1004:$AS$1004,1,MATCH(COLUMNS($AC$1006:AN1006),$AC$1006:$AS$1006,0)))),"Fix")))</f>
        <v xml:space="preserve"> </v>
      </c>
      <c r="N401" s="4" t="str">
        <f ca="1">IF(OR(INDEX($W$2:$W$1001,MATCH(ROWS($V$2:V401),$V$2:$V$1001,0),1)&gt;=100000,INDEX($AC$1005:$AS$1005,1,MATCH(COLUMNS($AC$1006:AO1006),$AC$1006:$AS$1006,0))&gt;=100000), " ",IF(INDEX($AC$2:$AS$1001,MATCH(ROWS($V$2:V401),$V$2:$V$1001,0),MATCH(COLUMNS($AC$1006:AO1006),$AC$1006:$AS$1006,0)), HYPERLINK("#",""), HYPERLINK(CONCATENATE("#metadata!", ADDRESS(INDEX($X$2:$X$1001,MATCH(ROWS($V$2:V401),$V$2:$V$1001,0),0), INDEX($AC$1004:$AS$1004,1,MATCH(COLUMNS($AC$1006:AO1006),$AC$1006:$AS$1006,0)))),"Fix")))</f>
        <v xml:space="preserve"> </v>
      </c>
      <c r="O401" s="4" t="str">
        <f ca="1">IF(OR(INDEX($W$2:$W$1001,MATCH(ROWS($V$2:V401),$V$2:$V$1001,0),1)&gt;=100000,INDEX($AC$1005:$AS$1005,1,MATCH(COLUMNS($AC$1006:AP1006),$AC$1006:$AS$1006,0))&gt;=100000), " ",IF(INDEX($AC$2:$AS$1001,MATCH(ROWS($V$2:V401),$V$2:$V$1001,0),MATCH(COLUMNS($AC$1006:AP1006),$AC$1006:$AS$1006,0)), HYPERLINK("#",""), HYPERLINK(CONCATENATE("#metadata!", ADDRESS(INDEX($X$2:$X$1001,MATCH(ROWS($V$2:V401),$V$2:$V$1001,0),0), INDEX($AC$1004:$AS$1004,1,MATCH(COLUMNS($AC$1006:AP1006),$AC$1006:$AS$1006,0)))),"Fix")))</f>
        <v xml:space="preserve"> </v>
      </c>
      <c r="P401" s="4" t="str">
        <f ca="1">IF(OR(INDEX($W$2:$W$1001,MATCH(ROWS($V$2:V401),$V$2:$V$1001,0),1)&gt;=100000,INDEX($AC$1005:$AS$1005,1,MATCH(COLUMNS($AC$1006:AQ1006),$AC$1006:$AS$1006,0))&gt;=100000), " ",IF(INDEX($AC$2:$AS$1001,MATCH(ROWS($V$2:V401),$V$2:$V$1001,0),MATCH(COLUMNS($AC$1006:AQ1006),$AC$1006:$AS$1006,0)), HYPERLINK("#",""), HYPERLINK(CONCATENATE("#metadata!", ADDRESS(INDEX($X$2:$X$1001,MATCH(ROWS($V$2:V401),$V$2:$V$1001,0),0), INDEX($AC$1004:$AS$1004,1,MATCH(COLUMNS($AC$1006:AQ1006),$AC$1006:$AS$1006,0)))),"Fix")))</f>
        <v xml:space="preserve"> </v>
      </c>
      <c r="Q401" s="4" t="str">
        <f ca="1">IF(OR(INDEX($W$2:$W$1001,MATCH(ROWS($V$2:V401),$V$2:$V$1001,0),1)&gt;=100000,INDEX($AC$1005:$AS$1005,1,MATCH(COLUMNS($AC$1006:AR1006),$AC$1006:$AS$1006,0))&gt;=100000), " ",IF(INDEX($AC$2:$AS$1001,MATCH(ROWS($V$2:V401),$V$2:$V$1001,0),MATCH(COLUMNS($AC$1006:AR1006),$AC$1006:$AS$1006,0)), HYPERLINK("#",""), HYPERLINK(CONCATENATE("#metadata!", ADDRESS(INDEX($X$2:$X$1001,MATCH(ROWS($V$2:V401),$V$2:$V$1001,0),0), INDEX($AC$1004:$AS$1004,1,MATCH(COLUMNS($AC$1006:AR1006),$AC$1006:$AS$1006,0)))),"Fix")))</f>
        <v xml:space="preserve"> </v>
      </c>
      <c r="R401" s="4" t="str">
        <f ca="1">IF(OR(INDEX($W$2:$W$1001,MATCH(ROWS($V$2:V401),$V$2:$V$1001,0),1)&gt;=100000,INDEX($AC$1005:$AS$1005,1,MATCH(COLUMNS($AC$1006:AS1006),$AC$1006:$AS$1006,0))&gt;=100000), " ",IF(INDEX($AC$2:$AS$1001,MATCH(ROWS($V$2:V401),$V$2:$V$1001,0),MATCH(COLUMNS($AC$1006:AS1006),$AC$1006:$AS$1006,0)), HYPERLINK("#",""), HYPERLINK(CONCATENATE("#metadata!", ADDRESS(INDEX($X$2:$X$1001,MATCH(ROWS($V$2:V401),$V$2:$V$1001,0),0), INDEX($AC$1004:$AS$1004,1,MATCH(COLUMNS($AC$1006:AS1006),$AC$1006:$AS$1006,0)))),"Fix")))</f>
        <v xml:space="preserve"> </v>
      </c>
      <c r="V401">
        <v>400</v>
      </c>
      <c r="W401">
        <v>100401</v>
      </c>
      <c r="X401">
        <v>401</v>
      </c>
      <c r="Y401" t="b">
        <f t="shared" si="6"/>
        <v>1</v>
      </c>
      <c r="Z401" t="b">
        <f>COUNTBLANK(metadata!B401:R401)=COLUMNS(metadata!B401:R401)</f>
        <v>1</v>
      </c>
      <c r="AA401" t="str">
        <v/>
      </c>
      <c r="AC401" t="b">
        <f ca="1"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AD401" t="b">
        <f>IF(metadata!C401="",FALSE,ISNUMBER(VALUE(metadata!C401)))</f>
        <v>0</v>
      </c>
      <c r="AE401" t="b">
        <f>AND(IF(metadata!D401="",FALSE,TRUE),EXACT(metadata!D401,"years"))</f>
        <v>0</v>
      </c>
      <c r="AF401" t="b">
        <f>OR(AND(IF(metadata!E401="",FALSE,TRUE),OR(EXACT(metadata!E401,"not applicable"),EXACT(metadata!E401,"missing: not collected"),EXACT(metadata!E401,"missing: not provided"),EXACT(metadata!E401,"missing: restricted access"))),AND(IF(metadata!E401="",FALSE,ISNUMBER(VALUE(metadata!E401))),metadata!E401&gt;0))</f>
        <v>0</v>
      </c>
      <c r="AG401" t="b">
        <f>AND(IF(metadata!F401="",FALSE,TRUE),EXACT(metadata!F401,"Not applicable"))</f>
        <v>0</v>
      </c>
      <c r="AH401" t="b">
        <f>AND(IF(metadata!G401="",FALSE,TRUE),EXACT(metadata!G401,"urban biome"))</f>
        <v>0</v>
      </c>
      <c r="AI401" t="b">
        <f>AND(IF(metadata!H401="",FALSE,TRUE),EXACT(metadata!H401,"human-associated habitat"))</f>
        <v>0</v>
      </c>
      <c r="AJ401" t="b">
        <f>AND(IF(metadata!I401="",FALSE,TRUE),OR(EXACT(metadata!I401,"human-associated"),EXACT(metadata!I401,"human-skin"),EXACT(metadata!I401,"human-oral"),EXACT(metadata!I401,"human-gut"),EXACT(metadata!I401,"human-vaginal")))</f>
        <v>0</v>
      </c>
      <c r="AK401" t="b">
        <f>IF(metadata!J401="",FALSE,ISNUMBER(VALUE(metadata!J401)))</f>
        <v>0</v>
      </c>
      <c r="AL401" t="b">
        <f>AND(IF(metadata!K401="",FALSE,TRUE),EXACT(metadata!K401,"cm"))</f>
        <v>0</v>
      </c>
      <c r="AM401" t="b">
        <f>AND(IF(metadata!L401="",FALSE,TRUE),EXACT(metadata!L401,"human"))</f>
        <v>0</v>
      </c>
      <c r="AN401" t="b">
        <f>AND(IF(metadata!M401="",FALSE,TRUE),EXACT(metadata!M401,"Homo sapiens"))</f>
        <v>0</v>
      </c>
      <c r="AO401" t="b">
        <f>AND(IF(metadata!N401="",FALSE,TRUE),EXACT(metadata!N401,"9606"))</f>
        <v>0</v>
      </c>
      <c r="AP401" t="b">
        <f>IF(metadata!O401="",FALSE,TRUE)</f>
        <v>0</v>
      </c>
      <c r="AQ401" t="b">
        <f>IF(metadata!P401="",FALSE,TRUE)</f>
        <v>0</v>
      </c>
      <c r="AR401" t="b">
        <f>IF(metadata!Q401="",FALSE,ISNUMBER(VALUE(metadata!Q401)))</f>
        <v>0</v>
      </c>
      <c r="AS401" t="b">
        <f>AND(IF(metadata!R401="",FALSE,TRUE),EXACT(metadata!R401,"kg"))</f>
        <v>0</v>
      </c>
    </row>
    <row r="402" spans="1:45" x14ac:dyDescent="0.2">
      <c r="A402" s="5" t="str">
        <f ca="1">IF(B402=" "," ",HYPERLINK(CONCATENATE("#metadata!",ADDRESS(INDEX($X$2:$X$1001,MATCH(ROWS($V$2:V402),$V$2:$V$1001,0),0),1)),INDEX($AA$2:$AA$1001,MATCH(ROWS($V$2:V402),$V$2:$V$1001,0),0)))</f>
        <v xml:space="preserve"> </v>
      </c>
      <c r="B402" s="4" t="str">
        <f ca="1">IF(OR(INDEX($W$2:$W$1001,MATCH(ROWS($V$2:V402),$V$2:$V$1001,0),1)&gt;=100000,INDEX($AC$1005:$AS$1005,1,MATCH(COLUMNS($AC$1006:AC1006),$AC$1006:$AS$1006,0))&gt;=100000), " ",IF(INDEX($AC$2:$AS$1001,MATCH(ROWS($V$2:V402),$V$2:$V$1001,0),MATCH(COLUMNS($AC$1006:AC1006),$AC$1006:$AS$1006,0)), HYPERLINK("#",""), HYPERLINK(CONCATENATE("#metadata!", ADDRESS(INDEX($X$2:$X$1001,MATCH(ROWS($V$2:V402),$V$2:$V$1001,0),0), INDEX($AC$1004:$AS$1004,1,MATCH(COLUMNS($AC$1006:AC1006),$AC$1006:$AS$1006,0)))),"Fix")))</f>
        <v xml:space="preserve"> </v>
      </c>
      <c r="C402" s="4" t="str">
        <f ca="1">IF(OR(INDEX($W$2:$W$1001,MATCH(ROWS($V$2:V402),$V$2:$V$1001,0),1)&gt;=100000,INDEX($AC$1005:$AS$1005,1,MATCH(COLUMNS($AC$1006:AD1006),$AC$1006:$AS$1006,0))&gt;=100000), " ",IF(INDEX($AC$2:$AS$1001,MATCH(ROWS($V$2:V402),$V$2:$V$1001,0),MATCH(COLUMNS($AC$1006:AD1006),$AC$1006:$AS$1006,0)), HYPERLINK("#",""), HYPERLINK(CONCATENATE("#metadata!", ADDRESS(INDEX($X$2:$X$1001,MATCH(ROWS($V$2:V402),$V$2:$V$1001,0),0), INDEX($AC$1004:$AS$1004,1,MATCH(COLUMNS($AC$1006:AD1006),$AC$1006:$AS$1006,0)))),"Fix")))</f>
        <v xml:space="preserve"> </v>
      </c>
      <c r="D402" s="4" t="str">
        <f ca="1">IF(OR(INDEX($W$2:$W$1001,MATCH(ROWS($V$2:V402),$V$2:$V$1001,0),1)&gt;=100000,INDEX($AC$1005:$AS$1005,1,MATCH(COLUMNS($AC$1006:AE1006),$AC$1006:$AS$1006,0))&gt;=100000), " ",IF(INDEX($AC$2:$AS$1001,MATCH(ROWS($V$2:V402),$V$2:$V$1001,0),MATCH(COLUMNS($AC$1006:AE1006),$AC$1006:$AS$1006,0)), HYPERLINK("#",""), HYPERLINK(CONCATENATE("#metadata!", ADDRESS(INDEX($X$2:$X$1001,MATCH(ROWS($V$2:V402),$V$2:$V$1001,0),0), INDEX($AC$1004:$AS$1004,1,MATCH(COLUMNS($AC$1006:AE1006),$AC$1006:$AS$1006,0)))),"Fix")))</f>
        <v xml:space="preserve"> </v>
      </c>
      <c r="E402" s="4" t="str">
        <f ca="1">IF(OR(INDEX($W$2:$W$1001,MATCH(ROWS($V$2:V402),$V$2:$V$1001,0),1)&gt;=100000,INDEX($AC$1005:$AS$1005,1,MATCH(COLUMNS($AC$1006:AF1006),$AC$1006:$AS$1006,0))&gt;=100000), " ",IF(INDEX($AC$2:$AS$1001,MATCH(ROWS($V$2:V402),$V$2:$V$1001,0),MATCH(COLUMNS($AC$1006:AF1006),$AC$1006:$AS$1006,0)), HYPERLINK("#",""), HYPERLINK(CONCATENATE("#metadata!", ADDRESS(INDEX($X$2:$X$1001,MATCH(ROWS($V$2:V402),$V$2:$V$1001,0),0), INDEX($AC$1004:$AS$1004,1,MATCH(COLUMNS($AC$1006:AF1006),$AC$1006:$AS$1006,0)))),"Fix")))</f>
        <v xml:space="preserve"> </v>
      </c>
      <c r="F402" s="4" t="str">
        <f ca="1">IF(OR(INDEX($W$2:$W$1001,MATCH(ROWS($V$2:V402),$V$2:$V$1001,0),1)&gt;=100000,INDEX($AC$1005:$AS$1005,1,MATCH(COLUMNS($AC$1006:AG1006),$AC$1006:$AS$1006,0))&gt;=100000), " ",IF(INDEX($AC$2:$AS$1001,MATCH(ROWS($V$2:V402),$V$2:$V$1001,0),MATCH(COLUMNS($AC$1006:AG1006),$AC$1006:$AS$1006,0)), HYPERLINK("#",""), HYPERLINK(CONCATENATE("#metadata!", ADDRESS(INDEX($X$2:$X$1001,MATCH(ROWS($V$2:V402),$V$2:$V$1001,0),0), INDEX($AC$1004:$AS$1004,1,MATCH(COLUMNS($AC$1006:AG1006),$AC$1006:$AS$1006,0)))),"Fix")))</f>
        <v xml:space="preserve"> </v>
      </c>
      <c r="G402" s="4" t="str">
        <f ca="1">IF(OR(INDEX($W$2:$W$1001,MATCH(ROWS($V$2:V402),$V$2:$V$1001,0),1)&gt;=100000,INDEX($AC$1005:$AS$1005,1,MATCH(COLUMNS($AC$1006:AH1006),$AC$1006:$AS$1006,0))&gt;=100000), " ",IF(INDEX($AC$2:$AS$1001,MATCH(ROWS($V$2:V402),$V$2:$V$1001,0),MATCH(COLUMNS($AC$1006:AH1006),$AC$1006:$AS$1006,0)), HYPERLINK("#",""), HYPERLINK(CONCATENATE("#metadata!", ADDRESS(INDEX($X$2:$X$1001,MATCH(ROWS($V$2:V402),$V$2:$V$1001,0),0), INDEX($AC$1004:$AS$1004,1,MATCH(COLUMNS($AC$1006:AH1006),$AC$1006:$AS$1006,0)))),"Fix")))</f>
        <v xml:space="preserve"> </v>
      </c>
      <c r="H402" s="4" t="str">
        <f ca="1">IF(OR(INDEX($W$2:$W$1001,MATCH(ROWS($V$2:V402),$V$2:$V$1001,0),1)&gt;=100000,INDEX($AC$1005:$AS$1005,1,MATCH(COLUMNS($AC$1006:AI1006),$AC$1006:$AS$1006,0))&gt;=100000), " ",IF(INDEX($AC$2:$AS$1001,MATCH(ROWS($V$2:V402),$V$2:$V$1001,0),MATCH(COLUMNS($AC$1006:AI1006),$AC$1006:$AS$1006,0)), HYPERLINK("#",""), HYPERLINK(CONCATENATE("#metadata!", ADDRESS(INDEX($X$2:$X$1001,MATCH(ROWS($V$2:V402),$V$2:$V$1001,0),0), INDEX($AC$1004:$AS$1004,1,MATCH(COLUMNS($AC$1006:AI1006),$AC$1006:$AS$1006,0)))),"Fix")))</f>
        <v xml:space="preserve"> </v>
      </c>
      <c r="I402" s="4" t="str">
        <f ca="1">IF(OR(INDEX($W$2:$W$1001,MATCH(ROWS($V$2:V402),$V$2:$V$1001,0),1)&gt;=100000,INDEX($AC$1005:$AS$1005,1,MATCH(COLUMNS($AC$1006:AJ1006),$AC$1006:$AS$1006,0))&gt;=100000), " ",IF(INDEX($AC$2:$AS$1001,MATCH(ROWS($V$2:V402),$V$2:$V$1001,0),MATCH(COLUMNS($AC$1006:AJ1006),$AC$1006:$AS$1006,0)), HYPERLINK("#",""), HYPERLINK(CONCATENATE("#metadata!", ADDRESS(INDEX($X$2:$X$1001,MATCH(ROWS($V$2:V402),$V$2:$V$1001,0),0), INDEX($AC$1004:$AS$1004,1,MATCH(COLUMNS($AC$1006:AJ1006),$AC$1006:$AS$1006,0)))),"Fix")))</f>
        <v xml:space="preserve"> </v>
      </c>
      <c r="J402" s="4" t="str">
        <f ca="1">IF(OR(INDEX($W$2:$W$1001,MATCH(ROWS($V$2:V402),$V$2:$V$1001,0),1)&gt;=100000,INDEX($AC$1005:$AS$1005,1,MATCH(COLUMNS($AC$1006:AK1006),$AC$1006:$AS$1006,0))&gt;=100000), " ",IF(INDEX($AC$2:$AS$1001,MATCH(ROWS($V$2:V402),$V$2:$V$1001,0),MATCH(COLUMNS($AC$1006:AK1006),$AC$1006:$AS$1006,0)), HYPERLINK("#",""), HYPERLINK(CONCATENATE("#metadata!", ADDRESS(INDEX($X$2:$X$1001,MATCH(ROWS($V$2:V402),$V$2:$V$1001,0),0), INDEX($AC$1004:$AS$1004,1,MATCH(COLUMNS($AC$1006:AK1006),$AC$1006:$AS$1006,0)))),"Fix")))</f>
        <v xml:space="preserve"> </v>
      </c>
      <c r="K402" s="4" t="str">
        <f ca="1">IF(OR(INDEX($W$2:$W$1001,MATCH(ROWS($V$2:V402),$V$2:$V$1001,0),1)&gt;=100000,INDEX($AC$1005:$AS$1005,1,MATCH(COLUMNS($AC$1006:AL1006),$AC$1006:$AS$1006,0))&gt;=100000), " ",IF(INDEX($AC$2:$AS$1001,MATCH(ROWS($V$2:V402),$V$2:$V$1001,0),MATCH(COLUMNS($AC$1006:AL1006),$AC$1006:$AS$1006,0)), HYPERLINK("#",""), HYPERLINK(CONCATENATE("#metadata!", ADDRESS(INDEX($X$2:$X$1001,MATCH(ROWS($V$2:V402),$V$2:$V$1001,0),0), INDEX($AC$1004:$AS$1004,1,MATCH(COLUMNS($AC$1006:AL1006),$AC$1006:$AS$1006,0)))),"Fix")))</f>
        <v xml:space="preserve"> </v>
      </c>
      <c r="L402" s="4" t="str">
        <f ca="1">IF(OR(INDEX($W$2:$W$1001,MATCH(ROWS($V$2:V402),$V$2:$V$1001,0),1)&gt;=100000,INDEX($AC$1005:$AS$1005,1,MATCH(COLUMNS($AC$1006:AM1006),$AC$1006:$AS$1006,0))&gt;=100000), " ",IF(INDEX($AC$2:$AS$1001,MATCH(ROWS($V$2:V402),$V$2:$V$1001,0),MATCH(COLUMNS($AC$1006:AM1006),$AC$1006:$AS$1006,0)), HYPERLINK("#",""), HYPERLINK(CONCATENATE("#metadata!", ADDRESS(INDEX($X$2:$X$1001,MATCH(ROWS($V$2:V402),$V$2:$V$1001,0),0), INDEX($AC$1004:$AS$1004,1,MATCH(COLUMNS($AC$1006:AM1006),$AC$1006:$AS$1006,0)))),"Fix")))</f>
        <v xml:space="preserve"> </v>
      </c>
      <c r="M402" s="4" t="str">
        <f ca="1">IF(OR(INDEX($W$2:$W$1001,MATCH(ROWS($V$2:V402),$V$2:$V$1001,0),1)&gt;=100000,INDEX($AC$1005:$AS$1005,1,MATCH(COLUMNS($AC$1006:AN1006),$AC$1006:$AS$1006,0))&gt;=100000), " ",IF(INDEX($AC$2:$AS$1001,MATCH(ROWS($V$2:V402),$V$2:$V$1001,0),MATCH(COLUMNS($AC$1006:AN1006),$AC$1006:$AS$1006,0)), HYPERLINK("#",""), HYPERLINK(CONCATENATE("#metadata!", ADDRESS(INDEX($X$2:$X$1001,MATCH(ROWS($V$2:V402),$V$2:$V$1001,0),0), INDEX($AC$1004:$AS$1004,1,MATCH(COLUMNS($AC$1006:AN1006),$AC$1006:$AS$1006,0)))),"Fix")))</f>
        <v xml:space="preserve"> </v>
      </c>
      <c r="N402" s="4" t="str">
        <f ca="1">IF(OR(INDEX($W$2:$W$1001,MATCH(ROWS($V$2:V402),$V$2:$V$1001,0),1)&gt;=100000,INDEX($AC$1005:$AS$1005,1,MATCH(COLUMNS($AC$1006:AO1006),$AC$1006:$AS$1006,0))&gt;=100000), " ",IF(INDEX($AC$2:$AS$1001,MATCH(ROWS($V$2:V402),$V$2:$V$1001,0),MATCH(COLUMNS($AC$1006:AO1006),$AC$1006:$AS$1006,0)), HYPERLINK("#",""), HYPERLINK(CONCATENATE("#metadata!", ADDRESS(INDEX($X$2:$X$1001,MATCH(ROWS($V$2:V402),$V$2:$V$1001,0),0), INDEX($AC$1004:$AS$1004,1,MATCH(COLUMNS($AC$1006:AO1006),$AC$1006:$AS$1006,0)))),"Fix")))</f>
        <v xml:space="preserve"> </v>
      </c>
      <c r="O402" s="4" t="str">
        <f ca="1">IF(OR(INDEX($W$2:$W$1001,MATCH(ROWS($V$2:V402),$V$2:$V$1001,0),1)&gt;=100000,INDEX($AC$1005:$AS$1005,1,MATCH(COLUMNS($AC$1006:AP1006),$AC$1006:$AS$1006,0))&gt;=100000), " ",IF(INDEX($AC$2:$AS$1001,MATCH(ROWS($V$2:V402),$V$2:$V$1001,0),MATCH(COLUMNS($AC$1006:AP1006),$AC$1006:$AS$1006,0)), HYPERLINK("#",""), HYPERLINK(CONCATENATE("#metadata!", ADDRESS(INDEX($X$2:$X$1001,MATCH(ROWS($V$2:V402),$V$2:$V$1001,0),0), INDEX($AC$1004:$AS$1004,1,MATCH(COLUMNS($AC$1006:AP1006),$AC$1006:$AS$1006,0)))),"Fix")))</f>
        <v xml:space="preserve"> </v>
      </c>
      <c r="P402" s="4" t="str">
        <f ca="1">IF(OR(INDEX($W$2:$W$1001,MATCH(ROWS($V$2:V402),$V$2:$V$1001,0),1)&gt;=100000,INDEX($AC$1005:$AS$1005,1,MATCH(COLUMNS($AC$1006:AQ1006),$AC$1006:$AS$1006,0))&gt;=100000), " ",IF(INDEX($AC$2:$AS$1001,MATCH(ROWS($V$2:V402),$V$2:$V$1001,0),MATCH(COLUMNS($AC$1006:AQ1006),$AC$1006:$AS$1006,0)), HYPERLINK("#",""), HYPERLINK(CONCATENATE("#metadata!", ADDRESS(INDEX($X$2:$X$1001,MATCH(ROWS($V$2:V402),$V$2:$V$1001,0),0), INDEX($AC$1004:$AS$1004,1,MATCH(COLUMNS($AC$1006:AQ1006),$AC$1006:$AS$1006,0)))),"Fix")))</f>
        <v xml:space="preserve"> </v>
      </c>
      <c r="Q402" s="4" t="str">
        <f ca="1">IF(OR(INDEX($W$2:$W$1001,MATCH(ROWS($V$2:V402),$V$2:$V$1001,0),1)&gt;=100000,INDEX($AC$1005:$AS$1005,1,MATCH(COLUMNS($AC$1006:AR1006),$AC$1006:$AS$1006,0))&gt;=100000), " ",IF(INDEX($AC$2:$AS$1001,MATCH(ROWS($V$2:V402),$V$2:$V$1001,0),MATCH(COLUMNS($AC$1006:AR1006),$AC$1006:$AS$1006,0)), HYPERLINK("#",""), HYPERLINK(CONCATENATE("#metadata!", ADDRESS(INDEX($X$2:$X$1001,MATCH(ROWS($V$2:V402),$V$2:$V$1001,0),0), INDEX($AC$1004:$AS$1004,1,MATCH(COLUMNS($AC$1006:AR1006),$AC$1006:$AS$1006,0)))),"Fix")))</f>
        <v xml:space="preserve"> </v>
      </c>
      <c r="R402" s="4" t="str">
        <f ca="1">IF(OR(INDEX($W$2:$W$1001,MATCH(ROWS($V$2:V402),$V$2:$V$1001,0),1)&gt;=100000,INDEX($AC$1005:$AS$1005,1,MATCH(COLUMNS($AC$1006:AS1006),$AC$1006:$AS$1006,0))&gt;=100000), " ",IF(INDEX($AC$2:$AS$1001,MATCH(ROWS($V$2:V402),$V$2:$V$1001,0),MATCH(COLUMNS($AC$1006:AS1006),$AC$1006:$AS$1006,0)), HYPERLINK("#",""), HYPERLINK(CONCATENATE("#metadata!", ADDRESS(INDEX($X$2:$X$1001,MATCH(ROWS($V$2:V402),$V$2:$V$1001,0),0), INDEX($AC$1004:$AS$1004,1,MATCH(COLUMNS($AC$1006:AS1006),$AC$1006:$AS$1006,0)))),"Fix")))</f>
        <v xml:space="preserve"> </v>
      </c>
      <c r="V402">
        <v>401</v>
      </c>
      <c r="W402">
        <v>100402</v>
      </c>
      <c r="X402">
        <v>402</v>
      </c>
      <c r="Y402" t="b">
        <f t="shared" si="6"/>
        <v>1</v>
      </c>
      <c r="Z402" t="b">
        <f>COUNTBLANK(metadata!B402:R402)=COLUMNS(metadata!B402:R402)</f>
        <v>1</v>
      </c>
      <c r="AA402" t="str">
        <v/>
      </c>
      <c r="AC402" t="b">
        <f ca="1"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AD402" t="b">
        <f>IF(metadata!C402="",FALSE,ISNUMBER(VALUE(metadata!C402)))</f>
        <v>0</v>
      </c>
      <c r="AE402" t="b">
        <f>AND(IF(metadata!D402="",FALSE,TRUE),EXACT(metadata!D402,"years"))</f>
        <v>0</v>
      </c>
      <c r="AF402" t="b">
        <f>OR(AND(IF(metadata!E402="",FALSE,TRUE),OR(EXACT(metadata!E402,"not applicable"),EXACT(metadata!E402,"missing: not collected"),EXACT(metadata!E402,"missing: not provided"),EXACT(metadata!E402,"missing: restricted access"))),AND(IF(metadata!E402="",FALSE,ISNUMBER(VALUE(metadata!E402))),metadata!E402&gt;0))</f>
        <v>0</v>
      </c>
      <c r="AG402" t="b">
        <f>AND(IF(metadata!F402="",FALSE,TRUE),EXACT(metadata!F402,"Not applicable"))</f>
        <v>0</v>
      </c>
      <c r="AH402" t="b">
        <f>AND(IF(metadata!G402="",FALSE,TRUE),EXACT(metadata!G402,"urban biome"))</f>
        <v>0</v>
      </c>
      <c r="AI402" t="b">
        <f>AND(IF(metadata!H402="",FALSE,TRUE),EXACT(metadata!H402,"human-associated habitat"))</f>
        <v>0</v>
      </c>
      <c r="AJ402" t="b">
        <f>AND(IF(metadata!I402="",FALSE,TRUE),OR(EXACT(metadata!I402,"human-associated"),EXACT(metadata!I402,"human-skin"),EXACT(metadata!I402,"human-oral"),EXACT(metadata!I402,"human-gut"),EXACT(metadata!I402,"human-vaginal")))</f>
        <v>0</v>
      </c>
      <c r="AK402" t="b">
        <f>IF(metadata!J402="",FALSE,ISNUMBER(VALUE(metadata!J402)))</f>
        <v>0</v>
      </c>
      <c r="AL402" t="b">
        <f>AND(IF(metadata!K402="",FALSE,TRUE),EXACT(metadata!K402,"cm"))</f>
        <v>0</v>
      </c>
      <c r="AM402" t="b">
        <f>AND(IF(metadata!L402="",FALSE,TRUE),EXACT(metadata!L402,"human"))</f>
        <v>0</v>
      </c>
      <c r="AN402" t="b">
        <f>AND(IF(metadata!M402="",FALSE,TRUE),EXACT(metadata!M402,"Homo sapiens"))</f>
        <v>0</v>
      </c>
      <c r="AO402" t="b">
        <f>AND(IF(metadata!N402="",FALSE,TRUE),EXACT(metadata!N402,"9606"))</f>
        <v>0</v>
      </c>
      <c r="AP402" t="b">
        <f>IF(metadata!O402="",FALSE,TRUE)</f>
        <v>0</v>
      </c>
      <c r="AQ402" t="b">
        <f>IF(metadata!P402="",FALSE,TRUE)</f>
        <v>0</v>
      </c>
      <c r="AR402" t="b">
        <f>IF(metadata!Q402="",FALSE,ISNUMBER(VALUE(metadata!Q402)))</f>
        <v>0</v>
      </c>
      <c r="AS402" t="b">
        <f>AND(IF(metadata!R402="",FALSE,TRUE),EXACT(metadata!R402,"kg"))</f>
        <v>0</v>
      </c>
    </row>
    <row r="403" spans="1:45" x14ac:dyDescent="0.2">
      <c r="A403" s="5" t="str">
        <f ca="1">IF(B403=" "," ",HYPERLINK(CONCATENATE("#metadata!",ADDRESS(INDEX($X$2:$X$1001,MATCH(ROWS($V$2:V403),$V$2:$V$1001,0),0),1)),INDEX($AA$2:$AA$1001,MATCH(ROWS($V$2:V403),$V$2:$V$1001,0),0)))</f>
        <v xml:space="preserve"> </v>
      </c>
      <c r="B403" s="4" t="str">
        <f ca="1">IF(OR(INDEX($W$2:$W$1001,MATCH(ROWS($V$2:V403),$V$2:$V$1001,0),1)&gt;=100000,INDEX($AC$1005:$AS$1005,1,MATCH(COLUMNS($AC$1006:AC1006),$AC$1006:$AS$1006,0))&gt;=100000), " ",IF(INDEX($AC$2:$AS$1001,MATCH(ROWS($V$2:V403),$V$2:$V$1001,0),MATCH(COLUMNS($AC$1006:AC1006),$AC$1006:$AS$1006,0)), HYPERLINK("#",""), HYPERLINK(CONCATENATE("#metadata!", ADDRESS(INDEX($X$2:$X$1001,MATCH(ROWS($V$2:V403),$V$2:$V$1001,0),0), INDEX($AC$1004:$AS$1004,1,MATCH(COLUMNS($AC$1006:AC1006),$AC$1006:$AS$1006,0)))),"Fix")))</f>
        <v xml:space="preserve"> </v>
      </c>
      <c r="C403" s="4" t="str">
        <f ca="1">IF(OR(INDEX($W$2:$W$1001,MATCH(ROWS($V$2:V403),$V$2:$V$1001,0),1)&gt;=100000,INDEX($AC$1005:$AS$1005,1,MATCH(COLUMNS($AC$1006:AD1006),$AC$1006:$AS$1006,0))&gt;=100000), " ",IF(INDEX($AC$2:$AS$1001,MATCH(ROWS($V$2:V403),$V$2:$V$1001,0),MATCH(COLUMNS($AC$1006:AD1006),$AC$1006:$AS$1006,0)), HYPERLINK("#",""), HYPERLINK(CONCATENATE("#metadata!", ADDRESS(INDEX($X$2:$X$1001,MATCH(ROWS($V$2:V403),$V$2:$V$1001,0),0), INDEX($AC$1004:$AS$1004,1,MATCH(COLUMNS($AC$1006:AD1006),$AC$1006:$AS$1006,0)))),"Fix")))</f>
        <v xml:space="preserve"> </v>
      </c>
      <c r="D403" s="4" t="str">
        <f ca="1">IF(OR(INDEX($W$2:$W$1001,MATCH(ROWS($V$2:V403),$V$2:$V$1001,0),1)&gt;=100000,INDEX($AC$1005:$AS$1005,1,MATCH(COLUMNS($AC$1006:AE1006),$AC$1006:$AS$1006,0))&gt;=100000), " ",IF(INDEX($AC$2:$AS$1001,MATCH(ROWS($V$2:V403),$V$2:$V$1001,0),MATCH(COLUMNS($AC$1006:AE1006),$AC$1006:$AS$1006,0)), HYPERLINK("#",""), HYPERLINK(CONCATENATE("#metadata!", ADDRESS(INDEX($X$2:$X$1001,MATCH(ROWS($V$2:V403),$V$2:$V$1001,0),0), INDEX($AC$1004:$AS$1004,1,MATCH(COLUMNS($AC$1006:AE1006),$AC$1006:$AS$1006,0)))),"Fix")))</f>
        <v xml:space="preserve"> </v>
      </c>
      <c r="E403" s="4" t="str">
        <f ca="1">IF(OR(INDEX($W$2:$W$1001,MATCH(ROWS($V$2:V403),$V$2:$V$1001,0),1)&gt;=100000,INDEX($AC$1005:$AS$1005,1,MATCH(COLUMNS($AC$1006:AF1006),$AC$1006:$AS$1006,0))&gt;=100000), " ",IF(INDEX($AC$2:$AS$1001,MATCH(ROWS($V$2:V403),$V$2:$V$1001,0),MATCH(COLUMNS($AC$1006:AF1006),$AC$1006:$AS$1006,0)), HYPERLINK("#",""), HYPERLINK(CONCATENATE("#metadata!", ADDRESS(INDEX($X$2:$X$1001,MATCH(ROWS($V$2:V403),$V$2:$V$1001,0),0), INDEX($AC$1004:$AS$1004,1,MATCH(COLUMNS($AC$1006:AF1006),$AC$1006:$AS$1006,0)))),"Fix")))</f>
        <v xml:space="preserve"> </v>
      </c>
      <c r="F403" s="4" t="str">
        <f ca="1">IF(OR(INDEX($W$2:$W$1001,MATCH(ROWS($V$2:V403),$V$2:$V$1001,0),1)&gt;=100000,INDEX($AC$1005:$AS$1005,1,MATCH(COLUMNS($AC$1006:AG1006),$AC$1006:$AS$1006,0))&gt;=100000), " ",IF(INDEX($AC$2:$AS$1001,MATCH(ROWS($V$2:V403),$V$2:$V$1001,0),MATCH(COLUMNS($AC$1006:AG1006),$AC$1006:$AS$1006,0)), HYPERLINK("#",""), HYPERLINK(CONCATENATE("#metadata!", ADDRESS(INDEX($X$2:$X$1001,MATCH(ROWS($V$2:V403),$V$2:$V$1001,0),0), INDEX($AC$1004:$AS$1004,1,MATCH(COLUMNS($AC$1006:AG1006),$AC$1006:$AS$1006,0)))),"Fix")))</f>
        <v xml:space="preserve"> </v>
      </c>
      <c r="G403" s="4" t="str">
        <f ca="1">IF(OR(INDEX($W$2:$W$1001,MATCH(ROWS($V$2:V403),$V$2:$V$1001,0),1)&gt;=100000,INDEX($AC$1005:$AS$1005,1,MATCH(COLUMNS($AC$1006:AH1006),$AC$1006:$AS$1006,0))&gt;=100000), " ",IF(INDEX($AC$2:$AS$1001,MATCH(ROWS($V$2:V403),$V$2:$V$1001,0),MATCH(COLUMNS($AC$1006:AH1006),$AC$1006:$AS$1006,0)), HYPERLINK("#",""), HYPERLINK(CONCATENATE("#metadata!", ADDRESS(INDEX($X$2:$X$1001,MATCH(ROWS($V$2:V403),$V$2:$V$1001,0),0), INDEX($AC$1004:$AS$1004,1,MATCH(COLUMNS($AC$1006:AH1006),$AC$1006:$AS$1006,0)))),"Fix")))</f>
        <v xml:space="preserve"> </v>
      </c>
      <c r="H403" s="4" t="str">
        <f ca="1">IF(OR(INDEX($W$2:$W$1001,MATCH(ROWS($V$2:V403),$V$2:$V$1001,0),1)&gt;=100000,INDEX($AC$1005:$AS$1005,1,MATCH(COLUMNS($AC$1006:AI1006),$AC$1006:$AS$1006,0))&gt;=100000), " ",IF(INDEX($AC$2:$AS$1001,MATCH(ROWS($V$2:V403),$V$2:$V$1001,0),MATCH(COLUMNS($AC$1006:AI1006),$AC$1006:$AS$1006,0)), HYPERLINK("#",""), HYPERLINK(CONCATENATE("#metadata!", ADDRESS(INDEX($X$2:$X$1001,MATCH(ROWS($V$2:V403),$V$2:$V$1001,0),0), INDEX($AC$1004:$AS$1004,1,MATCH(COLUMNS($AC$1006:AI1006),$AC$1006:$AS$1006,0)))),"Fix")))</f>
        <v xml:space="preserve"> </v>
      </c>
      <c r="I403" s="4" t="str">
        <f ca="1">IF(OR(INDEX($W$2:$W$1001,MATCH(ROWS($V$2:V403),$V$2:$V$1001,0),1)&gt;=100000,INDEX($AC$1005:$AS$1005,1,MATCH(COLUMNS($AC$1006:AJ1006),$AC$1006:$AS$1006,0))&gt;=100000), " ",IF(INDEX($AC$2:$AS$1001,MATCH(ROWS($V$2:V403),$V$2:$V$1001,0),MATCH(COLUMNS($AC$1006:AJ1006),$AC$1006:$AS$1006,0)), HYPERLINK("#",""), HYPERLINK(CONCATENATE("#metadata!", ADDRESS(INDEX($X$2:$X$1001,MATCH(ROWS($V$2:V403),$V$2:$V$1001,0),0), INDEX($AC$1004:$AS$1004,1,MATCH(COLUMNS($AC$1006:AJ1006),$AC$1006:$AS$1006,0)))),"Fix")))</f>
        <v xml:space="preserve"> </v>
      </c>
      <c r="J403" s="4" t="str">
        <f ca="1">IF(OR(INDEX($W$2:$W$1001,MATCH(ROWS($V$2:V403),$V$2:$V$1001,0),1)&gt;=100000,INDEX($AC$1005:$AS$1005,1,MATCH(COLUMNS($AC$1006:AK1006),$AC$1006:$AS$1006,0))&gt;=100000), " ",IF(INDEX($AC$2:$AS$1001,MATCH(ROWS($V$2:V403),$V$2:$V$1001,0),MATCH(COLUMNS($AC$1006:AK1006),$AC$1006:$AS$1006,0)), HYPERLINK("#",""), HYPERLINK(CONCATENATE("#metadata!", ADDRESS(INDEX($X$2:$X$1001,MATCH(ROWS($V$2:V403),$V$2:$V$1001,0),0), INDEX($AC$1004:$AS$1004,1,MATCH(COLUMNS($AC$1006:AK1006),$AC$1006:$AS$1006,0)))),"Fix")))</f>
        <v xml:space="preserve"> </v>
      </c>
      <c r="K403" s="4" t="str">
        <f ca="1">IF(OR(INDEX($W$2:$W$1001,MATCH(ROWS($V$2:V403),$V$2:$V$1001,0),1)&gt;=100000,INDEX($AC$1005:$AS$1005,1,MATCH(COLUMNS($AC$1006:AL1006),$AC$1006:$AS$1006,0))&gt;=100000), " ",IF(INDEX($AC$2:$AS$1001,MATCH(ROWS($V$2:V403),$V$2:$V$1001,0),MATCH(COLUMNS($AC$1006:AL1006),$AC$1006:$AS$1006,0)), HYPERLINK("#",""), HYPERLINK(CONCATENATE("#metadata!", ADDRESS(INDEX($X$2:$X$1001,MATCH(ROWS($V$2:V403),$V$2:$V$1001,0),0), INDEX($AC$1004:$AS$1004,1,MATCH(COLUMNS($AC$1006:AL1006),$AC$1006:$AS$1006,0)))),"Fix")))</f>
        <v xml:space="preserve"> </v>
      </c>
      <c r="L403" s="4" t="str">
        <f ca="1">IF(OR(INDEX($W$2:$W$1001,MATCH(ROWS($V$2:V403),$V$2:$V$1001,0),1)&gt;=100000,INDEX($AC$1005:$AS$1005,1,MATCH(COLUMNS($AC$1006:AM1006),$AC$1006:$AS$1006,0))&gt;=100000), " ",IF(INDEX($AC$2:$AS$1001,MATCH(ROWS($V$2:V403),$V$2:$V$1001,0),MATCH(COLUMNS($AC$1006:AM1006),$AC$1006:$AS$1006,0)), HYPERLINK("#",""), HYPERLINK(CONCATENATE("#metadata!", ADDRESS(INDEX($X$2:$X$1001,MATCH(ROWS($V$2:V403),$V$2:$V$1001,0),0), INDEX($AC$1004:$AS$1004,1,MATCH(COLUMNS($AC$1006:AM1006),$AC$1006:$AS$1006,0)))),"Fix")))</f>
        <v xml:space="preserve"> </v>
      </c>
      <c r="M403" s="4" t="str">
        <f ca="1">IF(OR(INDEX($W$2:$W$1001,MATCH(ROWS($V$2:V403),$V$2:$V$1001,0),1)&gt;=100000,INDEX($AC$1005:$AS$1005,1,MATCH(COLUMNS($AC$1006:AN1006),$AC$1006:$AS$1006,0))&gt;=100000), " ",IF(INDEX($AC$2:$AS$1001,MATCH(ROWS($V$2:V403),$V$2:$V$1001,0),MATCH(COLUMNS($AC$1006:AN1006),$AC$1006:$AS$1006,0)), HYPERLINK("#",""), HYPERLINK(CONCATENATE("#metadata!", ADDRESS(INDEX($X$2:$X$1001,MATCH(ROWS($V$2:V403),$V$2:$V$1001,0),0), INDEX($AC$1004:$AS$1004,1,MATCH(COLUMNS($AC$1006:AN1006),$AC$1006:$AS$1006,0)))),"Fix")))</f>
        <v xml:space="preserve"> </v>
      </c>
      <c r="N403" s="4" t="str">
        <f ca="1">IF(OR(INDEX($W$2:$W$1001,MATCH(ROWS($V$2:V403),$V$2:$V$1001,0),1)&gt;=100000,INDEX($AC$1005:$AS$1005,1,MATCH(COLUMNS($AC$1006:AO1006),$AC$1006:$AS$1006,0))&gt;=100000), " ",IF(INDEX($AC$2:$AS$1001,MATCH(ROWS($V$2:V403),$V$2:$V$1001,0),MATCH(COLUMNS($AC$1006:AO1006),$AC$1006:$AS$1006,0)), HYPERLINK("#",""), HYPERLINK(CONCATENATE("#metadata!", ADDRESS(INDEX($X$2:$X$1001,MATCH(ROWS($V$2:V403),$V$2:$V$1001,0),0), INDEX($AC$1004:$AS$1004,1,MATCH(COLUMNS($AC$1006:AO1006),$AC$1006:$AS$1006,0)))),"Fix")))</f>
        <v xml:space="preserve"> </v>
      </c>
      <c r="O403" s="4" t="str">
        <f ca="1">IF(OR(INDEX($W$2:$W$1001,MATCH(ROWS($V$2:V403),$V$2:$V$1001,0),1)&gt;=100000,INDEX($AC$1005:$AS$1005,1,MATCH(COLUMNS($AC$1006:AP1006),$AC$1006:$AS$1006,0))&gt;=100000), " ",IF(INDEX($AC$2:$AS$1001,MATCH(ROWS($V$2:V403),$V$2:$V$1001,0),MATCH(COLUMNS($AC$1006:AP1006),$AC$1006:$AS$1006,0)), HYPERLINK("#",""), HYPERLINK(CONCATENATE("#metadata!", ADDRESS(INDEX($X$2:$X$1001,MATCH(ROWS($V$2:V403),$V$2:$V$1001,0),0), INDEX($AC$1004:$AS$1004,1,MATCH(COLUMNS($AC$1006:AP1006),$AC$1006:$AS$1006,0)))),"Fix")))</f>
        <v xml:space="preserve"> </v>
      </c>
      <c r="P403" s="4" t="str">
        <f ca="1">IF(OR(INDEX($W$2:$W$1001,MATCH(ROWS($V$2:V403),$V$2:$V$1001,0),1)&gt;=100000,INDEX($AC$1005:$AS$1005,1,MATCH(COLUMNS($AC$1006:AQ1006),$AC$1006:$AS$1006,0))&gt;=100000), " ",IF(INDEX($AC$2:$AS$1001,MATCH(ROWS($V$2:V403),$V$2:$V$1001,0),MATCH(COLUMNS($AC$1006:AQ1006),$AC$1006:$AS$1006,0)), HYPERLINK("#",""), HYPERLINK(CONCATENATE("#metadata!", ADDRESS(INDEX($X$2:$X$1001,MATCH(ROWS($V$2:V403),$V$2:$V$1001,0),0), INDEX($AC$1004:$AS$1004,1,MATCH(COLUMNS($AC$1006:AQ1006),$AC$1006:$AS$1006,0)))),"Fix")))</f>
        <v xml:space="preserve"> </v>
      </c>
      <c r="Q403" s="4" t="str">
        <f ca="1">IF(OR(INDEX($W$2:$W$1001,MATCH(ROWS($V$2:V403),$V$2:$V$1001,0),1)&gt;=100000,INDEX($AC$1005:$AS$1005,1,MATCH(COLUMNS($AC$1006:AR1006),$AC$1006:$AS$1006,0))&gt;=100000), " ",IF(INDEX($AC$2:$AS$1001,MATCH(ROWS($V$2:V403),$V$2:$V$1001,0),MATCH(COLUMNS($AC$1006:AR1006),$AC$1006:$AS$1006,0)), HYPERLINK("#",""), HYPERLINK(CONCATENATE("#metadata!", ADDRESS(INDEX($X$2:$X$1001,MATCH(ROWS($V$2:V403),$V$2:$V$1001,0),0), INDEX($AC$1004:$AS$1004,1,MATCH(COLUMNS($AC$1006:AR1006),$AC$1006:$AS$1006,0)))),"Fix")))</f>
        <v xml:space="preserve"> </v>
      </c>
      <c r="R403" s="4" t="str">
        <f ca="1">IF(OR(INDEX($W$2:$W$1001,MATCH(ROWS($V$2:V403),$V$2:$V$1001,0),1)&gt;=100000,INDEX($AC$1005:$AS$1005,1,MATCH(COLUMNS($AC$1006:AS1006),$AC$1006:$AS$1006,0))&gt;=100000), " ",IF(INDEX($AC$2:$AS$1001,MATCH(ROWS($V$2:V403),$V$2:$V$1001,0),MATCH(COLUMNS($AC$1006:AS1006),$AC$1006:$AS$1006,0)), HYPERLINK("#",""), HYPERLINK(CONCATENATE("#metadata!", ADDRESS(INDEX($X$2:$X$1001,MATCH(ROWS($V$2:V403),$V$2:$V$1001,0),0), INDEX($AC$1004:$AS$1004,1,MATCH(COLUMNS($AC$1006:AS1006),$AC$1006:$AS$1006,0)))),"Fix")))</f>
        <v xml:space="preserve"> </v>
      </c>
      <c r="V403">
        <v>402</v>
      </c>
      <c r="W403">
        <v>100403</v>
      </c>
      <c r="X403">
        <v>403</v>
      </c>
      <c r="Y403" t="b">
        <f t="shared" si="6"/>
        <v>1</v>
      </c>
      <c r="Z403" t="b">
        <f>COUNTBLANK(metadata!B403:R403)=COLUMNS(metadata!B403:R403)</f>
        <v>1</v>
      </c>
      <c r="AA403" t="str">
        <v/>
      </c>
      <c r="AC403" t="b">
        <f ca="1"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AD403" t="b">
        <f>IF(metadata!C403="",FALSE,ISNUMBER(VALUE(metadata!C403)))</f>
        <v>0</v>
      </c>
      <c r="AE403" t="b">
        <f>AND(IF(metadata!D403="",FALSE,TRUE),EXACT(metadata!D403,"years"))</f>
        <v>0</v>
      </c>
      <c r="AF403" t="b">
        <f>OR(AND(IF(metadata!E403="",FALSE,TRUE),OR(EXACT(metadata!E403,"not applicable"),EXACT(metadata!E403,"missing: not collected"),EXACT(metadata!E403,"missing: not provided"),EXACT(metadata!E403,"missing: restricted access"))),AND(IF(metadata!E403="",FALSE,ISNUMBER(VALUE(metadata!E403))),metadata!E403&gt;0))</f>
        <v>0</v>
      </c>
      <c r="AG403" t="b">
        <f>AND(IF(metadata!F403="",FALSE,TRUE),EXACT(metadata!F403,"Not applicable"))</f>
        <v>0</v>
      </c>
      <c r="AH403" t="b">
        <f>AND(IF(metadata!G403="",FALSE,TRUE),EXACT(metadata!G403,"urban biome"))</f>
        <v>0</v>
      </c>
      <c r="AI403" t="b">
        <f>AND(IF(metadata!H403="",FALSE,TRUE),EXACT(metadata!H403,"human-associated habitat"))</f>
        <v>0</v>
      </c>
      <c r="AJ403" t="b">
        <f>AND(IF(metadata!I403="",FALSE,TRUE),OR(EXACT(metadata!I403,"human-associated"),EXACT(metadata!I403,"human-skin"),EXACT(metadata!I403,"human-oral"),EXACT(metadata!I403,"human-gut"),EXACT(metadata!I403,"human-vaginal")))</f>
        <v>0</v>
      </c>
      <c r="AK403" t="b">
        <f>IF(metadata!J403="",FALSE,ISNUMBER(VALUE(metadata!J403)))</f>
        <v>0</v>
      </c>
      <c r="AL403" t="b">
        <f>AND(IF(metadata!K403="",FALSE,TRUE),EXACT(metadata!K403,"cm"))</f>
        <v>0</v>
      </c>
      <c r="AM403" t="b">
        <f>AND(IF(metadata!L403="",FALSE,TRUE),EXACT(metadata!L403,"human"))</f>
        <v>0</v>
      </c>
      <c r="AN403" t="b">
        <f>AND(IF(metadata!M403="",FALSE,TRUE),EXACT(metadata!M403,"Homo sapiens"))</f>
        <v>0</v>
      </c>
      <c r="AO403" t="b">
        <f>AND(IF(metadata!N403="",FALSE,TRUE),EXACT(metadata!N403,"9606"))</f>
        <v>0</v>
      </c>
      <c r="AP403" t="b">
        <f>IF(metadata!O403="",FALSE,TRUE)</f>
        <v>0</v>
      </c>
      <c r="AQ403" t="b">
        <f>IF(metadata!P403="",FALSE,TRUE)</f>
        <v>0</v>
      </c>
      <c r="AR403" t="b">
        <f>IF(metadata!Q403="",FALSE,ISNUMBER(VALUE(metadata!Q403)))</f>
        <v>0</v>
      </c>
      <c r="AS403" t="b">
        <f>AND(IF(metadata!R403="",FALSE,TRUE),EXACT(metadata!R403,"kg"))</f>
        <v>0</v>
      </c>
    </row>
    <row r="404" spans="1:45" x14ac:dyDescent="0.2">
      <c r="A404" s="5" t="str">
        <f ca="1">IF(B404=" "," ",HYPERLINK(CONCATENATE("#metadata!",ADDRESS(INDEX($X$2:$X$1001,MATCH(ROWS($V$2:V404),$V$2:$V$1001,0),0),1)),INDEX($AA$2:$AA$1001,MATCH(ROWS($V$2:V404),$V$2:$V$1001,0),0)))</f>
        <v xml:space="preserve"> </v>
      </c>
      <c r="B404" s="4" t="str">
        <f ca="1">IF(OR(INDEX($W$2:$W$1001,MATCH(ROWS($V$2:V404),$V$2:$V$1001,0),1)&gt;=100000,INDEX($AC$1005:$AS$1005,1,MATCH(COLUMNS($AC$1006:AC1006),$AC$1006:$AS$1006,0))&gt;=100000), " ",IF(INDEX($AC$2:$AS$1001,MATCH(ROWS($V$2:V404),$V$2:$V$1001,0),MATCH(COLUMNS($AC$1006:AC1006),$AC$1006:$AS$1006,0)), HYPERLINK("#",""), HYPERLINK(CONCATENATE("#metadata!", ADDRESS(INDEX($X$2:$X$1001,MATCH(ROWS($V$2:V404),$V$2:$V$1001,0),0), INDEX($AC$1004:$AS$1004,1,MATCH(COLUMNS($AC$1006:AC1006),$AC$1006:$AS$1006,0)))),"Fix")))</f>
        <v xml:space="preserve"> </v>
      </c>
      <c r="C404" s="4" t="str">
        <f ca="1">IF(OR(INDEX($W$2:$W$1001,MATCH(ROWS($V$2:V404),$V$2:$V$1001,0),1)&gt;=100000,INDEX($AC$1005:$AS$1005,1,MATCH(COLUMNS($AC$1006:AD1006),$AC$1006:$AS$1006,0))&gt;=100000), " ",IF(INDEX($AC$2:$AS$1001,MATCH(ROWS($V$2:V404),$V$2:$V$1001,0),MATCH(COLUMNS($AC$1006:AD1006),$AC$1006:$AS$1006,0)), HYPERLINK("#",""), HYPERLINK(CONCATENATE("#metadata!", ADDRESS(INDEX($X$2:$X$1001,MATCH(ROWS($V$2:V404),$V$2:$V$1001,0),0), INDEX($AC$1004:$AS$1004,1,MATCH(COLUMNS($AC$1006:AD1006),$AC$1006:$AS$1006,0)))),"Fix")))</f>
        <v xml:space="preserve"> </v>
      </c>
      <c r="D404" s="4" t="str">
        <f ca="1">IF(OR(INDEX($W$2:$W$1001,MATCH(ROWS($V$2:V404),$V$2:$V$1001,0),1)&gt;=100000,INDEX($AC$1005:$AS$1005,1,MATCH(COLUMNS($AC$1006:AE1006),$AC$1006:$AS$1006,0))&gt;=100000), " ",IF(INDEX($AC$2:$AS$1001,MATCH(ROWS($V$2:V404),$V$2:$V$1001,0),MATCH(COLUMNS($AC$1006:AE1006),$AC$1006:$AS$1006,0)), HYPERLINK("#",""), HYPERLINK(CONCATENATE("#metadata!", ADDRESS(INDEX($X$2:$X$1001,MATCH(ROWS($V$2:V404),$V$2:$V$1001,0),0), INDEX($AC$1004:$AS$1004,1,MATCH(COLUMNS($AC$1006:AE1006),$AC$1006:$AS$1006,0)))),"Fix")))</f>
        <v xml:space="preserve"> </v>
      </c>
      <c r="E404" s="4" t="str">
        <f ca="1">IF(OR(INDEX($W$2:$W$1001,MATCH(ROWS($V$2:V404),$V$2:$V$1001,0),1)&gt;=100000,INDEX($AC$1005:$AS$1005,1,MATCH(COLUMNS($AC$1006:AF1006),$AC$1006:$AS$1006,0))&gt;=100000), " ",IF(INDEX($AC$2:$AS$1001,MATCH(ROWS($V$2:V404),$V$2:$V$1001,0),MATCH(COLUMNS($AC$1006:AF1006),$AC$1006:$AS$1006,0)), HYPERLINK("#",""), HYPERLINK(CONCATENATE("#metadata!", ADDRESS(INDEX($X$2:$X$1001,MATCH(ROWS($V$2:V404),$V$2:$V$1001,0),0), INDEX($AC$1004:$AS$1004,1,MATCH(COLUMNS($AC$1006:AF1006),$AC$1006:$AS$1006,0)))),"Fix")))</f>
        <v xml:space="preserve"> </v>
      </c>
      <c r="F404" s="4" t="str">
        <f ca="1">IF(OR(INDEX($W$2:$W$1001,MATCH(ROWS($V$2:V404),$V$2:$V$1001,0),1)&gt;=100000,INDEX($AC$1005:$AS$1005,1,MATCH(COLUMNS($AC$1006:AG1006),$AC$1006:$AS$1006,0))&gt;=100000), " ",IF(INDEX($AC$2:$AS$1001,MATCH(ROWS($V$2:V404),$V$2:$V$1001,0),MATCH(COLUMNS($AC$1006:AG1006),$AC$1006:$AS$1006,0)), HYPERLINK("#",""), HYPERLINK(CONCATENATE("#metadata!", ADDRESS(INDEX($X$2:$X$1001,MATCH(ROWS($V$2:V404),$V$2:$V$1001,0),0), INDEX($AC$1004:$AS$1004,1,MATCH(COLUMNS($AC$1006:AG1006),$AC$1006:$AS$1006,0)))),"Fix")))</f>
        <v xml:space="preserve"> </v>
      </c>
      <c r="G404" s="4" t="str">
        <f ca="1">IF(OR(INDEX($W$2:$W$1001,MATCH(ROWS($V$2:V404),$V$2:$V$1001,0),1)&gt;=100000,INDEX($AC$1005:$AS$1005,1,MATCH(COLUMNS($AC$1006:AH1006),$AC$1006:$AS$1006,0))&gt;=100000), " ",IF(INDEX($AC$2:$AS$1001,MATCH(ROWS($V$2:V404),$V$2:$V$1001,0),MATCH(COLUMNS($AC$1006:AH1006),$AC$1006:$AS$1006,0)), HYPERLINK("#",""), HYPERLINK(CONCATENATE("#metadata!", ADDRESS(INDEX($X$2:$X$1001,MATCH(ROWS($V$2:V404),$V$2:$V$1001,0),0), INDEX($AC$1004:$AS$1004,1,MATCH(COLUMNS($AC$1006:AH1006),$AC$1006:$AS$1006,0)))),"Fix")))</f>
        <v xml:space="preserve"> </v>
      </c>
      <c r="H404" s="4" t="str">
        <f ca="1">IF(OR(INDEX($W$2:$W$1001,MATCH(ROWS($V$2:V404),$V$2:$V$1001,0),1)&gt;=100000,INDEX($AC$1005:$AS$1005,1,MATCH(COLUMNS($AC$1006:AI1006),$AC$1006:$AS$1006,0))&gt;=100000), " ",IF(INDEX($AC$2:$AS$1001,MATCH(ROWS($V$2:V404),$V$2:$V$1001,0),MATCH(COLUMNS($AC$1006:AI1006),$AC$1006:$AS$1006,0)), HYPERLINK("#",""), HYPERLINK(CONCATENATE("#metadata!", ADDRESS(INDEX($X$2:$X$1001,MATCH(ROWS($V$2:V404),$V$2:$V$1001,0),0), INDEX($AC$1004:$AS$1004,1,MATCH(COLUMNS($AC$1006:AI1006),$AC$1006:$AS$1006,0)))),"Fix")))</f>
        <v xml:space="preserve"> </v>
      </c>
      <c r="I404" s="4" t="str">
        <f ca="1">IF(OR(INDEX($W$2:$W$1001,MATCH(ROWS($V$2:V404),$V$2:$V$1001,0),1)&gt;=100000,INDEX($AC$1005:$AS$1005,1,MATCH(COLUMNS($AC$1006:AJ1006),$AC$1006:$AS$1006,0))&gt;=100000), " ",IF(INDEX($AC$2:$AS$1001,MATCH(ROWS($V$2:V404),$V$2:$V$1001,0),MATCH(COLUMNS($AC$1006:AJ1006),$AC$1006:$AS$1006,0)), HYPERLINK("#",""), HYPERLINK(CONCATENATE("#metadata!", ADDRESS(INDEX($X$2:$X$1001,MATCH(ROWS($V$2:V404),$V$2:$V$1001,0),0), INDEX($AC$1004:$AS$1004,1,MATCH(COLUMNS($AC$1006:AJ1006),$AC$1006:$AS$1006,0)))),"Fix")))</f>
        <v xml:space="preserve"> </v>
      </c>
      <c r="J404" s="4" t="str">
        <f ca="1">IF(OR(INDEX($W$2:$W$1001,MATCH(ROWS($V$2:V404),$V$2:$V$1001,0),1)&gt;=100000,INDEX($AC$1005:$AS$1005,1,MATCH(COLUMNS($AC$1006:AK1006),$AC$1006:$AS$1006,0))&gt;=100000), " ",IF(INDEX($AC$2:$AS$1001,MATCH(ROWS($V$2:V404),$V$2:$V$1001,0),MATCH(COLUMNS($AC$1006:AK1006),$AC$1006:$AS$1006,0)), HYPERLINK("#",""), HYPERLINK(CONCATENATE("#metadata!", ADDRESS(INDEX($X$2:$X$1001,MATCH(ROWS($V$2:V404),$V$2:$V$1001,0),0), INDEX($AC$1004:$AS$1004,1,MATCH(COLUMNS($AC$1006:AK1006),$AC$1006:$AS$1006,0)))),"Fix")))</f>
        <v xml:space="preserve"> </v>
      </c>
      <c r="K404" s="4" t="str">
        <f ca="1">IF(OR(INDEX($W$2:$W$1001,MATCH(ROWS($V$2:V404),$V$2:$V$1001,0),1)&gt;=100000,INDEX($AC$1005:$AS$1005,1,MATCH(COLUMNS($AC$1006:AL1006),$AC$1006:$AS$1006,0))&gt;=100000), " ",IF(INDEX($AC$2:$AS$1001,MATCH(ROWS($V$2:V404),$V$2:$V$1001,0),MATCH(COLUMNS($AC$1006:AL1006),$AC$1006:$AS$1006,0)), HYPERLINK("#",""), HYPERLINK(CONCATENATE("#metadata!", ADDRESS(INDEX($X$2:$X$1001,MATCH(ROWS($V$2:V404),$V$2:$V$1001,0),0), INDEX($AC$1004:$AS$1004,1,MATCH(COLUMNS($AC$1006:AL1006),$AC$1006:$AS$1006,0)))),"Fix")))</f>
        <v xml:space="preserve"> </v>
      </c>
      <c r="L404" s="4" t="str">
        <f ca="1">IF(OR(INDEX($W$2:$W$1001,MATCH(ROWS($V$2:V404),$V$2:$V$1001,0),1)&gt;=100000,INDEX($AC$1005:$AS$1005,1,MATCH(COLUMNS($AC$1006:AM1006),$AC$1006:$AS$1006,0))&gt;=100000), " ",IF(INDEX($AC$2:$AS$1001,MATCH(ROWS($V$2:V404),$V$2:$V$1001,0),MATCH(COLUMNS($AC$1006:AM1006),$AC$1006:$AS$1006,0)), HYPERLINK("#",""), HYPERLINK(CONCATENATE("#metadata!", ADDRESS(INDEX($X$2:$X$1001,MATCH(ROWS($V$2:V404),$V$2:$V$1001,0),0), INDEX($AC$1004:$AS$1004,1,MATCH(COLUMNS($AC$1006:AM1006),$AC$1006:$AS$1006,0)))),"Fix")))</f>
        <v xml:space="preserve"> </v>
      </c>
      <c r="M404" s="4" t="str">
        <f ca="1">IF(OR(INDEX($W$2:$W$1001,MATCH(ROWS($V$2:V404),$V$2:$V$1001,0),1)&gt;=100000,INDEX($AC$1005:$AS$1005,1,MATCH(COLUMNS($AC$1006:AN1006),$AC$1006:$AS$1006,0))&gt;=100000), " ",IF(INDEX($AC$2:$AS$1001,MATCH(ROWS($V$2:V404),$V$2:$V$1001,0),MATCH(COLUMNS($AC$1006:AN1006),$AC$1006:$AS$1006,0)), HYPERLINK("#",""), HYPERLINK(CONCATENATE("#metadata!", ADDRESS(INDEX($X$2:$X$1001,MATCH(ROWS($V$2:V404),$V$2:$V$1001,0),0), INDEX($AC$1004:$AS$1004,1,MATCH(COLUMNS($AC$1006:AN1006),$AC$1006:$AS$1006,0)))),"Fix")))</f>
        <v xml:space="preserve"> </v>
      </c>
      <c r="N404" s="4" t="str">
        <f ca="1">IF(OR(INDEX($W$2:$W$1001,MATCH(ROWS($V$2:V404),$V$2:$V$1001,0),1)&gt;=100000,INDEX($AC$1005:$AS$1005,1,MATCH(COLUMNS($AC$1006:AO1006),$AC$1006:$AS$1006,0))&gt;=100000), " ",IF(INDEX($AC$2:$AS$1001,MATCH(ROWS($V$2:V404),$V$2:$V$1001,0),MATCH(COLUMNS($AC$1006:AO1006),$AC$1006:$AS$1006,0)), HYPERLINK("#",""), HYPERLINK(CONCATENATE("#metadata!", ADDRESS(INDEX($X$2:$X$1001,MATCH(ROWS($V$2:V404),$V$2:$V$1001,0),0), INDEX($AC$1004:$AS$1004,1,MATCH(COLUMNS($AC$1006:AO1006),$AC$1006:$AS$1006,0)))),"Fix")))</f>
        <v xml:space="preserve"> </v>
      </c>
      <c r="O404" s="4" t="str">
        <f ca="1">IF(OR(INDEX($W$2:$W$1001,MATCH(ROWS($V$2:V404),$V$2:$V$1001,0),1)&gt;=100000,INDEX($AC$1005:$AS$1005,1,MATCH(COLUMNS($AC$1006:AP1006),$AC$1006:$AS$1006,0))&gt;=100000), " ",IF(INDEX($AC$2:$AS$1001,MATCH(ROWS($V$2:V404),$V$2:$V$1001,0),MATCH(COLUMNS($AC$1006:AP1006),$AC$1006:$AS$1006,0)), HYPERLINK("#",""), HYPERLINK(CONCATENATE("#metadata!", ADDRESS(INDEX($X$2:$X$1001,MATCH(ROWS($V$2:V404),$V$2:$V$1001,0),0), INDEX($AC$1004:$AS$1004,1,MATCH(COLUMNS($AC$1006:AP1006),$AC$1006:$AS$1006,0)))),"Fix")))</f>
        <v xml:space="preserve"> </v>
      </c>
      <c r="P404" s="4" t="str">
        <f ca="1">IF(OR(INDEX($W$2:$W$1001,MATCH(ROWS($V$2:V404),$V$2:$V$1001,0),1)&gt;=100000,INDEX($AC$1005:$AS$1005,1,MATCH(COLUMNS($AC$1006:AQ1006),$AC$1006:$AS$1006,0))&gt;=100000), " ",IF(INDEX($AC$2:$AS$1001,MATCH(ROWS($V$2:V404),$V$2:$V$1001,0),MATCH(COLUMNS($AC$1006:AQ1006),$AC$1006:$AS$1006,0)), HYPERLINK("#",""), HYPERLINK(CONCATENATE("#metadata!", ADDRESS(INDEX($X$2:$X$1001,MATCH(ROWS($V$2:V404),$V$2:$V$1001,0),0), INDEX($AC$1004:$AS$1004,1,MATCH(COLUMNS($AC$1006:AQ1006),$AC$1006:$AS$1006,0)))),"Fix")))</f>
        <v xml:space="preserve"> </v>
      </c>
      <c r="Q404" s="4" t="str">
        <f ca="1">IF(OR(INDEX($W$2:$W$1001,MATCH(ROWS($V$2:V404),$V$2:$V$1001,0),1)&gt;=100000,INDEX($AC$1005:$AS$1005,1,MATCH(COLUMNS($AC$1006:AR1006),$AC$1006:$AS$1006,0))&gt;=100000), " ",IF(INDEX($AC$2:$AS$1001,MATCH(ROWS($V$2:V404),$V$2:$V$1001,0),MATCH(COLUMNS($AC$1006:AR1006),$AC$1006:$AS$1006,0)), HYPERLINK("#",""), HYPERLINK(CONCATENATE("#metadata!", ADDRESS(INDEX($X$2:$X$1001,MATCH(ROWS($V$2:V404),$V$2:$V$1001,0),0), INDEX($AC$1004:$AS$1004,1,MATCH(COLUMNS($AC$1006:AR1006),$AC$1006:$AS$1006,0)))),"Fix")))</f>
        <v xml:space="preserve"> </v>
      </c>
      <c r="R404" s="4" t="str">
        <f ca="1">IF(OR(INDEX($W$2:$W$1001,MATCH(ROWS($V$2:V404),$V$2:$V$1001,0),1)&gt;=100000,INDEX($AC$1005:$AS$1005,1,MATCH(COLUMNS($AC$1006:AS1006),$AC$1006:$AS$1006,0))&gt;=100000), " ",IF(INDEX($AC$2:$AS$1001,MATCH(ROWS($V$2:V404),$V$2:$V$1001,0),MATCH(COLUMNS($AC$1006:AS1006),$AC$1006:$AS$1006,0)), HYPERLINK("#",""), HYPERLINK(CONCATENATE("#metadata!", ADDRESS(INDEX($X$2:$X$1001,MATCH(ROWS($V$2:V404),$V$2:$V$1001,0),0), INDEX($AC$1004:$AS$1004,1,MATCH(COLUMNS($AC$1006:AS1006),$AC$1006:$AS$1006,0)))),"Fix")))</f>
        <v xml:space="preserve"> </v>
      </c>
      <c r="V404">
        <v>403</v>
      </c>
      <c r="W404">
        <v>100404</v>
      </c>
      <c r="X404">
        <v>404</v>
      </c>
      <c r="Y404" t="b">
        <f t="shared" si="6"/>
        <v>1</v>
      </c>
      <c r="Z404" t="b">
        <f>COUNTBLANK(metadata!B404:R404)=COLUMNS(metadata!B404:R404)</f>
        <v>1</v>
      </c>
      <c r="AA404" t="str">
        <v/>
      </c>
      <c r="AC404" t="b">
        <f ca="1"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AD404" t="b">
        <f>IF(metadata!C404="",FALSE,ISNUMBER(VALUE(metadata!C404)))</f>
        <v>0</v>
      </c>
      <c r="AE404" t="b">
        <f>AND(IF(metadata!D404="",FALSE,TRUE),EXACT(metadata!D404,"years"))</f>
        <v>0</v>
      </c>
      <c r="AF404" t="b">
        <f>OR(AND(IF(metadata!E404="",FALSE,TRUE),OR(EXACT(metadata!E404,"not applicable"),EXACT(metadata!E404,"missing: not collected"),EXACT(metadata!E404,"missing: not provided"),EXACT(metadata!E404,"missing: restricted access"))),AND(IF(metadata!E404="",FALSE,ISNUMBER(VALUE(metadata!E404))),metadata!E404&gt;0))</f>
        <v>0</v>
      </c>
      <c r="AG404" t="b">
        <f>AND(IF(metadata!F404="",FALSE,TRUE),EXACT(metadata!F404,"Not applicable"))</f>
        <v>0</v>
      </c>
      <c r="AH404" t="b">
        <f>AND(IF(metadata!G404="",FALSE,TRUE),EXACT(metadata!G404,"urban biome"))</f>
        <v>0</v>
      </c>
      <c r="AI404" t="b">
        <f>AND(IF(metadata!H404="",FALSE,TRUE),EXACT(metadata!H404,"human-associated habitat"))</f>
        <v>0</v>
      </c>
      <c r="AJ404" t="b">
        <f>AND(IF(metadata!I404="",FALSE,TRUE),OR(EXACT(metadata!I404,"human-associated"),EXACT(metadata!I404,"human-skin"),EXACT(metadata!I404,"human-oral"),EXACT(metadata!I404,"human-gut"),EXACT(metadata!I404,"human-vaginal")))</f>
        <v>0</v>
      </c>
      <c r="AK404" t="b">
        <f>IF(metadata!J404="",FALSE,ISNUMBER(VALUE(metadata!J404)))</f>
        <v>0</v>
      </c>
      <c r="AL404" t="b">
        <f>AND(IF(metadata!K404="",FALSE,TRUE),EXACT(metadata!K404,"cm"))</f>
        <v>0</v>
      </c>
      <c r="AM404" t="b">
        <f>AND(IF(metadata!L404="",FALSE,TRUE),EXACT(metadata!L404,"human"))</f>
        <v>0</v>
      </c>
      <c r="AN404" t="b">
        <f>AND(IF(metadata!M404="",FALSE,TRUE),EXACT(metadata!M404,"Homo sapiens"))</f>
        <v>0</v>
      </c>
      <c r="AO404" t="b">
        <f>AND(IF(metadata!N404="",FALSE,TRUE),EXACT(metadata!N404,"9606"))</f>
        <v>0</v>
      </c>
      <c r="AP404" t="b">
        <f>IF(metadata!O404="",FALSE,TRUE)</f>
        <v>0</v>
      </c>
      <c r="AQ404" t="b">
        <f>IF(metadata!P404="",FALSE,TRUE)</f>
        <v>0</v>
      </c>
      <c r="AR404" t="b">
        <f>IF(metadata!Q404="",FALSE,ISNUMBER(VALUE(metadata!Q404)))</f>
        <v>0</v>
      </c>
      <c r="AS404" t="b">
        <f>AND(IF(metadata!R404="",FALSE,TRUE),EXACT(metadata!R404,"kg"))</f>
        <v>0</v>
      </c>
    </row>
    <row r="405" spans="1:45" x14ac:dyDescent="0.2">
      <c r="A405" s="5" t="str">
        <f ca="1">IF(B405=" "," ",HYPERLINK(CONCATENATE("#metadata!",ADDRESS(INDEX($X$2:$X$1001,MATCH(ROWS($V$2:V405),$V$2:$V$1001,0),0),1)),INDEX($AA$2:$AA$1001,MATCH(ROWS($V$2:V405),$V$2:$V$1001,0),0)))</f>
        <v xml:space="preserve"> </v>
      </c>
      <c r="B405" s="4" t="str">
        <f ca="1">IF(OR(INDEX($W$2:$W$1001,MATCH(ROWS($V$2:V405),$V$2:$V$1001,0),1)&gt;=100000,INDEX($AC$1005:$AS$1005,1,MATCH(COLUMNS($AC$1006:AC1006),$AC$1006:$AS$1006,0))&gt;=100000), " ",IF(INDEX($AC$2:$AS$1001,MATCH(ROWS($V$2:V405),$V$2:$V$1001,0),MATCH(COLUMNS($AC$1006:AC1006),$AC$1006:$AS$1006,0)), HYPERLINK("#",""), HYPERLINK(CONCATENATE("#metadata!", ADDRESS(INDEX($X$2:$X$1001,MATCH(ROWS($V$2:V405),$V$2:$V$1001,0),0), INDEX($AC$1004:$AS$1004,1,MATCH(COLUMNS($AC$1006:AC1006),$AC$1006:$AS$1006,0)))),"Fix")))</f>
        <v xml:space="preserve"> </v>
      </c>
      <c r="C405" s="4" t="str">
        <f ca="1">IF(OR(INDEX($W$2:$W$1001,MATCH(ROWS($V$2:V405),$V$2:$V$1001,0),1)&gt;=100000,INDEX($AC$1005:$AS$1005,1,MATCH(COLUMNS($AC$1006:AD1006),$AC$1006:$AS$1006,0))&gt;=100000), " ",IF(INDEX($AC$2:$AS$1001,MATCH(ROWS($V$2:V405),$V$2:$V$1001,0),MATCH(COLUMNS($AC$1006:AD1006),$AC$1006:$AS$1006,0)), HYPERLINK("#",""), HYPERLINK(CONCATENATE("#metadata!", ADDRESS(INDEX($X$2:$X$1001,MATCH(ROWS($V$2:V405),$V$2:$V$1001,0),0), INDEX($AC$1004:$AS$1004,1,MATCH(COLUMNS($AC$1006:AD1006),$AC$1006:$AS$1006,0)))),"Fix")))</f>
        <v xml:space="preserve"> </v>
      </c>
      <c r="D405" s="4" t="str">
        <f ca="1">IF(OR(INDEX($W$2:$W$1001,MATCH(ROWS($V$2:V405),$V$2:$V$1001,0),1)&gt;=100000,INDEX($AC$1005:$AS$1005,1,MATCH(COLUMNS($AC$1006:AE1006),$AC$1006:$AS$1006,0))&gt;=100000), " ",IF(INDEX($AC$2:$AS$1001,MATCH(ROWS($V$2:V405),$V$2:$V$1001,0),MATCH(COLUMNS($AC$1006:AE1006),$AC$1006:$AS$1006,0)), HYPERLINK("#",""), HYPERLINK(CONCATENATE("#metadata!", ADDRESS(INDEX($X$2:$X$1001,MATCH(ROWS($V$2:V405),$V$2:$V$1001,0),0), INDEX($AC$1004:$AS$1004,1,MATCH(COLUMNS($AC$1006:AE1006),$AC$1006:$AS$1006,0)))),"Fix")))</f>
        <v xml:space="preserve"> </v>
      </c>
      <c r="E405" s="4" t="str">
        <f ca="1">IF(OR(INDEX($W$2:$W$1001,MATCH(ROWS($V$2:V405),$V$2:$V$1001,0),1)&gt;=100000,INDEX($AC$1005:$AS$1005,1,MATCH(COLUMNS($AC$1006:AF1006),$AC$1006:$AS$1006,0))&gt;=100000), " ",IF(INDEX($AC$2:$AS$1001,MATCH(ROWS($V$2:V405),$V$2:$V$1001,0),MATCH(COLUMNS($AC$1006:AF1006),$AC$1006:$AS$1006,0)), HYPERLINK("#",""), HYPERLINK(CONCATENATE("#metadata!", ADDRESS(INDEX($X$2:$X$1001,MATCH(ROWS($V$2:V405),$V$2:$V$1001,0),0), INDEX($AC$1004:$AS$1004,1,MATCH(COLUMNS($AC$1006:AF1006),$AC$1006:$AS$1006,0)))),"Fix")))</f>
        <v xml:space="preserve"> </v>
      </c>
      <c r="F405" s="4" t="str">
        <f ca="1">IF(OR(INDEX($W$2:$W$1001,MATCH(ROWS($V$2:V405),$V$2:$V$1001,0),1)&gt;=100000,INDEX($AC$1005:$AS$1005,1,MATCH(COLUMNS($AC$1006:AG1006),$AC$1006:$AS$1006,0))&gt;=100000), " ",IF(INDEX($AC$2:$AS$1001,MATCH(ROWS($V$2:V405),$V$2:$V$1001,0),MATCH(COLUMNS($AC$1006:AG1006),$AC$1006:$AS$1006,0)), HYPERLINK("#",""), HYPERLINK(CONCATENATE("#metadata!", ADDRESS(INDEX($X$2:$X$1001,MATCH(ROWS($V$2:V405),$V$2:$V$1001,0),0), INDEX($AC$1004:$AS$1004,1,MATCH(COLUMNS($AC$1006:AG1006),$AC$1006:$AS$1006,0)))),"Fix")))</f>
        <v xml:space="preserve"> </v>
      </c>
      <c r="G405" s="4" t="str">
        <f ca="1">IF(OR(INDEX($W$2:$W$1001,MATCH(ROWS($V$2:V405),$V$2:$V$1001,0),1)&gt;=100000,INDEX($AC$1005:$AS$1005,1,MATCH(COLUMNS($AC$1006:AH1006),$AC$1006:$AS$1006,0))&gt;=100000), " ",IF(INDEX($AC$2:$AS$1001,MATCH(ROWS($V$2:V405),$V$2:$V$1001,0),MATCH(COLUMNS($AC$1006:AH1006),$AC$1006:$AS$1006,0)), HYPERLINK("#",""), HYPERLINK(CONCATENATE("#metadata!", ADDRESS(INDEX($X$2:$X$1001,MATCH(ROWS($V$2:V405),$V$2:$V$1001,0),0), INDEX($AC$1004:$AS$1004,1,MATCH(COLUMNS($AC$1006:AH1006),$AC$1006:$AS$1006,0)))),"Fix")))</f>
        <v xml:space="preserve"> </v>
      </c>
      <c r="H405" s="4" t="str">
        <f ca="1">IF(OR(INDEX($W$2:$W$1001,MATCH(ROWS($V$2:V405),$V$2:$V$1001,0),1)&gt;=100000,INDEX($AC$1005:$AS$1005,1,MATCH(COLUMNS($AC$1006:AI1006),$AC$1006:$AS$1006,0))&gt;=100000), " ",IF(INDEX($AC$2:$AS$1001,MATCH(ROWS($V$2:V405),$V$2:$V$1001,0),MATCH(COLUMNS($AC$1006:AI1006),$AC$1006:$AS$1006,0)), HYPERLINK("#",""), HYPERLINK(CONCATENATE("#metadata!", ADDRESS(INDEX($X$2:$X$1001,MATCH(ROWS($V$2:V405),$V$2:$V$1001,0),0), INDEX($AC$1004:$AS$1004,1,MATCH(COLUMNS($AC$1006:AI1006),$AC$1006:$AS$1006,0)))),"Fix")))</f>
        <v xml:space="preserve"> </v>
      </c>
      <c r="I405" s="4" t="str">
        <f ca="1">IF(OR(INDEX($W$2:$W$1001,MATCH(ROWS($V$2:V405),$V$2:$V$1001,0),1)&gt;=100000,INDEX($AC$1005:$AS$1005,1,MATCH(COLUMNS($AC$1006:AJ1006),$AC$1006:$AS$1006,0))&gt;=100000), " ",IF(INDEX($AC$2:$AS$1001,MATCH(ROWS($V$2:V405),$V$2:$V$1001,0),MATCH(COLUMNS($AC$1006:AJ1006),$AC$1006:$AS$1006,0)), HYPERLINK("#",""), HYPERLINK(CONCATENATE("#metadata!", ADDRESS(INDEX($X$2:$X$1001,MATCH(ROWS($V$2:V405),$V$2:$V$1001,0),0), INDEX($AC$1004:$AS$1004,1,MATCH(COLUMNS($AC$1006:AJ1006),$AC$1006:$AS$1006,0)))),"Fix")))</f>
        <v xml:space="preserve"> </v>
      </c>
      <c r="J405" s="4" t="str">
        <f ca="1">IF(OR(INDEX($W$2:$W$1001,MATCH(ROWS($V$2:V405),$V$2:$V$1001,0),1)&gt;=100000,INDEX($AC$1005:$AS$1005,1,MATCH(COLUMNS($AC$1006:AK1006),$AC$1006:$AS$1006,0))&gt;=100000), " ",IF(INDEX($AC$2:$AS$1001,MATCH(ROWS($V$2:V405),$V$2:$V$1001,0),MATCH(COLUMNS($AC$1006:AK1006),$AC$1006:$AS$1006,0)), HYPERLINK("#",""), HYPERLINK(CONCATENATE("#metadata!", ADDRESS(INDEX($X$2:$X$1001,MATCH(ROWS($V$2:V405),$V$2:$V$1001,0),0), INDEX($AC$1004:$AS$1004,1,MATCH(COLUMNS($AC$1006:AK1006),$AC$1006:$AS$1006,0)))),"Fix")))</f>
        <v xml:space="preserve"> </v>
      </c>
      <c r="K405" s="4" t="str">
        <f ca="1">IF(OR(INDEX($W$2:$W$1001,MATCH(ROWS($V$2:V405),$V$2:$V$1001,0),1)&gt;=100000,INDEX($AC$1005:$AS$1005,1,MATCH(COLUMNS($AC$1006:AL1006),$AC$1006:$AS$1006,0))&gt;=100000), " ",IF(INDEX($AC$2:$AS$1001,MATCH(ROWS($V$2:V405),$V$2:$V$1001,0),MATCH(COLUMNS($AC$1006:AL1006),$AC$1006:$AS$1006,0)), HYPERLINK("#",""), HYPERLINK(CONCATENATE("#metadata!", ADDRESS(INDEX($X$2:$X$1001,MATCH(ROWS($V$2:V405),$V$2:$V$1001,0),0), INDEX($AC$1004:$AS$1004,1,MATCH(COLUMNS($AC$1006:AL1006),$AC$1006:$AS$1006,0)))),"Fix")))</f>
        <v xml:space="preserve"> </v>
      </c>
      <c r="L405" s="4" t="str">
        <f ca="1">IF(OR(INDEX($W$2:$W$1001,MATCH(ROWS($V$2:V405),$V$2:$V$1001,0),1)&gt;=100000,INDEX($AC$1005:$AS$1005,1,MATCH(COLUMNS($AC$1006:AM1006),$AC$1006:$AS$1006,0))&gt;=100000), " ",IF(INDEX($AC$2:$AS$1001,MATCH(ROWS($V$2:V405),$V$2:$V$1001,0),MATCH(COLUMNS($AC$1006:AM1006),$AC$1006:$AS$1006,0)), HYPERLINK("#",""), HYPERLINK(CONCATENATE("#metadata!", ADDRESS(INDEX($X$2:$X$1001,MATCH(ROWS($V$2:V405),$V$2:$V$1001,0),0), INDEX($AC$1004:$AS$1004,1,MATCH(COLUMNS($AC$1006:AM1006),$AC$1006:$AS$1006,0)))),"Fix")))</f>
        <v xml:space="preserve"> </v>
      </c>
      <c r="M405" s="4" t="str">
        <f ca="1">IF(OR(INDEX($W$2:$W$1001,MATCH(ROWS($V$2:V405),$V$2:$V$1001,0),1)&gt;=100000,INDEX($AC$1005:$AS$1005,1,MATCH(COLUMNS($AC$1006:AN1006),$AC$1006:$AS$1006,0))&gt;=100000), " ",IF(INDEX($AC$2:$AS$1001,MATCH(ROWS($V$2:V405),$V$2:$V$1001,0),MATCH(COLUMNS($AC$1006:AN1006),$AC$1006:$AS$1006,0)), HYPERLINK("#",""), HYPERLINK(CONCATENATE("#metadata!", ADDRESS(INDEX($X$2:$X$1001,MATCH(ROWS($V$2:V405),$V$2:$V$1001,0),0), INDEX($AC$1004:$AS$1004,1,MATCH(COLUMNS($AC$1006:AN1006),$AC$1006:$AS$1006,0)))),"Fix")))</f>
        <v xml:space="preserve"> </v>
      </c>
      <c r="N405" s="4" t="str">
        <f ca="1">IF(OR(INDEX($W$2:$W$1001,MATCH(ROWS($V$2:V405),$V$2:$V$1001,0),1)&gt;=100000,INDEX($AC$1005:$AS$1005,1,MATCH(COLUMNS($AC$1006:AO1006),$AC$1006:$AS$1006,0))&gt;=100000), " ",IF(INDEX($AC$2:$AS$1001,MATCH(ROWS($V$2:V405),$V$2:$V$1001,0),MATCH(COLUMNS($AC$1006:AO1006),$AC$1006:$AS$1006,0)), HYPERLINK("#",""), HYPERLINK(CONCATENATE("#metadata!", ADDRESS(INDEX($X$2:$X$1001,MATCH(ROWS($V$2:V405),$V$2:$V$1001,0),0), INDEX($AC$1004:$AS$1004,1,MATCH(COLUMNS($AC$1006:AO1006),$AC$1006:$AS$1006,0)))),"Fix")))</f>
        <v xml:space="preserve"> </v>
      </c>
      <c r="O405" s="4" t="str">
        <f ca="1">IF(OR(INDEX($W$2:$W$1001,MATCH(ROWS($V$2:V405),$V$2:$V$1001,0),1)&gt;=100000,INDEX($AC$1005:$AS$1005,1,MATCH(COLUMNS($AC$1006:AP1006),$AC$1006:$AS$1006,0))&gt;=100000), " ",IF(INDEX($AC$2:$AS$1001,MATCH(ROWS($V$2:V405),$V$2:$V$1001,0),MATCH(COLUMNS($AC$1006:AP1006),$AC$1006:$AS$1006,0)), HYPERLINK("#",""), HYPERLINK(CONCATENATE("#metadata!", ADDRESS(INDEX($X$2:$X$1001,MATCH(ROWS($V$2:V405),$V$2:$V$1001,0),0), INDEX($AC$1004:$AS$1004,1,MATCH(COLUMNS($AC$1006:AP1006),$AC$1006:$AS$1006,0)))),"Fix")))</f>
        <v xml:space="preserve"> </v>
      </c>
      <c r="P405" s="4" t="str">
        <f ca="1">IF(OR(INDEX($W$2:$W$1001,MATCH(ROWS($V$2:V405),$V$2:$V$1001,0),1)&gt;=100000,INDEX($AC$1005:$AS$1005,1,MATCH(COLUMNS($AC$1006:AQ1006),$AC$1006:$AS$1006,0))&gt;=100000), " ",IF(INDEX($AC$2:$AS$1001,MATCH(ROWS($V$2:V405),$V$2:$V$1001,0),MATCH(COLUMNS($AC$1006:AQ1006),$AC$1006:$AS$1006,0)), HYPERLINK("#",""), HYPERLINK(CONCATENATE("#metadata!", ADDRESS(INDEX($X$2:$X$1001,MATCH(ROWS($V$2:V405),$V$2:$V$1001,0),0), INDEX($AC$1004:$AS$1004,1,MATCH(COLUMNS($AC$1006:AQ1006),$AC$1006:$AS$1006,0)))),"Fix")))</f>
        <v xml:space="preserve"> </v>
      </c>
      <c r="Q405" s="4" t="str">
        <f ca="1">IF(OR(INDEX($W$2:$W$1001,MATCH(ROWS($V$2:V405),$V$2:$V$1001,0),1)&gt;=100000,INDEX($AC$1005:$AS$1005,1,MATCH(COLUMNS($AC$1006:AR1006),$AC$1006:$AS$1006,0))&gt;=100000), " ",IF(INDEX($AC$2:$AS$1001,MATCH(ROWS($V$2:V405),$V$2:$V$1001,0),MATCH(COLUMNS($AC$1006:AR1006),$AC$1006:$AS$1006,0)), HYPERLINK("#",""), HYPERLINK(CONCATENATE("#metadata!", ADDRESS(INDEX($X$2:$X$1001,MATCH(ROWS($V$2:V405),$V$2:$V$1001,0),0), INDEX($AC$1004:$AS$1004,1,MATCH(COLUMNS($AC$1006:AR1006),$AC$1006:$AS$1006,0)))),"Fix")))</f>
        <v xml:space="preserve"> </v>
      </c>
      <c r="R405" s="4" t="str">
        <f ca="1">IF(OR(INDEX($W$2:$W$1001,MATCH(ROWS($V$2:V405),$V$2:$V$1001,0),1)&gt;=100000,INDEX($AC$1005:$AS$1005,1,MATCH(COLUMNS($AC$1006:AS1006),$AC$1006:$AS$1006,0))&gt;=100000), " ",IF(INDEX($AC$2:$AS$1001,MATCH(ROWS($V$2:V405),$V$2:$V$1001,0),MATCH(COLUMNS($AC$1006:AS1006),$AC$1006:$AS$1006,0)), HYPERLINK("#",""), HYPERLINK(CONCATENATE("#metadata!", ADDRESS(INDEX($X$2:$X$1001,MATCH(ROWS($V$2:V405),$V$2:$V$1001,0),0), INDEX($AC$1004:$AS$1004,1,MATCH(COLUMNS($AC$1006:AS1006),$AC$1006:$AS$1006,0)))),"Fix")))</f>
        <v xml:space="preserve"> </v>
      </c>
      <c r="V405">
        <v>404</v>
      </c>
      <c r="W405">
        <v>100405</v>
      </c>
      <c r="X405">
        <v>405</v>
      </c>
      <c r="Y405" t="b">
        <f t="shared" si="6"/>
        <v>1</v>
      </c>
      <c r="Z405" t="b">
        <f>COUNTBLANK(metadata!B405:R405)=COLUMNS(metadata!B405:R405)</f>
        <v>1</v>
      </c>
      <c r="AA405" t="str">
        <v/>
      </c>
      <c r="AC405" t="b">
        <f ca="1"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AD405" t="b">
        <f>IF(metadata!C405="",FALSE,ISNUMBER(VALUE(metadata!C405)))</f>
        <v>0</v>
      </c>
      <c r="AE405" t="b">
        <f>AND(IF(metadata!D405="",FALSE,TRUE),EXACT(metadata!D405,"years"))</f>
        <v>0</v>
      </c>
      <c r="AF405" t="b">
        <f>OR(AND(IF(metadata!E405="",FALSE,TRUE),OR(EXACT(metadata!E405,"not applicable"),EXACT(metadata!E405,"missing: not collected"),EXACT(metadata!E405,"missing: not provided"),EXACT(metadata!E405,"missing: restricted access"))),AND(IF(metadata!E405="",FALSE,ISNUMBER(VALUE(metadata!E405))),metadata!E405&gt;0))</f>
        <v>0</v>
      </c>
      <c r="AG405" t="b">
        <f>AND(IF(metadata!F405="",FALSE,TRUE),EXACT(metadata!F405,"Not applicable"))</f>
        <v>0</v>
      </c>
      <c r="AH405" t="b">
        <f>AND(IF(metadata!G405="",FALSE,TRUE),EXACT(metadata!G405,"urban biome"))</f>
        <v>0</v>
      </c>
      <c r="AI405" t="b">
        <f>AND(IF(metadata!H405="",FALSE,TRUE),EXACT(metadata!H405,"human-associated habitat"))</f>
        <v>0</v>
      </c>
      <c r="AJ405" t="b">
        <f>AND(IF(metadata!I405="",FALSE,TRUE),OR(EXACT(metadata!I405,"human-associated"),EXACT(metadata!I405,"human-skin"),EXACT(metadata!I405,"human-oral"),EXACT(metadata!I405,"human-gut"),EXACT(metadata!I405,"human-vaginal")))</f>
        <v>0</v>
      </c>
      <c r="AK405" t="b">
        <f>IF(metadata!J405="",FALSE,ISNUMBER(VALUE(metadata!J405)))</f>
        <v>0</v>
      </c>
      <c r="AL405" t="b">
        <f>AND(IF(metadata!K405="",FALSE,TRUE),EXACT(metadata!K405,"cm"))</f>
        <v>0</v>
      </c>
      <c r="AM405" t="b">
        <f>AND(IF(metadata!L405="",FALSE,TRUE),EXACT(metadata!L405,"human"))</f>
        <v>0</v>
      </c>
      <c r="AN405" t="b">
        <f>AND(IF(metadata!M405="",FALSE,TRUE),EXACT(metadata!M405,"Homo sapiens"))</f>
        <v>0</v>
      </c>
      <c r="AO405" t="b">
        <f>AND(IF(metadata!N405="",FALSE,TRUE),EXACT(metadata!N405,"9606"))</f>
        <v>0</v>
      </c>
      <c r="AP405" t="b">
        <f>IF(metadata!O405="",FALSE,TRUE)</f>
        <v>0</v>
      </c>
      <c r="AQ405" t="b">
        <f>IF(metadata!P405="",FALSE,TRUE)</f>
        <v>0</v>
      </c>
      <c r="AR405" t="b">
        <f>IF(metadata!Q405="",FALSE,ISNUMBER(VALUE(metadata!Q405)))</f>
        <v>0</v>
      </c>
      <c r="AS405" t="b">
        <f>AND(IF(metadata!R405="",FALSE,TRUE),EXACT(metadata!R405,"kg"))</f>
        <v>0</v>
      </c>
    </row>
    <row r="406" spans="1:45" x14ac:dyDescent="0.2">
      <c r="A406" s="5" t="str">
        <f ca="1">IF(B406=" "," ",HYPERLINK(CONCATENATE("#metadata!",ADDRESS(INDEX($X$2:$X$1001,MATCH(ROWS($V$2:V406),$V$2:$V$1001,0),0),1)),INDEX($AA$2:$AA$1001,MATCH(ROWS($V$2:V406),$V$2:$V$1001,0),0)))</f>
        <v xml:space="preserve"> </v>
      </c>
      <c r="B406" s="4" t="str">
        <f ca="1">IF(OR(INDEX($W$2:$W$1001,MATCH(ROWS($V$2:V406),$V$2:$V$1001,0),1)&gt;=100000,INDEX($AC$1005:$AS$1005,1,MATCH(COLUMNS($AC$1006:AC1006),$AC$1006:$AS$1006,0))&gt;=100000), " ",IF(INDEX($AC$2:$AS$1001,MATCH(ROWS($V$2:V406),$V$2:$V$1001,0),MATCH(COLUMNS($AC$1006:AC1006),$AC$1006:$AS$1006,0)), HYPERLINK("#",""), HYPERLINK(CONCATENATE("#metadata!", ADDRESS(INDEX($X$2:$X$1001,MATCH(ROWS($V$2:V406),$V$2:$V$1001,0),0), INDEX($AC$1004:$AS$1004,1,MATCH(COLUMNS($AC$1006:AC1006),$AC$1006:$AS$1006,0)))),"Fix")))</f>
        <v xml:space="preserve"> </v>
      </c>
      <c r="C406" s="4" t="str">
        <f ca="1">IF(OR(INDEX($W$2:$W$1001,MATCH(ROWS($V$2:V406),$V$2:$V$1001,0),1)&gt;=100000,INDEX($AC$1005:$AS$1005,1,MATCH(COLUMNS($AC$1006:AD1006),$AC$1006:$AS$1006,0))&gt;=100000), " ",IF(INDEX($AC$2:$AS$1001,MATCH(ROWS($V$2:V406),$V$2:$V$1001,0),MATCH(COLUMNS($AC$1006:AD1006),$AC$1006:$AS$1006,0)), HYPERLINK("#",""), HYPERLINK(CONCATENATE("#metadata!", ADDRESS(INDEX($X$2:$X$1001,MATCH(ROWS($V$2:V406),$V$2:$V$1001,0),0), INDEX($AC$1004:$AS$1004,1,MATCH(COLUMNS($AC$1006:AD1006),$AC$1006:$AS$1006,0)))),"Fix")))</f>
        <v xml:space="preserve"> </v>
      </c>
      <c r="D406" s="4" t="str">
        <f ca="1">IF(OR(INDEX($W$2:$W$1001,MATCH(ROWS($V$2:V406),$V$2:$V$1001,0),1)&gt;=100000,INDEX($AC$1005:$AS$1005,1,MATCH(COLUMNS($AC$1006:AE1006),$AC$1006:$AS$1006,0))&gt;=100000), " ",IF(INDEX($AC$2:$AS$1001,MATCH(ROWS($V$2:V406),$V$2:$V$1001,0),MATCH(COLUMNS($AC$1006:AE1006),$AC$1006:$AS$1006,0)), HYPERLINK("#",""), HYPERLINK(CONCATENATE("#metadata!", ADDRESS(INDEX($X$2:$X$1001,MATCH(ROWS($V$2:V406),$V$2:$V$1001,0),0), INDEX($AC$1004:$AS$1004,1,MATCH(COLUMNS($AC$1006:AE1006),$AC$1006:$AS$1006,0)))),"Fix")))</f>
        <v xml:space="preserve"> </v>
      </c>
      <c r="E406" s="4" t="str">
        <f ca="1">IF(OR(INDEX($W$2:$W$1001,MATCH(ROWS($V$2:V406),$V$2:$V$1001,0),1)&gt;=100000,INDEX($AC$1005:$AS$1005,1,MATCH(COLUMNS($AC$1006:AF1006),$AC$1006:$AS$1006,0))&gt;=100000), " ",IF(INDEX($AC$2:$AS$1001,MATCH(ROWS($V$2:V406),$V$2:$V$1001,0),MATCH(COLUMNS($AC$1006:AF1006),$AC$1006:$AS$1006,0)), HYPERLINK("#",""), HYPERLINK(CONCATENATE("#metadata!", ADDRESS(INDEX($X$2:$X$1001,MATCH(ROWS($V$2:V406),$V$2:$V$1001,0),0), INDEX($AC$1004:$AS$1004,1,MATCH(COLUMNS($AC$1006:AF1006),$AC$1006:$AS$1006,0)))),"Fix")))</f>
        <v xml:space="preserve"> </v>
      </c>
      <c r="F406" s="4" t="str">
        <f ca="1">IF(OR(INDEX($W$2:$W$1001,MATCH(ROWS($V$2:V406),$V$2:$V$1001,0),1)&gt;=100000,INDEX($AC$1005:$AS$1005,1,MATCH(COLUMNS($AC$1006:AG1006),$AC$1006:$AS$1006,0))&gt;=100000), " ",IF(INDEX($AC$2:$AS$1001,MATCH(ROWS($V$2:V406),$V$2:$V$1001,0),MATCH(COLUMNS($AC$1006:AG1006),$AC$1006:$AS$1006,0)), HYPERLINK("#",""), HYPERLINK(CONCATENATE("#metadata!", ADDRESS(INDEX($X$2:$X$1001,MATCH(ROWS($V$2:V406),$V$2:$V$1001,0),0), INDEX($AC$1004:$AS$1004,1,MATCH(COLUMNS($AC$1006:AG1006),$AC$1006:$AS$1006,0)))),"Fix")))</f>
        <v xml:space="preserve"> </v>
      </c>
      <c r="G406" s="4" t="str">
        <f ca="1">IF(OR(INDEX($W$2:$W$1001,MATCH(ROWS($V$2:V406),$V$2:$V$1001,0),1)&gt;=100000,INDEX($AC$1005:$AS$1005,1,MATCH(COLUMNS($AC$1006:AH1006),$AC$1006:$AS$1006,0))&gt;=100000), " ",IF(INDEX($AC$2:$AS$1001,MATCH(ROWS($V$2:V406),$V$2:$V$1001,0),MATCH(COLUMNS($AC$1006:AH1006),$AC$1006:$AS$1006,0)), HYPERLINK("#",""), HYPERLINK(CONCATENATE("#metadata!", ADDRESS(INDEX($X$2:$X$1001,MATCH(ROWS($V$2:V406),$V$2:$V$1001,0),0), INDEX($AC$1004:$AS$1004,1,MATCH(COLUMNS($AC$1006:AH1006),$AC$1006:$AS$1006,0)))),"Fix")))</f>
        <v xml:space="preserve"> </v>
      </c>
      <c r="H406" s="4" t="str">
        <f ca="1">IF(OR(INDEX($W$2:$W$1001,MATCH(ROWS($V$2:V406),$V$2:$V$1001,0),1)&gt;=100000,INDEX($AC$1005:$AS$1005,1,MATCH(COLUMNS($AC$1006:AI1006),$AC$1006:$AS$1006,0))&gt;=100000), " ",IF(INDEX($AC$2:$AS$1001,MATCH(ROWS($V$2:V406),$V$2:$V$1001,0),MATCH(COLUMNS($AC$1006:AI1006),$AC$1006:$AS$1006,0)), HYPERLINK("#",""), HYPERLINK(CONCATENATE("#metadata!", ADDRESS(INDEX($X$2:$X$1001,MATCH(ROWS($V$2:V406),$V$2:$V$1001,0),0), INDEX($AC$1004:$AS$1004,1,MATCH(COLUMNS($AC$1006:AI1006),$AC$1006:$AS$1006,0)))),"Fix")))</f>
        <v xml:space="preserve"> </v>
      </c>
      <c r="I406" s="4" t="str">
        <f ca="1">IF(OR(INDEX($W$2:$W$1001,MATCH(ROWS($V$2:V406),$V$2:$V$1001,0),1)&gt;=100000,INDEX($AC$1005:$AS$1005,1,MATCH(COLUMNS($AC$1006:AJ1006),$AC$1006:$AS$1006,0))&gt;=100000), " ",IF(INDEX($AC$2:$AS$1001,MATCH(ROWS($V$2:V406),$V$2:$V$1001,0),MATCH(COLUMNS($AC$1006:AJ1006),$AC$1006:$AS$1006,0)), HYPERLINK("#",""), HYPERLINK(CONCATENATE("#metadata!", ADDRESS(INDEX($X$2:$X$1001,MATCH(ROWS($V$2:V406),$V$2:$V$1001,0),0), INDEX($AC$1004:$AS$1004,1,MATCH(COLUMNS($AC$1006:AJ1006),$AC$1006:$AS$1006,0)))),"Fix")))</f>
        <v xml:space="preserve"> </v>
      </c>
      <c r="J406" s="4" t="str">
        <f ca="1">IF(OR(INDEX($W$2:$W$1001,MATCH(ROWS($V$2:V406),$V$2:$V$1001,0),1)&gt;=100000,INDEX($AC$1005:$AS$1005,1,MATCH(COLUMNS($AC$1006:AK1006),$AC$1006:$AS$1006,0))&gt;=100000), " ",IF(INDEX($AC$2:$AS$1001,MATCH(ROWS($V$2:V406),$V$2:$V$1001,0),MATCH(COLUMNS($AC$1006:AK1006),$AC$1006:$AS$1006,0)), HYPERLINK("#",""), HYPERLINK(CONCATENATE("#metadata!", ADDRESS(INDEX($X$2:$X$1001,MATCH(ROWS($V$2:V406),$V$2:$V$1001,0),0), INDEX($AC$1004:$AS$1004,1,MATCH(COLUMNS($AC$1006:AK1006),$AC$1006:$AS$1006,0)))),"Fix")))</f>
        <v xml:space="preserve"> </v>
      </c>
      <c r="K406" s="4" t="str">
        <f ca="1">IF(OR(INDEX($W$2:$W$1001,MATCH(ROWS($V$2:V406),$V$2:$V$1001,0),1)&gt;=100000,INDEX($AC$1005:$AS$1005,1,MATCH(COLUMNS($AC$1006:AL1006),$AC$1006:$AS$1006,0))&gt;=100000), " ",IF(INDEX($AC$2:$AS$1001,MATCH(ROWS($V$2:V406),$V$2:$V$1001,0),MATCH(COLUMNS($AC$1006:AL1006),$AC$1006:$AS$1006,0)), HYPERLINK("#",""), HYPERLINK(CONCATENATE("#metadata!", ADDRESS(INDEX($X$2:$X$1001,MATCH(ROWS($V$2:V406),$V$2:$V$1001,0),0), INDEX($AC$1004:$AS$1004,1,MATCH(COLUMNS($AC$1006:AL1006),$AC$1006:$AS$1006,0)))),"Fix")))</f>
        <v xml:space="preserve"> </v>
      </c>
      <c r="L406" s="4" t="str">
        <f ca="1">IF(OR(INDEX($W$2:$W$1001,MATCH(ROWS($V$2:V406),$V$2:$V$1001,0),1)&gt;=100000,INDEX($AC$1005:$AS$1005,1,MATCH(COLUMNS($AC$1006:AM1006),$AC$1006:$AS$1006,0))&gt;=100000), " ",IF(INDEX($AC$2:$AS$1001,MATCH(ROWS($V$2:V406),$V$2:$V$1001,0),MATCH(COLUMNS($AC$1006:AM1006),$AC$1006:$AS$1006,0)), HYPERLINK("#",""), HYPERLINK(CONCATENATE("#metadata!", ADDRESS(INDEX($X$2:$X$1001,MATCH(ROWS($V$2:V406),$V$2:$V$1001,0),0), INDEX($AC$1004:$AS$1004,1,MATCH(COLUMNS($AC$1006:AM1006),$AC$1006:$AS$1006,0)))),"Fix")))</f>
        <v xml:space="preserve"> </v>
      </c>
      <c r="M406" s="4" t="str">
        <f ca="1">IF(OR(INDEX($W$2:$W$1001,MATCH(ROWS($V$2:V406),$V$2:$V$1001,0),1)&gt;=100000,INDEX($AC$1005:$AS$1005,1,MATCH(COLUMNS($AC$1006:AN1006),$AC$1006:$AS$1006,0))&gt;=100000), " ",IF(INDEX($AC$2:$AS$1001,MATCH(ROWS($V$2:V406),$V$2:$V$1001,0),MATCH(COLUMNS($AC$1006:AN1006),$AC$1006:$AS$1006,0)), HYPERLINK("#",""), HYPERLINK(CONCATENATE("#metadata!", ADDRESS(INDEX($X$2:$X$1001,MATCH(ROWS($V$2:V406),$V$2:$V$1001,0),0), INDEX($AC$1004:$AS$1004,1,MATCH(COLUMNS($AC$1006:AN1006),$AC$1006:$AS$1006,0)))),"Fix")))</f>
        <v xml:space="preserve"> </v>
      </c>
      <c r="N406" s="4" t="str">
        <f ca="1">IF(OR(INDEX($W$2:$W$1001,MATCH(ROWS($V$2:V406),$V$2:$V$1001,0),1)&gt;=100000,INDEX($AC$1005:$AS$1005,1,MATCH(COLUMNS($AC$1006:AO1006),$AC$1006:$AS$1006,0))&gt;=100000), " ",IF(INDEX($AC$2:$AS$1001,MATCH(ROWS($V$2:V406),$V$2:$V$1001,0),MATCH(COLUMNS($AC$1006:AO1006),$AC$1006:$AS$1006,0)), HYPERLINK("#",""), HYPERLINK(CONCATENATE("#metadata!", ADDRESS(INDEX($X$2:$X$1001,MATCH(ROWS($V$2:V406),$V$2:$V$1001,0),0), INDEX($AC$1004:$AS$1004,1,MATCH(COLUMNS($AC$1006:AO1006),$AC$1006:$AS$1006,0)))),"Fix")))</f>
        <v xml:space="preserve"> </v>
      </c>
      <c r="O406" s="4" t="str">
        <f ca="1">IF(OR(INDEX($W$2:$W$1001,MATCH(ROWS($V$2:V406),$V$2:$V$1001,0),1)&gt;=100000,INDEX($AC$1005:$AS$1005,1,MATCH(COLUMNS($AC$1006:AP1006),$AC$1006:$AS$1006,0))&gt;=100000), " ",IF(INDEX($AC$2:$AS$1001,MATCH(ROWS($V$2:V406),$V$2:$V$1001,0),MATCH(COLUMNS($AC$1006:AP1006),$AC$1006:$AS$1006,0)), HYPERLINK("#",""), HYPERLINK(CONCATENATE("#metadata!", ADDRESS(INDEX($X$2:$X$1001,MATCH(ROWS($V$2:V406),$V$2:$V$1001,0),0), INDEX($AC$1004:$AS$1004,1,MATCH(COLUMNS($AC$1006:AP1006),$AC$1006:$AS$1006,0)))),"Fix")))</f>
        <v xml:space="preserve"> </v>
      </c>
      <c r="P406" s="4" t="str">
        <f ca="1">IF(OR(INDEX($W$2:$W$1001,MATCH(ROWS($V$2:V406),$V$2:$V$1001,0),1)&gt;=100000,INDEX($AC$1005:$AS$1005,1,MATCH(COLUMNS($AC$1006:AQ1006),$AC$1006:$AS$1006,0))&gt;=100000), " ",IF(INDEX($AC$2:$AS$1001,MATCH(ROWS($V$2:V406),$V$2:$V$1001,0),MATCH(COLUMNS($AC$1006:AQ1006),$AC$1006:$AS$1006,0)), HYPERLINK("#",""), HYPERLINK(CONCATENATE("#metadata!", ADDRESS(INDEX($X$2:$X$1001,MATCH(ROWS($V$2:V406),$V$2:$V$1001,0),0), INDEX($AC$1004:$AS$1004,1,MATCH(COLUMNS($AC$1006:AQ1006),$AC$1006:$AS$1006,0)))),"Fix")))</f>
        <v xml:space="preserve"> </v>
      </c>
      <c r="Q406" s="4" t="str">
        <f ca="1">IF(OR(INDEX($W$2:$W$1001,MATCH(ROWS($V$2:V406),$V$2:$V$1001,0),1)&gt;=100000,INDEX($AC$1005:$AS$1005,1,MATCH(COLUMNS($AC$1006:AR1006),$AC$1006:$AS$1006,0))&gt;=100000), " ",IF(INDEX($AC$2:$AS$1001,MATCH(ROWS($V$2:V406),$V$2:$V$1001,0),MATCH(COLUMNS($AC$1006:AR1006),$AC$1006:$AS$1006,0)), HYPERLINK("#",""), HYPERLINK(CONCATENATE("#metadata!", ADDRESS(INDEX($X$2:$X$1001,MATCH(ROWS($V$2:V406),$V$2:$V$1001,0),0), INDEX($AC$1004:$AS$1004,1,MATCH(COLUMNS($AC$1006:AR1006),$AC$1006:$AS$1006,0)))),"Fix")))</f>
        <v xml:space="preserve"> </v>
      </c>
      <c r="R406" s="4" t="str">
        <f ca="1">IF(OR(INDEX($W$2:$W$1001,MATCH(ROWS($V$2:V406),$V$2:$V$1001,0),1)&gt;=100000,INDEX($AC$1005:$AS$1005,1,MATCH(COLUMNS($AC$1006:AS1006),$AC$1006:$AS$1006,0))&gt;=100000), " ",IF(INDEX($AC$2:$AS$1001,MATCH(ROWS($V$2:V406),$V$2:$V$1001,0),MATCH(COLUMNS($AC$1006:AS1006),$AC$1006:$AS$1006,0)), HYPERLINK("#",""), HYPERLINK(CONCATENATE("#metadata!", ADDRESS(INDEX($X$2:$X$1001,MATCH(ROWS($V$2:V406),$V$2:$V$1001,0),0), INDEX($AC$1004:$AS$1004,1,MATCH(COLUMNS($AC$1006:AS1006),$AC$1006:$AS$1006,0)))),"Fix")))</f>
        <v xml:space="preserve"> </v>
      </c>
      <c r="V406">
        <v>405</v>
      </c>
      <c r="W406">
        <v>100406</v>
      </c>
      <c r="X406">
        <v>406</v>
      </c>
      <c r="Y406" t="b">
        <f t="shared" si="6"/>
        <v>1</v>
      </c>
      <c r="Z406" t="b">
        <f>COUNTBLANK(metadata!B406:R406)=COLUMNS(metadata!B406:R406)</f>
        <v>1</v>
      </c>
      <c r="AA406" t="str">
        <v/>
      </c>
      <c r="AC406" t="b">
        <f ca="1"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AD406" t="b">
        <f>IF(metadata!C406="",FALSE,ISNUMBER(VALUE(metadata!C406)))</f>
        <v>0</v>
      </c>
      <c r="AE406" t="b">
        <f>AND(IF(metadata!D406="",FALSE,TRUE),EXACT(metadata!D406,"years"))</f>
        <v>0</v>
      </c>
      <c r="AF406" t="b">
        <f>OR(AND(IF(metadata!E406="",FALSE,TRUE),OR(EXACT(metadata!E406,"not applicable"),EXACT(metadata!E406,"missing: not collected"),EXACT(metadata!E406,"missing: not provided"),EXACT(metadata!E406,"missing: restricted access"))),AND(IF(metadata!E406="",FALSE,ISNUMBER(VALUE(metadata!E406))),metadata!E406&gt;0))</f>
        <v>0</v>
      </c>
      <c r="AG406" t="b">
        <f>AND(IF(metadata!F406="",FALSE,TRUE),EXACT(metadata!F406,"Not applicable"))</f>
        <v>0</v>
      </c>
      <c r="AH406" t="b">
        <f>AND(IF(metadata!G406="",FALSE,TRUE),EXACT(metadata!G406,"urban biome"))</f>
        <v>0</v>
      </c>
      <c r="AI406" t="b">
        <f>AND(IF(metadata!H406="",FALSE,TRUE),EXACT(metadata!H406,"human-associated habitat"))</f>
        <v>0</v>
      </c>
      <c r="AJ406" t="b">
        <f>AND(IF(metadata!I406="",FALSE,TRUE),OR(EXACT(metadata!I406,"human-associated"),EXACT(metadata!I406,"human-skin"),EXACT(metadata!I406,"human-oral"),EXACT(metadata!I406,"human-gut"),EXACT(metadata!I406,"human-vaginal")))</f>
        <v>0</v>
      </c>
      <c r="AK406" t="b">
        <f>IF(metadata!J406="",FALSE,ISNUMBER(VALUE(metadata!J406)))</f>
        <v>0</v>
      </c>
      <c r="AL406" t="b">
        <f>AND(IF(metadata!K406="",FALSE,TRUE),EXACT(metadata!K406,"cm"))</f>
        <v>0</v>
      </c>
      <c r="AM406" t="b">
        <f>AND(IF(metadata!L406="",FALSE,TRUE),EXACT(metadata!L406,"human"))</f>
        <v>0</v>
      </c>
      <c r="AN406" t="b">
        <f>AND(IF(metadata!M406="",FALSE,TRUE),EXACT(metadata!M406,"Homo sapiens"))</f>
        <v>0</v>
      </c>
      <c r="AO406" t="b">
        <f>AND(IF(metadata!N406="",FALSE,TRUE),EXACT(metadata!N406,"9606"))</f>
        <v>0</v>
      </c>
      <c r="AP406" t="b">
        <f>IF(metadata!O406="",FALSE,TRUE)</f>
        <v>0</v>
      </c>
      <c r="AQ406" t="b">
        <f>IF(metadata!P406="",FALSE,TRUE)</f>
        <v>0</v>
      </c>
      <c r="AR406" t="b">
        <f>IF(metadata!Q406="",FALSE,ISNUMBER(VALUE(metadata!Q406)))</f>
        <v>0</v>
      </c>
      <c r="AS406" t="b">
        <f>AND(IF(metadata!R406="",FALSE,TRUE),EXACT(metadata!R406,"kg"))</f>
        <v>0</v>
      </c>
    </row>
    <row r="407" spans="1:45" x14ac:dyDescent="0.2">
      <c r="A407" s="5" t="str">
        <f ca="1">IF(B407=" "," ",HYPERLINK(CONCATENATE("#metadata!",ADDRESS(INDEX($X$2:$X$1001,MATCH(ROWS($V$2:V407),$V$2:$V$1001,0),0),1)),INDEX($AA$2:$AA$1001,MATCH(ROWS($V$2:V407),$V$2:$V$1001,0),0)))</f>
        <v xml:space="preserve"> </v>
      </c>
      <c r="B407" s="4" t="str">
        <f ca="1">IF(OR(INDEX($W$2:$W$1001,MATCH(ROWS($V$2:V407),$V$2:$V$1001,0),1)&gt;=100000,INDEX($AC$1005:$AS$1005,1,MATCH(COLUMNS($AC$1006:AC1006),$AC$1006:$AS$1006,0))&gt;=100000), " ",IF(INDEX($AC$2:$AS$1001,MATCH(ROWS($V$2:V407),$V$2:$V$1001,0),MATCH(COLUMNS($AC$1006:AC1006),$AC$1006:$AS$1006,0)), HYPERLINK("#",""), HYPERLINK(CONCATENATE("#metadata!", ADDRESS(INDEX($X$2:$X$1001,MATCH(ROWS($V$2:V407),$V$2:$V$1001,0),0), INDEX($AC$1004:$AS$1004,1,MATCH(COLUMNS($AC$1006:AC1006),$AC$1006:$AS$1006,0)))),"Fix")))</f>
        <v xml:space="preserve"> </v>
      </c>
      <c r="C407" s="4" t="str">
        <f ca="1">IF(OR(INDEX($W$2:$W$1001,MATCH(ROWS($V$2:V407),$V$2:$V$1001,0),1)&gt;=100000,INDEX($AC$1005:$AS$1005,1,MATCH(COLUMNS($AC$1006:AD1006),$AC$1006:$AS$1006,0))&gt;=100000), " ",IF(INDEX($AC$2:$AS$1001,MATCH(ROWS($V$2:V407),$V$2:$V$1001,0),MATCH(COLUMNS($AC$1006:AD1006),$AC$1006:$AS$1006,0)), HYPERLINK("#",""), HYPERLINK(CONCATENATE("#metadata!", ADDRESS(INDEX($X$2:$X$1001,MATCH(ROWS($V$2:V407),$V$2:$V$1001,0),0), INDEX($AC$1004:$AS$1004,1,MATCH(COLUMNS($AC$1006:AD1006),$AC$1006:$AS$1006,0)))),"Fix")))</f>
        <v xml:space="preserve"> </v>
      </c>
      <c r="D407" s="4" t="str">
        <f ca="1">IF(OR(INDEX($W$2:$W$1001,MATCH(ROWS($V$2:V407),$V$2:$V$1001,0),1)&gt;=100000,INDEX($AC$1005:$AS$1005,1,MATCH(COLUMNS($AC$1006:AE1006),$AC$1006:$AS$1006,0))&gt;=100000), " ",IF(INDEX($AC$2:$AS$1001,MATCH(ROWS($V$2:V407),$V$2:$V$1001,0),MATCH(COLUMNS($AC$1006:AE1006),$AC$1006:$AS$1006,0)), HYPERLINK("#",""), HYPERLINK(CONCATENATE("#metadata!", ADDRESS(INDEX($X$2:$X$1001,MATCH(ROWS($V$2:V407),$V$2:$V$1001,0),0), INDEX($AC$1004:$AS$1004,1,MATCH(COLUMNS($AC$1006:AE1006),$AC$1006:$AS$1006,0)))),"Fix")))</f>
        <v xml:space="preserve"> </v>
      </c>
      <c r="E407" s="4" t="str">
        <f ca="1">IF(OR(INDEX($W$2:$W$1001,MATCH(ROWS($V$2:V407),$V$2:$V$1001,0),1)&gt;=100000,INDEX($AC$1005:$AS$1005,1,MATCH(COLUMNS($AC$1006:AF1006),$AC$1006:$AS$1006,0))&gt;=100000), " ",IF(INDEX($AC$2:$AS$1001,MATCH(ROWS($V$2:V407),$V$2:$V$1001,0),MATCH(COLUMNS($AC$1006:AF1006),$AC$1006:$AS$1006,0)), HYPERLINK("#",""), HYPERLINK(CONCATENATE("#metadata!", ADDRESS(INDEX($X$2:$X$1001,MATCH(ROWS($V$2:V407),$V$2:$V$1001,0),0), INDEX($AC$1004:$AS$1004,1,MATCH(COLUMNS($AC$1006:AF1006),$AC$1006:$AS$1006,0)))),"Fix")))</f>
        <v xml:space="preserve"> </v>
      </c>
      <c r="F407" s="4" t="str">
        <f ca="1">IF(OR(INDEX($W$2:$W$1001,MATCH(ROWS($V$2:V407),$V$2:$V$1001,0),1)&gt;=100000,INDEX($AC$1005:$AS$1005,1,MATCH(COLUMNS($AC$1006:AG1006),$AC$1006:$AS$1006,0))&gt;=100000), " ",IF(INDEX($AC$2:$AS$1001,MATCH(ROWS($V$2:V407),$V$2:$V$1001,0),MATCH(COLUMNS($AC$1006:AG1006),$AC$1006:$AS$1006,0)), HYPERLINK("#",""), HYPERLINK(CONCATENATE("#metadata!", ADDRESS(INDEX($X$2:$X$1001,MATCH(ROWS($V$2:V407),$V$2:$V$1001,0),0), INDEX($AC$1004:$AS$1004,1,MATCH(COLUMNS($AC$1006:AG1006),$AC$1006:$AS$1006,0)))),"Fix")))</f>
        <v xml:space="preserve"> </v>
      </c>
      <c r="G407" s="4" t="str">
        <f ca="1">IF(OR(INDEX($W$2:$W$1001,MATCH(ROWS($V$2:V407),$V$2:$V$1001,0),1)&gt;=100000,INDEX($AC$1005:$AS$1005,1,MATCH(COLUMNS($AC$1006:AH1006),$AC$1006:$AS$1006,0))&gt;=100000), " ",IF(INDEX($AC$2:$AS$1001,MATCH(ROWS($V$2:V407),$V$2:$V$1001,0),MATCH(COLUMNS($AC$1006:AH1006),$AC$1006:$AS$1006,0)), HYPERLINK("#",""), HYPERLINK(CONCATENATE("#metadata!", ADDRESS(INDEX($X$2:$X$1001,MATCH(ROWS($V$2:V407),$V$2:$V$1001,0),0), INDEX($AC$1004:$AS$1004,1,MATCH(COLUMNS($AC$1006:AH1006),$AC$1006:$AS$1006,0)))),"Fix")))</f>
        <v xml:space="preserve"> </v>
      </c>
      <c r="H407" s="4" t="str">
        <f ca="1">IF(OR(INDEX($W$2:$W$1001,MATCH(ROWS($V$2:V407),$V$2:$V$1001,0),1)&gt;=100000,INDEX($AC$1005:$AS$1005,1,MATCH(COLUMNS($AC$1006:AI1006),$AC$1006:$AS$1006,0))&gt;=100000), " ",IF(INDEX($AC$2:$AS$1001,MATCH(ROWS($V$2:V407),$V$2:$V$1001,0),MATCH(COLUMNS($AC$1006:AI1006),$AC$1006:$AS$1006,0)), HYPERLINK("#",""), HYPERLINK(CONCATENATE("#metadata!", ADDRESS(INDEX($X$2:$X$1001,MATCH(ROWS($V$2:V407),$V$2:$V$1001,0),0), INDEX($AC$1004:$AS$1004,1,MATCH(COLUMNS($AC$1006:AI1006),$AC$1006:$AS$1006,0)))),"Fix")))</f>
        <v xml:space="preserve"> </v>
      </c>
      <c r="I407" s="4" t="str">
        <f ca="1">IF(OR(INDEX($W$2:$W$1001,MATCH(ROWS($V$2:V407),$V$2:$V$1001,0),1)&gt;=100000,INDEX($AC$1005:$AS$1005,1,MATCH(COLUMNS($AC$1006:AJ1006),$AC$1006:$AS$1006,0))&gt;=100000), " ",IF(INDEX($AC$2:$AS$1001,MATCH(ROWS($V$2:V407),$V$2:$V$1001,0),MATCH(COLUMNS($AC$1006:AJ1006),$AC$1006:$AS$1006,0)), HYPERLINK("#",""), HYPERLINK(CONCATENATE("#metadata!", ADDRESS(INDEX($X$2:$X$1001,MATCH(ROWS($V$2:V407),$V$2:$V$1001,0),0), INDEX($AC$1004:$AS$1004,1,MATCH(COLUMNS($AC$1006:AJ1006),$AC$1006:$AS$1006,0)))),"Fix")))</f>
        <v xml:space="preserve"> </v>
      </c>
      <c r="J407" s="4" t="str">
        <f ca="1">IF(OR(INDEX($W$2:$W$1001,MATCH(ROWS($V$2:V407),$V$2:$V$1001,0),1)&gt;=100000,INDEX($AC$1005:$AS$1005,1,MATCH(COLUMNS($AC$1006:AK1006),$AC$1006:$AS$1006,0))&gt;=100000), " ",IF(INDEX($AC$2:$AS$1001,MATCH(ROWS($V$2:V407),$V$2:$V$1001,0),MATCH(COLUMNS($AC$1006:AK1006),$AC$1006:$AS$1006,0)), HYPERLINK("#",""), HYPERLINK(CONCATENATE("#metadata!", ADDRESS(INDEX($X$2:$X$1001,MATCH(ROWS($V$2:V407),$V$2:$V$1001,0),0), INDEX($AC$1004:$AS$1004,1,MATCH(COLUMNS($AC$1006:AK1006),$AC$1006:$AS$1006,0)))),"Fix")))</f>
        <v xml:space="preserve"> </v>
      </c>
      <c r="K407" s="4" t="str">
        <f ca="1">IF(OR(INDEX($W$2:$W$1001,MATCH(ROWS($V$2:V407),$V$2:$V$1001,0),1)&gt;=100000,INDEX($AC$1005:$AS$1005,1,MATCH(COLUMNS($AC$1006:AL1006),$AC$1006:$AS$1006,0))&gt;=100000), " ",IF(INDEX($AC$2:$AS$1001,MATCH(ROWS($V$2:V407),$V$2:$V$1001,0),MATCH(COLUMNS($AC$1006:AL1006),$AC$1006:$AS$1006,0)), HYPERLINK("#",""), HYPERLINK(CONCATENATE("#metadata!", ADDRESS(INDEX($X$2:$X$1001,MATCH(ROWS($V$2:V407),$V$2:$V$1001,0),0), INDEX($AC$1004:$AS$1004,1,MATCH(COLUMNS($AC$1006:AL1006),$AC$1006:$AS$1006,0)))),"Fix")))</f>
        <v xml:space="preserve"> </v>
      </c>
      <c r="L407" s="4" t="str">
        <f ca="1">IF(OR(INDEX($W$2:$W$1001,MATCH(ROWS($V$2:V407),$V$2:$V$1001,0),1)&gt;=100000,INDEX($AC$1005:$AS$1005,1,MATCH(COLUMNS($AC$1006:AM1006),$AC$1006:$AS$1006,0))&gt;=100000), " ",IF(INDEX($AC$2:$AS$1001,MATCH(ROWS($V$2:V407),$V$2:$V$1001,0),MATCH(COLUMNS($AC$1006:AM1006),$AC$1006:$AS$1006,0)), HYPERLINK("#",""), HYPERLINK(CONCATENATE("#metadata!", ADDRESS(INDEX($X$2:$X$1001,MATCH(ROWS($V$2:V407),$V$2:$V$1001,0),0), INDEX($AC$1004:$AS$1004,1,MATCH(COLUMNS($AC$1006:AM1006),$AC$1006:$AS$1006,0)))),"Fix")))</f>
        <v xml:space="preserve"> </v>
      </c>
      <c r="M407" s="4" t="str">
        <f ca="1">IF(OR(INDEX($W$2:$W$1001,MATCH(ROWS($V$2:V407),$V$2:$V$1001,0),1)&gt;=100000,INDEX($AC$1005:$AS$1005,1,MATCH(COLUMNS($AC$1006:AN1006),$AC$1006:$AS$1006,0))&gt;=100000), " ",IF(INDEX($AC$2:$AS$1001,MATCH(ROWS($V$2:V407),$V$2:$V$1001,0),MATCH(COLUMNS($AC$1006:AN1006),$AC$1006:$AS$1006,0)), HYPERLINK("#",""), HYPERLINK(CONCATENATE("#metadata!", ADDRESS(INDEX($X$2:$X$1001,MATCH(ROWS($V$2:V407),$V$2:$V$1001,0),0), INDEX($AC$1004:$AS$1004,1,MATCH(COLUMNS($AC$1006:AN1006),$AC$1006:$AS$1006,0)))),"Fix")))</f>
        <v xml:space="preserve"> </v>
      </c>
      <c r="N407" s="4" t="str">
        <f ca="1">IF(OR(INDEX($W$2:$W$1001,MATCH(ROWS($V$2:V407),$V$2:$V$1001,0),1)&gt;=100000,INDEX($AC$1005:$AS$1005,1,MATCH(COLUMNS($AC$1006:AO1006),$AC$1006:$AS$1006,0))&gt;=100000), " ",IF(INDEX($AC$2:$AS$1001,MATCH(ROWS($V$2:V407),$V$2:$V$1001,0),MATCH(COLUMNS($AC$1006:AO1006),$AC$1006:$AS$1006,0)), HYPERLINK("#",""), HYPERLINK(CONCATENATE("#metadata!", ADDRESS(INDEX($X$2:$X$1001,MATCH(ROWS($V$2:V407),$V$2:$V$1001,0),0), INDEX($AC$1004:$AS$1004,1,MATCH(COLUMNS($AC$1006:AO1006),$AC$1006:$AS$1006,0)))),"Fix")))</f>
        <v xml:space="preserve"> </v>
      </c>
      <c r="O407" s="4" t="str">
        <f ca="1">IF(OR(INDEX($W$2:$W$1001,MATCH(ROWS($V$2:V407),$V$2:$V$1001,0),1)&gt;=100000,INDEX($AC$1005:$AS$1005,1,MATCH(COLUMNS($AC$1006:AP1006),$AC$1006:$AS$1006,0))&gt;=100000), " ",IF(INDEX($AC$2:$AS$1001,MATCH(ROWS($V$2:V407),$V$2:$V$1001,0),MATCH(COLUMNS($AC$1006:AP1006),$AC$1006:$AS$1006,0)), HYPERLINK("#",""), HYPERLINK(CONCATENATE("#metadata!", ADDRESS(INDEX($X$2:$X$1001,MATCH(ROWS($V$2:V407),$V$2:$V$1001,0),0), INDEX($AC$1004:$AS$1004,1,MATCH(COLUMNS($AC$1006:AP1006),$AC$1006:$AS$1006,0)))),"Fix")))</f>
        <v xml:space="preserve"> </v>
      </c>
      <c r="P407" s="4" t="str">
        <f ca="1">IF(OR(INDEX($W$2:$W$1001,MATCH(ROWS($V$2:V407),$V$2:$V$1001,0),1)&gt;=100000,INDEX($AC$1005:$AS$1005,1,MATCH(COLUMNS($AC$1006:AQ1006),$AC$1006:$AS$1006,0))&gt;=100000), " ",IF(INDEX($AC$2:$AS$1001,MATCH(ROWS($V$2:V407),$V$2:$V$1001,0),MATCH(COLUMNS($AC$1006:AQ1006),$AC$1006:$AS$1006,0)), HYPERLINK("#",""), HYPERLINK(CONCATENATE("#metadata!", ADDRESS(INDEX($X$2:$X$1001,MATCH(ROWS($V$2:V407),$V$2:$V$1001,0),0), INDEX($AC$1004:$AS$1004,1,MATCH(COLUMNS($AC$1006:AQ1006),$AC$1006:$AS$1006,0)))),"Fix")))</f>
        <v xml:space="preserve"> </v>
      </c>
      <c r="Q407" s="4" t="str">
        <f ca="1">IF(OR(INDEX($W$2:$W$1001,MATCH(ROWS($V$2:V407),$V$2:$V$1001,0),1)&gt;=100000,INDEX($AC$1005:$AS$1005,1,MATCH(COLUMNS($AC$1006:AR1006),$AC$1006:$AS$1006,0))&gt;=100000), " ",IF(INDEX($AC$2:$AS$1001,MATCH(ROWS($V$2:V407),$V$2:$V$1001,0),MATCH(COLUMNS($AC$1006:AR1006),$AC$1006:$AS$1006,0)), HYPERLINK("#",""), HYPERLINK(CONCATENATE("#metadata!", ADDRESS(INDEX($X$2:$X$1001,MATCH(ROWS($V$2:V407),$V$2:$V$1001,0),0), INDEX($AC$1004:$AS$1004,1,MATCH(COLUMNS($AC$1006:AR1006),$AC$1006:$AS$1006,0)))),"Fix")))</f>
        <v xml:space="preserve"> </v>
      </c>
      <c r="R407" s="4" t="str">
        <f ca="1">IF(OR(INDEX($W$2:$W$1001,MATCH(ROWS($V$2:V407),$V$2:$V$1001,0),1)&gt;=100000,INDEX($AC$1005:$AS$1005,1,MATCH(COLUMNS($AC$1006:AS1006),$AC$1006:$AS$1006,0))&gt;=100000), " ",IF(INDEX($AC$2:$AS$1001,MATCH(ROWS($V$2:V407),$V$2:$V$1001,0),MATCH(COLUMNS($AC$1006:AS1006),$AC$1006:$AS$1006,0)), HYPERLINK("#",""), HYPERLINK(CONCATENATE("#metadata!", ADDRESS(INDEX($X$2:$X$1001,MATCH(ROWS($V$2:V407),$V$2:$V$1001,0),0), INDEX($AC$1004:$AS$1004,1,MATCH(COLUMNS($AC$1006:AS1006),$AC$1006:$AS$1006,0)))),"Fix")))</f>
        <v xml:space="preserve"> </v>
      </c>
      <c r="V407">
        <v>406</v>
      </c>
      <c r="W407">
        <v>100407</v>
      </c>
      <c r="X407">
        <v>407</v>
      </c>
      <c r="Y407" t="b">
        <f t="shared" si="6"/>
        <v>1</v>
      </c>
      <c r="Z407" t="b">
        <f>COUNTBLANK(metadata!B407:R407)=COLUMNS(metadata!B407:R407)</f>
        <v>1</v>
      </c>
      <c r="AA407" t="str">
        <v/>
      </c>
      <c r="AC407" t="b">
        <f ca="1"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AD407" t="b">
        <f>IF(metadata!C407="",FALSE,ISNUMBER(VALUE(metadata!C407)))</f>
        <v>0</v>
      </c>
      <c r="AE407" t="b">
        <f>AND(IF(metadata!D407="",FALSE,TRUE),EXACT(metadata!D407,"years"))</f>
        <v>0</v>
      </c>
      <c r="AF407" t="b">
        <f>OR(AND(IF(metadata!E407="",FALSE,TRUE),OR(EXACT(metadata!E407,"not applicable"),EXACT(metadata!E407,"missing: not collected"),EXACT(metadata!E407,"missing: not provided"),EXACT(metadata!E407,"missing: restricted access"))),AND(IF(metadata!E407="",FALSE,ISNUMBER(VALUE(metadata!E407))),metadata!E407&gt;0))</f>
        <v>0</v>
      </c>
      <c r="AG407" t="b">
        <f>AND(IF(metadata!F407="",FALSE,TRUE),EXACT(metadata!F407,"Not applicable"))</f>
        <v>0</v>
      </c>
      <c r="AH407" t="b">
        <f>AND(IF(metadata!G407="",FALSE,TRUE),EXACT(metadata!G407,"urban biome"))</f>
        <v>0</v>
      </c>
      <c r="AI407" t="b">
        <f>AND(IF(metadata!H407="",FALSE,TRUE),EXACT(metadata!H407,"human-associated habitat"))</f>
        <v>0</v>
      </c>
      <c r="AJ407" t="b">
        <f>AND(IF(metadata!I407="",FALSE,TRUE),OR(EXACT(metadata!I407,"human-associated"),EXACT(metadata!I407,"human-skin"),EXACT(metadata!I407,"human-oral"),EXACT(metadata!I407,"human-gut"),EXACT(metadata!I407,"human-vaginal")))</f>
        <v>0</v>
      </c>
      <c r="AK407" t="b">
        <f>IF(metadata!J407="",FALSE,ISNUMBER(VALUE(metadata!J407)))</f>
        <v>0</v>
      </c>
      <c r="AL407" t="b">
        <f>AND(IF(metadata!K407="",FALSE,TRUE),EXACT(metadata!K407,"cm"))</f>
        <v>0</v>
      </c>
      <c r="AM407" t="b">
        <f>AND(IF(metadata!L407="",FALSE,TRUE),EXACT(metadata!L407,"human"))</f>
        <v>0</v>
      </c>
      <c r="AN407" t="b">
        <f>AND(IF(metadata!M407="",FALSE,TRUE),EXACT(metadata!M407,"Homo sapiens"))</f>
        <v>0</v>
      </c>
      <c r="AO407" t="b">
        <f>AND(IF(metadata!N407="",FALSE,TRUE),EXACT(metadata!N407,"9606"))</f>
        <v>0</v>
      </c>
      <c r="AP407" t="b">
        <f>IF(metadata!O407="",FALSE,TRUE)</f>
        <v>0</v>
      </c>
      <c r="AQ407" t="b">
        <f>IF(metadata!P407="",FALSE,TRUE)</f>
        <v>0</v>
      </c>
      <c r="AR407" t="b">
        <f>IF(metadata!Q407="",FALSE,ISNUMBER(VALUE(metadata!Q407)))</f>
        <v>0</v>
      </c>
      <c r="AS407" t="b">
        <f>AND(IF(metadata!R407="",FALSE,TRUE),EXACT(metadata!R407,"kg"))</f>
        <v>0</v>
      </c>
    </row>
    <row r="408" spans="1:45" x14ac:dyDescent="0.2">
      <c r="A408" s="5" t="str">
        <f ca="1">IF(B408=" "," ",HYPERLINK(CONCATENATE("#metadata!",ADDRESS(INDEX($X$2:$X$1001,MATCH(ROWS($V$2:V408),$V$2:$V$1001,0),0),1)),INDEX($AA$2:$AA$1001,MATCH(ROWS($V$2:V408),$V$2:$V$1001,0),0)))</f>
        <v xml:space="preserve"> </v>
      </c>
      <c r="B408" s="4" t="str">
        <f ca="1">IF(OR(INDEX($W$2:$W$1001,MATCH(ROWS($V$2:V408),$V$2:$V$1001,0),1)&gt;=100000,INDEX($AC$1005:$AS$1005,1,MATCH(COLUMNS($AC$1006:AC1006),$AC$1006:$AS$1006,0))&gt;=100000), " ",IF(INDEX($AC$2:$AS$1001,MATCH(ROWS($V$2:V408),$V$2:$V$1001,0),MATCH(COLUMNS($AC$1006:AC1006),$AC$1006:$AS$1006,0)), HYPERLINK("#",""), HYPERLINK(CONCATENATE("#metadata!", ADDRESS(INDEX($X$2:$X$1001,MATCH(ROWS($V$2:V408),$V$2:$V$1001,0),0), INDEX($AC$1004:$AS$1004,1,MATCH(COLUMNS($AC$1006:AC1006),$AC$1006:$AS$1006,0)))),"Fix")))</f>
        <v xml:space="preserve"> </v>
      </c>
      <c r="C408" s="4" t="str">
        <f ca="1">IF(OR(INDEX($W$2:$W$1001,MATCH(ROWS($V$2:V408),$V$2:$V$1001,0),1)&gt;=100000,INDEX($AC$1005:$AS$1005,1,MATCH(COLUMNS($AC$1006:AD1006),$AC$1006:$AS$1006,0))&gt;=100000), " ",IF(INDEX($AC$2:$AS$1001,MATCH(ROWS($V$2:V408),$V$2:$V$1001,0),MATCH(COLUMNS($AC$1006:AD1006),$AC$1006:$AS$1006,0)), HYPERLINK("#",""), HYPERLINK(CONCATENATE("#metadata!", ADDRESS(INDEX($X$2:$X$1001,MATCH(ROWS($V$2:V408),$V$2:$V$1001,0),0), INDEX($AC$1004:$AS$1004,1,MATCH(COLUMNS($AC$1006:AD1006),$AC$1006:$AS$1006,0)))),"Fix")))</f>
        <v xml:space="preserve"> </v>
      </c>
      <c r="D408" s="4" t="str">
        <f ca="1">IF(OR(INDEX($W$2:$W$1001,MATCH(ROWS($V$2:V408),$V$2:$V$1001,0),1)&gt;=100000,INDEX($AC$1005:$AS$1005,1,MATCH(COLUMNS($AC$1006:AE1006),$AC$1006:$AS$1006,0))&gt;=100000), " ",IF(INDEX($AC$2:$AS$1001,MATCH(ROWS($V$2:V408),$V$2:$V$1001,0),MATCH(COLUMNS($AC$1006:AE1006),$AC$1006:$AS$1006,0)), HYPERLINK("#",""), HYPERLINK(CONCATENATE("#metadata!", ADDRESS(INDEX($X$2:$X$1001,MATCH(ROWS($V$2:V408),$V$2:$V$1001,0),0), INDEX($AC$1004:$AS$1004,1,MATCH(COLUMNS($AC$1006:AE1006),$AC$1006:$AS$1006,0)))),"Fix")))</f>
        <v xml:space="preserve"> </v>
      </c>
      <c r="E408" s="4" t="str">
        <f ca="1">IF(OR(INDEX($W$2:$W$1001,MATCH(ROWS($V$2:V408),$V$2:$V$1001,0),1)&gt;=100000,INDEX($AC$1005:$AS$1005,1,MATCH(COLUMNS($AC$1006:AF1006),$AC$1006:$AS$1006,0))&gt;=100000), " ",IF(INDEX($AC$2:$AS$1001,MATCH(ROWS($V$2:V408),$V$2:$V$1001,0),MATCH(COLUMNS($AC$1006:AF1006),$AC$1006:$AS$1006,0)), HYPERLINK("#",""), HYPERLINK(CONCATENATE("#metadata!", ADDRESS(INDEX($X$2:$X$1001,MATCH(ROWS($V$2:V408),$V$2:$V$1001,0),0), INDEX($AC$1004:$AS$1004,1,MATCH(COLUMNS($AC$1006:AF1006),$AC$1006:$AS$1006,0)))),"Fix")))</f>
        <v xml:space="preserve"> </v>
      </c>
      <c r="F408" s="4" t="str">
        <f ca="1">IF(OR(INDEX($W$2:$W$1001,MATCH(ROWS($V$2:V408),$V$2:$V$1001,0),1)&gt;=100000,INDEX($AC$1005:$AS$1005,1,MATCH(COLUMNS($AC$1006:AG1006),$AC$1006:$AS$1006,0))&gt;=100000), " ",IF(INDEX($AC$2:$AS$1001,MATCH(ROWS($V$2:V408),$V$2:$V$1001,0),MATCH(COLUMNS($AC$1006:AG1006),$AC$1006:$AS$1006,0)), HYPERLINK("#",""), HYPERLINK(CONCATENATE("#metadata!", ADDRESS(INDEX($X$2:$X$1001,MATCH(ROWS($V$2:V408),$V$2:$V$1001,0),0), INDEX($AC$1004:$AS$1004,1,MATCH(COLUMNS($AC$1006:AG1006),$AC$1006:$AS$1006,0)))),"Fix")))</f>
        <v xml:space="preserve"> </v>
      </c>
      <c r="G408" s="4" t="str">
        <f ca="1">IF(OR(INDEX($W$2:$W$1001,MATCH(ROWS($V$2:V408),$V$2:$V$1001,0),1)&gt;=100000,INDEX($AC$1005:$AS$1005,1,MATCH(COLUMNS($AC$1006:AH1006),$AC$1006:$AS$1006,0))&gt;=100000), " ",IF(INDEX($AC$2:$AS$1001,MATCH(ROWS($V$2:V408),$V$2:$V$1001,0),MATCH(COLUMNS($AC$1006:AH1006),$AC$1006:$AS$1006,0)), HYPERLINK("#",""), HYPERLINK(CONCATENATE("#metadata!", ADDRESS(INDEX($X$2:$X$1001,MATCH(ROWS($V$2:V408),$V$2:$V$1001,0),0), INDEX($AC$1004:$AS$1004,1,MATCH(COLUMNS($AC$1006:AH1006),$AC$1006:$AS$1006,0)))),"Fix")))</f>
        <v xml:space="preserve"> </v>
      </c>
      <c r="H408" s="4" t="str">
        <f ca="1">IF(OR(INDEX($W$2:$W$1001,MATCH(ROWS($V$2:V408),$V$2:$V$1001,0),1)&gt;=100000,INDEX($AC$1005:$AS$1005,1,MATCH(COLUMNS($AC$1006:AI1006),$AC$1006:$AS$1006,0))&gt;=100000), " ",IF(INDEX($AC$2:$AS$1001,MATCH(ROWS($V$2:V408),$V$2:$V$1001,0),MATCH(COLUMNS($AC$1006:AI1006),$AC$1006:$AS$1006,0)), HYPERLINK("#",""), HYPERLINK(CONCATENATE("#metadata!", ADDRESS(INDEX($X$2:$X$1001,MATCH(ROWS($V$2:V408),$V$2:$V$1001,0),0), INDEX($AC$1004:$AS$1004,1,MATCH(COLUMNS($AC$1006:AI1006),$AC$1006:$AS$1006,0)))),"Fix")))</f>
        <v xml:space="preserve"> </v>
      </c>
      <c r="I408" s="4" t="str">
        <f ca="1">IF(OR(INDEX($W$2:$W$1001,MATCH(ROWS($V$2:V408),$V$2:$V$1001,0),1)&gt;=100000,INDEX($AC$1005:$AS$1005,1,MATCH(COLUMNS($AC$1006:AJ1006),$AC$1006:$AS$1006,0))&gt;=100000), " ",IF(INDEX($AC$2:$AS$1001,MATCH(ROWS($V$2:V408),$V$2:$V$1001,0),MATCH(COLUMNS($AC$1006:AJ1006),$AC$1006:$AS$1006,0)), HYPERLINK("#",""), HYPERLINK(CONCATENATE("#metadata!", ADDRESS(INDEX($X$2:$X$1001,MATCH(ROWS($V$2:V408),$V$2:$V$1001,0),0), INDEX($AC$1004:$AS$1004,1,MATCH(COLUMNS($AC$1006:AJ1006),$AC$1006:$AS$1006,0)))),"Fix")))</f>
        <v xml:space="preserve"> </v>
      </c>
      <c r="J408" s="4" t="str">
        <f ca="1">IF(OR(INDEX($W$2:$W$1001,MATCH(ROWS($V$2:V408),$V$2:$V$1001,0),1)&gt;=100000,INDEX($AC$1005:$AS$1005,1,MATCH(COLUMNS($AC$1006:AK1006),$AC$1006:$AS$1006,0))&gt;=100000), " ",IF(INDEX($AC$2:$AS$1001,MATCH(ROWS($V$2:V408),$V$2:$V$1001,0),MATCH(COLUMNS($AC$1006:AK1006),$AC$1006:$AS$1006,0)), HYPERLINK("#",""), HYPERLINK(CONCATENATE("#metadata!", ADDRESS(INDEX($X$2:$X$1001,MATCH(ROWS($V$2:V408),$V$2:$V$1001,0),0), INDEX($AC$1004:$AS$1004,1,MATCH(COLUMNS($AC$1006:AK1006),$AC$1006:$AS$1006,0)))),"Fix")))</f>
        <v xml:space="preserve"> </v>
      </c>
      <c r="K408" s="4" t="str">
        <f ca="1">IF(OR(INDEX($W$2:$W$1001,MATCH(ROWS($V$2:V408),$V$2:$V$1001,0),1)&gt;=100000,INDEX($AC$1005:$AS$1005,1,MATCH(COLUMNS($AC$1006:AL1006),$AC$1006:$AS$1006,0))&gt;=100000), " ",IF(INDEX($AC$2:$AS$1001,MATCH(ROWS($V$2:V408),$V$2:$V$1001,0),MATCH(COLUMNS($AC$1006:AL1006),$AC$1006:$AS$1006,0)), HYPERLINK("#",""), HYPERLINK(CONCATENATE("#metadata!", ADDRESS(INDEX($X$2:$X$1001,MATCH(ROWS($V$2:V408),$V$2:$V$1001,0),0), INDEX($AC$1004:$AS$1004,1,MATCH(COLUMNS($AC$1006:AL1006),$AC$1006:$AS$1006,0)))),"Fix")))</f>
        <v xml:space="preserve"> </v>
      </c>
      <c r="L408" s="4" t="str">
        <f ca="1">IF(OR(INDEX($W$2:$W$1001,MATCH(ROWS($V$2:V408),$V$2:$V$1001,0),1)&gt;=100000,INDEX($AC$1005:$AS$1005,1,MATCH(COLUMNS($AC$1006:AM1006),$AC$1006:$AS$1006,0))&gt;=100000), " ",IF(INDEX($AC$2:$AS$1001,MATCH(ROWS($V$2:V408),$V$2:$V$1001,0),MATCH(COLUMNS($AC$1006:AM1006),$AC$1006:$AS$1006,0)), HYPERLINK("#",""), HYPERLINK(CONCATENATE("#metadata!", ADDRESS(INDEX($X$2:$X$1001,MATCH(ROWS($V$2:V408),$V$2:$V$1001,0),0), INDEX($AC$1004:$AS$1004,1,MATCH(COLUMNS($AC$1006:AM1006),$AC$1006:$AS$1006,0)))),"Fix")))</f>
        <v xml:space="preserve"> </v>
      </c>
      <c r="M408" s="4" t="str">
        <f ca="1">IF(OR(INDEX($W$2:$W$1001,MATCH(ROWS($V$2:V408),$V$2:$V$1001,0),1)&gt;=100000,INDEX($AC$1005:$AS$1005,1,MATCH(COLUMNS($AC$1006:AN1006),$AC$1006:$AS$1006,0))&gt;=100000), " ",IF(INDEX($AC$2:$AS$1001,MATCH(ROWS($V$2:V408),$V$2:$V$1001,0),MATCH(COLUMNS($AC$1006:AN1006),$AC$1006:$AS$1006,0)), HYPERLINK("#",""), HYPERLINK(CONCATENATE("#metadata!", ADDRESS(INDEX($X$2:$X$1001,MATCH(ROWS($V$2:V408),$V$2:$V$1001,0),0), INDEX($AC$1004:$AS$1004,1,MATCH(COLUMNS($AC$1006:AN1006),$AC$1006:$AS$1006,0)))),"Fix")))</f>
        <v xml:space="preserve"> </v>
      </c>
      <c r="N408" s="4" t="str">
        <f ca="1">IF(OR(INDEX($W$2:$W$1001,MATCH(ROWS($V$2:V408),$V$2:$V$1001,0),1)&gt;=100000,INDEX($AC$1005:$AS$1005,1,MATCH(COLUMNS($AC$1006:AO1006),$AC$1006:$AS$1006,0))&gt;=100000), " ",IF(INDEX($AC$2:$AS$1001,MATCH(ROWS($V$2:V408),$V$2:$V$1001,0),MATCH(COLUMNS($AC$1006:AO1006),$AC$1006:$AS$1006,0)), HYPERLINK("#",""), HYPERLINK(CONCATENATE("#metadata!", ADDRESS(INDEX($X$2:$X$1001,MATCH(ROWS($V$2:V408),$V$2:$V$1001,0),0), INDEX($AC$1004:$AS$1004,1,MATCH(COLUMNS($AC$1006:AO1006),$AC$1006:$AS$1006,0)))),"Fix")))</f>
        <v xml:space="preserve"> </v>
      </c>
      <c r="O408" s="4" t="str">
        <f ca="1">IF(OR(INDEX($W$2:$W$1001,MATCH(ROWS($V$2:V408),$V$2:$V$1001,0),1)&gt;=100000,INDEX($AC$1005:$AS$1005,1,MATCH(COLUMNS($AC$1006:AP1006),$AC$1006:$AS$1006,0))&gt;=100000), " ",IF(INDEX($AC$2:$AS$1001,MATCH(ROWS($V$2:V408),$V$2:$V$1001,0),MATCH(COLUMNS($AC$1006:AP1006),$AC$1006:$AS$1006,0)), HYPERLINK("#",""), HYPERLINK(CONCATENATE("#metadata!", ADDRESS(INDEX($X$2:$X$1001,MATCH(ROWS($V$2:V408),$V$2:$V$1001,0),0), INDEX($AC$1004:$AS$1004,1,MATCH(COLUMNS($AC$1006:AP1006),$AC$1006:$AS$1006,0)))),"Fix")))</f>
        <v xml:space="preserve"> </v>
      </c>
      <c r="P408" s="4" t="str">
        <f ca="1">IF(OR(INDEX($W$2:$W$1001,MATCH(ROWS($V$2:V408),$V$2:$V$1001,0),1)&gt;=100000,INDEX($AC$1005:$AS$1005,1,MATCH(COLUMNS($AC$1006:AQ1006),$AC$1006:$AS$1006,0))&gt;=100000), " ",IF(INDEX($AC$2:$AS$1001,MATCH(ROWS($V$2:V408),$V$2:$V$1001,0),MATCH(COLUMNS($AC$1006:AQ1006),$AC$1006:$AS$1006,0)), HYPERLINK("#",""), HYPERLINK(CONCATENATE("#metadata!", ADDRESS(INDEX($X$2:$X$1001,MATCH(ROWS($V$2:V408),$V$2:$V$1001,0),0), INDEX($AC$1004:$AS$1004,1,MATCH(COLUMNS($AC$1006:AQ1006),$AC$1006:$AS$1006,0)))),"Fix")))</f>
        <v xml:space="preserve"> </v>
      </c>
      <c r="Q408" s="4" t="str">
        <f ca="1">IF(OR(INDEX($W$2:$W$1001,MATCH(ROWS($V$2:V408),$V$2:$V$1001,0),1)&gt;=100000,INDEX($AC$1005:$AS$1005,1,MATCH(COLUMNS($AC$1006:AR1006),$AC$1006:$AS$1006,0))&gt;=100000), " ",IF(INDEX($AC$2:$AS$1001,MATCH(ROWS($V$2:V408),$V$2:$V$1001,0),MATCH(COLUMNS($AC$1006:AR1006),$AC$1006:$AS$1006,0)), HYPERLINK("#",""), HYPERLINK(CONCATENATE("#metadata!", ADDRESS(INDEX($X$2:$X$1001,MATCH(ROWS($V$2:V408),$V$2:$V$1001,0),0), INDEX($AC$1004:$AS$1004,1,MATCH(COLUMNS($AC$1006:AR1006),$AC$1006:$AS$1006,0)))),"Fix")))</f>
        <v xml:space="preserve"> </v>
      </c>
      <c r="R408" s="4" t="str">
        <f ca="1">IF(OR(INDEX($W$2:$W$1001,MATCH(ROWS($V$2:V408),$V$2:$V$1001,0),1)&gt;=100000,INDEX($AC$1005:$AS$1005,1,MATCH(COLUMNS($AC$1006:AS1006),$AC$1006:$AS$1006,0))&gt;=100000), " ",IF(INDEX($AC$2:$AS$1001,MATCH(ROWS($V$2:V408),$V$2:$V$1001,0),MATCH(COLUMNS($AC$1006:AS1006),$AC$1006:$AS$1006,0)), HYPERLINK("#",""), HYPERLINK(CONCATENATE("#metadata!", ADDRESS(INDEX($X$2:$X$1001,MATCH(ROWS($V$2:V408),$V$2:$V$1001,0),0), INDEX($AC$1004:$AS$1004,1,MATCH(COLUMNS($AC$1006:AS1006),$AC$1006:$AS$1006,0)))),"Fix")))</f>
        <v xml:space="preserve"> </v>
      </c>
      <c r="V408">
        <v>407</v>
      </c>
      <c r="W408">
        <v>100408</v>
      </c>
      <c r="X408">
        <v>408</v>
      </c>
      <c r="Y408" t="b">
        <f t="shared" si="6"/>
        <v>1</v>
      </c>
      <c r="Z408" t="b">
        <f>COUNTBLANK(metadata!B408:R408)=COLUMNS(metadata!B408:R408)</f>
        <v>1</v>
      </c>
      <c r="AA408" t="str">
        <v/>
      </c>
      <c r="AC408" t="b">
        <f ca="1"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AD408" t="b">
        <f>IF(metadata!C408="",FALSE,ISNUMBER(VALUE(metadata!C408)))</f>
        <v>0</v>
      </c>
      <c r="AE408" t="b">
        <f>AND(IF(metadata!D408="",FALSE,TRUE),EXACT(metadata!D408,"years"))</f>
        <v>0</v>
      </c>
      <c r="AF408" t="b">
        <f>OR(AND(IF(metadata!E408="",FALSE,TRUE),OR(EXACT(metadata!E408,"not applicable"),EXACT(metadata!E408,"missing: not collected"),EXACT(metadata!E408,"missing: not provided"),EXACT(metadata!E408,"missing: restricted access"))),AND(IF(metadata!E408="",FALSE,ISNUMBER(VALUE(metadata!E408))),metadata!E408&gt;0))</f>
        <v>0</v>
      </c>
      <c r="AG408" t="b">
        <f>AND(IF(metadata!F408="",FALSE,TRUE),EXACT(metadata!F408,"Not applicable"))</f>
        <v>0</v>
      </c>
      <c r="AH408" t="b">
        <f>AND(IF(metadata!G408="",FALSE,TRUE),EXACT(metadata!G408,"urban biome"))</f>
        <v>0</v>
      </c>
      <c r="AI408" t="b">
        <f>AND(IF(metadata!H408="",FALSE,TRUE),EXACT(metadata!H408,"human-associated habitat"))</f>
        <v>0</v>
      </c>
      <c r="AJ408" t="b">
        <f>AND(IF(metadata!I408="",FALSE,TRUE),OR(EXACT(metadata!I408,"human-associated"),EXACT(metadata!I408,"human-skin"),EXACT(metadata!I408,"human-oral"),EXACT(metadata!I408,"human-gut"),EXACT(metadata!I408,"human-vaginal")))</f>
        <v>0</v>
      </c>
      <c r="AK408" t="b">
        <f>IF(metadata!J408="",FALSE,ISNUMBER(VALUE(metadata!J408)))</f>
        <v>0</v>
      </c>
      <c r="AL408" t="b">
        <f>AND(IF(metadata!K408="",FALSE,TRUE),EXACT(metadata!K408,"cm"))</f>
        <v>0</v>
      </c>
      <c r="AM408" t="b">
        <f>AND(IF(metadata!L408="",FALSE,TRUE),EXACT(metadata!L408,"human"))</f>
        <v>0</v>
      </c>
      <c r="AN408" t="b">
        <f>AND(IF(metadata!M408="",FALSE,TRUE),EXACT(metadata!M408,"Homo sapiens"))</f>
        <v>0</v>
      </c>
      <c r="AO408" t="b">
        <f>AND(IF(metadata!N408="",FALSE,TRUE),EXACT(metadata!N408,"9606"))</f>
        <v>0</v>
      </c>
      <c r="AP408" t="b">
        <f>IF(metadata!O408="",FALSE,TRUE)</f>
        <v>0</v>
      </c>
      <c r="AQ408" t="b">
        <f>IF(metadata!P408="",FALSE,TRUE)</f>
        <v>0</v>
      </c>
      <c r="AR408" t="b">
        <f>IF(metadata!Q408="",FALSE,ISNUMBER(VALUE(metadata!Q408)))</f>
        <v>0</v>
      </c>
      <c r="AS408" t="b">
        <f>AND(IF(metadata!R408="",FALSE,TRUE),EXACT(metadata!R408,"kg"))</f>
        <v>0</v>
      </c>
    </row>
    <row r="409" spans="1:45" x14ac:dyDescent="0.2">
      <c r="A409" s="5" t="str">
        <f ca="1">IF(B409=" "," ",HYPERLINK(CONCATENATE("#metadata!",ADDRESS(INDEX($X$2:$X$1001,MATCH(ROWS($V$2:V409),$V$2:$V$1001,0),0),1)),INDEX($AA$2:$AA$1001,MATCH(ROWS($V$2:V409),$V$2:$V$1001,0),0)))</f>
        <v xml:space="preserve"> </v>
      </c>
      <c r="B409" s="4" t="str">
        <f ca="1">IF(OR(INDEX($W$2:$W$1001,MATCH(ROWS($V$2:V409),$V$2:$V$1001,0),1)&gt;=100000,INDEX($AC$1005:$AS$1005,1,MATCH(COLUMNS($AC$1006:AC1006),$AC$1006:$AS$1006,0))&gt;=100000), " ",IF(INDEX($AC$2:$AS$1001,MATCH(ROWS($V$2:V409),$V$2:$V$1001,0),MATCH(COLUMNS($AC$1006:AC1006),$AC$1006:$AS$1006,0)), HYPERLINK("#",""), HYPERLINK(CONCATENATE("#metadata!", ADDRESS(INDEX($X$2:$X$1001,MATCH(ROWS($V$2:V409),$V$2:$V$1001,0),0), INDEX($AC$1004:$AS$1004,1,MATCH(COLUMNS($AC$1006:AC1006),$AC$1006:$AS$1006,0)))),"Fix")))</f>
        <v xml:space="preserve"> </v>
      </c>
      <c r="C409" s="4" t="str">
        <f ca="1">IF(OR(INDEX($W$2:$W$1001,MATCH(ROWS($V$2:V409),$V$2:$V$1001,0),1)&gt;=100000,INDEX($AC$1005:$AS$1005,1,MATCH(COLUMNS($AC$1006:AD1006),$AC$1006:$AS$1006,0))&gt;=100000), " ",IF(INDEX($AC$2:$AS$1001,MATCH(ROWS($V$2:V409),$V$2:$V$1001,0),MATCH(COLUMNS($AC$1006:AD1006),$AC$1006:$AS$1006,0)), HYPERLINK("#",""), HYPERLINK(CONCATENATE("#metadata!", ADDRESS(INDEX($X$2:$X$1001,MATCH(ROWS($V$2:V409),$V$2:$V$1001,0),0), INDEX($AC$1004:$AS$1004,1,MATCH(COLUMNS($AC$1006:AD1006),$AC$1006:$AS$1006,0)))),"Fix")))</f>
        <v xml:space="preserve"> </v>
      </c>
      <c r="D409" s="4" t="str">
        <f ca="1">IF(OR(INDEX($W$2:$W$1001,MATCH(ROWS($V$2:V409),$V$2:$V$1001,0),1)&gt;=100000,INDEX($AC$1005:$AS$1005,1,MATCH(COLUMNS($AC$1006:AE1006),$AC$1006:$AS$1006,0))&gt;=100000), " ",IF(INDEX($AC$2:$AS$1001,MATCH(ROWS($V$2:V409),$V$2:$V$1001,0),MATCH(COLUMNS($AC$1006:AE1006),$AC$1006:$AS$1006,0)), HYPERLINK("#",""), HYPERLINK(CONCATENATE("#metadata!", ADDRESS(INDEX($X$2:$X$1001,MATCH(ROWS($V$2:V409),$V$2:$V$1001,0),0), INDEX($AC$1004:$AS$1004,1,MATCH(COLUMNS($AC$1006:AE1006),$AC$1006:$AS$1006,0)))),"Fix")))</f>
        <v xml:space="preserve"> </v>
      </c>
      <c r="E409" s="4" t="str">
        <f ca="1">IF(OR(INDEX($W$2:$W$1001,MATCH(ROWS($V$2:V409),$V$2:$V$1001,0),1)&gt;=100000,INDEX($AC$1005:$AS$1005,1,MATCH(COLUMNS($AC$1006:AF1006),$AC$1006:$AS$1006,0))&gt;=100000), " ",IF(INDEX($AC$2:$AS$1001,MATCH(ROWS($V$2:V409),$V$2:$V$1001,0),MATCH(COLUMNS($AC$1006:AF1006),$AC$1006:$AS$1006,0)), HYPERLINK("#",""), HYPERLINK(CONCATENATE("#metadata!", ADDRESS(INDEX($X$2:$X$1001,MATCH(ROWS($V$2:V409),$V$2:$V$1001,0),0), INDEX($AC$1004:$AS$1004,1,MATCH(COLUMNS($AC$1006:AF1006),$AC$1006:$AS$1006,0)))),"Fix")))</f>
        <v xml:space="preserve"> </v>
      </c>
      <c r="F409" s="4" t="str">
        <f ca="1">IF(OR(INDEX($W$2:$W$1001,MATCH(ROWS($V$2:V409),$V$2:$V$1001,0),1)&gt;=100000,INDEX($AC$1005:$AS$1005,1,MATCH(COLUMNS($AC$1006:AG1006),$AC$1006:$AS$1006,0))&gt;=100000), " ",IF(INDEX($AC$2:$AS$1001,MATCH(ROWS($V$2:V409),$V$2:$V$1001,0),MATCH(COLUMNS($AC$1006:AG1006),$AC$1006:$AS$1006,0)), HYPERLINK("#",""), HYPERLINK(CONCATENATE("#metadata!", ADDRESS(INDEX($X$2:$X$1001,MATCH(ROWS($V$2:V409),$V$2:$V$1001,0),0), INDEX($AC$1004:$AS$1004,1,MATCH(COLUMNS($AC$1006:AG1006),$AC$1006:$AS$1006,0)))),"Fix")))</f>
        <v xml:space="preserve"> </v>
      </c>
      <c r="G409" s="4" t="str">
        <f ca="1">IF(OR(INDEX($W$2:$W$1001,MATCH(ROWS($V$2:V409),$V$2:$V$1001,0),1)&gt;=100000,INDEX($AC$1005:$AS$1005,1,MATCH(COLUMNS($AC$1006:AH1006),$AC$1006:$AS$1006,0))&gt;=100000), " ",IF(INDEX($AC$2:$AS$1001,MATCH(ROWS($V$2:V409),$V$2:$V$1001,0),MATCH(COLUMNS($AC$1006:AH1006),$AC$1006:$AS$1006,0)), HYPERLINK("#",""), HYPERLINK(CONCATENATE("#metadata!", ADDRESS(INDEX($X$2:$X$1001,MATCH(ROWS($V$2:V409),$V$2:$V$1001,0),0), INDEX($AC$1004:$AS$1004,1,MATCH(COLUMNS($AC$1006:AH1006),$AC$1006:$AS$1006,0)))),"Fix")))</f>
        <v xml:space="preserve"> </v>
      </c>
      <c r="H409" s="4" t="str">
        <f ca="1">IF(OR(INDEX($W$2:$W$1001,MATCH(ROWS($V$2:V409),$V$2:$V$1001,0),1)&gt;=100000,INDEX($AC$1005:$AS$1005,1,MATCH(COLUMNS($AC$1006:AI1006),$AC$1006:$AS$1006,0))&gt;=100000), " ",IF(INDEX($AC$2:$AS$1001,MATCH(ROWS($V$2:V409),$V$2:$V$1001,0),MATCH(COLUMNS($AC$1006:AI1006),$AC$1006:$AS$1006,0)), HYPERLINK("#",""), HYPERLINK(CONCATENATE("#metadata!", ADDRESS(INDEX($X$2:$X$1001,MATCH(ROWS($V$2:V409),$V$2:$V$1001,0),0), INDEX($AC$1004:$AS$1004,1,MATCH(COLUMNS($AC$1006:AI1006),$AC$1006:$AS$1006,0)))),"Fix")))</f>
        <v xml:space="preserve"> </v>
      </c>
      <c r="I409" s="4" t="str">
        <f ca="1">IF(OR(INDEX($W$2:$W$1001,MATCH(ROWS($V$2:V409),$V$2:$V$1001,0),1)&gt;=100000,INDEX($AC$1005:$AS$1005,1,MATCH(COLUMNS($AC$1006:AJ1006),$AC$1006:$AS$1006,0))&gt;=100000), " ",IF(INDEX($AC$2:$AS$1001,MATCH(ROWS($V$2:V409),$V$2:$V$1001,0),MATCH(COLUMNS($AC$1006:AJ1006),$AC$1006:$AS$1006,0)), HYPERLINK("#",""), HYPERLINK(CONCATENATE("#metadata!", ADDRESS(INDEX($X$2:$X$1001,MATCH(ROWS($V$2:V409),$V$2:$V$1001,0),0), INDEX($AC$1004:$AS$1004,1,MATCH(COLUMNS($AC$1006:AJ1006),$AC$1006:$AS$1006,0)))),"Fix")))</f>
        <v xml:space="preserve"> </v>
      </c>
      <c r="J409" s="4" t="str">
        <f ca="1">IF(OR(INDEX($W$2:$W$1001,MATCH(ROWS($V$2:V409),$V$2:$V$1001,0),1)&gt;=100000,INDEX($AC$1005:$AS$1005,1,MATCH(COLUMNS($AC$1006:AK1006),$AC$1006:$AS$1006,0))&gt;=100000), " ",IF(INDEX($AC$2:$AS$1001,MATCH(ROWS($V$2:V409),$V$2:$V$1001,0),MATCH(COLUMNS($AC$1006:AK1006),$AC$1006:$AS$1006,0)), HYPERLINK("#",""), HYPERLINK(CONCATENATE("#metadata!", ADDRESS(INDEX($X$2:$X$1001,MATCH(ROWS($V$2:V409),$V$2:$V$1001,0),0), INDEX($AC$1004:$AS$1004,1,MATCH(COLUMNS($AC$1006:AK1006),$AC$1006:$AS$1006,0)))),"Fix")))</f>
        <v xml:space="preserve"> </v>
      </c>
      <c r="K409" s="4" t="str">
        <f ca="1">IF(OR(INDEX($W$2:$W$1001,MATCH(ROWS($V$2:V409),$V$2:$V$1001,0),1)&gt;=100000,INDEX($AC$1005:$AS$1005,1,MATCH(COLUMNS($AC$1006:AL1006),$AC$1006:$AS$1006,0))&gt;=100000), " ",IF(INDEX($AC$2:$AS$1001,MATCH(ROWS($V$2:V409),$V$2:$V$1001,0),MATCH(COLUMNS($AC$1006:AL1006),$AC$1006:$AS$1006,0)), HYPERLINK("#",""), HYPERLINK(CONCATENATE("#metadata!", ADDRESS(INDEX($X$2:$X$1001,MATCH(ROWS($V$2:V409),$V$2:$V$1001,0),0), INDEX($AC$1004:$AS$1004,1,MATCH(COLUMNS($AC$1006:AL1006),$AC$1006:$AS$1006,0)))),"Fix")))</f>
        <v xml:space="preserve"> </v>
      </c>
      <c r="L409" s="4" t="str">
        <f ca="1">IF(OR(INDEX($W$2:$W$1001,MATCH(ROWS($V$2:V409),$V$2:$V$1001,0),1)&gt;=100000,INDEX($AC$1005:$AS$1005,1,MATCH(COLUMNS($AC$1006:AM1006),$AC$1006:$AS$1006,0))&gt;=100000), " ",IF(INDEX($AC$2:$AS$1001,MATCH(ROWS($V$2:V409),$V$2:$V$1001,0),MATCH(COLUMNS($AC$1006:AM1006),$AC$1006:$AS$1006,0)), HYPERLINK("#",""), HYPERLINK(CONCATENATE("#metadata!", ADDRESS(INDEX($X$2:$X$1001,MATCH(ROWS($V$2:V409),$V$2:$V$1001,0),0), INDEX($AC$1004:$AS$1004,1,MATCH(COLUMNS($AC$1006:AM1006),$AC$1006:$AS$1006,0)))),"Fix")))</f>
        <v xml:space="preserve"> </v>
      </c>
      <c r="M409" s="4" t="str">
        <f ca="1">IF(OR(INDEX($W$2:$W$1001,MATCH(ROWS($V$2:V409),$V$2:$V$1001,0),1)&gt;=100000,INDEX($AC$1005:$AS$1005,1,MATCH(COLUMNS($AC$1006:AN1006),$AC$1006:$AS$1006,0))&gt;=100000), " ",IF(INDEX($AC$2:$AS$1001,MATCH(ROWS($V$2:V409),$V$2:$V$1001,0),MATCH(COLUMNS($AC$1006:AN1006),$AC$1006:$AS$1006,0)), HYPERLINK("#",""), HYPERLINK(CONCATENATE("#metadata!", ADDRESS(INDEX($X$2:$X$1001,MATCH(ROWS($V$2:V409),$V$2:$V$1001,0),0), INDEX($AC$1004:$AS$1004,1,MATCH(COLUMNS($AC$1006:AN1006),$AC$1006:$AS$1006,0)))),"Fix")))</f>
        <v xml:space="preserve"> </v>
      </c>
      <c r="N409" s="4" t="str">
        <f ca="1">IF(OR(INDEX($W$2:$W$1001,MATCH(ROWS($V$2:V409),$V$2:$V$1001,0),1)&gt;=100000,INDEX($AC$1005:$AS$1005,1,MATCH(COLUMNS($AC$1006:AO1006),$AC$1006:$AS$1006,0))&gt;=100000), " ",IF(INDEX($AC$2:$AS$1001,MATCH(ROWS($V$2:V409),$V$2:$V$1001,0),MATCH(COLUMNS($AC$1006:AO1006),$AC$1006:$AS$1006,0)), HYPERLINK("#",""), HYPERLINK(CONCATENATE("#metadata!", ADDRESS(INDEX($X$2:$X$1001,MATCH(ROWS($V$2:V409),$V$2:$V$1001,0),0), INDEX($AC$1004:$AS$1004,1,MATCH(COLUMNS($AC$1006:AO1006),$AC$1006:$AS$1006,0)))),"Fix")))</f>
        <v xml:space="preserve"> </v>
      </c>
      <c r="O409" s="4" t="str">
        <f ca="1">IF(OR(INDEX($W$2:$W$1001,MATCH(ROWS($V$2:V409),$V$2:$V$1001,0),1)&gt;=100000,INDEX($AC$1005:$AS$1005,1,MATCH(COLUMNS($AC$1006:AP1006),$AC$1006:$AS$1006,0))&gt;=100000), " ",IF(INDEX($AC$2:$AS$1001,MATCH(ROWS($V$2:V409),$V$2:$V$1001,0),MATCH(COLUMNS($AC$1006:AP1006),$AC$1006:$AS$1006,0)), HYPERLINK("#",""), HYPERLINK(CONCATENATE("#metadata!", ADDRESS(INDEX($X$2:$X$1001,MATCH(ROWS($V$2:V409),$V$2:$V$1001,0),0), INDEX($AC$1004:$AS$1004,1,MATCH(COLUMNS($AC$1006:AP1006),$AC$1006:$AS$1006,0)))),"Fix")))</f>
        <v xml:space="preserve"> </v>
      </c>
      <c r="P409" s="4" t="str">
        <f ca="1">IF(OR(INDEX($W$2:$W$1001,MATCH(ROWS($V$2:V409),$V$2:$V$1001,0),1)&gt;=100000,INDEX($AC$1005:$AS$1005,1,MATCH(COLUMNS($AC$1006:AQ1006),$AC$1006:$AS$1006,0))&gt;=100000), " ",IF(INDEX($AC$2:$AS$1001,MATCH(ROWS($V$2:V409),$V$2:$V$1001,0),MATCH(COLUMNS($AC$1006:AQ1006),$AC$1006:$AS$1006,0)), HYPERLINK("#",""), HYPERLINK(CONCATENATE("#metadata!", ADDRESS(INDEX($X$2:$X$1001,MATCH(ROWS($V$2:V409),$V$2:$V$1001,0),0), INDEX($AC$1004:$AS$1004,1,MATCH(COLUMNS($AC$1006:AQ1006),$AC$1006:$AS$1006,0)))),"Fix")))</f>
        <v xml:space="preserve"> </v>
      </c>
      <c r="Q409" s="4" t="str">
        <f ca="1">IF(OR(INDEX($W$2:$W$1001,MATCH(ROWS($V$2:V409),$V$2:$V$1001,0),1)&gt;=100000,INDEX($AC$1005:$AS$1005,1,MATCH(COLUMNS($AC$1006:AR1006),$AC$1006:$AS$1006,0))&gt;=100000), " ",IF(INDEX($AC$2:$AS$1001,MATCH(ROWS($V$2:V409),$V$2:$V$1001,0),MATCH(COLUMNS($AC$1006:AR1006),$AC$1006:$AS$1006,0)), HYPERLINK("#",""), HYPERLINK(CONCATENATE("#metadata!", ADDRESS(INDEX($X$2:$X$1001,MATCH(ROWS($V$2:V409),$V$2:$V$1001,0),0), INDEX($AC$1004:$AS$1004,1,MATCH(COLUMNS($AC$1006:AR1006),$AC$1006:$AS$1006,0)))),"Fix")))</f>
        <v xml:space="preserve"> </v>
      </c>
      <c r="R409" s="4" t="str">
        <f ca="1">IF(OR(INDEX($W$2:$W$1001,MATCH(ROWS($V$2:V409),$V$2:$V$1001,0),1)&gt;=100000,INDEX($AC$1005:$AS$1005,1,MATCH(COLUMNS($AC$1006:AS1006),$AC$1006:$AS$1006,0))&gt;=100000), " ",IF(INDEX($AC$2:$AS$1001,MATCH(ROWS($V$2:V409),$V$2:$V$1001,0),MATCH(COLUMNS($AC$1006:AS1006),$AC$1006:$AS$1006,0)), HYPERLINK("#",""), HYPERLINK(CONCATENATE("#metadata!", ADDRESS(INDEX($X$2:$X$1001,MATCH(ROWS($V$2:V409),$V$2:$V$1001,0),0), INDEX($AC$1004:$AS$1004,1,MATCH(COLUMNS($AC$1006:AS1006),$AC$1006:$AS$1006,0)))),"Fix")))</f>
        <v xml:space="preserve"> </v>
      </c>
      <c r="V409">
        <v>408</v>
      </c>
      <c r="W409">
        <v>100409</v>
      </c>
      <c r="X409">
        <v>409</v>
      </c>
      <c r="Y409" t="b">
        <f t="shared" si="6"/>
        <v>1</v>
      </c>
      <c r="Z409" t="b">
        <f>COUNTBLANK(metadata!B409:R409)=COLUMNS(metadata!B409:R409)</f>
        <v>1</v>
      </c>
      <c r="AA409" t="str">
        <v/>
      </c>
      <c r="AC409" t="b">
        <f ca="1"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AD409" t="b">
        <f>IF(metadata!C409="",FALSE,ISNUMBER(VALUE(metadata!C409)))</f>
        <v>0</v>
      </c>
      <c r="AE409" t="b">
        <f>AND(IF(metadata!D409="",FALSE,TRUE),EXACT(metadata!D409,"years"))</f>
        <v>0</v>
      </c>
      <c r="AF409" t="b">
        <f>OR(AND(IF(metadata!E409="",FALSE,TRUE),OR(EXACT(metadata!E409,"not applicable"),EXACT(metadata!E409,"missing: not collected"),EXACT(metadata!E409,"missing: not provided"),EXACT(metadata!E409,"missing: restricted access"))),AND(IF(metadata!E409="",FALSE,ISNUMBER(VALUE(metadata!E409))),metadata!E409&gt;0))</f>
        <v>0</v>
      </c>
      <c r="AG409" t="b">
        <f>AND(IF(metadata!F409="",FALSE,TRUE),EXACT(metadata!F409,"Not applicable"))</f>
        <v>0</v>
      </c>
      <c r="AH409" t="b">
        <f>AND(IF(metadata!G409="",FALSE,TRUE),EXACT(metadata!G409,"urban biome"))</f>
        <v>0</v>
      </c>
      <c r="AI409" t="b">
        <f>AND(IF(metadata!H409="",FALSE,TRUE),EXACT(metadata!H409,"human-associated habitat"))</f>
        <v>0</v>
      </c>
      <c r="AJ409" t="b">
        <f>AND(IF(metadata!I409="",FALSE,TRUE),OR(EXACT(metadata!I409,"human-associated"),EXACT(metadata!I409,"human-skin"),EXACT(metadata!I409,"human-oral"),EXACT(metadata!I409,"human-gut"),EXACT(metadata!I409,"human-vaginal")))</f>
        <v>0</v>
      </c>
      <c r="AK409" t="b">
        <f>IF(metadata!J409="",FALSE,ISNUMBER(VALUE(metadata!J409)))</f>
        <v>0</v>
      </c>
      <c r="AL409" t="b">
        <f>AND(IF(metadata!K409="",FALSE,TRUE),EXACT(metadata!K409,"cm"))</f>
        <v>0</v>
      </c>
      <c r="AM409" t="b">
        <f>AND(IF(metadata!L409="",FALSE,TRUE),EXACT(metadata!L409,"human"))</f>
        <v>0</v>
      </c>
      <c r="AN409" t="b">
        <f>AND(IF(metadata!M409="",FALSE,TRUE),EXACT(metadata!M409,"Homo sapiens"))</f>
        <v>0</v>
      </c>
      <c r="AO409" t="b">
        <f>AND(IF(metadata!N409="",FALSE,TRUE),EXACT(metadata!N409,"9606"))</f>
        <v>0</v>
      </c>
      <c r="AP409" t="b">
        <f>IF(metadata!O409="",FALSE,TRUE)</f>
        <v>0</v>
      </c>
      <c r="AQ409" t="b">
        <f>IF(metadata!P409="",FALSE,TRUE)</f>
        <v>0</v>
      </c>
      <c r="AR409" t="b">
        <f>IF(metadata!Q409="",FALSE,ISNUMBER(VALUE(metadata!Q409)))</f>
        <v>0</v>
      </c>
      <c r="AS409" t="b">
        <f>AND(IF(metadata!R409="",FALSE,TRUE),EXACT(metadata!R409,"kg"))</f>
        <v>0</v>
      </c>
    </row>
    <row r="410" spans="1:45" x14ac:dyDescent="0.2">
      <c r="A410" s="5" t="str">
        <f ca="1">IF(B410=" "," ",HYPERLINK(CONCATENATE("#metadata!",ADDRESS(INDEX($X$2:$X$1001,MATCH(ROWS($V$2:V410),$V$2:$V$1001,0),0),1)),INDEX($AA$2:$AA$1001,MATCH(ROWS($V$2:V410),$V$2:$V$1001,0),0)))</f>
        <v xml:space="preserve"> </v>
      </c>
      <c r="B410" s="4" t="str">
        <f ca="1">IF(OR(INDEX($W$2:$W$1001,MATCH(ROWS($V$2:V410),$V$2:$V$1001,0),1)&gt;=100000,INDEX($AC$1005:$AS$1005,1,MATCH(COLUMNS($AC$1006:AC1006),$AC$1006:$AS$1006,0))&gt;=100000), " ",IF(INDEX($AC$2:$AS$1001,MATCH(ROWS($V$2:V410),$V$2:$V$1001,0),MATCH(COLUMNS($AC$1006:AC1006),$AC$1006:$AS$1006,0)), HYPERLINK("#",""), HYPERLINK(CONCATENATE("#metadata!", ADDRESS(INDEX($X$2:$X$1001,MATCH(ROWS($V$2:V410),$V$2:$V$1001,0),0), INDEX($AC$1004:$AS$1004,1,MATCH(COLUMNS($AC$1006:AC1006),$AC$1006:$AS$1006,0)))),"Fix")))</f>
        <v xml:space="preserve"> </v>
      </c>
      <c r="C410" s="4" t="str">
        <f ca="1">IF(OR(INDEX($W$2:$W$1001,MATCH(ROWS($V$2:V410),$V$2:$V$1001,0),1)&gt;=100000,INDEX($AC$1005:$AS$1005,1,MATCH(COLUMNS($AC$1006:AD1006),$AC$1006:$AS$1006,0))&gt;=100000), " ",IF(INDEX($AC$2:$AS$1001,MATCH(ROWS($V$2:V410),$V$2:$V$1001,0),MATCH(COLUMNS($AC$1006:AD1006),$AC$1006:$AS$1006,0)), HYPERLINK("#",""), HYPERLINK(CONCATENATE("#metadata!", ADDRESS(INDEX($X$2:$X$1001,MATCH(ROWS($V$2:V410),$V$2:$V$1001,0),0), INDEX($AC$1004:$AS$1004,1,MATCH(COLUMNS($AC$1006:AD1006),$AC$1006:$AS$1006,0)))),"Fix")))</f>
        <v xml:space="preserve"> </v>
      </c>
      <c r="D410" s="4" t="str">
        <f ca="1">IF(OR(INDEX($W$2:$W$1001,MATCH(ROWS($V$2:V410),$V$2:$V$1001,0),1)&gt;=100000,INDEX($AC$1005:$AS$1005,1,MATCH(COLUMNS($AC$1006:AE1006),$AC$1006:$AS$1006,0))&gt;=100000), " ",IF(INDEX($AC$2:$AS$1001,MATCH(ROWS($V$2:V410),$V$2:$V$1001,0),MATCH(COLUMNS($AC$1006:AE1006),$AC$1006:$AS$1006,0)), HYPERLINK("#",""), HYPERLINK(CONCATENATE("#metadata!", ADDRESS(INDEX($X$2:$X$1001,MATCH(ROWS($V$2:V410),$V$2:$V$1001,0),0), INDEX($AC$1004:$AS$1004,1,MATCH(COLUMNS($AC$1006:AE1006),$AC$1006:$AS$1006,0)))),"Fix")))</f>
        <v xml:space="preserve"> </v>
      </c>
      <c r="E410" s="4" t="str">
        <f ca="1">IF(OR(INDEX($W$2:$W$1001,MATCH(ROWS($V$2:V410),$V$2:$V$1001,0),1)&gt;=100000,INDEX($AC$1005:$AS$1005,1,MATCH(COLUMNS($AC$1006:AF1006),$AC$1006:$AS$1006,0))&gt;=100000), " ",IF(INDEX($AC$2:$AS$1001,MATCH(ROWS($V$2:V410),$V$2:$V$1001,0),MATCH(COLUMNS($AC$1006:AF1006),$AC$1006:$AS$1006,0)), HYPERLINK("#",""), HYPERLINK(CONCATENATE("#metadata!", ADDRESS(INDEX($X$2:$X$1001,MATCH(ROWS($V$2:V410),$V$2:$V$1001,0),0), INDEX($AC$1004:$AS$1004,1,MATCH(COLUMNS($AC$1006:AF1006),$AC$1006:$AS$1006,0)))),"Fix")))</f>
        <v xml:space="preserve"> </v>
      </c>
      <c r="F410" s="4" t="str">
        <f ca="1">IF(OR(INDEX($W$2:$W$1001,MATCH(ROWS($V$2:V410),$V$2:$V$1001,0),1)&gt;=100000,INDEX($AC$1005:$AS$1005,1,MATCH(COLUMNS($AC$1006:AG1006),$AC$1006:$AS$1006,0))&gt;=100000), " ",IF(INDEX($AC$2:$AS$1001,MATCH(ROWS($V$2:V410),$V$2:$V$1001,0),MATCH(COLUMNS($AC$1006:AG1006),$AC$1006:$AS$1006,0)), HYPERLINK("#",""), HYPERLINK(CONCATENATE("#metadata!", ADDRESS(INDEX($X$2:$X$1001,MATCH(ROWS($V$2:V410),$V$2:$V$1001,0),0), INDEX($AC$1004:$AS$1004,1,MATCH(COLUMNS($AC$1006:AG1006),$AC$1006:$AS$1006,0)))),"Fix")))</f>
        <v xml:space="preserve"> </v>
      </c>
      <c r="G410" s="4" t="str">
        <f ca="1">IF(OR(INDEX($W$2:$W$1001,MATCH(ROWS($V$2:V410),$V$2:$V$1001,0),1)&gt;=100000,INDEX($AC$1005:$AS$1005,1,MATCH(COLUMNS($AC$1006:AH1006),$AC$1006:$AS$1006,0))&gt;=100000), " ",IF(INDEX($AC$2:$AS$1001,MATCH(ROWS($V$2:V410),$V$2:$V$1001,0),MATCH(COLUMNS($AC$1006:AH1006),$AC$1006:$AS$1006,0)), HYPERLINK("#",""), HYPERLINK(CONCATENATE("#metadata!", ADDRESS(INDEX($X$2:$X$1001,MATCH(ROWS($V$2:V410),$V$2:$V$1001,0),0), INDEX($AC$1004:$AS$1004,1,MATCH(COLUMNS($AC$1006:AH1006),$AC$1006:$AS$1006,0)))),"Fix")))</f>
        <v xml:space="preserve"> </v>
      </c>
      <c r="H410" s="4" t="str">
        <f ca="1">IF(OR(INDEX($W$2:$W$1001,MATCH(ROWS($V$2:V410),$V$2:$V$1001,0),1)&gt;=100000,INDEX($AC$1005:$AS$1005,1,MATCH(COLUMNS($AC$1006:AI1006),$AC$1006:$AS$1006,0))&gt;=100000), " ",IF(INDEX($AC$2:$AS$1001,MATCH(ROWS($V$2:V410),$V$2:$V$1001,0),MATCH(COLUMNS($AC$1006:AI1006),$AC$1006:$AS$1006,0)), HYPERLINK("#",""), HYPERLINK(CONCATENATE("#metadata!", ADDRESS(INDEX($X$2:$X$1001,MATCH(ROWS($V$2:V410),$V$2:$V$1001,0),0), INDEX($AC$1004:$AS$1004,1,MATCH(COLUMNS($AC$1006:AI1006),$AC$1006:$AS$1006,0)))),"Fix")))</f>
        <v xml:space="preserve"> </v>
      </c>
      <c r="I410" s="4" t="str">
        <f ca="1">IF(OR(INDEX($W$2:$W$1001,MATCH(ROWS($V$2:V410),$V$2:$V$1001,0),1)&gt;=100000,INDEX($AC$1005:$AS$1005,1,MATCH(COLUMNS($AC$1006:AJ1006),$AC$1006:$AS$1006,0))&gt;=100000), " ",IF(INDEX($AC$2:$AS$1001,MATCH(ROWS($V$2:V410),$V$2:$V$1001,0),MATCH(COLUMNS($AC$1006:AJ1006),$AC$1006:$AS$1006,0)), HYPERLINK("#",""), HYPERLINK(CONCATENATE("#metadata!", ADDRESS(INDEX($X$2:$X$1001,MATCH(ROWS($V$2:V410),$V$2:$V$1001,0),0), INDEX($AC$1004:$AS$1004,1,MATCH(COLUMNS($AC$1006:AJ1006),$AC$1006:$AS$1006,0)))),"Fix")))</f>
        <v xml:space="preserve"> </v>
      </c>
      <c r="J410" s="4" t="str">
        <f ca="1">IF(OR(INDEX($W$2:$W$1001,MATCH(ROWS($V$2:V410),$V$2:$V$1001,0),1)&gt;=100000,INDEX($AC$1005:$AS$1005,1,MATCH(COLUMNS($AC$1006:AK1006),$AC$1006:$AS$1006,0))&gt;=100000), " ",IF(INDEX($AC$2:$AS$1001,MATCH(ROWS($V$2:V410),$V$2:$V$1001,0),MATCH(COLUMNS($AC$1006:AK1006),$AC$1006:$AS$1006,0)), HYPERLINK("#",""), HYPERLINK(CONCATENATE("#metadata!", ADDRESS(INDEX($X$2:$X$1001,MATCH(ROWS($V$2:V410),$V$2:$V$1001,0),0), INDEX($AC$1004:$AS$1004,1,MATCH(COLUMNS($AC$1006:AK1006),$AC$1006:$AS$1006,0)))),"Fix")))</f>
        <v xml:space="preserve"> </v>
      </c>
      <c r="K410" s="4" t="str">
        <f ca="1">IF(OR(INDEX($W$2:$W$1001,MATCH(ROWS($V$2:V410),$V$2:$V$1001,0),1)&gt;=100000,INDEX($AC$1005:$AS$1005,1,MATCH(COLUMNS($AC$1006:AL1006),$AC$1006:$AS$1006,0))&gt;=100000), " ",IF(INDEX($AC$2:$AS$1001,MATCH(ROWS($V$2:V410),$V$2:$V$1001,0),MATCH(COLUMNS($AC$1006:AL1006),$AC$1006:$AS$1006,0)), HYPERLINK("#",""), HYPERLINK(CONCATENATE("#metadata!", ADDRESS(INDEX($X$2:$X$1001,MATCH(ROWS($V$2:V410),$V$2:$V$1001,0),0), INDEX($AC$1004:$AS$1004,1,MATCH(COLUMNS($AC$1006:AL1006),$AC$1006:$AS$1006,0)))),"Fix")))</f>
        <v xml:space="preserve"> </v>
      </c>
      <c r="L410" s="4" t="str">
        <f ca="1">IF(OR(INDEX($W$2:$W$1001,MATCH(ROWS($V$2:V410),$V$2:$V$1001,0),1)&gt;=100000,INDEX($AC$1005:$AS$1005,1,MATCH(COLUMNS($AC$1006:AM1006),$AC$1006:$AS$1006,0))&gt;=100000), " ",IF(INDEX($AC$2:$AS$1001,MATCH(ROWS($V$2:V410),$V$2:$V$1001,0),MATCH(COLUMNS($AC$1006:AM1006),$AC$1006:$AS$1006,0)), HYPERLINK("#",""), HYPERLINK(CONCATENATE("#metadata!", ADDRESS(INDEX($X$2:$X$1001,MATCH(ROWS($V$2:V410),$V$2:$V$1001,0),0), INDEX($AC$1004:$AS$1004,1,MATCH(COLUMNS($AC$1006:AM1006),$AC$1006:$AS$1006,0)))),"Fix")))</f>
        <v xml:space="preserve"> </v>
      </c>
      <c r="M410" s="4" t="str">
        <f ca="1">IF(OR(INDEX($W$2:$W$1001,MATCH(ROWS($V$2:V410),$V$2:$V$1001,0),1)&gt;=100000,INDEX($AC$1005:$AS$1005,1,MATCH(COLUMNS($AC$1006:AN1006),$AC$1006:$AS$1006,0))&gt;=100000), " ",IF(INDEX($AC$2:$AS$1001,MATCH(ROWS($V$2:V410),$V$2:$V$1001,0),MATCH(COLUMNS($AC$1006:AN1006),$AC$1006:$AS$1006,0)), HYPERLINK("#",""), HYPERLINK(CONCATENATE("#metadata!", ADDRESS(INDEX($X$2:$X$1001,MATCH(ROWS($V$2:V410),$V$2:$V$1001,0),0), INDEX($AC$1004:$AS$1004,1,MATCH(COLUMNS($AC$1006:AN1006),$AC$1006:$AS$1006,0)))),"Fix")))</f>
        <v xml:space="preserve"> </v>
      </c>
      <c r="N410" s="4" t="str">
        <f ca="1">IF(OR(INDEX($W$2:$W$1001,MATCH(ROWS($V$2:V410),$V$2:$V$1001,0),1)&gt;=100000,INDEX($AC$1005:$AS$1005,1,MATCH(COLUMNS($AC$1006:AO1006),$AC$1006:$AS$1006,0))&gt;=100000), " ",IF(INDEX($AC$2:$AS$1001,MATCH(ROWS($V$2:V410),$V$2:$V$1001,0),MATCH(COLUMNS($AC$1006:AO1006),$AC$1006:$AS$1006,0)), HYPERLINK("#",""), HYPERLINK(CONCATENATE("#metadata!", ADDRESS(INDEX($X$2:$X$1001,MATCH(ROWS($V$2:V410),$V$2:$V$1001,0),0), INDEX($AC$1004:$AS$1004,1,MATCH(COLUMNS($AC$1006:AO1006),$AC$1006:$AS$1006,0)))),"Fix")))</f>
        <v xml:space="preserve"> </v>
      </c>
      <c r="O410" s="4" t="str">
        <f ca="1">IF(OR(INDEX($W$2:$W$1001,MATCH(ROWS($V$2:V410),$V$2:$V$1001,0),1)&gt;=100000,INDEX($AC$1005:$AS$1005,1,MATCH(COLUMNS($AC$1006:AP1006),$AC$1006:$AS$1006,0))&gt;=100000), " ",IF(INDEX($AC$2:$AS$1001,MATCH(ROWS($V$2:V410),$V$2:$V$1001,0),MATCH(COLUMNS($AC$1006:AP1006),$AC$1006:$AS$1006,0)), HYPERLINK("#",""), HYPERLINK(CONCATENATE("#metadata!", ADDRESS(INDEX($X$2:$X$1001,MATCH(ROWS($V$2:V410),$V$2:$V$1001,0),0), INDEX($AC$1004:$AS$1004,1,MATCH(COLUMNS($AC$1006:AP1006),$AC$1006:$AS$1006,0)))),"Fix")))</f>
        <v xml:space="preserve"> </v>
      </c>
      <c r="P410" s="4" t="str">
        <f ca="1">IF(OR(INDEX($W$2:$W$1001,MATCH(ROWS($V$2:V410),$V$2:$V$1001,0),1)&gt;=100000,INDEX($AC$1005:$AS$1005,1,MATCH(COLUMNS($AC$1006:AQ1006),$AC$1006:$AS$1006,0))&gt;=100000), " ",IF(INDEX($AC$2:$AS$1001,MATCH(ROWS($V$2:V410),$V$2:$V$1001,0),MATCH(COLUMNS($AC$1006:AQ1006),$AC$1006:$AS$1006,0)), HYPERLINK("#",""), HYPERLINK(CONCATENATE("#metadata!", ADDRESS(INDEX($X$2:$X$1001,MATCH(ROWS($V$2:V410),$V$2:$V$1001,0),0), INDEX($AC$1004:$AS$1004,1,MATCH(COLUMNS($AC$1006:AQ1006),$AC$1006:$AS$1006,0)))),"Fix")))</f>
        <v xml:space="preserve"> </v>
      </c>
      <c r="Q410" s="4" t="str">
        <f ca="1">IF(OR(INDEX($W$2:$W$1001,MATCH(ROWS($V$2:V410),$V$2:$V$1001,0),1)&gt;=100000,INDEX($AC$1005:$AS$1005,1,MATCH(COLUMNS($AC$1006:AR1006),$AC$1006:$AS$1006,0))&gt;=100000), " ",IF(INDEX($AC$2:$AS$1001,MATCH(ROWS($V$2:V410),$V$2:$V$1001,0),MATCH(COLUMNS($AC$1006:AR1006),$AC$1006:$AS$1006,0)), HYPERLINK("#",""), HYPERLINK(CONCATENATE("#metadata!", ADDRESS(INDEX($X$2:$X$1001,MATCH(ROWS($V$2:V410),$V$2:$V$1001,0),0), INDEX($AC$1004:$AS$1004,1,MATCH(COLUMNS($AC$1006:AR1006),$AC$1006:$AS$1006,0)))),"Fix")))</f>
        <v xml:space="preserve"> </v>
      </c>
      <c r="R410" s="4" t="str">
        <f ca="1">IF(OR(INDEX($W$2:$W$1001,MATCH(ROWS($V$2:V410),$V$2:$V$1001,0),1)&gt;=100000,INDEX($AC$1005:$AS$1005,1,MATCH(COLUMNS($AC$1006:AS1006),$AC$1006:$AS$1006,0))&gt;=100000), " ",IF(INDEX($AC$2:$AS$1001,MATCH(ROWS($V$2:V410),$V$2:$V$1001,0),MATCH(COLUMNS($AC$1006:AS1006),$AC$1006:$AS$1006,0)), HYPERLINK("#",""), HYPERLINK(CONCATENATE("#metadata!", ADDRESS(INDEX($X$2:$X$1001,MATCH(ROWS($V$2:V410),$V$2:$V$1001,0),0), INDEX($AC$1004:$AS$1004,1,MATCH(COLUMNS($AC$1006:AS1006),$AC$1006:$AS$1006,0)))),"Fix")))</f>
        <v xml:space="preserve"> </v>
      </c>
      <c r="V410">
        <v>409</v>
      </c>
      <c r="W410">
        <v>100410</v>
      </c>
      <c r="X410">
        <v>410</v>
      </c>
      <c r="Y410" t="b">
        <f t="shared" si="6"/>
        <v>1</v>
      </c>
      <c r="Z410" t="b">
        <f>COUNTBLANK(metadata!B410:R410)=COLUMNS(metadata!B410:R410)</f>
        <v>1</v>
      </c>
      <c r="AA410" t="str">
        <v/>
      </c>
      <c r="AC410" t="b">
        <f ca="1"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AD410" t="b">
        <f>IF(metadata!C410="",FALSE,ISNUMBER(VALUE(metadata!C410)))</f>
        <v>0</v>
      </c>
      <c r="AE410" t="b">
        <f>AND(IF(metadata!D410="",FALSE,TRUE),EXACT(metadata!D410,"years"))</f>
        <v>0</v>
      </c>
      <c r="AF410" t="b">
        <f>OR(AND(IF(metadata!E410="",FALSE,TRUE),OR(EXACT(metadata!E410,"not applicable"),EXACT(metadata!E410,"missing: not collected"),EXACT(metadata!E410,"missing: not provided"),EXACT(metadata!E410,"missing: restricted access"))),AND(IF(metadata!E410="",FALSE,ISNUMBER(VALUE(metadata!E410))),metadata!E410&gt;0))</f>
        <v>0</v>
      </c>
      <c r="AG410" t="b">
        <f>AND(IF(metadata!F410="",FALSE,TRUE),EXACT(metadata!F410,"Not applicable"))</f>
        <v>0</v>
      </c>
      <c r="AH410" t="b">
        <f>AND(IF(metadata!G410="",FALSE,TRUE),EXACT(metadata!G410,"urban biome"))</f>
        <v>0</v>
      </c>
      <c r="AI410" t="b">
        <f>AND(IF(metadata!H410="",FALSE,TRUE),EXACT(metadata!H410,"human-associated habitat"))</f>
        <v>0</v>
      </c>
      <c r="AJ410" t="b">
        <f>AND(IF(metadata!I410="",FALSE,TRUE),OR(EXACT(metadata!I410,"human-associated"),EXACT(metadata!I410,"human-skin"),EXACT(metadata!I410,"human-oral"),EXACT(metadata!I410,"human-gut"),EXACT(metadata!I410,"human-vaginal")))</f>
        <v>0</v>
      </c>
      <c r="AK410" t="b">
        <f>IF(metadata!J410="",FALSE,ISNUMBER(VALUE(metadata!J410)))</f>
        <v>0</v>
      </c>
      <c r="AL410" t="b">
        <f>AND(IF(metadata!K410="",FALSE,TRUE),EXACT(metadata!K410,"cm"))</f>
        <v>0</v>
      </c>
      <c r="AM410" t="b">
        <f>AND(IF(metadata!L410="",FALSE,TRUE),EXACT(metadata!L410,"human"))</f>
        <v>0</v>
      </c>
      <c r="AN410" t="b">
        <f>AND(IF(metadata!M410="",FALSE,TRUE),EXACT(metadata!M410,"Homo sapiens"))</f>
        <v>0</v>
      </c>
      <c r="AO410" t="b">
        <f>AND(IF(metadata!N410="",FALSE,TRUE),EXACT(metadata!N410,"9606"))</f>
        <v>0</v>
      </c>
      <c r="AP410" t="b">
        <f>IF(metadata!O410="",FALSE,TRUE)</f>
        <v>0</v>
      </c>
      <c r="AQ410" t="b">
        <f>IF(metadata!P410="",FALSE,TRUE)</f>
        <v>0</v>
      </c>
      <c r="AR410" t="b">
        <f>IF(metadata!Q410="",FALSE,ISNUMBER(VALUE(metadata!Q410)))</f>
        <v>0</v>
      </c>
      <c r="AS410" t="b">
        <f>AND(IF(metadata!R410="",FALSE,TRUE),EXACT(metadata!R410,"kg"))</f>
        <v>0</v>
      </c>
    </row>
    <row r="411" spans="1:45" x14ac:dyDescent="0.2">
      <c r="A411" s="5" t="str">
        <f ca="1">IF(B411=" "," ",HYPERLINK(CONCATENATE("#metadata!",ADDRESS(INDEX($X$2:$X$1001,MATCH(ROWS($V$2:V411),$V$2:$V$1001,0),0),1)),INDEX($AA$2:$AA$1001,MATCH(ROWS($V$2:V411),$V$2:$V$1001,0),0)))</f>
        <v xml:space="preserve"> </v>
      </c>
      <c r="B411" s="4" t="str">
        <f ca="1">IF(OR(INDEX($W$2:$W$1001,MATCH(ROWS($V$2:V411),$V$2:$V$1001,0),1)&gt;=100000,INDEX($AC$1005:$AS$1005,1,MATCH(COLUMNS($AC$1006:AC1006),$AC$1006:$AS$1006,0))&gt;=100000), " ",IF(INDEX($AC$2:$AS$1001,MATCH(ROWS($V$2:V411),$V$2:$V$1001,0),MATCH(COLUMNS($AC$1006:AC1006),$AC$1006:$AS$1006,0)), HYPERLINK("#",""), HYPERLINK(CONCATENATE("#metadata!", ADDRESS(INDEX($X$2:$X$1001,MATCH(ROWS($V$2:V411),$V$2:$V$1001,0),0), INDEX($AC$1004:$AS$1004,1,MATCH(COLUMNS($AC$1006:AC1006),$AC$1006:$AS$1006,0)))),"Fix")))</f>
        <v xml:space="preserve"> </v>
      </c>
      <c r="C411" s="4" t="str">
        <f ca="1">IF(OR(INDEX($W$2:$W$1001,MATCH(ROWS($V$2:V411),$V$2:$V$1001,0),1)&gt;=100000,INDEX($AC$1005:$AS$1005,1,MATCH(COLUMNS($AC$1006:AD1006),$AC$1006:$AS$1006,0))&gt;=100000), " ",IF(INDEX($AC$2:$AS$1001,MATCH(ROWS($V$2:V411),$V$2:$V$1001,0),MATCH(COLUMNS($AC$1006:AD1006),$AC$1006:$AS$1006,0)), HYPERLINK("#",""), HYPERLINK(CONCATENATE("#metadata!", ADDRESS(INDEX($X$2:$X$1001,MATCH(ROWS($V$2:V411),$V$2:$V$1001,0),0), INDEX($AC$1004:$AS$1004,1,MATCH(COLUMNS($AC$1006:AD1006),$AC$1006:$AS$1006,0)))),"Fix")))</f>
        <v xml:space="preserve"> </v>
      </c>
      <c r="D411" s="4" t="str">
        <f ca="1">IF(OR(INDEX($W$2:$W$1001,MATCH(ROWS($V$2:V411),$V$2:$V$1001,0),1)&gt;=100000,INDEX($AC$1005:$AS$1005,1,MATCH(COLUMNS($AC$1006:AE1006),$AC$1006:$AS$1006,0))&gt;=100000), " ",IF(INDEX($AC$2:$AS$1001,MATCH(ROWS($V$2:V411),$V$2:$V$1001,0),MATCH(COLUMNS($AC$1006:AE1006),$AC$1006:$AS$1006,0)), HYPERLINK("#",""), HYPERLINK(CONCATENATE("#metadata!", ADDRESS(INDEX($X$2:$X$1001,MATCH(ROWS($V$2:V411),$V$2:$V$1001,0),0), INDEX($AC$1004:$AS$1004,1,MATCH(COLUMNS($AC$1006:AE1006),$AC$1006:$AS$1006,0)))),"Fix")))</f>
        <v xml:space="preserve"> </v>
      </c>
      <c r="E411" s="4" t="str">
        <f ca="1">IF(OR(INDEX($W$2:$W$1001,MATCH(ROWS($V$2:V411),$V$2:$V$1001,0),1)&gt;=100000,INDEX($AC$1005:$AS$1005,1,MATCH(COLUMNS($AC$1006:AF1006),$AC$1006:$AS$1006,0))&gt;=100000), " ",IF(INDEX($AC$2:$AS$1001,MATCH(ROWS($V$2:V411),$V$2:$V$1001,0),MATCH(COLUMNS($AC$1006:AF1006),$AC$1006:$AS$1006,0)), HYPERLINK("#",""), HYPERLINK(CONCATENATE("#metadata!", ADDRESS(INDEX($X$2:$X$1001,MATCH(ROWS($V$2:V411),$V$2:$V$1001,0),0), INDEX($AC$1004:$AS$1004,1,MATCH(COLUMNS($AC$1006:AF1006),$AC$1006:$AS$1006,0)))),"Fix")))</f>
        <v xml:space="preserve"> </v>
      </c>
      <c r="F411" s="4" t="str">
        <f ca="1">IF(OR(INDEX($W$2:$W$1001,MATCH(ROWS($V$2:V411),$V$2:$V$1001,0),1)&gt;=100000,INDEX($AC$1005:$AS$1005,1,MATCH(COLUMNS($AC$1006:AG1006),$AC$1006:$AS$1006,0))&gt;=100000), " ",IF(INDEX($AC$2:$AS$1001,MATCH(ROWS($V$2:V411),$V$2:$V$1001,0),MATCH(COLUMNS($AC$1006:AG1006),$AC$1006:$AS$1006,0)), HYPERLINK("#",""), HYPERLINK(CONCATENATE("#metadata!", ADDRESS(INDEX($X$2:$X$1001,MATCH(ROWS($V$2:V411),$V$2:$V$1001,0),0), INDEX($AC$1004:$AS$1004,1,MATCH(COLUMNS($AC$1006:AG1006),$AC$1006:$AS$1006,0)))),"Fix")))</f>
        <v xml:space="preserve"> </v>
      </c>
      <c r="G411" s="4" t="str">
        <f ca="1">IF(OR(INDEX($W$2:$W$1001,MATCH(ROWS($V$2:V411),$V$2:$V$1001,0),1)&gt;=100000,INDEX($AC$1005:$AS$1005,1,MATCH(COLUMNS($AC$1006:AH1006),$AC$1006:$AS$1006,0))&gt;=100000), " ",IF(INDEX($AC$2:$AS$1001,MATCH(ROWS($V$2:V411),$V$2:$V$1001,0),MATCH(COLUMNS($AC$1006:AH1006),$AC$1006:$AS$1006,0)), HYPERLINK("#",""), HYPERLINK(CONCATENATE("#metadata!", ADDRESS(INDEX($X$2:$X$1001,MATCH(ROWS($V$2:V411),$V$2:$V$1001,0),0), INDEX($AC$1004:$AS$1004,1,MATCH(COLUMNS($AC$1006:AH1006),$AC$1006:$AS$1006,0)))),"Fix")))</f>
        <v xml:space="preserve"> </v>
      </c>
      <c r="H411" s="4" t="str">
        <f ca="1">IF(OR(INDEX($W$2:$W$1001,MATCH(ROWS($V$2:V411),$V$2:$V$1001,0),1)&gt;=100000,INDEX($AC$1005:$AS$1005,1,MATCH(COLUMNS($AC$1006:AI1006),$AC$1006:$AS$1006,0))&gt;=100000), " ",IF(INDEX($AC$2:$AS$1001,MATCH(ROWS($V$2:V411),$V$2:$V$1001,0),MATCH(COLUMNS($AC$1006:AI1006),$AC$1006:$AS$1006,0)), HYPERLINK("#",""), HYPERLINK(CONCATENATE("#metadata!", ADDRESS(INDEX($X$2:$X$1001,MATCH(ROWS($V$2:V411),$V$2:$V$1001,0),0), INDEX($AC$1004:$AS$1004,1,MATCH(COLUMNS($AC$1006:AI1006),$AC$1006:$AS$1006,0)))),"Fix")))</f>
        <v xml:space="preserve"> </v>
      </c>
      <c r="I411" s="4" t="str">
        <f ca="1">IF(OR(INDEX($W$2:$W$1001,MATCH(ROWS($V$2:V411),$V$2:$V$1001,0),1)&gt;=100000,INDEX($AC$1005:$AS$1005,1,MATCH(COLUMNS($AC$1006:AJ1006),$AC$1006:$AS$1006,0))&gt;=100000), " ",IF(INDEX($AC$2:$AS$1001,MATCH(ROWS($V$2:V411),$V$2:$V$1001,0),MATCH(COLUMNS($AC$1006:AJ1006),$AC$1006:$AS$1006,0)), HYPERLINK("#",""), HYPERLINK(CONCATENATE("#metadata!", ADDRESS(INDEX($X$2:$X$1001,MATCH(ROWS($V$2:V411),$V$2:$V$1001,0),0), INDEX($AC$1004:$AS$1004,1,MATCH(COLUMNS($AC$1006:AJ1006),$AC$1006:$AS$1006,0)))),"Fix")))</f>
        <v xml:space="preserve"> </v>
      </c>
      <c r="J411" s="4" t="str">
        <f ca="1">IF(OR(INDEX($W$2:$W$1001,MATCH(ROWS($V$2:V411),$V$2:$V$1001,0),1)&gt;=100000,INDEX($AC$1005:$AS$1005,1,MATCH(COLUMNS($AC$1006:AK1006),$AC$1006:$AS$1006,0))&gt;=100000), " ",IF(INDEX($AC$2:$AS$1001,MATCH(ROWS($V$2:V411),$V$2:$V$1001,0),MATCH(COLUMNS($AC$1006:AK1006),$AC$1006:$AS$1006,0)), HYPERLINK("#",""), HYPERLINK(CONCATENATE("#metadata!", ADDRESS(INDEX($X$2:$X$1001,MATCH(ROWS($V$2:V411),$V$2:$V$1001,0),0), INDEX($AC$1004:$AS$1004,1,MATCH(COLUMNS($AC$1006:AK1006),$AC$1006:$AS$1006,0)))),"Fix")))</f>
        <v xml:space="preserve"> </v>
      </c>
      <c r="K411" s="4" t="str">
        <f ca="1">IF(OR(INDEX($W$2:$W$1001,MATCH(ROWS($V$2:V411),$V$2:$V$1001,0),1)&gt;=100000,INDEX($AC$1005:$AS$1005,1,MATCH(COLUMNS($AC$1006:AL1006),$AC$1006:$AS$1006,0))&gt;=100000), " ",IF(INDEX($AC$2:$AS$1001,MATCH(ROWS($V$2:V411),$V$2:$V$1001,0),MATCH(COLUMNS($AC$1006:AL1006),$AC$1006:$AS$1006,0)), HYPERLINK("#",""), HYPERLINK(CONCATENATE("#metadata!", ADDRESS(INDEX($X$2:$X$1001,MATCH(ROWS($V$2:V411),$V$2:$V$1001,0),0), INDEX($AC$1004:$AS$1004,1,MATCH(COLUMNS($AC$1006:AL1006),$AC$1006:$AS$1006,0)))),"Fix")))</f>
        <v xml:space="preserve"> </v>
      </c>
      <c r="L411" s="4" t="str">
        <f ca="1">IF(OR(INDEX($W$2:$W$1001,MATCH(ROWS($V$2:V411),$V$2:$V$1001,0),1)&gt;=100000,INDEX($AC$1005:$AS$1005,1,MATCH(COLUMNS($AC$1006:AM1006),$AC$1006:$AS$1006,0))&gt;=100000), " ",IF(INDEX($AC$2:$AS$1001,MATCH(ROWS($V$2:V411),$V$2:$V$1001,0),MATCH(COLUMNS($AC$1006:AM1006),$AC$1006:$AS$1006,0)), HYPERLINK("#",""), HYPERLINK(CONCATENATE("#metadata!", ADDRESS(INDEX($X$2:$X$1001,MATCH(ROWS($V$2:V411),$V$2:$V$1001,0),0), INDEX($AC$1004:$AS$1004,1,MATCH(COLUMNS($AC$1006:AM1006),$AC$1006:$AS$1006,0)))),"Fix")))</f>
        <v xml:space="preserve"> </v>
      </c>
      <c r="M411" s="4" t="str">
        <f ca="1">IF(OR(INDEX($W$2:$W$1001,MATCH(ROWS($V$2:V411),$V$2:$V$1001,0),1)&gt;=100000,INDEX($AC$1005:$AS$1005,1,MATCH(COLUMNS($AC$1006:AN1006),$AC$1006:$AS$1006,0))&gt;=100000), " ",IF(INDEX($AC$2:$AS$1001,MATCH(ROWS($V$2:V411),$V$2:$V$1001,0),MATCH(COLUMNS($AC$1006:AN1006),$AC$1006:$AS$1006,0)), HYPERLINK("#",""), HYPERLINK(CONCATENATE("#metadata!", ADDRESS(INDEX($X$2:$X$1001,MATCH(ROWS($V$2:V411),$V$2:$V$1001,0),0), INDEX($AC$1004:$AS$1004,1,MATCH(COLUMNS($AC$1006:AN1006),$AC$1006:$AS$1006,0)))),"Fix")))</f>
        <v xml:space="preserve"> </v>
      </c>
      <c r="N411" s="4" t="str">
        <f ca="1">IF(OR(INDEX($W$2:$W$1001,MATCH(ROWS($V$2:V411),$V$2:$V$1001,0),1)&gt;=100000,INDEX($AC$1005:$AS$1005,1,MATCH(COLUMNS($AC$1006:AO1006),$AC$1006:$AS$1006,0))&gt;=100000), " ",IF(INDEX($AC$2:$AS$1001,MATCH(ROWS($V$2:V411),$V$2:$V$1001,0),MATCH(COLUMNS($AC$1006:AO1006),$AC$1006:$AS$1006,0)), HYPERLINK("#",""), HYPERLINK(CONCATENATE("#metadata!", ADDRESS(INDEX($X$2:$X$1001,MATCH(ROWS($V$2:V411),$V$2:$V$1001,0),0), INDEX($AC$1004:$AS$1004,1,MATCH(COLUMNS($AC$1006:AO1006),$AC$1006:$AS$1006,0)))),"Fix")))</f>
        <v xml:space="preserve"> </v>
      </c>
      <c r="O411" s="4" t="str">
        <f ca="1">IF(OR(INDEX($W$2:$W$1001,MATCH(ROWS($V$2:V411),$V$2:$V$1001,0),1)&gt;=100000,INDEX($AC$1005:$AS$1005,1,MATCH(COLUMNS($AC$1006:AP1006),$AC$1006:$AS$1006,0))&gt;=100000), " ",IF(INDEX($AC$2:$AS$1001,MATCH(ROWS($V$2:V411),$V$2:$V$1001,0),MATCH(COLUMNS($AC$1006:AP1006),$AC$1006:$AS$1006,0)), HYPERLINK("#",""), HYPERLINK(CONCATENATE("#metadata!", ADDRESS(INDEX($X$2:$X$1001,MATCH(ROWS($V$2:V411),$V$2:$V$1001,0),0), INDEX($AC$1004:$AS$1004,1,MATCH(COLUMNS($AC$1006:AP1006),$AC$1006:$AS$1006,0)))),"Fix")))</f>
        <v xml:space="preserve"> </v>
      </c>
      <c r="P411" s="4" t="str">
        <f ca="1">IF(OR(INDEX($W$2:$W$1001,MATCH(ROWS($V$2:V411),$V$2:$V$1001,0),1)&gt;=100000,INDEX($AC$1005:$AS$1005,1,MATCH(COLUMNS($AC$1006:AQ1006),$AC$1006:$AS$1006,0))&gt;=100000), " ",IF(INDEX($AC$2:$AS$1001,MATCH(ROWS($V$2:V411),$V$2:$V$1001,0),MATCH(COLUMNS($AC$1006:AQ1006),$AC$1006:$AS$1006,0)), HYPERLINK("#",""), HYPERLINK(CONCATENATE("#metadata!", ADDRESS(INDEX($X$2:$X$1001,MATCH(ROWS($V$2:V411),$V$2:$V$1001,0),0), INDEX($AC$1004:$AS$1004,1,MATCH(COLUMNS($AC$1006:AQ1006),$AC$1006:$AS$1006,0)))),"Fix")))</f>
        <v xml:space="preserve"> </v>
      </c>
      <c r="Q411" s="4" t="str">
        <f ca="1">IF(OR(INDEX($W$2:$W$1001,MATCH(ROWS($V$2:V411),$V$2:$V$1001,0),1)&gt;=100000,INDEX($AC$1005:$AS$1005,1,MATCH(COLUMNS($AC$1006:AR1006),$AC$1006:$AS$1006,0))&gt;=100000), " ",IF(INDEX($AC$2:$AS$1001,MATCH(ROWS($V$2:V411),$V$2:$V$1001,0),MATCH(COLUMNS($AC$1006:AR1006),$AC$1006:$AS$1006,0)), HYPERLINK("#",""), HYPERLINK(CONCATENATE("#metadata!", ADDRESS(INDEX($X$2:$X$1001,MATCH(ROWS($V$2:V411),$V$2:$V$1001,0),0), INDEX($AC$1004:$AS$1004,1,MATCH(COLUMNS($AC$1006:AR1006),$AC$1006:$AS$1006,0)))),"Fix")))</f>
        <v xml:space="preserve"> </v>
      </c>
      <c r="R411" s="4" t="str">
        <f ca="1">IF(OR(INDEX($W$2:$W$1001,MATCH(ROWS($V$2:V411),$V$2:$V$1001,0),1)&gt;=100000,INDEX($AC$1005:$AS$1005,1,MATCH(COLUMNS($AC$1006:AS1006),$AC$1006:$AS$1006,0))&gt;=100000), " ",IF(INDEX($AC$2:$AS$1001,MATCH(ROWS($V$2:V411),$V$2:$V$1001,0),MATCH(COLUMNS($AC$1006:AS1006),$AC$1006:$AS$1006,0)), HYPERLINK("#",""), HYPERLINK(CONCATENATE("#metadata!", ADDRESS(INDEX($X$2:$X$1001,MATCH(ROWS($V$2:V411),$V$2:$V$1001,0),0), INDEX($AC$1004:$AS$1004,1,MATCH(COLUMNS($AC$1006:AS1006),$AC$1006:$AS$1006,0)))),"Fix")))</f>
        <v xml:space="preserve"> </v>
      </c>
      <c r="V411">
        <v>410</v>
      </c>
      <c r="W411">
        <v>100411</v>
      </c>
      <c r="X411">
        <v>411</v>
      </c>
      <c r="Y411" t="b">
        <f t="shared" si="6"/>
        <v>1</v>
      </c>
      <c r="Z411" t="b">
        <f>COUNTBLANK(metadata!B411:R411)=COLUMNS(metadata!B411:R411)</f>
        <v>1</v>
      </c>
      <c r="AA411" t="str">
        <v/>
      </c>
      <c r="AC411" t="b">
        <f ca="1"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AD411" t="b">
        <f>IF(metadata!C411="",FALSE,ISNUMBER(VALUE(metadata!C411)))</f>
        <v>0</v>
      </c>
      <c r="AE411" t="b">
        <f>AND(IF(metadata!D411="",FALSE,TRUE),EXACT(metadata!D411,"years"))</f>
        <v>0</v>
      </c>
      <c r="AF411" t="b">
        <f>OR(AND(IF(metadata!E411="",FALSE,TRUE),OR(EXACT(metadata!E411,"not applicable"),EXACT(metadata!E411,"missing: not collected"),EXACT(metadata!E411,"missing: not provided"),EXACT(metadata!E411,"missing: restricted access"))),AND(IF(metadata!E411="",FALSE,ISNUMBER(VALUE(metadata!E411))),metadata!E411&gt;0))</f>
        <v>0</v>
      </c>
      <c r="AG411" t="b">
        <f>AND(IF(metadata!F411="",FALSE,TRUE),EXACT(metadata!F411,"Not applicable"))</f>
        <v>0</v>
      </c>
      <c r="AH411" t="b">
        <f>AND(IF(metadata!G411="",FALSE,TRUE),EXACT(metadata!G411,"urban biome"))</f>
        <v>0</v>
      </c>
      <c r="AI411" t="b">
        <f>AND(IF(metadata!H411="",FALSE,TRUE),EXACT(metadata!H411,"human-associated habitat"))</f>
        <v>0</v>
      </c>
      <c r="AJ411" t="b">
        <f>AND(IF(metadata!I411="",FALSE,TRUE),OR(EXACT(metadata!I411,"human-associated"),EXACT(metadata!I411,"human-skin"),EXACT(metadata!I411,"human-oral"),EXACT(metadata!I411,"human-gut"),EXACT(metadata!I411,"human-vaginal")))</f>
        <v>0</v>
      </c>
      <c r="AK411" t="b">
        <f>IF(metadata!J411="",FALSE,ISNUMBER(VALUE(metadata!J411)))</f>
        <v>0</v>
      </c>
      <c r="AL411" t="b">
        <f>AND(IF(metadata!K411="",FALSE,TRUE),EXACT(metadata!K411,"cm"))</f>
        <v>0</v>
      </c>
      <c r="AM411" t="b">
        <f>AND(IF(metadata!L411="",FALSE,TRUE),EXACT(metadata!L411,"human"))</f>
        <v>0</v>
      </c>
      <c r="AN411" t="b">
        <f>AND(IF(metadata!M411="",FALSE,TRUE),EXACT(metadata!M411,"Homo sapiens"))</f>
        <v>0</v>
      </c>
      <c r="AO411" t="b">
        <f>AND(IF(metadata!N411="",FALSE,TRUE),EXACT(metadata!N411,"9606"))</f>
        <v>0</v>
      </c>
      <c r="AP411" t="b">
        <f>IF(metadata!O411="",FALSE,TRUE)</f>
        <v>0</v>
      </c>
      <c r="AQ411" t="b">
        <f>IF(metadata!P411="",FALSE,TRUE)</f>
        <v>0</v>
      </c>
      <c r="AR411" t="b">
        <f>IF(metadata!Q411="",FALSE,ISNUMBER(VALUE(metadata!Q411)))</f>
        <v>0</v>
      </c>
      <c r="AS411" t="b">
        <f>AND(IF(metadata!R411="",FALSE,TRUE),EXACT(metadata!R411,"kg"))</f>
        <v>0</v>
      </c>
    </row>
    <row r="412" spans="1:45" x14ac:dyDescent="0.2">
      <c r="A412" s="5" t="str">
        <f ca="1">IF(B412=" "," ",HYPERLINK(CONCATENATE("#metadata!",ADDRESS(INDEX($X$2:$X$1001,MATCH(ROWS($V$2:V412),$V$2:$V$1001,0),0),1)),INDEX($AA$2:$AA$1001,MATCH(ROWS($V$2:V412),$V$2:$V$1001,0),0)))</f>
        <v xml:space="preserve"> </v>
      </c>
      <c r="B412" s="4" t="str">
        <f ca="1">IF(OR(INDEX($W$2:$W$1001,MATCH(ROWS($V$2:V412),$V$2:$V$1001,0),1)&gt;=100000,INDEX($AC$1005:$AS$1005,1,MATCH(COLUMNS($AC$1006:AC1006),$AC$1006:$AS$1006,0))&gt;=100000), " ",IF(INDEX($AC$2:$AS$1001,MATCH(ROWS($V$2:V412),$V$2:$V$1001,0),MATCH(COLUMNS($AC$1006:AC1006),$AC$1006:$AS$1006,0)), HYPERLINK("#",""), HYPERLINK(CONCATENATE("#metadata!", ADDRESS(INDEX($X$2:$X$1001,MATCH(ROWS($V$2:V412),$V$2:$V$1001,0),0), INDEX($AC$1004:$AS$1004,1,MATCH(COLUMNS($AC$1006:AC1006),$AC$1006:$AS$1006,0)))),"Fix")))</f>
        <v xml:space="preserve"> </v>
      </c>
      <c r="C412" s="4" t="str">
        <f ca="1">IF(OR(INDEX($W$2:$W$1001,MATCH(ROWS($V$2:V412),$V$2:$V$1001,0),1)&gt;=100000,INDEX($AC$1005:$AS$1005,1,MATCH(COLUMNS($AC$1006:AD1006),$AC$1006:$AS$1006,0))&gt;=100000), " ",IF(INDEX($AC$2:$AS$1001,MATCH(ROWS($V$2:V412),$V$2:$V$1001,0),MATCH(COLUMNS($AC$1006:AD1006),$AC$1006:$AS$1006,0)), HYPERLINK("#",""), HYPERLINK(CONCATENATE("#metadata!", ADDRESS(INDEX($X$2:$X$1001,MATCH(ROWS($V$2:V412),$V$2:$V$1001,0),0), INDEX($AC$1004:$AS$1004,1,MATCH(COLUMNS($AC$1006:AD1006),$AC$1006:$AS$1006,0)))),"Fix")))</f>
        <v xml:space="preserve"> </v>
      </c>
      <c r="D412" s="4" t="str">
        <f ca="1">IF(OR(INDEX($W$2:$W$1001,MATCH(ROWS($V$2:V412),$V$2:$V$1001,0),1)&gt;=100000,INDEX($AC$1005:$AS$1005,1,MATCH(COLUMNS($AC$1006:AE1006),$AC$1006:$AS$1006,0))&gt;=100000), " ",IF(INDEX($AC$2:$AS$1001,MATCH(ROWS($V$2:V412),$V$2:$V$1001,0),MATCH(COLUMNS($AC$1006:AE1006),$AC$1006:$AS$1006,0)), HYPERLINK("#",""), HYPERLINK(CONCATENATE("#metadata!", ADDRESS(INDEX($X$2:$X$1001,MATCH(ROWS($V$2:V412),$V$2:$V$1001,0),0), INDEX($AC$1004:$AS$1004,1,MATCH(COLUMNS($AC$1006:AE1006),$AC$1006:$AS$1006,0)))),"Fix")))</f>
        <v xml:space="preserve"> </v>
      </c>
      <c r="E412" s="4" t="str">
        <f ca="1">IF(OR(INDEX($W$2:$W$1001,MATCH(ROWS($V$2:V412),$V$2:$V$1001,0),1)&gt;=100000,INDEX($AC$1005:$AS$1005,1,MATCH(COLUMNS($AC$1006:AF1006),$AC$1006:$AS$1006,0))&gt;=100000), " ",IF(INDEX($AC$2:$AS$1001,MATCH(ROWS($V$2:V412),$V$2:$V$1001,0),MATCH(COLUMNS($AC$1006:AF1006),$AC$1006:$AS$1006,0)), HYPERLINK("#",""), HYPERLINK(CONCATENATE("#metadata!", ADDRESS(INDEX($X$2:$X$1001,MATCH(ROWS($V$2:V412),$V$2:$V$1001,0),0), INDEX($AC$1004:$AS$1004,1,MATCH(COLUMNS($AC$1006:AF1006),$AC$1006:$AS$1006,0)))),"Fix")))</f>
        <v xml:space="preserve"> </v>
      </c>
      <c r="F412" s="4" t="str">
        <f ca="1">IF(OR(INDEX($W$2:$W$1001,MATCH(ROWS($V$2:V412),$V$2:$V$1001,0),1)&gt;=100000,INDEX($AC$1005:$AS$1005,1,MATCH(COLUMNS($AC$1006:AG1006),$AC$1006:$AS$1006,0))&gt;=100000), " ",IF(INDEX($AC$2:$AS$1001,MATCH(ROWS($V$2:V412),$V$2:$V$1001,0),MATCH(COLUMNS($AC$1006:AG1006),$AC$1006:$AS$1006,0)), HYPERLINK("#",""), HYPERLINK(CONCATENATE("#metadata!", ADDRESS(INDEX($X$2:$X$1001,MATCH(ROWS($V$2:V412),$V$2:$V$1001,0),0), INDEX($AC$1004:$AS$1004,1,MATCH(COLUMNS($AC$1006:AG1006),$AC$1006:$AS$1006,0)))),"Fix")))</f>
        <v xml:space="preserve"> </v>
      </c>
      <c r="G412" s="4" t="str">
        <f ca="1">IF(OR(INDEX($W$2:$W$1001,MATCH(ROWS($V$2:V412),$V$2:$V$1001,0),1)&gt;=100000,INDEX($AC$1005:$AS$1005,1,MATCH(COLUMNS($AC$1006:AH1006),$AC$1006:$AS$1006,0))&gt;=100000), " ",IF(INDEX($AC$2:$AS$1001,MATCH(ROWS($V$2:V412),$V$2:$V$1001,0),MATCH(COLUMNS($AC$1006:AH1006),$AC$1006:$AS$1006,0)), HYPERLINK("#",""), HYPERLINK(CONCATENATE("#metadata!", ADDRESS(INDEX($X$2:$X$1001,MATCH(ROWS($V$2:V412),$V$2:$V$1001,0),0), INDEX($AC$1004:$AS$1004,1,MATCH(COLUMNS($AC$1006:AH1006),$AC$1006:$AS$1006,0)))),"Fix")))</f>
        <v xml:space="preserve"> </v>
      </c>
      <c r="H412" s="4" t="str">
        <f ca="1">IF(OR(INDEX($W$2:$W$1001,MATCH(ROWS($V$2:V412),$V$2:$V$1001,0),1)&gt;=100000,INDEX($AC$1005:$AS$1005,1,MATCH(COLUMNS($AC$1006:AI1006),$AC$1006:$AS$1006,0))&gt;=100000), " ",IF(INDEX($AC$2:$AS$1001,MATCH(ROWS($V$2:V412),$V$2:$V$1001,0),MATCH(COLUMNS($AC$1006:AI1006),$AC$1006:$AS$1006,0)), HYPERLINK("#",""), HYPERLINK(CONCATENATE("#metadata!", ADDRESS(INDEX($X$2:$X$1001,MATCH(ROWS($V$2:V412),$V$2:$V$1001,0),0), INDEX($AC$1004:$AS$1004,1,MATCH(COLUMNS($AC$1006:AI1006),$AC$1006:$AS$1006,0)))),"Fix")))</f>
        <v xml:space="preserve"> </v>
      </c>
      <c r="I412" s="4" t="str">
        <f ca="1">IF(OR(INDEX($W$2:$W$1001,MATCH(ROWS($V$2:V412),$V$2:$V$1001,0),1)&gt;=100000,INDEX($AC$1005:$AS$1005,1,MATCH(COLUMNS($AC$1006:AJ1006),$AC$1006:$AS$1006,0))&gt;=100000), " ",IF(INDEX($AC$2:$AS$1001,MATCH(ROWS($V$2:V412),$V$2:$V$1001,0),MATCH(COLUMNS($AC$1006:AJ1006),$AC$1006:$AS$1006,0)), HYPERLINK("#",""), HYPERLINK(CONCATENATE("#metadata!", ADDRESS(INDEX($X$2:$X$1001,MATCH(ROWS($V$2:V412),$V$2:$V$1001,0),0), INDEX($AC$1004:$AS$1004,1,MATCH(COLUMNS($AC$1006:AJ1006),$AC$1006:$AS$1006,0)))),"Fix")))</f>
        <v xml:space="preserve"> </v>
      </c>
      <c r="J412" s="4" t="str">
        <f ca="1">IF(OR(INDEX($W$2:$W$1001,MATCH(ROWS($V$2:V412),$V$2:$V$1001,0),1)&gt;=100000,INDEX($AC$1005:$AS$1005,1,MATCH(COLUMNS($AC$1006:AK1006),$AC$1006:$AS$1006,0))&gt;=100000), " ",IF(INDEX($AC$2:$AS$1001,MATCH(ROWS($V$2:V412),$V$2:$V$1001,0),MATCH(COLUMNS($AC$1006:AK1006),$AC$1006:$AS$1006,0)), HYPERLINK("#",""), HYPERLINK(CONCATENATE("#metadata!", ADDRESS(INDEX($X$2:$X$1001,MATCH(ROWS($V$2:V412),$V$2:$V$1001,0),0), INDEX($AC$1004:$AS$1004,1,MATCH(COLUMNS($AC$1006:AK1006),$AC$1006:$AS$1006,0)))),"Fix")))</f>
        <v xml:space="preserve"> </v>
      </c>
      <c r="K412" s="4" t="str">
        <f ca="1">IF(OR(INDEX($W$2:$W$1001,MATCH(ROWS($V$2:V412),$V$2:$V$1001,0),1)&gt;=100000,INDEX($AC$1005:$AS$1005,1,MATCH(COLUMNS($AC$1006:AL1006),$AC$1006:$AS$1006,0))&gt;=100000), " ",IF(INDEX($AC$2:$AS$1001,MATCH(ROWS($V$2:V412),$V$2:$V$1001,0),MATCH(COLUMNS($AC$1006:AL1006),$AC$1006:$AS$1006,0)), HYPERLINK("#",""), HYPERLINK(CONCATENATE("#metadata!", ADDRESS(INDEX($X$2:$X$1001,MATCH(ROWS($V$2:V412),$V$2:$V$1001,0),0), INDEX($AC$1004:$AS$1004,1,MATCH(COLUMNS($AC$1006:AL1006),$AC$1006:$AS$1006,0)))),"Fix")))</f>
        <v xml:space="preserve"> </v>
      </c>
      <c r="L412" s="4" t="str">
        <f ca="1">IF(OR(INDEX($W$2:$W$1001,MATCH(ROWS($V$2:V412),$V$2:$V$1001,0),1)&gt;=100000,INDEX($AC$1005:$AS$1005,1,MATCH(COLUMNS($AC$1006:AM1006),$AC$1006:$AS$1006,0))&gt;=100000), " ",IF(INDEX($AC$2:$AS$1001,MATCH(ROWS($V$2:V412),$V$2:$V$1001,0),MATCH(COLUMNS($AC$1006:AM1006),$AC$1006:$AS$1006,0)), HYPERLINK("#",""), HYPERLINK(CONCATENATE("#metadata!", ADDRESS(INDEX($X$2:$X$1001,MATCH(ROWS($V$2:V412),$V$2:$V$1001,0),0), INDEX($AC$1004:$AS$1004,1,MATCH(COLUMNS($AC$1006:AM1006),$AC$1006:$AS$1006,0)))),"Fix")))</f>
        <v xml:space="preserve"> </v>
      </c>
      <c r="M412" s="4" t="str">
        <f ca="1">IF(OR(INDEX($W$2:$W$1001,MATCH(ROWS($V$2:V412),$V$2:$V$1001,0),1)&gt;=100000,INDEX($AC$1005:$AS$1005,1,MATCH(COLUMNS($AC$1006:AN1006),$AC$1006:$AS$1006,0))&gt;=100000), " ",IF(INDEX($AC$2:$AS$1001,MATCH(ROWS($V$2:V412),$V$2:$V$1001,0),MATCH(COLUMNS($AC$1006:AN1006),$AC$1006:$AS$1006,0)), HYPERLINK("#",""), HYPERLINK(CONCATENATE("#metadata!", ADDRESS(INDEX($X$2:$X$1001,MATCH(ROWS($V$2:V412),$V$2:$V$1001,0),0), INDEX($AC$1004:$AS$1004,1,MATCH(COLUMNS($AC$1006:AN1006),$AC$1006:$AS$1006,0)))),"Fix")))</f>
        <v xml:space="preserve"> </v>
      </c>
      <c r="N412" s="4" t="str">
        <f ca="1">IF(OR(INDEX($W$2:$W$1001,MATCH(ROWS($V$2:V412),$V$2:$V$1001,0),1)&gt;=100000,INDEX($AC$1005:$AS$1005,1,MATCH(COLUMNS($AC$1006:AO1006),$AC$1006:$AS$1006,0))&gt;=100000), " ",IF(INDEX($AC$2:$AS$1001,MATCH(ROWS($V$2:V412),$V$2:$V$1001,0),MATCH(COLUMNS($AC$1006:AO1006),$AC$1006:$AS$1006,0)), HYPERLINK("#",""), HYPERLINK(CONCATENATE("#metadata!", ADDRESS(INDEX($X$2:$X$1001,MATCH(ROWS($V$2:V412),$V$2:$V$1001,0),0), INDEX($AC$1004:$AS$1004,1,MATCH(COLUMNS($AC$1006:AO1006),$AC$1006:$AS$1006,0)))),"Fix")))</f>
        <v xml:space="preserve"> </v>
      </c>
      <c r="O412" s="4" t="str">
        <f ca="1">IF(OR(INDEX($W$2:$W$1001,MATCH(ROWS($V$2:V412),$V$2:$V$1001,0),1)&gt;=100000,INDEX($AC$1005:$AS$1005,1,MATCH(COLUMNS($AC$1006:AP1006),$AC$1006:$AS$1006,0))&gt;=100000), " ",IF(INDEX($AC$2:$AS$1001,MATCH(ROWS($V$2:V412),$V$2:$V$1001,0),MATCH(COLUMNS($AC$1006:AP1006),$AC$1006:$AS$1006,0)), HYPERLINK("#",""), HYPERLINK(CONCATENATE("#metadata!", ADDRESS(INDEX($X$2:$X$1001,MATCH(ROWS($V$2:V412),$V$2:$V$1001,0),0), INDEX($AC$1004:$AS$1004,1,MATCH(COLUMNS($AC$1006:AP1006),$AC$1006:$AS$1006,0)))),"Fix")))</f>
        <v xml:space="preserve"> </v>
      </c>
      <c r="P412" s="4" t="str">
        <f ca="1">IF(OR(INDEX($W$2:$W$1001,MATCH(ROWS($V$2:V412),$V$2:$V$1001,0),1)&gt;=100000,INDEX($AC$1005:$AS$1005,1,MATCH(COLUMNS($AC$1006:AQ1006),$AC$1006:$AS$1006,0))&gt;=100000), " ",IF(INDEX($AC$2:$AS$1001,MATCH(ROWS($V$2:V412),$V$2:$V$1001,0),MATCH(COLUMNS($AC$1006:AQ1006),$AC$1006:$AS$1006,0)), HYPERLINK("#",""), HYPERLINK(CONCATENATE("#metadata!", ADDRESS(INDEX($X$2:$X$1001,MATCH(ROWS($V$2:V412),$V$2:$V$1001,0),0), INDEX($AC$1004:$AS$1004,1,MATCH(COLUMNS($AC$1006:AQ1006),$AC$1006:$AS$1006,0)))),"Fix")))</f>
        <v xml:space="preserve"> </v>
      </c>
      <c r="Q412" s="4" t="str">
        <f ca="1">IF(OR(INDEX($W$2:$W$1001,MATCH(ROWS($V$2:V412),$V$2:$V$1001,0),1)&gt;=100000,INDEX($AC$1005:$AS$1005,1,MATCH(COLUMNS($AC$1006:AR1006),$AC$1006:$AS$1006,0))&gt;=100000), " ",IF(INDEX($AC$2:$AS$1001,MATCH(ROWS($V$2:V412),$V$2:$V$1001,0),MATCH(COLUMNS($AC$1006:AR1006),$AC$1006:$AS$1006,0)), HYPERLINK("#",""), HYPERLINK(CONCATENATE("#metadata!", ADDRESS(INDEX($X$2:$X$1001,MATCH(ROWS($V$2:V412),$V$2:$V$1001,0),0), INDEX($AC$1004:$AS$1004,1,MATCH(COLUMNS($AC$1006:AR1006),$AC$1006:$AS$1006,0)))),"Fix")))</f>
        <v xml:space="preserve"> </v>
      </c>
      <c r="R412" s="4" t="str">
        <f ca="1">IF(OR(INDEX($W$2:$W$1001,MATCH(ROWS($V$2:V412),$V$2:$V$1001,0),1)&gt;=100000,INDEX($AC$1005:$AS$1005,1,MATCH(COLUMNS($AC$1006:AS1006),$AC$1006:$AS$1006,0))&gt;=100000), " ",IF(INDEX($AC$2:$AS$1001,MATCH(ROWS($V$2:V412),$V$2:$V$1001,0),MATCH(COLUMNS($AC$1006:AS1006),$AC$1006:$AS$1006,0)), HYPERLINK("#",""), HYPERLINK(CONCATENATE("#metadata!", ADDRESS(INDEX($X$2:$X$1001,MATCH(ROWS($V$2:V412),$V$2:$V$1001,0),0), INDEX($AC$1004:$AS$1004,1,MATCH(COLUMNS($AC$1006:AS1006),$AC$1006:$AS$1006,0)))),"Fix")))</f>
        <v xml:space="preserve"> </v>
      </c>
      <c r="V412">
        <v>411</v>
      </c>
      <c r="W412">
        <v>100412</v>
      </c>
      <c r="X412">
        <v>412</v>
      </c>
      <c r="Y412" t="b">
        <f t="shared" si="6"/>
        <v>1</v>
      </c>
      <c r="Z412" t="b">
        <f>COUNTBLANK(metadata!B412:R412)=COLUMNS(metadata!B412:R412)</f>
        <v>1</v>
      </c>
      <c r="AA412" t="str">
        <v/>
      </c>
      <c r="AC412" t="b">
        <f ca="1"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AD412" t="b">
        <f>IF(metadata!C412="",FALSE,ISNUMBER(VALUE(metadata!C412)))</f>
        <v>0</v>
      </c>
      <c r="AE412" t="b">
        <f>AND(IF(metadata!D412="",FALSE,TRUE),EXACT(metadata!D412,"years"))</f>
        <v>0</v>
      </c>
      <c r="AF412" t="b">
        <f>OR(AND(IF(metadata!E412="",FALSE,TRUE),OR(EXACT(metadata!E412,"not applicable"),EXACT(metadata!E412,"missing: not collected"),EXACT(metadata!E412,"missing: not provided"),EXACT(metadata!E412,"missing: restricted access"))),AND(IF(metadata!E412="",FALSE,ISNUMBER(VALUE(metadata!E412))),metadata!E412&gt;0))</f>
        <v>0</v>
      </c>
      <c r="AG412" t="b">
        <f>AND(IF(metadata!F412="",FALSE,TRUE),EXACT(metadata!F412,"Not applicable"))</f>
        <v>0</v>
      </c>
      <c r="AH412" t="b">
        <f>AND(IF(metadata!G412="",FALSE,TRUE),EXACT(metadata!G412,"urban biome"))</f>
        <v>0</v>
      </c>
      <c r="AI412" t="b">
        <f>AND(IF(metadata!H412="",FALSE,TRUE),EXACT(metadata!H412,"human-associated habitat"))</f>
        <v>0</v>
      </c>
      <c r="AJ412" t="b">
        <f>AND(IF(metadata!I412="",FALSE,TRUE),OR(EXACT(metadata!I412,"human-associated"),EXACT(metadata!I412,"human-skin"),EXACT(metadata!I412,"human-oral"),EXACT(metadata!I412,"human-gut"),EXACT(metadata!I412,"human-vaginal")))</f>
        <v>0</v>
      </c>
      <c r="AK412" t="b">
        <f>IF(metadata!J412="",FALSE,ISNUMBER(VALUE(metadata!J412)))</f>
        <v>0</v>
      </c>
      <c r="AL412" t="b">
        <f>AND(IF(metadata!K412="",FALSE,TRUE),EXACT(metadata!K412,"cm"))</f>
        <v>0</v>
      </c>
      <c r="AM412" t="b">
        <f>AND(IF(metadata!L412="",FALSE,TRUE),EXACT(metadata!L412,"human"))</f>
        <v>0</v>
      </c>
      <c r="AN412" t="b">
        <f>AND(IF(metadata!M412="",FALSE,TRUE),EXACT(metadata!M412,"Homo sapiens"))</f>
        <v>0</v>
      </c>
      <c r="AO412" t="b">
        <f>AND(IF(metadata!N412="",FALSE,TRUE),EXACT(metadata!N412,"9606"))</f>
        <v>0</v>
      </c>
      <c r="AP412" t="b">
        <f>IF(metadata!O412="",FALSE,TRUE)</f>
        <v>0</v>
      </c>
      <c r="AQ412" t="b">
        <f>IF(metadata!P412="",FALSE,TRUE)</f>
        <v>0</v>
      </c>
      <c r="AR412" t="b">
        <f>IF(metadata!Q412="",FALSE,ISNUMBER(VALUE(metadata!Q412)))</f>
        <v>0</v>
      </c>
      <c r="AS412" t="b">
        <f>AND(IF(metadata!R412="",FALSE,TRUE),EXACT(metadata!R412,"kg"))</f>
        <v>0</v>
      </c>
    </row>
    <row r="413" spans="1:45" x14ac:dyDescent="0.2">
      <c r="A413" s="5" t="str">
        <f ca="1">IF(B413=" "," ",HYPERLINK(CONCATENATE("#metadata!",ADDRESS(INDEX($X$2:$X$1001,MATCH(ROWS($V$2:V413),$V$2:$V$1001,0),0),1)),INDEX($AA$2:$AA$1001,MATCH(ROWS($V$2:V413),$V$2:$V$1001,0),0)))</f>
        <v xml:space="preserve"> </v>
      </c>
      <c r="B413" s="4" t="str">
        <f ca="1">IF(OR(INDEX($W$2:$W$1001,MATCH(ROWS($V$2:V413),$V$2:$V$1001,0),1)&gt;=100000,INDEX($AC$1005:$AS$1005,1,MATCH(COLUMNS($AC$1006:AC1006),$AC$1006:$AS$1006,0))&gt;=100000), " ",IF(INDEX($AC$2:$AS$1001,MATCH(ROWS($V$2:V413),$V$2:$V$1001,0),MATCH(COLUMNS($AC$1006:AC1006),$AC$1006:$AS$1006,0)), HYPERLINK("#",""), HYPERLINK(CONCATENATE("#metadata!", ADDRESS(INDEX($X$2:$X$1001,MATCH(ROWS($V$2:V413),$V$2:$V$1001,0),0), INDEX($AC$1004:$AS$1004,1,MATCH(COLUMNS($AC$1006:AC1006),$AC$1006:$AS$1006,0)))),"Fix")))</f>
        <v xml:space="preserve"> </v>
      </c>
      <c r="C413" s="4" t="str">
        <f ca="1">IF(OR(INDEX($W$2:$W$1001,MATCH(ROWS($V$2:V413),$V$2:$V$1001,0),1)&gt;=100000,INDEX($AC$1005:$AS$1005,1,MATCH(COLUMNS($AC$1006:AD1006),$AC$1006:$AS$1006,0))&gt;=100000), " ",IF(INDEX($AC$2:$AS$1001,MATCH(ROWS($V$2:V413),$V$2:$V$1001,0),MATCH(COLUMNS($AC$1006:AD1006),$AC$1006:$AS$1006,0)), HYPERLINK("#",""), HYPERLINK(CONCATENATE("#metadata!", ADDRESS(INDEX($X$2:$X$1001,MATCH(ROWS($V$2:V413),$V$2:$V$1001,0),0), INDEX($AC$1004:$AS$1004,1,MATCH(COLUMNS($AC$1006:AD1006),$AC$1006:$AS$1006,0)))),"Fix")))</f>
        <v xml:space="preserve"> </v>
      </c>
      <c r="D413" s="4" t="str">
        <f ca="1">IF(OR(INDEX($W$2:$W$1001,MATCH(ROWS($V$2:V413),$V$2:$V$1001,0),1)&gt;=100000,INDEX($AC$1005:$AS$1005,1,MATCH(COLUMNS($AC$1006:AE1006),$AC$1006:$AS$1006,0))&gt;=100000), " ",IF(INDEX($AC$2:$AS$1001,MATCH(ROWS($V$2:V413),$V$2:$V$1001,0),MATCH(COLUMNS($AC$1006:AE1006),$AC$1006:$AS$1006,0)), HYPERLINK("#",""), HYPERLINK(CONCATENATE("#metadata!", ADDRESS(INDEX($X$2:$X$1001,MATCH(ROWS($V$2:V413),$V$2:$V$1001,0),0), INDEX($AC$1004:$AS$1004,1,MATCH(COLUMNS($AC$1006:AE1006),$AC$1006:$AS$1006,0)))),"Fix")))</f>
        <v xml:space="preserve"> </v>
      </c>
      <c r="E413" s="4" t="str">
        <f ca="1">IF(OR(INDEX($W$2:$W$1001,MATCH(ROWS($V$2:V413),$V$2:$V$1001,0),1)&gt;=100000,INDEX($AC$1005:$AS$1005,1,MATCH(COLUMNS($AC$1006:AF1006),$AC$1006:$AS$1006,0))&gt;=100000), " ",IF(INDEX($AC$2:$AS$1001,MATCH(ROWS($V$2:V413),$V$2:$V$1001,0),MATCH(COLUMNS($AC$1006:AF1006),$AC$1006:$AS$1006,0)), HYPERLINK("#",""), HYPERLINK(CONCATENATE("#metadata!", ADDRESS(INDEX($X$2:$X$1001,MATCH(ROWS($V$2:V413),$V$2:$V$1001,0),0), INDEX($AC$1004:$AS$1004,1,MATCH(COLUMNS($AC$1006:AF1006),$AC$1006:$AS$1006,0)))),"Fix")))</f>
        <v xml:space="preserve"> </v>
      </c>
      <c r="F413" s="4" t="str">
        <f ca="1">IF(OR(INDEX($W$2:$W$1001,MATCH(ROWS($V$2:V413),$V$2:$V$1001,0),1)&gt;=100000,INDEX($AC$1005:$AS$1005,1,MATCH(COLUMNS($AC$1006:AG1006),$AC$1006:$AS$1006,0))&gt;=100000), " ",IF(INDEX($AC$2:$AS$1001,MATCH(ROWS($V$2:V413),$V$2:$V$1001,0),MATCH(COLUMNS($AC$1006:AG1006),$AC$1006:$AS$1006,0)), HYPERLINK("#",""), HYPERLINK(CONCATENATE("#metadata!", ADDRESS(INDEX($X$2:$X$1001,MATCH(ROWS($V$2:V413),$V$2:$V$1001,0),0), INDEX($AC$1004:$AS$1004,1,MATCH(COLUMNS($AC$1006:AG1006),$AC$1006:$AS$1006,0)))),"Fix")))</f>
        <v xml:space="preserve"> </v>
      </c>
      <c r="G413" s="4" t="str">
        <f ca="1">IF(OR(INDEX($W$2:$W$1001,MATCH(ROWS($V$2:V413),$V$2:$V$1001,0),1)&gt;=100000,INDEX($AC$1005:$AS$1005,1,MATCH(COLUMNS($AC$1006:AH1006),$AC$1006:$AS$1006,0))&gt;=100000), " ",IF(INDEX($AC$2:$AS$1001,MATCH(ROWS($V$2:V413),$V$2:$V$1001,0),MATCH(COLUMNS($AC$1006:AH1006),$AC$1006:$AS$1006,0)), HYPERLINK("#",""), HYPERLINK(CONCATENATE("#metadata!", ADDRESS(INDEX($X$2:$X$1001,MATCH(ROWS($V$2:V413),$V$2:$V$1001,0),0), INDEX($AC$1004:$AS$1004,1,MATCH(COLUMNS($AC$1006:AH1006),$AC$1006:$AS$1006,0)))),"Fix")))</f>
        <v xml:space="preserve"> </v>
      </c>
      <c r="H413" s="4" t="str">
        <f ca="1">IF(OR(INDEX($W$2:$W$1001,MATCH(ROWS($V$2:V413),$V$2:$V$1001,0),1)&gt;=100000,INDEX($AC$1005:$AS$1005,1,MATCH(COLUMNS($AC$1006:AI1006),$AC$1006:$AS$1006,0))&gt;=100000), " ",IF(INDEX($AC$2:$AS$1001,MATCH(ROWS($V$2:V413),$V$2:$V$1001,0),MATCH(COLUMNS($AC$1006:AI1006),$AC$1006:$AS$1006,0)), HYPERLINK("#",""), HYPERLINK(CONCATENATE("#metadata!", ADDRESS(INDEX($X$2:$X$1001,MATCH(ROWS($V$2:V413),$V$2:$V$1001,0),0), INDEX($AC$1004:$AS$1004,1,MATCH(COLUMNS($AC$1006:AI1006),$AC$1006:$AS$1006,0)))),"Fix")))</f>
        <v xml:space="preserve"> </v>
      </c>
      <c r="I413" s="4" t="str">
        <f ca="1">IF(OR(INDEX($W$2:$W$1001,MATCH(ROWS($V$2:V413),$V$2:$V$1001,0),1)&gt;=100000,INDEX($AC$1005:$AS$1005,1,MATCH(COLUMNS($AC$1006:AJ1006),$AC$1006:$AS$1006,0))&gt;=100000), " ",IF(INDEX($AC$2:$AS$1001,MATCH(ROWS($V$2:V413),$V$2:$V$1001,0),MATCH(COLUMNS($AC$1006:AJ1006),$AC$1006:$AS$1006,0)), HYPERLINK("#",""), HYPERLINK(CONCATENATE("#metadata!", ADDRESS(INDEX($X$2:$X$1001,MATCH(ROWS($V$2:V413),$V$2:$V$1001,0),0), INDEX($AC$1004:$AS$1004,1,MATCH(COLUMNS($AC$1006:AJ1006),$AC$1006:$AS$1006,0)))),"Fix")))</f>
        <v xml:space="preserve"> </v>
      </c>
      <c r="J413" s="4" t="str">
        <f ca="1">IF(OR(INDEX($W$2:$W$1001,MATCH(ROWS($V$2:V413),$V$2:$V$1001,0),1)&gt;=100000,INDEX($AC$1005:$AS$1005,1,MATCH(COLUMNS($AC$1006:AK1006),$AC$1006:$AS$1006,0))&gt;=100000), " ",IF(INDEX($AC$2:$AS$1001,MATCH(ROWS($V$2:V413),$V$2:$V$1001,0),MATCH(COLUMNS($AC$1006:AK1006),$AC$1006:$AS$1006,0)), HYPERLINK("#",""), HYPERLINK(CONCATENATE("#metadata!", ADDRESS(INDEX($X$2:$X$1001,MATCH(ROWS($V$2:V413),$V$2:$V$1001,0),0), INDEX($AC$1004:$AS$1004,1,MATCH(COLUMNS($AC$1006:AK1006),$AC$1006:$AS$1006,0)))),"Fix")))</f>
        <v xml:space="preserve"> </v>
      </c>
      <c r="K413" s="4" t="str">
        <f ca="1">IF(OR(INDEX($W$2:$W$1001,MATCH(ROWS($V$2:V413),$V$2:$V$1001,0),1)&gt;=100000,INDEX($AC$1005:$AS$1005,1,MATCH(COLUMNS($AC$1006:AL1006),$AC$1006:$AS$1006,0))&gt;=100000), " ",IF(INDEX($AC$2:$AS$1001,MATCH(ROWS($V$2:V413),$V$2:$V$1001,0),MATCH(COLUMNS($AC$1006:AL1006),$AC$1006:$AS$1006,0)), HYPERLINK("#",""), HYPERLINK(CONCATENATE("#metadata!", ADDRESS(INDEX($X$2:$X$1001,MATCH(ROWS($V$2:V413),$V$2:$V$1001,0),0), INDEX($AC$1004:$AS$1004,1,MATCH(COLUMNS($AC$1006:AL1006),$AC$1006:$AS$1006,0)))),"Fix")))</f>
        <v xml:space="preserve"> </v>
      </c>
      <c r="L413" s="4" t="str">
        <f ca="1">IF(OR(INDEX($W$2:$W$1001,MATCH(ROWS($V$2:V413),$V$2:$V$1001,0),1)&gt;=100000,INDEX($AC$1005:$AS$1005,1,MATCH(COLUMNS($AC$1006:AM1006),$AC$1006:$AS$1006,0))&gt;=100000), " ",IF(INDEX($AC$2:$AS$1001,MATCH(ROWS($V$2:V413),$V$2:$V$1001,0),MATCH(COLUMNS($AC$1006:AM1006),$AC$1006:$AS$1006,0)), HYPERLINK("#",""), HYPERLINK(CONCATENATE("#metadata!", ADDRESS(INDEX($X$2:$X$1001,MATCH(ROWS($V$2:V413),$V$2:$V$1001,0),0), INDEX($AC$1004:$AS$1004,1,MATCH(COLUMNS($AC$1006:AM1006),$AC$1006:$AS$1006,0)))),"Fix")))</f>
        <v xml:space="preserve"> </v>
      </c>
      <c r="M413" s="4" t="str">
        <f ca="1">IF(OR(INDEX($W$2:$W$1001,MATCH(ROWS($V$2:V413),$V$2:$V$1001,0),1)&gt;=100000,INDEX($AC$1005:$AS$1005,1,MATCH(COLUMNS($AC$1006:AN1006),$AC$1006:$AS$1006,0))&gt;=100000), " ",IF(INDEX($AC$2:$AS$1001,MATCH(ROWS($V$2:V413),$V$2:$V$1001,0),MATCH(COLUMNS($AC$1006:AN1006),$AC$1006:$AS$1006,0)), HYPERLINK("#",""), HYPERLINK(CONCATENATE("#metadata!", ADDRESS(INDEX($X$2:$X$1001,MATCH(ROWS($V$2:V413),$V$2:$V$1001,0),0), INDEX($AC$1004:$AS$1004,1,MATCH(COLUMNS($AC$1006:AN1006),$AC$1006:$AS$1006,0)))),"Fix")))</f>
        <v xml:space="preserve"> </v>
      </c>
      <c r="N413" s="4" t="str">
        <f ca="1">IF(OR(INDEX($W$2:$W$1001,MATCH(ROWS($V$2:V413),$V$2:$V$1001,0),1)&gt;=100000,INDEX($AC$1005:$AS$1005,1,MATCH(COLUMNS($AC$1006:AO1006),$AC$1006:$AS$1006,0))&gt;=100000), " ",IF(INDEX($AC$2:$AS$1001,MATCH(ROWS($V$2:V413),$V$2:$V$1001,0),MATCH(COLUMNS($AC$1006:AO1006),$AC$1006:$AS$1006,0)), HYPERLINK("#",""), HYPERLINK(CONCATENATE("#metadata!", ADDRESS(INDEX($X$2:$X$1001,MATCH(ROWS($V$2:V413),$V$2:$V$1001,0),0), INDEX($AC$1004:$AS$1004,1,MATCH(COLUMNS($AC$1006:AO1006),$AC$1006:$AS$1006,0)))),"Fix")))</f>
        <v xml:space="preserve"> </v>
      </c>
      <c r="O413" s="4" t="str">
        <f ca="1">IF(OR(INDEX($W$2:$W$1001,MATCH(ROWS($V$2:V413),$V$2:$V$1001,0),1)&gt;=100000,INDEX($AC$1005:$AS$1005,1,MATCH(COLUMNS($AC$1006:AP1006),$AC$1006:$AS$1006,0))&gt;=100000), " ",IF(INDEX($AC$2:$AS$1001,MATCH(ROWS($V$2:V413),$V$2:$V$1001,0),MATCH(COLUMNS($AC$1006:AP1006),$AC$1006:$AS$1006,0)), HYPERLINK("#",""), HYPERLINK(CONCATENATE("#metadata!", ADDRESS(INDEX($X$2:$X$1001,MATCH(ROWS($V$2:V413),$V$2:$V$1001,0),0), INDEX($AC$1004:$AS$1004,1,MATCH(COLUMNS($AC$1006:AP1006),$AC$1006:$AS$1006,0)))),"Fix")))</f>
        <v xml:space="preserve"> </v>
      </c>
      <c r="P413" s="4" t="str">
        <f ca="1">IF(OR(INDEX($W$2:$W$1001,MATCH(ROWS($V$2:V413),$V$2:$V$1001,0),1)&gt;=100000,INDEX($AC$1005:$AS$1005,1,MATCH(COLUMNS($AC$1006:AQ1006),$AC$1006:$AS$1006,0))&gt;=100000), " ",IF(INDEX($AC$2:$AS$1001,MATCH(ROWS($V$2:V413),$V$2:$V$1001,0),MATCH(COLUMNS($AC$1006:AQ1006),$AC$1006:$AS$1006,0)), HYPERLINK("#",""), HYPERLINK(CONCATENATE("#metadata!", ADDRESS(INDEX($X$2:$X$1001,MATCH(ROWS($V$2:V413),$V$2:$V$1001,0),0), INDEX($AC$1004:$AS$1004,1,MATCH(COLUMNS($AC$1006:AQ1006),$AC$1006:$AS$1006,0)))),"Fix")))</f>
        <v xml:space="preserve"> </v>
      </c>
      <c r="Q413" s="4" t="str">
        <f ca="1">IF(OR(INDEX($W$2:$W$1001,MATCH(ROWS($V$2:V413),$V$2:$V$1001,0),1)&gt;=100000,INDEX($AC$1005:$AS$1005,1,MATCH(COLUMNS($AC$1006:AR1006),$AC$1006:$AS$1006,0))&gt;=100000), " ",IF(INDEX($AC$2:$AS$1001,MATCH(ROWS($V$2:V413),$V$2:$V$1001,0),MATCH(COLUMNS($AC$1006:AR1006),$AC$1006:$AS$1006,0)), HYPERLINK("#",""), HYPERLINK(CONCATENATE("#metadata!", ADDRESS(INDEX($X$2:$X$1001,MATCH(ROWS($V$2:V413),$V$2:$V$1001,0),0), INDEX($AC$1004:$AS$1004,1,MATCH(COLUMNS($AC$1006:AR1006),$AC$1006:$AS$1006,0)))),"Fix")))</f>
        <v xml:space="preserve"> </v>
      </c>
      <c r="R413" s="4" t="str">
        <f ca="1">IF(OR(INDEX($W$2:$W$1001,MATCH(ROWS($V$2:V413),$V$2:$V$1001,0),1)&gt;=100000,INDEX($AC$1005:$AS$1005,1,MATCH(COLUMNS($AC$1006:AS1006),$AC$1006:$AS$1006,0))&gt;=100000), " ",IF(INDEX($AC$2:$AS$1001,MATCH(ROWS($V$2:V413),$V$2:$V$1001,0),MATCH(COLUMNS($AC$1006:AS1006),$AC$1006:$AS$1006,0)), HYPERLINK("#",""), HYPERLINK(CONCATENATE("#metadata!", ADDRESS(INDEX($X$2:$X$1001,MATCH(ROWS($V$2:V413),$V$2:$V$1001,0),0), INDEX($AC$1004:$AS$1004,1,MATCH(COLUMNS($AC$1006:AS1006),$AC$1006:$AS$1006,0)))),"Fix")))</f>
        <v xml:space="preserve"> </v>
      </c>
      <c r="V413">
        <v>412</v>
      </c>
      <c r="W413">
        <v>100413</v>
      </c>
      <c r="X413">
        <v>413</v>
      </c>
      <c r="Y413" t="b">
        <f t="shared" si="6"/>
        <v>1</v>
      </c>
      <c r="Z413" t="b">
        <f>COUNTBLANK(metadata!B413:R413)=COLUMNS(metadata!B413:R413)</f>
        <v>1</v>
      </c>
      <c r="AA413" t="str">
        <v/>
      </c>
      <c r="AC413" t="b">
        <f ca="1"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AD413" t="b">
        <f>IF(metadata!C413="",FALSE,ISNUMBER(VALUE(metadata!C413)))</f>
        <v>0</v>
      </c>
      <c r="AE413" t="b">
        <f>AND(IF(metadata!D413="",FALSE,TRUE),EXACT(metadata!D413,"years"))</f>
        <v>0</v>
      </c>
      <c r="AF413" t="b">
        <f>OR(AND(IF(metadata!E413="",FALSE,TRUE),OR(EXACT(metadata!E413,"not applicable"),EXACT(metadata!E413,"missing: not collected"),EXACT(metadata!E413,"missing: not provided"),EXACT(metadata!E413,"missing: restricted access"))),AND(IF(metadata!E413="",FALSE,ISNUMBER(VALUE(metadata!E413))),metadata!E413&gt;0))</f>
        <v>0</v>
      </c>
      <c r="AG413" t="b">
        <f>AND(IF(metadata!F413="",FALSE,TRUE),EXACT(metadata!F413,"Not applicable"))</f>
        <v>0</v>
      </c>
      <c r="AH413" t="b">
        <f>AND(IF(metadata!G413="",FALSE,TRUE),EXACT(metadata!G413,"urban biome"))</f>
        <v>0</v>
      </c>
      <c r="AI413" t="b">
        <f>AND(IF(metadata!H413="",FALSE,TRUE),EXACT(metadata!H413,"human-associated habitat"))</f>
        <v>0</v>
      </c>
      <c r="AJ413" t="b">
        <f>AND(IF(metadata!I413="",FALSE,TRUE),OR(EXACT(metadata!I413,"human-associated"),EXACT(metadata!I413,"human-skin"),EXACT(metadata!I413,"human-oral"),EXACT(metadata!I413,"human-gut"),EXACT(metadata!I413,"human-vaginal")))</f>
        <v>0</v>
      </c>
      <c r="AK413" t="b">
        <f>IF(metadata!J413="",FALSE,ISNUMBER(VALUE(metadata!J413)))</f>
        <v>0</v>
      </c>
      <c r="AL413" t="b">
        <f>AND(IF(metadata!K413="",FALSE,TRUE),EXACT(metadata!K413,"cm"))</f>
        <v>0</v>
      </c>
      <c r="AM413" t="b">
        <f>AND(IF(metadata!L413="",FALSE,TRUE),EXACT(metadata!L413,"human"))</f>
        <v>0</v>
      </c>
      <c r="AN413" t="b">
        <f>AND(IF(metadata!M413="",FALSE,TRUE),EXACT(metadata!M413,"Homo sapiens"))</f>
        <v>0</v>
      </c>
      <c r="AO413" t="b">
        <f>AND(IF(metadata!N413="",FALSE,TRUE),EXACT(metadata!N413,"9606"))</f>
        <v>0</v>
      </c>
      <c r="AP413" t="b">
        <f>IF(metadata!O413="",FALSE,TRUE)</f>
        <v>0</v>
      </c>
      <c r="AQ413" t="b">
        <f>IF(metadata!P413="",FALSE,TRUE)</f>
        <v>0</v>
      </c>
      <c r="AR413" t="b">
        <f>IF(metadata!Q413="",FALSE,ISNUMBER(VALUE(metadata!Q413)))</f>
        <v>0</v>
      </c>
      <c r="AS413" t="b">
        <f>AND(IF(metadata!R413="",FALSE,TRUE),EXACT(metadata!R413,"kg"))</f>
        <v>0</v>
      </c>
    </row>
    <row r="414" spans="1:45" x14ac:dyDescent="0.2">
      <c r="A414" s="5" t="str">
        <f ca="1">IF(B414=" "," ",HYPERLINK(CONCATENATE("#metadata!",ADDRESS(INDEX($X$2:$X$1001,MATCH(ROWS($V$2:V414),$V$2:$V$1001,0),0),1)),INDEX($AA$2:$AA$1001,MATCH(ROWS($V$2:V414),$V$2:$V$1001,0),0)))</f>
        <v xml:space="preserve"> </v>
      </c>
      <c r="B414" s="4" t="str">
        <f ca="1">IF(OR(INDEX($W$2:$W$1001,MATCH(ROWS($V$2:V414),$V$2:$V$1001,0),1)&gt;=100000,INDEX($AC$1005:$AS$1005,1,MATCH(COLUMNS($AC$1006:AC1006),$AC$1006:$AS$1006,0))&gt;=100000), " ",IF(INDEX($AC$2:$AS$1001,MATCH(ROWS($V$2:V414),$V$2:$V$1001,0),MATCH(COLUMNS($AC$1006:AC1006),$AC$1006:$AS$1006,0)), HYPERLINK("#",""), HYPERLINK(CONCATENATE("#metadata!", ADDRESS(INDEX($X$2:$X$1001,MATCH(ROWS($V$2:V414),$V$2:$V$1001,0),0), INDEX($AC$1004:$AS$1004,1,MATCH(COLUMNS($AC$1006:AC1006),$AC$1006:$AS$1006,0)))),"Fix")))</f>
        <v xml:space="preserve"> </v>
      </c>
      <c r="C414" s="4" t="str">
        <f ca="1">IF(OR(INDEX($W$2:$W$1001,MATCH(ROWS($V$2:V414),$V$2:$V$1001,0),1)&gt;=100000,INDEX($AC$1005:$AS$1005,1,MATCH(COLUMNS($AC$1006:AD1006),$AC$1006:$AS$1006,0))&gt;=100000), " ",IF(INDEX($AC$2:$AS$1001,MATCH(ROWS($V$2:V414),$V$2:$V$1001,0),MATCH(COLUMNS($AC$1006:AD1006),$AC$1006:$AS$1006,0)), HYPERLINK("#",""), HYPERLINK(CONCATENATE("#metadata!", ADDRESS(INDEX($X$2:$X$1001,MATCH(ROWS($V$2:V414),$V$2:$V$1001,0),0), INDEX($AC$1004:$AS$1004,1,MATCH(COLUMNS($AC$1006:AD1006),$AC$1006:$AS$1006,0)))),"Fix")))</f>
        <v xml:space="preserve"> </v>
      </c>
      <c r="D414" s="4" t="str">
        <f ca="1">IF(OR(INDEX($W$2:$W$1001,MATCH(ROWS($V$2:V414),$V$2:$V$1001,0),1)&gt;=100000,INDEX($AC$1005:$AS$1005,1,MATCH(COLUMNS($AC$1006:AE1006),$AC$1006:$AS$1006,0))&gt;=100000), " ",IF(INDEX($AC$2:$AS$1001,MATCH(ROWS($V$2:V414),$V$2:$V$1001,0),MATCH(COLUMNS($AC$1006:AE1006),$AC$1006:$AS$1006,0)), HYPERLINK("#",""), HYPERLINK(CONCATENATE("#metadata!", ADDRESS(INDEX($X$2:$X$1001,MATCH(ROWS($V$2:V414),$V$2:$V$1001,0),0), INDEX($AC$1004:$AS$1004,1,MATCH(COLUMNS($AC$1006:AE1006),$AC$1006:$AS$1006,0)))),"Fix")))</f>
        <v xml:space="preserve"> </v>
      </c>
      <c r="E414" s="4" t="str">
        <f ca="1">IF(OR(INDEX($W$2:$W$1001,MATCH(ROWS($V$2:V414),$V$2:$V$1001,0),1)&gt;=100000,INDEX($AC$1005:$AS$1005,1,MATCH(COLUMNS($AC$1006:AF1006),$AC$1006:$AS$1006,0))&gt;=100000), " ",IF(INDEX($AC$2:$AS$1001,MATCH(ROWS($V$2:V414),$V$2:$V$1001,0),MATCH(COLUMNS($AC$1006:AF1006),$AC$1006:$AS$1006,0)), HYPERLINK("#",""), HYPERLINK(CONCATENATE("#metadata!", ADDRESS(INDEX($X$2:$X$1001,MATCH(ROWS($V$2:V414),$V$2:$V$1001,0),0), INDEX($AC$1004:$AS$1004,1,MATCH(COLUMNS($AC$1006:AF1006),$AC$1006:$AS$1006,0)))),"Fix")))</f>
        <v xml:space="preserve"> </v>
      </c>
      <c r="F414" s="4" t="str">
        <f ca="1">IF(OR(INDEX($W$2:$W$1001,MATCH(ROWS($V$2:V414),$V$2:$V$1001,0),1)&gt;=100000,INDEX($AC$1005:$AS$1005,1,MATCH(COLUMNS($AC$1006:AG1006),$AC$1006:$AS$1006,0))&gt;=100000), " ",IF(INDEX($AC$2:$AS$1001,MATCH(ROWS($V$2:V414),$V$2:$V$1001,0),MATCH(COLUMNS($AC$1006:AG1006),$AC$1006:$AS$1006,0)), HYPERLINK("#",""), HYPERLINK(CONCATENATE("#metadata!", ADDRESS(INDEX($X$2:$X$1001,MATCH(ROWS($V$2:V414),$V$2:$V$1001,0),0), INDEX($AC$1004:$AS$1004,1,MATCH(COLUMNS($AC$1006:AG1006),$AC$1006:$AS$1006,0)))),"Fix")))</f>
        <v xml:space="preserve"> </v>
      </c>
      <c r="G414" s="4" t="str">
        <f ca="1">IF(OR(INDEX($W$2:$W$1001,MATCH(ROWS($V$2:V414),$V$2:$V$1001,0),1)&gt;=100000,INDEX($AC$1005:$AS$1005,1,MATCH(COLUMNS($AC$1006:AH1006),$AC$1006:$AS$1006,0))&gt;=100000), " ",IF(INDEX($AC$2:$AS$1001,MATCH(ROWS($V$2:V414),$V$2:$V$1001,0),MATCH(COLUMNS($AC$1006:AH1006),$AC$1006:$AS$1006,0)), HYPERLINK("#",""), HYPERLINK(CONCATENATE("#metadata!", ADDRESS(INDEX($X$2:$X$1001,MATCH(ROWS($V$2:V414),$V$2:$V$1001,0),0), INDEX($AC$1004:$AS$1004,1,MATCH(COLUMNS($AC$1006:AH1006),$AC$1006:$AS$1006,0)))),"Fix")))</f>
        <v xml:space="preserve"> </v>
      </c>
      <c r="H414" s="4" t="str">
        <f ca="1">IF(OR(INDEX($W$2:$W$1001,MATCH(ROWS($V$2:V414),$V$2:$V$1001,0),1)&gt;=100000,INDEX($AC$1005:$AS$1005,1,MATCH(COLUMNS($AC$1006:AI1006),$AC$1006:$AS$1006,0))&gt;=100000), " ",IF(INDEX($AC$2:$AS$1001,MATCH(ROWS($V$2:V414),$V$2:$V$1001,0),MATCH(COLUMNS($AC$1006:AI1006),$AC$1006:$AS$1006,0)), HYPERLINK("#",""), HYPERLINK(CONCATENATE("#metadata!", ADDRESS(INDEX($X$2:$X$1001,MATCH(ROWS($V$2:V414),$V$2:$V$1001,0),0), INDEX($AC$1004:$AS$1004,1,MATCH(COLUMNS($AC$1006:AI1006),$AC$1006:$AS$1006,0)))),"Fix")))</f>
        <v xml:space="preserve"> </v>
      </c>
      <c r="I414" s="4" t="str">
        <f ca="1">IF(OR(INDEX($W$2:$W$1001,MATCH(ROWS($V$2:V414),$V$2:$V$1001,0),1)&gt;=100000,INDEX($AC$1005:$AS$1005,1,MATCH(COLUMNS($AC$1006:AJ1006),$AC$1006:$AS$1006,0))&gt;=100000), " ",IF(INDEX($AC$2:$AS$1001,MATCH(ROWS($V$2:V414),$V$2:$V$1001,0),MATCH(COLUMNS($AC$1006:AJ1006),$AC$1006:$AS$1006,0)), HYPERLINK("#",""), HYPERLINK(CONCATENATE("#metadata!", ADDRESS(INDEX($X$2:$X$1001,MATCH(ROWS($V$2:V414),$V$2:$V$1001,0),0), INDEX($AC$1004:$AS$1004,1,MATCH(COLUMNS($AC$1006:AJ1006),$AC$1006:$AS$1006,0)))),"Fix")))</f>
        <v xml:space="preserve"> </v>
      </c>
      <c r="J414" s="4" t="str">
        <f ca="1">IF(OR(INDEX($W$2:$W$1001,MATCH(ROWS($V$2:V414),$V$2:$V$1001,0),1)&gt;=100000,INDEX($AC$1005:$AS$1005,1,MATCH(COLUMNS($AC$1006:AK1006),$AC$1006:$AS$1006,0))&gt;=100000), " ",IF(INDEX($AC$2:$AS$1001,MATCH(ROWS($V$2:V414),$V$2:$V$1001,0),MATCH(COLUMNS($AC$1006:AK1006),$AC$1006:$AS$1006,0)), HYPERLINK("#",""), HYPERLINK(CONCATENATE("#metadata!", ADDRESS(INDEX($X$2:$X$1001,MATCH(ROWS($V$2:V414),$V$2:$V$1001,0),0), INDEX($AC$1004:$AS$1004,1,MATCH(COLUMNS($AC$1006:AK1006),$AC$1006:$AS$1006,0)))),"Fix")))</f>
        <v xml:space="preserve"> </v>
      </c>
      <c r="K414" s="4" t="str">
        <f ca="1">IF(OR(INDEX($W$2:$W$1001,MATCH(ROWS($V$2:V414),$V$2:$V$1001,0),1)&gt;=100000,INDEX($AC$1005:$AS$1005,1,MATCH(COLUMNS($AC$1006:AL1006),$AC$1006:$AS$1006,0))&gt;=100000), " ",IF(INDEX($AC$2:$AS$1001,MATCH(ROWS($V$2:V414),$V$2:$V$1001,0),MATCH(COLUMNS($AC$1006:AL1006),$AC$1006:$AS$1006,0)), HYPERLINK("#",""), HYPERLINK(CONCATENATE("#metadata!", ADDRESS(INDEX($X$2:$X$1001,MATCH(ROWS($V$2:V414),$V$2:$V$1001,0),0), INDEX($AC$1004:$AS$1004,1,MATCH(COLUMNS($AC$1006:AL1006),$AC$1006:$AS$1006,0)))),"Fix")))</f>
        <v xml:space="preserve"> </v>
      </c>
      <c r="L414" s="4" t="str">
        <f ca="1">IF(OR(INDEX($W$2:$W$1001,MATCH(ROWS($V$2:V414),$V$2:$V$1001,0),1)&gt;=100000,INDEX($AC$1005:$AS$1005,1,MATCH(COLUMNS($AC$1006:AM1006),$AC$1006:$AS$1006,0))&gt;=100000), " ",IF(INDEX($AC$2:$AS$1001,MATCH(ROWS($V$2:V414),$V$2:$V$1001,0),MATCH(COLUMNS($AC$1006:AM1006),$AC$1006:$AS$1006,0)), HYPERLINK("#",""), HYPERLINK(CONCATENATE("#metadata!", ADDRESS(INDEX($X$2:$X$1001,MATCH(ROWS($V$2:V414),$V$2:$V$1001,0),0), INDEX($AC$1004:$AS$1004,1,MATCH(COLUMNS($AC$1006:AM1006),$AC$1006:$AS$1006,0)))),"Fix")))</f>
        <v xml:space="preserve"> </v>
      </c>
      <c r="M414" s="4" t="str">
        <f ca="1">IF(OR(INDEX($W$2:$W$1001,MATCH(ROWS($V$2:V414),$V$2:$V$1001,0),1)&gt;=100000,INDEX($AC$1005:$AS$1005,1,MATCH(COLUMNS($AC$1006:AN1006),$AC$1006:$AS$1006,0))&gt;=100000), " ",IF(INDEX($AC$2:$AS$1001,MATCH(ROWS($V$2:V414),$V$2:$V$1001,0),MATCH(COLUMNS($AC$1006:AN1006),$AC$1006:$AS$1006,0)), HYPERLINK("#",""), HYPERLINK(CONCATENATE("#metadata!", ADDRESS(INDEX($X$2:$X$1001,MATCH(ROWS($V$2:V414),$V$2:$V$1001,0),0), INDEX($AC$1004:$AS$1004,1,MATCH(COLUMNS($AC$1006:AN1006),$AC$1006:$AS$1006,0)))),"Fix")))</f>
        <v xml:space="preserve"> </v>
      </c>
      <c r="N414" s="4" t="str">
        <f ca="1">IF(OR(INDEX($W$2:$W$1001,MATCH(ROWS($V$2:V414),$V$2:$V$1001,0),1)&gt;=100000,INDEX($AC$1005:$AS$1005,1,MATCH(COLUMNS($AC$1006:AO1006),$AC$1006:$AS$1006,0))&gt;=100000), " ",IF(INDEX($AC$2:$AS$1001,MATCH(ROWS($V$2:V414),$V$2:$V$1001,0),MATCH(COLUMNS($AC$1006:AO1006),$AC$1006:$AS$1006,0)), HYPERLINK("#",""), HYPERLINK(CONCATENATE("#metadata!", ADDRESS(INDEX($X$2:$X$1001,MATCH(ROWS($V$2:V414),$V$2:$V$1001,0),0), INDEX($AC$1004:$AS$1004,1,MATCH(COLUMNS($AC$1006:AO1006),$AC$1006:$AS$1006,0)))),"Fix")))</f>
        <v xml:space="preserve"> </v>
      </c>
      <c r="O414" s="4" t="str">
        <f ca="1">IF(OR(INDEX($W$2:$W$1001,MATCH(ROWS($V$2:V414),$V$2:$V$1001,0),1)&gt;=100000,INDEX($AC$1005:$AS$1005,1,MATCH(COLUMNS($AC$1006:AP1006),$AC$1006:$AS$1006,0))&gt;=100000), " ",IF(INDEX($AC$2:$AS$1001,MATCH(ROWS($V$2:V414),$V$2:$V$1001,0),MATCH(COLUMNS($AC$1006:AP1006),$AC$1006:$AS$1006,0)), HYPERLINK("#",""), HYPERLINK(CONCATENATE("#metadata!", ADDRESS(INDEX($X$2:$X$1001,MATCH(ROWS($V$2:V414),$V$2:$V$1001,0),0), INDEX($AC$1004:$AS$1004,1,MATCH(COLUMNS($AC$1006:AP1006),$AC$1006:$AS$1006,0)))),"Fix")))</f>
        <v xml:space="preserve"> </v>
      </c>
      <c r="P414" s="4" t="str">
        <f ca="1">IF(OR(INDEX($W$2:$W$1001,MATCH(ROWS($V$2:V414),$V$2:$V$1001,0),1)&gt;=100000,INDEX($AC$1005:$AS$1005,1,MATCH(COLUMNS($AC$1006:AQ1006),$AC$1006:$AS$1006,0))&gt;=100000), " ",IF(INDEX($AC$2:$AS$1001,MATCH(ROWS($V$2:V414),$V$2:$V$1001,0),MATCH(COLUMNS($AC$1006:AQ1006),$AC$1006:$AS$1006,0)), HYPERLINK("#",""), HYPERLINK(CONCATENATE("#metadata!", ADDRESS(INDEX($X$2:$X$1001,MATCH(ROWS($V$2:V414),$V$2:$V$1001,0),0), INDEX($AC$1004:$AS$1004,1,MATCH(COLUMNS($AC$1006:AQ1006),$AC$1006:$AS$1006,0)))),"Fix")))</f>
        <v xml:space="preserve"> </v>
      </c>
      <c r="Q414" s="4" t="str">
        <f ca="1">IF(OR(INDEX($W$2:$W$1001,MATCH(ROWS($V$2:V414),$V$2:$V$1001,0),1)&gt;=100000,INDEX($AC$1005:$AS$1005,1,MATCH(COLUMNS($AC$1006:AR1006),$AC$1006:$AS$1006,0))&gt;=100000), " ",IF(INDEX($AC$2:$AS$1001,MATCH(ROWS($V$2:V414),$V$2:$V$1001,0),MATCH(COLUMNS($AC$1006:AR1006),$AC$1006:$AS$1006,0)), HYPERLINK("#",""), HYPERLINK(CONCATENATE("#metadata!", ADDRESS(INDEX($X$2:$X$1001,MATCH(ROWS($V$2:V414),$V$2:$V$1001,0),0), INDEX($AC$1004:$AS$1004,1,MATCH(COLUMNS($AC$1006:AR1006),$AC$1006:$AS$1006,0)))),"Fix")))</f>
        <v xml:space="preserve"> </v>
      </c>
      <c r="R414" s="4" t="str">
        <f ca="1">IF(OR(INDEX($W$2:$W$1001,MATCH(ROWS($V$2:V414),$V$2:$V$1001,0),1)&gt;=100000,INDEX($AC$1005:$AS$1005,1,MATCH(COLUMNS($AC$1006:AS1006),$AC$1006:$AS$1006,0))&gt;=100000), " ",IF(INDEX($AC$2:$AS$1001,MATCH(ROWS($V$2:V414),$V$2:$V$1001,0),MATCH(COLUMNS($AC$1006:AS1006),$AC$1006:$AS$1006,0)), HYPERLINK("#",""), HYPERLINK(CONCATENATE("#metadata!", ADDRESS(INDEX($X$2:$X$1001,MATCH(ROWS($V$2:V414),$V$2:$V$1001,0),0), INDEX($AC$1004:$AS$1004,1,MATCH(COLUMNS($AC$1006:AS1006),$AC$1006:$AS$1006,0)))),"Fix")))</f>
        <v xml:space="preserve"> </v>
      </c>
      <c r="V414">
        <v>413</v>
      </c>
      <c r="W414">
        <v>100414</v>
      </c>
      <c r="X414">
        <v>414</v>
      </c>
      <c r="Y414" t="b">
        <f t="shared" si="6"/>
        <v>1</v>
      </c>
      <c r="Z414" t="b">
        <f>COUNTBLANK(metadata!B414:R414)=COLUMNS(metadata!B414:R414)</f>
        <v>1</v>
      </c>
      <c r="AA414" t="str">
        <v/>
      </c>
      <c r="AC414" t="b">
        <f ca="1"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AD414" t="b">
        <f>IF(metadata!C414="",FALSE,ISNUMBER(VALUE(metadata!C414)))</f>
        <v>0</v>
      </c>
      <c r="AE414" t="b">
        <f>AND(IF(metadata!D414="",FALSE,TRUE),EXACT(metadata!D414,"years"))</f>
        <v>0</v>
      </c>
      <c r="AF414" t="b">
        <f>OR(AND(IF(metadata!E414="",FALSE,TRUE),OR(EXACT(metadata!E414,"not applicable"),EXACT(metadata!E414,"missing: not collected"),EXACT(metadata!E414,"missing: not provided"),EXACT(metadata!E414,"missing: restricted access"))),AND(IF(metadata!E414="",FALSE,ISNUMBER(VALUE(metadata!E414))),metadata!E414&gt;0))</f>
        <v>0</v>
      </c>
      <c r="AG414" t="b">
        <f>AND(IF(metadata!F414="",FALSE,TRUE),EXACT(metadata!F414,"Not applicable"))</f>
        <v>0</v>
      </c>
      <c r="AH414" t="b">
        <f>AND(IF(metadata!G414="",FALSE,TRUE),EXACT(metadata!G414,"urban biome"))</f>
        <v>0</v>
      </c>
      <c r="AI414" t="b">
        <f>AND(IF(metadata!H414="",FALSE,TRUE),EXACT(metadata!H414,"human-associated habitat"))</f>
        <v>0</v>
      </c>
      <c r="AJ414" t="b">
        <f>AND(IF(metadata!I414="",FALSE,TRUE),OR(EXACT(metadata!I414,"human-associated"),EXACT(metadata!I414,"human-skin"),EXACT(metadata!I414,"human-oral"),EXACT(metadata!I414,"human-gut"),EXACT(metadata!I414,"human-vaginal")))</f>
        <v>0</v>
      </c>
      <c r="AK414" t="b">
        <f>IF(metadata!J414="",FALSE,ISNUMBER(VALUE(metadata!J414)))</f>
        <v>0</v>
      </c>
      <c r="AL414" t="b">
        <f>AND(IF(metadata!K414="",FALSE,TRUE),EXACT(metadata!K414,"cm"))</f>
        <v>0</v>
      </c>
      <c r="AM414" t="b">
        <f>AND(IF(metadata!L414="",FALSE,TRUE),EXACT(metadata!L414,"human"))</f>
        <v>0</v>
      </c>
      <c r="AN414" t="b">
        <f>AND(IF(metadata!M414="",FALSE,TRUE),EXACT(metadata!M414,"Homo sapiens"))</f>
        <v>0</v>
      </c>
      <c r="AO414" t="b">
        <f>AND(IF(metadata!N414="",FALSE,TRUE),EXACT(metadata!N414,"9606"))</f>
        <v>0</v>
      </c>
      <c r="AP414" t="b">
        <f>IF(metadata!O414="",FALSE,TRUE)</f>
        <v>0</v>
      </c>
      <c r="AQ414" t="b">
        <f>IF(metadata!P414="",FALSE,TRUE)</f>
        <v>0</v>
      </c>
      <c r="AR414" t="b">
        <f>IF(metadata!Q414="",FALSE,ISNUMBER(VALUE(metadata!Q414)))</f>
        <v>0</v>
      </c>
      <c r="AS414" t="b">
        <f>AND(IF(metadata!R414="",FALSE,TRUE),EXACT(metadata!R414,"kg"))</f>
        <v>0</v>
      </c>
    </row>
    <row r="415" spans="1:45" x14ac:dyDescent="0.2">
      <c r="A415" s="5" t="str">
        <f ca="1">IF(B415=" "," ",HYPERLINK(CONCATENATE("#metadata!",ADDRESS(INDEX($X$2:$X$1001,MATCH(ROWS($V$2:V415),$V$2:$V$1001,0),0),1)),INDEX($AA$2:$AA$1001,MATCH(ROWS($V$2:V415),$V$2:$V$1001,0),0)))</f>
        <v xml:space="preserve"> </v>
      </c>
      <c r="B415" s="4" t="str">
        <f ca="1">IF(OR(INDEX($W$2:$W$1001,MATCH(ROWS($V$2:V415),$V$2:$V$1001,0),1)&gt;=100000,INDEX($AC$1005:$AS$1005,1,MATCH(COLUMNS($AC$1006:AC1006),$AC$1006:$AS$1006,0))&gt;=100000), " ",IF(INDEX($AC$2:$AS$1001,MATCH(ROWS($V$2:V415),$V$2:$V$1001,0),MATCH(COLUMNS($AC$1006:AC1006),$AC$1006:$AS$1006,0)), HYPERLINK("#",""), HYPERLINK(CONCATENATE("#metadata!", ADDRESS(INDEX($X$2:$X$1001,MATCH(ROWS($V$2:V415),$V$2:$V$1001,0),0), INDEX($AC$1004:$AS$1004,1,MATCH(COLUMNS($AC$1006:AC1006),$AC$1006:$AS$1006,0)))),"Fix")))</f>
        <v xml:space="preserve"> </v>
      </c>
      <c r="C415" s="4" t="str">
        <f ca="1">IF(OR(INDEX($W$2:$W$1001,MATCH(ROWS($V$2:V415),$V$2:$V$1001,0),1)&gt;=100000,INDEX($AC$1005:$AS$1005,1,MATCH(COLUMNS($AC$1006:AD1006),$AC$1006:$AS$1006,0))&gt;=100000), " ",IF(INDEX($AC$2:$AS$1001,MATCH(ROWS($V$2:V415),$V$2:$V$1001,0),MATCH(COLUMNS($AC$1006:AD1006),$AC$1006:$AS$1006,0)), HYPERLINK("#",""), HYPERLINK(CONCATENATE("#metadata!", ADDRESS(INDEX($X$2:$X$1001,MATCH(ROWS($V$2:V415),$V$2:$V$1001,0),0), INDEX($AC$1004:$AS$1004,1,MATCH(COLUMNS($AC$1006:AD1006),$AC$1006:$AS$1006,0)))),"Fix")))</f>
        <v xml:space="preserve"> </v>
      </c>
      <c r="D415" s="4" t="str">
        <f ca="1">IF(OR(INDEX($W$2:$W$1001,MATCH(ROWS($V$2:V415),$V$2:$V$1001,0),1)&gt;=100000,INDEX($AC$1005:$AS$1005,1,MATCH(COLUMNS($AC$1006:AE1006),$AC$1006:$AS$1006,0))&gt;=100000), " ",IF(INDEX($AC$2:$AS$1001,MATCH(ROWS($V$2:V415),$V$2:$V$1001,0),MATCH(COLUMNS($AC$1006:AE1006),$AC$1006:$AS$1006,0)), HYPERLINK("#",""), HYPERLINK(CONCATENATE("#metadata!", ADDRESS(INDEX($X$2:$X$1001,MATCH(ROWS($V$2:V415),$V$2:$V$1001,0),0), INDEX($AC$1004:$AS$1004,1,MATCH(COLUMNS($AC$1006:AE1006),$AC$1006:$AS$1006,0)))),"Fix")))</f>
        <v xml:space="preserve"> </v>
      </c>
      <c r="E415" s="4" t="str">
        <f ca="1">IF(OR(INDEX($W$2:$W$1001,MATCH(ROWS($V$2:V415),$V$2:$V$1001,0),1)&gt;=100000,INDEX($AC$1005:$AS$1005,1,MATCH(COLUMNS($AC$1006:AF1006),$AC$1006:$AS$1006,0))&gt;=100000), " ",IF(INDEX($AC$2:$AS$1001,MATCH(ROWS($V$2:V415),$V$2:$V$1001,0),MATCH(COLUMNS($AC$1006:AF1006),$AC$1006:$AS$1006,0)), HYPERLINK("#",""), HYPERLINK(CONCATENATE("#metadata!", ADDRESS(INDEX($X$2:$X$1001,MATCH(ROWS($V$2:V415),$V$2:$V$1001,0),0), INDEX($AC$1004:$AS$1004,1,MATCH(COLUMNS($AC$1006:AF1006),$AC$1006:$AS$1006,0)))),"Fix")))</f>
        <v xml:space="preserve"> </v>
      </c>
      <c r="F415" s="4" t="str">
        <f ca="1">IF(OR(INDEX($W$2:$W$1001,MATCH(ROWS($V$2:V415),$V$2:$V$1001,0),1)&gt;=100000,INDEX($AC$1005:$AS$1005,1,MATCH(COLUMNS($AC$1006:AG1006),$AC$1006:$AS$1006,0))&gt;=100000), " ",IF(INDEX($AC$2:$AS$1001,MATCH(ROWS($V$2:V415),$V$2:$V$1001,0),MATCH(COLUMNS($AC$1006:AG1006),$AC$1006:$AS$1006,0)), HYPERLINK("#",""), HYPERLINK(CONCATENATE("#metadata!", ADDRESS(INDEX($X$2:$X$1001,MATCH(ROWS($V$2:V415),$V$2:$V$1001,0),0), INDEX($AC$1004:$AS$1004,1,MATCH(COLUMNS($AC$1006:AG1006),$AC$1006:$AS$1006,0)))),"Fix")))</f>
        <v xml:space="preserve"> </v>
      </c>
      <c r="G415" s="4" t="str">
        <f ca="1">IF(OR(INDEX($W$2:$W$1001,MATCH(ROWS($V$2:V415),$V$2:$V$1001,0),1)&gt;=100000,INDEX($AC$1005:$AS$1005,1,MATCH(COLUMNS($AC$1006:AH1006),$AC$1006:$AS$1006,0))&gt;=100000), " ",IF(INDEX($AC$2:$AS$1001,MATCH(ROWS($V$2:V415),$V$2:$V$1001,0),MATCH(COLUMNS($AC$1006:AH1006),$AC$1006:$AS$1006,0)), HYPERLINK("#",""), HYPERLINK(CONCATENATE("#metadata!", ADDRESS(INDEX($X$2:$X$1001,MATCH(ROWS($V$2:V415),$V$2:$V$1001,0),0), INDEX($AC$1004:$AS$1004,1,MATCH(COLUMNS($AC$1006:AH1006),$AC$1006:$AS$1006,0)))),"Fix")))</f>
        <v xml:space="preserve"> </v>
      </c>
      <c r="H415" s="4" t="str">
        <f ca="1">IF(OR(INDEX($W$2:$W$1001,MATCH(ROWS($V$2:V415),$V$2:$V$1001,0),1)&gt;=100000,INDEX($AC$1005:$AS$1005,1,MATCH(COLUMNS($AC$1006:AI1006),$AC$1006:$AS$1006,0))&gt;=100000), " ",IF(INDEX($AC$2:$AS$1001,MATCH(ROWS($V$2:V415),$V$2:$V$1001,0),MATCH(COLUMNS($AC$1006:AI1006),$AC$1006:$AS$1006,0)), HYPERLINK("#",""), HYPERLINK(CONCATENATE("#metadata!", ADDRESS(INDEX($X$2:$X$1001,MATCH(ROWS($V$2:V415),$V$2:$V$1001,0),0), INDEX($AC$1004:$AS$1004,1,MATCH(COLUMNS($AC$1006:AI1006),$AC$1006:$AS$1006,0)))),"Fix")))</f>
        <v xml:space="preserve"> </v>
      </c>
      <c r="I415" s="4" t="str">
        <f ca="1">IF(OR(INDEX($W$2:$W$1001,MATCH(ROWS($V$2:V415),$V$2:$V$1001,0),1)&gt;=100000,INDEX($AC$1005:$AS$1005,1,MATCH(COLUMNS($AC$1006:AJ1006),$AC$1006:$AS$1006,0))&gt;=100000), " ",IF(INDEX($AC$2:$AS$1001,MATCH(ROWS($V$2:V415),$V$2:$V$1001,0),MATCH(COLUMNS($AC$1006:AJ1006),$AC$1006:$AS$1006,0)), HYPERLINK("#",""), HYPERLINK(CONCATENATE("#metadata!", ADDRESS(INDEX($X$2:$X$1001,MATCH(ROWS($V$2:V415),$V$2:$V$1001,0),0), INDEX($AC$1004:$AS$1004,1,MATCH(COLUMNS($AC$1006:AJ1006),$AC$1006:$AS$1006,0)))),"Fix")))</f>
        <v xml:space="preserve"> </v>
      </c>
      <c r="J415" s="4" t="str">
        <f ca="1">IF(OR(INDEX($W$2:$W$1001,MATCH(ROWS($V$2:V415),$V$2:$V$1001,0),1)&gt;=100000,INDEX($AC$1005:$AS$1005,1,MATCH(COLUMNS($AC$1006:AK1006),$AC$1006:$AS$1006,0))&gt;=100000), " ",IF(INDEX($AC$2:$AS$1001,MATCH(ROWS($V$2:V415),$V$2:$V$1001,0),MATCH(COLUMNS($AC$1006:AK1006),$AC$1006:$AS$1006,0)), HYPERLINK("#",""), HYPERLINK(CONCATENATE("#metadata!", ADDRESS(INDEX($X$2:$X$1001,MATCH(ROWS($V$2:V415),$V$2:$V$1001,0),0), INDEX($AC$1004:$AS$1004,1,MATCH(COLUMNS($AC$1006:AK1006),$AC$1006:$AS$1006,0)))),"Fix")))</f>
        <v xml:space="preserve"> </v>
      </c>
      <c r="K415" s="4" t="str">
        <f ca="1">IF(OR(INDEX($W$2:$W$1001,MATCH(ROWS($V$2:V415),$V$2:$V$1001,0),1)&gt;=100000,INDEX($AC$1005:$AS$1005,1,MATCH(COLUMNS($AC$1006:AL1006),$AC$1006:$AS$1006,0))&gt;=100000), " ",IF(INDEX($AC$2:$AS$1001,MATCH(ROWS($V$2:V415),$V$2:$V$1001,0),MATCH(COLUMNS($AC$1006:AL1006),$AC$1006:$AS$1006,0)), HYPERLINK("#",""), HYPERLINK(CONCATENATE("#metadata!", ADDRESS(INDEX($X$2:$X$1001,MATCH(ROWS($V$2:V415),$V$2:$V$1001,0),0), INDEX($AC$1004:$AS$1004,1,MATCH(COLUMNS($AC$1006:AL1006),$AC$1006:$AS$1006,0)))),"Fix")))</f>
        <v xml:space="preserve"> </v>
      </c>
      <c r="L415" s="4" t="str">
        <f ca="1">IF(OR(INDEX($W$2:$W$1001,MATCH(ROWS($V$2:V415),$V$2:$V$1001,0),1)&gt;=100000,INDEX($AC$1005:$AS$1005,1,MATCH(COLUMNS($AC$1006:AM1006),$AC$1006:$AS$1006,0))&gt;=100000), " ",IF(INDEX($AC$2:$AS$1001,MATCH(ROWS($V$2:V415),$V$2:$V$1001,0),MATCH(COLUMNS($AC$1006:AM1006),$AC$1006:$AS$1006,0)), HYPERLINK("#",""), HYPERLINK(CONCATENATE("#metadata!", ADDRESS(INDEX($X$2:$X$1001,MATCH(ROWS($V$2:V415),$V$2:$V$1001,0),0), INDEX($AC$1004:$AS$1004,1,MATCH(COLUMNS($AC$1006:AM1006),$AC$1006:$AS$1006,0)))),"Fix")))</f>
        <v xml:space="preserve"> </v>
      </c>
      <c r="M415" s="4" t="str">
        <f ca="1">IF(OR(INDEX($W$2:$W$1001,MATCH(ROWS($V$2:V415),$V$2:$V$1001,0),1)&gt;=100000,INDEX($AC$1005:$AS$1005,1,MATCH(COLUMNS($AC$1006:AN1006),$AC$1006:$AS$1006,0))&gt;=100000), " ",IF(INDEX($AC$2:$AS$1001,MATCH(ROWS($V$2:V415),$V$2:$V$1001,0),MATCH(COLUMNS($AC$1006:AN1006),$AC$1006:$AS$1006,0)), HYPERLINK("#",""), HYPERLINK(CONCATENATE("#metadata!", ADDRESS(INDEX($X$2:$X$1001,MATCH(ROWS($V$2:V415),$V$2:$V$1001,0),0), INDEX($AC$1004:$AS$1004,1,MATCH(COLUMNS($AC$1006:AN1006),$AC$1006:$AS$1006,0)))),"Fix")))</f>
        <v xml:space="preserve"> </v>
      </c>
      <c r="N415" s="4" t="str">
        <f ca="1">IF(OR(INDEX($W$2:$W$1001,MATCH(ROWS($V$2:V415),$V$2:$V$1001,0),1)&gt;=100000,INDEX($AC$1005:$AS$1005,1,MATCH(COLUMNS($AC$1006:AO1006),$AC$1006:$AS$1006,0))&gt;=100000), " ",IF(INDEX($AC$2:$AS$1001,MATCH(ROWS($V$2:V415),$V$2:$V$1001,0),MATCH(COLUMNS($AC$1006:AO1006),$AC$1006:$AS$1006,0)), HYPERLINK("#",""), HYPERLINK(CONCATENATE("#metadata!", ADDRESS(INDEX($X$2:$X$1001,MATCH(ROWS($V$2:V415),$V$2:$V$1001,0),0), INDEX($AC$1004:$AS$1004,1,MATCH(COLUMNS($AC$1006:AO1006),$AC$1006:$AS$1006,0)))),"Fix")))</f>
        <v xml:space="preserve"> </v>
      </c>
      <c r="O415" s="4" t="str">
        <f ca="1">IF(OR(INDEX($W$2:$W$1001,MATCH(ROWS($V$2:V415),$V$2:$V$1001,0),1)&gt;=100000,INDEX($AC$1005:$AS$1005,1,MATCH(COLUMNS($AC$1006:AP1006),$AC$1006:$AS$1006,0))&gt;=100000), " ",IF(INDEX($AC$2:$AS$1001,MATCH(ROWS($V$2:V415),$V$2:$V$1001,0),MATCH(COLUMNS($AC$1006:AP1006),$AC$1006:$AS$1006,0)), HYPERLINK("#",""), HYPERLINK(CONCATENATE("#metadata!", ADDRESS(INDEX($X$2:$X$1001,MATCH(ROWS($V$2:V415),$V$2:$V$1001,0),0), INDEX($AC$1004:$AS$1004,1,MATCH(COLUMNS($AC$1006:AP1006),$AC$1006:$AS$1006,0)))),"Fix")))</f>
        <v xml:space="preserve"> </v>
      </c>
      <c r="P415" s="4" t="str">
        <f ca="1">IF(OR(INDEX($W$2:$W$1001,MATCH(ROWS($V$2:V415),$V$2:$V$1001,0),1)&gt;=100000,INDEX($AC$1005:$AS$1005,1,MATCH(COLUMNS($AC$1006:AQ1006),$AC$1006:$AS$1006,0))&gt;=100000), " ",IF(INDEX($AC$2:$AS$1001,MATCH(ROWS($V$2:V415),$V$2:$V$1001,0),MATCH(COLUMNS($AC$1006:AQ1006),$AC$1006:$AS$1006,0)), HYPERLINK("#",""), HYPERLINK(CONCATENATE("#metadata!", ADDRESS(INDEX($X$2:$X$1001,MATCH(ROWS($V$2:V415),$V$2:$V$1001,0),0), INDEX($AC$1004:$AS$1004,1,MATCH(COLUMNS($AC$1006:AQ1006),$AC$1006:$AS$1006,0)))),"Fix")))</f>
        <v xml:space="preserve"> </v>
      </c>
      <c r="Q415" s="4" t="str">
        <f ca="1">IF(OR(INDEX($W$2:$W$1001,MATCH(ROWS($V$2:V415),$V$2:$V$1001,0),1)&gt;=100000,INDEX($AC$1005:$AS$1005,1,MATCH(COLUMNS($AC$1006:AR1006),$AC$1006:$AS$1006,0))&gt;=100000), " ",IF(INDEX($AC$2:$AS$1001,MATCH(ROWS($V$2:V415),$V$2:$V$1001,0),MATCH(COLUMNS($AC$1006:AR1006),$AC$1006:$AS$1006,0)), HYPERLINK("#",""), HYPERLINK(CONCATENATE("#metadata!", ADDRESS(INDEX($X$2:$X$1001,MATCH(ROWS($V$2:V415),$V$2:$V$1001,0),0), INDEX($AC$1004:$AS$1004,1,MATCH(COLUMNS($AC$1006:AR1006),$AC$1006:$AS$1006,0)))),"Fix")))</f>
        <v xml:space="preserve"> </v>
      </c>
      <c r="R415" s="4" t="str">
        <f ca="1">IF(OR(INDEX($W$2:$W$1001,MATCH(ROWS($V$2:V415),$V$2:$V$1001,0),1)&gt;=100000,INDEX($AC$1005:$AS$1005,1,MATCH(COLUMNS($AC$1006:AS1006),$AC$1006:$AS$1006,0))&gt;=100000), " ",IF(INDEX($AC$2:$AS$1001,MATCH(ROWS($V$2:V415),$V$2:$V$1001,0),MATCH(COLUMNS($AC$1006:AS1006),$AC$1006:$AS$1006,0)), HYPERLINK("#",""), HYPERLINK(CONCATENATE("#metadata!", ADDRESS(INDEX($X$2:$X$1001,MATCH(ROWS($V$2:V415),$V$2:$V$1001,0),0), INDEX($AC$1004:$AS$1004,1,MATCH(COLUMNS($AC$1006:AS1006),$AC$1006:$AS$1006,0)))),"Fix")))</f>
        <v xml:space="preserve"> </v>
      </c>
      <c r="V415">
        <v>414</v>
      </c>
      <c r="W415">
        <v>100415</v>
      </c>
      <c r="X415">
        <v>415</v>
      </c>
      <c r="Y415" t="b">
        <f t="shared" si="6"/>
        <v>1</v>
      </c>
      <c r="Z415" t="b">
        <f>COUNTBLANK(metadata!B415:R415)=COLUMNS(metadata!B415:R415)</f>
        <v>1</v>
      </c>
      <c r="AA415" t="str">
        <v/>
      </c>
      <c r="AC415" t="b">
        <f ca="1"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AD415" t="b">
        <f>IF(metadata!C415="",FALSE,ISNUMBER(VALUE(metadata!C415)))</f>
        <v>0</v>
      </c>
      <c r="AE415" t="b">
        <f>AND(IF(metadata!D415="",FALSE,TRUE),EXACT(metadata!D415,"years"))</f>
        <v>0</v>
      </c>
      <c r="AF415" t="b">
        <f>OR(AND(IF(metadata!E415="",FALSE,TRUE),OR(EXACT(metadata!E415,"not applicable"),EXACT(metadata!E415,"missing: not collected"),EXACT(metadata!E415,"missing: not provided"),EXACT(metadata!E415,"missing: restricted access"))),AND(IF(metadata!E415="",FALSE,ISNUMBER(VALUE(metadata!E415))),metadata!E415&gt;0))</f>
        <v>0</v>
      </c>
      <c r="AG415" t="b">
        <f>AND(IF(metadata!F415="",FALSE,TRUE),EXACT(metadata!F415,"Not applicable"))</f>
        <v>0</v>
      </c>
      <c r="AH415" t="b">
        <f>AND(IF(metadata!G415="",FALSE,TRUE),EXACT(metadata!G415,"urban biome"))</f>
        <v>0</v>
      </c>
      <c r="AI415" t="b">
        <f>AND(IF(metadata!H415="",FALSE,TRUE),EXACT(metadata!H415,"human-associated habitat"))</f>
        <v>0</v>
      </c>
      <c r="AJ415" t="b">
        <f>AND(IF(metadata!I415="",FALSE,TRUE),OR(EXACT(metadata!I415,"human-associated"),EXACT(metadata!I415,"human-skin"),EXACT(metadata!I415,"human-oral"),EXACT(metadata!I415,"human-gut"),EXACT(metadata!I415,"human-vaginal")))</f>
        <v>0</v>
      </c>
      <c r="AK415" t="b">
        <f>IF(metadata!J415="",FALSE,ISNUMBER(VALUE(metadata!J415)))</f>
        <v>0</v>
      </c>
      <c r="AL415" t="b">
        <f>AND(IF(metadata!K415="",FALSE,TRUE),EXACT(metadata!K415,"cm"))</f>
        <v>0</v>
      </c>
      <c r="AM415" t="b">
        <f>AND(IF(metadata!L415="",FALSE,TRUE),EXACT(metadata!L415,"human"))</f>
        <v>0</v>
      </c>
      <c r="AN415" t="b">
        <f>AND(IF(metadata!M415="",FALSE,TRUE),EXACT(metadata!M415,"Homo sapiens"))</f>
        <v>0</v>
      </c>
      <c r="AO415" t="b">
        <f>AND(IF(metadata!N415="",FALSE,TRUE),EXACT(metadata!N415,"9606"))</f>
        <v>0</v>
      </c>
      <c r="AP415" t="b">
        <f>IF(metadata!O415="",FALSE,TRUE)</f>
        <v>0</v>
      </c>
      <c r="AQ415" t="b">
        <f>IF(metadata!P415="",FALSE,TRUE)</f>
        <v>0</v>
      </c>
      <c r="AR415" t="b">
        <f>IF(metadata!Q415="",FALSE,ISNUMBER(VALUE(metadata!Q415)))</f>
        <v>0</v>
      </c>
      <c r="AS415" t="b">
        <f>AND(IF(metadata!R415="",FALSE,TRUE),EXACT(metadata!R415,"kg"))</f>
        <v>0</v>
      </c>
    </row>
    <row r="416" spans="1:45" x14ac:dyDescent="0.2">
      <c r="A416" s="5" t="str">
        <f ca="1">IF(B416=" "," ",HYPERLINK(CONCATENATE("#metadata!",ADDRESS(INDEX($X$2:$X$1001,MATCH(ROWS($V$2:V416),$V$2:$V$1001,0),0),1)),INDEX($AA$2:$AA$1001,MATCH(ROWS($V$2:V416),$V$2:$V$1001,0),0)))</f>
        <v xml:space="preserve"> </v>
      </c>
      <c r="B416" s="4" t="str">
        <f ca="1">IF(OR(INDEX($W$2:$W$1001,MATCH(ROWS($V$2:V416),$V$2:$V$1001,0),1)&gt;=100000,INDEX($AC$1005:$AS$1005,1,MATCH(COLUMNS($AC$1006:AC1006),$AC$1006:$AS$1006,0))&gt;=100000), " ",IF(INDEX($AC$2:$AS$1001,MATCH(ROWS($V$2:V416),$V$2:$V$1001,0),MATCH(COLUMNS($AC$1006:AC1006),$AC$1006:$AS$1006,0)), HYPERLINK("#",""), HYPERLINK(CONCATENATE("#metadata!", ADDRESS(INDEX($X$2:$X$1001,MATCH(ROWS($V$2:V416),$V$2:$V$1001,0),0), INDEX($AC$1004:$AS$1004,1,MATCH(COLUMNS($AC$1006:AC1006),$AC$1006:$AS$1006,0)))),"Fix")))</f>
        <v xml:space="preserve"> </v>
      </c>
      <c r="C416" s="4" t="str">
        <f ca="1">IF(OR(INDEX($W$2:$W$1001,MATCH(ROWS($V$2:V416),$V$2:$V$1001,0),1)&gt;=100000,INDEX($AC$1005:$AS$1005,1,MATCH(COLUMNS($AC$1006:AD1006),$AC$1006:$AS$1006,0))&gt;=100000), " ",IF(INDEX($AC$2:$AS$1001,MATCH(ROWS($V$2:V416),$V$2:$V$1001,0),MATCH(COLUMNS($AC$1006:AD1006),$AC$1006:$AS$1006,0)), HYPERLINK("#",""), HYPERLINK(CONCATENATE("#metadata!", ADDRESS(INDEX($X$2:$X$1001,MATCH(ROWS($V$2:V416),$V$2:$V$1001,0),0), INDEX($AC$1004:$AS$1004,1,MATCH(COLUMNS($AC$1006:AD1006),$AC$1006:$AS$1006,0)))),"Fix")))</f>
        <v xml:space="preserve"> </v>
      </c>
      <c r="D416" s="4" t="str">
        <f ca="1">IF(OR(INDEX($W$2:$W$1001,MATCH(ROWS($V$2:V416),$V$2:$V$1001,0),1)&gt;=100000,INDEX($AC$1005:$AS$1005,1,MATCH(COLUMNS($AC$1006:AE1006),$AC$1006:$AS$1006,0))&gt;=100000), " ",IF(INDEX($AC$2:$AS$1001,MATCH(ROWS($V$2:V416),$V$2:$V$1001,0),MATCH(COLUMNS($AC$1006:AE1006),$AC$1006:$AS$1006,0)), HYPERLINK("#",""), HYPERLINK(CONCATENATE("#metadata!", ADDRESS(INDEX($X$2:$X$1001,MATCH(ROWS($V$2:V416),$V$2:$V$1001,0),0), INDEX($AC$1004:$AS$1004,1,MATCH(COLUMNS($AC$1006:AE1006),$AC$1006:$AS$1006,0)))),"Fix")))</f>
        <v xml:space="preserve"> </v>
      </c>
      <c r="E416" s="4" t="str">
        <f ca="1">IF(OR(INDEX($W$2:$W$1001,MATCH(ROWS($V$2:V416),$V$2:$V$1001,0),1)&gt;=100000,INDEX($AC$1005:$AS$1005,1,MATCH(COLUMNS($AC$1006:AF1006),$AC$1006:$AS$1006,0))&gt;=100000), " ",IF(INDEX($AC$2:$AS$1001,MATCH(ROWS($V$2:V416),$V$2:$V$1001,0),MATCH(COLUMNS($AC$1006:AF1006),$AC$1006:$AS$1006,0)), HYPERLINK("#",""), HYPERLINK(CONCATENATE("#metadata!", ADDRESS(INDEX($X$2:$X$1001,MATCH(ROWS($V$2:V416),$V$2:$V$1001,0),0), INDEX($AC$1004:$AS$1004,1,MATCH(COLUMNS($AC$1006:AF1006),$AC$1006:$AS$1006,0)))),"Fix")))</f>
        <v xml:space="preserve"> </v>
      </c>
      <c r="F416" s="4" t="str">
        <f ca="1">IF(OR(INDEX($W$2:$W$1001,MATCH(ROWS($V$2:V416),$V$2:$V$1001,0),1)&gt;=100000,INDEX($AC$1005:$AS$1005,1,MATCH(COLUMNS($AC$1006:AG1006),$AC$1006:$AS$1006,0))&gt;=100000), " ",IF(INDEX($AC$2:$AS$1001,MATCH(ROWS($V$2:V416),$V$2:$V$1001,0),MATCH(COLUMNS($AC$1006:AG1006),$AC$1006:$AS$1006,0)), HYPERLINK("#",""), HYPERLINK(CONCATENATE("#metadata!", ADDRESS(INDEX($X$2:$X$1001,MATCH(ROWS($V$2:V416),$V$2:$V$1001,0),0), INDEX($AC$1004:$AS$1004,1,MATCH(COLUMNS($AC$1006:AG1006),$AC$1006:$AS$1006,0)))),"Fix")))</f>
        <v xml:space="preserve"> </v>
      </c>
      <c r="G416" s="4" t="str">
        <f ca="1">IF(OR(INDEX($W$2:$W$1001,MATCH(ROWS($V$2:V416),$V$2:$V$1001,0),1)&gt;=100000,INDEX($AC$1005:$AS$1005,1,MATCH(COLUMNS($AC$1006:AH1006),$AC$1006:$AS$1006,0))&gt;=100000), " ",IF(INDEX($AC$2:$AS$1001,MATCH(ROWS($V$2:V416),$V$2:$V$1001,0),MATCH(COLUMNS($AC$1006:AH1006),$AC$1006:$AS$1006,0)), HYPERLINK("#",""), HYPERLINK(CONCATENATE("#metadata!", ADDRESS(INDEX($X$2:$X$1001,MATCH(ROWS($V$2:V416),$V$2:$V$1001,0),0), INDEX($AC$1004:$AS$1004,1,MATCH(COLUMNS($AC$1006:AH1006),$AC$1006:$AS$1006,0)))),"Fix")))</f>
        <v xml:space="preserve"> </v>
      </c>
      <c r="H416" s="4" t="str">
        <f ca="1">IF(OR(INDEX($W$2:$W$1001,MATCH(ROWS($V$2:V416),$V$2:$V$1001,0),1)&gt;=100000,INDEX($AC$1005:$AS$1005,1,MATCH(COLUMNS($AC$1006:AI1006),$AC$1006:$AS$1006,0))&gt;=100000), " ",IF(INDEX($AC$2:$AS$1001,MATCH(ROWS($V$2:V416),$V$2:$V$1001,0),MATCH(COLUMNS($AC$1006:AI1006),$AC$1006:$AS$1006,0)), HYPERLINK("#",""), HYPERLINK(CONCATENATE("#metadata!", ADDRESS(INDEX($X$2:$X$1001,MATCH(ROWS($V$2:V416),$V$2:$V$1001,0),0), INDEX($AC$1004:$AS$1004,1,MATCH(COLUMNS($AC$1006:AI1006),$AC$1006:$AS$1006,0)))),"Fix")))</f>
        <v xml:space="preserve"> </v>
      </c>
      <c r="I416" s="4" t="str">
        <f ca="1">IF(OR(INDEX($W$2:$W$1001,MATCH(ROWS($V$2:V416),$V$2:$V$1001,0),1)&gt;=100000,INDEX($AC$1005:$AS$1005,1,MATCH(COLUMNS($AC$1006:AJ1006),$AC$1006:$AS$1006,0))&gt;=100000), " ",IF(INDEX($AC$2:$AS$1001,MATCH(ROWS($V$2:V416),$V$2:$V$1001,0),MATCH(COLUMNS($AC$1006:AJ1006),$AC$1006:$AS$1006,0)), HYPERLINK("#",""), HYPERLINK(CONCATENATE("#metadata!", ADDRESS(INDEX($X$2:$X$1001,MATCH(ROWS($V$2:V416),$V$2:$V$1001,0),0), INDEX($AC$1004:$AS$1004,1,MATCH(COLUMNS($AC$1006:AJ1006),$AC$1006:$AS$1006,0)))),"Fix")))</f>
        <v xml:space="preserve"> </v>
      </c>
      <c r="J416" s="4" t="str">
        <f ca="1">IF(OR(INDEX($W$2:$W$1001,MATCH(ROWS($V$2:V416),$V$2:$V$1001,0),1)&gt;=100000,INDEX($AC$1005:$AS$1005,1,MATCH(COLUMNS($AC$1006:AK1006),$AC$1006:$AS$1006,0))&gt;=100000), " ",IF(INDEX($AC$2:$AS$1001,MATCH(ROWS($V$2:V416),$V$2:$V$1001,0),MATCH(COLUMNS($AC$1006:AK1006),$AC$1006:$AS$1006,0)), HYPERLINK("#",""), HYPERLINK(CONCATENATE("#metadata!", ADDRESS(INDEX($X$2:$X$1001,MATCH(ROWS($V$2:V416),$V$2:$V$1001,0),0), INDEX($AC$1004:$AS$1004,1,MATCH(COLUMNS($AC$1006:AK1006),$AC$1006:$AS$1006,0)))),"Fix")))</f>
        <v xml:space="preserve"> </v>
      </c>
      <c r="K416" s="4" t="str">
        <f ca="1">IF(OR(INDEX($W$2:$W$1001,MATCH(ROWS($V$2:V416),$V$2:$V$1001,0),1)&gt;=100000,INDEX($AC$1005:$AS$1005,1,MATCH(COLUMNS($AC$1006:AL1006),$AC$1006:$AS$1006,0))&gt;=100000), " ",IF(INDEX($AC$2:$AS$1001,MATCH(ROWS($V$2:V416),$V$2:$V$1001,0),MATCH(COLUMNS($AC$1006:AL1006),$AC$1006:$AS$1006,0)), HYPERLINK("#",""), HYPERLINK(CONCATENATE("#metadata!", ADDRESS(INDEX($X$2:$X$1001,MATCH(ROWS($V$2:V416),$V$2:$V$1001,0),0), INDEX($AC$1004:$AS$1004,1,MATCH(COLUMNS($AC$1006:AL1006),$AC$1006:$AS$1006,0)))),"Fix")))</f>
        <v xml:space="preserve"> </v>
      </c>
      <c r="L416" s="4" t="str">
        <f ca="1">IF(OR(INDEX($W$2:$W$1001,MATCH(ROWS($V$2:V416),$V$2:$V$1001,0),1)&gt;=100000,INDEX($AC$1005:$AS$1005,1,MATCH(COLUMNS($AC$1006:AM1006),$AC$1006:$AS$1006,0))&gt;=100000), " ",IF(INDEX($AC$2:$AS$1001,MATCH(ROWS($V$2:V416),$V$2:$V$1001,0),MATCH(COLUMNS($AC$1006:AM1006),$AC$1006:$AS$1006,0)), HYPERLINK("#",""), HYPERLINK(CONCATENATE("#metadata!", ADDRESS(INDEX($X$2:$X$1001,MATCH(ROWS($V$2:V416),$V$2:$V$1001,0),0), INDEX($AC$1004:$AS$1004,1,MATCH(COLUMNS($AC$1006:AM1006),$AC$1006:$AS$1006,0)))),"Fix")))</f>
        <v xml:space="preserve"> </v>
      </c>
      <c r="M416" s="4" t="str">
        <f ca="1">IF(OR(INDEX($W$2:$W$1001,MATCH(ROWS($V$2:V416),$V$2:$V$1001,0),1)&gt;=100000,INDEX($AC$1005:$AS$1005,1,MATCH(COLUMNS($AC$1006:AN1006),$AC$1006:$AS$1006,0))&gt;=100000), " ",IF(INDEX($AC$2:$AS$1001,MATCH(ROWS($V$2:V416),$V$2:$V$1001,0),MATCH(COLUMNS($AC$1006:AN1006),$AC$1006:$AS$1006,0)), HYPERLINK("#",""), HYPERLINK(CONCATENATE("#metadata!", ADDRESS(INDEX($X$2:$X$1001,MATCH(ROWS($V$2:V416),$V$2:$V$1001,0),0), INDEX($AC$1004:$AS$1004,1,MATCH(COLUMNS($AC$1006:AN1006),$AC$1006:$AS$1006,0)))),"Fix")))</f>
        <v xml:space="preserve"> </v>
      </c>
      <c r="N416" s="4" t="str">
        <f ca="1">IF(OR(INDEX($W$2:$W$1001,MATCH(ROWS($V$2:V416),$V$2:$V$1001,0),1)&gt;=100000,INDEX($AC$1005:$AS$1005,1,MATCH(COLUMNS($AC$1006:AO1006),$AC$1006:$AS$1006,0))&gt;=100000), " ",IF(INDEX($AC$2:$AS$1001,MATCH(ROWS($V$2:V416),$V$2:$V$1001,0),MATCH(COLUMNS($AC$1006:AO1006),$AC$1006:$AS$1006,0)), HYPERLINK("#",""), HYPERLINK(CONCATENATE("#metadata!", ADDRESS(INDEX($X$2:$X$1001,MATCH(ROWS($V$2:V416),$V$2:$V$1001,0),0), INDEX($AC$1004:$AS$1004,1,MATCH(COLUMNS($AC$1006:AO1006),$AC$1006:$AS$1006,0)))),"Fix")))</f>
        <v xml:space="preserve"> </v>
      </c>
      <c r="O416" s="4" t="str">
        <f ca="1">IF(OR(INDEX($W$2:$W$1001,MATCH(ROWS($V$2:V416),$V$2:$V$1001,0),1)&gt;=100000,INDEX($AC$1005:$AS$1005,1,MATCH(COLUMNS($AC$1006:AP1006),$AC$1006:$AS$1006,0))&gt;=100000), " ",IF(INDEX($AC$2:$AS$1001,MATCH(ROWS($V$2:V416),$V$2:$V$1001,0),MATCH(COLUMNS($AC$1006:AP1006),$AC$1006:$AS$1006,0)), HYPERLINK("#",""), HYPERLINK(CONCATENATE("#metadata!", ADDRESS(INDEX($X$2:$X$1001,MATCH(ROWS($V$2:V416),$V$2:$V$1001,0),0), INDEX($AC$1004:$AS$1004,1,MATCH(COLUMNS($AC$1006:AP1006),$AC$1006:$AS$1006,0)))),"Fix")))</f>
        <v xml:space="preserve"> </v>
      </c>
      <c r="P416" s="4" t="str">
        <f ca="1">IF(OR(INDEX($W$2:$W$1001,MATCH(ROWS($V$2:V416),$V$2:$V$1001,0),1)&gt;=100000,INDEX($AC$1005:$AS$1005,1,MATCH(COLUMNS($AC$1006:AQ1006),$AC$1006:$AS$1006,0))&gt;=100000), " ",IF(INDEX($AC$2:$AS$1001,MATCH(ROWS($V$2:V416),$V$2:$V$1001,0),MATCH(COLUMNS($AC$1006:AQ1006),$AC$1006:$AS$1006,0)), HYPERLINK("#",""), HYPERLINK(CONCATENATE("#metadata!", ADDRESS(INDEX($X$2:$X$1001,MATCH(ROWS($V$2:V416),$V$2:$V$1001,0),0), INDEX($AC$1004:$AS$1004,1,MATCH(COLUMNS($AC$1006:AQ1006),$AC$1006:$AS$1006,0)))),"Fix")))</f>
        <v xml:space="preserve"> </v>
      </c>
      <c r="Q416" s="4" t="str">
        <f ca="1">IF(OR(INDEX($W$2:$W$1001,MATCH(ROWS($V$2:V416),$V$2:$V$1001,0),1)&gt;=100000,INDEX($AC$1005:$AS$1005,1,MATCH(COLUMNS($AC$1006:AR1006),$AC$1006:$AS$1006,0))&gt;=100000), " ",IF(INDEX($AC$2:$AS$1001,MATCH(ROWS($V$2:V416),$V$2:$V$1001,0),MATCH(COLUMNS($AC$1006:AR1006),$AC$1006:$AS$1006,0)), HYPERLINK("#",""), HYPERLINK(CONCATENATE("#metadata!", ADDRESS(INDEX($X$2:$X$1001,MATCH(ROWS($V$2:V416),$V$2:$V$1001,0),0), INDEX($AC$1004:$AS$1004,1,MATCH(COLUMNS($AC$1006:AR1006),$AC$1006:$AS$1006,0)))),"Fix")))</f>
        <v xml:space="preserve"> </v>
      </c>
      <c r="R416" s="4" t="str">
        <f ca="1">IF(OR(INDEX($W$2:$W$1001,MATCH(ROWS($V$2:V416),$V$2:$V$1001,0),1)&gt;=100000,INDEX($AC$1005:$AS$1005,1,MATCH(COLUMNS($AC$1006:AS1006),$AC$1006:$AS$1006,0))&gt;=100000), " ",IF(INDEX($AC$2:$AS$1001,MATCH(ROWS($V$2:V416),$V$2:$V$1001,0),MATCH(COLUMNS($AC$1006:AS1006),$AC$1006:$AS$1006,0)), HYPERLINK("#",""), HYPERLINK(CONCATENATE("#metadata!", ADDRESS(INDEX($X$2:$X$1001,MATCH(ROWS($V$2:V416),$V$2:$V$1001,0),0), INDEX($AC$1004:$AS$1004,1,MATCH(COLUMNS($AC$1006:AS1006),$AC$1006:$AS$1006,0)))),"Fix")))</f>
        <v xml:space="preserve"> </v>
      </c>
      <c r="V416">
        <v>415</v>
      </c>
      <c r="W416">
        <v>100416</v>
      </c>
      <c r="X416">
        <v>416</v>
      </c>
      <c r="Y416" t="b">
        <f t="shared" si="6"/>
        <v>1</v>
      </c>
      <c r="Z416" t="b">
        <f>COUNTBLANK(metadata!B416:R416)=COLUMNS(metadata!B416:R416)</f>
        <v>1</v>
      </c>
      <c r="AA416" t="str">
        <v/>
      </c>
      <c r="AC416" t="b">
        <f ca="1"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AD416" t="b">
        <f>IF(metadata!C416="",FALSE,ISNUMBER(VALUE(metadata!C416)))</f>
        <v>0</v>
      </c>
      <c r="AE416" t="b">
        <f>AND(IF(metadata!D416="",FALSE,TRUE),EXACT(metadata!D416,"years"))</f>
        <v>0</v>
      </c>
      <c r="AF416" t="b">
        <f>OR(AND(IF(metadata!E416="",FALSE,TRUE),OR(EXACT(metadata!E416,"not applicable"),EXACT(metadata!E416,"missing: not collected"),EXACT(metadata!E416,"missing: not provided"),EXACT(metadata!E416,"missing: restricted access"))),AND(IF(metadata!E416="",FALSE,ISNUMBER(VALUE(metadata!E416))),metadata!E416&gt;0))</f>
        <v>0</v>
      </c>
      <c r="AG416" t="b">
        <f>AND(IF(metadata!F416="",FALSE,TRUE),EXACT(metadata!F416,"Not applicable"))</f>
        <v>0</v>
      </c>
      <c r="AH416" t="b">
        <f>AND(IF(metadata!G416="",FALSE,TRUE),EXACT(metadata!G416,"urban biome"))</f>
        <v>0</v>
      </c>
      <c r="AI416" t="b">
        <f>AND(IF(metadata!H416="",FALSE,TRUE),EXACT(metadata!H416,"human-associated habitat"))</f>
        <v>0</v>
      </c>
      <c r="AJ416" t="b">
        <f>AND(IF(metadata!I416="",FALSE,TRUE),OR(EXACT(metadata!I416,"human-associated"),EXACT(metadata!I416,"human-skin"),EXACT(metadata!I416,"human-oral"),EXACT(metadata!I416,"human-gut"),EXACT(metadata!I416,"human-vaginal")))</f>
        <v>0</v>
      </c>
      <c r="AK416" t="b">
        <f>IF(metadata!J416="",FALSE,ISNUMBER(VALUE(metadata!J416)))</f>
        <v>0</v>
      </c>
      <c r="AL416" t="b">
        <f>AND(IF(metadata!K416="",FALSE,TRUE),EXACT(metadata!K416,"cm"))</f>
        <v>0</v>
      </c>
      <c r="AM416" t="b">
        <f>AND(IF(metadata!L416="",FALSE,TRUE),EXACT(metadata!L416,"human"))</f>
        <v>0</v>
      </c>
      <c r="AN416" t="b">
        <f>AND(IF(metadata!M416="",FALSE,TRUE),EXACT(metadata!M416,"Homo sapiens"))</f>
        <v>0</v>
      </c>
      <c r="AO416" t="b">
        <f>AND(IF(metadata!N416="",FALSE,TRUE),EXACT(metadata!N416,"9606"))</f>
        <v>0</v>
      </c>
      <c r="AP416" t="b">
        <f>IF(metadata!O416="",FALSE,TRUE)</f>
        <v>0</v>
      </c>
      <c r="AQ416" t="b">
        <f>IF(metadata!P416="",FALSE,TRUE)</f>
        <v>0</v>
      </c>
      <c r="AR416" t="b">
        <f>IF(metadata!Q416="",FALSE,ISNUMBER(VALUE(metadata!Q416)))</f>
        <v>0</v>
      </c>
      <c r="AS416" t="b">
        <f>AND(IF(metadata!R416="",FALSE,TRUE),EXACT(metadata!R416,"kg"))</f>
        <v>0</v>
      </c>
    </row>
    <row r="417" spans="1:45" x14ac:dyDescent="0.2">
      <c r="A417" s="5" t="str">
        <f ca="1">IF(B417=" "," ",HYPERLINK(CONCATENATE("#metadata!",ADDRESS(INDEX($X$2:$X$1001,MATCH(ROWS($V$2:V417),$V$2:$V$1001,0),0),1)),INDEX($AA$2:$AA$1001,MATCH(ROWS($V$2:V417),$V$2:$V$1001,0),0)))</f>
        <v xml:space="preserve"> </v>
      </c>
      <c r="B417" s="4" t="str">
        <f ca="1">IF(OR(INDEX($W$2:$W$1001,MATCH(ROWS($V$2:V417),$V$2:$V$1001,0),1)&gt;=100000,INDEX($AC$1005:$AS$1005,1,MATCH(COLUMNS($AC$1006:AC1006),$AC$1006:$AS$1006,0))&gt;=100000), " ",IF(INDEX($AC$2:$AS$1001,MATCH(ROWS($V$2:V417),$V$2:$V$1001,0),MATCH(COLUMNS($AC$1006:AC1006),$AC$1006:$AS$1006,0)), HYPERLINK("#",""), HYPERLINK(CONCATENATE("#metadata!", ADDRESS(INDEX($X$2:$X$1001,MATCH(ROWS($V$2:V417),$V$2:$V$1001,0),0), INDEX($AC$1004:$AS$1004,1,MATCH(COLUMNS($AC$1006:AC1006),$AC$1006:$AS$1006,0)))),"Fix")))</f>
        <v xml:space="preserve"> </v>
      </c>
      <c r="C417" s="4" t="str">
        <f ca="1">IF(OR(INDEX($W$2:$W$1001,MATCH(ROWS($V$2:V417),$V$2:$V$1001,0),1)&gt;=100000,INDEX($AC$1005:$AS$1005,1,MATCH(COLUMNS($AC$1006:AD1006),$AC$1006:$AS$1006,0))&gt;=100000), " ",IF(INDEX($AC$2:$AS$1001,MATCH(ROWS($V$2:V417),$V$2:$V$1001,0),MATCH(COLUMNS($AC$1006:AD1006),$AC$1006:$AS$1006,0)), HYPERLINK("#",""), HYPERLINK(CONCATENATE("#metadata!", ADDRESS(INDEX($X$2:$X$1001,MATCH(ROWS($V$2:V417),$V$2:$V$1001,0),0), INDEX($AC$1004:$AS$1004,1,MATCH(COLUMNS($AC$1006:AD1006),$AC$1006:$AS$1006,0)))),"Fix")))</f>
        <v xml:space="preserve"> </v>
      </c>
      <c r="D417" s="4" t="str">
        <f ca="1">IF(OR(INDEX($W$2:$W$1001,MATCH(ROWS($V$2:V417),$V$2:$V$1001,0),1)&gt;=100000,INDEX($AC$1005:$AS$1005,1,MATCH(COLUMNS($AC$1006:AE1006),$AC$1006:$AS$1006,0))&gt;=100000), " ",IF(INDEX($AC$2:$AS$1001,MATCH(ROWS($V$2:V417),$V$2:$V$1001,0),MATCH(COLUMNS($AC$1006:AE1006),$AC$1006:$AS$1006,0)), HYPERLINK("#",""), HYPERLINK(CONCATENATE("#metadata!", ADDRESS(INDEX($X$2:$X$1001,MATCH(ROWS($V$2:V417),$V$2:$V$1001,0),0), INDEX($AC$1004:$AS$1004,1,MATCH(COLUMNS($AC$1006:AE1006),$AC$1006:$AS$1006,0)))),"Fix")))</f>
        <v xml:space="preserve"> </v>
      </c>
      <c r="E417" s="4" t="str">
        <f ca="1">IF(OR(INDEX($W$2:$W$1001,MATCH(ROWS($V$2:V417),$V$2:$V$1001,0),1)&gt;=100000,INDEX($AC$1005:$AS$1005,1,MATCH(COLUMNS($AC$1006:AF1006),$AC$1006:$AS$1006,0))&gt;=100000), " ",IF(INDEX($AC$2:$AS$1001,MATCH(ROWS($V$2:V417),$V$2:$V$1001,0),MATCH(COLUMNS($AC$1006:AF1006),$AC$1006:$AS$1006,0)), HYPERLINK("#",""), HYPERLINK(CONCATENATE("#metadata!", ADDRESS(INDEX($X$2:$X$1001,MATCH(ROWS($V$2:V417),$V$2:$V$1001,0),0), INDEX($AC$1004:$AS$1004,1,MATCH(COLUMNS($AC$1006:AF1006),$AC$1006:$AS$1006,0)))),"Fix")))</f>
        <v xml:space="preserve"> </v>
      </c>
      <c r="F417" s="4" t="str">
        <f ca="1">IF(OR(INDEX($W$2:$W$1001,MATCH(ROWS($V$2:V417),$V$2:$V$1001,0),1)&gt;=100000,INDEX($AC$1005:$AS$1005,1,MATCH(COLUMNS($AC$1006:AG1006),$AC$1006:$AS$1006,0))&gt;=100000), " ",IF(INDEX($AC$2:$AS$1001,MATCH(ROWS($V$2:V417),$V$2:$V$1001,0),MATCH(COLUMNS($AC$1006:AG1006),$AC$1006:$AS$1006,0)), HYPERLINK("#",""), HYPERLINK(CONCATENATE("#metadata!", ADDRESS(INDEX($X$2:$X$1001,MATCH(ROWS($V$2:V417),$V$2:$V$1001,0),0), INDEX($AC$1004:$AS$1004,1,MATCH(COLUMNS($AC$1006:AG1006),$AC$1006:$AS$1006,0)))),"Fix")))</f>
        <v xml:space="preserve"> </v>
      </c>
      <c r="G417" s="4" t="str">
        <f ca="1">IF(OR(INDEX($W$2:$W$1001,MATCH(ROWS($V$2:V417),$V$2:$V$1001,0),1)&gt;=100000,INDEX($AC$1005:$AS$1005,1,MATCH(COLUMNS($AC$1006:AH1006),$AC$1006:$AS$1006,0))&gt;=100000), " ",IF(INDEX($AC$2:$AS$1001,MATCH(ROWS($V$2:V417),$V$2:$V$1001,0),MATCH(COLUMNS($AC$1006:AH1006),$AC$1006:$AS$1006,0)), HYPERLINK("#",""), HYPERLINK(CONCATENATE("#metadata!", ADDRESS(INDEX($X$2:$X$1001,MATCH(ROWS($V$2:V417),$V$2:$V$1001,0),0), INDEX($AC$1004:$AS$1004,1,MATCH(COLUMNS($AC$1006:AH1006),$AC$1006:$AS$1006,0)))),"Fix")))</f>
        <v xml:space="preserve"> </v>
      </c>
      <c r="H417" s="4" t="str">
        <f ca="1">IF(OR(INDEX($W$2:$W$1001,MATCH(ROWS($V$2:V417),$V$2:$V$1001,0),1)&gt;=100000,INDEX($AC$1005:$AS$1005,1,MATCH(COLUMNS($AC$1006:AI1006),$AC$1006:$AS$1006,0))&gt;=100000), " ",IF(INDEX($AC$2:$AS$1001,MATCH(ROWS($V$2:V417),$V$2:$V$1001,0),MATCH(COLUMNS($AC$1006:AI1006),$AC$1006:$AS$1006,0)), HYPERLINK("#",""), HYPERLINK(CONCATENATE("#metadata!", ADDRESS(INDEX($X$2:$X$1001,MATCH(ROWS($V$2:V417),$V$2:$V$1001,0),0), INDEX($AC$1004:$AS$1004,1,MATCH(COLUMNS($AC$1006:AI1006),$AC$1006:$AS$1006,0)))),"Fix")))</f>
        <v xml:space="preserve"> </v>
      </c>
      <c r="I417" s="4" t="str">
        <f ca="1">IF(OR(INDEX($W$2:$W$1001,MATCH(ROWS($V$2:V417),$V$2:$V$1001,0),1)&gt;=100000,INDEX($AC$1005:$AS$1005,1,MATCH(COLUMNS($AC$1006:AJ1006),$AC$1006:$AS$1006,0))&gt;=100000), " ",IF(INDEX($AC$2:$AS$1001,MATCH(ROWS($V$2:V417),$V$2:$V$1001,0),MATCH(COLUMNS($AC$1006:AJ1006),$AC$1006:$AS$1006,0)), HYPERLINK("#",""), HYPERLINK(CONCATENATE("#metadata!", ADDRESS(INDEX($X$2:$X$1001,MATCH(ROWS($V$2:V417),$V$2:$V$1001,0),0), INDEX($AC$1004:$AS$1004,1,MATCH(COLUMNS($AC$1006:AJ1006),$AC$1006:$AS$1006,0)))),"Fix")))</f>
        <v xml:space="preserve"> </v>
      </c>
      <c r="J417" s="4" t="str">
        <f ca="1">IF(OR(INDEX($W$2:$W$1001,MATCH(ROWS($V$2:V417),$V$2:$V$1001,0),1)&gt;=100000,INDEX($AC$1005:$AS$1005,1,MATCH(COLUMNS($AC$1006:AK1006),$AC$1006:$AS$1006,0))&gt;=100000), " ",IF(INDEX($AC$2:$AS$1001,MATCH(ROWS($V$2:V417),$V$2:$V$1001,0),MATCH(COLUMNS($AC$1006:AK1006),$AC$1006:$AS$1006,0)), HYPERLINK("#",""), HYPERLINK(CONCATENATE("#metadata!", ADDRESS(INDEX($X$2:$X$1001,MATCH(ROWS($V$2:V417),$V$2:$V$1001,0),0), INDEX($AC$1004:$AS$1004,1,MATCH(COLUMNS($AC$1006:AK1006),$AC$1006:$AS$1006,0)))),"Fix")))</f>
        <v xml:space="preserve"> </v>
      </c>
      <c r="K417" s="4" t="str">
        <f ca="1">IF(OR(INDEX($W$2:$W$1001,MATCH(ROWS($V$2:V417),$V$2:$V$1001,0),1)&gt;=100000,INDEX($AC$1005:$AS$1005,1,MATCH(COLUMNS($AC$1006:AL1006),$AC$1006:$AS$1006,0))&gt;=100000), " ",IF(INDEX($AC$2:$AS$1001,MATCH(ROWS($V$2:V417),$V$2:$V$1001,0),MATCH(COLUMNS($AC$1006:AL1006),$AC$1006:$AS$1006,0)), HYPERLINK("#",""), HYPERLINK(CONCATENATE("#metadata!", ADDRESS(INDEX($X$2:$X$1001,MATCH(ROWS($V$2:V417),$V$2:$V$1001,0),0), INDEX($AC$1004:$AS$1004,1,MATCH(COLUMNS($AC$1006:AL1006),$AC$1006:$AS$1006,0)))),"Fix")))</f>
        <v xml:space="preserve"> </v>
      </c>
      <c r="L417" s="4" t="str">
        <f ca="1">IF(OR(INDEX($W$2:$W$1001,MATCH(ROWS($V$2:V417),$V$2:$V$1001,0),1)&gt;=100000,INDEX($AC$1005:$AS$1005,1,MATCH(COLUMNS($AC$1006:AM1006),$AC$1006:$AS$1006,0))&gt;=100000), " ",IF(INDEX($AC$2:$AS$1001,MATCH(ROWS($V$2:V417),$V$2:$V$1001,0),MATCH(COLUMNS($AC$1006:AM1006),$AC$1006:$AS$1006,0)), HYPERLINK("#",""), HYPERLINK(CONCATENATE("#metadata!", ADDRESS(INDEX($X$2:$X$1001,MATCH(ROWS($V$2:V417),$V$2:$V$1001,0),0), INDEX($AC$1004:$AS$1004,1,MATCH(COLUMNS($AC$1006:AM1006),$AC$1006:$AS$1006,0)))),"Fix")))</f>
        <v xml:space="preserve"> </v>
      </c>
      <c r="M417" s="4" t="str">
        <f ca="1">IF(OR(INDEX($W$2:$W$1001,MATCH(ROWS($V$2:V417),$V$2:$V$1001,0),1)&gt;=100000,INDEX($AC$1005:$AS$1005,1,MATCH(COLUMNS($AC$1006:AN1006),$AC$1006:$AS$1006,0))&gt;=100000), " ",IF(INDEX($AC$2:$AS$1001,MATCH(ROWS($V$2:V417),$V$2:$V$1001,0),MATCH(COLUMNS($AC$1006:AN1006),$AC$1006:$AS$1006,0)), HYPERLINK("#",""), HYPERLINK(CONCATENATE("#metadata!", ADDRESS(INDEX($X$2:$X$1001,MATCH(ROWS($V$2:V417),$V$2:$V$1001,0),0), INDEX($AC$1004:$AS$1004,1,MATCH(COLUMNS($AC$1006:AN1006),$AC$1006:$AS$1006,0)))),"Fix")))</f>
        <v xml:space="preserve"> </v>
      </c>
      <c r="N417" s="4" t="str">
        <f ca="1">IF(OR(INDEX($W$2:$W$1001,MATCH(ROWS($V$2:V417),$V$2:$V$1001,0),1)&gt;=100000,INDEX($AC$1005:$AS$1005,1,MATCH(COLUMNS($AC$1006:AO1006),$AC$1006:$AS$1006,0))&gt;=100000), " ",IF(INDEX($AC$2:$AS$1001,MATCH(ROWS($V$2:V417),$V$2:$V$1001,0),MATCH(COLUMNS($AC$1006:AO1006),$AC$1006:$AS$1006,0)), HYPERLINK("#",""), HYPERLINK(CONCATENATE("#metadata!", ADDRESS(INDEX($X$2:$X$1001,MATCH(ROWS($V$2:V417),$V$2:$V$1001,0),0), INDEX($AC$1004:$AS$1004,1,MATCH(COLUMNS($AC$1006:AO1006),$AC$1006:$AS$1006,0)))),"Fix")))</f>
        <v xml:space="preserve"> </v>
      </c>
      <c r="O417" s="4" t="str">
        <f ca="1">IF(OR(INDEX($W$2:$W$1001,MATCH(ROWS($V$2:V417),$V$2:$V$1001,0),1)&gt;=100000,INDEX($AC$1005:$AS$1005,1,MATCH(COLUMNS($AC$1006:AP1006),$AC$1006:$AS$1006,0))&gt;=100000), " ",IF(INDEX($AC$2:$AS$1001,MATCH(ROWS($V$2:V417),$V$2:$V$1001,0),MATCH(COLUMNS($AC$1006:AP1006),$AC$1006:$AS$1006,0)), HYPERLINK("#",""), HYPERLINK(CONCATENATE("#metadata!", ADDRESS(INDEX($X$2:$X$1001,MATCH(ROWS($V$2:V417),$V$2:$V$1001,0),0), INDEX($AC$1004:$AS$1004,1,MATCH(COLUMNS($AC$1006:AP1006),$AC$1006:$AS$1006,0)))),"Fix")))</f>
        <v xml:space="preserve"> </v>
      </c>
      <c r="P417" s="4" t="str">
        <f ca="1">IF(OR(INDEX($W$2:$W$1001,MATCH(ROWS($V$2:V417),$V$2:$V$1001,0),1)&gt;=100000,INDEX($AC$1005:$AS$1005,1,MATCH(COLUMNS($AC$1006:AQ1006),$AC$1006:$AS$1006,0))&gt;=100000), " ",IF(INDEX($AC$2:$AS$1001,MATCH(ROWS($V$2:V417),$V$2:$V$1001,0),MATCH(COLUMNS($AC$1006:AQ1006),$AC$1006:$AS$1006,0)), HYPERLINK("#",""), HYPERLINK(CONCATENATE("#metadata!", ADDRESS(INDEX($X$2:$X$1001,MATCH(ROWS($V$2:V417),$V$2:$V$1001,0),0), INDEX($AC$1004:$AS$1004,1,MATCH(COLUMNS($AC$1006:AQ1006),$AC$1006:$AS$1006,0)))),"Fix")))</f>
        <v xml:space="preserve"> </v>
      </c>
      <c r="Q417" s="4" t="str">
        <f ca="1">IF(OR(INDEX($W$2:$W$1001,MATCH(ROWS($V$2:V417),$V$2:$V$1001,0),1)&gt;=100000,INDEX($AC$1005:$AS$1005,1,MATCH(COLUMNS($AC$1006:AR1006),$AC$1006:$AS$1006,0))&gt;=100000), " ",IF(INDEX($AC$2:$AS$1001,MATCH(ROWS($V$2:V417),$V$2:$V$1001,0),MATCH(COLUMNS($AC$1006:AR1006),$AC$1006:$AS$1006,0)), HYPERLINK("#",""), HYPERLINK(CONCATENATE("#metadata!", ADDRESS(INDEX($X$2:$X$1001,MATCH(ROWS($V$2:V417),$V$2:$V$1001,0),0), INDEX($AC$1004:$AS$1004,1,MATCH(COLUMNS($AC$1006:AR1006),$AC$1006:$AS$1006,0)))),"Fix")))</f>
        <v xml:space="preserve"> </v>
      </c>
      <c r="R417" s="4" t="str">
        <f ca="1">IF(OR(INDEX($W$2:$W$1001,MATCH(ROWS($V$2:V417),$V$2:$V$1001,0),1)&gt;=100000,INDEX($AC$1005:$AS$1005,1,MATCH(COLUMNS($AC$1006:AS1006),$AC$1006:$AS$1006,0))&gt;=100000), " ",IF(INDEX($AC$2:$AS$1001,MATCH(ROWS($V$2:V417),$V$2:$V$1001,0),MATCH(COLUMNS($AC$1006:AS1006),$AC$1006:$AS$1006,0)), HYPERLINK("#",""), HYPERLINK(CONCATENATE("#metadata!", ADDRESS(INDEX($X$2:$X$1001,MATCH(ROWS($V$2:V417),$V$2:$V$1001,0),0), INDEX($AC$1004:$AS$1004,1,MATCH(COLUMNS($AC$1006:AS1006),$AC$1006:$AS$1006,0)))),"Fix")))</f>
        <v xml:space="preserve"> </v>
      </c>
      <c r="V417">
        <v>416</v>
      </c>
      <c r="W417">
        <v>100417</v>
      </c>
      <c r="X417">
        <v>417</v>
      </c>
      <c r="Y417" t="b">
        <f t="shared" si="6"/>
        <v>1</v>
      </c>
      <c r="Z417" t="b">
        <f>COUNTBLANK(metadata!B417:R417)=COLUMNS(metadata!B417:R417)</f>
        <v>1</v>
      </c>
      <c r="AA417" t="str">
        <v/>
      </c>
      <c r="AC417" t="b">
        <f ca="1"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AD417" t="b">
        <f>IF(metadata!C417="",FALSE,ISNUMBER(VALUE(metadata!C417)))</f>
        <v>0</v>
      </c>
      <c r="AE417" t="b">
        <f>AND(IF(metadata!D417="",FALSE,TRUE),EXACT(metadata!D417,"years"))</f>
        <v>0</v>
      </c>
      <c r="AF417" t="b">
        <f>OR(AND(IF(metadata!E417="",FALSE,TRUE),OR(EXACT(metadata!E417,"not applicable"),EXACT(metadata!E417,"missing: not collected"),EXACT(metadata!E417,"missing: not provided"),EXACT(metadata!E417,"missing: restricted access"))),AND(IF(metadata!E417="",FALSE,ISNUMBER(VALUE(metadata!E417))),metadata!E417&gt;0))</f>
        <v>0</v>
      </c>
      <c r="AG417" t="b">
        <f>AND(IF(metadata!F417="",FALSE,TRUE),EXACT(metadata!F417,"Not applicable"))</f>
        <v>0</v>
      </c>
      <c r="AH417" t="b">
        <f>AND(IF(metadata!G417="",FALSE,TRUE),EXACT(metadata!G417,"urban biome"))</f>
        <v>0</v>
      </c>
      <c r="AI417" t="b">
        <f>AND(IF(metadata!H417="",FALSE,TRUE),EXACT(metadata!H417,"human-associated habitat"))</f>
        <v>0</v>
      </c>
      <c r="AJ417" t="b">
        <f>AND(IF(metadata!I417="",FALSE,TRUE),OR(EXACT(metadata!I417,"human-associated"),EXACT(metadata!I417,"human-skin"),EXACT(metadata!I417,"human-oral"),EXACT(metadata!I417,"human-gut"),EXACT(metadata!I417,"human-vaginal")))</f>
        <v>0</v>
      </c>
      <c r="AK417" t="b">
        <f>IF(metadata!J417="",FALSE,ISNUMBER(VALUE(metadata!J417)))</f>
        <v>0</v>
      </c>
      <c r="AL417" t="b">
        <f>AND(IF(metadata!K417="",FALSE,TRUE),EXACT(metadata!K417,"cm"))</f>
        <v>0</v>
      </c>
      <c r="AM417" t="b">
        <f>AND(IF(metadata!L417="",FALSE,TRUE),EXACT(metadata!L417,"human"))</f>
        <v>0</v>
      </c>
      <c r="AN417" t="b">
        <f>AND(IF(metadata!M417="",FALSE,TRUE),EXACT(metadata!M417,"Homo sapiens"))</f>
        <v>0</v>
      </c>
      <c r="AO417" t="b">
        <f>AND(IF(metadata!N417="",FALSE,TRUE),EXACT(metadata!N417,"9606"))</f>
        <v>0</v>
      </c>
      <c r="AP417" t="b">
        <f>IF(metadata!O417="",FALSE,TRUE)</f>
        <v>0</v>
      </c>
      <c r="AQ417" t="b">
        <f>IF(metadata!P417="",FALSE,TRUE)</f>
        <v>0</v>
      </c>
      <c r="AR417" t="b">
        <f>IF(metadata!Q417="",FALSE,ISNUMBER(VALUE(metadata!Q417)))</f>
        <v>0</v>
      </c>
      <c r="AS417" t="b">
        <f>AND(IF(metadata!R417="",FALSE,TRUE),EXACT(metadata!R417,"kg"))</f>
        <v>0</v>
      </c>
    </row>
    <row r="418" spans="1:45" x14ac:dyDescent="0.2">
      <c r="A418" s="5" t="str">
        <f ca="1">IF(B418=" "," ",HYPERLINK(CONCATENATE("#metadata!",ADDRESS(INDEX($X$2:$X$1001,MATCH(ROWS($V$2:V418),$V$2:$V$1001,0),0),1)),INDEX($AA$2:$AA$1001,MATCH(ROWS($V$2:V418),$V$2:$V$1001,0),0)))</f>
        <v xml:space="preserve"> </v>
      </c>
      <c r="B418" s="4" t="str">
        <f ca="1">IF(OR(INDEX($W$2:$W$1001,MATCH(ROWS($V$2:V418),$V$2:$V$1001,0),1)&gt;=100000,INDEX($AC$1005:$AS$1005,1,MATCH(COLUMNS($AC$1006:AC1006),$AC$1006:$AS$1006,0))&gt;=100000), " ",IF(INDEX($AC$2:$AS$1001,MATCH(ROWS($V$2:V418),$V$2:$V$1001,0),MATCH(COLUMNS($AC$1006:AC1006),$AC$1006:$AS$1006,0)), HYPERLINK("#",""), HYPERLINK(CONCATENATE("#metadata!", ADDRESS(INDEX($X$2:$X$1001,MATCH(ROWS($V$2:V418),$V$2:$V$1001,0),0), INDEX($AC$1004:$AS$1004,1,MATCH(COLUMNS($AC$1006:AC1006),$AC$1006:$AS$1006,0)))),"Fix")))</f>
        <v xml:space="preserve"> </v>
      </c>
      <c r="C418" s="4" t="str">
        <f ca="1">IF(OR(INDEX($W$2:$W$1001,MATCH(ROWS($V$2:V418),$V$2:$V$1001,0),1)&gt;=100000,INDEX($AC$1005:$AS$1005,1,MATCH(COLUMNS($AC$1006:AD1006),$AC$1006:$AS$1006,0))&gt;=100000), " ",IF(INDEX($AC$2:$AS$1001,MATCH(ROWS($V$2:V418),$V$2:$V$1001,0),MATCH(COLUMNS($AC$1006:AD1006),$AC$1006:$AS$1006,0)), HYPERLINK("#",""), HYPERLINK(CONCATENATE("#metadata!", ADDRESS(INDEX($X$2:$X$1001,MATCH(ROWS($V$2:V418),$V$2:$V$1001,0),0), INDEX($AC$1004:$AS$1004,1,MATCH(COLUMNS($AC$1006:AD1006),$AC$1006:$AS$1006,0)))),"Fix")))</f>
        <v xml:space="preserve"> </v>
      </c>
      <c r="D418" s="4" t="str">
        <f ca="1">IF(OR(INDEX($W$2:$W$1001,MATCH(ROWS($V$2:V418),$V$2:$V$1001,0),1)&gt;=100000,INDEX($AC$1005:$AS$1005,1,MATCH(COLUMNS($AC$1006:AE1006),$AC$1006:$AS$1006,0))&gt;=100000), " ",IF(INDEX($AC$2:$AS$1001,MATCH(ROWS($V$2:V418),$V$2:$V$1001,0),MATCH(COLUMNS($AC$1006:AE1006),$AC$1006:$AS$1006,0)), HYPERLINK("#",""), HYPERLINK(CONCATENATE("#metadata!", ADDRESS(INDEX($X$2:$X$1001,MATCH(ROWS($V$2:V418),$V$2:$V$1001,0),0), INDEX($AC$1004:$AS$1004,1,MATCH(COLUMNS($AC$1006:AE1006),$AC$1006:$AS$1006,0)))),"Fix")))</f>
        <v xml:space="preserve"> </v>
      </c>
      <c r="E418" s="4" t="str">
        <f ca="1">IF(OR(INDEX($W$2:$W$1001,MATCH(ROWS($V$2:V418),$V$2:$V$1001,0),1)&gt;=100000,INDEX($AC$1005:$AS$1005,1,MATCH(COLUMNS($AC$1006:AF1006),$AC$1006:$AS$1006,0))&gt;=100000), " ",IF(INDEX($AC$2:$AS$1001,MATCH(ROWS($V$2:V418),$V$2:$V$1001,0),MATCH(COLUMNS($AC$1006:AF1006),$AC$1006:$AS$1006,0)), HYPERLINK("#",""), HYPERLINK(CONCATENATE("#metadata!", ADDRESS(INDEX($X$2:$X$1001,MATCH(ROWS($V$2:V418),$V$2:$V$1001,0),0), INDEX($AC$1004:$AS$1004,1,MATCH(COLUMNS($AC$1006:AF1006),$AC$1006:$AS$1006,0)))),"Fix")))</f>
        <v xml:space="preserve"> </v>
      </c>
      <c r="F418" s="4" t="str">
        <f ca="1">IF(OR(INDEX($W$2:$W$1001,MATCH(ROWS($V$2:V418),$V$2:$V$1001,0),1)&gt;=100000,INDEX($AC$1005:$AS$1005,1,MATCH(COLUMNS($AC$1006:AG1006),$AC$1006:$AS$1006,0))&gt;=100000), " ",IF(INDEX($AC$2:$AS$1001,MATCH(ROWS($V$2:V418),$V$2:$V$1001,0),MATCH(COLUMNS($AC$1006:AG1006),$AC$1006:$AS$1006,0)), HYPERLINK("#",""), HYPERLINK(CONCATENATE("#metadata!", ADDRESS(INDEX($X$2:$X$1001,MATCH(ROWS($V$2:V418),$V$2:$V$1001,0),0), INDEX($AC$1004:$AS$1004,1,MATCH(COLUMNS($AC$1006:AG1006),$AC$1006:$AS$1006,0)))),"Fix")))</f>
        <v xml:space="preserve"> </v>
      </c>
      <c r="G418" s="4" t="str">
        <f ca="1">IF(OR(INDEX($W$2:$W$1001,MATCH(ROWS($V$2:V418),$V$2:$V$1001,0),1)&gt;=100000,INDEX($AC$1005:$AS$1005,1,MATCH(COLUMNS($AC$1006:AH1006),$AC$1006:$AS$1006,0))&gt;=100000), " ",IF(INDEX($AC$2:$AS$1001,MATCH(ROWS($V$2:V418),$V$2:$V$1001,0),MATCH(COLUMNS($AC$1006:AH1006),$AC$1006:$AS$1006,0)), HYPERLINK("#",""), HYPERLINK(CONCATENATE("#metadata!", ADDRESS(INDEX($X$2:$X$1001,MATCH(ROWS($V$2:V418),$V$2:$V$1001,0),0), INDEX($AC$1004:$AS$1004,1,MATCH(COLUMNS($AC$1006:AH1006),$AC$1006:$AS$1006,0)))),"Fix")))</f>
        <v xml:space="preserve"> </v>
      </c>
      <c r="H418" s="4" t="str">
        <f ca="1">IF(OR(INDEX($W$2:$W$1001,MATCH(ROWS($V$2:V418),$V$2:$V$1001,0),1)&gt;=100000,INDEX($AC$1005:$AS$1005,1,MATCH(COLUMNS($AC$1006:AI1006),$AC$1006:$AS$1006,0))&gt;=100000), " ",IF(INDEX($AC$2:$AS$1001,MATCH(ROWS($V$2:V418),$V$2:$V$1001,0),MATCH(COLUMNS($AC$1006:AI1006),$AC$1006:$AS$1006,0)), HYPERLINK("#",""), HYPERLINK(CONCATENATE("#metadata!", ADDRESS(INDEX($X$2:$X$1001,MATCH(ROWS($V$2:V418),$V$2:$V$1001,0),0), INDEX($AC$1004:$AS$1004,1,MATCH(COLUMNS($AC$1006:AI1006),$AC$1006:$AS$1006,0)))),"Fix")))</f>
        <v xml:space="preserve"> </v>
      </c>
      <c r="I418" s="4" t="str">
        <f ca="1">IF(OR(INDEX($W$2:$W$1001,MATCH(ROWS($V$2:V418),$V$2:$V$1001,0),1)&gt;=100000,INDEX($AC$1005:$AS$1005,1,MATCH(COLUMNS($AC$1006:AJ1006),$AC$1006:$AS$1006,0))&gt;=100000), " ",IF(INDEX($AC$2:$AS$1001,MATCH(ROWS($V$2:V418),$V$2:$V$1001,0),MATCH(COLUMNS($AC$1006:AJ1006),$AC$1006:$AS$1006,0)), HYPERLINK("#",""), HYPERLINK(CONCATENATE("#metadata!", ADDRESS(INDEX($X$2:$X$1001,MATCH(ROWS($V$2:V418),$V$2:$V$1001,0),0), INDEX($AC$1004:$AS$1004,1,MATCH(COLUMNS($AC$1006:AJ1006),$AC$1006:$AS$1006,0)))),"Fix")))</f>
        <v xml:space="preserve"> </v>
      </c>
      <c r="J418" s="4" t="str">
        <f ca="1">IF(OR(INDEX($W$2:$W$1001,MATCH(ROWS($V$2:V418),$V$2:$V$1001,0),1)&gt;=100000,INDEX($AC$1005:$AS$1005,1,MATCH(COLUMNS($AC$1006:AK1006),$AC$1006:$AS$1006,0))&gt;=100000), " ",IF(INDEX($AC$2:$AS$1001,MATCH(ROWS($V$2:V418),$V$2:$V$1001,0),MATCH(COLUMNS($AC$1006:AK1006),$AC$1006:$AS$1006,0)), HYPERLINK("#",""), HYPERLINK(CONCATENATE("#metadata!", ADDRESS(INDEX($X$2:$X$1001,MATCH(ROWS($V$2:V418),$V$2:$V$1001,0),0), INDEX($AC$1004:$AS$1004,1,MATCH(COLUMNS($AC$1006:AK1006),$AC$1006:$AS$1006,0)))),"Fix")))</f>
        <v xml:space="preserve"> </v>
      </c>
      <c r="K418" s="4" t="str">
        <f ca="1">IF(OR(INDEX($W$2:$W$1001,MATCH(ROWS($V$2:V418),$V$2:$V$1001,0),1)&gt;=100000,INDEX($AC$1005:$AS$1005,1,MATCH(COLUMNS($AC$1006:AL1006),$AC$1006:$AS$1006,0))&gt;=100000), " ",IF(INDEX($AC$2:$AS$1001,MATCH(ROWS($V$2:V418),$V$2:$V$1001,0),MATCH(COLUMNS($AC$1006:AL1006),$AC$1006:$AS$1006,0)), HYPERLINK("#",""), HYPERLINK(CONCATENATE("#metadata!", ADDRESS(INDEX($X$2:$X$1001,MATCH(ROWS($V$2:V418),$V$2:$V$1001,0),0), INDEX($AC$1004:$AS$1004,1,MATCH(COLUMNS($AC$1006:AL1006),$AC$1006:$AS$1006,0)))),"Fix")))</f>
        <v xml:space="preserve"> </v>
      </c>
      <c r="L418" s="4" t="str">
        <f ca="1">IF(OR(INDEX($W$2:$W$1001,MATCH(ROWS($V$2:V418),$V$2:$V$1001,0),1)&gt;=100000,INDEX($AC$1005:$AS$1005,1,MATCH(COLUMNS($AC$1006:AM1006),$AC$1006:$AS$1006,0))&gt;=100000), " ",IF(INDEX($AC$2:$AS$1001,MATCH(ROWS($V$2:V418),$V$2:$V$1001,0),MATCH(COLUMNS($AC$1006:AM1006),$AC$1006:$AS$1006,0)), HYPERLINK("#",""), HYPERLINK(CONCATENATE("#metadata!", ADDRESS(INDEX($X$2:$X$1001,MATCH(ROWS($V$2:V418),$V$2:$V$1001,0),0), INDEX($AC$1004:$AS$1004,1,MATCH(COLUMNS($AC$1006:AM1006),$AC$1006:$AS$1006,0)))),"Fix")))</f>
        <v xml:space="preserve"> </v>
      </c>
      <c r="M418" s="4" t="str">
        <f ca="1">IF(OR(INDEX($W$2:$W$1001,MATCH(ROWS($V$2:V418),$V$2:$V$1001,0),1)&gt;=100000,INDEX($AC$1005:$AS$1005,1,MATCH(COLUMNS($AC$1006:AN1006),$AC$1006:$AS$1006,0))&gt;=100000), " ",IF(INDEX($AC$2:$AS$1001,MATCH(ROWS($V$2:V418),$V$2:$V$1001,0),MATCH(COLUMNS($AC$1006:AN1006),$AC$1006:$AS$1006,0)), HYPERLINK("#",""), HYPERLINK(CONCATENATE("#metadata!", ADDRESS(INDEX($X$2:$X$1001,MATCH(ROWS($V$2:V418),$V$2:$V$1001,0),0), INDEX($AC$1004:$AS$1004,1,MATCH(COLUMNS($AC$1006:AN1006),$AC$1006:$AS$1006,0)))),"Fix")))</f>
        <v xml:space="preserve"> </v>
      </c>
      <c r="N418" s="4" t="str">
        <f ca="1">IF(OR(INDEX($W$2:$W$1001,MATCH(ROWS($V$2:V418),$V$2:$V$1001,0),1)&gt;=100000,INDEX($AC$1005:$AS$1005,1,MATCH(COLUMNS($AC$1006:AO1006),$AC$1006:$AS$1006,0))&gt;=100000), " ",IF(INDEX($AC$2:$AS$1001,MATCH(ROWS($V$2:V418),$V$2:$V$1001,0),MATCH(COLUMNS($AC$1006:AO1006),$AC$1006:$AS$1006,0)), HYPERLINK("#",""), HYPERLINK(CONCATENATE("#metadata!", ADDRESS(INDEX($X$2:$X$1001,MATCH(ROWS($V$2:V418),$V$2:$V$1001,0),0), INDEX($AC$1004:$AS$1004,1,MATCH(COLUMNS($AC$1006:AO1006),$AC$1006:$AS$1006,0)))),"Fix")))</f>
        <v xml:space="preserve"> </v>
      </c>
      <c r="O418" s="4" t="str">
        <f ca="1">IF(OR(INDEX($W$2:$W$1001,MATCH(ROWS($V$2:V418),$V$2:$V$1001,0),1)&gt;=100000,INDEX($AC$1005:$AS$1005,1,MATCH(COLUMNS($AC$1006:AP1006),$AC$1006:$AS$1006,0))&gt;=100000), " ",IF(INDEX($AC$2:$AS$1001,MATCH(ROWS($V$2:V418),$V$2:$V$1001,0),MATCH(COLUMNS($AC$1006:AP1006),$AC$1006:$AS$1006,0)), HYPERLINK("#",""), HYPERLINK(CONCATENATE("#metadata!", ADDRESS(INDEX($X$2:$X$1001,MATCH(ROWS($V$2:V418),$V$2:$V$1001,0),0), INDEX($AC$1004:$AS$1004,1,MATCH(COLUMNS($AC$1006:AP1006),$AC$1006:$AS$1006,0)))),"Fix")))</f>
        <v xml:space="preserve"> </v>
      </c>
      <c r="P418" s="4" t="str">
        <f ca="1">IF(OR(INDEX($W$2:$W$1001,MATCH(ROWS($V$2:V418),$V$2:$V$1001,0),1)&gt;=100000,INDEX($AC$1005:$AS$1005,1,MATCH(COLUMNS($AC$1006:AQ1006),$AC$1006:$AS$1006,0))&gt;=100000), " ",IF(INDEX($AC$2:$AS$1001,MATCH(ROWS($V$2:V418),$V$2:$V$1001,0),MATCH(COLUMNS($AC$1006:AQ1006),$AC$1006:$AS$1006,0)), HYPERLINK("#",""), HYPERLINK(CONCATENATE("#metadata!", ADDRESS(INDEX($X$2:$X$1001,MATCH(ROWS($V$2:V418),$V$2:$V$1001,0),0), INDEX($AC$1004:$AS$1004,1,MATCH(COLUMNS($AC$1006:AQ1006),$AC$1006:$AS$1006,0)))),"Fix")))</f>
        <v xml:space="preserve"> </v>
      </c>
      <c r="Q418" s="4" t="str">
        <f ca="1">IF(OR(INDEX($W$2:$W$1001,MATCH(ROWS($V$2:V418),$V$2:$V$1001,0),1)&gt;=100000,INDEX($AC$1005:$AS$1005,1,MATCH(COLUMNS($AC$1006:AR1006),$AC$1006:$AS$1006,0))&gt;=100000), " ",IF(INDEX($AC$2:$AS$1001,MATCH(ROWS($V$2:V418),$V$2:$V$1001,0),MATCH(COLUMNS($AC$1006:AR1006),$AC$1006:$AS$1006,0)), HYPERLINK("#",""), HYPERLINK(CONCATENATE("#metadata!", ADDRESS(INDEX($X$2:$X$1001,MATCH(ROWS($V$2:V418),$V$2:$V$1001,0),0), INDEX($AC$1004:$AS$1004,1,MATCH(COLUMNS($AC$1006:AR1006),$AC$1006:$AS$1006,0)))),"Fix")))</f>
        <v xml:space="preserve"> </v>
      </c>
      <c r="R418" s="4" t="str">
        <f ca="1">IF(OR(INDEX($W$2:$W$1001,MATCH(ROWS($V$2:V418),$V$2:$V$1001,0),1)&gt;=100000,INDEX($AC$1005:$AS$1005,1,MATCH(COLUMNS($AC$1006:AS1006),$AC$1006:$AS$1006,0))&gt;=100000), " ",IF(INDEX($AC$2:$AS$1001,MATCH(ROWS($V$2:V418),$V$2:$V$1001,0),MATCH(COLUMNS($AC$1006:AS1006),$AC$1006:$AS$1006,0)), HYPERLINK("#",""), HYPERLINK(CONCATENATE("#metadata!", ADDRESS(INDEX($X$2:$X$1001,MATCH(ROWS($V$2:V418),$V$2:$V$1001,0),0), INDEX($AC$1004:$AS$1004,1,MATCH(COLUMNS($AC$1006:AS1006),$AC$1006:$AS$1006,0)))),"Fix")))</f>
        <v xml:space="preserve"> </v>
      </c>
      <c r="V418">
        <v>417</v>
      </c>
      <c r="W418">
        <v>100418</v>
      </c>
      <c r="X418">
        <v>418</v>
      </c>
      <c r="Y418" t="b">
        <f t="shared" si="6"/>
        <v>1</v>
      </c>
      <c r="Z418" t="b">
        <f>COUNTBLANK(metadata!B418:R418)=COLUMNS(metadata!B418:R418)</f>
        <v>1</v>
      </c>
      <c r="AA418" t="str">
        <v/>
      </c>
      <c r="AC418" t="b">
        <f ca="1"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AD418" t="b">
        <f>IF(metadata!C418="",FALSE,ISNUMBER(VALUE(metadata!C418)))</f>
        <v>0</v>
      </c>
      <c r="AE418" t="b">
        <f>AND(IF(metadata!D418="",FALSE,TRUE),EXACT(metadata!D418,"years"))</f>
        <v>0</v>
      </c>
      <c r="AF418" t="b">
        <f>OR(AND(IF(metadata!E418="",FALSE,TRUE),OR(EXACT(metadata!E418,"not applicable"),EXACT(metadata!E418,"missing: not collected"),EXACT(metadata!E418,"missing: not provided"),EXACT(metadata!E418,"missing: restricted access"))),AND(IF(metadata!E418="",FALSE,ISNUMBER(VALUE(metadata!E418))),metadata!E418&gt;0))</f>
        <v>0</v>
      </c>
      <c r="AG418" t="b">
        <f>AND(IF(metadata!F418="",FALSE,TRUE),EXACT(metadata!F418,"Not applicable"))</f>
        <v>0</v>
      </c>
      <c r="AH418" t="b">
        <f>AND(IF(metadata!G418="",FALSE,TRUE),EXACT(metadata!G418,"urban biome"))</f>
        <v>0</v>
      </c>
      <c r="AI418" t="b">
        <f>AND(IF(metadata!H418="",FALSE,TRUE),EXACT(metadata!H418,"human-associated habitat"))</f>
        <v>0</v>
      </c>
      <c r="AJ418" t="b">
        <f>AND(IF(metadata!I418="",FALSE,TRUE),OR(EXACT(metadata!I418,"human-associated"),EXACT(metadata!I418,"human-skin"),EXACT(metadata!I418,"human-oral"),EXACT(metadata!I418,"human-gut"),EXACT(metadata!I418,"human-vaginal")))</f>
        <v>0</v>
      </c>
      <c r="AK418" t="b">
        <f>IF(metadata!J418="",FALSE,ISNUMBER(VALUE(metadata!J418)))</f>
        <v>0</v>
      </c>
      <c r="AL418" t="b">
        <f>AND(IF(metadata!K418="",FALSE,TRUE),EXACT(metadata!K418,"cm"))</f>
        <v>0</v>
      </c>
      <c r="AM418" t="b">
        <f>AND(IF(metadata!L418="",FALSE,TRUE),EXACT(metadata!L418,"human"))</f>
        <v>0</v>
      </c>
      <c r="AN418" t="b">
        <f>AND(IF(metadata!M418="",FALSE,TRUE),EXACT(metadata!M418,"Homo sapiens"))</f>
        <v>0</v>
      </c>
      <c r="AO418" t="b">
        <f>AND(IF(metadata!N418="",FALSE,TRUE),EXACT(metadata!N418,"9606"))</f>
        <v>0</v>
      </c>
      <c r="AP418" t="b">
        <f>IF(metadata!O418="",FALSE,TRUE)</f>
        <v>0</v>
      </c>
      <c r="AQ418" t="b">
        <f>IF(metadata!P418="",FALSE,TRUE)</f>
        <v>0</v>
      </c>
      <c r="AR418" t="b">
        <f>IF(metadata!Q418="",FALSE,ISNUMBER(VALUE(metadata!Q418)))</f>
        <v>0</v>
      </c>
      <c r="AS418" t="b">
        <f>AND(IF(metadata!R418="",FALSE,TRUE),EXACT(metadata!R418,"kg"))</f>
        <v>0</v>
      </c>
    </row>
    <row r="419" spans="1:45" x14ac:dyDescent="0.2">
      <c r="A419" s="5" t="str">
        <f ca="1">IF(B419=" "," ",HYPERLINK(CONCATENATE("#metadata!",ADDRESS(INDEX($X$2:$X$1001,MATCH(ROWS($V$2:V419),$V$2:$V$1001,0),0),1)),INDEX($AA$2:$AA$1001,MATCH(ROWS($V$2:V419),$V$2:$V$1001,0),0)))</f>
        <v xml:space="preserve"> </v>
      </c>
      <c r="B419" s="4" t="str">
        <f ca="1">IF(OR(INDEX($W$2:$W$1001,MATCH(ROWS($V$2:V419),$V$2:$V$1001,0),1)&gt;=100000,INDEX($AC$1005:$AS$1005,1,MATCH(COLUMNS($AC$1006:AC1006),$AC$1006:$AS$1006,0))&gt;=100000), " ",IF(INDEX($AC$2:$AS$1001,MATCH(ROWS($V$2:V419),$V$2:$V$1001,0),MATCH(COLUMNS($AC$1006:AC1006),$AC$1006:$AS$1006,0)), HYPERLINK("#",""), HYPERLINK(CONCATENATE("#metadata!", ADDRESS(INDEX($X$2:$X$1001,MATCH(ROWS($V$2:V419),$V$2:$V$1001,0),0), INDEX($AC$1004:$AS$1004,1,MATCH(COLUMNS($AC$1006:AC1006),$AC$1006:$AS$1006,0)))),"Fix")))</f>
        <v xml:space="preserve"> </v>
      </c>
      <c r="C419" s="4" t="str">
        <f ca="1">IF(OR(INDEX($W$2:$W$1001,MATCH(ROWS($V$2:V419),$V$2:$V$1001,0),1)&gt;=100000,INDEX($AC$1005:$AS$1005,1,MATCH(COLUMNS($AC$1006:AD1006),$AC$1006:$AS$1006,0))&gt;=100000), " ",IF(INDEX($AC$2:$AS$1001,MATCH(ROWS($V$2:V419),$V$2:$V$1001,0),MATCH(COLUMNS($AC$1006:AD1006),$AC$1006:$AS$1006,0)), HYPERLINK("#",""), HYPERLINK(CONCATENATE("#metadata!", ADDRESS(INDEX($X$2:$X$1001,MATCH(ROWS($V$2:V419),$V$2:$V$1001,0),0), INDEX($AC$1004:$AS$1004,1,MATCH(COLUMNS($AC$1006:AD1006),$AC$1006:$AS$1006,0)))),"Fix")))</f>
        <v xml:space="preserve"> </v>
      </c>
      <c r="D419" s="4" t="str">
        <f ca="1">IF(OR(INDEX($W$2:$W$1001,MATCH(ROWS($V$2:V419),$V$2:$V$1001,0),1)&gt;=100000,INDEX($AC$1005:$AS$1005,1,MATCH(COLUMNS($AC$1006:AE1006),$AC$1006:$AS$1006,0))&gt;=100000), " ",IF(INDEX($AC$2:$AS$1001,MATCH(ROWS($V$2:V419),$V$2:$V$1001,0),MATCH(COLUMNS($AC$1006:AE1006),$AC$1006:$AS$1006,0)), HYPERLINK("#",""), HYPERLINK(CONCATENATE("#metadata!", ADDRESS(INDEX($X$2:$X$1001,MATCH(ROWS($V$2:V419),$V$2:$V$1001,0),0), INDEX($AC$1004:$AS$1004,1,MATCH(COLUMNS($AC$1006:AE1006),$AC$1006:$AS$1006,0)))),"Fix")))</f>
        <v xml:space="preserve"> </v>
      </c>
      <c r="E419" s="4" t="str">
        <f ca="1">IF(OR(INDEX($W$2:$W$1001,MATCH(ROWS($V$2:V419),$V$2:$V$1001,0),1)&gt;=100000,INDEX($AC$1005:$AS$1005,1,MATCH(COLUMNS($AC$1006:AF1006),$AC$1006:$AS$1006,0))&gt;=100000), " ",IF(INDEX($AC$2:$AS$1001,MATCH(ROWS($V$2:V419),$V$2:$V$1001,0),MATCH(COLUMNS($AC$1006:AF1006),$AC$1006:$AS$1006,0)), HYPERLINK("#",""), HYPERLINK(CONCATENATE("#metadata!", ADDRESS(INDEX($X$2:$X$1001,MATCH(ROWS($V$2:V419),$V$2:$V$1001,0),0), INDEX($AC$1004:$AS$1004,1,MATCH(COLUMNS($AC$1006:AF1006),$AC$1006:$AS$1006,0)))),"Fix")))</f>
        <v xml:space="preserve"> </v>
      </c>
      <c r="F419" s="4" t="str">
        <f ca="1">IF(OR(INDEX($W$2:$W$1001,MATCH(ROWS($V$2:V419),$V$2:$V$1001,0),1)&gt;=100000,INDEX($AC$1005:$AS$1005,1,MATCH(COLUMNS($AC$1006:AG1006),$AC$1006:$AS$1006,0))&gt;=100000), " ",IF(INDEX($AC$2:$AS$1001,MATCH(ROWS($V$2:V419),$V$2:$V$1001,0),MATCH(COLUMNS($AC$1006:AG1006),$AC$1006:$AS$1006,0)), HYPERLINK("#",""), HYPERLINK(CONCATENATE("#metadata!", ADDRESS(INDEX($X$2:$X$1001,MATCH(ROWS($V$2:V419),$V$2:$V$1001,0),0), INDEX($AC$1004:$AS$1004,1,MATCH(COLUMNS($AC$1006:AG1006),$AC$1006:$AS$1006,0)))),"Fix")))</f>
        <v xml:space="preserve"> </v>
      </c>
      <c r="G419" s="4" t="str">
        <f ca="1">IF(OR(INDEX($W$2:$W$1001,MATCH(ROWS($V$2:V419),$V$2:$V$1001,0),1)&gt;=100000,INDEX($AC$1005:$AS$1005,1,MATCH(COLUMNS($AC$1006:AH1006),$AC$1006:$AS$1006,0))&gt;=100000), " ",IF(INDEX($AC$2:$AS$1001,MATCH(ROWS($V$2:V419),$V$2:$V$1001,0),MATCH(COLUMNS($AC$1006:AH1006),$AC$1006:$AS$1006,0)), HYPERLINK("#",""), HYPERLINK(CONCATENATE("#metadata!", ADDRESS(INDEX($X$2:$X$1001,MATCH(ROWS($V$2:V419),$V$2:$V$1001,0),0), INDEX($AC$1004:$AS$1004,1,MATCH(COLUMNS($AC$1006:AH1006),$AC$1006:$AS$1006,0)))),"Fix")))</f>
        <v xml:space="preserve"> </v>
      </c>
      <c r="H419" s="4" t="str">
        <f ca="1">IF(OR(INDEX($W$2:$W$1001,MATCH(ROWS($V$2:V419),$V$2:$V$1001,0),1)&gt;=100000,INDEX($AC$1005:$AS$1005,1,MATCH(COLUMNS($AC$1006:AI1006),$AC$1006:$AS$1006,0))&gt;=100000), " ",IF(INDEX($AC$2:$AS$1001,MATCH(ROWS($V$2:V419),$V$2:$V$1001,0),MATCH(COLUMNS($AC$1006:AI1006),$AC$1006:$AS$1006,0)), HYPERLINK("#",""), HYPERLINK(CONCATENATE("#metadata!", ADDRESS(INDEX($X$2:$X$1001,MATCH(ROWS($V$2:V419),$V$2:$V$1001,0),0), INDEX($AC$1004:$AS$1004,1,MATCH(COLUMNS($AC$1006:AI1006),$AC$1006:$AS$1006,0)))),"Fix")))</f>
        <v xml:space="preserve"> </v>
      </c>
      <c r="I419" s="4" t="str">
        <f ca="1">IF(OR(INDEX($W$2:$W$1001,MATCH(ROWS($V$2:V419),$V$2:$V$1001,0),1)&gt;=100000,INDEX($AC$1005:$AS$1005,1,MATCH(COLUMNS($AC$1006:AJ1006),$AC$1006:$AS$1006,0))&gt;=100000), " ",IF(INDEX($AC$2:$AS$1001,MATCH(ROWS($V$2:V419),$V$2:$V$1001,0),MATCH(COLUMNS($AC$1006:AJ1006),$AC$1006:$AS$1006,0)), HYPERLINK("#",""), HYPERLINK(CONCATENATE("#metadata!", ADDRESS(INDEX($X$2:$X$1001,MATCH(ROWS($V$2:V419),$V$2:$V$1001,0),0), INDEX($AC$1004:$AS$1004,1,MATCH(COLUMNS($AC$1006:AJ1006),$AC$1006:$AS$1006,0)))),"Fix")))</f>
        <v xml:space="preserve"> </v>
      </c>
      <c r="J419" s="4" t="str">
        <f ca="1">IF(OR(INDEX($W$2:$W$1001,MATCH(ROWS($V$2:V419),$V$2:$V$1001,0),1)&gt;=100000,INDEX($AC$1005:$AS$1005,1,MATCH(COLUMNS($AC$1006:AK1006),$AC$1006:$AS$1006,0))&gt;=100000), " ",IF(INDEX($AC$2:$AS$1001,MATCH(ROWS($V$2:V419),$V$2:$V$1001,0),MATCH(COLUMNS($AC$1006:AK1006),$AC$1006:$AS$1006,0)), HYPERLINK("#",""), HYPERLINK(CONCATENATE("#metadata!", ADDRESS(INDEX($X$2:$X$1001,MATCH(ROWS($V$2:V419),$V$2:$V$1001,0),0), INDEX($AC$1004:$AS$1004,1,MATCH(COLUMNS($AC$1006:AK1006),$AC$1006:$AS$1006,0)))),"Fix")))</f>
        <v xml:space="preserve"> </v>
      </c>
      <c r="K419" s="4" t="str">
        <f ca="1">IF(OR(INDEX($W$2:$W$1001,MATCH(ROWS($V$2:V419),$V$2:$V$1001,0),1)&gt;=100000,INDEX($AC$1005:$AS$1005,1,MATCH(COLUMNS($AC$1006:AL1006),$AC$1006:$AS$1006,0))&gt;=100000), " ",IF(INDEX($AC$2:$AS$1001,MATCH(ROWS($V$2:V419),$V$2:$V$1001,0),MATCH(COLUMNS($AC$1006:AL1006),$AC$1006:$AS$1006,0)), HYPERLINK("#",""), HYPERLINK(CONCATENATE("#metadata!", ADDRESS(INDEX($X$2:$X$1001,MATCH(ROWS($V$2:V419),$V$2:$V$1001,0),0), INDEX($AC$1004:$AS$1004,1,MATCH(COLUMNS($AC$1006:AL1006),$AC$1006:$AS$1006,0)))),"Fix")))</f>
        <v xml:space="preserve"> </v>
      </c>
      <c r="L419" s="4" t="str">
        <f ca="1">IF(OR(INDEX($W$2:$W$1001,MATCH(ROWS($V$2:V419),$V$2:$V$1001,0),1)&gt;=100000,INDEX($AC$1005:$AS$1005,1,MATCH(COLUMNS($AC$1006:AM1006),$AC$1006:$AS$1006,0))&gt;=100000), " ",IF(INDEX($AC$2:$AS$1001,MATCH(ROWS($V$2:V419),$V$2:$V$1001,0),MATCH(COLUMNS($AC$1006:AM1006),$AC$1006:$AS$1006,0)), HYPERLINK("#",""), HYPERLINK(CONCATENATE("#metadata!", ADDRESS(INDEX($X$2:$X$1001,MATCH(ROWS($V$2:V419),$V$2:$V$1001,0),0), INDEX($AC$1004:$AS$1004,1,MATCH(COLUMNS($AC$1006:AM1006),$AC$1006:$AS$1006,0)))),"Fix")))</f>
        <v xml:space="preserve"> </v>
      </c>
      <c r="M419" s="4" t="str">
        <f ca="1">IF(OR(INDEX($W$2:$W$1001,MATCH(ROWS($V$2:V419),$V$2:$V$1001,0),1)&gt;=100000,INDEX($AC$1005:$AS$1005,1,MATCH(COLUMNS($AC$1006:AN1006),$AC$1006:$AS$1006,0))&gt;=100000), " ",IF(INDEX($AC$2:$AS$1001,MATCH(ROWS($V$2:V419),$V$2:$V$1001,0),MATCH(COLUMNS($AC$1006:AN1006),$AC$1006:$AS$1006,0)), HYPERLINK("#",""), HYPERLINK(CONCATENATE("#metadata!", ADDRESS(INDEX($X$2:$X$1001,MATCH(ROWS($V$2:V419),$V$2:$V$1001,0),0), INDEX($AC$1004:$AS$1004,1,MATCH(COLUMNS($AC$1006:AN1006),$AC$1006:$AS$1006,0)))),"Fix")))</f>
        <v xml:space="preserve"> </v>
      </c>
      <c r="N419" s="4" t="str">
        <f ca="1">IF(OR(INDEX($W$2:$W$1001,MATCH(ROWS($V$2:V419),$V$2:$V$1001,0),1)&gt;=100000,INDEX($AC$1005:$AS$1005,1,MATCH(COLUMNS($AC$1006:AO1006),$AC$1006:$AS$1006,0))&gt;=100000), " ",IF(INDEX($AC$2:$AS$1001,MATCH(ROWS($V$2:V419),$V$2:$V$1001,0),MATCH(COLUMNS($AC$1006:AO1006),$AC$1006:$AS$1006,0)), HYPERLINK("#",""), HYPERLINK(CONCATENATE("#metadata!", ADDRESS(INDEX($X$2:$X$1001,MATCH(ROWS($V$2:V419),$V$2:$V$1001,0),0), INDEX($AC$1004:$AS$1004,1,MATCH(COLUMNS($AC$1006:AO1006),$AC$1006:$AS$1006,0)))),"Fix")))</f>
        <v xml:space="preserve"> </v>
      </c>
      <c r="O419" s="4" t="str">
        <f ca="1">IF(OR(INDEX($W$2:$W$1001,MATCH(ROWS($V$2:V419),$V$2:$V$1001,0),1)&gt;=100000,INDEX($AC$1005:$AS$1005,1,MATCH(COLUMNS($AC$1006:AP1006),$AC$1006:$AS$1006,0))&gt;=100000), " ",IF(INDEX($AC$2:$AS$1001,MATCH(ROWS($V$2:V419),$V$2:$V$1001,0),MATCH(COLUMNS($AC$1006:AP1006),$AC$1006:$AS$1006,0)), HYPERLINK("#",""), HYPERLINK(CONCATENATE("#metadata!", ADDRESS(INDEX($X$2:$X$1001,MATCH(ROWS($V$2:V419),$V$2:$V$1001,0),0), INDEX($AC$1004:$AS$1004,1,MATCH(COLUMNS($AC$1006:AP1006),$AC$1006:$AS$1006,0)))),"Fix")))</f>
        <v xml:space="preserve"> </v>
      </c>
      <c r="P419" s="4" t="str">
        <f ca="1">IF(OR(INDEX($W$2:$W$1001,MATCH(ROWS($V$2:V419),$V$2:$V$1001,0),1)&gt;=100000,INDEX($AC$1005:$AS$1005,1,MATCH(COLUMNS($AC$1006:AQ1006),$AC$1006:$AS$1006,0))&gt;=100000), " ",IF(INDEX($AC$2:$AS$1001,MATCH(ROWS($V$2:V419),$V$2:$V$1001,0),MATCH(COLUMNS($AC$1006:AQ1006),$AC$1006:$AS$1006,0)), HYPERLINK("#",""), HYPERLINK(CONCATENATE("#metadata!", ADDRESS(INDEX($X$2:$X$1001,MATCH(ROWS($V$2:V419),$V$2:$V$1001,0),0), INDEX($AC$1004:$AS$1004,1,MATCH(COLUMNS($AC$1006:AQ1006),$AC$1006:$AS$1006,0)))),"Fix")))</f>
        <v xml:space="preserve"> </v>
      </c>
      <c r="Q419" s="4" t="str">
        <f ca="1">IF(OR(INDEX($W$2:$W$1001,MATCH(ROWS($V$2:V419),$V$2:$V$1001,0),1)&gt;=100000,INDEX($AC$1005:$AS$1005,1,MATCH(COLUMNS($AC$1006:AR1006),$AC$1006:$AS$1006,0))&gt;=100000), " ",IF(INDEX($AC$2:$AS$1001,MATCH(ROWS($V$2:V419),$V$2:$V$1001,0),MATCH(COLUMNS($AC$1006:AR1006),$AC$1006:$AS$1006,0)), HYPERLINK("#",""), HYPERLINK(CONCATENATE("#metadata!", ADDRESS(INDEX($X$2:$X$1001,MATCH(ROWS($V$2:V419),$V$2:$V$1001,0),0), INDEX($AC$1004:$AS$1004,1,MATCH(COLUMNS($AC$1006:AR1006),$AC$1006:$AS$1006,0)))),"Fix")))</f>
        <v xml:space="preserve"> </v>
      </c>
      <c r="R419" s="4" t="str">
        <f ca="1">IF(OR(INDEX($W$2:$W$1001,MATCH(ROWS($V$2:V419),$V$2:$V$1001,0),1)&gt;=100000,INDEX($AC$1005:$AS$1005,1,MATCH(COLUMNS($AC$1006:AS1006),$AC$1006:$AS$1006,0))&gt;=100000), " ",IF(INDEX($AC$2:$AS$1001,MATCH(ROWS($V$2:V419),$V$2:$V$1001,0),MATCH(COLUMNS($AC$1006:AS1006),$AC$1006:$AS$1006,0)), HYPERLINK("#",""), HYPERLINK(CONCATENATE("#metadata!", ADDRESS(INDEX($X$2:$X$1001,MATCH(ROWS($V$2:V419),$V$2:$V$1001,0),0), INDEX($AC$1004:$AS$1004,1,MATCH(COLUMNS($AC$1006:AS1006),$AC$1006:$AS$1006,0)))),"Fix")))</f>
        <v xml:space="preserve"> </v>
      </c>
      <c r="V419">
        <v>418</v>
      </c>
      <c r="W419">
        <v>100419</v>
      </c>
      <c r="X419">
        <v>419</v>
      </c>
      <c r="Y419" t="b">
        <f t="shared" si="6"/>
        <v>1</v>
      </c>
      <c r="Z419" t="b">
        <f>COUNTBLANK(metadata!B419:R419)=COLUMNS(metadata!B419:R419)</f>
        <v>1</v>
      </c>
      <c r="AA419" t="str">
        <v/>
      </c>
      <c r="AC419" t="b">
        <f ca="1"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AD419" t="b">
        <f>IF(metadata!C419="",FALSE,ISNUMBER(VALUE(metadata!C419)))</f>
        <v>0</v>
      </c>
      <c r="AE419" t="b">
        <f>AND(IF(metadata!D419="",FALSE,TRUE),EXACT(metadata!D419,"years"))</f>
        <v>0</v>
      </c>
      <c r="AF419" t="b">
        <f>OR(AND(IF(metadata!E419="",FALSE,TRUE),OR(EXACT(metadata!E419,"not applicable"),EXACT(metadata!E419,"missing: not collected"),EXACT(metadata!E419,"missing: not provided"),EXACT(metadata!E419,"missing: restricted access"))),AND(IF(metadata!E419="",FALSE,ISNUMBER(VALUE(metadata!E419))),metadata!E419&gt;0))</f>
        <v>0</v>
      </c>
      <c r="AG419" t="b">
        <f>AND(IF(metadata!F419="",FALSE,TRUE),EXACT(metadata!F419,"Not applicable"))</f>
        <v>0</v>
      </c>
      <c r="AH419" t="b">
        <f>AND(IF(metadata!G419="",FALSE,TRUE),EXACT(metadata!G419,"urban biome"))</f>
        <v>0</v>
      </c>
      <c r="AI419" t="b">
        <f>AND(IF(metadata!H419="",FALSE,TRUE),EXACT(metadata!H419,"human-associated habitat"))</f>
        <v>0</v>
      </c>
      <c r="AJ419" t="b">
        <f>AND(IF(metadata!I419="",FALSE,TRUE),OR(EXACT(metadata!I419,"human-associated"),EXACT(metadata!I419,"human-skin"),EXACT(metadata!I419,"human-oral"),EXACT(metadata!I419,"human-gut"),EXACT(metadata!I419,"human-vaginal")))</f>
        <v>0</v>
      </c>
      <c r="AK419" t="b">
        <f>IF(metadata!J419="",FALSE,ISNUMBER(VALUE(metadata!J419)))</f>
        <v>0</v>
      </c>
      <c r="AL419" t="b">
        <f>AND(IF(metadata!K419="",FALSE,TRUE),EXACT(metadata!K419,"cm"))</f>
        <v>0</v>
      </c>
      <c r="AM419" t="b">
        <f>AND(IF(metadata!L419="",FALSE,TRUE),EXACT(metadata!L419,"human"))</f>
        <v>0</v>
      </c>
      <c r="AN419" t="b">
        <f>AND(IF(metadata!M419="",FALSE,TRUE),EXACT(metadata!M419,"Homo sapiens"))</f>
        <v>0</v>
      </c>
      <c r="AO419" t="b">
        <f>AND(IF(metadata!N419="",FALSE,TRUE),EXACT(metadata!N419,"9606"))</f>
        <v>0</v>
      </c>
      <c r="AP419" t="b">
        <f>IF(metadata!O419="",FALSE,TRUE)</f>
        <v>0</v>
      </c>
      <c r="AQ419" t="b">
        <f>IF(metadata!P419="",FALSE,TRUE)</f>
        <v>0</v>
      </c>
      <c r="AR419" t="b">
        <f>IF(metadata!Q419="",FALSE,ISNUMBER(VALUE(metadata!Q419)))</f>
        <v>0</v>
      </c>
      <c r="AS419" t="b">
        <f>AND(IF(metadata!R419="",FALSE,TRUE),EXACT(metadata!R419,"kg"))</f>
        <v>0</v>
      </c>
    </row>
    <row r="420" spans="1:45" x14ac:dyDescent="0.2">
      <c r="A420" s="5" t="str">
        <f ca="1">IF(B420=" "," ",HYPERLINK(CONCATENATE("#metadata!",ADDRESS(INDEX($X$2:$X$1001,MATCH(ROWS($V$2:V420),$V$2:$V$1001,0),0),1)),INDEX($AA$2:$AA$1001,MATCH(ROWS($V$2:V420),$V$2:$V$1001,0),0)))</f>
        <v xml:space="preserve"> </v>
      </c>
      <c r="B420" s="4" t="str">
        <f ca="1">IF(OR(INDEX($W$2:$W$1001,MATCH(ROWS($V$2:V420),$V$2:$V$1001,0),1)&gt;=100000,INDEX($AC$1005:$AS$1005,1,MATCH(COLUMNS($AC$1006:AC1006),$AC$1006:$AS$1006,0))&gt;=100000), " ",IF(INDEX($AC$2:$AS$1001,MATCH(ROWS($V$2:V420),$V$2:$V$1001,0),MATCH(COLUMNS($AC$1006:AC1006),$AC$1006:$AS$1006,0)), HYPERLINK("#",""), HYPERLINK(CONCATENATE("#metadata!", ADDRESS(INDEX($X$2:$X$1001,MATCH(ROWS($V$2:V420),$V$2:$V$1001,0),0), INDEX($AC$1004:$AS$1004,1,MATCH(COLUMNS($AC$1006:AC1006),$AC$1006:$AS$1006,0)))),"Fix")))</f>
        <v xml:space="preserve"> </v>
      </c>
      <c r="C420" s="4" t="str">
        <f ca="1">IF(OR(INDEX($W$2:$W$1001,MATCH(ROWS($V$2:V420),$V$2:$V$1001,0),1)&gt;=100000,INDEX($AC$1005:$AS$1005,1,MATCH(COLUMNS($AC$1006:AD1006),$AC$1006:$AS$1006,0))&gt;=100000), " ",IF(INDEX($AC$2:$AS$1001,MATCH(ROWS($V$2:V420),$V$2:$V$1001,0),MATCH(COLUMNS($AC$1006:AD1006),$AC$1006:$AS$1006,0)), HYPERLINK("#",""), HYPERLINK(CONCATENATE("#metadata!", ADDRESS(INDEX($X$2:$X$1001,MATCH(ROWS($V$2:V420),$V$2:$V$1001,0),0), INDEX($AC$1004:$AS$1004,1,MATCH(COLUMNS($AC$1006:AD1006),$AC$1006:$AS$1006,0)))),"Fix")))</f>
        <v xml:space="preserve"> </v>
      </c>
      <c r="D420" s="4" t="str">
        <f ca="1">IF(OR(INDEX($W$2:$W$1001,MATCH(ROWS($V$2:V420),$V$2:$V$1001,0),1)&gt;=100000,INDEX($AC$1005:$AS$1005,1,MATCH(COLUMNS($AC$1006:AE1006),$AC$1006:$AS$1006,0))&gt;=100000), " ",IF(INDEX($AC$2:$AS$1001,MATCH(ROWS($V$2:V420),$V$2:$V$1001,0),MATCH(COLUMNS($AC$1006:AE1006),$AC$1006:$AS$1006,0)), HYPERLINK("#",""), HYPERLINK(CONCATENATE("#metadata!", ADDRESS(INDEX($X$2:$X$1001,MATCH(ROWS($V$2:V420),$V$2:$V$1001,0),0), INDEX($AC$1004:$AS$1004,1,MATCH(COLUMNS($AC$1006:AE1006),$AC$1006:$AS$1006,0)))),"Fix")))</f>
        <v xml:space="preserve"> </v>
      </c>
      <c r="E420" s="4" t="str">
        <f ca="1">IF(OR(INDEX($W$2:$W$1001,MATCH(ROWS($V$2:V420),$V$2:$V$1001,0),1)&gt;=100000,INDEX($AC$1005:$AS$1005,1,MATCH(COLUMNS($AC$1006:AF1006),$AC$1006:$AS$1006,0))&gt;=100000), " ",IF(INDEX($AC$2:$AS$1001,MATCH(ROWS($V$2:V420),$V$2:$V$1001,0),MATCH(COLUMNS($AC$1006:AF1006),$AC$1006:$AS$1006,0)), HYPERLINK("#",""), HYPERLINK(CONCATENATE("#metadata!", ADDRESS(INDEX($X$2:$X$1001,MATCH(ROWS($V$2:V420),$V$2:$V$1001,0),0), INDEX($AC$1004:$AS$1004,1,MATCH(COLUMNS($AC$1006:AF1006),$AC$1006:$AS$1006,0)))),"Fix")))</f>
        <v xml:space="preserve"> </v>
      </c>
      <c r="F420" s="4" t="str">
        <f ca="1">IF(OR(INDEX($W$2:$W$1001,MATCH(ROWS($V$2:V420),$V$2:$V$1001,0),1)&gt;=100000,INDEX($AC$1005:$AS$1005,1,MATCH(COLUMNS($AC$1006:AG1006),$AC$1006:$AS$1006,0))&gt;=100000), " ",IF(INDEX($AC$2:$AS$1001,MATCH(ROWS($V$2:V420),$V$2:$V$1001,0),MATCH(COLUMNS($AC$1006:AG1006),$AC$1006:$AS$1006,0)), HYPERLINK("#",""), HYPERLINK(CONCATENATE("#metadata!", ADDRESS(INDEX($X$2:$X$1001,MATCH(ROWS($V$2:V420),$V$2:$V$1001,0),0), INDEX($AC$1004:$AS$1004,1,MATCH(COLUMNS($AC$1006:AG1006),$AC$1006:$AS$1006,0)))),"Fix")))</f>
        <v xml:space="preserve"> </v>
      </c>
      <c r="G420" s="4" t="str">
        <f ca="1">IF(OR(INDEX($W$2:$W$1001,MATCH(ROWS($V$2:V420),$V$2:$V$1001,0),1)&gt;=100000,INDEX($AC$1005:$AS$1005,1,MATCH(COLUMNS($AC$1006:AH1006),$AC$1006:$AS$1006,0))&gt;=100000), " ",IF(INDEX($AC$2:$AS$1001,MATCH(ROWS($V$2:V420),$V$2:$V$1001,0),MATCH(COLUMNS($AC$1006:AH1006),$AC$1006:$AS$1006,0)), HYPERLINK("#",""), HYPERLINK(CONCATENATE("#metadata!", ADDRESS(INDEX($X$2:$X$1001,MATCH(ROWS($V$2:V420),$V$2:$V$1001,0),0), INDEX($AC$1004:$AS$1004,1,MATCH(COLUMNS($AC$1006:AH1006),$AC$1006:$AS$1006,0)))),"Fix")))</f>
        <v xml:space="preserve"> </v>
      </c>
      <c r="H420" s="4" t="str">
        <f ca="1">IF(OR(INDEX($W$2:$W$1001,MATCH(ROWS($V$2:V420),$V$2:$V$1001,0),1)&gt;=100000,INDEX($AC$1005:$AS$1005,1,MATCH(COLUMNS($AC$1006:AI1006),$AC$1006:$AS$1006,0))&gt;=100000), " ",IF(INDEX($AC$2:$AS$1001,MATCH(ROWS($V$2:V420),$V$2:$V$1001,0),MATCH(COLUMNS($AC$1006:AI1006),$AC$1006:$AS$1006,0)), HYPERLINK("#",""), HYPERLINK(CONCATENATE("#metadata!", ADDRESS(INDEX($X$2:$X$1001,MATCH(ROWS($V$2:V420),$V$2:$V$1001,0),0), INDEX($AC$1004:$AS$1004,1,MATCH(COLUMNS($AC$1006:AI1006),$AC$1006:$AS$1006,0)))),"Fix")))</f>
        <v xml:space="preserve"> </v>
      </c>
      <c r="I420" s="4" t="str">
        <f ca="1">IF(OR(INDEX($W$2:$W$1001,MATCH(ROWS($V$2:V420),$V$2:$V$1001,0),1)&gt;=100000,INDEX($AC$1005:$AS$1005,1,MATCH(COLUMNS($AC$1006:AJ1006),$AC$1006:$AS$1006,0))&gt;=100000), " ",IF(INDEX($AC$2:$AS$1001,MATCH(ROWS($V$2:V420),$V$2:$V$1001,0),MATCH(COLUMNS($AC$1006:AJ1006),$AC$1006:$AS$1006,0)), HYPERLINK("#",""), HYPERLINK(CONCATENATE("#metadata!", ADDRESS(INDEX($X$2:$X$1001,MATCH(ROWS($V$2:V420),$V$2:$V$1001,0),0), INDEX($AC$1004:$AS$1004,1,MATCH(COLUMNS($AC$1006:AJ1006),$AC$1006:$AS$1006,0)))),"Fix")))</f>
        <v xml:space="preserve"> </v>
      </c>
      <c r="J420" s="4" t="str">
        <f ca="1">IF(OR(INDEX($W$2:$W$1001,MATCH(ROWS($V$2:V420),$V$2:$V$1001,0),1)&gt;=100000,INDEX($AC$1005:$AS$1005,1,MATCH(COLUMNS($AC$1006:AK1006),$AC$1006:$AS$1006,0))&gt;=100000), " ",IF(INDEX($AC$2:$AS$1001,MATCH(ROWS($V$2:V420),$V$2:$V$1001,0),MATCH(COLUMNS($AC$1006:AK1006),$AC$1006:$AS$1006,0)), HYPERLINK("#",""), HYPERLINK(CONCATENATE("#metadata!", ADDRESS(INDEX($X$2:$X$1001,MATCH(ROWS($V$2:V420),$V$2:$V$1001,0),0), INDEX($AC$1004:$AS$1004,1,MATCH(COLUMNS($AC$1006:AK1006),$AC$1006:$AS$1006,0)))),"Fix")))</f>
        <v xml:space="preserve"> </v>
      </c>
      <c r="K420" s="4" t="str">
        <f ca="1">IF(OR(INDEX($W$2:$W$1001,MATCH(ROWS($V$2:V420),$V$2:$V$1001,0),1)&gt;=100000,INDEX($AC$1005:$AS$1005,1,MATCH(COLUMNS($AC$1006:AL1006),$AC$1006:$AS$1006,0))&gt;=100000), " ",IF(INDEX($AC$2:$AS$1001,MATCH(ROWS($V$2:V420),$V$2:$V$1001,0),MATCH(COLUMNS($AC$1006:AL1006),$AC$1006:$AS$1006,0)), HYPERLINK("#",""), HYPERLINK(CONCATENATE("#metadata!", ADDRESS(INDEX($X$2:$X$1001,MATCH(ROWS($V$2:V420),$V$2:$V$1001,0),0), INDEX($AC$1004:$AS$1004,1,MATCH(COLUMNS($AC$1006:AL1006),$AC$1006:$AS$1006,0)))),"Fix")))</f>
        <v xml:space="preserve"> </v>
      </c>
      <c r="L420" s="4" t="str">
        <f ca="1">IF(OR(INDEX($W$2:$W$1001,MATCH(ROWS($V$2:V420),$V$2:$V$1001,0),1)&gt;=100000,INDEX($AC$1005:$AS$1005,1,MATCH(COLUMNS($AC$1006:AM1006),$AC$1006:$AS$1006,0))&gt;=100000), " ",IF(INDEX($AC$2:$AS$1001,MATCH(ROWS($V$2:V420),$V$2:$V$1001,0),MATCH(COLUMNS($AC$1006:AM1006),$AC$1006:$AS$1006,0)), HYPERLINK("#",""), HYPERLINK(CONCATENATE("#metadata!", ADDRESS(INDEX($X$2:$X$1001,MATCH(ROWS($V$2:V420),$V$2:$V$1001,0),0), INDEX($AC$1004:$AS$1004,1,MATCH(COLUMNS($AC$1006:AM1006),$AC$1006:$AS$1006,0)))),"Fix")))</f>
        <v xml:space="preserve"> </v>
      </c>
      <c r="M420" s="4" t="str">
        <f ca="1">IF(OR(INDEX($W$2:$W$1001,MATCH(ROWS($V$2:V420),$V$2:$V$1001,0),1)&gt;=100000,INDEX($AC$1005:$AS$1005,1,MATCH(COLUMNS($AC$1006:AN1006),$AC$1006:$AS$1006,0))&gt;=100000), " ",IF(INDEX($AC$2:$AS$1001,MATCH(ROWS($V$2:V420),$V$2:$V$1001,0),MATCH(COLUMNS($AC$1006:AN1006),$AC$1006:$AS$1006,0)), HYPERLINK("#",""), HYPERLINK(CONCATENATE("#metadata!", ADDRESS(INDEX($X$2:$X$1001,MATCH(ROWS($V$2:V420),$V$2:$V$1001,0),0), INDEX($AC$1004:$AS$1004,1,MATCH(COLUMNS($AC$1006:AN1006),$AC$1006:$AS$1006,0)))),"Fix")))</f>
        <v xml:space="preserve"> </v>
      </c>
      <c r="N420" s="4" t="str">
        <f ca="1">IF(OR(INDEX($W$2:$W$1001,MATCH(ROWS($V$2:V420),$V$2:$V$1001,0),1)&gt;=100000,INDEX($AC$1005:$AS$1005,1,MATCH(COLUMNS($AC$1006:AO1006),$AC$1006:$AS$1006,0))&gt;=100000), " ",IF(INDEX($AC$2:$AS$1001,MATCH(ROWS($V$2:V420),$V$2:$V$1001,0),MATCH(COLUMNS($AC$1006:AO1006),$AC$1006:$AS$1006,0)), HYPERLINK("#",""), HYPERLINK(CONCATENATE("#metadata!", ADDRESS(INDEX($X$2:$X$1001,MATCH(ROWS($V$2:V420),$V$2:$V$1001,0),0), INDEX($AC$1004:$AS$1004,1,MATCH(COLUMNS($AC$1006:AO1006),$AC$1006:$AS$1006,0)))),"Fix")))</f>
        <v xml:space="preserve"> </v>
      </c>
      <c r="O420" s="4" t="str">
        <f ca="1">IF(OR(INDEX($W$2:$W$1001,MATCH(ROWS($V$2:V420),$V$2:$V$1001,0),1)&gt;=100000,INDEX($AC$1005:$AS$1005,1,MATCH(COLUMNS($AC$1006:AP1006),$AC$1006:$AS$1006,0))&gt;=100000), " ",IF(INDEX($AC$2:$AS$1001,MATCH(ROWS($V$2:V420),$V$2:$V$1001,0),MATCH(COLUMNS($AC$1006:AP1006),$AC$1006:$AS$1006,0)), HYPERLINK("#",""), HYPERLINK(CONCATENATE("#metadata!", ADDRESS(INDEX($X$2:$X$1001,MATCH(ROWS($V$2:V420),$V$2:$V$1001,0),0), INDEX($AC$1004:$AS$1004,1,MATCH(COLUMNS($AC$1006:AP1006),$AC$1006:$AS$1006,0)))),"Fix")))</f>
        <v xml:space="preserve"> </v>
      </c>
      <c r="P420" s="4" t="str">
        <f ca="1">IF(OR(INDEX($W$2:$W$1001,MATCH(ROWS($V$2:V420),$V$2:$V$1001,0),1)&gt;=100000,INDEX($AC$1005:$AS$1005,1,MATCH(COLUMNS($AC$1006:AQ1006),$AC$1006:$AS$1006,0))&gt;=100000), " ",IF(INDEX($AC$2:$AS$1001,MATCH(ROWS($V$2:V420),$V$2:$V$1001,0),MATCH(COLUMNS($AC$1006:AQ1006),$AC$1006:$AS$1006,0)), HYPERLINK("#",""), HYPERLINK(CONCATENATE("#metadata!", ADDRESS(INDEX($X$2:$X$1001,MATCH(ROWS($V$2:V420),$V$2:$V$1001,0),0), INDEX($AC$1004:$AS$1004,1,MATCH(COLUMNS($AC$1006:AQ1006),$AC$1006:$AS$1006,0)))),"Fix")))</f>
        <v xml:space="preserve"> </v>
      </c>
      <c r="Q420" s="4" t="str">
        <f ca="1">IF(OR(INDEX($W$2:$W$1001,MATCH(ROWS($V$2:V420),$V$2:$V$1001,0),1)&gt;=100000,INDEX($AC$1005:$AS$1005,1,MATCH(COLUMNS($AC$1006:AR1006),$AC$1006:$AS$1006,0))&gt;=100000), " ",IF(INDEX($AC$2:$AS$1001,MATCH(ROWS($V$2:V420),$V$2:$V$1001,0),MATCH(COLUMNS($AC$1006:AR1006),$AC$1006:$AS$1006,0)), HYPERLINK("#",""), HYPERLINK(CONCATENATE("#metadata!", ADDRESS(INDEX($X$2:$X$1001,MATCH(ROWS($V$2:V420),$V$2:$V$1001,0),0), INDEX($AC$1004:$AS$1004,1,MATCH(COLUMNS($AC$1006:AR1006),$AC$1006:$AS$1006,0)))),"Fix")))</f>
        <v xml:space="preserve"> </v>
      </c>
      <c r="R420" s="4" t="str">
        <f ca="1">IF(OR(INDEX($W$2:$W$1001,MATCH(ROWS($V$2:V420),$V$2:$V$1001,0),1)&gt;=100000,INDEX($AC$1005:$AS$1005,1,MATCH(COLUMNS($AC$1006:AS1006),$AC$1006:$AS$1006,0))&gt;=100000), " ",IF(INDEX($AC$2:$AS$1001,MATCH(ROWS($V$2:V420),$V$2:$V$1001,0),MATCH(COLUMNS($AC$1006:AS1006),$AC$1006:$AS$1006,0)), HYPERLINK("#",""), HYPERLINK(CONCATENATE("#metadata!", ADDRESS(INDEX($X$2:$X$1001,MATCH(ROWS($V$2:V420),$V$2:$V$1001,0),0), INDEX($AC$1004:$AS$1004,1,MATCH(COLUMNS($AC$1006:AS1006),$AC$1006:$AS$1006,0)))),"Fix")))</f>
        <v xml:space="preserve"> </v>
      </c>
      <c r="V420">
        <v>419</v>
      </c>
      <c r="W420">
        <v>100420</v>
      </c>
      <c r="X420">
        <v>420</v>
      </c>
      <c r="Y420" t="b">
        <f t="shared" si="6"/>
        <v>1</v>
      </c>
      <c r="Z420" t="b">
        <f>COUNTBLANK(metadata!B420:R420)=COLUMNS(metadata!B420:R420)</f>
        <v>1</v>
      </c>
      <c r="AA420" t="str">
        <v/>
      </c>
      <c r="AC420" t="b">
        <f ca="1"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AD420" t="b">
        <f>IF(metadata!C420="",FALSE,ISNUMBER(VALUE(metadata!C420)))</f>
        <v>0</v>
      </c>
      <c r="AE420" t="b">
        <f>AND(IF(metadata!D420="",FALSE,TRUE),EXACT(metadata!D420,"years"))</f>
        <v>0</v>
      </c>
      <c r="AF420" t="b">
        <f>OR(AND(IF(metadata!E420="",FALSE,TRUE),OR(EXACT(metadata!E420,"not applicable"),EXACT(metadata!E420,"missing: not collected"),EXACT(metadata!E420,"missing: not provided"),EXACT(metadata!E420,"missing: restricted access"))),AND(IF(metadata!E420="",FALSE,ISNUMBER(VALUE(metadata!E420))),metadata!E420&gt;0))</f>
        <v>0</v>
      </c>
      <c r="AG420" t="b">
        <f>AND(IF(metadata!F420="",FALSE,TRUE),EXACT(metadata!F420,"Not applicable"))</f>
        <v>0</v>
      </c>
      <c r="AH420" t="b">
        <f>AND(IF(metadata!G420="",FALSE,TRUE),EXACT(metadata!G420,"urban biome"))</f>
        <v>0</v>
      </c>
      <c r="AI420" t="b">
        <f>AND(IF(metadata!H420="",FALSE,TRUE),EXACT(metadata!H420,"human-associated habitat"))</f>
        <v>0</v>
      </c>
      <c r="AJ420" t="b">
        <f>AND(IF(metadata!I420="",FALSE,TRUE),OR(EXACT(metadata!I420,"human-associated"),EXACT(metadata!I420,"human-skin"),EXACT(metadata!I420,"human-oral"),EXACT(metadata!I420,"human-gut"),EXACT(metadata!I420,"human-vaginal")))</f>
        <v>0</v>
      </c>
      <c r="AK420" t="b">
        <f>IF(metadata!J420="",FALSE,ISNUMBER(VALUE(metadata!J420)))</f>
        <v>0</v>
      </c>
      <c r="AL420" t="b">
        <f>AND(IF(metadata!K420="",FALSE,TRUE),EXACT(metadata!K420,"cm"))</f>
        <v>0</v>
      </c>
      <c r="AM420" t="b">
        <f>AND(IF(metadata!L420="",FALSE,TRUE),EXACT(metadata!L420,"human"))</f>
        <v>0</v>
      </c>
      <c r="AN420" t="b">
        <f>AND(IF(metadata!M420="",FALSE,TRUE),EXACT(metadata!M420,"Homo sapiens"))</f>
        <v>0</v>
      </c>
      <c r="AO420" t="b">
        <f>AND(IF(metadata!N420="",FALSE,TRUE),EXACT(metadata!N420,"9606"))</f>
        <v>0</v>
      </c>
      <c r="AP420" t="b">
        <f>IF(metadata!O420="",FALSE,TRUE)</f>
        <v>0</v>
      </c>
      <c r="AQ420" t="b">
        <f>IF(metadata!P420="",FALSE,TRUE)</f>
        <v>0</v>
      </c>
      <c r="AR420" t="b">
        <f>IF(metadata!Q420="",FALSE,ISNUMBER(VALUE(metadata!Q420)))</f>
        <v>0</v>
      </c>
      <c r="AS420" t="b">
        <f>AND(IF(metadata!R420="",FALSE,TRUE),EXACT(metadata!R420,"kg"))</f>
        <v>0</v>
      </c>
    </row>
    <row r="421" spans="1:45" x14ac:dyDescent="0.2">
      <c r="A421" s="5" t="str">
        <f ca="1">IF(B421=" "," ",HYPERLINK(CONCATENATE("#metadata!",ADDRESS(INDEX($X$2:$X$1001,MATCH(ROWS($V$2:V421),$V$2:$V$1001,0),0),1)),INDEX($AA$2:$AA$1001,MATCH(ROWS($V$2:V421),$V$2:$V$1001,0),0)))</f>
        <v xml:space="preserve"> </v>
      </c>
      <c r="B421" s="4" t="str">
        <f ca="1">IF(OR(INDEX($W$2:$W$1001,MATCH(ROWS($V$2:V421),$V$2:$V$1001,0),1)&gt;=100000,INDEX($AC$1005:$AS$1005,1,MATCH(COLUMNS($AC$1006:AC1006),$AC$1006:$AS$1006,0))&gt;=100000), " ",IF(INDEX($AC$2:$AS$1001,MATCH(ROWS($V$2:V421),$V$2:$V$1001,0),MATCH(COLUMNS($AC$1006:AC1006),$AC$1006:$AS$1006,0)), HYPERLINK("#",""), HYPERLINK(CONCATENATE("#metadata!", ADDRESS(INDEX($X$2:$X$1001,MATCH(ROWS($V$2:V421),$V$2:$V$1001,0),0), INDEX($AC$1004:$AS$1004,1,MATCH(COLUMNS($AC$1006:AC1006),$AC$1006:$AS$1006,0)))),"Fix")))</f>
        <v xml:space="preserve"> </v>
      </c>
      <c r="C421" s="4" t="str">
        <f ca="1">IF(OR(INDEX($W$2:$W$1001,MATCH(ROWS($V$2:V421),$V$2:$V$1001,0),1)&gt;=100000,INDEX($AC$1005:$AS$1005,1,MATCH(COLUMNS($AC$1006:AD1006),$AC$1006:$AS$1006,0))&gt;=100000), " ",IF(INDEX($AC$2:$AS$1001,MATCH(ROWS($V$2:V421),$V$2:$V$1001,0),MATCH(COLUMNS($AC$1006:AD1006),$AC$1006:$AS$1006,0)), HYPERLINK("#",""), HYPERLINK(CONCATENATE("#metadata!", ADDRESS(INDEX($X$2:$X$1001,MATCH(ROWS($V$2:V421),$V$2:$V$1001,0),0), INDEX($AC$1004:$AS$1004,1,MATCH(COLUMNS($AC$1006:AD1006),$AC$1006:$AS$1006,0)))),"Fix")))</f>
        <v xml:space="preserve"> </v>
      </c>
      <c r="D421" s="4" t="str">
        <f ca="1">IF(OR(INDEX($W$2:$W$1001,MATCH(ROWS($V$2:V421),$V$2:$V$1001,0),1)&gt;=100000,INDEX($AC$1005:$AS$1005,1,MATCH(COLUMNS($AC$1006:AE1006),$AC$1006:$AS$1006,0))&gt;=100000), " ",IF(INDEX($AC$2:$AS$1001,MATCH(ROWS($V$2:V421),$V$2:$V$1001,0),MATCH(COLUMNS($AC$1006:AE1006),$AC$1006:$AS$1006,0)), HYPERLINK("#",""), HYPERLINK(CONCATENATE("#metadata!", ADDRESS(INDEX($X$2:$X$1001,MATCH(ROWS($V$2:V421),$V$2:$V$1001,0),0), INDEX($AC$1004:$AS$1004,1,MATCH(COLUMNS($AC$1006:AE1006),$AC$1006:$AS$1006,0)))),"Fix")))</f>
        <v xml:space="preserve"> </v>
      </c>
      <c r="E421" s="4" t="str">
        <f ca="1">IF(OR(INDEX($W$2:$W$1001,MATCH(ROWS($V$2:V421),$V$2:$V$1001,0),1)&gt;=100000,INDEX($AC$1005:$AS$1005,1,MATCH(COLUMNS($AC$1006:AF1006),$AC$1006:$AS$1006,0))&gt;=100000), " ",IF(INDEX($AC$2:$AS$1001,MATCH(ROWS($V$2:V421),$V$2:$V$1001,0),MATCH(COLUMNS($AC$1006:AF1006),$AC$1006:$AS$1006,0)), HYPERLINK("#",""), HYPERLINK(CONCATENATE("#metadata!", ADDRESS(INDEX($X$2:$X$1001,MATCH(ROWS($V$2:V421),$V$2:$V$1001,0),0), INDEX($AC$1004:$AS$1004,1,MATCH(COLUMNS($AC$1006:AF1006),$AC$1006:$AS$1006,0)))),"Fix")))</f>
        <v xml:space="preserve"> </v>
      </c>
      <c r="F421" s="4" t="str">
        <f ca="1">IF(OR(INDEX($W$2:$W$1001,MATCH(ROWS($V$2:V421),$V$2:$V$1001,0),1)&gt;=100000,INDEX($AC$1005:$AS$1005,1,MATCH(COLUMNS($AC$1006:AG1006),$AC$1006:$AS$1006,0))&gt;=100000), " ",IF(INDEX($AC$2:$AS$1001,MATCH(ROWS($V$2:V421),$V$2:$V$1001,0),MATCH(COLUMNS($AC$1006:AG1006),$AC$1006:$AS$1006,0)), HYPERLINK("#",""), HYPERLINK(CONCATENATE("#metadata!", ADDRESS(INDEX($X$2:$X$1001,MATCH(ROWS($V$2:V421),$V$2:$V$1001,0),0), INDEX($AC$1004:$AS$1004,1,MATCH(COLUMNS($AC$1006:AG1006),$AC$1006:$AS$1006,0)))),"Fix")))</f>
        <v xml:space="preserve"> </v>
      </c>
      <c r="G421" s="4" t="str">
        <f ca="1">IF(OR(INDEX($W$2:$W$1001,MATCH(ROWS($V$2:V421),$V$2:$V$1001,0),1)&gt;=100000,INDEX($AC$1005:$AS$1005,1,MATCH(COLUMNS($AC$1006:AH1006),$AC$1006:$AS$1006,0))&gt;=100000), " ",IF(INDEX($AC$2:$AS$1001,MATCH(ROWS($V$2:V421),$V$2:$V$1001,0),MATCH(COLUMNS($AC$1006:AH1006),$AC$1006:$AS$1006,0)), HYPERLINK("#",""), HYPERLINK(CONCATENATE("#metadata!", ADDRESS(INDEX($X$2:$X$1001,MATCH(ROWS($V$2:V421),$V$2:$V$1001,0),0), INDEX($AC$1004:$AS$1004,1,MATCH(COLUMNS($AC$1006:AH1006),$AC$1006:$AS$1006,0)))),"Fix")))</f>
        <v xml:space="preserve"> </v>
      </c>
      <c r="H421" s="4" t="str">
        <f ca="1">IF(OR(INDEX($W$2:$W$1001,MATCH(ROWS($V$2:V421),$V$2:$V$1001,0),1)&gt;=100000,INDEX($AC$1005:$AS$1005,1,MATCH(COLUMNS($AC$1006:AI1006),$AC$1006:$AS$1006,0))&gt;=100000), " ",IF(INDEX($AC$2:$AS$1001,MATCH(ROWS($V$2:V421),$V$2:$V$1001,0),MATCH(COLUMNS($AC$1006:AI1006),$AC$1006:$AS$1006,0)), HYPERLINK("#",""), HYPERLINK(CONCATENATE("#metadata!", ADDRESS(INDEX($X$2:$X$1001,MATCH(ROWS($V$2:V421),$V$2:$V$1001,0),0), INDEX($AC$1004:$AS$1004,1,MATCH(COLUMNS($AC$1006:AI1006),$AC$1006:$AS$1006,0)))),"Fix")))</f>
        <v xml:space="preserve"> </v>
      </c>
      <c r="I421" s="4" t="str">
        <f ca="1">IF(OR(INDEX($W$2:$W$1001,MATCH(ROWS($V$2:V421),$V$2:$V$1001,0),1)&gt;=100000,INDEX($AC$1005:$AS$1005,1,MATCH(COLUMNS($AC$1006:AJ1006),$AC$1006:$AS$1006,0))&gt;=100000), " ",IF(INDEX($AC$2:$AS$1001,MATCH(ROWS($V$2:V421),$V$2:$V$1001,0),MATCH(COLUMNS($AC$1006:AJ1006),$AC$1006:$AS$1006,0)), HYPERLINK("#",""), HYPERLINK(CONCATENATE("#metadata!", ADDRESS(INDEX($X$2:$X$1001,MATCH(ROWS($V$2:V421),$V$2:$V$1001,0),0), INDEX($AC$1004:$AS$1004,1,MATCH(COLUMNS($AC$1006:AJ1006),$AC$1006:$AS$1006,0)))),"Fix")))</f>
        <v xml:space="preserve"> </v>
      </c>
      <c r="J421" s="4" t="str">
        <f ca="1">IF(OR(INDEX($W$2:$W$1001,MATCH(ROWS($V$2:V421),$V$2:$V$1001,0),1)&gt;=100000,INDEX($AC$1005:$AS$1005,1,MATCH(COLUMNS($AC$1006:AK1006),$AC$1006:$AS$1006,0))&gt;=100000), " ",IF(INDEX($AC$2:$AS$1001,MATCH(ROWS($V$2:V421),$V$2:$V$1001,0),MATCH(COLUMNS($AC$1006:AK1006),$AC$1006:$AS$1006,0)), HYPERLINK("#",""), HYPERLINK(CONCATENATE("#metadata!", ADDRESS(INDEX($X$2:$X$1001,MATCH(ROWS($V$2:V421),$V$2:$V$1001,0),0), INDEX($AC$1004:$AS$1004,1,MATCH(COLUMNS($AC$1006:AK1006),$AC$1006:$AS$1006,0)))),"Fix")))</f>
        <v xml:space="preserve"> </v>
      </c>
      <c r="K421" s="4" t="str">
        <f ca="1">IF(OR(INDEX($W$2:$W$1001,MATCH(ROWS($V$2:V421),$V$2:$V$1001,0),1)&gt;=100000,INDEX($AC$1005:$AS$1005,1,MATCH(COLUMNS($AC$1006:AL1006),$AC$1006:$AS$1006,0))&gt;=100000), " ",IF(INDEX($AC$2:$AS$1001,MATCH(ROWS($V$2:V421),$V$2:$V$1001,0),MATCH(COLUMNS($AC$1006:AL1006),$AC$1006:$AS$1006,0)), HYPERLINK("#",""), HYPERLINK(CONCATENATE("#metadata!", ADDRESS(INDEX($X$2:$X$1001,MATCH(ROWS($V$2:V421),$V$2:$V$1001,0),0), INDEX($AC$1004:$AS$1004,1,MATCH(COLUMNS($AC$1006:AL1006),$AC$1006:$AS$1006,0)))),"Fix")))</f>
        <v xml:space="preserve"> </v>
      </c>
      <c r="L421" s="4" t="str">
        <f ca="1">IF(OR(INDEX($W$2:$W$1001,MATCH(ROWS($V$2:V421),$V$2:$V$1001,0),1)&gt;=100000,INDEX($AC$1005:$AS$1005,1,MATCH(COLUMNS($AC$1006:AM1006),$AC$1006:$AS$1006,0))&gt;=100000), " ",IF(INDEX($AC$2:$AS$1001,MATCH(ROWS($V$2:V421),$V$2:$V$1001,0),MATCH(COLUMNS($AC$1006:AM1006),$AC$1006:$AS$1006,0)), HYPERLINK("#",""), HYPERLINK(CONCATENATE("#metadata!", ADDRESS(INDEX($X$2:$X$1001,MATCH(ROWS($V$2:V421),$V$2:$V$1001,0),0), INDEX($AC$1004:$AS$1004,1,MATCH(COLUMNS($AC$1006:AM1006),$AC$1006:$AS$1006,0)))),"Fix")))</f>
        <v xml:space="preserve"> </v>
      </c>
      <c r="M421" s="4" t="str">
        <f ca="1">IF(OR(INDEX($W$2:$W$1001,MATCH(ROWS($V$2:V421),$V$2:$V$1001,0),1)&gt;=100000,INDEX($AC$1005:$AS$1005,1,MATCH(COLUMNS($AC$1006:AN1006),$AC$1006:$AS$1006,0))&gt;=100000), " ",IF(INDEX($AC$2:$AS$1001,MATCH(ROWS($V$2:V421),$V$2:$V$1001,0),MATCH(COLUMNS($AC$1006:AN1006),$AC$1006:$AS$1006,0)), HYPERLINK("#",""), HYPERLINK(CONCATENATE("#metadata!", ADDRESS(INDEX($X$2:$X$1001,MATCH(ROWS($V$2:V421),$V$2:$V$1001,0),0), INDEX($AC$1004:$AS$1004,1,MATCH(COLUMNS($AC$1006:AN1006),$AC$1006:$AS$1006,0)))),"Fix")))</f>
        <v xml:space="preserve"> </v>
      </c>
      <c r="N421" s="4" t="str">
        <f ca="1">IF(OR(INDEX($W$2:$W$1001,MATCH(ROWS($V$2:V421),$V$2:$V$1001,0),1)&gt;=100000,INDEX($AC$1005:$AS$1005,1,MATCH(COLUMNS($AC$1006:AO1006),$AC$1006:$AS$1006,0))&gt;=100000), " ",IF(INDEX($AC$2:$AS$1001,MATCH(ROWS($V$2:V421),$V$2:$V$1001,0),MATCH(COLUMNS($AC$1006:AO1006),$AC$1006:$AS$1006,0)), HYPERLINK("#",""), HYPERLINK(CONCATENATE("#metadata!", ADDRESS(INDEX($X$2:$X$1001,MATCH(ROWS($V$2:V421),$V$2:$V$1001,0),0), INDEX($AC$1004:$AS$1004,1,MATCH(COLUMNS($AC$1006:AO1006),$AC$1006:$AS$1006,0)))),"Fix")))</f>
        <v xml:space="preserve"> </v>
      </c>
      <c r="O421" s="4" t="str">
        <f ca="1">IF(OR(INDEX($W$2:$W$1001,MATCH(ROWS($V$2:V421),$V$2:$V$1001,0),1)&gt;=100000,INDEX($AC$1005:$AS$1005,1,MATCH(COLUMNS($AC$1006:AP1006),$AC$1006:$AS$1006,0))&gt;=100000), " ",IF(INDEX($AC$2:$AS$1001,MATCH(ROWS($V$2:V421),$V$2:$V$1001,0),MATCH(COLUMNS($AC$1006:AP1006),$AC$1006:$AS$1006,0)), HYPERLINK("#",""), HYPERLINK(CONCATENATE("#metadata!", ADDRESS(INDEX($X$2:$X$1001,MATCH(ROWS($V$2:V421),$V$2:$V$1001,0),0), INDEX($AC$1004:$AS$1004,1,MATCH(COLUMNS($AC$1006:AP1006),$AC$1006:$AS$1006,0)))),"Fix")))</f>
        <v xml:space="preserve"> </v>
      </c>
      <c r="P421" s="4" t="str">
        <f ca="1">IF(OR(INDEX($W$2:$W$1001,MATCH(ROWS($V$2:V421),$V$2:$V$1001,0),1)&gt;=100000,INDEX($AC$1005:$AS$1005,1,MATCH(COLUMNS($AC$1006:AQ1006),$AC$1006:$AS$1006,0))&gt;=100000), " ",IF(INDEX($AC$2:$AS$1001,MATCH(ROWS($V$2:V421),$V$2:$V$1001,0),MATCH(COLUMNS($AC$1006:AQ1006),$AC$1006:$AS$1006,0)), HYPERLINK("#",""), HYPERLINK(CONCATENATE("#metadata!", ADDRESS(INDEX($X$2:$X$1001,MATCH(ROWS($V$2:V421),$V$2:$V$1001,0),0), INDEX($AC$1004:$AS$1004,1,MATCH(COLUMNS($AC$1006:AQ1006),$AC$1006:$AS$1006,0)))),"Fix")))</f>
        <v xml:space="preserve"> </v>
      </c>
      <c r="Q421" s="4" t="str">
        <f ca="1">IF(OR(INDEX($W$2:$W$1001,MATCH(ROWS($V$2:V421),$V$2:$V$1001,0),1)&gt;=100000,INDEX($AC$1005:$AS$1005,1,MATCH(COLUMNS($AC$1006:AR1006),$AC$1006:$AS$1006,0))&gt;=100000), " ",IF(INDEX($AC$2:$AS$1001,MATCH(ROWS($V$2:V421),$V$2:$V$1001,0),MATCH(COLUMNS($AC$1006:AR1006),$AC$1006:$AS$1006,0)), HYPERLINK("#",""), HYPERLINK(CONCATENATE("#metadata!", ADDRESS(INDEX($X$2:$X$1001,MATCH(ROWS($V$2:V421),$V$2:$V$1001,0),0), INDEX($AC$1004:$AS$1004,1,MATCH(COLUMNS($AC$1006:AR1006),$AC$1006:$AS$1006,0)))),"Fix")))</f>
        <v xml:space="preserve"> </v>
      </c>
      <c r="R421" s="4" t="str">
        <f ca="1">IF(OR(INDEX($W$2:$W$1001,MATCH(ROWS($V$2:V421),$V$2:$V$1001,0),1)&gt;=100000,INDEX($AC$1005:$AS$1005,1,MATCH(COLUMNS($AC$1006:AS1006),$AC$1006:$AS$1006,0))&gt;=100000), " ",IF(INDEX($AC$2:$AS$1001,MATCH(ROWS($V$2:V421),$V$2:$V$1001,0),MATCH(COLUMNS($AC$1006:AS1006),$AC$1006:$AS$1006,0)), HYPERLINK("#",""), HYPERLINK(CONCATENATE("#metadata!", ADDRESS(INDEX($X$2:$X$1001,MATCH(ROWS($V$2:V421),$V$2:$V$1001,0),0), INDEX($AC$1004:$AS$1004,1,MATCH(COLUMNS($AC$1006:AS1006),$AC$1006:$AS$1006,0)))),"Fix")))</f>
        <v xml:space="preserve"> </v>
      </c>
      <c r="V421">
        <v>420</v>
      </c>
      <c r="W421">
        <v>100421</v>
      </c>
      <c r="X421">
        <v>421</v>
      </c>
      <c r="Y421" t="b">
        <f t="shared" si="6"/>
        <v>1</v>
      </c>
      <c r="Z421" t="b">
        <f>COUNTBLANK(metadata!B421:R421)=COLUMNS(metadata!B421:R421)</f>
        <v>1</v>
      </c>
      <c r="AA421" t="str">
        <v/>
      </c>
      <c r="AC421" t="b">
        <f ca="1"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AD421" t="b">
        <f>IF(metadata!C421="",FALSE,ISNUMBER(VALUE(metadata!C421)))</f>
        <v>0</v>
      </c>
      <c r="AE421" t="b">
        <f>AND(IF(metadata!D421="",FALSE,TRUE),EXACT(metadata!D421,"years"))</f>
        <v>0</v>
      </c>
      <c r="AF421" t="b">
        <f>OR(AND(IF(metadata!E421="",FALSE,TRUE),OR(EXACT(metadata!E421,"not applicable"),EXACT(metadata!E421,"missing: not collected"),EXACT(metadata!E421,"missing: not provided"),EXACT(metadata!E421,"missing: restricted access"))),AND(IF(metadata!E421="",FALSE,ISNUMBER(VALUE(metadata!E421))),metadata!E421&gt;0))</f>
        <v>0</v>
      </c>
      <c r="AG421" t="b">
        <f>AND(IF(metadata!F421="",FALSE,TRUE),EXACT(metadata!F421,"Not applicable"))</f>
        <v>0</v>
      </c>
      <c r="AH421" t="b">
        <f>AND(IF(metadata!G421="",FALSE,TRUE),EXACT(metadata!G421,"urban biome"))</f>
        <v>0</v>
      </c>
      <c r="AI421" t="b">
        <f>AND(IF(metadata!H421="",FALSE,TRUE),EXACT(metadata!H421,"human-associated habitat"))</f>
        <v>0</v>
      </c>
      <c r="AJ421" t="b">
        <f>AND(IF(metadata!I421="",FALSE,TRUE),OR(EXACT(metadata!I421,"human-associated"),EXACT(metadata!I421,"human-skin"),EXACT(metadata!I421,"human-oral"),EXACT(metadata!I421,"human-gut"),EXACT(metadata!I421,"human-vaginal")))</f>
        <v>0</v>
      </c>
      <c r="AK421" t="b">
        <f>IF(metadata!J421="",FALSE,ISNUMBER(VALUE(metadata!J421)))</f>
        <v>0</v>
      </c>
      <c r="AL421" t="b">
        <f>AND(IF(metadata!K421="",FALSE,TRUE),EXACT(metadata!K421,"cm"))</f>
        <v>0</v>
      </c>
      <c r="AM421" t="b">
        <f>AND(IF(metadata!L421="",FALSE,TRUE),EXACT(metadata!L421,"human"))</f>
        <v>0</v>
      </c>
      <c r="AN421" t="b">
        <f>AND(IF(metadata!M421="",FALSE,TRUE),EXACT(metadata!M421,"Homo sapiens"))</f>
        <v>0</v>
      </c>
      <c r="AO421" t="b">
        <f>AND(IF(metadata!N421="",FALSE,TRUE),EXACT(metadata!N421,"9606"))</f>
        <v>0</v>
      </c>
      <c r="AP421" t="b">
        <f>IF(metadata!O421="",FALSE,TRUE)</f>
        <v>0</v>
      </c>
      <c r="AQ421" t="b">
        <f>IF(metadata!P421="",FALSE,TRUE)</f>
        <v>0</v>
      </c>
      <c r="AR421" t="b">
        <f>IF(metadata!Q421="",FALSE,ISNUMBER(VALUE(metadata!Q421)))</f>
        <v>0</v>
      </c>
      <c r="AS421" t="b">
        <f>AND(IF(metadata!R421="",FALSE,TRUE),EXACT(metadata!R421,"kg"))</f>
        <v>0</v>
      </c>
    </row>
    <row r="422" spans="1:45" x14ac:dyDescent="0.2">
      <c r="A422" s="5" t="str">
        <f ca="1">IF(B422=" "," ",HYPERLINK(CONCATENATE("#metadata!",ADDRESS(INDEX($X$2:$X$1001,MATCH(ROWS($V$2:V422),$V$2:$V$1001,0),0),1)),INDEX($AA$2:$AA$1001,MATCH(ROWS($V$2:V422),$V$2:$V$1001,0),0)))</f>
        <v xml:space="preserve"> </v>
      </c>
      <c r="B422" s="4" t="str">
        <f ca="1">IF(OR(INDEX($W$2:$W$1001,MATCH(ROWS($V$2:V422),$V$2:$V$1001,0),1)&gt;=100000,INDEX($AC$1005:$AS$1005,1,MATCH(COLUMNS($AC$1006:AC1006),$AC$1006:$AS$1006,0))&gt;=100000), " ",IF(INDEX($AC$2:$AS$1001,MATCH(ROWS($V$2:V422),$V$2:$V$1001,0),MATCH(COLUMNS($AC$1006:AC1006),$AC$1006:$AS$1006,0)), HYPERLINK("#",""), HYPERLINK(CONCATENATE("#metadata!", ADDRESS(INDEX($X$2:$X$1001,MATCH(ROWS($V$2:V422),$V$2:$V$1001,0),0), INDEX($AC$1004:$AS$1004,1,MATCH(COLUMNS($AC$1006:AC1006),$AC$1006:$AS$1006,0)))),"Fix")))</f>
        <v xml:space="preserve"> </v>
      </c>
      <c r="C422" s="4" t="str">
        <f ca="1">IF(OR(INDEX($W$2:$W$1001,MATCH(ROWS($V$2:V422),$V$2:$V$1001,0),1)&gt;=100000,INDEX($AC$1005:$AS$1005,1,MATCH(COLUMNS($AC$1006:AD1006),$AC$1006:$AS$1006,0))&gt;=100000), " ",IF(INDEX($AC$2:$AS$1001,MATCH(ROWS($V$2:V422),$V$2:$V$1001,0),MATCH(COLUMNS($AC$1006:AD1006),$AC$1006:$AS$1006,0)), HYPERLINK("#",""), HYPERLINK(CONCATENATE("#metadata!", ADDRESS(INDEX($X$2:$X$1001,MATCH(ROWS($V$2:V422),$V$2:$V$1001,0),0), INDEX($AC$1004:$AS$1004,1,MATCH(COLUMNS($AC$1006:AD1006),$AC$1006:$AS$1006,0)))),"Fix")))</f>
        <v xml:space="preserve"> </v>
      </c>
      <c r="D422" s="4" t="str">
        <f ca="1">IF(OR(INDEX($W$2:$W$1001,MATCH(ROWS($V$2:V422),$V$2:$V$1001,0),1)&gt;=100000,INDEX($AC$1005:$AS$1005,1,MATCH(COLUMNS($AC$1006:AE1006),$AC$1006:$AS$1006,0))&gt;=100000), " ",IF(INDEX($AC$2:$AS$1001,MATCH(ROWS($V$2:V422),$V$2:$V$1001,0),MATCH(COLUMNS($AC$1006:AE1006),$AC$1006:$AS$1006,0)), HYPERLINK("#",""), HYPERLINK(CONCATENATE("#metadata!", ADDRESS(INDEX($X$2:$X$1001,MATCH(ROWS($V$2:V422),$V$2:$V$1001,0),0), INDEX($AC$1004:$AS$1004,1,MATCH(COLUMNS($AC$1006:AE1006),$AC$1006:$AS$1006,0)))),"Fix")))</f>
        <v xml:space="preserve"> </v>
      </c>
      <c r="E422" s="4" t="str">
        <f ca="1">IF(OR(INDEX($W$2:$W$1001,MATCH(ROWS($V$2:V422),$V$2:$V$1001,0),1)&gt;=100000,INDEX($AC$1005:$AS$1005,1,MATCH(COLUMNS($AC$1006:AF1006),$AC$1006:$AS$1006,0))&gt;=100000), " ",IF(INDEX($AC$2:$AS$1001,MATCH(ROWS($V$2:V422),$V$2:$V$1001,0),MATCH(COLUMNS($AC$1006:AF1006),$AC$1006:$AS$1006,0)), HYPERLINK("#",""), HYPERLINK(CONCATENATE("#metadata!", ADDRESS(INDEX($X$2:$X$1001,MATCH(ROWS($V$2:V422),$V$2:$V$1001,0),0), INDEX($AC$1004:$AS$1004,1,MATCH(COLUMNS($AC$1006:AF1006),$AC$1006:$AS$1006,0)))),"Fix")))</f>
        <v xml:space="preserve"> </v>
      </c>
      <c r="F422" s="4" t="str">
        <f ca="1">IF(OR(INDEX($W$2:$W$1001,MATCH(ROWS($V$2:V422),$V$2:$V$1001,0),1)&gt;=100000,INDEX($AC$1005:$AS$1005,1,MATCH(COLUMNS($AC$1006:AG1006),$AC$1006:$AS$1006,0))&gt;=100000), " ",IF(INDEX($AC$2:$AS$1001,MATCH(ROWS($V$2:V422),$V$2:$V$1001,0),MATCH(COLUMNS($AC$1006:AG1006),$AC$1006:$AS$1006,0)), HYPERLINK("#",""), HYPERLINK(CONCATENATE("#metadata!", ADDRESS(INDEX($X$2:$X$1001,MATCH(ROWS($V$2:V422),$V$2:$V$1001,0),0), INDEX($AC$1004:$AS$1004,1,MATCH(COLUMNS($AC$1006:AG1006),$AC$1006:$AS$1006,0)))),"Fix")))</f>
        <v xml:space="preserve"> </v>
      </c>
      <c r="G422" s="4" t="str">
        <f ca="1">IF(OR(INDEX($W$2:$W$1001,MATCH(ROWS($V$2:V422),$V$2:$V$1001,0),1)&gt;=100000,INDEX($AC$1005:$AS$1005,1,MATCH(COLUMNS($AC$1006:AH1006),$AC$1006:$AS$1006,0))&gt;=100000), " ",IF(INDEX($AC$2:$AS$1001,MATCH(ROWS($V$2:V422),$V$2:$V$1001,0),MATCH(COLUMNS($AC$1006:AH1006),$AC$1006:$AS$1006,0)), HYPERLINK("#",""), HYPERLINK(CONCATENATE("#metadata!", ADDRESS(INDEX($X$2:$X$1001,MATCH(ROWS($V$2:V422),$V$2:$V$1001,0),0), INDEX($AC$1004:$AS$1004,1,MATCH(COLUMNS($AC$1006:AH1006),$AC$1006:$AS$1006,0)))),"Fix")))</f>
        <v xml:space="preserve"> </v>
      </c>
      <c r="H422" s="4" t="str">
        <f ca="1">IF(OR(INDEX($W$2:$W$1001,MATCH(ROWS($V$2:V422),$V$2:$V$1001,0),1)&gt;=100000,INDEX($AC$1005:$AS$1005,1,MATCH(COLUMNS($AC$1006:AI1006),$AC$1006:$AS$1006,0))&gt;=100000), " ",IF(INDEX($AC$2:$AS$1001,MATCH(ROWS($V$2:V422),$V$2:$V$1001,0),MATCH(COLUMNS($AC$1006:AI1006),$AC$1006:$AS$1006,0)), HYPERLINK("#",""), HYPERLINK(CONCATENATE("#metadata!", ADDRESS(INDEX($X$2:$X$1001,MATCH(ROWS($V$2:V422),$V$2:$V$1001,0),0), INDEX($AC$1004:$AS$1004,1,MATCH(COLUMNS($AC$1006:AI1006),$AC$1006:$AS$1006,0)))),"Fix")))</f>
        <v xml:space="preserve"> </v>
      </c>
      <c r="I422" s="4" t="str">
        <f ca="1">IF(OR(INDEX($W$2:$W$1001,MATCH(ROWS($V$2:V422),$V$2:$V$1001,0),1)&gt;=100000,INDEX($AC$1005:$AS$1005,1,MATCH(COLUMNS($AC$1006:AJ1006),$AC$1006:$AS$1006,0))&gt;=100000), " ",IF(INDEX($AC$2:$AS$1001,MATCH(ROWS($V$2:V422),$V$2:$V$1001,0),MATCH(COLUMNS($AC$1006:AJ1006),$AC$1006:$AS$1006,0)), HYPERLINK("#",""), HYPERLINK(CONCATENATE("#metadata!", ADDRESS(INDEX($X$2:$X$1001,MATCH(ROWS($V$2:V422),$V$2:$V$1001,0),0), INDEX($AC$1004:$AS$1004,1,MATCH(COLUMNS($AC$1006:AJ1006),$AC$1006:$AS$1006,0)))),"Fix")))</f>
        <v xml:space="preserve"> </v>
      </c>
      <c r="J422" s="4" t="str">
        <f ca="1">IF(OR(INDEX($W$2:$W$1001,MATCH(ROWS($V$2:V422),$V$2:$V$1001,0),1)&gt;=100000,INDEX($AC$1005:$AS$1005,1,MATCH(COLUMNS($AC$1006:AK1006),$AC$1006:$AS$1006,0))&gt;=100000), " ",IF(INDEX($AC$2:$AS$1001,MATCH(ROWS($V$2:V422),$V$2:$V$1001,0),MATCH(COLUMNS($AC$1006:AK1006),$AC$1006:$AS$1006,0)), HYPERLINK("#",""), HYPERLINK(CONCATENATE("#metadata!", ADDRESS(INDEX($X$2:$X$1001,MATCH(ROWS($V$2:V422),$V$2:$V$1001,0),0), INDEX($AC$1004:$AS$1004,1,MATCH(COLUMNS($AC$1006:AK1006),$AC$1006:$AS$1006,0)))),"Fix")))</f>
        <v xml:space="preserve"> </v>
      </c>
      <c r="K422" s="4" t="str">
        <f ca="1">IF(OR(INDEX($W$2:$W$1001,MATCH(ROWS($V$2:V422),$V$2:$V$1001,0),1)&gt;=100000,INDEX($AC$1005:$AS$1005,1,MATCH(COLUMNS($AC$1006:AL1006),$AC$1006:$AS$1006,0))&gt;=100000), " ",IF(INDEX($AC$2:$AS$1001,MATCH(ROWS($V$2:V422),$V$2:$V$1001,0),MATCH(COLUMNS($AC$1006:AL1006),$AC$1006:$AS$1006,0)), HYPERLINK("#",""), HYPERLINK(CONCATENATE("#metadata!", ADDRESS(INDEX($X$2:$X$1001,MATCH(ROWS($V$2:V422),$V$2:$V$1001,0),0), INDEX($AC$1004:$AS$1004,1,MATCH(COLUMNS($AC$1006:AL1006),$AC$1006:$AS$1006,0)))),"Fix")))</f>
        <v xml:space="preserve"> </v>
      </c>
      <c r="L422" s="4" t="str">
        <f ca="1">IF(OR(INDEX($W$2:$W$1001,MATCH(ROWS($V$2:V422),$V$2:$V$1001,0),1)&gt;=100000,INDEX($AC$1005:$AS$1005,1,MATCH(COLUMNS($AC$1006:AM1006),$AC$1006:$AS$1006,0))&gt;=100000), " ",IF(INDEX($AC$2:$AS$1001,MATCH(ROWS($V$2:V422),$V$2:$V$1001,0),MATCH(COLUMNS($AC$1006:AM1006),$AC$1006:$AS$1006,0)), HYPERLINK("#",""), HYPERLINK(CONCATENATE("#metadata!", ADDRESS(INDEX($X$2:$X$1001,MATCH(ROWS($V$2:V422),$V$2:$V$1001,0),0), INDEX($AC$1004:$AS$1004,1,MATCH(COLUMNS($AC$1006:AM1006),$AC$1006:$AS$1006,0)))),"Fix")))</f>
        <v xml:space="preserve"> </v>
      </c>
      <c r="M422" s="4" t="str">
        <f ca="1">IF(OR(INDEX($W$2:$W$1001,MATCH(ROWS($V$2:V422),$V$2:$V$1001,0),1)&gt;=100000,INDEX($AC$1005:$AS$1005,1,MATCH(COLUMNS($AC$1006:AN1006),$AC$1006:$AS$1006,0))&gt;=100000), " ",IF(INDEX($AC$2:$AS$1001,MATCH(ROWS($V$2:V422),$V$2:$V$1001,0),MATCH(COLUMNS($AC$1006:AN1006),$AC$1006:$AS$1006,0)), HYPERLINK("#",""), HYPERLINK(CONCATENATE("#metadata!", ADDRESS(INDEX($X$2:$X$1001,MATCH(ROWS($V$2:V422),$V$2:$V$1001,0),0), INDEX($AC$1004:$AS$1004,1,MATCH(COLUMNS($AC$1006:AN1006),$AC$1006:$AS$1006,0)))),"Fix")))</f>
        <v xml:space="preserve"> </v>
      </c>
      <c r="N422" s="4" t="str">
        <f ca="1">IF(OR(INDEX($W$2:$W$1001,MATCH(ROWS($V$2:V422),$V$2:$V$1001,0),1)&gt;=100000,INDEX($AC$1005:$AS$1005,1,MATCH(COLUMNS($AC$1006:AO1006),$AC$1006:$AS$1006,0))&gt;=100000), " ",IF(INDEX($AC$2:$AS$1001,MATCH(ROWS($V$2:V422),$V$2:$V$1001,0),MATCH(COLUMNS($AC$1006:AO1006),$AC$1006:$AS$1006,0)), HYPERLINK("#",""), HYPERLINK(CONCATENATE("#metadata!", ADDRESS(INDEX($X$2:$X$1001,MATCH(ROWS($V$2:V422),$V$2:$V$1001,0),0), INDEX($AC$1004:$AS$1004,1,MATCH(COLUMNS($AC$1006:AO1006),$AC$1006:$AS$1006,0)))),"Fix")))</f>
        <v xml:space="preserve"> </v>
      </c>
      <c r="O422" s="4" t="str">
        <f ca="1">IF(OR(INDEX($W$2:$W$1001,MATCH(ROWS($V$2:V422),$V$2:$V$1001,0),1)&gt;=100000,INDEX($AC$1005:$AS$1005,1,MATCH(COLUMNS($AC$1006:AP1006),$AC$1006:$AS$1006,0))&gt;=100000), " ",IF(INDEX($AC$2:$AS$1001,MATCH(ROWS($V$2:V422),$V$2:$V$1001,0),MATCH(COLUMNS($AC$1006:AP1006),$AC$1006:$AS$1006,0)), HYPERLINK("#",""), HYPERLINK(CONCATENATE("#metadata!", ADDRESS(INDEX($X$2:$X$1001,MATCH(ROWS($V$2:V422),$V$2:$V$1001,0),0), INDEX($AC$1004:$AS$1004,1,MATCH(COLUMNS($AC$1006:AP1006),$AC$1006:$AS$1006,0)))),"Fix")))</f>
        <v xml:space="preserve"> </v>
      </c>
      <c r="P422" s="4" t="str">
        <f ca="1">IF(OR(INDEX($W$2:$W$1001,MATCH(ROWS($V$2:V422),$V$2:$V$1001,0),1)&gt;=100000,INDEX($AC$1005:$AS$1005,1,MATCH(COLUMNS($AC$1006:AQ1006),$AC$1006:$AS$1006,0))&gt;=100000), " ",IF(INDEX($AC$2:$AS$1001,MATCH(ROWS($V$2:V422),$V$2:$V$1001,0),MATCH(COLUMNS($AC$1006:AQ1006),$AC$1006:$AS$1006,0)), HYPERLINK("#",""), HYPERLINK(CONCATENATE("#metadata!", ADDRESS(INDEX($X$2:$X$1001,MATCH(ROWS($V$2:V422),$V$2:$V$1001,0),0), INDEX($AC$1004:$AS$1004,1,MATCH(COLUMNS($AC$1006:AQ1006),$AC$1006:$AS$1006,0)))),"Fix")))</f>
        <v xml:space="preserve"> </v>
      </c>
      <c r="Q422" s="4" t="str">
        <f ca="1">IF(OR(INDEX($W$2:$W$1001,MATCH(ROWS($V$2:V422),$V$2:$V$1001,0),1)&gt;=100000,INDEX($AC$1005:$AS$1005,1,MATCH(COLUMNS($AC$1006:AR1006),$AC$1006:$AS$1006,0))&gt;=100000), " ",IF(INDEX($AC$2:$AS$1001,MATCH(ROWS($V$2:V422),$V$2:$V$1001,0),MATCH(COLUMNS($AC$1006:AR1006),$AC$1006:$AS$1006,0)), HYPERLINK("#",""), HYPERLINK(CONCATENATE("#metadata!", ADDRESS(INDEX($X$2:$X$1001,MATCH(ROWS($V$2:V422),$V$2:$V$1001,0),0), INDEX($AC$1004:$AS$1004,1,MATCH(COLUMNS($AC$1006:AR1006),$AC$1006:$AS$1006,0)))),"Fix")))</f>
        <v xml:space="preserve"> </v>
      </c>
      <c r="R422" s="4" t="str">
        <f ca="1">IF(OR(INDEX($W$2:$W$1001,MATCH(ROWS($V$2:V422),$V$2:$V$1001,0),1)&gt;=100000,INDEX($AC$1005:$AS$1005,1,MATCH(COLUMNS($AC$1006:AS1006),$AC$1006:$AS$1006,0))&gt;=100000), " ",IF(INDEX($AC$2:$AS$1001,MATCH(ROWS($V$2:V422),$V$2:$V$1001,0),MATCH(COLUMNS($AC$1006:AS1006),$AC$1006:$AS$1006,0)), HYPERLINK("#",""), HYPERLINK(CONCATENATE("#metadata!", ADDRESS(INDEX($X$2:$X$1001,MATCH(ROWS($V$2:V422),$V$2:$V$1001,0),0), INDEX($AC$1004:$AS$1004,1,MATCH(COLUMNS($AC$1006:AS1006),$AC$1006:$AS$1006,0)))),"Fix")))</f>
        <v xml:space="preserve"> </v>
      </c>
      <c r="V422">
        <v>421</v>
      </c>
      <c r="W422">
        <v>100422</v>
      </c>
      <c r="X422">
        <v>422</v>
      </c>
      <c r="Y422" t="b">
        <f t="shared" si="6"/>
        <v>1</v>
      </c>
      <c r="Z422" t="b">
        <f>COUNTBLANK(metadata!B422:R422)=COLUMNS(metadata!B422:R422)</f>
        <v>1</v>
      </c>
      <c r="AA422" t="str">
        <v/>
      </c>
      <c r="AC422" t="b">
        <f ca="1"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AD422" t="b">
        <f>IF(metadata!C422="",FALSE,ISNUMBER(VALUE(metadata!C422)))</f>
        <v>0</v>
      </c>
      <c r="AE422" t="b">
        <f>AND(IF(metadata!D422="",FALSE,TRUE),EXACT(metadata!D422,"years"))</f>
        <v>0</v>
      </c>
      <c r="AF422" t="b">
        <f>OR(AND(IF(metadata!E422="",FALSE,TRUE),OR(EXACT(metadata!E422,"not applicable"),EXACT(metadata!E422,"missing: not collected"),EXACT(metadata!E422,"missing: not provided"),EXACT(metadata!E422,"missing: restricted access"))),AND(IF(metadata!E422="",FALSE,ISNUMBER(VALUE(metadata!E422))),metadata!E422&gt;0))</f>
        <v>0</v>
      </c>
      <c r="AG422" t="b">
        <f>AND(IF(metadata!F422="",FALSE,TRUE),EXACT(metadata!F422,"Not applicable"))</f>
        <v>0</v>
      </c>
      <c r="AH422" t="b">
        <f>AND(IF(metadata!G422="",FALSE,TRUE),EXACT(metadata!G422,"urban biome"))</f>
        <v>0</v>
      </c>
      <c r="AI422" t="b">
        <f>AND(IF(metadata!H422="",FALSE,TRUE),EXACT(metadata!H422,"human-associated habitat"))</f>
        <v>0</v>
      </c>
      <c r="AJ422" t="b">
        <f>AND(IF(metadata!I422="",FALSE,TRUE),OR(EXACT(metadata!I422,"human-associated"),EXACT(metadata!I422,"human-skin"),EXACT(metadata!I422,"human-oral"),EXACT(metadata!I422,"human-gut"),EXACT(metadata!I422,"human-vaginal")))</f>
        <v>0</v>
      </c>
      <c r="AK422" t="b">
        <f>IF(metadata!J422="",FALSE,ISNUMBER(VALUE(metadata!J422)))</f>
        <v>0</v>
      </c>
      <c r="AL422" t="b">
        <f>AND(IF(metadata!K422="",FALSE,TRUE),EXACT(metadata!K422,"cm"))</f>
        <v>0</v>
      </c>
      <c r="AM422" t="b">
        <f>AND(IF(metadata!L422="",FALSE,TRUE),EXACT(metadata!L422,"human"))</f>
        <v>0</v>
      </c>
      <c r="AN422" t="b">
        <f>AND(IF(metadata!M422="",FALSE,TRUE),EXACT(metadata!M422,"Homo sapiens"))</f>
        <v>0</v>
      </c>
      <c r="AO422" t="b">
        <f>AND(IF(metadata!N422="",FALSE,TRUE),EXACT(metadata!N422,"9606"))</f>
        <v>0</v>
      </c>
      <c r="AP422" t="b">
        <f>IF(metadata!O422="",FALSE,TRUE)</f>
        <v>0</v>
      </c>
      <c r="AQ422" t="b">
        <f>IF(metadata!P422="",FALSE,TRUE)</f>
        <v>0</v>
      </c>
      <c r="AR422" t="b">
        <f>IF(metadata!Q422="",FALSE,ISNUMBER(VALUE(metadata!Q422)))</f>
        <v>0</v>
      </c>
      <c r="AS422" t="b">
        <f>AND(IF(metadata!R422="",FALSE,TRUE),EXACT(metadata!R422,"kg"))</f>
        <v>0</v>
      </c>
    </row>
    <row r="423" spans="1:45" x14ac:dyDescent="0.2">
      <c r="A423" s="5" t="str">
        <f ca="1">IF(B423=" "," ",HYPERLINK(CONCATENATE("#metadata!",ADDRESS(INDEX($X$2:$X$1001,MATCH(ROWS($V$2:V423),$V$2:$V$1001,0),0),1)),INDEX($AA$2:$AA$1001,MATCH(ROWS($V$2:V423),$V$2:$V$1001,0),0)))</f>
        <v xml:space="preserve"> </v>
      </c>
      <c r="B423" s="4" t="str">
        <f ca="1">IF(OR(INDEX($W$2:$W$1001,MATCH(ROWS($V$2:V423),$V$2:$V$1001,0),1)&gt;=100000,INDEX($AC$1005:$AS$1005,1,MATCH(COLUMNS($AC$1006:AC1006),$AC$1006:$AS$1006,0))&gt;=100000), " ",IF(INDEX($AC$2:$AS$1001,MATCH(ROWS($V$2:V423),$V$2:$V$1001,0),MATCH(COLUMNS($AC$1006:AC1006),$AC$1006:$AS$1006,0)), HYPERLINK("#",""), HYPERLINK(CONCATENATE("#metadata!", ADDRESS(INDEX($X$2:$X$1001,MATCH(ROWS($V$2:V423),$V$2:$V$1001,0),0), INDEX($AC$1004:$AS$1004,1,MATCH(COLUMNS($AC$1006:AC1006),$AC$1006:$AS$1006,0)))),"Fix")))</f>
        <v xml:space="preserve"> </v>
      </c>
      <c r="C423" s="4" t="str">
        <f ca="1">IF(OR(INDEX($W$2:$W$1001,MATCH(ROWS($V$2:V423),$V$2:$V$1001,0),1)&gt;=100000,INDEX($AC$1005:$AS$1005,1,MATCH(COLUMNS($AC$1006:AD1006),$AC$1006:$AS$1006,0))&gt;=100000), " ",IF(INDEX($AC$2:$AS$1001,MATCH(ROWS($V$2:V423),$V$2:$V$1001,0),MATCH(COLUMNS($AC$1006:AD1006),$AC$1006:$AS$1006,0)), HYPERLINK("#",""), HYPERLINK(CONCATENATE("#metadata!", ADDRESS(INDEX($X$2:$X$1001,MATCH(ROWS($V$2:V423),$V$2:$V$1001,0),0), INDEX($AC$1004:$AS$1004,1,MATCH(COLUMNS($AC$1006:AD1006),$AC$1006:$AS$1006,0)))),"Fix")))</f>
        <v xml:space="preserve"> </v>
      </c>
      <c r="D423" s="4" t="str">
        <f ca="1">IF(OR(INDEX($W$2:$W$1001,MATCH(ROWS($V$2:V423),$V$2:$V$1001,0),1)&gt;=100000,INDEX($AC$1005:$AS$1005,1,MATCH(COLUMNS($AC$1006:AE1006),$AC$1006:$AS$1006,0))&gt;=100000), " ",IF(INDEX($AC$2:$AS$1001,MATCH(ROWS($V$2:V423),$V$2:$V$1001,0),MATCH(COLUMNS($AC$1006:AE1006),$AC$1006:$AS$1006,0)), HYPERLINK("#",""), HYPERLINK(CONCATENATE("#metadata!", ADDRESS(INDEX($X$2:$X$1001,MATCH(ROWS($V$2:V423),$V$2:$V$1001,0),0), INDEX($AC$1004:$AS$1004,1,MATCH(COLUMNS($AC$1006:AE1006),$AC$1006:$AS$1006,0)))),"Fix")))</f>
        <v xml:space="preserve"> </v>
      </c>
      <c r="E423" s="4" t="str">
        <f ca="1">IF(OR(INDEX($W$2:$W$1001,MATCH(ROWS($V$2:V423),$V$2:$V$1001,0),1)&gt;=100000,INDEX($AC$1005:$AS$1005,1,MATCH(COLUMNS($AC$1006:AF1006),$AC$1006:$AS$1006,0))&gt;=100000), " ",IF(INDEX($AC$2:$AS$1001,MATCH(ROWS($V$2:V423),$V$2:$V$1001,0),MATCH(COLUMNS($AC$1006:AF1006),$AC$1006:$AS$1006,0)), HYPERLINK("#",""), HYPERLINK(CONCATENATE("#metadata!", ADDRESS(INDEX($X$2:$X$1001,MATCH(ROWS($V$2:V423),$V$2:$V$1001,0),0), INDEX($AC$1004:$AS$1004,1,MATCH(COLUMNS($AC$1006:AF1006),$AC$1006:$AS$1006,0)))),"Fix")))</f>
        <v xml:space="preserve"> </v>
      </c>
      <c r="F423" s="4" t="str">
        <f ca="1">IF(OR(INDEX($W$2:$W$1001,MATCH(ROWS($V$2:V423),$V$2:$V$1001,0),1)&gt;=100000,INDEX($AC$1005:$AS$1005,1,MATCH(COLUMNS($AC$1006:AG1006),$AC$1006:$AS$1006,0))&gt;=100000), " ",IF(INDEX($AC$2:$AS$1001,MATCH(ROWS($V$2:V423),$V$2:$V$1001,0),MATCH(COLUMNS($AC$1006:AG1006),$AC$1006:$AS$1006,0)), HYPERLINK("#",""), HYPERLINK(CONCATENATE("#metadata!", ADDRESS(INDEX($X$2:$X$1001,MATCH(ROWS($V$2:V423),$V$2:$V$1001,0),0), INDEX($AC$1004:$AS$1004,1,MATCH(COLUMNS($AC$1006:AG1006),$AC$1006:$AS$1006,0)))),"Fix")))</f>
        <v xml:space="preserve"> </v>
      </c>
      <c r="G423" s="4" t="str">
        <f ca="1">IF(OR(INDEX($W$2:$W$1001,MATCH(ROWS($V$2:V423),$V$2:$V$1001,0),1)&gt;=100000,INDEX($AC$1005:$AS$1005,1,MATCH(COLUMNS($AC$1006:AH1006),$AC$1006:$AS$1006,0))&gt;=100000), " ",IF(INDEX($AC$2:$AS$1001,MATCH(ROWS($V$2:V423),$V$2:$V$1001,0),MATCH(COLUMNS($AC$1006:AH1006),$AC$1006:$AS$1006,0)), HYPERLINK("#",""), HYPERLINK(CONCATENATE("#metadata!", ADDRESS(INDEX($X$2:$X$1001,MATCH(ROWS($V$2:V423),$V$2:$V$1001,0),0), INDEX($AC$1004:$AS$1004,1,MATCH(COLUMNS($AC$1006:AH1006),$AC$1006:$AS$1006,0)))),"Fix")))</f>
        <v xml:space="preserve"> </v>
      </c>
      <c r="H423" s="4" t="str">
        <f ca="1">IF(OR(INDEX($W$2:$W$1001,MATCH(ROWS($V$2:V423),$V$2:$V$1001,0),1)&gt;=100000,INDEX($AC$1005:$AS$1005,1,MATCH(COLUMNS($AC$1006:AI1006),$AC$1006:$AS$1006,0))&gt;=100000), " ",IF(INDEX($AC$2:$AS$1001,MATCH(ROWS($V$2:V423),$V$2:$V$1001,0),MATCH(COLUMNS($AC$1006:AI1006),$AC$1006:$AS$1006,0)), HYPERLINK("#",""), HYPERLINK(CONCATENATE("#metadata!", ADDRESS(INDEX($X$2:$X$1001,MATCH(ROWS($V$2:V423),$V$2:$V$1001,0),0), INDEX($AC$1004:$AS$1004,1,MATCH(COLUMNS($AC$1006:AI1006),$AC$1006:$AS$1006,0)))),"Fix")))</f>
        <v xml:space="preserve"> </v>
      </c>
      <c r="I423" s="4" t="str">
        <f ca="1">IF(OR(INDEX($W$2:$W$1001,MATCH(ROWS($V$2:V423),$V$2:$V$1001,0),1)&gt;=100000,INDEX($AC$1005:$AS$1005,1,MATCH(COLUMNS($AC$1006:AJ1006),$AC$1006:$AS$1006,0))&gt;=100000), " ",IF(INDEX($AC$2:$AS$1001,MATCH(ROWS($V$2:V423),$V$2:$V$1001,0),MATCH(COLUMNS($AC$1006:AJ1006),$AC$1006:$AS$1006,0)), HYPERLINK("#",""), HYPERLINK(CONCATENATE("#metadata!", ADDRESS(INDEX($X$2:$X$1001,MATCH(ROWS($V$2:V423),$V$2:$V$1001,0),0), INDEX($AC$1004:$AS$1004,1,MATCH(COLUMNS($AC$1006:AJ1006),$AC$1006:$AS$1006,0)))),"Fix")))</f>
        <v xml:space="preserve"> </v>
      </c>
      <c r="J423" s="4" t="str">
        <f ca="1">IF(OR(INDEX($W$2:$W$1001,MATCH(ROWS($V$2:V423),$V$2:$V$1001,0),1)&gt;=100000,INDEX($AC$1005:$AS$1005,1,MATCH(COLUMNS($AC$1006:AK1006),$AC$1006:$AS$1006,0))&gt;=100000), " ",IF(INDEX($AC$2:$AS$1001,MATCH(ROWS($V$2:V423),$V$2:$V$1001,0),MATCH(COLUMNS($AC$1006:AK1006),$AC$1006:$AS$1006,0)), HYPERLINK("#",""), HYPERLINK(CONCATENATE("#metadata!", ADDRESS(INDEX($X$2:$X$1001,MATCH(ROWS($V$2:V423),$V$2:$V$1001,0),0), INDEX($AC$1004:$AS$1004,1,MATCH(COLUMNS($AC$1006:AK1006),$AC$1006:$AS$1006,0)))),"Fix")))</f>
        <v xml:space="preserve"> </v>
      </c>
      <c r="K423" s="4" t="str">
        <f ca="1">IF(OR(INDEX($W$2:$W$1001,MATCH(ROWS($V$2:V423),$V$2:$V$1001,0),1)&gt;=100000,INDEX($AC$1005:$AS$1005,1,MATCH(COLUMNS($AC$1006:AL1006),$AC$1006:$AS$1006,0))&gt;=100000), " ",IF(INDEX($AC$2:$AS$1001,MATCH(ROWS($V$2:V423),$V$2:$V$1001,0),MATCH(COLUMNS($AC$1006:AL1006),$AC$1006:$AS$1006,0)), HYPERLINK("#",""), HYPERLINK(CONCATENATE("#metadata!", ADDRESS(INDEX($X$2:$X$1001,MATCH(ROWS($V$2:V423),$V$2:$V$1001,0),0), INDEX($AC$1004:$AS$1004,1,MATCH(COLUMNS($AC$1006:AL1006),$AC$1006:$AS$1006,0)))),"Fix")))</f>
        <v xml:space="preserve"> </v>
      </c>
      <c r="L423" s="4" t="str">
        <f ca="1">IF(OR(INDEX($W$2:$W$1001,MATCH(ROWS($V$2:V423),$V$2:$V$1001,0),1)&gt;=100000,INDEX($AC$1005:$AS$1005,1,MATCH(COLUMNS($AC$1006:AM1006),$AC$1006:$AS$1006,0))&gt;=100000), " ",IF(INDEX($AC$2:$AS$1001,MATCH(ROWS($V$2:V423),$V$2:$V$1001,0),MATCH(COLUMNS($AC$1006:AM1006),$AC$1006:$AS$1006,0)), HYPERLINK("#",""), HYPERLINK(CONCATENATE("#metadata!", ADDRESS(INDEX($X$2:$X$1001,MATCH(ROWS($V$2:V423),$V$2:$V$1001,0),0), INDEX($AC$1004:$AS$1004,1,MATCH(COLUMNS($AC$1006:AM1006),$AC$1006:$AS$1006,0)))),"Fix")))</f>
        <v xml:space="preserve"> </v>
      </c>
      <c r="M423" s="4" t="str">
        <f ca="1">IF(OR(INDEX($W$2:$W$1001,MATCH(ROWS($V$2:V423),$V$2:$V$1001,0),1)&gt;=100000,INDEX($AC$1005:$AS$1005,1,MATCH(COLUMNS($AC$1006:AN1006),$AC$1006:$AS$1006,0))&gt;=100000), " ",IF(INDEX($AC$2:$AS$1001,MATCH(ROWS($V$2:V423),$V$2:$V$1001,0),MATCH(COLUMNS($AC$1006:AN1006),$AC$1006:$AS$1006,0)), HYPERLINK("#",""), HYPERLINK(CONCATENATE("#metadata!", ADDRESS(INDEX($X$2:$X$1001,MATCH(ROWS($V$2:V423),$V$2:$V$1001,0),0), INDEX($AC$1004:$AS$1004,1,MATCH(COLUMNS($AC$1006:AN1006),$AC$1006:$AS$1006,0)))),"Fix")))</f>
        <v xml:space="preserve"> </v>
      </c>
      <c r="N423" s="4" t="str">
        <f ca="1">IF(OR(INDEX($W$2:$W$1001,MATCH(ROWS($V$2:V423),$V$2:$V$1001,0),1)&gt;=100000,INDEX($AC$1005:$AS$1005,1,MATCH(COLUMNS($AC$1006:AO1006),$AC$1006:$AS$1006,0))&gt;=100000), " ",IF(INDEX($AC$2:$AS$1001,MATCH(ROWS($V$2:V423),$V$2:$V$1001,0),MATCH(COLUMNS($AC$1006:AO1006),$AC$1006:$AS$1006,0)), HYPERLINK("#",""), HYPERLINK(CONCATENATE("#metadata!", ADDRESS(INDEX($X$2:$X$1001,MATCH(ROWS($V$2:V423),$V$2:$V$1001,0),0), INDEX($AC$1004:$AS$1004,1,MATCH(COLUMNS($AC$1006:AO1006),$AC$1006:$AS$1006,0)))),"Fix")))</f>
        <v xml:space="preserve"> </v>
      </c>
      <c r="O423" s="4" t="str">
        <f ca="1">IF(OR(INDEX($W$2:$W$1001,MATCH(ROWS($V$2:V423),$V$2:$V$1001,0),1)&gt;=100000,INDEX($AC$1005:$AS$1005,1,MATCH(COLUMNS($AC$1006:AP1006),$AC$1006:$AS$1006,0))&gt;=100000), " ",IF(INDEX($AC$2:$AS$1001,MATCH(ROWS($V$2:V423),$V$2:$V$1001,0),MATCH(COLUMNS($AC$1006:AP1006),$AC$1006:$AS$1006,0)), HYPERLINK("#",""), HYPERLINK(CONCATENATE("#metadata!", ADDRESS(INDEX($X$2:$X$1001,MATCH(ROWS($V$2:V423),$V$2:$V$1001,0),0), INDEX($AC$1004:$AS$1004,1,MATCH(COLUMNS($AC$1006:AP1006),$AC$1006:$AS$1006,0)))),"Fix")))</f>
        <v xml:space="preserve"> </v>
      </c>
      <c r="P423" s="4" t="str">
        <f ca="1">IF(OR(INDEX($W$2:$W$1001,MATCH(ROWS($V$2:V423),$V$2:$V$1001,0),1)&gt;=100000,INDEX($AC$1005:$AS$1005,1,MATCH(COLUMNS($AC$1006:AQ1006),$AC$1006:$AS$1006,0))&gt;=100000), " ",IF(INDEX($AC$2:$AS$1001,MATCH(ROWS($V$2:V423),$V$2:$V$1001,0),MATCH(COLUMNS($AC$1006:AQ1006),$AC$1006:$AS$1006,0)), HYPERLINK("#",""), HYPERLINK(CONCATENATE("#metadata!", ADDRESS(INDEX($X$2:$X$1001,MATCH(ROWS($V$2:V423),$V$2:$V$1001,0),0), INDEX($AC$1004:$AS$1004,1,MATCH(COLUMNS($AC$1006:AQ1006),$AC$1006:$AS$1006,0)))),"Fix")))</f>
        <v xml:space="preserve"> </v>
      </c>
      <c r="Q423" s="4" t="str">
        <f ca="1">IF(OR(INDEX($W$2:$W$1001,MATCH(ROWS($V$2:V423),$V$2:$V$1001,0),1)&gt;=100000,INDEX($AC$1005:$AS$1005,1,MATCH(COLUMNS($AC$1006:AR1006),$AC$1006:$AS$1006,0))&gt;=100000), " ",IF(INDEX($AC$2:$AS$1001,MATCH(ROWS($V$2:V423),$V$2:$V$1001,0),MATCH(COLUMNS($AC$1006:AR1006),$AC$1006:$AS$1006,0)), HYPERLINK("#",""), HYPERLINK(CONCATENATE("#metadata!", ADDRESS(INDEX($X$2:$X$1001,MATCH(ROWS($V$2:V423),$V$2:$V$1001,0),0), INDEX($AC$1004:$AS$1004,1,MATCH(COLUMNS($AC$1006:AR1006),$AC$1006:$AS$1006,0)))),"Fix")))</f>
        <v xml:space="preserve"> </v>
      </c>
      <c r="R423" s="4" t="str">
        <f ca="1">IF(OR(INDEX($W$2:$W$1001,MATCH(ROWS($V$2:V423),$V$2:$V$1001,0),1)&gt;=100000,INDEX($AC$1005:$AS$1005,1,MATCH(COLUMNS($AC$1006:AS1006),$AC$1006:$AS$1006,0))&gt;=100000), " ",IF(INDEX($AC$2:$AS$1001,MATCH(ROWS($V$2:V423),$V$2:$V$1001,0),MATCH(COLUMNS($AC$1006:AS1006),$AC$1006:$AS$1006,0)), HYPERLINK("#",""), HYPERLINK(CONCATENATE("#metadata!", ADDRESS(INDEX($X$2:$X$1001,MATCH(ROWS($V$2:V423),$V$2:$V$1001,0),0), INDEX($AC$1004:$AS$1004,1,MATCH(COLUMNS($AC$1006:AS1006),$AC$1006:$AS$1006,0)))),"Fix")))</f>
        <v xml:space="preserve"> </v>
      </c>
      <c r="V423">
        <v>422</v>
      </c>
      <c r="W423">
        <v>100423</v>
      </c>
      <c r="X423">
        <v>423</v>
      </c>
      <c r="Y423" t="b">
        <f t="shared" si="6"/>
        <v>1</v>
      </c>
      <c r="Z423" t="b">
        <f>COUNTBLANK(metadata!B423:R423)=COLUMNS(metadata!B423:R423)</f>
        <v>1</v>
      </c>
      <c r="AA423" t="str">
        <v/>
      </c>
      <c r="AC423" t="b">
        <f ca="1"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AD423" t="b">
        <f>IF(metadata!C423="",FALSE,ISNUMBER(VALUE(metadata!C423)))</f>
        <v>0</v>
      </c>
      <c r="AE423" t="b">
        <f>AND(IF(metadata!D423="",FALSE,TRUE),EXACT(metadata!D423,"years"))</f>
        <v>0</v>
      </c>
      <c r="AF423" t="b">
        <f>OR(AND(IF(metadata!E423="",FALSE,TRUE),OR(EXACT(metadata!E423,"not applicable"),EXACT(metadata!E423,"missing: not collected"),EXACT(metadata!E423,"missing: not provided"),EXACT(metadata!E423,"missing: restricted access"))),AND(IF(metadata!E423="",FALSE,ISNUMBER(VALUE(metadata!E423))),metadata!E423&gt;0))</f>
        <v>0</v>
      </c>
      <c r="AG423" t="b">
        <f>AND(IF(metadata!F423="",FALSE,TRUE),EXACT(metadata!F423,"Not applicable"))</f>
        <v>0</v>
      </c>
      <c r="AH423" t="b">
        <f>AND(IF(metadata!G423="",FALSE,TRUE),EXACT(metadata!G423,"urban biome"))</f>
        <v>0</v>
      </c>
      <c r="AI423" t="b">
        <f>AND(IF(metadata!H423="",FALSE,TRUE),EXACT(metadata!H423,"human-associated habitat"))</f>
        <v>0</v>
      </c>
      <c r="AJ423" t="b">
        <f>AND(IF(metadata!I423="",FALSE,TRUE),OR(EXACT(metadata!I423,"human-associated"),EXACT(metadata!I423,"human-skin"),EXACT(metadata!I423,"human-oral"),EXACT(metadata!I423,"human-gut"),EXACT(metadata!I423,"human-vaginal")))</f>
        <v>0</v>
      </c>
      <c r="AK423" t="b">
        <f>IF(metadata!J423="",FALSE,ISNUMBER(VALUE(metadata!J423)))</f>
        <v>0</v>
      </c>
      <c r="AL423" t="b">
        <f>AND(IF(metadata!K423="",FALSE,TRUE),EXACT(metadata!K423,"cm"))</f>
        <v>0</v>
      </c>
      <c r="AM423" t="b">
        <f>AND(IF(metadata!L423="",FALSE,TRUE),EXACT(metadata!L423,"human"))</f>
        <v>0</v>
      </c>
      <c r="AN423" t="b">
        <f>AND(IF(metadata!M423="",FALSE,TRUE),EXACT(metadata!M423,"Homo sapiens"))</f>
        <v>0</v>
      </c>
      <c r="AO423" t="b">
        <f>AND(IF(metadata!N423="",FALSE,TRUE),EXACT(metadata!N423,"9606"))</f>
        <v>0</v>
      </c>
      <c r="AP423" t="b">
        <f>IF(metadata!O423="",FALSE,TRUE)</f>
        <v>0</v>
      </c>
      <c r="AQ423" t="b">
        <f>IF(metadata!P423="",FALSE,TRUE)</f>
        <v>0</v>
      </c>
      <c r="AR423" t="b">
        <f>IF(metadata!Q423="",FALSE,ISNUMBER(VALUE(metadata!Q423)))</f>
        <v>0</v>
      </c>
      <c r="AS423" t="b">
        <f>AND(IF(metadata!R423="",FALSE,TRUE),EXACT(metadata!R423,"kg"))</f>
        <v>0</v>
      </c>
    </row>
    <row r="424" spans="1:45" x14ac:dyDescent="0.2">
      <c r="A424" s="5" t="str">
        <f ca="1">IF(B424=" "," ",HYPERLINK(CONCATENATE("#metadata!",ADDRESS(INDEX($X$2:$X$1001,MATCH(ROWS($V$2:V424),$V$2:$V$1001,0),0),1)),INDEX($AA$2:$AA$1001,MATCH(ROWS($V$2:V424),$V$2:$V$1001,0),0)))</f>
        <v xml:space="preserve"> </v>
      </c>
      <c r="B424" s="4" t="str">
        <f ca="1">IF(OR(INDEX($W$2:$W$1001,MATCH(ROWS($V$2:V424),$V$2:$V$1001,0),1)&gt;=100000,INDEX($AC$1005:$AS$1005,1,MATCH(COLUMNS($AC$1006:AC1006),$AC$1006:$AS$1006,0))&gt;=100000), " ",IF(INDEX($AC$2:$AS$1001,MATCH(ROWS($V$2:V424),$V$2:$V$1001,0),MATCH(COLUMNS($AC$1006:AC1006),$AC$1006:$AS$1006,0)), HYPERLINK("#",""), HYPERLINK(CONCATENATE("#metadata!", ADDRESS(INDEX($X$2:$X$1001,MATCH(ROWS($V$2:V424),$V$2:$V$1001,0),0), INDEX($AC$1004:$AS$1004,1,MATCH(COLUMNS($AC$1006:AC1006),$AC$1006:$AS$1006,0)))),"Fix")))</f>
        <v xml:space="preserve"> </v>
      </c>
      <c r="C424" s="4" t="str">
        <f ca="1">IF(OR(INDEX($W$2:$W$1001,MATCH(ROWS($V$2:V424),$V$2:$V$1001,0),1)&gt;=100000,INDEX($AC$1005:$AS$1005,1,MATCH(COLUMNS($AC$1006:AD1006),$AC$1006:$AS$1006,0))&gt;=100000), " ",IF(INDEX($AC$2:$AS$1001,MATCH(ROWS($V$2:V424),$V$2:$V$1001,0),MATCH(COLUMNS($AC$1006:AD1006),$AC$1006:$AS$1006,0)), HYPERLINK("#",""), HYPERLINK(CONCATENATE("#metadata!", ADDRESS(INDEX($X$2:$X$1001,MATCH(ROWS($V$2:V424),$V$2:$V$1001,0),0), INDEX($AC$1004:$AS$1004,1,MATCH(COLUMNS($AC$1006:AD1006),$AC$1006:$AS$1006,0)))),"Fix")))</f>
        <v xml:space="preserve"> </v>
      </c>
      <c r="D424" s="4" t="str">
        <f ca="1">IF(OR(INDEX($W$2:$W$1001,MATCH(ROWS($V$2:V424),$V$2:$V$1001,0),1)&gt;=100000,INDEX($AC$1005:$AS$1005,1,MATCH(COLUMNS($AC$1006:AE1006),$AC$1006:$AS$1006,0))&gt;=100000), " ",IF(INDEX($AC$2:$AS$1001,MATCH(ROWS($V$2:V424),$V$2:$V$1001,0),MATCH(COLUMNS($AC$1006:AE1006),$AC$1006:$AS$1006,0)), HYPERLINK("#",""), HYPERLINK(CONCATENATE("#metadata!", ADDRESS(INDEX($X$2:$X$1001,MATCH(ROWS($V$2:V424),$V$2:$V$1001,0),0), INDEX($AC$1004:$AS$1004,1,MATCH(COLUMNS($AC$1006:AE1006),$AC$1006:$AS$1006,0)))),"Fix")))</f>
        <v xml:space="preserve"> </v>
      </c>
      <c r="E424" s="4" t="str">
        <f ca="1">IF(OR(INDEX($W$2:$W$1001,MATCH(ROWS($V$2:V424),$V$2:$V$1001,0),1)&gt;=100000,INDEX($AC$1005:$AS$1005,1,MATCH(COLUMNS($AC$1006:AF1006),$AC$1006:$AS$1006,0))&gt;=100000), " ",IF(INDEX($AC$2:$AS$1001,MATCH(ROWS($V$2:V424),$V$2:$V$1001,0),MATCH(COLUMNS($AC$1006:AF1006),$AC$1006:$AS$1006,0)), HYPERLINK("#",""), HYPERLINK(CONCATENATE("#metadata!", ADDRESS(INDEX($X$2:$X$1001,MATCH(ROWS($V$2:V424),$V$2:$V$1001,0),0), INDEX($AC$1004:$AS$1004,1,MATCH(COLUMNS($AC$1006:AF1006),$AC$1006:$AS$1006,0)))),"Fix")))</f>
        <v xml:space="preserve"> </v>
      </c>
      <c r="F424" s="4" t="str">
        <f ca="1">IF(OR(INDEX($W$2:$W$1001,MATCH(ROWS($V$2:V424),$V$2:$V$1001,0),1)&gt;=100000,INDEX($AC$1005:$AS$1005,1,MATCH(COLUMNS($AC$1006:AG1006),$AC$1006:$AS$1006,0))&gt;=100000), " ",IF(INDEX($AC$2:$AS$1001,MATCH(ROWS($V$2:V424),$V$2:$V$1001,0),MATCH(COLUMNS($AC$1006:AG1006),$AC$1006:$AS$1006,0)), HYPERLINK("#",""), HYPERLINK(CONCATENATE("#metadata!", ADDRESS(INDEX($X$2:$X$1001,MATCH(ROWS($V$2:V424),$V$2:$V$1001,0),0), INDEX($AC$1004:$AS$1004,1,MATCH(COLUMNS($AC$1006:AG1006),$AC$1006:$AS$1006,0)))),"Fix")))</f>
        <v xml:space="preserve"> </v>
      </c>
      <c r="G424" s="4" t="str">
        <f ca="1">IF(OR(INDEX($W$2:$W$1001,MATCH(ROWS($V$2:V424),$V$2:$V$1001,0),1)&gt;=100000,INDEX($AC$1005:$AS$1005,1,MATCH(COLUMNS($AC$1006:AH1006),$AC$1006:$AS$1006,0))&gt;=100000), " ",IF(INDEX($AC$2:$AS$1001,MATCH(ROWS($V$2:V424),$V$2:$V$1001,0),MATCH(COLUMNS($AC$1006:AH1006),$AC$1006:$AS$1006,0)), HYPERLINK("#",""), HYPERLINK(CONCATENATE("#metadata!", ADDRESS(INDEX($X$2:$X$1001,MATCH(ROWS($V$2:V424),$V$2:$V$1001,0),0), INDEX($AC$1004:$AS$1004,1,MATCH(COLUMNS($AC$1006:AH1006),$AC$1006:$AS$1006,0)))),"Fix")))</f>
        <v xml:space="preserve"> </v>
      </c>
      <c r="H424" s="4" t="str">
        <f ca="1">IF(OR(INDEX($W$2:$W$1001,MATCH(ROWS($V$2:V424),$V$2:$V$1001,0),1)&gt;=100000,INDEX($AC$1005:$AS$1005,1,MATCH(COLUMNS($AC$1006:AI1006),$AC$1006:$AS$1006,0))&gt;=100000), " ",IF(INDEX($AC$2:$AS$1001,MATCH(ROWS($V$2:V424),$V$2:$V$1001,0),MATCH(COLUMNS($AC$1006:AI1006),$AC$1006:$AS$1006,0)), HYPERLINK("#",""), HYPERLINK(CONCATENATE("#metadata!", ADDRESS(INDEX($X$2:$X$1001,MATCH(ROWS($V$2:V424),$V$2:$V$1001,0),0), INDEX($AC$1004:$AS$1004,1,MATCH(COLUMNS($AC$1006:AI1006),$AC$1006:$AS$1006,0)))),"Fix")))</f>
        <v xml:space="preserve"> </v>
      </c>
      <c r="I424" s="4" t="str">
        <f ca="1">IF(OR(INDEX($W$2:$W$1001,MATCH(ROWS($V$2:V424),$V$2:$V$1001,0),1)&gt;=100000,INDEX($AC$1005:$AS$1005,1,MATCH(COLUMNS($AC$1006:AJ1006),$AC$1006:$AS$1006,0))&gt;=100000), " ",IF(INDEX($AC$2:$AS$1001,MATCH(ROWS($V$2:V424),$V$2:$V$1001,0),MATCH(COLUMNS($AC$1006:AJ1006),$AC$1006:$AS$1006,0)), HYPERLINK("#",""), HYPERLINK(CONCATENATE("#metadata!", ADDRESS(INDEX($X$2:$X$1001,MATCH(ROWS($V$2:V424),$V$2:$V$1001,0),0), INDEX($AC$1004:$AS$1004,1,MATCH(COLUMNS($AC$1006:AJ1006),$AC$1006:$AS$1006,0)))),"Fix")))</f>
        <v xml:space="preserve"> </v>
      </c>
      <c r="J424" s="4" t="str">
        <f ca="1">IF(OR(INDEX($W$2:$W$1001,MATCH(ROWS($V$2:V424),$V$2:$V$1001,0),1)&gt;=100000,INDEX($AC$1005:$AS$1005,1,MATCH(COLUMNS($AC$1006:AK1006),$AC$1006:$AS$1006,0))&gt;=100000), " ",IF(INDEX($AC$2:$AS$1001,MATCH(ROWS($V$2:V424),$V$2:$V$1001,0),MATCH(COLUMNS($AC$1006:AK1006),$AC$1006:$AS$1006,0)), HYPERLINK("#",""), HYPERLINK(CONCATENATE("#metadata!", ADDRESS(INDEX($X$2:$X$1001,MATCH(ROWS($V$2:V424),$V$2:$V$1001,0),0), INDEX($AC$1004:$AS$1004,1,MATCH(COLUMNS($AC$1006:AK1006),$AC$1006:$AS$1006,0)))),"Fix")))</f>
        <v xml:space="preserve"> </v>
      </c>
      <c r="K424" s="4" t="str">
        <f ca="1">IF(OR(INDEX($W$2:$W$1001,MATCH(ROWS($V$2:V424),$V$2:$V$1001,0),1)&gt;=100000,INDEX($AC$1005:$AS$1005,1,MATCH(COLUMNS($AC$1006:AL1006),$AC$1006:$AS$1006,0))&gt;=100000), " ",IF(INDEX($AC$2:$AS$1001,MATCH(ROWS($V$2:V424),$V$2:$V$1001,0),MATCH(COLUMNS($AC$1006:AL1006),$AC$1006:$AS$1006,0)), HYPERLINK("#",""), HYPERLINK(CONCATENATE("#metadata!", ADDRESS(INDEX($X$2:$X$1001,MATCH(ROWS($V$2:V424),$V$2:$V$1001,0),0), INDEX($AC$1004:$AS$1004,1,MATCH(COLUMNS($AC$1006:AL1006),$AC$1006:$AS$1006,0)))),"Fix")))</f>
        <v xml:space="preserve"> </v>
      </c>
      <c r="L424" s="4" t="str">
        <f ca="1">IF(OR(INDEX($W$2:$W$1001,MATCH(ROWS($V$2:V424),$V$2:$V$1001,0),1)&gt;=100000,INDEX($AC$1005:$AS$1005,1,MATCH(COLUMNS($AC$1006:AM1006),$AC$1006:$AS$1006,0))&gt;=100000), " ",IF(INDEX($AC$2:$AS$1001,MATCH(ROWS($V$2:V424),$V$2:$V$1001,0),MATCH(COLUMNS($AC$1006:AM1006),$AC$1006:$AS$1006,0)), HYPERLINK("#",""), HYPERLINK(CONCATENATE("#metadata!", ADDRESS(INDEX($X$2:$X$1001,MATCH(ROWS($V$2:V424),$V$2:$V$1001,0),0), INDEX($AC$1004:$AS$1004,1,MATCH(COLUMNS($AC$1006:AM1006),$AC$1006:$AS$1006,0)))),"Fix")))</f>
        <v xml:space="preserve"> </v>
      </c>
      <c r="M424" s="4" t="str">
        <f ca="1">IF(OR(INDEX($W$2:$W$1001,MATCH(ROWS($V$2:V424),$V$2:$V$1001,0),1)&gt;=100000,INDEX($AC$1005:$AS$1005,1,MATCH(COLUMNS($AC$1006:AN1006),$AC$1006:$AS$1006,0))&gt;=100000), " ",IF(INDEX($AC$2:$AS$1001,MATCH(ROWS($V$2:V424),$V$2:$V$1001,0),MATCH(COLUMNS($AC$1006:AN1006),$AC$1006:$AS$1006,0)), HYPERLINK("#",""), HYPERLINK(CONCATENATE("#metadata!", ADDRESS(INDEX($X$2:$X$1001,MATCH(ROWS($V$2:V424),$V$2:$V$1001,0),0), INDEX($AC$1004:$AS$1004,1,MATCH(COLUMNS($AC$1006:AN1006),$AC$1006:$AS$1006,0)))),"Fix")))</f>
        <v xml:space="preserve"> </v>
      </c>
      <c r="N424" s="4" t="str">
        <f ca="1">IF(OR(INDEX($W$2:$W$1001,MATCH(ROWS($V$2:V424),$V$2:$V$1001,0),1)&gt;=100000,INDEX($AC$1005:$AS$1005,1,MATCH(COLUMNS($AC$1006:AO1006),$AC$1006:$AS$1006,0))&gt;=100000), " ",IF(INDEX($AC$2:$AS$1001,MATCH(ROWS($V$2:V424),$V$2:$V$1001,0),MATCH(COLUMNS($AC$1006:AO1006),$AC$1006:$AS$1006,0)), HYPERLINK("#",""), HYPERLINK(CONCATENATE("#metadata!", ADDRESS(INDEX($X$2:$X$1001,MATCH(ROWS($V$2:V424),$V$2:$V$1001,0),0), INDEX($AC$1004:$AS$1004,1,MATCH(COLUMNS($AC$1006:AO1006),$AC$1006:$AS$1006,0)))),"Fix")))</f>
        <v xml:space="preserve"> </v>
      </c>
      <c r="O424" s="4" t="str">
        <f ca="1">IF(OR(INDEX($W$2:$W$1001,MATCH(ROWS($V$2:V424),$V$2:$V$1001,0),1)&gt;=100000,INDEX($AC$1005:$AS$1005,1,MATCH(COLUMNS($AC$1006:AP1006),$AC$1006:$AS$1006,0))&gt;=100000), " ",IF(INDEX($AC$2:$AS$1001,MATCH(ROWS($V$2:V424),$V$2:$V$1001,0),MATCH(COLUMNS($AC$1006:AP1006),$AC$1006:$AS$1006,0)), HYPERLINK("#",""), HYPERLINK(CONCATENATE("#metadata!", ADDRESS(INDEX($X$2:$X$1001,MATCH(ROWS($V$2:V424),$V$2:$V$1001,0),0), INDEX($AC$1004:$AS$1004,1,MATCH(COLUMNS($AC$1006:AP1006),$AC$1006:$AS$1006,0)))),"Fix")))</f>
        <v xml:space="preserve"> </v>
      </c>
      <c r="P424" s="4" t="str">
        <f ca="1">IF(OR(INDEX($W$2:$W$1001,MATCH(ROWS($V$2:V424),$V$2:$V$1001,0),1)&gt;=100000,INDEX($AC$1005:$AS$1005,1,MATCH(COLUMNS($AC$1006:AQ1006),$AC$1006:$AS$1006,0))&gt;=100000), " ",IF(INDEX($AC$2:$AS$1001,MATCH(ROWS($V$2:V424),$V$2:$V$1001,0),MATCH(COLUMNS($AC$1006:AQ1006),$AC$1006:$AS$1006,0)), HYPERLINK("#",""), HYPERLINK(CONCATENATE("#metadata!", ADDRESS(INDEX($X$2:$X$1001,MATCH(ROWS($V$2:V424),$V$2:$V$1001,0),0), INDEX($AC$1004:$AS$1004,1,MATCH(COLUMNS($AC$1006:AQ1006),$AC$1006:$AS$1006,0)))),"Fix")))</f>
        <v xml:space="preserve"> </v>
      </c>
      <c r="Q424" s="4" t="str">
        <f ca="1">IF(OR(INDEX($W$2:$W$1001,MATCH(ROWS($V$2:V424),$V$2:$V$1001,0),1)&gt;=100000,INDEX($AC$1005:$AS$1005,1,MATCH(COLUMNS($AC$1006:AR1006),$AC$1006:$AS$1006,0))&gt;=100000), " ",IF(INDEX($AC$2:$AS$1001,MATCH(ROWS($V$2:V424),$V$2:$V$1001,0),MATCH(COLUMNS($AC$1006:AR1006),$AC$1006:$AS$1006,0)), HYPERLINK("#",""), HYPERLINK(CONCATENATE("#metadata!", ADDRESS(INDEX($X$2:$X$1001,MATCH(ROWS($V$2:V424),$V$2:$V$1001,0),0), INDEX($AC$1004:$AS$1004,1,MATCH(COLUMNS($AC$1006:AR1006),$AC$1006:$AS$1006,0)))),"Fix")))</f>
        <v xml:space="preserve"> </v>
      </c>
      <c r="R424" s="4" t="str">
        <f ca="1">IF(OR(INDEX($W$2:$W$1001,MATCH(ROWS($V$2:V424),$V$2:$V$1001,0),1)&gt;=100000,INDEX($AC$1005:$AS$1005,1,MATCH(COLUMNS($AC$1006:AS1006),$AC$1006:$AS$1006,0))&gt;=100000), " ",IF(INDEX($AC$2:$AS$1001,MATCH(ROWS($V$2:V424),$V$2:$V$1001,0),MATCH(COLUMNS($AC$1006:AS1006),$AC$1006:$AS$1006,0)), HYPERLINK("#",""), HYPERLINK(CONCATENATE("#metadata!", ADDRESS(INDEX($X$2:$X$1001,MATCH(ROWS($V$2:V424),$V$2:$V$1001,0),0), INDEX($AC$1004:$AS$1004,1,MATCH(COLUMNS($AC$1006:AS1006),$AC$1006:$AS$1006,0)))),"Fix")))</f>
        <v xml:space="preserve"> </v>
      </c>
      <c r="V424">
        <v>423</v>
      </c>
      <c r="W424">
        <v>100424</v>
      </c>
      <c r="X424">
        <v>424</v>
      </c>
      <c r="Y424" t="b">
        <f t="shared" si="6"/>
        <v>1</v>
      </c>
      <c r="Z424" t="b">
        <f>COUNTBLANK(metadata!B424:R424)=COLUMNS(metadata!B424:R424)</f>
        <v>1</v>
      </c>
      <c r="AA424" t="str">
        <v/>
      </c>
      <c r="AC424" t="b">
        <f ca="1"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AD424" t="b">
        <f>IF(metadata!C424="",FALSE,ISNUMBER(VALUE(metadata!C424)))</f>
        <v>0</v>
      </c>
      <c r="AE424" t="b">
        <f>AND(IF(metadata!D424="",FALSE,TRUE),EXACT(metadata!D424,"years"))</f>
        <v>0</v>
      </c>
      <c r="AF424" t="b">
        <f>OR(AND(IF(metadata!E424="",FALSE,TRUE),OR(EXACT(metadata!E424,"not applicable"),EXACT(metadata!E424,"missing: not collected"),EXACT(metadata!E424,"missing: not provided"),EXACT(metadata!E424,"missing: restricted access"))),AND(IF(metadata!E424="",FALSE,ISNUMBER(VALUE(metadata!E424))),metadata!E424&gt;0))</f>
        <v>0</v>
      </c>
      <c r="AG424" t="b">
        <f>AND(IF(metadata!F424="",FALSE,TRUE),EXACT(metadata!F424,"Not applicable"))</f>
        <v>0</v>
      </c>
      <c r="AH424" t="b">
        <f>AND(IF(metadata!G424="",FALSE,TRUE),EXACT(metadata!G424,"urban biome"))</f>
        <v>0</v>
      </c>
      <c r="AI424" t="b">
        <f>AND(IF(metadata!H424="",FALSE,TRUE),EXACT(metadata!H424,"human-associated habitat"))</f>
        <v>0</v>
      </c>
      <c r="AJ424" t="b">
        <f>AND(IF(metadata!I424="",FALSE,TRUE),OR(EXACT(metadata!I424,"human-associated"),EXACT(metadata!I424,"human-skin"),EXACT(metadata!I424,"human-oral"),EXACT(metadata!I424,"human-gut"),EXACT(metadata!I424,"human-vaginal")))</f>
        <v>0</v>
      </c>
      <c r="AK424" t="b">
        <f>IF(metadata!J424="",FALSE,ISNUMBER(VALUE(metadata!J424)))</f>
        <v>0</v>
      </c>
      <c r="AL424" t="b">
        <f>AND(IF(metadata!K424="",FALSE,TRUE),EXACT(metadata!K424,"cm"))</f>
        <v>0</v>
      </c>
      <c r="AM424" t="b">
        <f>AND(IF(metadata!L424="",FALSE,TRUE),EXACT(metadata!L424,"human"))</f>
        <v>0</v>
      </c>
      <c r="AN424" t="b">
        <f>AND(IF(metadata!M424="",FALSE,TRUE),EXACT(metadata!M424,"Homo sapiens"))</f>
        <v>0</v>
      </c>
      <c r="AO424" t="b">
        <f>AND(IF(metadata!N424="",FALSE,TRUE),EXACT(metadata!N424,"9606"))</f>
        <v>0</v>
      </c>
      <c r="AP424" t="b">
        <f>IF(metadata!O424="",FALSE,TRUE)</f>
        <v>0</v>
      </c>
      <c r="AQ424" t="b">
        <f>IF(metadata!P424="",FALSE,TRUE)</f>
        <v>0</v>
      </c>
      <c r="AR424" t="b">
        <f>IF(metadata!Q424="",FALSE,ISNUMBER(VALUE(metadata!Q424)))</f>
        <v>0</v>
      </c>
      <c r="AS424" t="b">
        <f>AND(IF(metadata!R424="",FALSE,TRUE),EXACT(metadata!R424,"kg"))</f>
        <v>0</v>
      </c>
    </row>
    <row r="425" spans="1:45" x14ac:dyDescent="0.2">
      <c r="A425" s="5" t="str">
        <f ca="1">IF(B425=" "," ",HYPERLINK(CONCATENATE("#metadata!",ADDRESS(INDEX($X$2:$X$1001,MATCH(ROWS($V$2:V425),$V$2:$V$1001,0),0),1)),INDEX($AA$2:$AA$1001,MATCH(ROWS($V$2:V425),$V$2:$V$1001,0),0)))</f>
        <v xml:space="preserve"> </v>
      </c>
      <c r="B425" s="4" t="str">
        <f ca="1">IF(OR(INDEX($W$2:$W$1001,MATCH(ROWS($V$2:V425),$V$2:$V$1001,0),1)&gt;=100000,INDEX($AC$1005:$AS$1005,1,MATCH(COLUMNS($AC$1006:AC1006),$AC$1006:$AS$1006,0))&gt;=100000), " ",IF(INDEX($AC$2:$AS$1001,MATCH(ROWS($V$2:V425),$V$2:$V$1001,0),MATCH(COLUMNS($AC$1006:AC1006),$AC$1006:$AS$1006,0)), HYPERLINK("#",""), HYPERLINK(CONCATENATE("#metadata!", ADDRESS(INDEX($X$2:$X$1001,MATCH(ROWS($V$2:V425),$V$2:$V$1001,0),0), INDEX($AC$1004:$AS$1004,1,MATCH(COLUMNS($AC$1006:AC1006),$AC$1006:$AS$1006,0)))),"Fix")))</f>
        <v xml:space="preserve"> </v>
      </c>
      <c r="C425" s="4" t="str">
        <f ca="1">IF(OR(INDEX($W$2:$W$1001,MATCH(ROWS($V$2:V425),$V$2:$V$1001,0),1)&gt;=100000,INDEX($AC$1005:$AS$1005,1,MATCH(COLUMNS($AC$1006:AD1006),$AC$1006:$AS$1006,0))&gt;=100000), " ",IF(INDEX($AC$2:$AS$1001,MATCH(ROWS($V$2:V425),$V$2:$V$1001,0),MATCH(COLUMNS($AC$1006:AD1006),$AC$1006:$AS$1006,0)), HYPERLINK("#",""), HYPERLINK(CONCATENATE("#metadata!", ADDRESS(INDEX($X$2:$X$1001,MATCH(ROWS($V$2:V425),$V$2:$V$1001,0),0), INDEX($AC$1004:$AS$1004,1,MATCH(COLUMNS($AC$1006:AD1006),$AC$1006:$AS$1006,0)))),"Fix")))</f>
        <v xml:space="preserve"> </v>
      </c>
      <c r="D425" s="4" t="str">
        <f ca="1">IF(OR(INDEX($W$2:$W$1001,MATCH(ROWS($V$2:V425),$V$2:$V$1001,0),1)&gt;=100000,INDEX($AC$1005:$AS$1005,1,MATCH(COLUMNS($AC$1006:AE1006),$AC$1006:$AS$1006,0))&gt;=100000), " ",IF(INDEX($AC$2:$AS$1001,MATCH(ROWS($V$2:V425),$V$2:$V$1001,0),MATCH(COLUMNS($AC$1006:AE1006),$AC$1006:$AS$1006,0)), HYPERLINK("#",""), HYPERLINK(CONCATENATE("#metadata!", ADDRESS(INDEX($X$2:$X$1001,MATCH(ROWS($V$2:V425),$V$2:$V$1001,0),0), INDEX($AC$1004:$AS$1004,1,MATCH(COLUMNS($AC$1006:AE1006),$AC$1006:$AS$1006,0)))),"Fix")))</f>
        <v xml:space="preserve"> </v>
      </c>
      <c r="E425" s="4" t="str">
        <f ca="1">IF(OR(INDEX($W$2:$W$1001,MATCH(ROWS($V$2:V425),$V$2:$V$1001,0),1)&gt;=100000,INDEX($AC$1005:$AS$1005,1,MATCH(COLUMNS($AC$1006:AF1006),$AC$1006:$AS$1006,0))&gt;=100000), " ",IF(INDEX($AC$2:$AS$1001,MATCH(ROWS($V$2:V425),$V$2:$V$1001,0),MATCH(COLUMNS($AC$1006:AF1006),$AC$1006:$AS$1006,0)), HYPERLINK("#",""), HYPERLINK(CONCATENATE("#metadata!", ADDRESS(INDEX($X$2:$X$1001,MATCH(ROWS($V$2:V425),$V$2:$V$1001,0),0), INDEX($AC$1004:$AS$1004,1,MATCH(COLUMNS($AC$1006:AF1006),$AC$1006:$AS$1006,0)))),"Fix")))</f>
        <v xml:space="preserve"> </v>
      </c>
      <c r="F425" s="4" t="str">
        <f ca="1">IF(OR(INDEX($W$2:$W$1001,MATCH(ROWS($V$2:V425),$V$2:$V$1001,0),1)&gt;=100000,INDEX($AC$1005:$AS$1005,1,MATCH(COLUMNS($AC$1006:AG1006),$AC$1006:$AS$1006,0))&gt;=100000), " ",IF(INDEX($AC$2:$AS$1001,MATCH(ROWS($V$2:V425),$V$2:$V$1001,0),MATCH(COLUMNS($AC$1006:AG1006),$AC$1006:$AS$1006,0)), HYPERLINK("#",""), HYPERLINK(CONCATENATE("#metadata!", ADDRESS(INDEX($X$2:$X$1001,MATCH(ROWS($V$2:V425),$V$2:$V$1001,0),0), INDEX($AC$1004:$AS$1004,1,MATCH(COLUMNS($AC$1006:AG1006),$AC$1006:$AS$1006,0)))),"Fix")))</f>
        <v xml:space="preserve"> </v>
      </c>
      <c r="G425" s="4" t="str">
        <f ca="1">IF(OR(INDEX($W$2:$W$1001,MATCH(ROWS($V$2:V425),$V$2:$V$1001,0),1)&gt;=100000,INDEX($AC$1005:$AS$1005,1,MATCH(COLUMNS($AC$1006:AH1006),$AC$1006:$AS$1006,0))&gt;=100000), " ",IF(INDEX($AC$2:$AS$1001,MATCH(ROWS($V$2:V425),$V$2:$V$1001,0),MATCH(COLUMNS($AC$1006:AH1006),$AC$1006:$AS$1006,0)), HYPERLINK("#",""), HYPERLINK(CONCATENATE("#metadata!", ADDRESS(INDEX($X$2:$X$1001,MATCH(ROWS($V$2:V425),$V$2:$V$1001,0),0), INDEX($AC$1004:$AS$1004,1,MATCH(COLUMNS($AC$1006:AH1006),$AC$1006:$AS$1006,0)))),"Fix")))</f>
        <v xml:space="preserve"> </v>
      </c>
      <c r="H425" s="4" t="str">
        <f ca="1">IF(OR(INDEX($W$2:$W$1001,MATCH(ROWS($V$2:V425),$V$2:$V$1001,0),1)&gt;=100000,INDEX($AC$1005:$AS$1005,1,MATCH(COLUMNS($AC$1006:AI1006),$AC$1006:$AS$1006,0))&gt;=100000), " ",IF(INDEX($AC$2:$AS$1001,MATCH(ROWS($V$2:V425),$V$2:$V$1001,0),MATCH(COLUMNS($AC$1006:AI1006),$AC$1006:$AS$1006,0)), HYPERLINK("#",""), HYPERLINK(CONCATENATE("#metadata!", ADDRESS(INDEX($X$2:$X$1001,MATCH(ROWS($V$2:V425),$V$2:$V$1001,0),0), INDEX($AC$1004:$AS$1004,1,MATCH(COLUMNS($AC$1006:AI1006),$AC$1006:$AS$1006,0)))),"Fix")))</f>
        <v xml:space="preserve"> </v>
      </c>
      <c r="I425" s="4" t="str">
        <f ca="1">IF(OR(INDEX($W$2:$W$1001,MATCH(ROWS($V$2:V425),$V$2:$V$1001,0),1)&gt;=100000,INDEX($AC$1005:$AS$1005,1,MATCH(COLUMNS($AC$1006:AJ1006),$AC$1006:$AS$1006,0))&gt;=100000), " ",IF(INDEX($AC$2:$AS$1001,MATCH(ROWS($V$2:V425),$V$2:$V$1001,0),MATCH(COLUMNS($AC$1006:AJ1006),$AC$1006:$AS$1006,0)), HYPERLINK("#",""), HYPERLINK(CONCATENATE("#metadata!", ADDRESS(INDEX($X$2:$X$1001,MATCH(ROWS($V$2:V425),$V$2:$V$1001,0),0), INDEX($AC$1004:$AS$1004,1,MATCH(COLUMNS($AC$1006:AJ1006),$AC$1006:$AS$1006,0)))),"Fix")))</f>
        <v xml:space="preserve"> </v>
      </c>
      <c r="J425" s="4" t="str">
        <f ca="1">IF(OR(INDEX($W$2:$W$1001,MATCH(ROWS($V$2:V425),$V$2:$V$1001,0),1)&gt;=100000,INDEX($AC$1005:$AS$1005,1,MATCH(COLUMNS($AC$1006:AK1006),$AC$1006:$AS$1006,0))&gt;=100000), " ",IF(INDEX($AC$2:$AS$1001,MATCH(ROWS($V$2:V425),$V$2:$V$1001,0),MATCH(COLUMNS($AC$1006:AK1006),$AC$1006:$AS$1006,0)), HYPERLINK("#",""), HYPERLINK(CONCATENATE("#metadata!", ADDRESS(INDEX($X$2:$X$1001,MATCH(ROWS($V$2:V425),$V$2:$V$1001,0),0), INDEX($AC$1004:$AS$1004,1,MATCH(COLUMNS($AC$1006:AK1006),$AC$1006:$AS$1006,0)))),"Fix")))</f>
        <v xml:space="preserve"> </v>
      </c>
      <c r="K425" s="4" t="str">
        <f ca="1">IF(OR(INDEX($W$2:$W$1001,MATCH(ROWS($V$2:V425),$V$2:$V$1001,0),1)&gt;=100000,INDEX($AC$1005:$AS$1005,1,MATCH(COLUMNS($AC$1006:AL1006),$AC$1006:$AS$1006,0))&gt;=100000), " ",IF(INDEX($AC$2:$AS$1001,MATCH(ROWS($V$2:V425),$V$2:$V$1001,0),MATCH(COLUMNS($AC$1006:AL1006),$AC$1006:$AS$1006,0)), HYPERLINK("#",""), HYPERLINK(CONCATENATE("#metadata!", ADDRESS(INDEX($X$2:$X$1001,MATCH(ROWS($V$2:V425),$V$2:$V$1001,0),0), INDEX($AC$1004:$AS$1004,1,MATCH(COLUMNS($AC$1006:AL1006),$AC$1006:$AS$1006,0)))),"Fix")))</f>
        <v xml:space="preserve"> </v>
      </c>
      <c r="L425" s="4" t="str">
        <f ca="1">IF(OR(INDEX($W$2:$W$1001,MATCH(ROWS($V$2:V425),$V$2:$V$1001,0),1)&gt;=100000,INDEX($AC$1005:$AS$1005,1,MATCH(COLUMNS($AC$1006:AM1006),$AC$1006:$AS$1006,0))&gt;=100000), " ",IF(INDEX($AC$2:$AS$1001,MATCH(ROWS($V$2:V425),$V$2:$V$1001,0),MATCH(COLUMNS($AC$1006:AM1006),$AC$1006:$AS$1006,0)), HYPERLINK("#",""), HYPERLINK(CONCATENATE("#metadata!", ADDRESS(INDEX($X$2:$X$1001,MATCH(ROWS($V$2:V425),$V$2:$V$1001,0),0), INDEX($AC$1004:$AS$1004,1,MATCH(COLUMNS($AC$1006:AM1006),$AC$1006:$AS$1006,0)))),"Fix")))</f>
        <v xml:space="preserve"> </v>
      </c>
      <c r="M425" s="4" t="str">
        <f ca="1">IF(OR(INDEX($W$2:$W$1001,MATCH(ROWS($V$2:V425),$V$2:$V$1001,0),1)&gt;=100000,INDEX($AC$1005:$AS$1005,1,MATCH(COLUMNS($AC$1006:AN1006),$AC$1006:$AS$1006,0))&gt;=100000), " ",IF(INDEX($AC$2:$AS$1001,MATCH(ROWS($V$2:V425),$V$2:$V$1001,0),MATCH(COLUMNS($AC$1006:AN1006),$AC$1006:$AS$1006,0)), HYPERLINK("#",""), HYPERLINK(CONCATENATE("#metadata!", ADDRESS(INDEX($X$2:$X$1001,MATCH(ROWS($V$2:V425),$V$2:$V$1001,0),0), INDEX($AC$1004:$AS$1004,1,MATCH(COLUMNS($AC$1006:AN1006),$AC$1006:$AS$1006,0)))),"Fix")))</f>
        <v xml:space="preserve"> </v>
      </c>
      <c r="N425" s="4" t="str">
        <f ca="1">IF(OR(INDEX($W$2:$W$1001,MATCH(ROWS($V$2:V425),$V$2:$V$1001,0),1)&gt;=100000,INDEX($AC$1005:$AS$1005,1,MATCH(COLUMNS($AC$1006:AO1006),$AC$1006:$AS$1006,0))&gt;=100000), " ",IF(INDEX($AC$2:$AS$1001,MATCH(ROWS($V$2:V425),$V$2:$V$1001,0),MATCH(COLUMNS($AC$1006:AO1006),$AC$1006:$AS$1006,0)), HYPERLINK("#",""), HYPERLINK(CONCATENATE("#metadata!", ADDRESS(INDEX($X$2:$X$1001,MATCH(ROWS($V$2:V425),$V$2:$V$1001,0),0), INDEX($AC$1004:$AS$1004,1,MATCH(COLUMNS($AC$1006:AO1006),$AC$1006:$AS$1006,0)))),"Fix")))</f>
        <v xml:space="preserve"> </v>
      </c>
      <c r="O425" s="4" t="str">
        <f ca="1">IF(OR(INDEX($W$2:$W$1001,MATCH(ROWS($V$2:V425),$V$2:$V$1001,0),1)&gt;=100000,INDEX($AC$1005:$AS$1005,1,MATCH(COLUMNS($AC$1006:AP1006),$AC$1006:$AS$1006,0))&gt;=100000), " ",IF(INDEX($AC$2:$AS$1001,MATCH(ROWS($V$2:V425),$V$2:$V$1001,0),MATCH(COLUMNS($AC$1006:AP1006),$AC$1006:$AS$1006,0)), HYPERLINK("#",""), HYPERLINK(CONCATENATE("#metadata!", ADDRESS(INDEX($X$2:$X$1001,MATCH(ROWS($V$2:V425),$V$2:$V$1001,0),0), INDEX($AC$1004:$AS$1004,1,MATCH(COLUMNS($AC$1006:AP1006),$AC$1006:$AS$1006,0)))),"Fix")))</f>
        <v xml:space="preserve"> </v>
      </c>
      <c r="P425" s="4" t="str">
        <f ca="1">IF(OR(INDEX($W$2:$W$1001,MATCH(ROWS($V$2:V425),$V$2:$V$1001,0),1)&gt;=100000,INDEX($AC$1005:$AS$1005,1,MATCH(COLUMNS($AC$1006:AQ1006),$AC$1006:$AS$1006,0))&gt;=100000), " ",IF(INDEX($AC$2:$AS$1001,MATCH(ROWS($V$2:V425),$V$2:$V$1001,0),MATCH(COLUMNS($AC$1006:AQ1006),$AC$1006:$AS$1006,0)), HYPERLINK("#",""), HYPERLINK(CONCATENATE("#metadata!", ADDRESS(INDEX($X$2:$X$1001,MATCH(ROWS($V$2:V425),$V$2:$V$1001,0),0), INDEX($AC$1004:$AS$1004,1,MATCH(COLUMNS($AC$1006:AQ1006),$AC$1006:$AS$1006,0)))),"Fix")))</f>
        <v xml:space="preserve"> </v>
      </c>
      <c r="Q425" s="4" t="str">
        <f ca="1">IF(OR(INDEX($W$2:$W$1001,MATCH(ROWS($V$2:V425),$V$2:$V$1001,0),1)&gt;=100000,INDEX($AC$1005:$AS$1005,1,MATCH(COLUMNS($AC$1006:AR1006),$AC$1006:$AS$1006,0))&gt;=100000), " ",IF(INDEX($AC$2:$AS$1001,MATCH(ROWS($V$2:V425),$V$2:$V$1001,0),MATCH(COLUMNS($AC$1006:AR1006),$AC$1006:$AS$1006,0)), HYPERLINK("#",""), HYPERLINK(CONCATENATE("#metadata!", ADDRESS(INDEX($X$2:$X$1001,MATCH(ROWS($V$2:V425),$V$2:$V$1001,0),0), INDEX($AC$1004:$AS$1004,1,MATCH(COLUMNS($AC$1006:AR1006),$AC$1006:$AS$1006,0)))),"Fix")))</f>
        <v xml:space="preserve"> </v>
      </c>
      <c r="R425" s="4" t="str">
        <f ca="1">IF(OR(INDEX($W$2:$W$1001,MATCH(ROWS($V$2:V425),$V$2:$V$1001,0),1)&gt;=100000,INDEX($AC$1005:$AS$1005,1,MATCH(COLUMNS($AC$1006:AS1006),$AC$1006:$AS$1006,0))&gt;=100000), " ",IF(INDEX($AC$2:$AS$1001,MATCH(ROWS($V$2:V425),$V$2:$V$1001,0),MATCH(COLUMNS($AC$1006:AS1006),$AC$1006:$AS$1006,0)), HYPERLINK("#",""), HYPERLINK(CONCATENATE("#metadata!", ADDRESS(INDEX($X$2:$X$1001,MATCH(ROWS($V$2:V425),$V$2:$V$1001,0),0), INDEX($AC$1004:$AS$1004,1,MATCH(COLUMNS($AC$1006:AS1006),$AC$1006:$AS$1006,0)))),"Fix")))</f>
        <v xml:space="preserve"> </v>
      </c>
      <c r="V425">
        <v>424</v>
      </c>
      <c r="W425">
        <v>100425</v>
      </c>
      <c r="X425">
        <v>425</v>
      </c>
      <c r="Y425" t="b">
        <f t="shared" si="6"/>
        <v>1</v>
      </c>
      <c r="Z425" t="b">
        <f>COUNTBLANK(metadata!B425:R425)=COLUMNS(metadata!B425:R425)</f>
        <v>1</v>
      </c>
      <c r="AA425" t="str">
        <v/>
      </c>
      <c r="AC425" t="b">
        <f ca="1"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AD425" t="b">
        <f>IF(metadata!C425="",FALSE,ISNUMBER(VALUE(metadata!C425)))</f>
        <v>0</v>
      </c>
      <c r="AE425" t="b">
        <f>AND(IF(metadata!D425="",FALSE,TRUE),EXACT(metadata!D425,"years"))</f>
        <v>0</v>
      </c>
      <c r="AF425" t="b">
        <f>OR(AND(IF(metadata!E425="",FALSE,TRUE),OR(EXACT(metadata!E425,"not applicable"),EXACT(metadata!E425,"missing: not collected"),EXACT(metadata!E425,"missing: not provided"),EXACT(metadata!E425,"missing: restricted access"))),AND(IF(metadata!E425="",FALSE,ISNUMBER(VALUE(metadata!E425))),metadata!E425&gt;0))</f>
        <v>0</v>
      </c>
      <c r="AG425" t="b">
        <f>AND(IF(metadata!F425="",FALSE,TRUE),EXACT(metadata!F425,"Not applicable"))</f>
        <v>0</v>
      </c>
      <c r="AH425" t="b">
        <f>AND(IF(metadata!G425="",FALSE,TRUE),EXACT(metadata!G425,"urban biome"))</f>
        <v>0</v>
      </c>
      <c r="AI425" t="b">
        <f>AND(IF(metadata!H425="",FALSE,TRUE),EXACT(metadata!H425,"human-associated habitat"))</f>
        <v>0</v>
      </c>
      <c r="AJ425" t="b">
        <f>AND(IF(metadata!I425="",FALSE,TRUE),OR(EXACT(metadata!I425,"human-associated"),EXACT(metadata!I425,"human-skin"),EXACT(metadata!I425,"human-oral"),EXACT(metadata!I425,"human-gut"),EXACT(metadata!I425,"human-vaginal")))</f>
        <v>0</v>
      </c>
      <c r="AK425" t="b">
        <f>IF(metadata!J425="",FALSE,ISNUMBER(VALUE(metadata!J425)))</f>
        <v>0</v>
      </c>
      <c r="AL425" t="b">
        <f>AND(IF(metadata!K425="",FALSE,TRUE),EXACT(metadata!K425,"cm"))</f>
        <v>0</v>
      </c>
      <c r="AM425" t="b">
        <f>AND(IF(metadata!L425="",FALSE,TRUE),EXACT(metadata!L425,"human"))</f>
        <v>0</v>
      </c>
      <c r="AN425" t="b">
        <f>AND(IF(metadata!M425="",FALSE,TRUE),EXACT(metadata!M425,"Homo sapiens"))</f>
        <v>0</v>
      </c>
      <c r="AO425" t="b">
        <f>AND(IF(metadata!N425="",FALSE,TRUE),EXACT(metadata!N425,"9606"))</f>
        <v>0</v>
      </c>
      <c r="AP425" t="b">
        <f>IF(metadata!O425="",FALSE,TRUE)</f>
        <v>0</v>
      </c>
      <c r="AQ425" t="b">
        <f>IF(metadata!P425="",FALSE,TRUE)</f>
        <v>0</v>
      </c>
      <c r="AR425" t="b">
        <f>IF(metadata!Q425="",FALSE,ISNUMBER(VALUE(metadata!Q425)))</f>
        <v>0</v>
      </c>
      <c r="AS425" t="b">
        <f>AND(IF(metadata!R425="",FALSE,TRUE),EXACT(metadata!R425,"kg"))</f>
        <v>0</v>
      </c>
    </row>
    <row r="426" spans="1:45" x14ac:dyDescent="0.2">
      <c r="A426" s="5" t="str">
        <f ca="1">IF(B426=" "," ",HYPERLINK(CONCATENATE("#metadata!",ADDRESS(INDEX($X$2:$X$1001,MATCH(ROWS($V$2:V426),$V$2:$V$1001,0),0),1)),INDEX($AA$2:$AA$1001,MATCH(ROWS($V$2:V426),$V$2:$V$1001,0),0)))</f>
        <v xml:space="preserve"> </v>
      </c>
      <c r="B426" s="4" t="str">
        <f ca="1">IF(OR(INDEX($W$2:$W$1001,MATCH(ROWS($V$2:V426),$V$2:$V$1001,0),1)&gt;=100000,INDEX($AC$1005:$AS$1005,1,MATCH(COLUMNS($AC$1006:AC1006),$AC$1006:$AS$1006,0))&gt;=100000), " ",IF(INDEX($AC$2:$AS$1001,MATCH(ROWS($V$2:V426),$V$2:$V$1001,0),MATCH(COLUMNS($AC$1006:AC1006),$AC$1006:$AS$1006,0)), HYPERLINK("#",""), HYPERLINK(CONCATENATE("#metadata!", ADDRESS(INDEX($X$2:$X$1001,MATCH(ROWS($V$2:V426),$V$2:$V$1001,0),0), INDEX($AC$1004:$AS$1004,1,MATCH(COLUMNS($AC$1006:AC1006),$AC$1006:$AS$1006,0)))),"Fix")))</f>
        <v xml:space="preserve"> </v>
      </c>
      <c r="C426" s="4" t="str">
        <f ca="1">IF(OR(INDEX($W$2:$W$1001,MATCH(ROWS($V$2:V426),$V$2:$V$1001,0),1)&gt;=100000,INDEX($AC$1005:$AS$1005,1,MATCH(COLUMNS($AC$1006:AD1006),$AC$1006:$AS$1006,0))&gt;=100000), " ",IF(INDEX($AC$2:$AS$1001,MATCH(ROWS($V$2:V426),$V$2:$V$1001,0),MATCH(COLUMNS($AC$1006:AD1006),$AC$1006:$AS$1006,0)), HYPERLINK("#",""), HYPERLINK(CONCATENATE("#metadata!", ADDRESS(INDEX($X$2:$X$1001,MATCH(ROWS($V$2:V426),$V$2:$V$1001,0),0), INDEX($AC$1004:$AS$1004,1,MATCH(COLUMNS($AC$1006:AD1006),$AC$1006:$AS$1006,0)))),"Fix")))</f>
        <v xml:space="preserve"> </v>
      </c>
      <c r="D426" s="4" t="str">
        <f ca="1">IF(OR(INDEX($W$2:$W$1001,MATCH(ROWS($V$2:V426),$V$2:$V$1001,0),1)&gt;=100000,INDEX($AC$1005:$AS$1005,1,MATCH(COLUMNS($AC$1006:AE1006),$AC$1006:$AS$1006,0))&gt;=100000), " ",IF(INDEX($AC$2:$AS$1001,MATCH(ROWS($V$2:V426),$V$2:$V$1001,0),MATCH(COLUMNS($AC$1006:AE1006),$AC$1006:$AS$1006,0)), HYPERLINK("#",""), HYPERLINK(CONCATENATE("#metadata!", ADDRESS(INDEX($X$2:$X$1001,MATCH(ROWS($V$2:V426),$V$2:$V$1001,0),0), INDEX($AC$1004:$AS$1004,1,MATCH(COLUMNS($AC$1006:AE1006),$AC$1006:$AS$1006,0)))),"Fix")))</f>
        <v xml:space="preserve"> </v>
      </c>
      <c r="E426" s="4" t="str">
        <f ca="1">IF(OR(INDEX($W$2:$W$1001,MATCH(ROWS($V$2:V426),$V$2:$V$1001,0),1)&gt;=100000,INDEX($AC$1005:$AS$1005,1,MATCH(COLUMNS($AC$1006:AF1006),$AC$1006:$AS$1006,0))&gt;=100000), " ",IF(INDEX($AC$2:$AS$1001,MATCH(ROWS($V$2:V426),$V$2:$V$1001,0),MATCH(COLUMNS($AC$1006:AF1006),$AC$1006:$AS$1006,0)), HYPERLINK("#",""), HYPERLINK(CONCATENATE("#metadata!", ADDRESS(INDEX($X$2:$X$1001,MATCH(ROWS($V$2:V426),$V$2:$V$1001,0),0), INDEX($AC$1004:$AS$1004,1,MATCH(COLUMNS($AC$1006:AF1006),$AC$1006:$AS$1006,0)))),"Fix")))</f>
        <v xml:space="preserve"> </v>
      </c>
      <c r="F426" s="4" t="str">
        <f ca="1">IF(OR(INDEX($W$2:$W$1001,MATCH(ROWS($V$2:V426),$V$2:$V$1001,0),1)&gt;=100000,INDEX($AC$1005:$AS$1005,1,MATCH(COLUMNS($AC$1006:AG1006),$AC$1006:$AS$1006,0))&gt;=100000), " ",IF(INDEX($AC$2:$AS$1001,MATCH(ROWS($V$2:V426),$V$2:$V$1001,0),MATCH(COLUMNS($AC$1006:AG1006),$AC$1006:$AS$1006,0)), HYPERLINK("#",""), HYPERLINK(CONCATENATE("#metadata!", ADDRESS(INDEX($X$2:$X$1001,MATCH(ROWS($V$2:V426),$V$2:$V$1001,0),0), INDEX($AC$1004:$AS$1004,1,MATCH(COLUMNS($AC$1006:AG1006),$AC$1006:$AS$1006,0)))),"Fix")))</f>
        <v xml:space="preserve"> </v>
      </c>
      <c r="G426" s="4" t="str">
        <f ca="1">IF(OR(INDEX($W$2:$W$1001,MATCH(ROWS($V$2:V426),$V$2:$V$1001,0),1)&gt;=100000,INDEX($AC$1005:$AS$1005,1,MATCH(COLUMNS($AC$1006:AH1006),$AC$1006:$AS$1006,0))&gt;=100000), " ",IF(INDEX($AC$2:$AS$1001,MATCH(ROWS($V$2:V426),$V$2:$V$1001,0),MATCH(COLUMNS($AC$1006:AH1006),$AC$1006:$AS$1006,0)), HYPERLINK("#",""), HYPERLINK(CONCATENATE("#metadata!", ADDRESS(INDEX($X$2:$X$1001,MATCH(ROWS($V$2:V426),$V$2:$V$1001,0),0), INDEX($AC$1004:$AS$1004,1,MATCH(COLUMNS($AC$1006:AH1006),$AC$1006:$AS$1006,0)))),"Fix")))</f>
        <v xml:space="preserve"> </v>
      </c>
      <c r="H426" s="4" t="str">
        <f ca="1">IF(OR(INDEX($W$2:$W$1001,MATCH(ROWS($V$2:V426),$V$2:$V$1001,0),1)&gt;=100000,INDEX($AC$1005:$AS$1005,1,MATCH(COLUMNS($AC$1006:AI1006),$AC$1006:$AS$1006,0))&gt;=100000), " ",IF(INDEX($AC$2:$AS$1001,MATCH(ROWS($V$2:V426),$V$2:$V$1001,0),MATCH(COLUMNS($AC$1006:AI1006),$AC$1006:$AS$1006,0)), HYPERLINK("#",""), HYPERLINK(CONCATENATE("#metadata!", ADDRESS(INDEX($X$2:$X$1001,MATCH(ROWS($V$2:V426),$V$2:$V$1001,0),0), INDEX($AC$1004:$AS$1004,1,MATCH(COLUMNS($AC$1006:AI1006),$AC$1006:$AS$1006,0)))),"Fix")))</f>
        <v xml:space="preserve"> </v>
      </c>
      <c r="I426" s="4" t="str">
        <f ca="1">IF(OR(INDEX($W$2:$W$1001,MATCH(ROWS($V$2:V426),$V$2:$V$1001,0),1)&gt;=100000,INDEX($AC$1005:$AS$1005,1,MATCH(COLUMNS($AC$1006:AJ1006),$AC$1006:$AS$1006,0))&gt;=100000), " ",IF(INDEX($AC$2:$AS$1001,MATCH(ROWS($V$2:V426),$V$2:$V$1001,0),MATCH(COLUMNS($AC$1006:AJ1006),$AC$1006:$AS$1006,0)), HYPERLINK("#",""), HYPERLINK(CONCATENATE("#metadata!", ADDRESS(INDEX($X$2:$X$1001,MATCH(ROWS($V$2:V426),$V$2:$V$1001,0),0), INDEX($AC$1004:$AS$1004,1,MATCH(COLUMNS($AC$1006:AJ1006),$AC$1006:$AS$1006,0)))),"Fix")))</f>
        <v xml:space="preserve"> </v>
      </c>
      <c r="J426" s="4" t="str">
        <f ca="1">IF(OR(INDEX($W$2:$W$1001,MATCH(ROWS($V$2:V426),$V$2:$V$1001,0),1)&gt;=100000,INDEX($AC$1005:$AS$1005,1,MATCH(COLUMNS($AC$1006:AK1006),$AC$1006:$AS$1006,0))&gt;=100000), " ",IF(INDEX($AC$2:$AS$1001,MATCH(ROWS($V$2:V426),$V$2:$V$1001,0),MATCH(COLUMNS($AC$1006:AK1006),$AC$1006:$AS$1006,0)), HYPERLINK("#",""), HYPERLINK(CONCATENATE("#metadata!", ADDRESS(INDEX($X$2:$X$1001,MATCH(ROWS($V$2:V426),$V$2:$V$1001,0),0), INDEX($AC$1004:$AS$1004,1,MATCH(COLUMNS($AC$1006:AK1006),$AC$1006:$AS$1006,0)))),"Fix")))</f>
        <v xml:space="preserve"> </v>
      </c>
      <c r="K426" s="4" t="str">
        <f ca="1">IF(OR(INDEX($W$2:$W$1001,MATCH(ROWS($V$2:V426),$V$2:$V$1001,0),1)&gt;=100000,INDEX($AC$1005:$AS$1005,1,MATCH(COLUMNS($AC$1006:AL1006),$AC$1006:$AS$1006,0))&gt;=100000), " ",IF(INDEX($AC$2:$AS$1001,MATCH(ROWS($V$2:V426),$V$2:$V$1001,0),MATCH(COLUMNS($AC$1006:AL1006),$AC$1006:$AS$1006,0)), HYPERLINK("#",""), HYPERLINK(CONCATENATE("#metadata!", ADDRESS(INDEX($X$2:$X$1001,MATCH(ROWS($V$2:V426),$V$2:$V$1001,0),0), INDEX($AC$1004:$AS$1004,1,MATCH(COLUMNS($AC$1006:AL1006),$AC$1006:$AS$1006,0)))),"Fix")))</f>
        <v xml:space="preserve"> </v>
      </c>
      <c r="L426" s="4" t="str">
        <f ca="1">IF(OR(INDEX($W$2:$W$1001,MATCH(ROWS($V$2:V426),$V$2:$V$1001,0),1)&gt;=100000,INDEX($AC$1005:$AS$1005,1,MATCH(COLUMNS($AC$1006:AM1006),$AC$1006:$AS$1006,0))&gt;=100000), " ",IF(INDEX($AC$2:$AS$1001,MATCH(ROWS($V$2:V426),$V$2:$V$1001,0),MATCH(COLUMNS($AC$1006:AM1006),$AC$1006:$AS$1006,0)), HYPERLINK("#",""), HYPERLINK(CONCATENATE("#metadata!", ADDRESS(INDEX($X$2:$X$1001,MATCH(ROWS($V$2:V426),$V$2:$V$1001,0),0), INDEX($AC$1004:$AS$1004,1,MATCH(COLUMNS($AC$1006:AM1006),$AC$1006:$AS$1006,0)))),"Fix")))</f>
        <v xml:space="preserve"> </v>
      </c>
      <c r="M426" s="4" t="str">
        <f ca="1">IF(OR(INDEX($W$2:$W$1001,MATCH(ROWS($V$2:V426),$V$2:$V$1001,0),1)&gt;=100000,INDEX($AC$1005:$AS$1005,1,MATCH(COLUMNS($AC$1006:AN1006),$AC$1006:$AS$1006,0))&gt;=100000), " ",IF(INDEX($AC$2:$AS$1001,MATCH(ROWS($V$2:V426),$V$2:$V$1001,0),MATCH(COLUMNS($AC$1006:AN1006),$AC$1006:$AS$1006,0)), HYPERLINK("#",""), HYPERLINK(CONCATENATE("#metadata!", ADDRESS(INDEX($X$2:$X$1001,MATCH(ROWS($V$2:V426),$V$2:$V$1001,0),0), INDEX($AC$1004:$AS$1004,1,MATCH(COLUMNS($AC$1006:AN1006),$AC$1006:$AS$1006,0)))),"Fix")))</f>
        <v xml:space="preserve"> </v>
      </c>
      <c r="N426" s="4" t="str">
        <f ca="1">IF(OR(INDEX($W$2:$W$1001,MATCH(ROWS($V$2:V426),$V$2:$V$1001,0),1)&gt;=100000,INDEX($AC$1005:$AS$1005,1,MATCH(COLUMNS($AC$1006:AO1006),$AC$1006:$AS$1006,0))&gt;=100000), " ",IF(INDEX($AC$2:$AS$1001,MATCH(ROWS($V$2:V426),$V$2:$V$1001,0),MATCH(COLUMNS($AC$1006:AO1006),$AC$1006:$AS$1006,0)), HYPERLINK("#",""), HYPERLINK(CONCATENATE("#metadata!", ADDRESS(INDEX($X$2:$X$1001,MATCH(ROWS($V$2:V426),$V$2:$V$1001,0),0), INDEX($AC$1004:$AS$1004,1,MATCH(COLUMNS($AC$1006:AO1006),$AC$1006:$AS$1006,0)))),"Fix")))</f>
        <v xml:space="preserve"> </v>
      </c>
      <c r="O426" s="4" t="str">
        <f ca="1">IF(OR(INDEX($W$2:$W$1001,MATCH(ROWS($V$2:V426),$V$2:$V$1001,0),1)&gt;=100000,INDEX($AC$1005:$AS$1005,1,MATCH(COLUMNS($AC$1006:AP1006),$AC$1006:$AS$1006,0))&gt;=100000), " ",IF(INDEX($AC$2:$AS$1001,MATCH(ROWS($V$2:V426),$V$2:$V$1001,0),MATCH(COLUMNS($AC$1006:AP1006),$AC$1006:$AS$1006,0)), HYPERLINK("#",""), HYPERLINK(CONCATENATE("#metadata!", ADDRESS(INDEX($X$2:$X$1001,MATCH(ROWS($V$2:V426),$V$2:$V$1001,0),0), INDEX($AC$1004:$AS$1004,1,MATCH(COLUMNS($AC$1006:AP1006),$AC$1006:$AS$1006,0)))),"Fix")))</f>
        <v xml:space="preserve"> </v>
      </c>
      <c r="P426" s="4" t="str">
        <f ca="1">IF(OR(INDEX($W$2:$W$1001,MATCH(ROWS($V$2:V426),$V$2:$V$1001,0),1)&gt;=100000,INDEX($AC$1005:$AS$1005,1,MATCH(COLUMNS($AC$1006:AQ1006),$AC$1006:$AS$1006,0))&gt;=100000), " ",IF(INDEX($AC$2:$AS$1001,MATCH(ROWS($V$2:V426),$V$2:$V$1001,0),MATCH(COLUMNS($AC$1006:AQ1006),$AC$1006:$AS$1006,0)), HYPERLINK("#",""), HYPERLINK(CONCATENATE("#metadata!", ADDRESS(INDEX($X$2:$X$1001,MATCH(ROWS($V$2:V426),$V$2:$V$1001,0),0), INDEX($AC$1004:$AS$1004,1,MATCH(COLUMNS($AC$1006:AQ1006),$AC$1006:$AS$1006,0)))),"Fix")))</f>
        <v xml:space="preserve"> </v>
      </c>
      <c r="Q426" s="4" t="str">
        <f ca="1">IF(OR(INDEX($W$2:$W$1001,MATCH(ROWS($V$2:V426),$V$2:$V$1001,0),1)&gt;=100000,INDEX($AC$1005:$AS$1005,1,MATCH(COLUMNS($AC$1006:AR1006),$AC$1006:$AS$1006,0))&gt;=100000), " ",IF(INDEX($AC$2:$AS$1001,MATCH(ROWS($V$2:V426),$V$2:$V$1001,0),MATCH(COLUMNS($AC$1006:AR1006),$AC$1006:$AS$1006,0)), HYPERLINK("#",""), HYPERLINK(CONCATENATE("#metadata!", ADDRESS(INDEX($X$2:$X$1001,MATCH(ROWS($V$2:V426),$V$2:$V$1001,0),0), INDEX($AC$1004:$AS$1004,1,MATCH(COLUMNS($AC$1006:AR1006),$AC$1006:$AS$1006,0)))),"Fix")))</f>
        <v xml:space="preserve"> </v>
      </c>
      <c r="R426" s="4" t="str">
        <f ca="1">IF(OR(INDEX($W$2:$W$1001,MATCH(ROWS($V$2:V426),$V$2:$V$1001,0),1)&gt;=100000,INDEX($AC$1005:$AS$1005,1,MATCH(COLUMNS($AC$1006:AS1006),$AC$1006:$AS$1006,0))&gt;=100000), " ",IF(INDEX($AC$2:$AS$1001,MATCH(ROWS($V$2:V426),$V$2:$V$1001,0),MATCH(COLUMNS($AC$1006:AS1006),$AC$1006:$AS$1006,0)), HYPERLINK("#",""), HYPERLINK(CONCATENATE("#metadata!", ADDRESS(INDEX($X$2:$X$1001,MATCH(ROWS($V$2:V426),$V$2:$V$1001,0),0), INDEX($AC$1004:$AS$1004,1,MATCH(COLUMNS($AC$1006:AS1006),$AC$1006:$AS$1006,0)))),"Fix")))</f>
        <v xml:space="preserve"> </v>
      </c>
      <c r="V426">
        <v>425</v>
      </c>
      <c r="W426">
        <v>100426</v>
      </c>
      <c r="X426">
        <v>426</v>
      </c>
      <c r="Y426" t="b">
        <f t="shared" si="6"/>
        <v>1</v>
      </c>
      <c r="Z426" t="b">
        <f>COUNTBLANK(metadata!B426:R426)=COLUMNS(metadata!B426:R426)</f>
        <v>1</v>
      </c>
      <c r="AA426" t="str">
        <v/>
      </c>
      <c r="AC426" t="b">
        <f ca="1"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AD426" t="b">
        <f>IF(metadata!C426="",FALSE,ISNUMBER(VALUE(metadata!C426)))</f>
        <v>0</v>
      </c>
      <c r="AE426" t="b">
        <f>AND(IF(metadata!D426="",FALSE,TRUE),EXACT(metadata!D426,"years"))</f>
        <v>0</v>
      </c>
      <c r="AF426" t="b">
        <f>OR(AND(IF(metadata!E426="",FALSE,TRUE),OR(EXACT(metadata!E426,"not applicable"),EXACT(metadata!E426,"missing: not collected"),EXACT(metadata!E426,"missing: not provided"),EXACT(metadata!E426,"missing: restricted access"))),AND(IF(metadata!E426="",FALSE,ISNUMBER(VALUE(metadata!E426))),metadata!E426&gt;0))</f>
        <v>0</v>
      </c>
      <c r="AG426" t="b">
        <f>AND(IF(metadata!F426="",FALSE,TRUE),EXACT(metadata!F426,"Not applicable"))</f>
        <v>0</v>
      </c>
      <c r="AH426" t="b">
        <f>AND(IF(metadata!G426="",FALSE,TRUE),EXACT(metadata!G426,"urban biome"))</f>
        <v>0</v>
      </c>
      <c r="AI426" t="b">
        <f>AND(IF(metadata!H426="",FALSE,TRUE),EXACT(metadata!H426,"human-associated habitat"))</f>
        <v>0</v>
      </c>
      <c r="AJ426" t="b">
        <f>AND(IF(metadata!I426="",FALSE,TRUE),OR(EXACT(metadata!I426,"human-associated"),EXACT(metadata!I426,"human-skin"),EXACT(metadata!I426,"human-oral"),EXACT(metadata!I426,"human-gut"),EXACT(metadata!I426,"human-vaginal")))</f>
        <v>0</v>
      </c>
      <c r="AK426" t="b">
        <f>IF(metadata!J426="",FALSE,ISNUMBER(VALUE(metadata!J426)))</f>
        <v>0</v>
      </c>
      <c r="AL426" t="b">
        <f>AND(IF(metadata!K426="",FALSE,TRUE),EXACT(metadata!K426,"cm"))</f>
        <v>0</v>
      </c>
      <c r="AM426" t="b">
        <f>AND(IF(metadata!L426="",FALSE,TRUE),EXACT(metadata!L426,"human"))</f>
        <v>0</v>
      </c>
      <c r="AN426" t="b">
        <f>AND(IF(metadata!M426="",FALSE,TRUE),EXACT(metadata!M426,"Homo sapiens"))</f>
        <v>0</v>
      </c>
      <c r="AO426" t="b">
        <f>AND(IF(metadata!N426="",FALSE,TRUE),EXACT(metadata!N426,"9606"))</f>
        <v>0</v>
      </c>
      <c r="AP426" t="b">
        <f>IF(metadata!O426="",FALSE,TRUE)</f>
        <v>0</v>
      </c>
      <c r="AQ426" t="b">
        <f>IF(metadata!P426="",FALSE,TRUE)</f>
        <v>0</v>
      </c>
      <c r="AR426" t="b">
        <f>IF(metadata!Q426="",FALSE,ISNUMBER(VALUE(metadata!Q426)))</f>
        <v>0</v>
      </c>
      <c r="AS426" t="b">
        <f>AND(IF(metadata!R426="",FALSE,TRUE),EXACT(metadata!R426,"kg"))</f>
        <v>0</v>
      </c>
    </row>
    <row r="427" spans="1:45" x14ac:dyDescent="0.2">
      <c r="A427" s="5" t="str">
        <f ca="1">IF(B427=" "," ",HYPERLINK(CONCATENATE("#metadata!",ADDRESS(INDEX($X$2:$X$1001,MATCH(ROWS($V$2:V427),$V$2:$V$1001,0),0),1)),INDEX($AA$2:$AA$1001,MATCH(ROWS($V$2:V427),$V$2:$V$1001,0),0)))</f>
        <v xml:space="preserve"> </v>
      </c>
      <c r="B427" s="4" t="str">
        <f ca="1">IF(OR(INDEX($W$2:$W$1001,MATCH(ROWS($V$2:V427),$V$2:$V$1001,0),1)&gt;=100000,INDEX($AC$1005:$AS$1005,1,MATCH(COLUMNS($AC$1006:AC1006),$AC$1006:$AS$1006,0))&gt;=100000), " ",IF(INDEX($AC$2:$AS$1001,MATCH(ROWS($V$2:V427),$V$2:$V$1001,0),MATCH(COLUMNS($AC$1006:AC1006),$AC$1006:$AS$1006,0)), HYPERLINK("#",""), HYPERLINK(CONCATENATE("#metadata!", ADDRESS(INDEX($X$2:$X$1001,MATCH(ROWS($V$2:V427),$V$2:$V$1001,0),0), INDEX($AC$1004:$AS$1004,1,MATCH(COLUMNS($AC$1006:AC1006),$AC$1006:$AS$1006,0)))),"Fix")))</f>
        <v xml:space="preserve"> </v>
      </c>
      <c r="C427" s="4" t="str">
        <f ca="1">IF(OR(INDEX($W$2:$W$1001,MATCH(ROWS($V$2:V427),$V$2:$V$1001,0),1)&gt;=100000,INDEX($AC$1005:$AS$1005,1,MATCH(COLUMNS($AC$1006:AD1006),$AC$1006:$AS$1006,0))&gt;=100000), " ",IF(INDEX($AC$2:$AS$1001,MATCH(ROWS($V$2:V427),$V$2:$V$1001,0),MATCH(COLUMNS($AC$1006:AD1006),$AC$1006:$AS$1006,0)), HYPERLINK("#",""), HYPERLINK(CONCATENATE("#metadata!", ADDRESS(INDEX($X$2:$X$1001,MATCH(ROWS($V$2:V427),$V$2:$V$1001,0),0), INDEX($AC$1004:$AS$1004,1,MATCH(COLUMNS($AC$1006:AD1006),$AC$1006:$AS$1006,0)))),"Fix")))</f>
        <v xml:space="preserve"> </v>
      </c>
      <c r="D427" s="4" t="str">
        <f ca="1">IF(OR(INDEX($W$2:$W$1001,MATCH(ROWS($V$2:V427),$V$2:$V$1001,0),1)&gt;=100000,INDEX($AC$1005:$AS$1005,1,MATCH(COLUMNS($AC$1006:AE1006),$AC$1006:$AS$1006,0))&gt;=100000), " ",IF(INDEX($AC$2:$AS$1001,MATCH(ROWS($V$2:V427),$V$2:$V$1001,0),MATCH(COLUMNS($AC$1006:AE1006),$AC$1006:$AS$1006,0)), HYPERLINK("#",""), HYPERLINK(CONCATENATE("#metadata!", ADDRESS(INDEX($X$2:$X$1001,MATCH(ROWS($V$2:V427),$V$2:$V$1001,0),0), INDEX($AC$1004:$AS$1004,1,MATCH(COLUMNS($AC$1006:AE1006),$AC$1006:$AS$1006,0)))),"Fix")))</f>
        <v xml:space="preserve"> </v>
      </c>
      <c r="E427" s="4" t="str">
        <f ca="1">IF(OR(INDEX($W$2:$W$1001,MATCH(ROWS($V$2:V427),$V$2:$V$1001,0),1)&gt;=100000,INDEX($AC$1005:$AS$1005,1,MATCH(COLUMNS($AC$1006:AF1006),$AC$1006:$AS$1006,0))&gt;=100000), " ",IF(INDEX($AC$2:$AS$1001,MATCH(ROWS($V$2:V427),$V$2:$V$1001,0),MATCH(COLUMNS($AC$1006:AF1006),$AC$1006:$AS$1006,0)), HYPERLINK("#",""), HYPERLINK(CONCATENATE("#metadata!", ADDRESS(INDEX($X$2:$X$1001,MATCH(ROWS($V$2:V427),$V$2:$V$1001,0),0), INDEX($AC$1004:$AS$1004,1,MATCH(COLUMNS($AC$1006:AF1006),$AC$1006:$AS$1006,0)))),"Fix")))</f>
        <v xml:space="preserve"> </v>
      </c>
      <c r="F427" s="4" t="str">
        <f ca="1">IF(OR(INDEX($W$2:$W$1001,MATCH(ROWS($V$2:V427),$V$2:$V$1001,0),1)&gt;=100000,INDEX($AC$1005:$AS$1005,1,MATCH(COLUMNS($AC$1006:AG1006),$AC$1006:$AS$1006,0))&gt;=100000), " ",IF(INDEX($AC$2:$AS$1001,MATCH(ROWS($V$2:V427),$V$2:$V$1001,0),MATCH(COLUMNS($AC$1006:AG1006),$AC$1006:$AS$1006,0)), HYPERLINK("#",""), HYPERLINK(CONCATENATE("#metadata!", ADDRESS(INDEX($X$2:$X$1001,MATCH(ROWS($V$2:V427),$V$2:$V$1001,0),0), INDEX($AC$1004:$AS$1004,1,MATCH(COLUMNS($AC$1006:AG1006),$AC$1006:$AS$1006,0)))),"Fix")))</f>
        <v xml:space="preserve"> </v>
      </c>
      <c r="G427" s="4" t="str">
        <f ca="1">IF(OR(INDEX($W$2:$W$1001,MATCH(ROWS($V$2:V427),$V$2:$V$1001,0),1)&gt;=100000,INDEX($AC$1005:$AS$1005,1,MATCH(COLUMNS($AC$1006:AH1006),$AC$1006:$AS$1006,0))&gt;=100000), " ",IF(INDEX($AC$2:$AS$1001,MATCH(ROWS($V$2:V427),$V$2:$V$1001,0),MATCH(COLUMNS($AC$1006:AH1006),$AC$1006:$AS$1006,0)), HYPERLINK("#",""), HYPERLINK(CONCATENATE("#metadata!", ADDRESS(INDEX($X$2:$X$1001,MATCH(ROWS($V$2:V427),$V$2:$V$1001,0),0), INDEX($AC$1004:$AS$1004,1,MATCH(COLUMNS($AC$1006:AH1006),$AC$1006:$AS$1006,0)))),"Fix")))</f>
        <v xml:space="preserve"> </v>
      </c>
      <c r="H427" s="4" t="str">
        <f ca="1">IF(OR(INDEX($W$2:$W$1001,MATCH(ROWS($V$2:V427),$V$2:$V$1001,0),1)&gt;=100000,INDEX($AC$1005:$AS$1005,1,MATCH(COLUMNS($AC$1006:AI1006),$AC$1006:$AS$1006,0))&gt;=100000), " ",IF(INDEX($AC$2:$AS$1001,MATCH(ROWS($V$2:V427),$V$2:$V$1001,0),MATCH(COLUMNS($AC$1006:AI1006),$AC$1006:$AS$1006,0)), HYPERLINK("#",""), HYPERLINK(CONCATENATE("#metadata!", ADDRESS(INDEX($X$2:$X$1001,MATCH(ROWS($V$2:V427),$V$2:$V$1001,0),0), INDEX($AC$1004:$AS$1004,1,MATCH(COLUMNS($AC$1006:AI1006),$AC$1006:$AS$1006,0)))),"Fix")))</f>
        <v xml:space="preserve"> </v>
      </c>
      <c r="I427" s="4" t="str">
        <f ca="1">IF(OR(INDEX($W$2:$W$1001,MATCH(ROWS($V$2:V427),$V$2:$V$1001,0),1)&gt;=100000,INDEX($AC$1005:$AS$1005,1,MATCH(COLUMNS($AC$1006:AJ1006),$AC$1006:$AS$1006,0))&gt;=100000), " ",IF(INDEX($AC$2:$AS$1001,MATCH(ROWS($V$2:V427),$V$2:$V$1001,0),MATCH(COLUMNS($AC$1006:AJ1006),$AC$1006:$AS$1006,0)), HYPERLINK("#",""), HYPERLINK(CONCATENATE("#metadata!", ADDRESS(INDEX($X$2:$X$1001,MATCH(ROWS($V$2:V427),$V$2:$V$1001,0),0), INDEX($AC$1004:$AS$1004,1,MATCH(COLUMNS($AC$1006:AJ1006),$AC$1006:$AS$1006,0)))),"Fix")))</f>
        <v xml:space="preserve"> </v>
      </c>
      <c r="J427" s="4" t="str">
        <f ca="1">IF(OR(INDEX($W$2:$W$1001,MATCH(ROWS($V$2:V427),$V$2:$V$1001,0),1)&gt;=100000,INDEX($AC$1005:$AS$1005,1,MATCH(COLUMNS($AC$1006:AK1006),$AC$1006:$AS$1006,0))&gt;=100000), " ",IF(INDEX($AC$2:$AS$1001,MATCH(ROWS($V$2:V427),$V$2:$V$1001,0),MATCH(COLUMNS($AC$1006:AK1006),$AC$1006:$AS$1006,0)), HYPERLINK("#",""), HYPERLINK(CONCATENATE("#metadata!", ADDRESS(INDEX($X$2:$X$1001,MATCH(ROWS($V$2:V427),$V$2:$V$1001,0),0), INDEX($AC$1004:$AS$1004,1,MATCH(COLUMNS($AC$1006:AK1006),$AC$1006:$AS$1006,0)))),"Fix")))</f>
        <v xml:space="preserve"> </v>
      </c>
      <c r="K427" s="4" t="str">
        <f ca="1">IF(OR(INDEX($W$2:$W$1001,MATCH(ROWS($V$2:V427),$V$2:$V$1001,0),1)&gt;=100000,INDEX($AC$1005:$AS$1005,1,MATCH(COLUMNS($AC$1006:AL1006),$AC$1006:$AS$1006,0))&gt;=100000), " ",IF(INDEX($AC$2:$AS$1001,MATCH(ROWS($V$2:V427),$V$2:$V$1001,0),MATCH(COLUMNS($AC$1006:AL1006),$AC$1006:$AS$1006,0)), HYPERLINK("#",""), HYPERLINK(CONCATENATE("#metadata!", ADDRESS(INDEX($X$2:$X$1001,MATCH(ROWS($V$2:V427),$V$2:$V$1001,0),0), INDEX($AC$1004:$AS$1004,1,MATCH(COLUMNS($AC$1006:AL1006),$AC$1006:$AS$1006,0)))),"Fix")))</f>
        <v xml:space="preserve"> </v>
      </c>
      <c r="L427" s="4" t="str">
        <f ca="1">IF(OR(INDEX($W$2:$W$1001,MATCH(ROWS($V$2:V427),$V$2:$V$1001,0),1)&gt;=100000,INDEX($AC$1005:$AS$1005,1,MATCH(COLUMNS($AC$1006:AM1006),$AC$1006:$AS$1006,0))&gt;=100000), " ",IF(INDEX($AC$2:$AS$1001,MATCH(ROWS($V$2:V427),$V$2:$V$1001,0),MATCH(COLUMNS($AC$1006:AM1006),$AC$1006:$AS$1006,0)), HYPERLINK("#",""), HYPERLINK(CONCATENATE("#metadata!", ADDRESS(INDEX($X$2:$X$1001,MATCH(ROWS($V$2:V427),$V$2:$V$1001,0),0), INDEX($AC$1004:$AS$1004,1,MATCH(COLUMNS($AC$1006:AM1006),$AC$1006:$AS$1006,0)))),"Fix")))</f>
        <v xml:space="preserve"> </v>
      </c>
      <c r="M427" s="4" t="str">
        <f ca="1">IF(OR(INDEX($W$2:$W$1001,MATCH(ROWS($V$2:V427),$V$2:$V$1001,0),1)&gt;=100000,INDEX($AC$1005:$AS$1005,1,MATCH(COLUMNS($AC$1006:AN1006),$AC$1006:$AS$1006,0))&gt;=100000), " ",IF(INDEX($AC$2:$AS$1001,MATCH(ROWS($V$2:V427),$V$2:$V$1001,0),MATCH(COLUMNS($AC$1006:AN1006),$AC$1006:$AS$1006,0)), HYPERLINK("#",""), HYPERLINK(CONCATENATE("#metadata!", ADDRESS(INDEX($X$2:$X$1001,MATCH(ROWS($V$2:V427),$V$2:$V$1001,0),0), INDEX($AC$1004:$AS$1004,1,MATCH(COLUMNS($AC$1006:AN1006),$AC$1006:$AS$1006,0)))),"Fix")))</f>
        <v xml:space="preserve"> </v>
      </c>
      <c r="N427" s="4" t="str">
        <f ca="1">IF(OR(INDEX($W$2:$W$1001,MATCH(ROWS($V$2:V427),$V$2:$V$1001,0),1)&gt;=100000,INDEX($AC$1005:$AS$1005,1,MATCH(COLUMNS($AC$1006:AO1006),$AC$1006:$AS$1006,0))&gt;=100000), " ",IF(INDEX($AC$2:$AS$1001,MATCH(ROWS($V$2:V427),$V$2:$V$1001,0),MATCH(COLUMNS($AC$1006:AO1006),$AC$1006:$AS$1006,0)), HYPERLINK("#",""), HYPERLINK(CONCATENATE("#metadata!", ADDRESS(INDEX($X$2:$X$1001,MATCH(ROWS($V$2:V427),$V$2:$V$1001,0),0), INDEX($AC$1004:$AS$1004,1,MATCH(COLUMNS($AC$1006:AO1006),$AC$1006:$AS$1006,0)))),"Fix")))</f>
        <v xml:space="preserve"> </v>
      </c>
      <c r="O427" s="4" t="str">
        <f ca="1">IF(OR(INDEX($W$2:$W$1001,MATCH(ROWS($V$2:V427),$V$2:$V$1001,0),1)&gt;=100000,INDEX($AC$1005:$AS$1005,1,MATCH(COLUMNS($AC$1006:AP1006),$AC$1006:$AS$1006,0))&gt;=100000), " ",IF(INDEX($AC$2:$AS$1001,MATCH(ROWS($V$2:V427),$V$2:$V$1001,0),MATCH(COLUMNS($AC$1006:AP1006),$AC$1006:$AS$1006,0)), HYPERLINK("#",""), HYPERLINK(CONCATENATE("#metadata!", ADDRESS(INDEX($X$2:$X$1001,MATCH(ROWS($V$2:V427),$V$2:$V$1001,0),0), INDEX($AC$1004:$AS$1004,1,MATCH(COLUMNS($AC$1006:AP1006),$AC$1006:$AS$1006,0)))),"Fix")))</f>
        <v xml:space="preserve"> </v>
      </c>
      <c r="P427" s="4" t="str">
        <f ca="1">IF(OR(INDEX($W$2:$W$1001,MATCH(ROWS($V$2:V427),$V$2:$V$1001,0),1)&gt;=100000,INDEX($AC$1005:$AS$1005,1,MATCH(COLUMNS($AC$1006:AQ1006),$AC$1006:$AS$1006,0))&gt;=100000), " ",IF(INDEX($AC$2:$AS$1001,MATCH(ROWS($V$2:V427),$V$2:$V$1001,0),MATCH(COLUMNS($AC$1006:AQ1006),$AC$1006:$AS$1006,0)), HYPERLINK("#",""), HYPERLINK(CONCATENATE("#metadata!", ADDRESS(INDEX($X$2:$X$1001,MATCH(ROWS($V$2:V427),$V$2:$V$1001,0),0), INDEX($AC$1004:$AS$1004,1,MATCH(COLUMNS($AC$1006:AQ1006),$AC$1006:$AS$1006,0)))),"Fix")))</f>
        <v xml:space="preserve"> </v>
      </c>
      <c r="Q427" s="4" t="str">
        <f ca="1">IF(OR(INDEX($W$2:$W$1001,MATCH(ROWS($V$2:V427),$V$2:$V$1001,0),1)&gt;=100000,INDEX($AC$1005:$AS$1005,1,MATCH(COLUMNS($AC$1006:AR1006),$AC$1006:$AS$1006,0))&gt;=100000), " ",IF(INDEX($AC$2:$AS$1001,MATCH(ROWS($V$2:V427),$V$2:$V$1001,0),MATCH(COLUMNS($AC$1006:AR1006),$AC$1006:$AS$1006,0)), HYPERLINK("#",""), HYPERLINK(CONCATENATE("#metadata!", ADDRESS(INDEX($X$2:$X$1001,MATCH(ROWS($V$2:V427),$V$2:$V$1001,0),0), INDEX($AC$1004:$AS$1004,1,MATCH(COLUMNS($AC$1006:AR1006),$AC$1006:$AS$1006,0)))),"Fix")))</f>
        <v xml:space="preserve"> </v>
      </c>
      <c r="R427" s="4" t="str">
        <f ca="1">IF(OR(INDEX($W$2:$W$1001,MATCH(ROWS($V$2:V427),$V$2:$V$1001,0),1)&gt;=100000,INDEX($AC$1005:$AS$1005,1,MATCH(COLUMNS($AC$1006:AS1006),$AC$1006:$AS$1006,0))&gt;=100000), " ",IF(INDEX($AC$2:$AS$1001,MATCH(ROWS($V$2:V427),$V$2:$V$1001,0),MATCH(COLUMNS($AC$1006:AS1006),$AC$1006:$AS$1006,0)), HYPERLINK("#",""), HYPERLINK(CONCATENATE("#metadata!", ADDRESS(INDEX($X$2:$X$1001,MATCH(ROWS($V$2:V427),$V$2:$V$1001,0),0), INDEX($AC$1004:$AS$1004,1,MATCH(COLUMNS($AC$1006:AS1006),$AC$1006:$AS$1006,0)))),"Fix")))</f>
        <v xml:space="preserve"> </v>
      </c>
      <c r="V427">
        <v>426</v>
      </c>
      <c r="W427">
        <v>100427</v>
      </c>
      <c r="X427">
        <v>427</v>
      </c>
      <c r="Y427" t="b">
        <f t="shared" si="6"/>
        <v>1</v>
      </c>
      <c r="Z427" t="b">
        <f>COUNTBLANK(metadata!B427:R427)=COLUMNS(metadata!B427:R427)</f>
        <v>1</v>
      </c>
      <c r="AA427" t="str">
        <v/>
      </c>
      <c r="AC427" t="b">
        <f ca="1"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AD427" t="b">
        <f>IF(metadata!C427="",FALSE,ISNUMBER(VALUE(metadata!C427)))</f>
        <v>0</v>
      </c>
      <c r="AE427" t="b">
        <f>AND(IF(metadata!D427="",FALSE,TRUE),EXACT(metadata!D427,"years"))</f>
        <v>0</v>
      </c>
      <c r="AF427" t="b">
        <f>OR(AND(IF(metadata!E427="",FALSE,TRUE),OR(EXACT(metadata!E427,"not applicable"),EXACT(metadata!E427,"missing: not collected"),EXACT(metadata!E427,"missing: not provided"),EXACT(metadata!E427,"missing: restricted access"))),AND(IF(metadata!E427="",FALSE,ISNUMBER(VALUE(metadata!E427))),metadata!E427&gt;0))</f>
        <v>0</v>
      </c>
      <c r="AG427" t="b">
        <f>AND(IF(metadata!F427="",FALSE,TRUE),EXACT(metadata!F427,"Not applicable"))</f>
        <v>0</v>
      </c>
      <c r="AH427" t="b">
        <f>AND(IF(metadata!G427="",FALSE,TRUE),EXACT(metadata!G427,"urban biome"))</f>
        <v>0</v>
      </c>
      <c r="AI427" t="b">
        <f>AND(IF(metadata!H427="",FALSE,TRUE),EXACT(metadata!H427,"human-associated habitat"))</f>
        <v>0</v>
      </c>
      <c r="AJ427" t="b">
        <f>AND(IF(metadata!I427="",FALSE,TRUE),OR(EXACT(metadata!I427,"human-associated"),EXACT(metadata!I427,"human-skin"),EXACT(metadata!I427,"human-oral"),EXACT(metadata!I427,"human-gut"),EXACT(metadata!I427,"human-vaginal")))</f>
        <v>0</v>
      </c>
      <c r="AK427" t="b">
        <f>IF(metadata!J427="",FALSE,ISNUMBER(VALUE(metadata!J427)))</f>
        <v>0</v>
      </c>
      <c r="AL427" t="b">
        <f>AND(IF(metadata!K427="",FALSE,TRUE),EXACT(metadata!K427,"cm"))</f>
        <v>0</v>
      </c>
      <c r="AM427" t="b">
        <f>AND(IF(metadata!L427="",FALSE,TRUE),EXACT(metadata!L427,"human"))</f>
        <v>0</v>
      </c>
      <c r="AN427" t="b">
        <f>AND(IF(metadata!M427="",FALSE,TRUE),EXACT(metadata!M427,"Homo sapiens"))</f>
        <v>0</v>
      </c>
      <c r="AO427" t="b">
        <f>AND(IF(metadata!N427="",FALSE,TRUE),EXACT(metadata!N427,"9606"))</f>
        <v>0</v>
      </c>
      <c r="AP427" t="b">
        <f>IF(metadata!O427="",FALSE,TRUE)</f>
        <v>0</v>
      </c>
      <c r="AQ427" t="b">
        <f>IF(metadata!P427="",FALSE,TRUE)</f>
        <v>0</v>
      </c>
      <c r="AR427" t="b">
        <f>IF(metadata!Q427="",FALSE,ISNUMBER(VALUE(metadata!Q427)))</f>
        <v>0</v>
      </c>
      <c r="AS427" t="b">
        <f>AND(IF(metadata!R427="",FALSE,TRUE),EXACT(metadata!R427,"kg"))</f>
        <v>0</v>
      </c>
    </row>
    <row r="428" spans="1:45" x14ac:dyDescent="0.2">
      <c r="A428" s="5" t="str">
        <f ca="1">IF(B428=" "," ",HYPERLINK(CONCATENATE("#metadata!",ADDRESS(INDEX($X$2:$X$1001,MATCH(ROWS($V$2:V428),$V$2:$V$1001,0),0),1)),INDEX($AA$2:$AA$1001,MATCH(ROWS($V$2:V428),$V$2:$V$1001,0),0)))</f>
        <v xml:space="preserve"> </v>
      </c>
      <c r="B428" s="4" t="str">
        <f ca="1">IF(OR(INDEX($W$2:$W$1001,MATCH(ROWS($V$2:V428),$V$2:$V$1001,0),1)&gt;=100000,INDEX($AC$1005:$AS$1005,1,MATCH(COLUMNS($AC$1006:AC1006),$AC$1006:$AS$1006,0))&gt;=100000), " ",IF(INDEX($AC$2:$AS$1001,MATCH(ROWS($V$2:V428),$V$2:$V$1001,0),MATCH(COLUMNS($AC$1006:AC1006),$AC$1006:$AS$1006,0)), HYPERLINK("#",""), HYPERLINK(CONCATENATE("#metadata!", ADDRESS(INDEX($X$2:$X$1001,MATCH(ROWS($V$2:V428),$V$2:$V$1001,0),0), INDEX($AC$1004:$AS$1004,1,MATCH(COLUMNS($AC$1006:AC1006),$AC$1006:$AS$1006,0)))),"Fix")))</f>
        <v xml:space="preserve"> </v>
      </c>
      <c r="C428" s="4" t="str">
        <f ca="1">IF(OR(INDEX($W$2:$W$1001,MATCH(ROWS($V$2:V428),$V$2:$V$1001,0),1)&gt;=100000,INDEX($AC$1005:$AS$1005,1,MATCH(COLUMNS($AC$1006:AD1006),$AC$1006:$AS$1006,0))&gt;=100000), " ",IF(INDEX($AC$2:$AS$1001,MATCH(ROWS($V$2:V428),$V$2:$V$1001,0),MATCH(COLUMNS($AC$1006:AD1006),$AC$1006:$AS$1006,0)), HYPERLINK("#",""), HYPERLINK(CONCATENATE("#metadata!", ADDRESS(INDEX($X$2:$X$1001,MATCH(ROWS($V$2:V428),$V$2:$V$1001,0),0), INDEX($AC$1004:$AS$1004,1,MATCH(COLUMNS($AC$1006:AD1006),$AC$1006:$AS$1006,0)))),"Fix")))</f>
        <v xml:space="preserve"> </v>
      </c>
      <c r="D428" s="4" t="str">
        <f ca="1">IF(OR(INDEX($W$2:$W$1001,MATCH(ROWS($V$2:V428),$V$2:$V$1001,0),1)&gt;=100000,INDEX($AC$1005:$AS$1005,1,MATCH(COLUMNS($AC$1006:AE1006),$AC$1006:$AS$1006,0))&gt;=100000), " ",IF(INDEX($AC$2:$AS$1001,MATCH(ROWS($V$2:V428),$V$2:$V$1001,0),MATCH(COLUMNS($AC$1006:AE1006),$AC$1006:$AS$1006,0)), HYPERLINK("#",""), HYPERLINK(CONCATENATE("#metadata!", ADDRESS(INDEX($X$2:$X$1001,MATCH(ROWS($V$2:V428),$V$2:$V$1001,0),0), INDEX($AC$1004:$AS$1004,1,MATCH(COLUMNS($AC$1006:AE1006),$AC$1006:$AS$1006,0)))),"Fix")))</f>
        <v xml:space="preserve"> </v>
      </c>
      <c r="E428" s="4" t="str">
        <f ca="1">IF(OR(INDEX($W$2:$W$1001,MATCH(ROWS($V$2:V428),$V$2:$V$1001,0),1)&gt;=100000,INDEX($AC$1005:$AS$1005,1,MATCH(COLUMNS($AC$1006:AF1006),$AC$1006:$AS$1006,0))&gt;=100000), " ",IF(INDEX($AC$2:$AS$1001,MATCH(ROWS($V$2:V428),$V$2:$V$1001,0),MATCH(COLUMNS($AC$1006:AF1006),$AC$1006:$AS$1006,0)), HYPERLINK("#",""), HYPERLINK(CONCATENATE("#metadata!", ADDRESS(INDEX($X$2:$X$1001,MATCH(ROWS($V$2:V428),$V$2:$V$1001,0),0), INDEX($AC$1004:$AS$1004,1,MATCH(COLUMNS($AC$1006:AF1006),$AC$1006:$AS$1006,0)))),"Fix")))</f>
        <v xml:space="preserve"> </v>
      </c>
      <c r="F428" s="4" t="str">
        <f ca="1">IF(OR(INDEX($W$2:$W$1001,MATCH(ROWS($V$2:V428),$V$2:$V$1001,0),1)&gt;=100000,INDEX($AC$1005:$AS$1005,1,MATCH(COLUMNS($AC$1006:AG1006),$AC$1006:$AS$1006,0))&gt;=100000), " ",IF(INDEX($AC$2:$AS$1001,MATCH(ROWS($V$2:V428),$V$2:$V$1001,0),MATCH(COLUMNS($AC$1006:AG1006),$AC$1006:$AS$1006,0)), HYPERLINK("#",""), HYPERLINK(CONCATENATE("#metadata!", ADDRESS(INDEX($X$2:$X$1001,MATCH(ROWS($V$2:V428),$V$2:$V$1001,0),0), INDEX($AC$1004:$AS$1004,1,MATCH(COLUMNS($AC$1006:AG1006),$AC$1006:$AS$1006,0)))),"Fix")))</f>
        <v xml:space="preserve"> </v>
      </c>
      <c r="G428" s="4" t="str">
        <f ca="1">IF(OR(INDEX($W$2:$W$1001,MATCH(ROWS($V$2:V428),$V$2:$V$1001,0),1)&gt;=100000,INDEX($AC$1005:$AS$1005,1,MATCH(COLUMNS($AC$1006:AH1006),$AC$1006:$AS$1006,0))&gt;=100000), " ",IF(INDEX($AC$2:$AS$1001,MATCH(ROWS($V$2:V428),$V$2:$V$1001,0),MATCH(COLUMNS($AC$1006:AH1006),$AC$1006:$AS$1006,0)), HYPERLINK("#",""), HYPERLINK(CONCATENATE("#metadata!", ADDRESS(INDEX($X$2:$X$1001,MATCH(ROWS($V$2:V428),$V$2:$V$1001,0),0), INDEX($AC$1004:$AS$1004,1,MATCH(COLUMNS($AC$1006:AH1006),$AC$1006:$AS$1006,0)))),"Fix")))</f>
        <v xml:space="preserve"> </v>
      </c>
      <c r="H428" s="4" t="str">
        <f ca="1">IF(OR(INDEX($W$2:$W$1001,MATCH(ROWS($V$2:V428),$V$2:$V$1001,0),1)&gt;=100000,INDEX($AC$1005:$AS$1005,1,MATCH(COLUMNS($AC$1006:AI1006),$AC$1006:$AS$1006,0))&gt;=100000), " ",IF(INDEX($AC$2:$AS$1001,MATCH(ROWS($V$2:V428),$V$2:$V$1001,0),MATCH(COLUMNS($AC$1006:AI1006),$AC$1006:$AS$1006,0)), HYPERLINK("#",""), HYPERLINK(CONCATENATE("#metadata!", ADDRESS(INDEX($X$2:$X$1001,MATCH(ROWS($V$2:V428),$V$2:$V$1001,0),0), INDEX($AC$1004:$AS$1004,1,MATCH(COLUMNS($AC$1006:AI1006),$AC$1006:$AS$1006,0)))),"Fix")))</f>
        <v xml:space="preserve"> </v>
      </c>
      <c r="I428" s="4" t="str">
        <f ca="1">IF(OR(INDEX($W$2:$W$1001,MATCH(ROWS($V$2:V428),$V$2:$V$1001,0),1)&gt;=100000,INDEX($AC$1005:$AS$1005,1,MATCH(COLUMNS($AC$1006:AJ1006),$AC$1006:$AS$1006,0))&gt;=100000), " ",IF(INDEX($AC$2:$AS$1001,MATCH(ROWS($V$2:V428),$V$2:$V$1001,0),MATCH(COLUMNS($AC$1006:AJ1006),$AC$1006:$AS$1006,0)), HYPERLINK("#",""), HYPERLINK(CONCATENATE("#metadata!", ADDRESS(INDEX($X$2:$X$1001,MATCH(ROWS($V$2:V428),$V$2:$V$1001,0),0), INDEX($AC$1004:$AS$1004,1,MATCH(COLUMNS($AC$1006:AJ1006),$AC$1006:$AS$1006,0)))),"Fix")))</f>
        <v xml:space="preserve"> </v>
      </c>
      <c r="J428" s="4" t="str">
        <f ca="1">IF(OR(INDEX($W$2:$W$1001,MATCH(ROWS($V$2:V428),$V$2:$V$1001,0),1)&gt;=100000,INDEX($AC$1005:$AS$1005,1,MATCH(COLUMNS($AC$1006:AK1006),$AC$1006:$AS$1006,0))&gt;=100000), " ",IF(INDEX($AC$2:$AS$1001,MATCH(ROWS($V$2:V428),$V$2:$V$1001,0),MATCH(COLUMNS($AC$1006:AK1006),$AC$1006:$AS$1006,0)), HYPERLINK("#",""), HYPERLINK(CONCATENATE("#metadata!", ADDRESS(INDEX($X$2:$X$1001,MATCH(ROWS($V$2:V428),$V$2:$V$1001,0),0), INDEX($AC$1004:$AS$1004,1,MATCH(COLUMNS($AC$1006:AK1006),$AC$1006:$AS$1006,0)))),"Fix")))</f>
        <v xml:space="preserve"> </v>
      </c>
      <c r="K428" s="4" t="str">
        <f ca="1">IF(OR(INDEX($W$2:$W$1001,MATCH(ROWS($V$2:V428),$V$2:$V$1001,0),1)&gt;=100000,INDEX($AC$1005:$AS$1005,1,MATCH(COLUMNS($AC$1006:AL1006),$AC$1006:$AS$1006,0))&gt;=100000), " ",IF(INDEX($AC$2:$AS$1001,MATCH(ROWS($V$2:V428),$V$2:$V$1001,0),MATCH(COLUMNS($AC$1006:AL1006),$AC$1006:$AS$1006,0)), HYPERLINK("#",""), HYPERLINK(CONCATENATE("#metadata!", ADDRESS(INDEX($X$2:$X$1001,MATCH(ROWS($V$2:V428),$V$2:$V$1001,0),0), INDEX($AC$1004:$AS$1004,1,MATCH(COLUMNS($AC$1006:AL1006),$AC$1006:$AS$1006,0)))),"Fix")))</f>
        <v xml:space="preserve"> </v>
      </c>
      <c r="L428" s="4" t="str">
        <f ca="1">IF(OR(INDEX($W$2:$W$1001,MATCH(ROWS($V$2:V428),$V$2:$V$1001,0),1)&gt;=100000,INDEX($AC$1005:$AS$1005,1,MATCH(COLUMNS($AC$1006:AM1006),$AC$1006:$AS$1006,0))&gt;=100000), " ",IF(INDEX($AC$2:$AS$1001,MATCH(ROWS($V$2:V428),$V$2:$V$1001,0),MATCH(COLUMNS($AC$1006:AM1006),$AC$1006:$AS$1006,0)), HYPERLINK("#",""), HYPERLINK(CONCATENATE("#metadata!", ADDRESS(INDEX($X$2:$X$1001,MATCH(ROWS($V$2:V428),$V$2:$V$1001,0),0), INDEX($AC$1004:$AS$1004,1,MATCH(COLUMNS($AC$1006:AM1006),$AC$1006:$AS$1006,0)))),"Fix")))</f>
        <v xml:space="preserve"> </v>
      </c>
      <c r="M428" s="4" t="str">
        <f ca="1">IF(OR(INDEX($W$2:$W$1001,MATCH(ROWS($V$2:V428),$V$2:$V$1001,0),1)&gt;=100000,INDEX($AC$1005:$AS$1005,1,MATCH(COLUMNS($AC$1006:AN1006),$AC$1006:$AS$1006,0))&gt;=100000), " ",IF(INDEX($AC$2:$AS$1001,MATCH(ROWS($V$2:V428),$V$2:$V$1001,0),MATCH(COLUMNS($AC$1006:AN1006),$AC$1006:$AS$1006,0)), HYPERLINK("#",""), HYPERLINK(CONCATENATE("#metadata!", ADDRESS(INDEX($X$2:$X$1001,MATCH(ROWS($V$2:V428),$V$2:$V$1001,0),0), INDEX($AC$1004:$AS$1004,1,MATCH(COLUMNS($AC$1006:AN1006),$AC$1006:$AS$1006,0)))),"Fix")))</f>
        <v xml:space="preserve"> </v>
      </c>
      <c r="N428" s="4" t="str">
        <f ca="1">IF(OR(INDEX($W$2:$W$1001,MATCH(ROWS($V$2:V428),$V$2:$V$1001,0),1)&gt;=100000,INDEX($AC$1005:$AS$1005,1,MATCH(COLUMNS($AC$1006:AO1006),$AC$1006:$AS$1006,0))&gt;=100000), " ",IF(INDEX($AC$2:$AS$1001,MATCH(ROWS($V$2:V428),$V$2:$V$1001,0),MATCH(COLUMNS($AC$1006:AO1006),$AC$1006:$AS$1006,0)), HYPERLINK("#",""), HYPERLINK(CONCATENATE("#metadata!", ADDRESS(INDEX($X$2:$X$1001,MATCH(ROWS($V$2:V428),$V$2:$V$1001,0),0), INDEX($AC$1004:$AS$1004,1,MATCH(COLUMNS($AC$1006:AO1006),$AC$1006:$AS$1006,0)))),"Fix")))</f>
        <v xml:space="preserve"> </v>
      </c>
      <c r="O428" s="4" t="str">
        <f ca="1">IF(OR(INDEX($W$2:$W$1001,MATCH(ROWS($V$2:V428),$V$2:$V$1001,0),1)&gt;=100000,INDEX($AC$1005:$AS$1005,1,MATCH(COLUMNS($AC$1006:AP1006),$AC$1006:$AS$1006,0))&gt;=100000), " ",IF(INDEX($AC$2:$AS$1001,MATCH(ROWS($V$2:V428),$V$2:$V$1001,0),MATCH(COLUMNS($AC$1006:AP1006),$AC$1006:$AS$1006,0)), HYPERLINK("#",""), HYPERLINK(CONCATENATE("#metadata!", ADDRESS(INDEX($X$2:$X$1001,MATCH(ROWS($V$2:V428),$V$2:$V$1001,0),0), INDEX($AC$1004:$AS$1004,1,MATCH(COLUMNS($AC$1006:AP1006),$AC$1006:$AS$1006,0)))),"Fix")))</f>
        <v xml:space="preserve"> </v>
      </c>
      <c r="P428" s="4" t="str">
        <f ca="1">IF(OR(INDEX($W$2:$W$1001,MATCH(ROWS($V$2:V428),$V$2:$V$1001,0),1)&gt;=100000,INDEX($AC$1005:$AS$1005,1,MATCH(COLUMNS($AC$1006:AQ1006),$AC$1006:$AS$1006,0))&gt;=100000), " ",IF(INDEX($AC$2:$AS$1001,MATCH(ROWS($V$2:V428),$V$2:$V$1001,0),MATCH(COLUMNS($AC$1006:AQ1006),$AC$1006:$AS$1006,0)), HYPERLINK("#",""), HYPERLINK(CONCATENATE("#metadata!", ADDRESS(INDEX($X$2:$X$1001,MATCH(ROWS($V$2:V428),$V$2:$V$1001,0),0), INDEX($AC$1004:$AS$1004,1,MATCH(COLUMNS($AC$1006:AQ1006),$AC$1006:$AS$1006,0)))),"Fix")))</f>
        <v xml:space="preserve"> </v>
      </c>
      <c r="Q428" s="4" t="str">
        <f ca="1">IF(OR(INDEX($W$2:$W$1001,MATCH(ROWS($V$2:V428),$V$2:$V$1001,0),1)&gt;=100000,INDEX($AC$1005:$AS$1005,1,MATCH(COLUMNS($AC$1006:AR1006),$AC$1006:$AS$1006,0))&gt;=100000), " ",IF(INDEX($AC$2:$AS$1001,MATCH(ROWS($V$2:V428),$V$2:$V$1001,0),MATCH(COLUMNS($AC$1006:AR1006),$AC$1006:$AS$1006,0)), HYPERLINK("#",""), HYPERLINK(CONCATENATE("#metadata!", ADDRESS(INDEX($X$2:$X$1001,MATCH(ROWS($V$2:V428),$V$2:$V$1001,0),0), INDEX($AC$1004:$AS$1004,1,MATCH(COLUMNS($AC$1006:AR1006),$AC$1006:$AS$1006,0)))),"Fix")))</f>
        <v xml:space="preserve"> </v>
      </c>
      <c r="R428" s="4" t="str">
        <f ca="1">IF(OR(INDEX($W$2:$W$1001,MATCH(ROWS($V$2:V428),$V$2:$V$1001,0),1)&gt;=100000,INDEX($AC$1005:$AS$1005,1,MATCH(COLUMNS($AC$1006:AS1006),$AC$1006:$AS$1006,0))&gt;=100000), " ",IF(INDEX($AC$2:$AS$1001,MATCH(ROWS($V$2:V428),$V$2:$V$1001,0),MATCH(COLUMNS($AC$1006:AS1006),$AC$1006:$AS$1006,0)), HYPERLINK("#",""), HYPERLINK(CONCATENATE("#metadata!", ADDRESS(INDEX($X$2:$X$1001,MATCH(ROWS($V$2:V428),$V$2:$V$1001,0),0), INDEX($AC$1004:$AS$1004,1,MATCH(COLUMNS($AC$1006:AS1006),$AC$1006:$AS$1006,0)))),"Fix")))</f>
        <v xml:space="preserve"> </v>
      </c>
      <c r="V428">
        <v>427</v>
      </c>
      <c r="W428">
        <v>100428</v>
      </c>
      <c r="X428">
        <v>428</v>
      </c>
      <c r="Y428" t="b">
        <f t="shared" si="6"/>
        <v>1</v>
      </c>
      <c r="Z428" t="b">
        <f>COUNTBLANK(metadata!B428:R428)=COLUMNS(metadata!B428:R428)</f>
        <v>1</v>
      </c>
      <c r="AA428" t="str">
        <v/>
      </c>
      <c r="AC428" t="b">
        <f ca="1"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AD428" t="b">
        <f>IF(metadata!C428="",FALSE,ISNUMBER(VALUE(metadata!C428)))</f>
        <v>0</v>
      </c>
      <c r="AE428" t="b">
        <f>AND(IF(metadata!D428="",FALSE,TRUE),EXACT(metadata!D428,"years"))</f>
        <v>0</v>
      </c>
      <c r="AF428" t="b">
        <f>OR(AND(IF(metadata!E428="",FALSE,TRUE),OR(EXACT(metadata!E428,"not applicable"),EXACT(metadata!E428,"missing: not collected"),EXACT(metadata!E428,"missing: not provided"),EXACT(metadata!E428,"missing: restricted access"))),AND(IF(metadata!E428="",FALSE,ISNUMBER(VALUE(metadata!E428))),metadata!E428&gt;0))</f>
        <v>0</v>
      </c>
      <c r="AG428" t="b">
        <f>AND(IF(metadata!F428="",FALSE,TRUE),EXACT(metadata!F428,"Not applicable"))</f>
        <v>0</v>
      </c>
      <c r="AH428" t="b">
        <f>AND(IF(metadata!G428="",FALSE,TRUE),EXACT(metadata!G428,"urban biome"))</f>
        <v>0</v>
      </c>
      <c r="AI428" t="b">
        <f>AND(IF(metadata!H428="",FALSE,TRUE),EXACT(metadata!H428,"human-associated habitat"))</f>
        <v>0</v>
      </c>
      <c r="AJ428" t="b">
        <f>AND(IF(metadata!I428="",FALSE,TRUE),OR(EXACT(metadata!I428,"human-associated"),EXACT(metadata!I428,"human-skin"),EXACT(metadata!I428,"human-oral"),EXACT(metadata!I428,"human-gut"),EXACT(metadata!I428,"human-vaginal")))</f>
        <v>0</v>
      </c>
      <c r="AK428" t="b">
        <f>IF(metadata!J428="",FALSE,ISNUMBER(VALUE(metadata!J428)))</f>
        <v>0</v>
      </c>
      <c r="AL428" t="b">
        <f>AND(IF(metadata!K428="",FALSE,TRUE),EXACT(metadata!K428,"cm"))</f>
        <v>0</v>
      </c>
      <c r="AM428" t="b">
        <f>AND(IF(metadata!L428="",FALSE,TRUE),EXACT(metadata!L428,"human"))</f>
        <v>0</v>
      </c>
      <c r="AN428" t="b">
        <f>AND(IF(metadata!M428="",FALSE,TRUE),EXACT(metadata!M428,"Homo sapiens"))</f>
        <v>0</v>
      </c>
      <c r="AO428" t="b">
        <f>AND(IF(metadata!N428="",FALSE,TRUE),EXACT(metadata!N428,"9606"))</f>
        <v>0</v>
      </c>
      <c r="AP428" t="b">
        <f>IF(metadata!O428="",FALSE,TRUE)</f>
        <v>0</v>
      </c>
      <c r="AQ428" t="b">
        <f>IF(metadata!P428="",FALSE,TRUE)</f>
        <v>0</v>
      </c>
      <c r="AR428" t="b">
        <f>IF(metadata!Q428="",FALSE,ISNUMBER(VALUE(metadata!Q428)))</f>
        <v>0</v>
      </c>
      <c r="AS428" t="b">
        <f>AND(IF(metadata!R428="",FALSE,TRUE),EXACT(metadata!R428,"kg"))</f>
        <v>0</v>
      </c>
    </row>
    <row r="429" spans="1:45" x14ac:dyDescent="0.2">
      <c r="A429" s="5" t="str">
        <f ca="1">IF(B429=" "," ",HYPERLINK(CONCATENATE("#metadata!",ADDRESS(INDEX($X$2:$X$1001,MATCH(ROWS($V$2:V429),$V$2:$V$1001,0),0),1)),INDEX($AA$2:$AA$1001,MATCH(ROWS($V$2:V429),$V$2:$V$1001,0),0)))</f>
        <v xml:space="preserve"> </v>
      </c>
      <c r="B429" s="4" t="str">
        <f ca="1">IF(OR(INDEX($W$2:$W$1001,MATCH(ROWS($V$2:V429),$V$2:$V$1001,0),1)&gt;=100000,INDEX($AC$1005:$AS$1005,1,MATCH(COLUMNS($AC$1006:AC1006),$AC$1006:$AS$1006,0))&gt;=100000), " ",IF(INDEX($AC$2:$AS$1001,MATCH(ROWS($V$2:V429),$V$2:$V$1001,0),MATCH(COLUMNS($AC$1006:AC1006),$AC$1006:$AS$1006,0)), HYPERLINK("#",""), HYPERLINK(CONCATENATE("#metadata!", ADDRESS(INDEX($X$2:$X$1001,MATCH(ROWS($V$2:V429),$V$2:$V$1001,0),0), INDEX($AC$1004:$AS$1004,1,MATCH(COLUMNS($AC$1006:AC1006),$AC$1006:$AS$1006,0)))),"Fix")))</f>
        <v xml:space="preserve"> </v>
      </c>
      <c r="C429" s="4" t="str">
        <f ca="1">IF(OR(INDEX($W$2:$W$1001,MATCH(ROWS($V$2:V429),$V$2:$V$1001,0),1)&gt;=100000,INDEX($AC$1005:$AS$1005,1,MATCH(COLUMNS($AC$1006:AD1006),$AC$1006:$AS$1006,0))&gt;=100000), " ",IF(INDEX($AC$2:$AS$1001,MATCH(ROWS($V$2:V429),$V$2:$V$1001,0),MATCH(COLUMNS($AC$1006:AD1006),$AC$1006:$AS$1006,0)), HYPERLINK("#",""), HYPERLINK(CONCATENATE("#metadata!", ADDRESS(INDEX($X$2:$X$1001,MATCH(ROWS($V$2:V429),$V$2:$V$1001,0),0), INDEX($AC$1004:$AS$1004,1,MATCH(COLUMNS($AC$1006:AD1006),$AC$1006:$AS$1006,0)))),"Fix")))</f>
        <v xml:space="preserve"> </v>
      </c>
      <c r="D429" s="4" t="str">
        <f ca="1">IF(OR(INDEX($W$2:$W$1001,MATCH(ROWS($V$2:V429),$V$2:$V$1001,0),1)&gt;=100000,INDEX($AC$1005:$AS$1005,1,MATCH(COLUMNS($AC$1006:AE1006),$AC$1006:$AS$1006,0))&gt;=100000), " ",IF(INDEX($AC$2:$AS$1001,MATCH(ROWS($V$2:V429),$V$2:$V$1001,0),MATCH(COLUMNS($AC$1006:AE1006),$AC$1006:$AS$1006,0)), HYPERLINK("#",""), HYPERLINK(CONCATENATE("#metadata!", ADDRESS(INDEX($X$2:$X$1001,MATCH(ROWS($V$2:V429),$V$2:$V$1001,0),0), INDEX($AC$1004:$AS$1004,1,MATCH(COLUMNS($AC$1006:AE1006),$AC$1006:$AS$1006,0)))),"Fix")))</f>
        <v xml:space="preserve"> </v>
      </c>
      <c r="E429" s="4" t="str">
        <f ca="1">IF(OR(INDEX($W$2:$W$1001,MATCH(ROWS($V$2:V429),$V$2:$V$1001,0),1)&gt;=100000,INDEX($AC$1005:$AS$1005,1,MATCH(COLUMNS($AC$1006:AF1006),$AC$1006:$AS$1006,0))&gt;=100000), " ",IF(INDEX($AC$2:$AS$1001,MATCH(ROWS($V$2:V429),$V$2:$V$1001,0),MATCH(COLUMNS($AC$1006:AF1006),$AC$1006:$AS$1006,0)), HYPERLINK("#",""), HYPERLINK(CONCATENATE("#metadata!", ADDRESS(INDEX($X$2:$X$1001,MATCH(ROWS($V$2:V429),$V$2:$V$1001,0),0), INDEX($AC$1004:$AS$1004,1,MATCH(COLUMNS($AC$1006:AF1006),$AC$1006:$AS$1006,0)))),"Fix")))</f>
        <v xml:space="preserve"> </v>
      </c>
      <c r="F429" s="4" t="str">
        <f ca="1">IF(OR(INDEX($W$2:$W$1001,MATCH(ROWS($V$2:V429),$V$2:$V$1001,0),1)&gt;=100000,INDEX($AC$1005:$AS$1005,1,MATCH(COLUMNS($AC$1006:AG1006),$AC$1006:$AS$1006,0))&gt;=100000), " ",IF(INDEX($AC$2:$AS$1001,MATCH(ROWS($V$2:V429),$V$2:$V$1001,0),MATCH(COLUMNS($AC$1006:AG1006),$AC$1006:$AS$1006,0)), HYPERLINK("#",""), HYPERLINK(CONCATENATE("#metadata!", ADDRESS(INDEX($X$2:$X$1001,MATCH(ROWS($V$2:V429),$V$2:$V$1001,0),0), INDEX($AC$1004:$AS$1004,1,MATCH(COLUMNS($AC$1006:AG1006),$AC$1006:$AS$1006,0)))),"Fix")))</f>
        <v xml:space="preserve"> </v>
      </c>
      <c r="G429" s="4" t="str">
        <f ca="1">IF(OR(INDEX($W$2:$W$1001,MATCH(ROWS($V$2:V429),$V$2:$V$1001,0),1)&gt;=100000,INDEX($AC$1005:$AS$1005,1,MATCH(COLUMNS($AC$1006:AH1006),$AC$1006:$AS$1006,0))&gt;=100000), " ",IF(INDEX($AC$2:$AS$1001,MATCH(ROWS($V$2:V429),$V$2:$V$1001,0),MATCH(COLUMNS($AC$1006:AH1006),$AC$1006:$AS$1006,0)), HYPERLINK("#",""), HYPERLINK(CONCATENATE("#metadata!", ADDRESS(INDEX($X$2:$X$1001,MATCH(ROWS($V$2:V429),$V$2:$V$1001,0),0), INDEX($AC$1004:$AS$1004,1,MATCH(COLUMNS($AC$1006:AH1006),$AC$1006:$AS$1006,0)))),"Fix")))</f>
        <v xml:space="preserve"> </v>
      </c>
      <c r="H429" s="4" t="str">
        <f ca="1">IF(OR(INDEX($W$2:$W$1001,MATCH(ROWS($V$2:V429),$V$2:$V$1001,0),1)&gt;=100000,INDEX($AC$1005:$AS$1005,1,MATCH(COLUMNS($AC$1006:AI1006),$AC$1006:$AS$1006,0))&gt;=100000), " ",IF(INDEX($AC$2:$AS$1001,MATCH(ROWS($V$2:V429),$V$2:$V$1001,0),MATCH(COLUMNS($AC$1006:AI1006),$AC$1006:$AS$1006,0)), HYPERLINK("#",""), HYPERLINK(CONCATENATE("#metadata!", ADDRESS(INDEX($X$2:$X$1001,MATCH(ROWS($V$2:V429),$V$2:$V$1001,0),0), INDEX($AC$1004:$AS$1004,1,MATCH(COLUMNS($AC$1006:AI1006),$AC$1006:$AS$1006,0)))),"Fix")))</f>
        <v xml:space="preserve"> </v>
      </c>
      <c r="I429" s="4" t="str">
        <f ca="1">IF(OR(INDEX($W$2:$W$1001,MATCH(ROWS($V$2:V429),$V$2:$V$1001,0),1)&gt;=100000,INDEX($AC$1005:$AS$1005,1,MATCH(COLUMNS($AC$1006:AJ1006),$AC$1006:$AS$1006,0))&gt;=100000), " ",IF(INDEX($AC$2:$AS$1001,MATCH(ROWS($V$2:V429),$V$2:$V$1001,0),MATCH(COLUMNS($AC$1006:AJ1006),$AC$1006:$AS$1006,0)), HYPERLINK("#",""), HYPERLINK(CONCATENATE("#metadata!", ADDRESS(INDEX($X$2:$X$1001,MATCH(ROWS($V$2:V429),$V$2:$V$1001,0),0), INDEX($AC$1004:$AS$1004,1,MATCH(COLUMNS($AC$1006:AJ1006),$AC$1006:$AS$1006,0)))),"Fix")))</f>
        <v xml:space="preserve"> </v>
      </c>
      <c r="J429" s="4" t="str">
        <f ca="1">IF(OR(INDEX($W$2:$W$1001,MATCH(ROWS($V$2:V429),$V$2:$V$1001,0),1)&gt;=100000,INDEX($AC$1005:$AS$1005,1,MATCH(COLUMNS($AC$1006:AK1006),$AC$1006:$AS$1006,0))&gt;=100000), " ",IF(INDEX($AC$2:$AS$1001,MATCH(ROWS($V$2:V429),$V$2:$V$1001,0),MATCH(COLUMNS($AC$1006:AK1006),$AC$1006:$AS$1006,0)), HYPERLINK("#",""), HYPERLINK(CONCATENATE("#metadata!", ADDRESS(INDEX($X$2:$X$1001,MATCH(ROWS($V$2:V429),$V$2:$V$1001,0),0), INDEX($AC$1004:$AS$1004,1,MATCH(COLUMNS($AC$1006:AK1006),$AC$1006:$AS$1006,0)))),"Fix")))</f>
        <v xml:space="preserve"> </v>
      </c>
      <c r="K429" s="4" t="str">
        <f ca="1">IF(OR(INDEX($W$2:$W$1001,MATCH(ROWS($V$2:V429),$V$2:$V$1001,0),1)&gt;=100000,INDEX($AC$1005:$AS$1005,1,MATCH(COLUMNS($AC$1006:AL1006),$AC$1006:$AS$1006,0))&gt;=100000), " ",IF(INDEX($AC$2:$AS$1001,MATCH(ROWS($V$2:V429),$V$2:$V$1001,0),MATCH(COLUMNS($AC$1006:AL1006),$AC$1006:$AS$1006,0)), HYPERLINK("#",""), HYPERLINK(CONCATENATE("#metadata!", ADDRESS(INDEX($X$2:$X$1001,MATCH(ROWS($V$2:V429),$V$2:$V$1001,0),0), INDEX($AC$1004:$AS$1004,1,MATCH(COLUMNS($AC$1006:AL1006),$AC$1006:$AS$1006,0)))),"Fix")))</f>
        <v xml:space="preserve"> </v>
      </c>
      <c r="L429" s="4" t="str">
        <f ca="1">IF(OR(INDEX($W$2:$W$1001,MATCH(ROWS($V$2:V429),$V$2:$V$1001,0),1)&gt;=100000,INDEX($AC$1005:$AS$1005,1,MATCH(COLUMNS($AC$1006:AM1006),$AC$1006:$AS$1006,0))&gt;=100000), " ",IF(INDEX($AC$2:$AS$1001,MATCH(ROWS($V$2:V429),$V$2:$V$1001,0),MATCH(COLUMNS($AC$1006:AM1006),$AC$1006:$AS$1006,0)), HYPERLINK("#",""), HYPERLINK(CONCATENATE("#metadata!", ADDRESS(INDEX($X$2:$X$1001,MATCH(ROWS($V$2:V429),$V$2:$V$1001,0),0), INDEX($AC$1004:$AS$1004,1,MATCH(COLUMNS($AC$1006:AM1006),$AC$1006:$AS$1006,0)))),"Fix")))</f>
        <v xml:space="preserve"> </v>
      </c>
      <c r="M429" s="4" t="str">
        <f ca="1">IF(OR(INDEX($W$2:$W$1001,MATCH(ROWS($V$2:V429),$V$2:$V$1001,0),1)&gt;=100000,INDEX($AC$1005:$AS$1005,1,MATCH(COLUMNS($AC$1006:AN1006),$AC$1006:$AS$1006,0))&gt;=100000), " ",IF(INDEX($AC$2:$AS$1001,MATCH(ROWS($V$2:V429),$V$2:$V$1001,0),MATCH(COLUMNS($AC$1006:AN1006),$AC$1006:$AS$1006,0)), HYPERLINK("#",""), HYPERLINK(CONCATENATE("#metadata!", ADDRESS(INDEX($X$2:$X$1001,MATCH(ROWS($V$2:V429),$V$2:$V$1001,0),0), INDEX($AC$1004:$AS$1004,1,MATCH(COLUMNS($AC$1006:AN1006),$AC$1006:$AS$1006,0)))),"Fix")))</f>
        <v xml:space="preserve"> </v>
      </c>
      <c r="N429" s="4" t="str">
        <f ca="1">IF(OR(INDEX($W$2:$W$1001,MATCH(ROWS($V$2:V429),$V$2:$V$1001,0),1)&gt;=100000,INDEX($AC$1005:$AS$1005,1,MATCH(COLUMNS($AC$1006:AO1006),$AC$1006:$AS$1006,0))&gt;=100000), " ",IF(INDEX($AC$2:$AS$1001,MATCH(ROWS($V$2:V429),$V$2:$V$1001,0),MATCH(COLUMNS($AC$1006:AO1006),$AC$1006:$AS$1006,0)), HYPERLINK("#",""), HYPERLINK(CONCATENATE("#metadata!", ADDRESS(INDEX($X$2:$X$1001,MATCH(ROWS($V$2:V429),$V$2:$V$1001,0),0), INDEX($AC$1004:$AS$1004,1,MATCH(COLUMNS($AC$1006:AO1006),$AC$1006:$AS$1006,0)))),"Fix")))</f>
        <v xml:space="preserve"> </v>
      </c>
      <c r="O429" s="4" t="str">
        <f ca="1">IF(OR(INDEX($W$2:$W$1001,MATCH(ROWS($V$2:V429),$V$2:$V$1001,0),1)&gt;=100000,INDEX($AC$1005:$AS$1005,1,MATCH(COLUMNS($AC$1006:AP1006),$AC$1006:$AS$1006,0))&gt;=100000), " ",IF(INDEX($AC$2:$AS$1001,MATCH(ROWS($V$2:V429),$V$2:$V$1001,0),MATCH(COLUMNS($AC$1006:AP1006),$AC$1006:$AS$1006,0)), HYPERLINK("#",""), HYPERLINK(CONCATENATE("#metadata!", ADDRESS(INDEX($X$2:$X$1001,MATCH(ROWS($V$2:V429),$V$2:$V$1001,0),0), INDEX($AC$1004:$AS$1004,1,MATCH(COLUMNS($AC$1006:AP1006),$AC$1006:$AS$1006,0)))),"Fix")))</f>
        <v xml:space="preserve"> </v>
      </c>
      <c r="P429" s="4" t="str">
        <f ca="1">IF(OR(INDEX($W$2:$W$1001,MATCH(ROWS($V$2:V429),$V$2:$V$1001,0),1)&gt;=100000,INDEX($AC$1005:$AS$1005,1,MATCH(COLUMNS($AC$1006:AQ1006),$AC$1006:$AS$1006,0))&gt;=100000), " ",IF(INDEX($AC$2:$AS$1001,MATCH(ROWS($V$2:V429),$V$2:$V$1001,0),MATCH(COLUMNS($AC$1006:AQ1006),$AC$1006:$AS$1006,0)), HYPERLINK("#",""), HYPERLINK(CONCATENATE("#metadata!", ADDRESS(INDEX($X$2:$X$1001,MATCH(ROWS($V$2:V429),$V$2:$V$1001,0),0), INDEX($AC$1004:$AS$1004,1,MATCH(COLUMNS($AC$1006:AQ1006),$AC$1006:$AS$1006,0)))),"Fix")))</f>
        <v xml:space="preserve"> </v>
      </c>
      <c r="Q429" s="4" t="str">
        <f ca="1">IF(OR(INDEX($W$2:$W$1001,MATCH(ROWS($V$2:V429),$V$2:$V$1001,0),1)&gt;=100000,INDEX($AC$1005:$AS$1005,1,MATCH(COLUMNS($AC$1006:AR1006),$AC$1006:$AS$1006,0))&gt;=100000), " ",IF(INDEX($AC$2:$AS$1001,MATCH(ROWS($V$2:V429),$V$2:$V$1001,0),MATCH(COLUMNS($AC$1006:AR1006),$AC$1006:$AS$1006,0)), HYPERLINK("#",""), HYPERLINK(CONCATENATE("#metadata!", ADDRESS(INDEX($X$2:$X$1001,MATCH(ROWS($V$2:V429),$V$2:$V$1001,0),0), INDEX($AC$1004:$AS$1004,1,MATCH(COLUMNS($AC$1006:AR1006),$AC$1006:$AS$1006,0)))),"Fix")))</f>
        <v xml:space="preserve"> </v>
      </c>
      <c r="R429" s="4" t="str">
        <f ca="1">IF(OR(INDEX($W$2:$W$1001,MATCH(ROWS($V$2:V429),$V$2:$V$1001,0),1)&gt;=100000,INDEX($AC$1005:$AS$1005,1,MATCH(COLUMNS($AC$1006:AS1006),$AC$1006:$AS$1006,0))&gt;=100000), " ",IF(INDEX($AC$2:$AS$1001,MATCH(ROWS($V$2:V429),$V$2:$V$1001,0),MATCH(COLUMNS($AC$1006:AS1006),$AC$1006:$AS$1006,0)), HYPERLINK("#",""), HYPERLINK(CONCATENATE("#metadata!", ADDRESS(INDEX($X$2:$X$1001,MATCH(ROWS($V$2:V429),$V$2:$V$1001,0),0), INDEX($AC$1004:$AS$1004,1,MATCH(COLUMNS($AC$1006:AS1006),$AC$1006:$AS$1006,0)))),"Fix")))</f>
        <v xml:space="preserve"> </v>
      </c>
      <c r="V429">
        <v>428</v>
      </c>
      <c r="W429">
        <v>100429</v>
      </c>
      <c r="X429">
        <v>429</v>
      </c>
      <c r="Y429" t="b">
        <f t="shared" si="6"/>
        <v>1</v>
      </c>
      <c r="Z429" t="b">
        <f>COUNTBLANK(metadata!B429:R429)=COLUMNS(metadata!B429:R429)</f>
        <v>1</v>
      </c>
      <c r="AA429" t="str">
        <v/>
      </c>
      <c r="AC429" t="b">
        <f ca="1"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AD429" t="b">
        <f>IF(metadata!C429="",FALSE,ISNUMBER(VALUE(metadata!C429)))</f>
        <v>0</v>
      </c>
      <c r="AE429" t="b">
        <f>AND(IF(metadata!D429="",FALSE,TRUE),EXACT(metadata!D429,"years"))</f>
        <v>0</v>
      </c>
      <c r="AF429" t="b">
        <f>OR(AND(IF(metadata!E429="",FALSE,TRUE),OR(EXACT(metadata!E429,"not applicable"),EXACT(metadata!E429,"missing: not collected"),EXACT(metadata!E429,"missing: not provided"),EXACT(metadata!E429,"missing: restricted access"))),AND(IF(metadata!E429="",FALSE,ISNUMBER(VALUE(metadata!E429))),metadata!E429&gt;0))</f>
        <v>0</v>
      </c>
      <c r="AG429" t="b">
        <f>AND(IF(metadata!F429="",FALSE,TRUE),EXACT(metadata!F429,"Not applicable"))</f>
        <v>0</v>
      </c>
      <c r="AH429" t="b">
        <f>AND(IF(metadata!G429="",FALSE,TRUE),EXACT(metadata!G429,"urban biome"))</f>
        <v>0</v>
      </c>
      <c r="AI429" t="b">
        <f>AND(IF(metadata!H429="",FALSE,TRUE),EXACT(metadata!H429,"human-associated habitat"))</f>
        <v>0</v>
      </c>
      <c r="AJ429" t="b">
        <f>AND(IF(metadata!I429="",FALSE,TRUE),OR(EXACT(metadata!I429,"human-associated"),EXACT(metadata!I429,"human-skin"),EXACT(metadata!I429,"human-oral"),EXACT(metadata!I429,"human-gut"),EXACT(metadata!I429,"human-vaginal")))</f>
        <v>0</v>
      </c>
      <c r="AK429" t="b">
        <f>IF(metadata!J429="",FALSE,ISNUMBER(VALUE(metadata!J429)))</f>
        <v>0</v>
      </c>
      <c r="AL429" t="b">
        <f>AND(IF(metadata!K429="",FALSE,TRUE),EXACT(metadata!K429,"cm"))</f>
        <v>0</v>
      </c>
      <c r="AM429" t="b">
        <f>AND(IF(metadata!L429="",FALSE,TRUE),EXACT(metadata!L429,"human"))</f>
        <v>0</v>
      </c>
      <c r="AN429" t="b">
        <f>AND(IF(metadata!M429="",FALSE,TRUE),EXACT(metadata!M429,"Homo sapiens"))</f>
        <v>0</v>
      </c>
      <c r="AO429" t="b">
        <f>AND(IF(metadata!N429="",FALSE,TRUE),EXACT(metadata!N429,"9606"))</f>
        <v>0</v>
      </c>
      <c r="AP429" t="b">
        <f>IF(metadata!O429="",FALSE,TRUE)</f>
        <v>0</v>
      </c>
      <c r="AQ429" t="b">
        <f>IF(metadata!P429="",FALSE,TRUE)</f>
        <v>0</v>
      </c>
      <c r="AR429" t="b">
        <f>IF(metadata!Q429="",FALSE,ISNUMBER(VALUE(metadata!Q429)))</f>
        <v>0</v>
      </c>
      <c r="AS429" t="b">
        <f>AND(IF(metadata!R429="",FALSE,TRUE),EXACT(metadata!R429,"kg"))</f>
        <v>0</v>
      </c>
    </row>
    <row r="430" spans="1:45" x14ac:dyDescent="0.2">
      <c r="A430" s="5" t="str">
        <f ca="1">IF(B430=" "," ",HYPERLINK(CONCATENATE("#metadata!",ADDRESS(INDEX($X$2:$X$1001,MATCH(ROWS($V$2:V430),$V$2:$V$1001,0),0),1)),INDEX($AA$2:$AA$1001,MATCH(ROWS($V$2:V430),$V$2:$V$1001,0),0)))</f>
        <v xml:space="preserve"> </v>
      </c>
      <c r="B430" s="4" t="str">
        <f ca="1">IF(OR(INDEX($W$2:$W$1001,MATCH(ROWS($V$2:V430),$V$2:$V$1001,0),1)&gt;=100000,INDEX($AC$1005:$AS$1005,1,MATCH(COLUMNS($AC$1006:AC1006),$AC$1006:$AS$1006,0))&gt;=100000), " ",IF(INDEX($AC$2:$AS$1001,MATCH(ROWS($V$2:V430),$V$2:$V$1001,0),MATCH(COLUMNS($AC$1006:AC1006),$AC$1006:$AS$1006,0)), HYPERLINK("#",""), HYPERLINK(CONCATENATE("#metadata!", ADDRESS(INDEX($X$2:$X$1001,MATCH(ROWS($V$2:V430),$V$2:$V$1001,0),0), INDEX($AC$1004:$AS$1004,1,MATCH(COLUMNS($AC$1006:AC1006),$AC$1006:$AS$1006,0)))),"Fix")))</f>
        <v xml:space="preserve"> </v>
      </c>
      <c r="C430" s="4" t="str">
        <f ca="1">IF(OR(INDEX($W$2:$W$1001,MATCH(ROWS($V$2:V430),$V$2:$V$1001,0),1)&gt;=100000,INDEX($AC$1005:$AS$1005,1,MATCH(COLUMNS($AC$1006:AD1006),$AC$1006:$AS$1006,0))&gt;=100000), " ",IF(INDEX($AC$2:$AS$1001,MATCH(ROWS($V$2:V430),$V$2:$V$1001,0),MATCH(COLUMNS($AC$1006:AD1006),$AC$1006:$AS$1006,0)), HYPERLINK("#",""), HYPERLINK(CONCATENATE("#metadata!", ADDRESS(INDEX($X$2:$X$1001,MATCH(ROWS($V$2:V430),$V$2:$V$1001,0),0), INDEX($AC$1004:$AS$1004,1,MATCH(COLUMNS($AC$1006:AD1006),$AC$1006:$AS$1006,0)))),"Fix")))</f>
        <v xml:space="preserve"> </v>
      </c>
      <c r="D430" s="4" t="str">
        <f ca="1">IF(OR(INDEX($W$2:$W$1001,MATCH(ROWS($V$2:V430),$V$2:$V$1001,0),1)&gt;=100000,INDEX($AC$1005:$AS$1005,1,MATCH(COLUMNS($AC$1006:AE1006),$AC$1006:$AS$1006,0))&gt;=100000), " ",IF(INDEX($AC$2:$AS$1001,MATCH(ROWS($V$2:V430),$V$2:$V$1001,0),MATCH(COLUMNS($AC$1006:AE1006),$AC$1006:$AS$1006,0)), HYPERLINK("#",""), HYPERLINK(CONCATENATE("#metadata!", ADDRESS(INDEX($X$2:$X$1001,MATCH(ROWS($V$2:V430),$V$2:$V$1001,0),0), INDEX($AC$1004:$AS$1004,1,MATCH(COLUMNS($AC$1006:AE1006),$AC$1006:$AS$1006,0)))),"Fix")))</f>
        <v xml:space="preserve"> </v>
      </c>
      <c r="E430" s="4" t="str">
        <f ca="1">IF(OR(INDEX($W$2:$W$1001,MATCH(ROWS($V$2:V430),$V$2:$V$1001,0),1)&gt;=100000,INDEX($AC$1005:$AS$1005,1,MATCH(COLUMNS($AC$1006:AF1006),$AC$1006:$AS$1006,0))&gt;=100000), " ",IF(INDEX($AC$2:$AS$1001,MATCH(ROWS($V$2:V430),$V$2:$V$1001,0),MATCH(COLUMNS($AC$1006:AF1006),$AC$1006:$AS$1006,0)), HYPERLINK("#",""), HYPERLINK(CONCATENATE("#metadata!", ADDRESS(INDEX($X$2:$X$1001,MATCH(ROWS($V$2:V430),$V$2:$V$1001,0),0), INDEX($AC$1004:$AS$1004,1,MATCH(COLUMNS($AC$1006:AF1006),$AC$1006:$AS$1006,0)))),"Fix")))</f>
        <v xml:space="preserve"> </v>
      </c>
      <c r="F430" s="4" t="str">
        <f ca="1">IF(OR(INDEX($W$2:$W$1001,MATCH(ROWS($V$2:V430),$V$2:$V$1001,0),1)&gt;=100000,INDEX($AC$1005:$AS$1005,1,MATCH(COLUMNS($AC$1006:AG1006),$AC$1006:$AS$1006,0))&gt;=100000), " ",IF(INDEX($AC$2:$AS$1001,MATCH(ROWS($V$2:V430),$V$2:$V$1001,0),MATCH(COLUMNS($AC$1006:AG1006),$AC$1006:$AS$1006,0)), HYPERLINK("#",""), HYPERLINK(CONCATENATE("#metadata!", ADDRESS(INDEX($X$2:$X$1001,MATCH(ROWS($V$2:V430),$V$2:$V$1001,0),0), INDEX($AC$1004:$AS$1004,1,MATCH(COLUMNS($AC$1006:AG1006),$AC$1006:$AS$1006,0)))),"Fix")))</f>
        <v xml:space="preserve"> </v>
      </c>
      <c r="G430" s="4" t="str">
        <f ca="1">IF(OR(INDEX($W$2:$W$1001,MATCH(ROWS($V$2:V430),$V$2:$V$1001,0),1)&gt;=100000,INDEX($AC$1005:$AS$1005,1,MATCH(COLUMNS($AC$1006:AH1006),$AC$1006:$AS$1006,0))&gt;=100000), " ",IF(INDEX($AC$2:$AS$1001,MATCH(ROWS($V$2:V430),$V$2:$V$1001,0),MATCH(COLUMNS($AC$1006:AH1006),$AC$1006:$AS$1006,0)), HYPERLINK("#",""), HYPERLINK(CONCATENATE("#metadata!", ADDRESS(INDEX($X$2:$X$1001,MATCH(ROWS($V$2:V430),$V$2:$V$1001,0),0), INDEX($AC$1004:$AS$1004,1,MATCH(COLUMNS($AC$1006:AH1006),$AC$1006:$AS$1006,0)))),"Fix")))</f>
        <v xml:space="preserve"> </v>
      </c>
      <c r="H430" s="4" t="str">
        <f ca="1">IF(OR(INDEX($W$2:$W$1001,MATCH(ROWS($V$2:V430),$V$2:$V$1001,0),1)&gt;=100000,INDEX($AC$1005:$AS$1005,1,MATCH(COLUMNS($AC$1006:AI1006),$AC$1006:$AS$1006,0))&gt;=100000), " ",IF(INDEX($AC$2:$AS$1001,MATCH(ROWS($V$2:V430),$V$2:$V$1001,0),MATCH(COLUMNS($AC$1006:AI1006),$AC$1006:$AS$1006,0)), HYPERLINK("#",""), HYPERLINK(CONCATENATE("#metadata!", ADDRESS(INDEX($X$2:$X$1001,MATCH(ROWS($V$2:V430),$V$2:$V$1001,0),0), INDEX($AC$1004:$AS$1004,1,MATCH(COLUMNS($AC$1006:AI1006),$AC$1006:$AS$1006,0)))),"Fix")))</f>
        <v xml:space="preserve"> </v>
      </c>
      <c r="I430" s="4" t="str">
        <f ca="1">IF(OR(INDEX($W$2:$W$1001,MATCH(ROWS($V$2:V430),$V$2:$V$1001,0),1)&gt;=100000,INDEX($AC$1005:$AS$1005,1,MATCH(COLUMNS($AC$1006:AJ1006),$AC$1006:$AS$1006,0))&gt;=100000), " ",IF(INDEX($AC$2:$AS$1001,MATCH(ROWS($V$2:V430),$V$2:$V$1001,0),MATCH(COLUMNS($AC$1006:AJ1006),$AC$1006:$AS$1006,0)), HYPERLINK("#",""), HYPERLINK(CONCATENATE("#metadata!", ADDRESS(INDEX($X$2:$X$1001,MATCH(ROWS($V$2:V430),$V$2:$V$1001,0),0), INDEX($AC$1004:$AS$1004,1,MATCH(COLUMNS($AC$1006:AJ1006),$AC$1006:$AS$1006,0)))),"Fix")))</f>
        <v xml:space="preserve"> </v>
      </c>
      <c r="J430" s="4" t="str">
        <f ca="1">IF(OR(INDEX($W$2:$W$1001,MATCH(ROWS($V$2:V430),$V$2:$V$1001,0),1)&gt;=100000,INDEX($AC$1005:$AS$1005,1,MATCH(COLUMNS($AC$1006:AK1006),$AC$1006:$AS$1006,0))&gt;=100000), " ",IF(INDEX($AC$2:$AS$1001,MATCH(ROWS($V$2:V430),$V$2:$V$1001,0),MATCH(COLUMNS($AC$1006:AK1006),$AC$1006:$AS$1006,0)), HYPERLINK("#",""), HYPERLINK(CONCATENATE("#metadata!", ADDRESS(INDEX($X$2:$X$1001,MATCH(ROWS($V$2:V430),$V$2:$V$1001,0),0), INDEX($AC$1004:$AS$1004,1,MATCH(COLUMNS($AC$1006:AK1006),$AC$1006:$AS$1006,0)))),"Fix")))</f>
        <v xml:space="preserve"> </v>
      </c>
      <c r="K430" s="4" t="str">
        <f ca="1">IF(OR(INDEX($W$2:$W$1001,MATCH(ROWS($V$2:V430),$V$2:$V$1001,0),1)&gt;=100000,INDEX($AC$1005:$AS$1005,1,MATCH(COLUMNS($AC$1006:AL1006),$AC$1006:$AS$1006,0))&gt;=100000), " ",IF(INDEX($AC$2:$AS$1001,MATCH(ROWS($V$2:V430),$V$2:$V$1001,0),MATCH(COLUMNS($AC$1006:AL1006),$AC$1006:$AS$1006,0)), HYPERLINK("#",""), HYPERLINK(CONCATENATE("#metadata!", ADDRESS(INDEX($X$2:$X$1001,MATCH(ROWS($V$2:V430),$V$2:$V$1001,0),0), INDEX($AC$1004:$AS$1004,1,MATCH(COLUMNS($AC$1006:AL1006),$AC$1006:$AS$1006,0)))),"Fix")))</f>
        <v xml:space="preserve"> </v>
      </c>
      <c r="L430" s="4" t="str">
        <f ca="1">IF(OR(INDEX($W$2:$W$1001,MATCH(ROWS($V$2:V430),$V$2:$V$1001,0),1)&gt;=100000,INDEX($AC$1005:$AS$1005,1,MATCH(COLUMNS($AC$1006:AM1006),$AC$1006:$AS$1006,0))&gt;=100000), " ",IF(INDEX($AC$2:$AS$1001,MATCH(ROWS($V$2:V430),$V$2:$V$1001,0),MATCH(COLUMNS($AC$1006:AM1006),$AC$1006:$AS$1006,0)), HYPERLINK("#",""), HYPERLINK(CONCATENATE("#metadata!", ADDRESS(INDEX($X$2:$X$1001,MATCH(ROWS($V$2:V430),$V$2:$V$1001,0),0), INDEX($AC$1004:$AS$1004,1,MATCH(COLUMNS($AC$1006:AM1006),$AC$1006:$AS$1006,0)))),"Fix")))</f>
        <v xml:space="preserve"> </v>
      </c>
      <c r="M430" s="4" t="str">
        <f ca="1">IF(OR(INDEX($W$2:$W$1001,MATCH(ROWS($V$2:V430),$V$2:$V$1001,0),1)&gt;=100000,INDEX($AC$1005:$AS$1005,1,MATCH(COLUMNS($AC$1006:AN1006),$AC$1006:$AS$1006,0))&gt;=100000), " ",IF(INDEX($AC$2:$AS$1001,MATCH(ROWS($V$2:V430),$V$2:$V$1001,0),MATCH(COLUMNS($AC$1006:AN1006),$AC$1006:$AS$1006,0)), HYPERLINK("#",""), HYPERLINK(CONCATENATE("#metadata!", ADDRESS(INDEX($X$2:$X$1001,MATCH(ROWS($V$2:V430),$V$2:$V$1001,0),0), INDEX($AC$1004:$AS$1004,1,MATCH(COLUMNS($AC$1006:AN1006),$AC$1006:$AS$1006,0)))),"Fix")))</f>
        <v xml:space="preserve"> </v>
      </c>
      <c r="N430" s="4" t="str">
        <f ca="1">IF(OR(INDEX($W$2:$W$1001,MATCH(ROWS($V$2:V430),$V$2:$V$1001,0),1)&gt;=100000,INDEX($AC$1005:$AS$1005,1,MATCH(COLUMNS($AC$1006:AO1006),$AC$1006:$AS$1006,0))&gt;=100000), " ",IF(INDEX($AC$2:$AS$1001,MATCH(ROWS($V$2:V430),$V$2:$V$1001,0),MATCH(COLUMNS($AC$1006:AO1006),$AC$1006:$AS$1006,0)), HYPERLINK("#",""), HYPERLINK(CONCATENATE("#metadata!", ADDRESS(INDEX($X$2:$X$1001,MATCH(ROWS($V$2:V430),$V$2:$V$1001,0),0), INDEX($AC$1004:$AS$1004,1,MATCH(COLUMNS($AC$1006:AO1006),$AC$1006:$AS$1006,0)))),"Fix")))</f>
        <v xml:space="preserve"> </v>
      </c>
      <c r="O430" s="4" t="str">
        <f ca="1">IF(OR(INDEX($W$2:$W$1001,MATCH(ROWS($V$2:V430),$V$2:$V$1001,0),1)&gt;=100000,INDEX($AC$1005:$AS$1005,1,MATCH(COLUMNS($AC$1006:AP1006),$AC$1006:$AS$1006,0))&gt;=100000), " ",IF(INDEX($AC$2:$AS$1001,MATCH(ROWS($V$2:V430),$V$2:$V$1001,0),MATCH(COLUMNS($AC$1006:AP1006),$AC$1006:$AS$1006,0)), HYPERLINK("#",""), HYPERLINK(CONCATENATE("#metadata!", ADDRESS(INDEX($X$2:$X$1001,MATCH(ROWS($V$2:V430),$V$2:$V$1001,0),0), INDEX($AC$1004:$AS$1004,1,MATCH(COLUMNS($AC$1006:AP1006),$AC$1006:$AS$1006,0)))),"Fix")))</f>
        <v xml:space="preserve"> </v>
      </c>
      <c r="P430" s="4" t="str">
        <f ca="1">IF(OR(INDEX($W$2:$W$1001,MATCH(ROWS($V$2:V430),$V$2:$V$1001,0),1)&gt;=100000,INDEX($AC$1005:$AS$1005,1,MATCH(COLUMNS($AC$1006:AQ1006),$AC$1006:$AS$1006,0))&gt;=100000), " ",IF(INDEX($AC$2:$AS$1001,MATCH(ROWS($V$2:V430),$V$2:$V$1001,0),MATCH(COLUMNS($AC$1006:AQ1006),$AC$1006:$AS$1006,0)), HYPERLINK("#",""), HYPERLINK(CONCATENATE("#metadata!", ADDRESS(INDEX($X$2:$X$1001,MATCH(ROWS($V$2:V430),$V$2:$V$1001,0),0), INDEX($AC$1004:$AS$1004,1,MATCH(COLUMNS($AC$1006:AQ1006),$AC$1006:$AS$1006,0)))),"Fix")))</f>
        <v xml:space="preserve"> </v>
      </c>
      <c r="Q430" s="4" t="str">
        <f ca="1">IF(OR(INDEX($W$2:$W$1001,MATCH(ROWS($V$2:V430),$V$2:$V$1001,0),1)&gt;=100000,INDEX($AC$1005:$AS$1005,1,MATCH(COLUMNS($AC$1006:AR1006),$AC$1006:$AS$1006,0))&gt;=100000), " ",IF(INDEX($AC$2:$AS$1001,MATCH(ROWS($V$2:V430),$V$2:$V$1001,0),MATCH(COLUMNS($AC$1006:AR1006),$AC$1006:$AS$1006,0)), HYPERLINK("#",""), HYPERLINK(CONCATENATE("#metadata!", ADDRESS(INDEX($X$2:$X$1001,MATCH(ROWS($V$2:V430),$V$2:$V$1001,0),0), INDEX($AC$1004:$AS$1004,1,MATCH(COLUMNS($AC$1006:AR1006),$AC$1006:$AS$1006,0)))),"Fix")))</f>
        <v xml:space="preserve"> </v>
      </c>
      <c r="R430" s="4" t="str">
        <f ca="1">IF(OR(INDEX($W$2:$W$1001,MATCH(ROWS($V$2:V430),$V$2:$V$1001,0),1)&gt;=100000,INDEX($AC$1005:$AS$1005,1,MATCH(COLUMNS($AC$1006:AS1006),$AC$1006:$AS$1006,0))&gt;=100000), " ",IF(INDEX($AC$2:$AS$1001,MATCH(ROWS($V$2:V430),$V$2:$V$1001,0),MATCH(COLUMNS($AC$1006:AS1006),$AC$1006:$AS$1006,0)), HYPERLINK("#",""), HYPERLINK(CONCATENATE("#metadata!", ADDRESS(INDEX($X$2:$X$1001,MATCH(ROWS($V$2:V430),$V$2:$V$1001,0),0), INDEX($AC$1004:$AS$1004,1,MATCH(COLUMNS($AC$1006:AS1006),$AC$1006:$AS$1006,0)))),"Fix")))</f>
        <v xml:space="preserve"> </v>
      </c>
      <c r="V430">
        <v>429</v>
      </c>
      <c r="W430">
        <v>100430</v>
      </c>
      <c r="X430">
        <v>430</v>
      </c>
      <c r="Y430" t="b">
        <f t="shared" si="6"/>
        <v>1</v>
      </c>
      <c r="Z430" t="b">
        <f>COUNTBLANK(metadata!B430:R430)=COLUMNS(metadata!B430:R430)</f>
        <v>1</v>
      </c>
      <c r="AA430" t="str">
        <v/>
      </c>
      <c r="AC430" t="b">
        <f ca="1"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AD430" t="b">
        <f>IF(metadata!C430="",FALSE,ISNUMBER(VALUE(metadata!C430)))</f>
        <v>0</v>
      </c>
      <c r="AE430" t="b">
        <f>AND(IF(metadata!D430="",FALSE,TRUE),EXACT(metadata!D430,"years"))</f>
        <v>0</v>
      </c>
      <c r="AF430" t="b">
        <f>OR(AND(IF(metadata!E430="",FALSE,TRUE),OR(EXACT(metadata!E430,"not applicable"),EXACT(metadata!E430,"missing: not collected"),EXACT(metadata!E430,"missing: not provided"),EXACT(metadata!E430,"missing: restricted access"))),AND(IF(metadata!E430="",FALSE,ISNUMBER(VALUE(metadata!E430))),metadata!E430&gt;0))</f>
        <v>0</v>
      </c>
      <c r="AG430" t="b">
        <f>AND(IF(metadata!F430="",FALSE,TRUE),EXACT(metadata!F430,"Not applicable"))</f>
        <v>0</v>
      </c>
      <c r="AH430" t="b">
        <f>AND(IF(metadata!G430="",FALSE,TRUE),EXACT(metadata!G430,"urban biome"))</f>
        <v>0</v>
      </c>
      <c r="AI430" t="b">
        <f>AND(IF(metadata!H430="",FALSE,TRUE),EXACT(metadata!H430,"human-associated habitat"))</f>
        <v>0</v>
      </c>
      <c r="AJ430" t="b">
        <f>AND(IF(metadata!I430="",FALSE,TRUE),OR(EXACT(metadata!I430,"human-associated"),EXACT(metadata!I430,"human-skin"),EXACT(metadata!I430,"human-oral"),EXACT(metadata!I430,"human-gut"),EXACT(metadata!I430,"human-vaginal")))</f>
        <v>0</v>
      </c>
      <c r="AK430" t="b">
        <f>IF(metadata!J430="",FALSE,ISNUMBER(VALUE(metadata!J430)))</f>
        <v>0</v>
      </c>
      <c r="AL430" t="b">
        <f>AND(IF(metadata!K430="",FALSE,TRUE),EXACT(metadata!K430,"cm"))</f>
        <v>0</v>
      </c>
      <c r="AM430" t="b">
        <f>AND(IF(metadata!L430="",FALSE,TRUE),EXACT(metadata!L430,"human"))</f>
        <v>0</v>
      </c>
      <c r="AN430" t="b">
        <f>AND(IF(metadata!M430="",FALSE,TRUE),EXACT(metadata!M430,"Homo sapiens"))</f>
        <v>0</v>
      </c>
      <c r="AO430" t="b">
        <f>AND(IF(metadata!N430="",FALSE,TRUE),EXACT(metadata!N430,"9606"))</f>
        <v>0</v>
      </c>
      <c r="AP430" t="b">
        <f>IF(metadata!O430="",FALSE,TRUE)</f>
        <v>0</v>
      </c>
      <c r="AQ430" t="b">
        <f>IF(metadata!P430="",FALSE,TRUE)</f>
        <v>0</v>
      </c>
      <c r="AR430" t="b">
        <f>IF(metadata!Q430="",FALSE,ISNUMBER(VALUE(metadata!Q430)))</f>
        <v>0</v>
      </c>
      <c r="AS430" t="b">
        <f>AND(IF(metadata!R430="",FALSE,TRUE),EXACT(metadata!R430,"kg"))</f>
        <v>0</v>
      </c>
    </row>
    <row r="431" spans="1:45" x14ac:dyDescent="0.2">
      <c r="A431" s="5" t="str">
        <f ca="1">IF(B431=" "," ",HYPERLINK(CONCATENATE("#metadata!",ADDRESS(INDEX($X$2:$X$1001,MATCH(ROWS($V$2:V431),$V$2:$V$1001,0),0),1)),INDEX($AA$2:$AA$1001,MATCH(ROWS($V$2:V431),$V$2:$V$1001,0),0)))</f>
        <v xml:space="preserve"> </v>
      </c>
      <c r="B431" s="4" t="str">
        <f ca="1">IF(OR(INDEX($W$2:$W$1001,MATCH(ROWS($V$2:V431),$V$2:$V$1001,0),1)&gt;=100000,INDEX($AC$1005:$AS$1005,1,MATCH(COLUMNS($AC$1006:AC1006),$AC$1006:$AS$1006,0))&gt;=100000), " ",IF(INDEX($AC$2:$AS$1001,MATCH(ROWS($V$2:V431),$V$2:$V$1001,0),MATCH(COLUMNS($AC$1006:AC1006),$AC$1006:$AS$1006,0)), HYPERLINK("#",""), HYPERLINK(CONCATENATE("#metadata!", ADDRESS(INDEX($X$2:$X$1001,MATCH(ROWS($V$2:V431),$V$2:$V$1001,0),0), INDEX($AC$1004:$AS$1004,1,MATCH(COLUMNS($AC$1006:AC1006),$AC$1006:$AS$1006,0)))),"Fix")))</f>
        <v xml:space="preserve"> </v>
      </c>
      <c r="C431" s="4" t="str">
        <f ca="1">IF(OR(INDEX($W$2:$W$1001,MATCH(ROWS($V$2:V431),$V$2:$V$1001,0),1)&gt;=100000,INDEX($AC$1005:$AS$1005,1,MATCH(COLUMNS($AC$1006:AD1006),$AC$1006:$AS$1006,0))&gt;=100000), " ",IF(INDEX($AC$2:$AS$1001,MATCH(ROWS($V$2:V431),$V$2:$V$1001,0),MATCH(COLUMNS($AC$1006:AD1006),$AC$1006:$AS$1006,0)), HYPERLINK("#",""), HYPERLINK(CONCATENATE("#metadata!", ADDRESS(INDEX($X$2:$X$1001,MATCH(ROWS($V$2:V431),$V$2:$V$1001,0),0), INDEX($AC$1004:$AS$1004,1,MATCH(COLUMNS($AC$1006:AD1006),$AC$1006:$AS$1006,0)))),"Fix")))</f>
        <v xml:space="preserve"> </v>
      </c>
      <c r="D431" s="4" t="str">
        <f ca="1">IF(OR(INDEX($W$2:$W$1001,MATCH(ROWS($V$2:V431),$V$2:$V$1001,0),1)&gt;=100000,INDEX($AC$1005:$AS$1005,1,MATCH(COLUMNS($AC$1006:AE1006),$AC$1006:$AS$1006,0))&gt;=100000), " ",IF(INDEX($AC$2:$AS$1001,MATCH(ROWS($V$2:V431),$V$2:$V$1001,0),MATCH(COLUMNS($AC$1006:AE1006),$AC$1006:$AS$1006,0)), HYPERLINK("#",""), HYPERLINK(CONCATENATE("#metadata!", ADDRESS(INDEX($X$2:$X$1001,MATCH(ROWS($V$2:V431),$V$2:$V$1001,0),0), INDEX($AC$1004:$AS$1004,1,MATCH(COLUMNS($AC$1006:AE1006),$AC$1006:$AS$1006,0)))),"Fix")))</f>
        <v xml:space="preserve"> </v>
      </c>
      <c r="E431" s="4" t="str">
        <f ca="1">IF(OR(INDEX($W$2:$W$1001,MATCH(ROWS($V$2:V431),$V$2:$V$1001,0),1)&gt;=100000,INDEX($AC$1005:$AS$1005,1,MATCH(COLUMNS($AC$1006:AF1006),$AC$1006:$AS$1006,0))&gt;=100000), " ",IF(INDEX($AC$2:$AS$1001,MATCH(ROWS($V$2:V431),$V$2:$V$1001,0),MATCH(COLUMNS($AC$1006:AF1006),$AC$1006:$AS$1006,0)), HYPERLINK("#",""), HYPERLINK(CONCATENATE("#metadata!", ADDRESS(INDEX($X$2:$X$1001,MATCH(ROWS($V$2:V431),$V$2:$V$1001,0),0), INDEX($AC$1004:$AS$1004,1,MATCH(COLUMNS($AC$1006:AF1006),$AC$1006:$AS$1006,0)))),"Fix")))</f>
        <v xml:space="preserve"> </v>
      </c>
      <c r="F431" s="4" t="str">
        <f ca="1">IF(OR(INDEX($W$2:$W$1001,MATCH(ROWS($V$2:V431),$V$2:$V$1001,0),1)&gt;=100000,INDEX($AC$1005:$AS$1005,1,MATCH(COLUMNS($AC$1006:AG1006),$AC$1006:$AS$1006,0))&gt;=100000), " ",IF(INDEX($AC$2:$AS$1001,MATCH(ROWS($V$2:V431),$V$2:$V$1001,0),MATCH(COLUMNS($AC$1006:AG1006),$AC$1006:$AS$1006,0)), HYPERLINK("#",""), HYPERLINK(CONCATENATE("#metadata!", ADDRESS(INDEX($X$2:$X$1001,MATCH(ROWS($V$2:V431),$V$2:$V$1001,0),0), INDEX($AC$1004:$AS$1004,1,MATCH(COLUMNS($AC$1006:AG1006),$AC$1006:$AS$1006,0)))),"Fix")))</f>
        <v xml:space="preserve"> </v>
      </c>
      <c r="G431" s="4" t="str">
        <f ca="1">IF(OR(INDEX($W$2:$W$1001,MATCH(ROWS($V$2:V431),$V$2:$V$1001,0),1)&gt;=100000,INDEX($AC$1005:$AS$1005,1,MATCH(COLUMNS($AC$1006:AH1006),$AC$1006:$AS$1006,0))&gt;=100000), " ",IF(INDEX($AC$2:$AS$1001,MATCH(ROWS($V$2:V431),$V$2:$V$1001,0),MATCH(COLUMNS($AC$1006:AH1006),$AC$1006:$AS$1006,0)), HYPERLINK("#",""), HYPERLINK(CONCATENATE("#metadata!", ADDRESS(INDEX($X$2:$X$1001,MATCH(ROWS($V$2:V431),$V$2:$V$1001,0),0), INDEX($AC$1004:$AS$1004,1,MATCH(COLUMNS($AC$1006:AH1006),$AC$1006:$AS$1006,0)))),"Fix")))</f>
        <v xml:space="preserve"> </v>
      </c>
      <c r="H431" s="4" t="str">
        <f ca="1">IF(OR(INDEX($W$2:$W$1001,MATCH(ROWS($V$2:V431),$V$2:$V$1001,0),1)&gt;=100000,INDEX($AC$1005:$AS$1005,1,MATCH(COLUMNS($AC$1006:AI1006),$AC$1006:$AS$1006,0))&gt;=100000), " ",IF(INDEX($AC$2:$AS$1001,MATCH(ROWS($V$2:V431),$V$2:$V$1001,0),MATCH(COLUMNS($AC$1006:AI1006),$AC$1006:$AS$1006,0)), HYPERLINK("#",""), HYPERLINK(CONCATENATE("#metadata!", ADDRESS(INDEX($X$2:$X$1001,MATCH(ROWS($V$2:V431),$V$2:$V$1001,0),0), INDEX($AC$1004:$AS$1004,1,MATCH(COLUMNS($AC$1006:AI1006),$AC$1006:$AS$1006,0)))),"Fix")))</f>
        <v xml:space="preserve"> </v>
      </c>
      <c r="I431" s="4" t="str">
        <f ca="1">IF(OR(INDEX($W$2:$W$1001,MATCH(ROWS($V$2:V431),$V$2:$V$1001,0),1)&gt;=100000,INDEX($AC$1005:$AS$1005,1,MATCH(COLUMNS($AC$1006:AJ1006),$AC$1006:$AS$1006,0))&gt;=100000), " ",IF(INDEX($AC$2:$AS$1001,MATCH(ROWS($V$2:V431),$V$2:$V$1001,0),MATCH(COLUMNS($AC$1006:AJ1006),$AC$1006:$AS$1006,0)), HYPERLINK("#",""), HYPERLINK(CONCATENATE("#metadata!", ADDRESS(INDEX($X$2:$X$1001,MATCH(ROWS($V$2:V431),$V$2:$V$1001,0),0), INDEX($AC$1004:$AS$1004,1,MATCH(COLUMNS($AC$1006:AJ1006),$AC$1006:$AS$1006,0)))),"Fix")))</f>
        <v xml:space="preserve"> </v>
      </c>
      <c r="J431" s="4" t="str">
        <f ca="1">IF(OR(INDEX($W$2:$W$1001,MATCH(ROWS($V$2:V431),$V$2:$V$1001,0),1)&gt;=100000,INDEX($AC$1005:$AS$1005,1,MATCH(COLUMNS($AC$1006:AK1006),$AC$1006:$AS$1006,0))&gt;=100000), " ",IF(INDEX($AC$2:$AS$1001,MATCH(ROWS($V$2:V431),$V$2:$V$1001,0),MATCH(COLUMNS($AC$1006:AK1006),$AC$1006:$AS$1006,0)), HYPERLINK("#",""), HYPERLINK(CONCATENATE("#metadata!", ADDRESS(INDEX($X$2:$X$1001,MATCH(ROWS($V$2:V431),$V$2:$V$1001,0),0), INDEX($AC$1004:$AS$1004,1,MATCH(COLUMNS($AC$1006:AK1006),$AC$1006:$AS$1006,0)))),"Fix")))</f>
        <v xml:space="preserve"> </v>
      </c>
      <c r="K431" s="4" t="str">
        <f ca="1">IF(OR(INDEX($W$2:$W$1001,MATCH(ROWS($V$2:V431),$V$2:$V$1001,0),1)&gt;=100000,INDEX($AC$1005:$AS$1005,1,MATCH(COLUMNS($AC$1006:AL1006),$AC$1006:$AS$1006,0))&gt;=100000), " ",IF(INDEX($AC$2:$AS$1001,MATCH(ROWS($V$2:V431),$V$2:$V$1001,0),MATCH(COLUMNS($AC$1006:AL1006),$AC$1006:$AS$1006,0)), HYPERLINK("#",""), HYPERLINK(CONCATENATE("#metadata!", ADDRESS(INDEX($X$2:$X$1001,MATCH(ROWS($V$2:V431),$V$2:$V$1001,0),0), INDEX($AC$1004:$AS$1004,1,MATCH(COLUMNS($AC$1006:AL1006),$AC$1006:$AS$1006,0)))),"Fix")))</f>
        <v xml:space="preserve"> </v>
      </c>
      <c r="L431" s="4" t="str">
        <f ca="1">IF(OR(INDEX($W$2:$W$1001,MATCH(ROWS($V$2:V431),$V$2:$V$1001,0),1)&gt;=100000,INDEX($AC$1005:$AS$1005,1,MATCH(COLUMNS($AC$1006:AM1006),$AC$1006:$AS$1006,0))&gt;=100000), " ",IF(INDEX($AC$2:$AS$1001,MATCH(ROWS($V$2:V431),$V$2:$V$1001,0),MATCH(COLUMNS($AC$1006:AM1006),$AC$1006:$AS$1006,0)), HYPERLINK("#",""), HYPERLINK(CONCATENATE("#metadata!", ADDRESS(INDEX($X$2:$X$1001,MATCH(ROWS($V$2:V431),$V$2:$V$1001,0),0), INDEX($AC$1004:$AS$1004,1,MATCH(COLUMNS($AC$1006:AM1006),$AC$1006:$AS$1006,0)))),"Fix")))</f>
        <v xml:space="preserve"> </v>
      </c>
      <c r="M431" s="4" t="str">
        <f ca="1">IF(OR(INDEX($W$2:$W$1001,MATCH(ROWS($V$2:V431),$V$2:$V$1001,0),1)&gt;=100000,INDEX($AC$1005:$AS$1005,1,MATCH(COLUMNS($AC$1006:AN1006),$AC$1006:$AS$1006,0))&gt;=100000), " ",IF(INDEX($AC$2:$AS$1001,MATCH(ROWS($V$2:V431),$V$2:$V$1001,0),MATCH(COLUMNS($AC$1006:AN1006),$AC$1006:$AS$1006,0)), HYPERLINK("#",""), HYPERLINK(CONCATENATE("#metadata!", ADDRESS(INDEX($X$2:$X$1001,MATCH(ROWS($V$2:V431),$V$2:$V$1001,0),0), INDEX($AC$1004:$AS$1004,1,MATCH(COLUMNS($AC$1006:AN1006),$AC$1006:$AS$1006,0)))),"Fix")))</f>
        <v xml:space="preserve"> </v>
      </c>
      <c r="N431" s="4" t="str">
        <f ca="1">IF(OR(INDEX($W$2:$W$1001,MATCH(ROWS($V$2:V431),$V$2:$V$1001,0),1)&gt;=100000,INDEX($AC$1005:$AS$1005,1,MATCH(COLUMNS($AC$1006:AO1006),$AC$1006:$AS$1006,0))&gt;=100000), " ",IF(INDEX($AC$2:$AS$1001,MATCH(ROWS($V$2:V431),$V$2:$V$1001,0),MATCH(COLUMNS($AC$1006:AO1006),$AC$1006:$AS$1006,0)), HYPERLINK("#",""), HYPERLINK(CONCATENATE("#metadata!", ADDRESS(INDEX($X$2:$X$1001,MATCH(ROWS($V$2:V431),$V$2:$V$1001,0),0), INDEX($AC$1004:$AS$1004,1,MATCH(COLUMNS($AC$1006:AO1006),$AC$1006:$AS$1006,0)))),"Fix")))</f>
        <v xml:space="preserve"> </v>
      </c>
      <c r="O431" s="4" t="str">
        <f ca="1">IF(OR(INDEX($W$2:$W$1001,MATCH(ROWS($V$2:V431),$V$2:$V$1001,0),1)&gt;=100000,INDEX($AC$1005:$AS$1005,1,MATCH(COLUMNS($AC$1006:AP1006),$AC$1006:$AS$1006,0))&gt;=100000), " ",IF(INDEX($AC$2:$AS$1001,MATCH(ROWS($V$2:V431),$V$2:$V$1001,0),MATCH(COLUMNS($AC$1006:AP1006),$AC$1006:$AS$1006,0)), HYPERLINK("#",""), HYPERLINK(CONCATENATE("#metadata!", ADDRESS(INDEX($X$2:$X$1001,MATCH(ROWS($V$2:V431),$V$2:$V$1001,0),0), INDEX($AC$1004:$AS$1004,1,MATCH(COLUMNS($AC$1006:AP1006),$AC$1006:$AS$1006,0)))),"Fix")))</f>
        <v xml:space="preserve"> </v>
      </c>
      <c r="P431" s="4" t="str">
        <f ca="1">IF(OR(INDEX($W$2:$W$1001,MATCH(ROWS($V$2:V431),$V$2:$V$1001,0),1)&gt;=100000,INDEX($AC$1005:$AS$1005,1,MATCH(COLUMNS($AC$1006:AQ1006),$AC$1006:$AS$1006,0))&gt;=100000), " ",IF(INDEX($AC$2:$AS$1001,MATCH(ROWS($V$2:V431),$V$2:$V$1001,0),MATCH(COLUMNS($AC$1006:AQ1006),$AC$1006:$AS$1006,0)), HYPERLINK("#",""), HYPERLINK(CONCATENATE("#metadata!", ADDRESS(INDEX($X$2:$X$1001,MATCH(ROWS($V$2:V431),$V$2:$V$1001,0),0), INDEX($AC$1004:$AS$1004,1,MATCH(COLUMNS($AC$1006:AQ1006),$AC$1006:$AS$1006,0)))),"Fix")))</f>
        <v xml:space="preserve"> </v>
      </c>
      <c r="Q431" s="4" t="str">
        <f ca="1">IF(OR(INDEX($W$2:$W$1001,MATCH(ROWS($V$2:V431),$V$2:$V$1001,0),1)&gt;=100000,INDEX($AC$1005:$AS$1005,1,MATCH(COLUMNS($AC$1006:AR1006),$AC$1006:$AS$1006,0))&gt;=100000), " ",IF(INDEX($AC$2:$AS$1001,MATCH(ROWS($V$2:V431),$V$2:$V$1001,0),MATCH(COLUMNS($AC$1006:AR1006),$AC$1006:$AS$1006,0)), HYPERLINK("#",""), HYPERLINK(CONCATENATE("#metadata!", ADDRESS(INDEX($X$2:$X$1001,MATCH(ROWS($V$2:V431),$V$2:$V$1001,0),0), INDEX($AC$1004:$AS$1004,1,MATCH(COLUMNS($AC$1006:AR1006),$AC$1006:$AS$1006,0)))),"Fix")))</f>
        <v xml:space="preserve"> </v>
      </c>
      <c r="R431" s="4" t="str">
        <f ca="1">IF(OR(INDEX($W$2:$W$1001,MATCH(ROWS($V$2:V431),$V$2:$V$1001,0),1)&gt;=100000,INDEX($AC$1005:$AS$1005,1,MATCH(COLUMNS($AC$1006:AS1006),$AC$1006:$AS$1006,0))&gt;=100000), " ",IF(INDEX($AC$2:$AS$1001,MATCH(ROWS($V$2:V431),$V$2:$V$1001,0),MATCH(COLUMNS($AC$1006:AS1006),$AC$1006:$AS$1006,0)), HYPERLINK("#",""), HYPERLINK(CONCATENATE("#metadata!", ADDRESS(INDEX($X$2:$X$1001,MATCH(ROWS($V$2:V431),$V$2:$V$1001,0),0), INDEX($AC$1004:$AS$1004,1,MATCH(COLUMNS($AC$1006:AS1006),$AC$1006:$AS$1006,0)))),"Fix")))</f>
        <v xml:space="preserve"> </v>
      </c>
      <c r="V431">
        <v>430</v>
      </c>
      <c r="W431">
        <v>100431</v>
      </c>
      <c r="X431">
        <v>431</v>
      </c>
      <c r="Y431" t="b">
        <f t="shared" si="6"/>
        <v>1</v>
      </c>
      <c r="Z431" t="b">
        <f>COUNTBLANK(metadata!B431:R431)=COLUMNS(metadata!B431:R431)</f>
        <v>1</v>
      </c>
      <c r="AA431" t="str">
        <v/>
      </c>
      <c r="AC431" t="b">
        <f ca="1"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AD431" t="b">
        <f>IF(metadata!C431="",FALSE,ISNUMBER(VALUE(metadata!C431)))</f>
        <v>0</v>
      </c>
      <c r="AE431" t="b">
        <f>AND(IF(metadata!D431="",FALSE,TRUE),EXACT(metadata!D431,"years"))</f>
        <v>0</v>
      </c>
      <c r="AF431" t="b">
        <f>OR(AND(IF(metadata!E431="",FALSE,TRUE),OR(EXACT(metadata!E431,"not applicable"),EXACT(metadata!E431,"missing: not collected"),EXACT(metadata!E431,"missing: not provided"),EXACT(metadata!E431,"missing: restricted access"))),AND(IF(metadata!E431="",FALSE,ISNUMBER(VALUE(metadata!E431))),metadata!E431&gt;0))</f>
        <v>0</v>
      </c>
      <c r="AG431" t="b">
        <f>AND(IF(metadata!F431="",FALSE,TRUE),EXACT(metadata!F431,"Not applicable"))</f>
        <v>0</v>
      </c>
      <c r="AH431" t="b">
        <f>AND(IF(metadata!G431="",FALSE,TRUE),EXACT(metadata!G431,"urban biome"))</f>
        <v>0</v>
      </c>
      <c r="AI431" t="b">
        <f>AND(IF(metadata!H431="",FALSE,TRUE),EXACT(metadata!H431,"human-associated habitat"))</f>
        <v>0</v>
      </c>
      <c r="AJ431" t="b">
        <f>AND(IF(metadata!I431="",FALSE,TRUE),OR(EXACT(metadata!I431,"human-associated"),EXACT(metadata!I431,"human-skin"),EXACT(metadata!I431,"human-oral"),EXACT(metadata!I431,"human-gut"),EXACT(metadata!I431,"human-vaginal")))</f>
        <v>0</v>
      </c>
      <c r="AK431" t="b">
        <f>IF(metadata!J431="",FALSE,ISNUMBER(VALUE(metadata!J431)))</f>
        <v>0</v>
      </c>
      <c r="AL431" t="b">
        <f>AND(IF(metadata!K431="",FALSE,TRUE),EXACT(metadata!K431,"cm"))</f>
        <v>0</v>
      </c>
      <c r="AM431" t="b">
        <f>AND(IF(metadata!L431="",FALSE,TRUE),EXACT(metadata!L431,"human"))</f>
        <v>0</v>
      </c>
      <c r="AN431" t="b">
        <f>AND(IF(metadata!M431="",FALSE,TRUE),EXACT(metadata!M431,"Homo sapiens"))</f>
        <v>0</v>
      </c>
      <c r="AO431" t="b">
        <f>AND(IF(metadata!N431="",FALSE,TRUE),EXACT(metadata!N431,"9606"))</f>
        <v>0</v>
      </c>
      <c r="AP431" t="b">
        <f>IF(metadata!O431="",FALSE,TRUE)</f>
        <v>0</v>
      </c>
      <c r="AQ431" t="b">
        <f>IF(metadata!P431="",FALSE,TRUE)</f>
        <v>0</v>
      </c>
      <c r="AR431" t="b">
        <f>IF(metadata!Q431="",FALSE,ISNUMBER(VALUE(metadata!Q431)))</f>
        <v>0</v>
      </c>
      <c r="AS431" t="b">
        <f>AND(IF(metadata!R431="",FALSE,TRUE),EXACT(metadata!R431,"kg"))</f>
        <v>0</v>
      </c>
    </row>
    <row r="432" spans="1:45" x14ac:dyDescent="0.2">
      <c r="A432" s="5" t="str">
        <f ca="1">IF(B432=" "," ",HYPERLINK(CONCATENATE("#metadata!",ADDRESS(INDEX($X$2:$X$1001,MATCH(ROWS($V$2:V432),$V$2:$V$1001,0),0),1)),INDEX($AA$2:$AA$1001,MATCH(ROWS($V$2:V432),$V$2:$V$1001,0),0)))</f>
        <v xml:space="preserve"> </v>
      </c>
      <c r="B432" s="4" t="str">
        <f ca="1">IF(OR(INDEX($W$2:$W$1001,MATCH(ROWS($V$2:V432),$V$2:$V$1001,0),1)&gt;=100000,INDEX($AC$1005:$AS$1005,1,MATCH(COLUMNS($AC$1006:AC1006),$AC$1006:$AS$1006,0))&gt;=100000), " ",IF(INDEX($AC$2:$AS$1001,MATCH(ROWS($V$2:V432),$V$2:$V$1001,0),MATCH(COLUMNS($AC$1006:AC1006),$AC$1006:$AS$1006,0)), HYPERLINK("#",""), HYPERLINK(CONCATENATE("#metadata!", ADDRESS(INDEX($X$2:$X$1001,MATCH(ROWS($V$2:V432),$V$2:$V$1001,0),0), INDEX($AC$1004:$AS$1004,1,MATCH(COLUMNS($AC$1006:AC1006),$AC$1006:$AS$1006,0)))),"Fix")))</f>
        <v xml:space="preserve"> </v>
      </c>
      <c r="C432" s="4" t="str">
        <f ca="1">IF(OR(INDEX($W$2:$W$1001,MATCH(ROWS($V$2:V432),$V$2:$V$1001,0),1)&gt;=100000,INDEX($AC$1005:$AS$1005,1,MATCH(COLUMNS($AC$1006:AD1006),$AC$1006:$AS$1006,0))&gt;=100000), " ",IF(INDEX($AC$2:$AS$1001,MATCH(ROWS($V$2:V432),$V$2:$V$1001,0),MATCH(COLUMNS($AC$1006:AD1006),$AC$1006:$AS$1006,0)), HYPERLINK("#",""), HYPERLINK(CONCATENATE("#metadata!", ADDRESS(INDEX($X$2:$X$1001,MATCH(ROWS($V$2:V432),$V$2:$V$1001,0),0), INDEX($AC$1004:$AS$1004,1,MATCH(COLUMNS($AC$1006:AD1006),$AC$1006:$AS$1006,0)))),"Fix")))</f>
        <v xml:space="preserve"> </v>
      </c>
      <c r="D432" s="4" t="str">
        <f ca="1">IF(OR(INDEX($W$2:$W$1001,MATCH(ROWS($V$2:V432),$V$2:$V$1001,0),1)&gt;=100000,INDEX($AC$1005:$AS$1005,1,MATCH(COLUMNS($AC$1006:AE1006),$AC$1006:$AS$1006,0))&gt;=100000), " ",IF(INDEX($AC$2:$AS$1001,MATCH(ROWS($V$2:V432),$V$2:$V$1001,0),MATCH(COLUMNS($AC$1006:AE1006),$AC$1006:$AS$1006,0)), HYPERLINK("#",""), HYPERLINK(CONCATENATE("#metadata!", ADDRESS(INDEX($X$2:$X$1001,MATCH(ROWS($V$2:V432),$V$2:$V$1001,0),0), INDEX($AC$1004:$AS$1004,1,MATCH(COLUMNS($AC$1006:AE1006),$AC$1006:$AS$1006,0)))),"Fix")))</f>
        <v xml:space="preserve"> </v>
      </c>
      <c r="E432" s="4" t="str">
        <f ca="1">IF(OR(INDEX($W$2:$W$1001,MATCH(ROWS($V$2:V432),$V$2:$V$1001,0),1)&gt;=100000,INDEX($AC$1005:$AS$1005,1,MATCH(COLUMNS($AC$1006:AF1006),$AC$1006:$AS$1006,0))&gt;=100000), " ",IF(INDEX($AC$2:$AS$1001,MATCH(ROWS($V$2:V432),$V$2:$V$1001,0),MATCH(COLUMNS($AC$1006:AF1006),$AC$1006:$AS$1006,0)), HYPERLINK("#",""), HYPERLINK(CONCATENATE("#metadata!", ADDRESS(INDEX($X$2:$X$1001,MATCH(ROWS($V$2:V432),$V$2:$V$1001,0),0), INDEX($AC$1004:$AS$1004,1,MATCH(COLUMNS($AC$1006:AF1006),$AC$1006:$AS$1006,0)))),"Fix")))</f>
        <v xml:space="preserve"> </v>
      </c>
      <c r="F432" s="4" t="str">
        <f ca="1">IF(OR(INDEX($W$2:$W$1001,MATCH(ROWS($V$2:V432),$V$2:$V$1001,0),1)&gt;=100000,INDEX($AC$1005:$AS$1005,1,MATCH(COLUMNS($AC$1006:AG1006),$AC$1006:$AS$1006,0))&gt;=100000), " ",IF(INDEX($AC$2:$AS$1001,MATCH(ROWS($V$2:V432),$V$2:$V$1001,0),MATCH(COLUMNS($AC$1006:AG1006),$AC$1006:$AS$1006,0)), HYPERLINK("#",""), HYPERLINK(CONCATENATE("#metadata!", ADDRESS(INDEX($X$2:$X$1001,MATCH(ROWS($V$2:V432),$V$2:$V$1001,0),0), INDEX($AC$1004:$AS$1004,1,MATCH(COLUMNS($AC$1006:AG1006),$AC$1006:$AS$1006,0)))),"Fix")))</f>
        <v xml:space="preserve"> </v>
      </c>
      <c r="G432" s="4" t="str">
        <f ca="1">IF(OR(INDEX($W$2:$W$1001,MATCH(ROWS($V$2:V432),$V$2:$V$1001,0),1)&gt;=100000,INDEX($AC$1005:$AS$1005,1,MATCH(COLUMNS($AC$1006:AH1006),$AC$1006:$AS$1006,0))&gt;=100000), " ",IF(INDEX($AC$2:$AS$1001,MATCH(ROWS($V$2:V432),$V$2:$V$1001,0),MATCH(COLUMNS($AC$1006:AH1006),$AC$1006:$AS$1006,0)), HYPERLINK("#",""), HYPERLINK(CONCATENATE("#metadata!", ADDRESS(INDEX($X$2:$X$1001,MATCH(ROWS($V$2:V432),$V$2:$V$1001,0),0), INDEX($AC$1004:$AS$1004,1,MATCH(COLUMNS($AC$1006:AH1006),$AC$1006:$AS$1006,0)))),"Fix")))</f>
        <v xml:space="preserve"> </v>
      </c>
      <c r="H432" s="4" t="str">
        <f ca="1">IF(OR(INDEX($W$2:$W$1001,MATCH(ROWS($V$2:V432),$V$2:$V$1001,0),1)&gt;=100000,INDEX($AC$1005:$AS$1005,1,MATCH(COLUMNS($AC$1006:AI1006),$AC$1006:$AS$1006,0))&gt;=100000), " ",IF(INDEX($AC$2:$AS$1001,MATCH(ROWS($V$2:V432),$V$2:$V$1001,0),MATCH(COLUMNS($AC$1006:AI1006),$AC$1006:$AS$1006,0)), HYPERLINK("#",""), HYPERLINK(CONCATENATE("#metadata!", ADDRESS(INDEX($X$2:$X$1001,MATCH(ROWS($V$2:V432),$V$2:$V$1001,0),0), INDEX($AC$1004:$AS$1004,1,MATCH(COLUMNS($AC$1006:AI1006),$AC$1006:$AS$1006,0)))),"Fix")))</f>
        <v xml:space="preserve"> </v>
      </c>
      <c r="I432" s="4" t="str">
        <f ca="1">IF(OR(INDEX($W$2:$W$1001,MATCH(ROWS($V$2:V432),$V$2:$V$1001,0),1)&gt;=100000,INDEX($AC$1005:$AS$1005,1,MATCH(COLUMNS($AC$1006:AJ1006),$AC$1006:$AS$1006,0))&gt;=100000), " ",IF(INDEX($AC$2:$AS$1001,MATCH(ROWS($V$2:V432),$V$2:$V$1001,0),MATCH(COLUMNS($AC$1006:AJ1006),$AC$1006:$AS$1006,0)), HYPERLINK("#",""), HYPERLINK(CONCATENATE("#metadata!", ADDRESS(INDEX($X$2:$X$1001,MATCH(ROWS($V$2:V432),$V$2:$V$1001,0),0), INDEX($AC$1004:$AS$1004,1,MATCH(COLUMNS($AC$1006:AJ1006),$AC$1006:$AS$1006,0)))),"Fix")))</f>
        <v xml:space="preserve"> </v>
      </c>
      <c r="J432" s="4" t="str">
        <f ca="1">IF(OR(INDEX($W$2:$W$1001,MATCH(ROWS($V$2:V432),$V$2:$V$1001,0),1)&gt;=100000,INDEX($AC$1005:$AS$1005,1,MATCH(COLUMNS($AC$1006:AK1006),$AC$1006:$AS$1006,0))&gt;=100000), " ",IF(INDEX($AC$2:$AS$1001,MATCH(ROWS($V$2:V432),$V$2:$V$1001,0),MATCH(COLUMNS($AC$1006:AK1006),$AC$1006:$AS$1006,0)), HYPERLINK("#",""), HYPERLINK(CONCATENATE("#metadata!", ADDRESS(INDEX($X$2:$X$1001,MATCH(ROWS($V$2:V432),$V$2:$V$1001,0),0), INDEX($AC$1004:$AS$1004,1,MATCH(COLUMNS($AC$1006:AK1006),$AC$1006:$AS$1006,0)))),"Fix")))</f>
        <v xml:space="preserve"> </v>
      </c>
      <c r="K432" s="4" t="str">
        <f ca="1">IF(OR(INDEX($W$2:$W$1001,MATCH(ROWS($V$2:V432),$V$2:$V$1001,0),1)&gt;=100000,INDEX($AC$1005:$AS$1005,1,MATCH(COLUMNS($AC$1006:AL1006),$AC$1006:$AS$1006,0))&gt;=100000), " ",IF(INDEX($AC$2:$AS$1001,MATCH(ROWS($V$2:V432),$V$2:$V$1001,0),MATCH(COLUMNS($AC$1006:AL1006),$AC$1006:$AS$1006,0)), HYPERLINK("#",""), HYPERLINK(CONCATENATE("#metadata!", ADDRESS(INDEX($X$2:$X$1001,MATCH(ROWS($V$2:V432),$V$2:$V$1001,0),0), INDEX($AC$1004:$AS$1004,1,MATCH(COLUMNS($AC$1006:AL1006),$AC$1006:$AS$1006,0)))),"Fix")))</f>
        <v xml:space="preserve"> </v>
      </c>
      <c r="L432" s="4" t="str">
        <f ca="1">IF(OR(INDEX($W$2:$W$1001,MATCH(ROWS($V$2:V432),$V$2:$V$1001,0),1)&gt;=100000,INDEX($AC$1005:$AS$1005,1,MATCH(COLUMNS($AC$1006:AM1006),$AC$1006:$AS$1006,0))&gt;=100000), " ",IF(INDEX($AC$2:$AS$1001,MATCH(ROWS($V$2:V432),$V$2:$V$1001,0),MATCH(COLUMNS($AC$1006:AM1006),$AC$1006:$AS$1006,0)), HYPERLINK("#",""), HYPERLINK(CONCATENATE("#metadata!", ADDRESS(INDEX($X$2:$X$1001,MATCH(ROWS($V$2:V432),$V$2:$V$1001,0),0), INDEX($AC$1004:$AS$1004,1,MATCH(COLUMNS($AC$1006:AM1006),$AC$1006:$AS$1006,0)))),"Fix")))</f>
        <v xml:space="preserve"> </v>
      </c>
      <c r="M432" s="4" t="str">
        <f ca="1">IF(OR(INDEX($W$2:$W$1001,MATCH(ROWS($V$2:V432),$V$2:$V$1001,0),1)&gt;=100000,INDEX($AC$1005:$AS$1005,1,MATCH(COLUMNS($AC$1006:AN1006),$AC$1006:$AS$1006,0))&gt;=100000), " ",IF(INDEX($AC$2:$AS$1001,MATCH(ROWS($V$2:V432),$V$2:$V$1001,0),MATCH(COLUMNS($AC$1006:AN1006),$AC$1006:$AS$1006,0)), HYPERLINK("#",""), HYPERLINK(CONCATENATE("#metadata!", ADDRESS(INDEX($X$2:$X$1001,MATCH(ROWS($V$2:V432),$V$2:$V$1001,0),0), INDEX($AC$1004:$AS$1004,1,MATCH(COLUMNS($AC$1006:AN1006),$AC$1006:$AS$1006,0)))),"Fix")))</f>
        <v xml:space="preserve"> </v>
      </c>
      <c r="N432" s="4" t="str">
        <f ca="1">IF(OR(INDEX($W$2:$W$1001,MATCH(ROWS($V$2:V432),$V$2:$V$1001,0),1)&gt;=100000,INDEX($AC$1005:$AS$1005,1,MATCH(COLUMNS($AC$1006:AO1006),$AC$1006:$AS$1006,0))&gt;=100000), " ",IF(INDEX($AC$2:$AS$1001,MATCH(ROWS($V$2:V432),$V$2:$V$1001,0),MATCH(COLUMNS($AC$1006:AO1006),$AC$1006:$AS$1006,0)), HYPERLINK("#",""), HYPERLINK(CONCATENATE("#metadata!", ADDRESS(INDEX($X$2:$X$1001,MATCH(ROWS($V$2:V432),$V$2:$V$1001,0),0), INDEX($AC$1004:$AS$1004,1,MATCH(COLUMNS($AC$1006:AO1006),$AC$1006:$AS$1006,0)))),"Fix")))</f>
        <v xml:space="preserve"> </v>
      </c>
      <c r="O432" s="4" t="str">
        <f ca="1">IF(OR(INDEX($W$2:$W$1001,MATCH(ROWS($V$2:V432),$V$2:$V$1001,0),1)&gt;=100000,INDEX($AC$1005:$AS$1005,1,MATCH(COLUMNS($AC$1006:AP1006),$AC$1006:$AS$1006,0))&gt;=100000), " ",IF(INDEX($AC$2:$AS$1001,MATCH(ROWS($V$2:V432),$V$2:$V$1001,0),MATCH(COLUMNS($AC$1006:AP1006),$AC$1006:$AS$1006,0)), HYPERLINK("#",""), HYPERLINK(CONCATENATE("#metadata!", ADDRESS(INDEX($X$2:$X$1001,MATCH(ROWS($V$2:V432),$V$2:$V$1001,0),0), INDEX($AC$1004:$AS$1004,1,MATCH(COLUMNS($AC$1006:AP1006),$AC$1006:$AS$1006,0)))),"Fix")))</f>
        <v xml:space="preserve"> </v>
      </c>
      <c r="P432" s="4" t="str">
        <f ca="1">IF(OR(INDEX($W$2:$W$1001,MATCH(ROWS($V$2:V432),$V$2:$V$1001,0),1)&gt;=100000,INDEX($AC$1005:$AS$1005,1,MATCH(COLUMNS($AC$1006:AQ1006),$AC$1006:$AS$1006,0))&gt;=100000), " ",IF(INDEX($AC$2:$AS$1001,MATCH(ROWS($V$2:V432),$V$2:$V$1001,0),MATCH(COLUMNS($AC$1006:AQ1006),$AC$1006:$AS$1006,0)), HYPERLINK("#",""), HYPERLINK(CONCATENATE("#metadata!", ADDRESS(INDEX($X$2:$X$1001,MATCH(ROWS($V$2:V432),$V$2:$V$1001,0),0), INDEX($AC$1004:$AS$1004,1,MATCH(COLUMNS($AC$1006:AQ1006),$AC$1006:$AS$1006,0)))),"Fix")))</f>
        <v xml:space="preserve"> </v>
      </c>
      <c r="Q432" s="4" t="str">
        <f ca="1">IF(OR(INDEX($W$2:$W$1001,MATCH(ROWS($V$2:V432),$V$2:$V$1001,0),1)&gt;=100000,INDEX($AC$1005:$AS$1005,1,MATCH(COLUMNS($AC$1006:AR1006),$AC$1006:$AS$1006,0))&gt;=100000), " ",IF(INDEX($AC$2:$AS$1001,MATCH(ROWS($V$2:V432),$V$2:$V$1001,0),MATCH(COLUMNS($AC$1006:AR1006),$AC$1006:$AS$1006,0)), HYPERLINK("#",""), HYPERLINK(CONCATENATE("#metadata!", ADDRESS(INDEX($X$2:$X$1001,MATCH(ROWS($V$2:V432),$V$2:$V$1001,0),0), INDEX($AC$1004:$AS$1004,1,MATCH(COLUMNS($AC$1006:AR1006),$AC$1006:$AS$1006,0)))),"Fix")))</f>
        <v xml:space="preserve"> </v>
      </c>
      <c r="R432" s="4" t="str">
        <f ca="1">IF(OR(INDEX($W$2:$W$1001,MATCH(ROWS($V$2:V432),$V$2:$V$1001,0),1)&gt;=100000,INDEX($AC$1005:$AS$1005,1,MATCH(COLUMNS($AC$1006:AS1006),$AC$1006:$AS$1006,0))&gt;=100000), " ",IF(INDEX($AC$2:$AS$1001,MATCH(ROWS($V$2:V432),$V$2:$V$1001,0),MATCH(COLUMNS($AC$1006:AS1006),$AC$1006:$AS$1006,0)), HYPERLINK("#",""), HYPERLINK(CONCATENATE("#metadata!", ADDRESS(INDEX($X$2:$X$1001,MATCH(ROWS($V$2:V432),$V$2:$V$1001,0),0), INDEX($AC$1004:$AS$1004,1,MATCH(COLUMNS($AC$1006:AS1006),$AC$1006:$AS$1006,0)))),"Fix")))</f>
        <v xml:space="preserve"> </v>
      </c>
      <c r="V432">
        <v>431</v>
      </c>
      <c r="W432">
        <v>100432</v>
      </c>
      <c r="X432">
        <v>432</v>
      </c>
      <c r="Y432" t="b">
        <f t="shared" si="6"/>
        <v>1</v>
      </c>
      <c r="Z432" t="b">
        <f>COUNTBLANK(metadata!B432:R432)=COLUMNS(metadata!B432:R432)</f>
        <v>1</v>
      </c>
      <c r="AA432" t="str">
        <v/>
      </c>
      <c r="AC432" t="b">
        <f ca="1"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AD432" t="b">
        <f>IF(metadata!C432="",FALSE,ISNUMBER(VALUE(metadata!C432)))</f>
        <v>0</v>
      </c>
      <c r="AE432" t="b">
        <f>AND(IF(metadata!D432="",FALSE,TRUE),EXACT(metadata!D432,"years"))</f>
        <v>0</v>
      </c>
      <c r="AF432" t="b">
        <f>OR(AND(IF(metadata!E432="",FALSE,TRUE),OR(EXACT(metadata!E432,"not applicable"),EXACT(metadata!E432,"missing: not collected"),EXACT(metadata!E432,"missing: not provided"),EXACT(metadata!E432,"missing: restricted access"))),AND(IF(metadata!E432="",FALSE,ISNUMBER(VALUE(metadata!E432))),metadata!E432&gt;0))</f>
        <v>0</v>
      </c>
      <c r="AG432" t="b">
        <f>AND(IF(metadata!F432="",FALSE,TRUE),EXACT(metadata!F432,"Not applicable"))</f>
        <v>0</v>
      </c>
      <c r="AH432" t="b">
        <f>AND(IF(metadata!G432="",FALSE,TRUE),EXACT(metadata!G432,"urban biome"))</f>
        <v>0</v>
      </c>
      <c r="AI432" t="b">
        <f>AND(IF(metadata!H432="",FALSE,TRUE),EXACT(metadata!H432,"human-associated habitat"))</f>
        <v>0</v>
      </c>
      <c r="AJ432" t="b">
        <f>AND(IF(metadata!I432="",FALSE,TRUE),OR(EXACT(metadata!I432,"human-associated"),EXACT(metadata!I432,"human-skin"),EXACT(metadata!I432,"human-oral"),EXACT(metadata!I432,"human-gut"),EXACT(metadata!I432,"human-vaginal")))</f>
        <v>0</v>
      </c>
      <c r="AK432" t="b">
        <f>IF(metadata!J432="",FALSE,ISNUMBER(VALUE(metadata!J432)))</f>
        <v>0</v>
      </c>
      <c r="AL432" t="b">
        <f>AND(IF(metadata!K432="",FALSE,TRUE),EXACT(metadata!K432,"cm"))</f>
        <v>0</v>
      </c>
      <c r="AM432" t="b">
        <f>AND(IF(metadata!L432="",FALSE,TRUE),EXACT(metadata!L432,"human"))</f>
        <v>0</v>
      </c>
      <c r="AN432" t="b">
        <f>AND(IF(metadata!M432="",FALSE,TRUE),EXACT(metadata!M432,"Homo sapiens"))</f>
        <v>0</v>
      </c>
      <c r="AO432" t="b">
        <f>AND(IF(metadata!N432="",FALSE,TRUE),EXACT(metadata!N432,"9606"))</f>
        <v>0</v>
      </c>
      <c r="AP432" t="b">
        <f>IF(metadata!O432="",FALSE,TRUE)</f>
        <v>0</v>
      </c>
      <c r="AQ432" t="b">
        <f>IF(metadata!P432="",FALSE,TRUE)</f>
        <v>0</v>
      </c>
      <c r="AR432" t="b">
        <f>IF(metadata!Q432="",FALSE,ISNUMBER(VALUE(metadata!Q432)))</f>
        <v>0</v>
      </c>
      <c r="AS432" t="b">
        <f>AND(IF(metadata!R432="",FALSE,TRUE),EXACT(metadata!R432,"kg"))</f>
        <v>0</v>
      </c>
    </row>
    <row r="433" spans="1:45" x14ac:dyDescent="0.2">
      <c r="A433" s="5" t="str">
        <f ca="1">IF(B433=" "," ",HYPERLINK(CONCATENATE("#metadata!",ADDRESS(INDEX($X$2:$X$1001,MATCH(ROWS($V$2:V433),$V$2:$V$1001,0),0),1)),INDEX($AA$2:$AA$1001,MATCH(ROWS($V$2:V433),$V$2:$V$1001,0),0)))</f>
        <v xml:space="preserve"> </v>
      </c>
      <c r="B433" s="4" t="str">
        <f ca="1">IF(OR(INDEX($W$2:$W$1001,MATCH(ROWS($V$2:V433),$V$2:$V$1001,0),1)&gt;=100000,INDEX($AC$1005:$AS$1005,1,MATCH(COLUMNS($AC$1006:AC1006),$AC$1006:$AS$1006,0))&gt;=100000), " ",IF(INDEX($AC$2:$AS$1001,MATCH(ROWS($V$2:V433),$V$2:$V$1001,0),MATCH(COLUMNS($AC$1006:AC1006),$AC$1006:$AS$1006,0)), HYPERLINK("#",""), HYPERLINK(CONCATENATE("#metadata!", ADDRESS(INDEX($X$2:$X$1001,MATCH(ROWS($V$2:V433),$V$2:$V$1001,0),0), INDEX($AC$1004:$AS$1004,1,MATCH(COLUMNS($AC$1006:AC1006),$AC$1006:$AS$1006,0)))),"Fix")))</f>
        <v xml:space="preserve"> </v>
      </c>
      <c r="C433" s="4" t="str">
        <f ca="1">IF(OR(INDEX($W$2:$W$1001,MATCH(ROWS($V$2:V433),$V$2:$V$1001,0),1)&gt;=100000,INDEX($AC$1005:$AS$1005,1,MATCH(COLUMNS($AC$1006:AD1006),$AC$1006:$AS$1006,0))&gt;=100000), " ",IF(INDEX($AC$2:$AS$1001,MATCH(ROWS($V$2:V433),$V$2:$V$1001,0),MATCH(COLUMNS($AC$1006:AD1006),$AC$1006:$AS$1006,0)), HYPERLINK("#",""), HYPERLINK(CONCATENATE("#metadata!", ADDRESS(INDEX($X$2:$X$1001,MATCH(ROWS($V$2:V433),$V$2:$V$1001,0),0), INDEX($AC$1004:$AS$1004,1,MATCH(COLUMNS($AC$1006:AD1006),$AC$1006:$AS$1006,0)))),"Fix")))</f>
        <v xml:space="preserve"> </v>
      </c>
      <c r="D433" s="4" t="str">
        <f ca="1">IF(OR(INDEX($W$2:$W$1001,MATCH(ROWS($V$2:V433),$V$2:$V$1001,0),1)&gt;=100000,INDEX($AC$1005:$AS$1005,1,MATCH(COLUMNS($AC$1006:AE1006),$AC$1006:$AS$1006,0))&gt;=100000), " ",IF(INDEX($AC$2:$AS$1001,MATCH(ROWS($V$2:V433),$V$2:$V$1001,0),MATCH(COLUMNS($AC$1006:AE1006),$AC$1006:$AS$1006,0)), HYPERLINK("#",""), HYPERLINK(CONCATENATE("#metadata!", ADDRESS(INDEX($X$2:$X$1001,MATCH(ROWS($V$2:V433),$V$2:$V$1001,0),0), INDEX($AC$1004:$AS$1004,1,MATCH(COLUMNS($AC$1006:AE1006),$AC$1006:$AS$1006,0)))),"Fix")))</f>
        <v xml:space="preserve"> </v>
      </c>
      <c r="E433" s="4" t="str">
        <f ca="1">IF(OR(INDEX($W$2:$W$1001,MATCH(ROWS($V$2:V433),$V$2:$V$1001,0),1)&gt;=100000,INDEX($AC$1005:$AS$1005,1,MATCH(COLUMNS($AC$1006:AF1006),$AC$1006:$AS$1006,0))&gt;=100000), " ",IF(INDEX($AC$2:$AS$1001,MATCH(ROWS($V$2:V433),$V$2:$V$1001,0),MATCH(COLUMNS($AC$1006:AF1006),$AC$1006:$AS$1006,0)), HYPERLINK("#",""), HYPERLINK(CONCATENATE("#metadata!", ADDRESS(INDEX($X$2:$X$1001,MATCH(ROWS($V$2:V433),$V$2:$V$1001,0),0), INDEX($AC$1004:$AS$1004,1,MATCH(COLUMNS($AC$1006:AF1006),$AC$1006:$AS$1006,0)))),"Fix")))</f>
        <v xml:space="preserve"> </v>
      </c>
      <c r="F433" s="4" t="str">
        <f ca="1">IF(OR(INDEX($W$2:$W$1001,MATCH(ROWS($V$2:V433),$V$2:$V$1001,0),1)&gt;=100000,INDEX($AC$1005:$AS$1005,1,MATCH(COLUMNS($AC$1006:AG1006),$AC$1006:$AS$1006,0))&gt;=100000), " ",IF(INDEX($AC$2:$AS$1001,MATCH(ROWS($V$2:V433),$V$2:$V$1001,0),MATCH(COLUMNS($AC$1006:AG1006),$AC$1006:$AS$1006,0)), HYPERLINK("#",""), HYPERLINK(CONCATENATE("#metadata!", ADDRESS(INDEX($X$2:$X$1001,MATCH(ROWS($V$2:V433),$V$2:$V$1001,0),0), INDEX($AC$1004:$AS$1004,1,MATCH(COLUMNS($AC$1006:AG1006),$AC$1006:$AS$1006,0)))),"Fix")))</f>
        <v xml:space="preserve"> </v>
      </c>
      <c r="G433" s="4" t="str">
        <f ca="1">IF(OR(INDEX($W$2:$W$1001,MATCH(ROWS($V$2:V433),$V$2:$V$1001,0),1)&gt;=100000,INDEX($AC$1005:$AS$1005,1,MATCH(COLUMNS($AC$1006:AH1006),$AC$1006:$AS$1006,0))&gt;=100000), " ",IF(INDEX($AC$2:$AS$1001,MATCH(ROWS($V$2:V433),$V$2:$V$1001,0),MATCH(COLUMNS($AC$1006:AH1006),$AC$1006:$AS$1006,0)), HYPERLINK("#",""), HYPERLINK(CONCATENATE("#metadata!", ADDRESS(INDEX($X$2:$X$1001,MATCH(ROWS($V$2:V433),$V$2:$V$1001,0),0), INDEX($AC$1004:$AS$1004,1,MATCH(COLUMNS($AC$1006:AH1006),$AC$1006:$AS$1006,0)))),"Fix")))</f>
        <v xml:space="preserve"> </v>
      </c>
      <c r="H433" s="4" t="str">
        <f ca="1">IF(OR(INDEX($W$2:$W$1001,MATCH(ROWS($V$2:V433),$V$2:$V$1001,0),1)&gt;=100000,INDEX($AC$1005:$AS$1005,1,MATCH(COLUMNS($AC$1006:AI1006),$AC$1006:$AS$1006,0))&gt;=100000), " ",IF(INDEX($AC$2:$AS$1001,MATCH(ROWS($V$2:V433),$V$2:$V$1001,0),MATCH(COLUMNS($AC$1006:AI1006),$AC$1006:$AS$1006,0)), HYPERLINK("#",""), HYPERLINK(CONCATENATE("#metadata!", ADDRESS(INDEX($X$2:$X$1001,MATCH(ROWS($V$2:V433),$V$2:$V$1001,0),0), INDEX($AC$1004:$AS$1004,1,MATCH(COLUMNS($AC$1006:AI1006),$AC$1006:$AS$1006,0)))),"Fix")))</f>
        <v xml:space="preserve"> </v>
      </c>
      <c r="I433" s="4" t="str">
        <f ca="1">IF(OR(INDEX($W$2:$W$1001,MATCH(ROWS($V$2:V433),$V$2:$V$1001,0),1)&gt;=100000,INDEX($AC$1005:$AS$1005,1,MATCH(COLUMNS($AC$1006:AJ1006),$AC$1006:$AS$1006,0))&gt;=100000), " ",IF(INDEX($AC$2:$AS$1001,MATCH(ROWS($V$2:V433),$V$2:$V$1001,0),MATCH(COLUMNS($AC$1006:AJ1006),$AC$1006:$AS$1006,0)), HYPERLINK("#",""), HYPERLINK(CONCATENATE("#metadata!", ADDRESS(INDEX($X$2:$X$1001,MATCH(ROWS($V$2:V433),$V$2:$V$1001,0),0), INDEX($AC$1004:$AS$1004,1,MATCH(COLUMNS($AC$1006:AJ1006),$AC$1006:$AS$1006,0)))),"Fix")))</f>
        <v xml:space="preserve"> </v>
      </c>
      <c r="J433" s="4" t="str">
        <f ca="1">IF(OR(INDEX($W$2:$W$1001,MATCH(ROWS($V$2:V433),$V$2:$V$1001,0),1)&gt;=100000,INDEX($AC$1005:$AS$1005,1,MATCH(COLUMNS($AC$1006:AK1006),$AC$1006:$AS$1006,0))&gt;=100000), " ",IF(INDEX($AC$2:$AS$1001,MATCH(ROWS($V$2:V433),$V$2:$V$1001,0),MATCH(COLUMNS($AC$1006:AK1006),$AC$1006:$AS$1006,0)), HYPERLINK("#",""), HYPERLINK(CONCATENATE("#metadata!", ADDRESS(INDEX($X$2:$X$1001,MATCH(ROWS($V$2:V433),$V$2:$V$1001,0),0), INDEX($AC$1004:$AS$1004,1,MATCH(COLUMNS($AC$1006:AK1006),$AC$1006:$AS$1006,0)))),"Fix")))</f>
        <v xml:space="preserve"> </v>
      </c>
      <c r="K433" s="4" t="str">
        <f ca="1">IF(OR(INDEX($W$2:$W$1001,MATCH(ROWS($V$2:V433),$V$2:$V$1001,0),1)&gt;=100000,INDEX($AC$1005:$AS$1005,1,MATCH(COLUMNS($AC$1006:AL1006),$AC$1006:$AS$1006,0))&gt;=100000), " ",IF(INDEX($AC$2:$AS$1001,MATCH(ROWS($V$2:V433),$V$2:$V$1001,0),MATCH(COLUMNS($AC$1006:AL1006),$AC$1006:$AS$1006,0)), HYPERLINK("#",""), HYPERLINK(CONCATENATE("#metadata!", ADDRESS(INDEX($X$2:$X$1001,MATCH(ROWS($V$2:V433),$V$2:$V$1001,0),0), INDEX($AC$1004:$AS$1004,1,MATCH(COLUMNS($AC$1006:AL1006),$AC$1006:$AS$1006,0)))),"Fix")))</f>
        <v xml:space="preserve"> </v>
      </c>
      <c r="L433" s="4" t="str">
        <f ca="1">IF(OR(INDEX($W$2:$W$1001,MATCH(ROWS($V$2:V433),$V$2:$V$1001,0),1)&gt;=100000,INDEX($AC$1005:$AS$1005,1,MATCH(COLUMNS($AC$1006:AM1006),$AC$1006:$AS$1006,0))&gt;=100000), " ",IF(INDEX($AC$2:$AS$1001,MATCH(ROWS($V$2:V433),$V$2:$V$1001,0),MATCH(COLUMNS($AC$1006:AM1006),$AC$1006:$AS$1006,0)), HYPERLINK("#",""), HYPERLINK(CONCATENATE("#metadata!", ADDRESS(INDEX($X$2:$X$1001,MATCH(ROWS($V$2:V433),$V$2:$V$1001,0),0), INDEX($AC$1004:$AS$1004,1,MATCH(COLUMNS($AC$1006:AM1006),$AC$1006:$AS$1006,0)))),"Fix")))</f>
        <v xml:space="preserve"> </v>
      </c>
      <c r="M433" s="4" t="str">
        <f ca="1">IF(OR(INDEX($W$2:$W$1001,MATCH(ROWS($V$2:V433),$V$2:$V$1001,0),1)&gt;=100000,INDEX($AC$1005:$AS$1005,1,MATCH(COLUMNS($AC$1006:AN1006),$AC$1006:$AS$1006,0))&gt;=100000), " ",IF(INDEX($AC$2:$AS$1001,MATCH(ROWS($V$2:V433),$V$2:$V$1001,0),MATCH(COLUMNS($AC$1006:AN1006),$AC$1006:$AS$1006,0)), HYPERLINK("#",""), HYPERLINK(CONCATENATE("#metadata!", ADDRESS(INDEX($X$2:$X$1001,MATCH(ROWS($V$2:V433),$V$2:$V$1001,0),0), INDEX($AC$1004:$AS$1004,1,MATCH(COLUMNS($AC$1006:AN1006),$AC$1006:$AS$1006,0)))),"Fix")))</f>
        <v xml:space="preserve"> </v>
      </c>
      <c r="N433" s="4" t="str">
        <f ca="1">IF(OR(INDEX($W$2:$W$1001,MATCH(ROWS($V$2:V433),$V$2:$V$1001,0),1)&gt;=100000,INDEX($AC$1005:$AS$1005,1,MATCH(COLUMNS($AC$1006:AO1006),$AC$1006:$AS$1006,0))&gt;=100000), " ",IF(INDEX($AC$2:$AS$1001,MATCH(ROWS($V$2:V433),$V$2:$V$1001,0),MATCH(COLUMNS($AC$1006:AO1006),$AC$1006:$AS$1006,0)), HYPERLINK("#",""), HYPERLINK(CONCATENATE("#metadata!", ADDRESS(INDEX($X$2:$X$1001,MATCH(ROWS($V$2:V433),$V$2:$V$1001,0),0), INDEX($AC$1004:$AS$1004,1,MATCH(COLUMNS($AC$1006:AO1006),$AC$1006:$AS$1006,0)))),"Fix")))</f>
        <v xml:space="preserve"> </v>
      </c>
      <c r="O433" s="4" t="str">
        <f ca="1">IF(OR(INDEX($W$2:$W$1001,MATCH(ROWS($V$2:V433),$V$2:$V$1001,0),1)&gt;=100000,INDEX($AC$1005:$AS$1005,1,MATCH(COLUMNS($AC$1006:AP1006),$AC$1006:$AS$1006,0))&gt;=100000), " ",IF(INDEX($AC$2:$AS$1001,MATCH(ROWS($V$2:V433),$V$2:$V$1001,0),MATCH(COLUMNS($AC$1006:AP1006),$AC$1006:$AS$1006,0)), HYPERLINK("#",""), HYPERLINK(CONCATENATE("#metadata!", ADDRESS(INDEX($X$2:$X$1001,MATCH(ROWS($V$2:V433),$V$2:$V$1001,0),0), INDEX($AC$1004:$AS$1004,1,MATCH(COLUMNS($AC$1006:AP1006),$AC$1006:$AS$1006,0)))),"Fix")))</f>
        <v xml:space="preserve"> </v>
      </c>
      <c r="P433" s="4" t="str">
        <f ca="1">IF(OR(INDEX($W$2:$W$1001,MATCH(ROWS($V$2:V433),$V$2:$V$1001,0),1)&gt;=100000,INDEX($AC$1005:$AS$1005,1,MATCH(COLUMNS($AC$1006:AQ1006),$AC$1006:$AS$1006,0))&gt;=100000), " ",IF(INDEX($AC$2:$AS$1001,MATCH(ROWS($V$2:V433),$V$2:$V$1001,0),MATCH(COLUMNS($AC$1006:AQ1006),$AC$1006:$AS$1006,0)), HYPERLINK("#",""), HYPERLINK(CONCATENATE("#metadata!", ADDRESS(INDEX($X$2:$X$1001,MATCH(ROWS($V$2:V433),$V$2:$V$1001,0),0), INDEX($AC$1004:$AS$1004,1,MATCH(COLUMNS($AC$1006:AQ1006),$AC$1006:$AS$1006,0)))),"Fix")))</f>
        <v xml:space="preserve"> </v>
      </c>
      <c r="Q433" s="4" t="str">
        <f ca="1">IF(OR(INDEX($W$2:$W$1001,MATCH(ROWS($V$2:V433),$V$2:$V$1001,0),1)&gt;=100000,INDEX($AC$1005:$AS$1005,1,MATCH(COLUMNS($AC$1006:AR1006),$AC$1006:$AS$1006,0))&gt;=100000), " ",IF(INDEX($AC$2:$AS$1001,MATCH(ROWS($V$2:V433),$V$2:$V$1001,0),MATCH(COLUMNS($AC$1006:AR1006),$AC$1006:$AS$1006,0)), HYPERLINK("#",""), HYPERLINK(CONCATENATE("#metadata!", ADDRESS(INDEX($X$2:$X$1001,MATCH(ROWS($V$2:V433),$V$2:$V$1001,0),0), INDEX($AC$1004:$AS$1004,1,MATCH(COLUMNS($AC$1006:AR1006),$AC$1006:$AS$1006,0)))),"Fix")))</f>
        <v xml:space="preserve"> </v>
      </c>
      <c r="R433" s="4" t="str">
        <f ca="1">IF(OR(INDEX($W$2:$W$1001,MATCH(ROWS($V$2:V433),$V$2:$V$1001,0),1)&gt;=100000,INDEX($AC$1005:$AS$1005,1,MATCH(COLUMNS($AC$1006:AS1006),$AC$1006:$AS$1006,0))&gt;=100000), " ",IF(INDEX($AC$2:$AS$1001,MATCH(ROWS($V$2:V433),$V$2:$V$1001,0),MATCH(COLUMNS($AC$1006:AS1006),$AC$1006:$AS$1006,0)), HYPERLINK("#",""), HYPERLINK(CONCATENATE("#metadata!", ADDRESS(INDEX($X$2:$X$1001,MATCH(ROWS($V$2:V433),$V$2:$V$1001,0),0), INDEX($AC$1004:$AS$1004,1,MATCH(COLUMNS($AC$1006:AS1006),$AC$1006:$AS$1006,0)))),"Fix")))</f>
        <v xml:space="preserve"> </v>
      </c>
      <c r="V433">
        <v>432</v>
      </c>
      <c r="W433">
        <v>100433</v>
      </c>
      <c r="X433">
        <v>433</v>
      </c>
      <c r="Y433" t="b">
        <f t="shared" si="6"/>
        <v>1</v>
      </c>
      <c r="Z433" t="b">
        <f>COUNTBLANK(metadata!B433:R433)=COLUMNS(metadata!B433:R433)</f>
        <v>1</v>
      </c>
      <c r="AA433" t="str">
        <v/>
      </c>
      <c r="AC433" t="b">
        <f ca="1"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AD433" t="b">
        <f>IF(metadata!C433="",FALSE,ISNUMBER(VALUE(metadata!C433)))</f>
        <v>0</v>
      </c>
      <c r="AE433" t="b">
        <f>AND(IF(metadata!D433="",FALSE,TRUE),EXACT(metadata!D433,"years"))</f>
        <v>0</v>
      </c>
      <c r="AF433" t="b">
        <f>OR(AND(IF(metadata!E433="",FALSE,TRUE),OR(EXACT(metadata!E433,"not applicable"),EXACT(metadata!E433,"missing: not collected"),EXACT(metadata!E433,"missing: not provided"),EXACT(metadata!E433,"missing: restricted access"))),AND(IF(metadata!E433="",FALSE,ISNUMBER(VALUE(metadata!E433))),metadata!E433&gt;0))</f>
        <v>0</v>
      </c>
      <c r="AG433" t="b">
        <f>AND(IF(metadata!F433="",FALSE,TRUE),EXACT(metadata!F433,"Not applicable"))</f>
        <v>0</v>
      </c>
      <c r="AH433" t="b">
        <f>AND(IF(metadata!G433="",FALSE,TRUE),EXACT(metadata!G433,"urban biome"))</f>
        <v>0</v>
      </c>
      <c r="AI433" t="b">
        <f>AND(IF(metadata!H433="",FALSE,TRUE),EXACT(metadata!H433,"human-associated habitat"))</f>
        <v>0</v>
      </c>
      <c r="AJ433" t="b">
        <f>AND(IF(metadata!I433="",FALSE,TRUE),OR(EXACT(metadata!I433,"human-associated"),EXACT(metadata!I433,"human-skin"),EXACT(metadata!I433,"human-oral"),EXACT(metadata!I433,"human-gut"),EXACT(metadata!I433,"human-vaginal")))</f>
        <v>0</v>
      </c>
      <c r="AK433" t="b">
        <f>IF(metadata!J433="",FALSE,ISNUMBER(VALUE(metadata!J433)))</f>
        <v>0</v>
      </c>
      <c r="AL433" t="b">
        <f>AND(IF(metadata!K433="",FALSE,TRUE),EXACT(metadata!K433,"cm"))</f>
        <v>0</v>
      </c>
      <c r="AM433" t="b">
        <f>AND(IF(metadata!L433="",FALSE,TRUE),EXACT(metadata!L433,"human"))</f>
        <v>0</v>
      </c>
      <c r="AN433" t="b">
        <f>AND(IF(metadata!M433="",FALSE,TRUE),EXACT(metadata!M433,"Homo sapiens"))</f>
        <v>0</v>
      </c>
      <c r="AO433" t="b">
        <f>AND(IF(metadata!N433="",FALSE,TRUE),EXACT(metadata!N433,"9606"))</f>
        <v>0</v>
      </c>
      <c r="AP433" t="b">
        <f>IF(metadata!O433="",FALSE,TRUE)</f>
        <v>0</v>
      </c>
      <c r="AQ433" t="b">
        <f>IF(metadata!P433="",FALSE,TRUE)</f>
        <v>0</v>
      </c>
      <c r="AR433" t="b">
        <f>IF(metadata!Q433="",FALSE,ISNUMBER(VALUE(metadata!Q433)))</f>
        <v>0</v>
      </c>
      <c r="AS433" t="b">
        <f>AND(IF(metadata!R433="",FALSE,TRUE),EXACT(metadata!R433,"kg"))</f>
        <v>0</v>
      </c>
    </row>
    <row r="434" spans="1:45" x14ac:dyDescent="0.2">
      <c r="A434" s="5" t="str">
        <f ca="1">IF(B434=" "," ",HYPERLINK(CONCATENATE("#metadata!",ADDRESS(INDEX($X$2:$X$1001,MATCH(ROWS($V$2:V434),$V$2:$V$1001,0),0),1)),INDEX($AA$2:$AA$1001,MATCH(ROWS($V$2:V434),$V$2:$V$1001,0),0)))</f>
        <v xml:space="preserve"> </v>
      </c>
      <c r="B434" s="4" t="str">
        <f ca="1">IF(OR(INDEX($W$2:$W$1001,MATCH(ROWS($V$2:V434),$V$2:$V$1001,0),1)&gt;=100000,INDEX($AC$1005:$AS$1005,1,MATCH(COLUMNS($AC$1006:AC1006),$AC$1006:$AS$1006,0))&gt;=100000), " ",IF(INDEX($AC$2:$AS$1001,MATCH(ROWS($V$2:V434),$V$2:$V$1001,0),MATCH(COLUMNS($AC$1006:AC1006),$AC$1006:$AS$1006,0)), HYPERLINK("#",""), HYPERLINK(CONCATENATE("#metadata!", ADDRESS(INDEX($X$2:$X$1001,MATCH(ROWS($V$2:V434),$V$2:$V$1001,0),0), INDEX($AC$1004:$AS$1004,1,MATCH(COLUMNS($AC$1006:AC1006),$AC$1006:$AS$1006,0)))),"Fix")))</f>
        <v xml:space="preserve"> </v>
      </c>
      <c r="C434" s="4" t="str">
        <f ca="1">IF(OR(INDEX($W$2:$W$1001,MATCH(ROWS($V$2:V434),$V$2:$V$1001,0),1)&gt;=100000,INDEX($AC$1005:$AS$1005,1,MATCH(COLUMNS($AC$1006:AD1006),$AC$1006:$AS$1006,0))&gt;=100000), " ",IF(INDEX($AC$2:$AS$1001,MATCH(ROWS($V$2:V434),$V$2:$V$1001,0),MATCH(COLUMNS($AC$1006:AD1006),$AC$1006:$AS$1006,0)), HYPERLINK("#",""), HYPERLINK(CONCATENATE("#metadata!", ADDRESS(INDEX($X$2:$X$1001,MATCH(ROWS($V$2:V434),$V$2:$V$1001,0),0), INDEX($AC$1004:$AS$1004,1,MATCH(COLUMNS($AC$1006:AD1006),$AC$1006:$AS$1006,0)))),"Fix")))</f>
        <v xml:space="preserve"> </v>
      </c>
      <c r="D434" s="4" t="str">
        <f ca="1">IF(OR(INDEX($W$2:$W$1001,MATCH(ROWS($V$2:V434),$V$2:$V$1001,0),1)&gt;=100000,INDEX($AC$1005:$AS$1005,1,MATCH(COLUMNS($AC$1006:AE1006),$AC$1006:$AS$1006,0))&gt;=100000), " ",IF(INDEX($AC$2:$AS$1001,MATCH(ROWS($V$2:V434),$V$2:$V$1001,0),MATCH(COLUMNS($AC$1006:AE1006),$AC$1006:$AS$1006,0)), HYPERLINK("#",""), HYPERLINK(CONCATENATE("#metadata!", ADDRESS(INDEX($X$2:$X$1001,MATCH(ROWS($V$2:V434),$V$2:$V$1001,0),0), INDEX($AC$1004:$AS$1004,1,MATCH(COLUMNS($AC$1006:AE1006),$AC$1006:$AS$1006,0)))),"Fix")))</f>
        <v xml:space="preserve"> </v>
      </c>
      <c r="E434" s="4" t="str">
        <f ca="1">IF(OR(INDEX($W$2:$W$1001,MATCH(ROWS($V$2:V434),$V$2:$V$1001,0),1)&gt;=100000,INDEX($AC$1005:$AS$1005,1,MATCH(COLUMNS($AC$1006:AF1006),$AC$1006:$AS$1006,0))&gt;=100000), " ",IF(INDEX($AC$2:$AS$1001,MATCH(ROWS($V$2:V434),$V$2:$V$1001,0),MATCH(COLUMNS($AC$1006:AF1006),$AC$1006:$AS$1006,0)), HYPERLINK("#",""), HYPERLINK(CONCATENATE("#metadata!", ADDRESS(INDEX($X$2:$X$1001,MATCH(ROWS($V$2:V434),$V$2:$V$1001,0),0), INDEX($AC$1004:$AS$1004,1,MATCH(COLUMNS($AC$1006:AF1006),$AC$1006:$AS$1006,0)))),"Fix")))</f>
        <v xml:space="preserve"> </v>
      </c>
      <c r="F434" s="4" t="str">
        <f ca="1">IF(OR(INDEX($W$2:$W$1001,MATCH(ROWS($V$2:V434),$V$2:$V$1001,0),1)&gt;=100000,INDEX($AC$1005:$AS$1005,1,MATCH(COLUMNS($AC$1006:AG1006),$AC$1006:$AS$1006,0))&gt;=100000), " ",IF(INDEX($AC$2:$AS$1001,MATCH(ROWS($V$2:V434),$V$2:$V$1001,0),MATCH(COLUMNS($AC$1006:AG1006),$AC$1006:$AS$1006,0)), HYPERLINK("#",""), HYPERLINK(CONCATENATE("#metadata!", ADDRESS(INDEX($X$2:$X$1001,MATCH(ROWS($V$2:V434),$V$2:$V$1001,0),0), INDEX($AC$1004:$AS$1004,1,MATCH(COLUMNS($AC$1006:AG1006),$AC$1006:$AS$1006,0)))),"Fix")))</f>
        <v xml:space="preserve"> </v>
      </c>
      <c r="G434" s="4" t="str">
        <f ca="1">IF(OR(INDEX($W$2:$W$1001,MATCH(ROWS($V$2:V434),$V$2:$V$1001,0),1)&gt;=100000,INDEX($AC$1005:$AS$1005,1,MATCH(COLUMNS($AC$1006:AH1006),$AC$1006:$AS$1006,0))&gt;=100000), " ",IF(INDEX($AC$2:$AS$1001,MATCH(ROWS($V$2:V434),$V$2:$V$1001,0),MATCH(COLUMNS($AC$1006:AH1006),$AC$1006:$AS$1006,0)), HYPERLINK("#",""), HYPERLINK(CONCATENATE("#metadata!", ADDRESS(INDEX($X$2:$X$1001,MATCH(ROWS($V$2:V434),$V$2:$V$1001,0),0), INDEX($AC$1004:$AS$1004,1,MATCH(COLUMNS($AC$1006:AH1006),$AC$1006:$AS$1006,0)))),"Fix")))</f>
        <v xml:space="preserve"> </v>
      </c>
      <c r="H434" s="4" t="str">
        <f ca="1">IF(OR(INDEX($W$2:$W$1001,MATCH(ROWS($V$2:V434),$V$2:$V$1001,0),1)&gt;=100000,INDEX($AC$1005:$AS$1005,1,MATCH(COLUMNS($AC$1006:AI1006),$AC$1006:$AS$1006,0))&gt;=100000), " ",IF(INDEX($AC$2:$AS$1001,MATCH(ROWS($V$2:V434),$V$2:$V$1001,0),MATCH(COLUMNS($AC$1006:AI1006),$AC$1006:$AS$1006,0)), HYPERLINK("#",""), HYPERLINK(CONCATENATE("#metadata!", ADDRESS(INDEX($X$2:$X$1001,MATCH(ROWS($V$2:V434),$V$2:$V$1001,0),0), INDEX($AC$1004:$AS$1004,1,MATCH(COLUMNS($AC$1006:AI1006),$AC$1006:$AS$1006,0)))),"Fix")))</f>
        <v xml:space="preserve"> </v>
      </c>
      <c r="I434" s="4" t="str">
        <f ca="1">IF(OR(INDEX($W$2:$W$1001,MATCH(ROWS($V$2:V434),$V$2:$V$1001,0),1)&gt;=100000,INDEX($AC$1005:$AS$1005,1,MATCH(COLUMNS($AC$1006:AJ1006),$AC$1006:$AS$1006,0))&gt;=100000), " ",IF(INDEX($AC$2:$AS$1001,MATCH(ROWS($V$2:V434),$V$2:$V$1001,0),MATCH(COLUMNS($AC$1006:AJ1006),$AC$1006:$AS$1006,0)), HYPERLINK("#",""), HYPERLINK(CONCATENATE("#metadata!", ADDRESS(INDEX($X$2:$X$1001,MATCH(ROWS($V$2:V434),$V$2:$V$1001,0),0), INDEX($AC$1004:$AS$1004,1,MATCH(COLUMNS($AC$1006:AJ1006),$AC$1006:$AS$1006,0)))),"Fix")))</f>
        <v xml:space="preserve"> </v>
      </c>
      <c r="J434" s="4" t="str">
        <f ca="1">IF(OR(INDEX($W$2:$W$1001,MATCH(ROWS($V$2:V434),$V$2:$V$1001,0),1)&gt;=100000,INDEX($AC$1005:$AS$1005,1,MATCH(COLUMNS($AC$1006:AK1006),$AC$1006:$AS$1006,0))&gt;=100000), " ",IF(INDEX($AC$2:$AS$1001,MATCH(ROWS($V$2:V434),$V$2:$V$1001,0),MATCH(COLUMNS($AC$1006:AK1006),$AC$1006:$AS$1006,0)), HYPERLINK("#",""), HYPERLINK(CONCATENATE("#metadata!", ADDRESS(INDEX($X$2:$X$1001,MATCH(ROWS($V$2:V434),$V$2:$V$1001,0),0), INDEX($AC$1004:$AS$1004,1,MATCH(COLUMNS($AC$1006:AK1006),$AC$1006:$AS$1006,0)))),"Fix")))</f>
        <v xml:space="preserve"> </v>
      </c>
      <c r="K434" s="4" t="str">
        <f ca="1">IF(OR(INDEX($W$2:$W$1001,MATCH(ROWS($V$2:V434),$V$2:$V$1001,0),1)&gt;=100000,INDEX($AC$1005:$AS$1005,1,MATCH(COLUMNS($AC$1006:AL1006),$AC$1006:$AS$1006,0))&gt;=100000), " ",IF(INDEX($AC$2:$AS$1001,MATCH(ROWS($V$2:V434),$V$2:$V$1001,0),MATCH(COLUMNS($AC$1006:AL1006),$AC$1006:$AS$1006,0)), HYPERLINK("#",""), HYPERLINK(CONCATENATE("#metadata!", ADDRESS(INDEX($X$2:$X$1001,MATCH(ROWS($V$2:V434),$V$2:$V$1001,0),0), INDEX($AC$1004:$AS$1004,1,MATCH(COLUMNS($AC$1006:AL1006),$AC$1006:$AS$1006,0)))),"Fix")))</f>
        <v xml:space="preserve"> </v>
      </c>
      <c r="L434" s="4" t="str">
        <f ca="1">IF(OR(INDEX($W$2:$W$1001,MATCH(ROWS($V$2:V434),$V$2:$V$1001,0),1)&gt;=100000,INDEX($AC$1005:$AS$1005,1,MATCH(COLUMNS($AC$1006:AM1006),$AC$1006:$AS$1006,0))&gt;=100000), " ",IF(INDEX($AC$2:$AS$1001,MATCH(ROWS($V$2:V434),$V$2:$V$1001,0),MATCH(COLUMNS($AC$1006:AM1006),$AC$1006:$AS$1006,0)), HYPERLINK("#",""), HYPERLINK(CONCATENATE("#metadata!", ADDRESS(INDEX($X$2:$X$1001,MATCH(ROWS($V$2:V434),$V$2:$V$1001,0),0), INDEX($AC$1004:$AS$1004,1,MATCH(COLUMNS($AC$1006:AM1006),$AC$1006:$AS$1006,0)))),"Fix")))</f>
        <v xml:space="preserve"> </v>
      </c>
      <c r="M434" s="4" t="str">
        <f ca="1">IF(OR(INDEX($W$2:$W$1001,MATCH(ROWS($V$2:V434),$V$2:$V$1001,0),1)&gt;=100000,INDEX($AC$1005:$AS$1005,1,MATCH(COLUMNS($AC$1006:AN1006),$AC$1006:$AS$1006,0))&gt;=100000), " ",IF(INDEX($AC$2:$AS$1001,MATCH(ROWS($V$2:V434),$V$2:$V$1001,0),MATCH(COLUMNS($AC$1006:AN1006),$AC$1006:$AS$1006,0)), HYPERLINK("#",""), HYPERLINK(CONCATENATE("#metadata!", ADDRESS(INDEX($X$2:$X$1001,MATCH(ROWS($V$2:V434),$V$2:$V$1001,0),0), INDEX($AC$1004:$AS$1004,1,MATCH(COLUMNS($AC$1006:AN1006),$AC$1006:$AS$1006,0)))),"Fix")))</f>
        <v xml:space="preserve"> </v>
      </c>
      <c r="N434" s="4" t="str">
        <f ca="1">IF(OR(INDEX($W$2:$W$1001,MATCH(ROWS($V$2:V434),$V$2:$V$1001,0),1)&gt;=100000,INDEX($AC$1005:$AS$1005,1,MATCH(COLUMNS($AC$1006:AO1006),$AC$1006:$AS$1006,0))&gt;=100000), " ",IF(INDEX($AC$2:$AS$1001,MATCH(ROWS($V$2:V434),$V$2:$V$1001,0),MATCH(COLUMNS($AC$1006:AO1006),$AC$1006:$AS$1006,0)), HYPERLINK("#",""), HYPERLINK(CONCATENATE("#metadata!", ADDRESS(INDEX($X$2:$X$1001,MATCH(ROWS($V$2:V434),$V$2:$V$1001,0),0), INDEX($AC$1004:$AS$1004,1,MATCH(COLUMNS($AC$1006:AO1006),$AC$1006:$AS$1006,0)))),"Fix")))</f>
        <v xml:space="preserve"> </v>
      </c>
      <c r="O434" s="4" t="str">
        <f ca="1">IF(OR(INDEX($W$2:$W$1001,MATCH(ROWS($V$2:V434),$V$2:$V$1001,0),1)&gt;=100000,INDEX($AC$1005:$AS$1005,1,MATCH(COLUMNS($AC$1006:AP1006),$AC$1006:$AS$1006,0))&gt;=100000), " ",IF(INDEX($AC$2:$AS$1001,MATCH(ROWS($V$2:V434),$V$2:$V$1001,0),MATCH(COLUMNS($AC$1006:AP1006),$AC$1006:$AS$1006,0)), HYPERLINK("#",""), HYPERLINK(CONCATENATE("#metadata!", ADDRESS(INDEX($X$2:$X$1001,MATCH(ROWS($V$2:V434),$V$2:$V$1001,0),0), INDEX($AC$1004:$AS$1004,1,MATCH(COLUMNS($AC$1006:AP1006),$AC$1006:$AS$1006,0)))),"Fix")))</f>
        <v xml:space="preserve"> </v>
      </c>
      <c r="P434" s="4" t="str">
        <f ca="1">IF(OR(INDEX($W$2:$W$1001,MATCH(ROWS($V$2:V434),$V$2:$V$1001,0),1)&gt;=100000,INDEX($AC$1005:$AS$1005,1,MATCH(COLUMNS($AC$1006:AQ1006),$AC$1006:$AS$1006,0))&gt;=100000), " ",IF(INDEX($AC$2:$AS$1001,MATCH(ROWS($V$2:V434),$V$2:$V$1001,0),MATCH(COLUMNS($AC$1006:AQ1006),$AC$1006:$AS$1006,0)), HYPERLINK("#",""), HYPERLINK(CONCATENATE("#metadata!", ADDRESS(INDEX($X$2:$X$1001,MATCH(ROWS($V$2:V434),$V$2:$V$1001,0),0), INDEX($AC$1004:$AS$1004,1,MATCH(COLUMNS($AC$1006:AQ1006),$AC$1006:$AS$1006,0)))),"Fix")))</f>
        <v xml:space="preserve"> </v>
      </c>
      <c r="Q434" s="4" t="str">
        <f ca="1">IF(OR(INDEX($W$2:$W$1001,MATCH(ROWS($V$2:V434),$V$2:$V$1001,0),1)&gt;=100000,INDEX($AC$1005:$AS$1005,1,MATCH(COLUMNS($AC$1006:AR1006),$AC$1006:$AS$1006,0))&gt;=100000), " ",IF(INDEX($AC$2:$AS$1001,MATCH(ROWS($V$2:V434),$V$2:$V$1001,0),MATCH(COLUMNS($AC$1006:AR1006),$AC$1006:$AS$1006,0)), HYPERLINK("#",""), HYPERLINK(CONCATENATE("#metadata!", ADDRESS(INDEX($X$2:$X$1001,MATCH(ROWS($V$2:V434),$V$2:$V$1001,0),0), INDEX($AC$1004:$AS$1004,1,MATCH(COLUMNS($AC$1006:AR1006),$AC$1006:$AS$1006,0)))),"Fix")))</f>
        <v xml:space="preserve"> </v>
      </c>
      <c r="R434" s="4" t="str">
        <f ca="1">IF(OR(INDEX($W$2:$W$1001,MATCH(ROWS($V$2:V434),$V$2:$V$1001,0),1)&gt;=100000,INDEX($AC$1005:$AS$1005,1,MATCH(COLUMNS($AC$1006:AS1006),$AC$1006:$AS$1006,0))&gt;=100000), " ",IF(INDEX($AC$2:$AS$1001,MATCH(ROWS($V$2:V434),$V$2:$V$1001,0),MATCH(COLUMNS($AC$1006:AS1006),$AC$1006:$AS$1006,0)), HYPERLINK("#",""), HYPERLINK(CONCATENATE("#metadata!", ADDRESS(INDEX($X$2:$X$1001,MATCH(ROWS($V$2:V434),$V$2:$V$1001,0),0), INDEX($AC$1004:$AS$1004,1,MATCH(COLUMNS($AC$1006:AS1006),$AC$1006:$AS$1006,0)))),"Fix")))</f>
        <v xml:space="preserve"> </v>
      </c>
      <c r="V434">
        <v>433</v>
      </c>
      <c r="W434">
        <v>100434</v>
      </c>
      <c r="X434">
        <v>434</v>
      </c>
      <c r="Y434" t="b">
        <f t="shared" si="6"/>
        <v>1</v>
      </c>
      <c r="Z434" t="b">
        <f>COUNTBLANK(metadata!B434:R434)=COLUMNS(metadata!B434:R434)</f>
        <v>1</v>
      </c>
      <c r="AA434" t="str">
        <v/>
      </c>
      <c r="AC434" t="b">
        <f ca="1"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AD434" t="b">
        <f>IF(metadata!C434="",FALSE,ISNUMBER(VALUE(metadata!C434)))</f>
        <v>0</v>
      </c>
      <c r="AE434" t="b">
        <f>AND(IF(metadata!D434="",FALSE,TRUE),EXACT(metadata!D434,"years"))</f>
        <v>0</v>
      </c>
      <c r="AF434" t="b">
        <f>OR(AND(IF(metadata!E434="",FALSE,TRUE),OR(EXACT(metadata!E434,"not applicable"),EXACT(metadata!E434,"missing: not collected"),EXACT(metadata!E434,"missing: not provided"),EXACT(metadata!E434,"missing: restricted access"))),AND(IF(metadata!E434="",FALSE,ISNUMBER(VALUE(metadata!E434))),metadata!E434&gt;0))</f>
        <v>0</v>
      </c>
      <c r="AG434" t="b">
        <f>AND(IF(metadata!F434="",FALSE,TRUE),EXACT(metadata!F434,"Not applicable"))</f>
        <v>0</v>
      </c>
      <c r="AH434" t="b">
        <f>AND(IF(metadata!G434="",FALSE,TRUE),EXACT(metadata!G434,"urban biome"))</f>
        <v>0</v>
      </c>
      <c r="AI434" t="b">
        <f>AND(IF(metadata!H434="",FALSE,TRUE),EXACT(metadata!H434,"human-associated habitat"))</f>
        <v>0</v>
      </c>
      <c r="AJ434" t="b">
        <f>AND(IF(metadata!I434="",FALSE,TRUE),OR(EXACT(metadata!I434,"human-associated"),EXACT(metadata!I434,"human-skin"),EXACT(metadata!I434,"human-oral"),EXACT(metadata!I434,"human-gut"),EXACT(metadata!I434,"human-vaginal")))</f>
        <v>0</v>
      </c>
      <c r="AK434" t="b">
        <f>IF(metadata!J434="",FALSE,ISNUMBER(VALUE(metadata!J434)))</f>
        <v>0</v>
      </c>
      <c r="AL434" t="b">
        <f>AND(IF(metadata!K434="",FALSE,TRUE),EXACT(metadata!K434,"cm"))</f>
        <v>0</v>
      </c>
      <c r="AM434" t="b">
        <f>AND(IF(metadata!L434="",FALSE,TRUE),EXACT(metadata!L434,"human"))</f>
        <v>0</v>
      </c>
      <c r="AN434" t="b">
        <f>AND(IF(metadata!M434="",FALSE,TRUE),EXACT(metadata!M434,"Homo sapiens"))</f>
        <v>0</v>
      </c>
      <c r="AO434" t="b">
        <f>AND(IF(metadata!N434="",FALSE,TRUE),EXACT(metadata!N434,"9606"))</f>
        <v>0</v>
      </c>
      <c r="AP434" t="b">
        <f>IF(metadata!O434="",FALSE,TRUE)</f>
        <v>0</v>
      </c>
      <c r="AQ434" t="b">
        <f>IF(metadata!P434="",FALSE,TRUE)</f>
        <v>0</v>
      </c>
      <c r="AR434" t="b">
        <f>IF(metadata!Q434="",FALSE,ISNUMBER(VALUE(metadata!Q434)))</f>
        <v>0</v>
      </c>
      <c r="AS434" t="b">
        <f>AND(IF(metadata!R434="",FALSE,TRUE),EXACT(metadata!R434,"kg"))</f>
        <v>0</v>
      </c>
    </row>
    <row r="435" spans="1:45" x14ac:dyDescent="0.2">
      <c r="A435" s="5" t="str">
        <f ca="1">IF(B435=" "," ",HYPERLINK(CONCATENATE("#metadata!",ADDRESS(INDEX($X$2:$X$1001,MATCH(ROWS($V$2:V435),$V$2:$V$1001,0),0),1)),INDEX($AA$2:$AA$1001,MATCH(ROWS($V$2:V435),$V$2:$V$1001,0),0)))</f>
        <v xml:space="preserve"> </v>
      </c>
      <c r="B435" s="4" t="str">
        <f ca="1">IF(OR(INDEX($W$2:$W$1001,MATCH(ROWS($V$2:V435),$V$2:$V$1001,0),1)&gt;=100000,INDEX($AC$1005:$AS$1005,1,MATCH(COLUMNS($AC$1006:AC1006),$AC$1006:$AS$1006,0))&gt;=100000), " ",IF(INDEX($AC$2:$AS$1001,MATCH(ROWS($V$2:V435),$V$2:$V$1001,0),MATCH(COLUMNS($AC$1006:AC1006),$AC$1006:$AS$1006,0)), HYPERLINK("#",""), HYPERLINK(CONCATENATE("#metadata!", ADDRESS(INDEX($X$2:$X$1001,MATCH(ROWS($V$2:V435),$V$2:$V$1001,0),0), INDEX($AC$1004:$AS$1004,1,MATCH(COLUMNS($AC$1006:AC1006),$AC$1006:$AS$1006,0)))),"Fix")))</f>
        <v xml:space="preserve"> </v>
      </c>
      <c r="C435" s="4" t="str">
        <f ca="1">IF(OR(INDEX($W$2:$W$1001,MATCH(ROWS($V$2:V435),$V$2:$V$1001,0),1)&gt;=100000,INDEX($AC$1005:$AS$1005,1,MATCH(COLUMNS($AC$1006:AD1006),$AC$1006:$AS$1006,0))&gt;=100000), " ",IF(INDEX($AC$2:$AS$1001,MATCH(ROWS($V$2:V435),$V$2:$V$1001,0),MATCH(COLUMNS($AC$1006:AD1006),$AC$1006:$AS$1006,0)), HYPERLINK("#",""), HYPERLINK(CONCATENATE("#metadata!", ADDRESS(INDEX($X$2:$X$1001,MATCH(ROWS($V$2:V435),$V$2:$V$1001,0),0), INDEX($AC$1004:$AS$1004,1,MATCH(COLUMNS($AC$1006:AD1006),$AC$1006:$AS$1006,0)))),"Fix")))</f>
        <v xml:space="preserve"> </v>
      </c>
      <c r="D435" s="4" t="str">
        <f ca="1">IF(OR(INDEX($W$2:$W$1001,MATCH(ROWS($V$2:V435),$V$2:$V$1001,0),1)&gt;=100000,INDEX($AC$1005:$AS$1005,1,MATCH(COLUMNS($AC$1006:AE1006),$AC$1006:$AS$1006,0))&gt;=100000), " ",IF(INDEX($AC$2:$AS$1001,MATCH(ROWS($V$2:V435),$V$2:$V$1001,0),MATCH(COLUMNS($AC$1006:AE1006),$AC$1006:$AS$1006,0)), HYPERLINK("#",""), HYPERLINK(CONCATENATE("#metadata!", ADDRESS(INDEX($X$2:$X$1001,MATCH(ROWS($V$2:V435),$V$2:$V$1001,0),0), INDEX($AC$1004:$AS$1004,1,MATCH(COLUMNS($AC$1006:AE1006),$AC$1006:$AS$1006,0)))),"Fix")))</f>
        <v xml:space="preserve"> </v>
      </c>
      <c r="E435" s="4" t="str">
        <f ca="1">IF(OR(INDEX($W$2:$W$1001,MATCH(ROWS($V$2:V435),$V$2:$V$1001,0),1)&gt;=100000,INDEX($AC$1005:$AS$1005,1,MATCH(COLUMNS($AC$1006:AF1006),$AC$1006:$AS$1006,0))&gt;=100000), " ",IF(INDEX($AC$2:$AS$1001,MATCH(ROWS($V$2:V435),$V$2:$V$1001,0),MATCH(COLUMNS($AC$1006:AF1006),$AC$1006:$AS$1006,0)), HYPERLINK("#",""), HYPERLINK(CONCATENATE("#metadata!", ADDRESS(INDEX($X$2:$X$1001,MATCH(ROWS($V$2:V435),$V$2:$V$1001,0),0), INDEX($AC$1004:$AS$1004,1,MATCH(COLUMNS($AC$1006:AF1006),$AC$1006:$AS$1006,0)))),"Fix")))</f>
        <v xml:space="preserve"> </v>
      </c>
      <c r="F435" s="4" t="str">
        <f ca="1">IF(OR(INDEX($W$2:$W$1001,MATCH(ROWS($V$2:V435),$V$2:$V$1001,0),1)&gt;=100000,INDEX($AC$1005:$AS$1005,1,MATCH(COLUMNS($AC$1006:AG1006),$AC$1006:$AS$1006,0))&gt;=100000), " ",IF(INDEX($AC$2:$AS$1001,MATCH(ROWS($V$2:V435),$V$2:$V$1001,0),MATCH(COLUMNS($AC$1006:AG1006),$AC$1006:$AS$1006,0)), HYPERLINK("#",""), HYPERLINK(CONCATENATE("#metadata!", ADDRESS(INDEX($X$2:$X$1001,MATCH(ROWS($V$2:V435),$V$2:$V$1001,0),0), INDEX($AC$1004:$AS$1004,1,MATCH(COLUMNS($AC$1006:AG1006),$AC$1006:$AS$1006,0)))),"Fix")))</f>
        <v xml:space="preserve"> </v>
      </c>
      <c r="G435" s="4" t="str">
        <f ca="1">IF(OR(INDEX($W$2:$W$1001,MATCH(ROWS($V$2:V435),$V$2:$V$1001,0),1)&gt;=100000,INDEX($AC$1005:$AS$1005,1,MATCH(COLUMNS($AC$1006:AH1006),$AC$1006:$AS$1006,0))&gt;=100000), " ",IF(INDEX($AC$2:$AS$1001,MATCH(ROWS($V$2:V435),$V$2:$V$1001,0),MATCH(COLUMNS($AC$1006:AH1006),$AC$1006:$AS$1006,0)), HYPERLINK("#",""), HYPERLINK(CONCATENATE("#metadata!", ADDRESS(INDEX($X$2:$X$1001,MATCH(ROWS($V$2:V435),$V$2:$V$1001,0),0), INDEX($AC$1004:$AS$1004,1,MATCH(COLUMNS($AC$1006:AH1006),$AC$1006:$AS$1006,0)))),"Fix")))</f>
        <v xml:space="preserve"> </v>
      </c>
      <c r="H435" s="4" t="str">
        <f ca="1">IF(OR(INDEX($W$2:$W$1001,MATCH(ROWS($V$2:V435),$V$2:$V$1001,0),1)&gt;=100000,INDEX($AC$1005:$AS$1005,1,MATCH(COLUMNS($AC$1006:AI1006),$AC$1006:$AS$1006,0))&gt;=100000), " ",IF(INDEX($AC$2:$AS$1001,MATCH(ROWS($V$2:V435),$V$2:$V$1001,0),MATCH(COLUMNS($AC$1006:AI1006),$AC$1006:$AS$1006,0)), HYPERLINK("#",""), HYPERLINK(CONCATENATE("#metadata!", ADDRESS(INDEX($X$2:$X$1001,MATCH(ROWS($V$2:V435),$V$2:$V$1001,0),0), INDEX($AC$1004:$AS$1004,1,MATCH(COLUMNS($AC$1006:AI1006),$AC$1006:$AS$1006,0)))),"Fix")))</f>
        <v xml:space="preserve"> </v>
      </c>
      <c r="I435" s="4" t="str">
        <f ca="1">IF(OR(INDEX($W$2:$W$1001,MATCH(ROWS($V$2:V435),$V$2:$V$1001,0),1)&gt;=100000,INDEX($AC$1005:$AS$1005,1,MATCH(COLUMNS($AC$1006:AJ1006),$AC$1006:$AS$1006,0))&gt;=100000), " ",IF(INDEX($AC$2:$AS$1001,MATCH(ROWS($V$2:V435),$V$2:$V$1001,0),MATCH(COLUMNS($AC$1006:AJ1006),$AC$1006:$AS$1006,0)), HYPERLINK("#",""), HYPERLINK(CONCATENATE("#metadata!", ADDRESS(INDEX($X$2:$X$1001,MATCH(ROWS($V$2:V435),$V$2:$V$1001,0),0), INDEX($AC$1004:$AS$1004,1,MATCH(COLUMNS($AC$1006:AJ1006),$AC$1006:$AS$1006,0)))),"Fix")))</f>
        <v xml:space="preserve"> </v>
      </c>
      <c r="J435" s="4" t="str">
        <f ca="1">IF(OR(INDEX($W$2:$W$1001,MATCH(ROWS($V$2:V435),$V$2:$V$1001,0),1)&gt;=100000,INDEX($AC$1005:$AS$1005,1,MATCH(COLUMNS($AC$1006:AK1006),$AC$1006:$AS$1006,0))&gt;=100000), " ",IF(INDEX($AC$2:$AS$1001,MATCH(ROWS($V$2:V435),$V$2:$V$1001,0),MATCH(COLUMNS($AC$1006:AK1006),$AC$1006:$AS$1006,0)), HYPERLINK("#",""), HYPERLINK(CONCATENATE("#metadata!", ADDRESS(INDEX($X$2:$X$1001,MATCH(ROWS($V$2:V435),$V$2:$V$1001,0),0), INDEX($AC$1004:$AS$1004,1,MATCH(COLUMNS($AC$1006:AK1006),$AC$1006:$AS$1006,0)))),"Fix")))</f>
        <v xml:space="preserve"> </v>
      </c>
      <c r="K435" s="4" t="str">
        <f ca="1">IF(OR(INDEX($W$2:$W$1001,MATCH(ROWS($V$2:V435),$V$2:$V$1001,0),1)&gt;=100000,INDEX($AC$1005:$AS$1005,1,MATCH(COLUMNS($AC$1006:AL1006),$AC$1006:$AS$1006,0))&gt;=100000), " ",IF(INDEX($AC$2:$AS$1001,MATCH(ROWS($V$2:V435),$V$2:$V$1001,0),MATCH(COLUMNS($AC$1006:AL1006),$AC$1006:$AS$1006,0)), HYPERLINK("#",""), HYPERLINK(CONCATENATE("#metadata!", ADDRESS(INDEX($X$2:$X$1001,MATCH(ROWS($V$2:V435),$V$2:$V$1001,0),0), INDEX($AC$1004:$AS$1004,1,MATCH(COLUMNS($AC$1006:AL1006),$AC$1006:$AS$1006,0)))),"Fix")))</f>
        <v xml:space="preserve"> </v>
      </c>
      <c r="L435" s="4" t="str">
        <f ca="1">IF(OR(INDEX($W$2:$W$1001,MATCH(ROWS($V$2:V435),$V$2:$V$1001,0),1)&gt;=100000,INDEX($AC$1005:$AS$1005,1,MATCH(COLUMNS($AC$1006:AM1006),$AC$1006:$AS$1006,0))&gt;=100000), " ",IF(INDEX($AC$2:$AS$1001,MATCH(ROWS($V$2:V435),$V$2:$V$1001,0),MATCH(COLUMNS($AC$1006:AM1006),$AC$1006:$AS$1006,0)), HYPERLINK("#",""), HYPERLINK(CONCATENATE("#metadata!", ADDRESS(INDEX($X$2:$X$1001,MATCH(ROWS($V$2:V435),$V$2:$V$1001,0),0), INDEX($AC$1004:$AS$1004,1,MATCH(COLUMNS($AC$1006:AM1006),$AC$1006:$AS$1006,0)))),"Fix")))</f>
        <v xml:space="preserve"> </v>
      </c>
      <c r="M435" s="4" t="str">
        <f ca="1">IF(OR(INDEX($W$2:$W$1001,MATCH(ROWS($V$2:V435),$V$2:$V$1001,0),1)&gt;=100000,INDEX($AC$1005:$AS$1005,1,MATCH(COLUMNS($AC$1006:AN1006),$AC$1006:$AS$1006,0))&gt;=100000), " ",IF(INDEX($AC$2:$AS$1001,MATCH(ROWS($V$2:V435),$V$2:$V$1001,0),MATCH(COLUMNS($AC$1006:AN1006),$AC$1006:$AS$1006,0)), HYPERLINK("#",""), HYPERLINK(CONCATENATE("#metadata!", ADDRESS(INDEX($X$2:$X$1001,MATCH(ROWS($V$2:V435),$V$2:$V$1001,0),0), INDEX($AC$1004:$AS$1004,1,MATCH(COLUMNS($AC$1006:AN1006),$AC$1006:$AS$1006,0)))),"Fix")))</f>
        <v xml:space="preserve"> </v>
      </c>
      <c r="N435" s="4" t="str">
        <f ca="1">IF(OR(INDEX($W$2:$W$1001,MATCH(ROWS($V$2:V435),$V$2:$V$1001,0),1)&gt;=100000,INDEX($AC$1005:$AS$1005,1,MATCH(COLUMNS($AC$1006:AO1006),$AC$1006:$AS$1006,0))&gt;=100000), " ",IF(INDEX($AC$2:$AS$1001,MATCH(ROWS($V$2:V435),$V$2:$V$1001,0),MATCH(COLUMNS($AC$1006:AO1006),$AC$1006:$AS$1006,0)), HYPERLINK("#",""), HYPERLINK(CONCATENATE("#metadata!", ADDRESS(INDEX($X$2:$X$1001,MATCH(ROWS($V$2:V435),$V$2:$V$1001,0),0), INDEX($AC$1004:$AS$1004,1,MATCH(COLUMNS($AC$1006:AO1006),$AC$1006:$AS$1006,0)))),"Fix")))</f>
        <v xml:space="preserve"> </v>
      </c>
      <c r="O435" s="4" t="str">
        <f ca="1">IF(OR(INDEX($W$2:$W$1001,MATCH(ROWS($V$2:V435),$V$2:$V$1001,0),1)&gt;=100000,INDEX($AC$1005:$AS$1005,1,MATCH(COLUMNS($AC$1006:AP1006),$AC$1006:$AS$1006,0))&gt;=100000), " ",IF(INDEX($AC$2:$AS$1001,MATCH(ROWS($V$2:V435),$V$2:$V$1001,0),MATCH(COLUMNS($AC$1006:AP1006),$AC$1006:$AS$1006,0)), HYPERLINK("#",""), HYPERLINK(CONCATENATE("#metadata!", ADDRESS(INDEX($X$2:$X$1001,MATCH(ROWS($V$2:V435),$V$2:$V$1001,0),0), INDEX($AC$1004:$AS$1004,1,MATCH(COLUMNS($AC$1006:AP1006),$AC$1006:$AS$1006,0)))),"Fix")))</f>
        <v xml:space="preserve"> </v>
      </c>
      <c r="P435" s="4" t="str">
        <f ca="1">IF(OR(INDEX($W$2:$W$1001,MATCH(ROWS($V$2:V435),$V$2:$V$1001,0),1)&gt;=100000,INDEX($AC$1005:$AS$1005,1,MATCH(COLUMNS($AC$1006:AQ1006),$AC$1006:$AS$1006,0))&gt;=100000), " ",IF(INDEX($AC$2:$AS$1001,MATCH(ROWS($V$2:V435),$V$2:$V$1001,0),MATCH(COLUMNS($AC$1006:AQ1006),$AC$1006:$AS$1006,0)), HYPERLINK("#",""), HYPERLINK(CONCATENATE("#metadata!", ADDRESS(INDEX($X$2:$X$1001,MATCH(ROWS($V$2:V435),$V$2:$V$1001,0),0), INDEX($AC$1004:$AS$1004,1,MATCH(COLUMNS($AC$1006:AQ1006),$AC$1006:$AS$1006,0)))),"Fix")))</f>
        <v xml:space="preserve"> </v>
      </c>
      <c r="Q435" s="4" t="str">
        <f ca="1">IF(OR(INDEX($W$2:$W$1001,MATCH(ROWS($V$2:V435),$V$2:$V$1001,0),1)&gt;=100000,INDEX($AC$1005:$AS$1005,1,MATCH(COLUMNS($AC$1006:AR1006),$AC$1006:$AS$1006,0))&gt;=100000), " ",IF(INDEX($AC$2:$AS$1001,MATCH(ROWS($V$2:V435),$V$2:$V$1001,0),MATCH(COLUMNS($AC$1006:AR1006),$AC$1006:$AS$1006,0)), HYPERLINK("#",""), HYPERLINK(CONCATENATE("#metadata!", ADDRESS(INDEX($X$2:$X$1001,MATCH(ROWS($V$2:V435),$V$2:$V$1001,0),0), INDEX($AC$1004:$AS$1004,1,MATCH(COLUMNS($AC$1006:AR1006),$AC$1006:$AS$1006,0)))),"Fix")))</f>
        <v xml:space="preserve"> </v>
      </c>
      <c r="R435" s="4" t="str">
        <f ca="1">IF(OR(INDEX($W$2:$W$1001,MATCH(ROWS($V$2:V435),$V$2:$V$1001,0),1)&gt;=100000,INDEX($AC$1005:$AS$1005,1,MATCH(COLUMNS($AC$1006:AS1006),$AC$1006:$AS$1006,0))&gt;=100000), " ",IF(INDEX($AC$2:$AS$1001,MATCH(ROWS($V$2:V435),$V$2:$V$1001,0),MATCH(COLUMNS($AC$1006:AS1006),$AC$1006:$AS$1006,0)), HYPERLINK("#",""), HYPERLINK(CONCATENATE("#metadata!", ADDRESS(INDEX($X$2:$X$1001,MATCH(ROWS($V$2:V435),$V$2:$V$1001,0),0), INDEX($AC$1004:$AS$1004,1,MATCH(COLUMNS($AC$1006:AS1006),$AC$1006:$AS$1006,0)))),"Fix")))</f>
        <v xml:space="preserve"> </v>
      </c>
      <c r="V435">
        <v>434</v>
      </c>
      <c r="W435">
        <v>100435</v>
      </c>
      <c r="X435">
        <v>435</v>
      </c>
      <c r="Y435" t="b">
        <f t="shared" si="6"/>
        <v>1</v>
      </c>
      <c r="Z435" t="b">
        <f>COUNTBLANK(metadata!B435:R435)=COLUMNS(metadata!B435:R435)</f>
        <v>1</v>
      </c>
      <c r="AA435" t="str">
        <v/>
      </c>
      <c r="AC435" t="b">
        <f ca="1"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AD435" t="b">
        <f>IF(metadata!C435="",FALSE,ISNUMBER(VALUE(metadata!C435)))</f>
        <v>0</v>
      </c>
      <c r="AE435" t="b">
        <f>AND(IF(metadata!D435="",FALSE,TRUE),EXACT(metadata!D435,"years"))</f>
        <v>0</v>
      </c>
      <c r="AF435" t="b">
        <f>OR(AND(IF(metadata!E435="",FALSE,TRUE),OR(EXACT(metadata!E435,"not applicable"),EXACT(metadata!E435,"missing: not collected"),EXACT(metadata!E435,"missing: not provided"),EXACT(metadata!E435,"missing: restricted access"))),AND(IF(metadata!E435="",FALSE,ISNUMBER(VALUE(metadata!E435))),metadata!E435&gt;0))</f>
        <v>0</v>
      </c>
      <c r="AG435" t="b">
        <f>AND(IF(metadata!F435="",FALSE,TRUE),EXACT(metadata!F435,"Not applicable"))</f>
        <v>0</v>
      </c>
      <c r="AH435" t="b">
        <f>AND(IF(metadata!G435="",FALSE,TRUE),EXACT(metadata!G435,"urban biome"))</f>
        <v>0</v>
      </c>
      <c r="AI435" t="b">
        <f>AND(IF(metadata!H435="",FALSE,TRUE),EXACT(metadata!H435,"human-associated habitat"))</f>
        <v>0</v>
      </c>
      <c r="AJ435" t="b">
        <f>AND(IF(metadata!I435="",FALSE,TRUE),OR(EXACT(metadata!I435,"human-associated"),EXACT(metadata!I435,"human-skin"),EXACT(metadata!I435,"human-oral"),EXACT(metadata!I435,"human-gut"),EXACT(metadata!I435,"human-vaginal")))</f>
        <v>0</v>
      </c>
      <c r="AK435" t="b">
        <f>IF(metadata!J435="",FALSE,ISNUMBER(VALUE(metadata!J435)))</f>
        <v>0</v>
      </c>
      <c r="AL435" t="b">
        <f>AND(IF(metadata!K435="",FALSE,TRUE),EXACT(metadata!K435,"cm"))</f>
        <v>0</v>
      </c>
      <c r="AM435" t="b">
        <f>AND(IF(metadata!L435="",FALSE,TRUE),EXACT(metadata!L435,"human"))</f>
        <v>0</v>
      </c>
      <c r="AN435" t="b">
        <f>AND(IF(metadata!M435="",FALSE,TRUE),EXACT(metadata!M435,"Homo sapiens"))</f>
        <v>0</v>
      </c>
      <c r="AO435" t="b">
        <f>AND(IF(metadata!N435="",FALSE,TRUE),EXACT(metadata!N435,"9606"))</f>
        <v>0</v>
      </c>
      <c r="AP435" t="b">
        <f>IF(metadata!O435="",FALSE,TRUE)</f>
        <v>0</v>
      </c>
      <c r="AQ435" t="b">
        <f>IF(metadata!P435="",FALSE,TRUE)</f>
        <v>0</v>
      </c>
      <c r="AR435" t="b">
        <f>IF(metadata!Q435="",FALSE,ISNUMBER(VALUE(metadata!Q435)))</f>
        <v>0</v>
      </c>
      <c r="AS435" t="b">
        <f>AND(IF(metadata!R435="",FALSE,TRUE),EXACT(metadata!R435,"kg"))</f>
        <v>0</v>
      </c>
    </row>
    <row r="436" spans="1:45" x14ac:dyDescent="0.2">
      <c r="A436" s="5" t="str">
        <f ca="1">IF(B436=" "," ",HYPERLINK(CONCATENATE("#metadata!",ADDRESS(INDEX($X$2:$X$1001,MATCH(ROWS($V$2:V436),$V$2:$V$1001,0),0),1)),INDEX($AA$2:$AA$1001,MATCH(ROWS($V$2:V436),$V$2:$V$1001,0),0)))</f>
        <v xml:space="preserve"> </v>
      </c>
      <c r="B436" s="4" t="str">
        <f ca="1">IF(OR(INDEX($W$2:$W$1001,MATCH(ROWS($V$2:V436),$V$2:$V$1001,0),1)&gt;=100000,INDEX($AC$1005:$AS$1005,1,MATCH(COLUMNS($AC$1006:AC1006),$AC$1006:$AS$1006,0))&gt;=100000), " ",IF(INDEX($AC$2:$AS$1001,MATCH(ROWS($V$2:V436),$V$2:$V$1001,0),MATCH(COLUMNS($AC$1006:AC1006),$AC$1006:$AS$1006,0)), HYPERLINK("#",""), HYPERLINK(CONCATENATE("#metadata!", ADDRESS(INDEX($X$2:$X$1001,MATCH(ROWS($V$2:V436),$V$2:$V$1001,0),0), INDEX($AC$1004:$AS$1004,1,MATCH(COLUMNS($AC$1006:AC1006),$AC$1006:$AS$1006,0)))),"Fix")))</f>
        <v xml:space="preserve"> </v>
      </c>
      <c r="C436" s="4" t="str">
        <f ca="1">IF(OR(INDEX($W$2:$W$1001,MATCH(ROWS($V$2:V436),$V$2:$V$1001,0),1)&gt;=100000,INDEX($AC$1005:$AS$1005,1,MATCH(COLUMNS($AC$1006:AD1006),$AC$1006:$AS$1006,0))&gt;=100000), " ",IF(INDEX($AC$2:$AS$1001,MATCH(ROWS($V$2:V436),$V$2:$V$1001,0),MATCH(COLUMNS($AC$1006:AD1006),$AC$1006:$AS$1006,0)), HYPERLINK("#",""), HYPERLINK(CONCATENATE("#metadata!", ADDRESS(INDEX($X$2:$X$1001,MATCH(ROWS($V$2:V436),$V$2:$V$1001,0),0), INDEX($AC$1004:$AS$1004,1,MATCH(COLUMNS($AC$1006:AD1006),$AC$1006:$AS$1006,0)))),"Fix")))</f>
        <v xml:space="preserve"> </v>
      </c>
      <c r="D436" s="4" t="str">
        <f ca="1">IF(OR(INDEX($W$2:$W$1001,MATCH(ROWS($V$2:V436),$V$2:$V$1001,0),1)&gt;=100000,INDEX($AC$1005:$AS$1005,1,MATCH(COLUMNS($AC$1006:AE1006),$AC$1006:$AS$1006,0))&gt;=100000), " ",IF(INDEX($AC$2:$AS$1001,MATCH(ROWS($V$2:V436),$V$2:$V$1001,0),MATCH(COLUMNS($AC$1006:AE1006),$AC$1006:$AS$1006,0)), HYPERLINK("#",""), HYPERLINK(CONCATENATE("#metadata!", ADDRESS(INDEX($X$2:$X$1001,MATCH(ROWS($V$2:V436),$V$2:$V$1001,0),0), INDEX($AC$1004:$AS$1004,1,MATCH(COLUMNS($AC$1006:AE1006),$AC$1006:$AS$1006,0)))),"Fix")))</f>
        <v xml:space="preserve"> </v>
      </c>
      <c r="E436" s="4" t="str">
        <f ca="1">IF(OR(INDEX($W$2:$W$1001,MATCH(ROWS($V$2:V436),$V$2:$V$1001,0),1)&gt;=100000,INDEX($AC$1005:$AS$1005,1,MATCH(COLUMNS($AC$1006:AF1006),$AC$1006:$AS$1006,0))&gt;=100000), " ",IF(INDEX($AC$2:$AS$1001,MATCH(ROWS($V$2:V436),$V$2:$V$1001,0),MATCH(COLUMNS($AC$1006:AF1006),$AC$1006:$AS$1006,0)), HYPERLINK("#",""), HYPERLINK(CONCATENATE("#metadata!", ADDRESS(INDEX($X$2:$X$1001,MATCH(ROWS($V$2:V436),$V$2:$V$1001,0),0), INDEX($AC$1004:$AS$1004,1,MATCH(COLUMNS($AC$1006:AF1006),$AC$1006:$AS$1006,0)))),"Fix")))</f>
        <v xml:space="preserve"> </v>
      </c>
      <c r="F436" s="4" t="str">
        <f ca="1">IF(OR(INDEX($W$2:$W$1001,MATCH(ROWS($V$2:V436),$V$2:$V$1001,0),1)&gt;=100000,INDEX($AC$1005:$AS$1005,1,MATCH(COLUMNS($AC$1006:AG1006),$AC$1006:$AS$1006,0))&gt;=100000), " ",IF(INDEX($AC$2:$AS$1001,MATCH(ROWS($V$2:V436),$V$2:$V$1001,0),MATCH(COLUMNS($AC$1006:AG1006),$AC$1006:$AS$1006,0)), HYPERLINK("#",""), HYPERLINK(CONCATENATE("#metadata!", ADDRESS(INDEX($X$2:$X$1001,MATCH(ROWS($V$2:V436),$V$2:$V$1001,0),0), INDEX($AC$1004:$AS$1004,1,MATCH(COLUMNS($AC$1006:AG1006),$AC$1006:$AS$1006,0)))),"Fix")))</f>
        <v xml:space="preserve"> </v>
      </c>
      <c r="G436" s="4" t="str">
        <f ca="1">IF(OR(INDEX($W$2:$W$1001,MATCH(ROWS($V$2:V436),$V$2:$V$1001,0),1)&gt;=100000,INDEX($AC$1005:$AS$1005,1,MATCH(COLUMNS($AC$1006:AH1006),$AC$1006:$AS$1006,0))&gt;=100000), " ",IF(INDEX($AC$2:$AS$1001,MATCH(ROWS($V$2:V436),$V$2:$V$1001,0),MATCH(COLUMNS($AC$1006:AH1006),$AC$1006:$AS$1006,0)), HYPERLINK("#",""), HYPERLINK(CONCATENATE("#metadata!", ADDRESS(INDEX($X$2:$X$1001,MATCH(ROWS($V$2:V436),$V$2:$V$1001,0),0), INDEX($AC$1004:$AS$1004,1,MATCH(COLUMNS($AC$1006:AH1006),$AC$1006:$AS$1006,0)))),"Fix")))</f>
        <v xml:space="preserve"> </v>
      </c>
      <c r="H436" s="4" t="str">
        <f ca="1">IF(OR(INDEX($W$2:$W$1001,MATCH(ROWS($V$2:V436),$V$2:$V$1001,0),1)&gt;=100000,INDEX($AC$1005:$AS$1005,1,MATCH(COLUMNS($AC$1006:AI1006),$AC$1006:$AS$1006,0))&gt;=100000), " ",IF(INDEX($AC$2:$AS$1001,MATCH(ROWS($V$2:V436),$V$2:$V$1001,0),MATCH(COLUMNS($AC$1006:AI1006),$AC$1006:$AS$1006,0)), HYPERLINK("#",""), HYPERLINK(CONCATENATE("#metadata!", ADDRESS(INDEX($X$2:$X$1001,MATCH(ROWS($V$2:V436),$V$2:$V$1001,0),0), INDEX($AC$1004:$AS$1004,1,MATCH(COLUMNS($AC$1006:AI1006),$AC$1006:$AS$1006,0)))),"Fix")))</f>
        <v xml:space="preserve"> </v>
      </c>
      <c r="I436" s="4" t="str">
        <f ca="1">IF(OR(INDEX($W$2:$W$1001,MATCH(ROWS($V$2:V436),$V$2:$V$1001,0),1)&gt;=100000,INDEX($AC$1005:$AS$1005,1,MATCH(COLUMNS($AC$1006:AJ1006),$AC$1006:$AS$1006,0))&gt;=100000), " ",IF(INDEX($AC$2:$AS$1001,MATCH(ROWS($V$2:V436),$V$2:$V$1001,0),MATCH(COLUMNS($AC$1006:AJ1006),$AC$1006:$AS$1006,0)), HYPERLINK("#",""), HYPERLINK(CONCATENATE("#metadata!", ADDRESS(INDEX($X$2:$X$1001,MATCH(ROWS($V$2:V436),$V$2:$V$1001,0),0), INDEX($AC$1004:$AS$1004,1,MATCH(COLUMNS($AC$1006:AJ1006),$AC$1006:$AS$1006,0)))),"Fix")))</f>
        <v xml:space="preserve"> </v>
      </c>
      <c r="J436" s="4" t="str">
        <f ca="1">IF(OR(INDEX($W$2:$W$1001,MATCH(ROWS($V$2:V436),$V$2:$V$1001,0),1)&gt;=100000,INDEX($AC$1005:$AS$1005,1,MATCH(COLUMNS($AC$1006:AK1006),$AC$1006:$AS$1006,0))&gt;=100000), " ",IF(INDEX($AC$2:$AS$1001,MATCH(ROWS($V$2:V436),$V$2:$V$1001,0),MATCH(COLUMNS($AC$1006:AK1006),$AC$1006:$AS$1006,0)), HYPERLINK("#",""), HYPERLINK(CONCATENATE("#metadata!", ADDRESS(INDEX($X$2:$X$1001,MATCH(ROWS($V$2:V436),$V$2:$V$1001,0),0), INDEX($AC$1004:$AS$1004,1,MATCH(COLUMNS($AC$1006:AK1006),$AC$1006:$AS$1006,0)))),"Fix")))</f>
        <v xml:space="preserve"> </v>
      </c>
      <c r="K436" s="4" t="str">
        <f ca="1">IF(OR(INDEX($W$2:$W$1001,MATCH(ROWS($V$2:V436),$V$2:$V$1001,0),1)&gt;=100000,INDEX($AC$1005:$AS$1005,1,MATCH(COLUMNS($AC$1006:AL1006),$AC$1006:$AS$1006,0))&gt;=100000), " ",IF(INDEX($AC$2:$AS$1001,MATCH(ROWS($V$2:V436),$V$2:$V$1001,0),MATCH(COLUMNS($AC$1006:AL1006),$AC$1006:$AS$1006,0)), HYPERLINK("#",""), HYPERLINK(CONCATENATE("#metadata!", ADDRESS(INDEX($X$2:$X$1001,MATCH(ROWS($V$2:V436),$V$2:$V$1001,0),0), INDEX($AC$1004:$AS$1004,1,MATCH(COLUMNS($AC$1006:AL1006),$AC$1006:$AS$1006,0)))),"Fix")))</f>
        <v xml:space="preserve"> </v>
      </c>
      <c r="L436" s="4" t="str">
        <f ca="1">IF(OR(INDEX($W$2:$W$1001,MATCH(ROWS($V$2:V436),$V$2:$V$1001,0),1)&gt;=100000,INDEX($AC$1005:$AS$1005,1,MATCH(COLUMNS($AC$1006:AM1006),$AC$1006:$AS$1006,0))&gt;=100000), " ",IF(INDEX($AC$2:$AS$1001,MATCH(ROWS($V$2:V436),$V$2:$V$1001,0),MATCH(COLUMNS($AC$1006:AM1006),$AC$1006:$AS$1006,0)), HYPERLINK("#",""), HYPERLINK(CONCATENATE("#metadata!", ADDRESS(INDEX($X$2:$X$1001,MATCH(ROWS($V$2:V436),$V$2:$V$1001,0),0), INDEX($AC$1004:$AS$1004,1,MATCH(COLUMNS($AC$1006:AM1006),$AC$1006:$AS$1006,0)))),"Fix")))</f>
        <v xml:space="preserve"> </v>
      </c>
      <c r="M436" s="4" t="str">
        <f ca="1">IF(OR(INDEX($W$2:$W$1001,MATCH(ROWS($V$2:V436),$V$2:$V$1001,0),1)&gt;=100000,INDEX($AC$1005:$AS$1005,1,MATCH(COLUMNS($AC$1006:AN1006),$AC$1006:$AS$1006,0))&gt;=100000), " ",IF(INDEX($AC$2:$AS$1001,MATCH(ROWS($V$2:V436),$V$2:$V$1001,0),MATCH(COLUMNS($AC$1006:AN1006),$AC$1006:$AS$1006,0)), HYPERLINK("#",""), HYPERLINK(CONCATENATE("#metadata!", ADDRESS(INDEX($X$2:$X$1001,MATCH(ROWS($V$2:V436),$V$2:$V$1001,0),0), INDEX($AC$1004:$AS$1004,1,MATCH(COLUMNS($AC$1006:AN1006),$AC$1006:$AS$1006,0)))),"Fix")))</f>
        <v xml:space="preserve"> </v>
      </c>
      <c r="N436" s="4" t="str">
        <f ca="1">IF(OR(INDEX($W$2:$W$1001,MATCH(ROWS($V$2:V436),$V$2:$V$1001,0),1)&gt;=100000,INDEX($AC$1005:$AS$1005,1,MATCH(COLUMNS($AC$1006:AO1006),$AC$1006:$AS$1006,0))&gt;=100000), " ",IF(INDEX($AC$2:$AS$1001,MATCH(ROWS($V$2:V436),$V$2:$V$1001,0),MATCH(COLUMNS($AC$1006:AO1006),$AC$1006:$AS$1006,0)), HYPERLINK("#",""), HYPERLINK(CONCATENATE("#metadata!", ADDRESS(INDEX($X$2:$X$1001,MATCH(ROWS($V$2:V436),$V$2:$V$1001,0),0), INDEX($AC$1004:$AS$1004,1,MATCH(COLUMNS($AC$1006:AO1006),$AC$1006:$AS$1006,0)))),"Fix")))</f>
        <v xml:space="preserve"> </v>
      </c>
      <c r="O436" s="4" t="str">
        <f ca="1">IF(OR(INDEX($W$2:$W$1001,MATCH(ROWS($V$2:V436),$V$2:$V$1001,0),1)&gt;=100000,INDEX($AC$1005:$AS$1005,1,MATCH(COLUMNS($AC$1006:AP1006),$AC$1006:$AS$1006,0))&gt;=100000), " ",IF(INDEX($AC$2:$AS$1001,MATCH(ROWS($V$2:V436),$V$2:$V$1001,0),MATCH(COLUMNS($AC$1006:AP1006),$AC$1006:$AS$1006,0)), HYPERLINK("#",""), HYPERLINK(CONCATENATE("#metadata!", ADDRESS(INDEX($X$2:$X$1001,MATCH(ROWS($V$2:V436),$V$2:$V$1001,0),0), INDEX($AC$1004:$AS$1004,1,MATCH(COLUMNS($AC$1006:AP1006),$AC$1006:$AS$1006,0)))),"Fix")))</f>
        <v xml:space="preserve"> </v>
      </c>
      <c r="P436" s="4" t="str">
        <f ca="1">IF(OR(INDEX($W$2:$W$1001,MATCH(ROWS($V$2:V436),$V$2:$V$1001,0),1)&gt;=100000,INDEX($AC$1005:$AS$1005,1,MATCH(COLUMNS($AC$1006:AQ1006),$AC$1006:$AS$1006,0))&gt;=100000), " ",IF(INDEX($AC$2:$AS$1001,MATCH(ROWS($V$2:V436),$V$2:$V$1001,0),MATCH(COLUMNS($AC$1006:AQ1006),$AC$1006:$AS$1006,0)), HYPERLINK("#",""), HYPERLINK(CONCATENATE("#metadata!", ADDRESS(INDEX($X$2:$X$1001,MATCH(ROWS($V$2:V436),$V$2:$V$1001,0),0), INDEX($AC$1004:$AS$1004,1,MATCH(COLUMNS($AC$1006:AQ1006),$AC$1006:$AS$1006,0)))),"Fix")))</f>
        <v xml:space="preserve"> </v>
      </c>
      <c r="Q436" s="4" t="str">
        <f ca="1">IF(OR(INDEX($W$2:$W$1001,MATCH(ROWS($V$2:V436),$V$2:$V$1001,0),1)&gt;=100000,INDEX($AC$1005:$AS$1005,1,MATCH(COLUMNS($AC$1006:AR1006),$AC$1006:$AS$1006,0))&gt;=100000), " ",IF(INDEX($AC$2:$AS$1001,MATCH(ROWS($V$2:V436),$V$2:$V$1001,0),MATCH(COLUMNS($AC$1006:AR1006),$AC$1006:$AS$1006,0)), HYPERLINK("#",""), HYPERLINK(CONCATENATE("#metadata!", ADDRESS(INDEX($X$2:$X$1001,MATCH(ROWS($V$2:V436),$V$2:$V$1001,0),0), INDEX($AC$1004:$AS$1004,1,MATCH(COLUMNS($AC$1006:AR1006),$AC$1006:$AS$1006,0)))),"Fix")))</f>
        <v xml:space="preserve"> </v>
      </c>
      <c r="R436" s="4" t="str">
        <f ca="1">IF(OR(INDEX($W$2:$W$1001,MATCH(ROWS($V$2:V436),$V$2:$V$1001,0),1)&gt;=100000,INDEX($AC$1005:$AS$1005,1,MATCH(COLUMNS($AC$1006:AS1006),$AC$1006:$AS$1006,0))&gt;=100000), " ",IF(INDEX($AC$2:$AS$1001,MATCH(ROWS($V$2:V436),$V$2:$V$1001,0),MATCH(COLUMNS($AC$1006:AS1006),$AC$1006:$AS$1006,0)), HYPERLINK("#",""), HYPERLINK(CONCATENATE("#metadata!", ADDRESS(INDEX($X$2:$X$1001,MATCH(ROWS($V$2:V436),$V$2:$V$1001,0),0), INDEX($AC$1004:$AS$1004,1,MATCH(COLUMNS($AC$1006:AS1006),$AC$1006:$AS$1006,0)))),"Fix")))</f>
        <v xml:space="preserve"> </v>
      </c>
      <c r="V436">
        <v>435</v>
      </c>
      <c r="W436">
        <v>100436</v>
      </c>
      <c r="X436">
        <v>436</v>
      </c>
      <c r="Y436" t="b">
        <f t="shared" si="6"/>
        <v>1</v>
      </c>
      <c r="Z436" t="b">
        <f>COUNTBLANK(metadata!B436:R436)=COLUMNS(metadata!B436:R436)</f>
        <v>1</v>
      </c>
      <c r="AA436" t="str">
        <v/>
      </c>
      <c r="AC436" t="b">
        <f ca="1"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AD436" t="b">
        <f>IF(metadata!C436="",FALSE,ISNUMBER(VALUE(metadata!C436)))</f>
        <v>0</v>
      </c>
      <c r="AE436" t="b">
        <f>AND(IF(metadata!D436="",FALSE,TRUE),EXACT(metadata!D436,"years"))</f>
        <v>0</v>
      </c>
      <c r="AF436" t="b">
        <f>OR(AND(IF(metadata!E436="",FALSE,TRUE),OR(EXACT(metadata!E436,"not applicable"),EXACT(metadata!E436,"missing: not collected"),EXACT(metadata!E436,"missing: not provided"),EXACT(metadata!E436,"missing: restricted access"))),AND(IF(metadata!E436="",FALSE,ISNUMBER(VALUE(metadata!E436))),metadata!E436&gt;0))</f>
        <v>0</v>
      </c>
      <c r="AG436" t="b">
        <f>AND(IF(metadata!F436="",FALSE,TRUE),EXACT(metadata!F436,"Not applicable"))</f>
        <v>0</v>
      </c>
      <c r="AH436" t="b">
        <f>AND(IF(metadata!G436="",FALSE,TRUE),EXACT(metadata!G436,"urban biome"))</f>
        <v>0</v>
      </c>
      <c r="AI436" t="b">
        <f>AND(IF(metadata!H436="",FALSE,TRUE),EXACT(metadata!H436,"human-associated habitat"))</f>
        <v>0</v>
      </c>
      <c r="AJ436" t="b">
        <f>AND(IF(metadata!I436="",FALSE,TRUE),OR(EXACT(metadata!I436,"human-associated"),EXACT(metadata!I436,"human-skin"),EXACT(metadata!I436,"human-oral"),EXACT(metadata!I436,"human-gut"),EXACT(metadata!I436,"human-vaginal")))</f>
        <v>0</v>
      </c>
      <c r="AK436" t="b">
        <f>IF(metadata!J436="",FALSE,ISNUMBER(VALUE(metadata!J436)))</f>
        <v>0</v>
      </c>
      <c r="AL436" t="b">
        <f>AND(IF(metadata!K436="",FALSE,TRUE),EXACT(metadata!K436,"cm"))</f>
        <v>0</v>
      </c>
      <c r="AM436" t="b">
        <f>AND(IF(metadata!L436="",FALSE,TRUE),EXACT(metadata!L436,"human"))</f>
        <v>0</v>
      </c>
      <c r="AN436" t="b">
        <f>AND(IF(metadata!M436="",FALSE,TRUE),EXACT(metadata!M436,"Homo sapiens"))</f>
        <v>0</v>
      </c>
      <c r="AO436" t="b">
        <f>AND(IF(metadata!N436="",FALSE,TRUE),EXACT(metadata!N436,"9606"))</f>
        <v>0</v>
      </c>
      <c r="AP436" t="b">
        <f>IF(metadata!O436="",FALSE,TRUE)</f>
        <v>0</v>
      </c>
      <c r="AQ436" t="b">
        <f>IF(metadata!P436="",FALSE,TRUE)</f>
        <v>0</v>
      </c>
      <c r="AR436" t="b">
        <f>IF(metadata!Q436="",FALSE,ISNUMBER(VALUE(metadata!Q436)))</f>
        <v>0</v>
      </c>
      <c r="AS436" t="b">
        <f>AND(IF(metadata!R436="",FALSE,TRUE),EXACT(metadata!R436,"kg"))</f>
        <v>0</v>
      </c>
    </row>
    <row r="437" spans="1:45" x14ac:dyDescent="0.2">
      <c r="A437" s="5" t="str">
        <f ca="1">IF(B437=" "," ",HYPERLINK(CONCATENATE("#metadata!",ADDRESS(INDEX($X$2:$X$1001,MATCH(ROWS($V$2:V437),$V$2:$V$1001,0),0),1)),INDEX($AA$2:$AA$1001,MATCH(ROWS($V$2:V437),$V$2:$V$1001,0),0)))</f>
        <v xml:space="preserve"> </v>
      </c>
      <c r="B437" s="4" t="str">
        <f ca="1">IF(OR(INDEX($W$2:$W$1001,MATCH(ROWS($V$2:V437),$V$2:$V$1001,0),1)&gt;=100000,INDEX($AC$1005:$AS$1005,1,MATCH(COLUMNS($AC$1006:AC1006),$AC$1006:$AS$1006,0))&gt;=100000), " ",IF(INDEX($AC$2:$AS$1001,MATCH(ROWS($V$2:V437),$V$2:$V$1001,0),MATCH(COLUMNS($AC$1006:AC1006),$AC$1006:$AS$1006,0)), HYPERLINK("#",""), HYPERLINK(CONCATENATE("#metadata!", ADDRESS(INDEX($X$2:$X$1001,MATCH(ROWS($V$2:V437),$V$2:$V$1001,0),0), INDEX($AC$1004:$AS$1004,1,MATCH(COLUMNS($AC$1006:AC1006),$AC$1006:$AS$1006,0)))),"Fix")))</f>
        <v xml:space="preserve"> </v>
      </c>
      <c r="C437" s="4" t="str">
        <f ca="1">IF(OR(INDEX($W$2:$W$1001,MATCH(ROWS($V$2:V437),$V$2:$V$1001,0),1)&gt;=100000,INDEX($AC$1005:$AS$1005,1,MATCH(COLUMNS($AC$1006:AD1006),$AC$1006:$AS$1006,0))&gt;=100000), " ",IF(INDEX($AC$2:$AS$1001,MATCH(ROWS($V$2:V437),$V$2:$V$1001,0),MATCH(COLUMNS($AC$1006:AD1006),$AC$1006:$AS$1006,0)), HYPERLINK("#",""), HYPERLINK(CONCATENATE("#metadata!", ADDRESS(INDEX($X$2:$X$1001,MATCH(ROWS($V$2:V437),$V$2:$V$1001,0),0), INDEX($AC$1004:$AS$1004,1,MATCH(COLUMNS($AC$1006:AD1006),$AC$1006:$AS$1006,0)))),"Fix")))</f>
        <v xml:space="preserve"> </v>
      </c>
      <c r="D437" s="4" t="str">
        <f ca="1">IF(OR(INDEX($W$2:$W$1001,MATCH(ROWS($V$2:V437),$V$2:$V$1001,0),1)&gt;=100000,INDEX($AC$1005:$AS$1005,1,MATCH(COLUMNS($AC$1006:AE1006),$AC$1006:$AS$1006,0))&gt;=100000), " ",IF(INDEX($AC$2:$AS$1001,MATCH(ROWS($V$2:V437),$V$2:$V$1001,0),MATCH(COLUMNS($AC$1006:AE1006),$AC$1006:$AS$1006,0)), HYPERLINK("#",""), HYPERLINK(CONCATENATE("#metadata!", ADDRESS(INDEX($X$2:$X$1001,MATCH(ROWS($V$2:V437),$V$2:$V$1001,0),0), INDEX($AC$1004:$AS$1004,1,MATCH(COLUMNS($AC$1006:AE1006),$AC$1006:$AS$1006,0)))),"Fix")))</f>
        <v xml:space="preserve"> </v>
      </c>
      <c r="E437" s="4" t="str">
        <f ca="1">IF(OR(INDEX($W$2:$W$1001,MATCH(ROWS($V$2:V437),$V$2:$V$1001,0),1)&gt;=100000,INDEX($AC$1005:$AS$1005,1,MATCH(COLUMNS($AC$1006:AF1006),$AC$1006:$AS$1006,0))&gt;=100000), " ",IF(INDEX($AC$2:$AS$1001,MATCH(ROWS($V$2:V437),$V$2:$V$1001,0),MATCH(COLUMNS($AC$1006:AF1006),$AC$1006:$AS$1006,0)), HYPERLINK("#",""), HYPERLINK(CONCATENATE("#metadata!", ADDRESS(INDEX($X$2:$X$1001,MATCH(ROWS($V$2:V437),$V$2:$V$1001,0),0), INDEX($AC$1004:$AS$1004,1,MATCH(COLUMNS($AC$1006:AF1006),$AC$1006:$AS$1006,0)))),"Fix")))</f>
        <v xml:space="preserve"> </v>
      </c>
      <c r="F437" s="4" t="str">
        <f ca="1">IF(OR(INDEX($W$2:$W$1001,MATCH(ROWS($V$2:V437),$V$2:$V$1001,0),1)&gt;=100000,INDEX($AC$1005:$AS$1005,1,MATCH(COLUMNS($AC$1006:AG1006),$AC$1006:$AS$1006,0))&gt;=100000), " ",IF(INDEX($AC$2:$AS$1001,MATCH(ROWS($V$2:V437),$V$2:$V$1001,0),MATCH(COLUMNS($AC$1006:AG1006),$AC$1006:$AS$1006,0)), HYPERLINK("#",""), HYPERLINK(CONCATENATE("#metadata!", ADDRESS(INDEX($X$2:$X$1001,MATCH(ROWS($V$2:V437),$V$2:$V$1001,0),0), INDEX($AC$1004:$AS$1004,1,MATCH(COLUMNS($AC$1006:AG1006),$AC$1006:$AS$1006,0)))),"Fix")))</f>
        <v xml:space="preserve"> </v>
      </c>
      <c r="G437" s="4" t="str">
        <f ca="1">IF(OR(INDEX($W$2:$W$1001,MATCH(ROWS($V$2:V437),$V$2:$V$1001,0),1)&gt;=100000,INDEX($AC$1005:$AS$1005,1,MATCH(COLUMNS($AC$1006:AH1006),$AC$1006:$AS$1006,0))&gt;=100000), " ",IF(INDEX($AC$2:$AS$1001,MATCH(ROWS($V$2:V437),$V$2:$V$1001,0),MATCH(COLUMNS($AC$1006:AH1006),$AC$1006:$AS$1006,0)), HYPERLINK("#",""), HYPERLINK(CONCATENATE("#metadata!", ADDRESS(INDEX($X$2:$X$1001,MATCH(ROWS($V$2:V437),$V$2:$V$1001,0),0), INDEX($AC$1004:$AS$1004,1,MATCH(COLUMNS($AC$1006:AH1006),$AC$1006:$AS$1006,0)))),"Fix")))</f>
        <v xml:space="preserve"> </v>
      </c>
      <c r="H437" s="4" t="str">
        <f ca="1">IF(OR(INDEX($W$2:$W$1001,MATCH(ROWS($V$2:V437),$V$2:$V$1001,0),1)&gt;=100000,INDEX($AC$1005:$AS$1005,1,MATCH(COLUMNS($AC$1006:AI1006),$AC$1006:$AS$1006,0))&gt;=100000), " ",IF(INDEX($AC$2:$AS$1001,MATCH(ROWS($V$2:V437),$V$2:$V$1001,0),MATCH(COLUMNS($AC$1006:AI1006),$AC$1006:$AS$1006,0)), HYPERLINK("#",""), HYPERLINK(CONCATENATE("#metadata!", ADDRESS(INDEX($X$2:$X$1001,MATCH(ROWS($V$2:V437),$V$2:$V$1001,0),0), INDEX($AC$1004:$AS$1004,1,MATCH(COLUMNS($AC$1006:AI1006),$AC$1006:$AS$1006,0)))),"Fix")))</f>
        <v xml:space="preserve"> </v>
      </c>
      <c r="I437" s="4" t="str">
        <f ca="1">IF(OR(INDEX($W$2:$W$1001,MATCH(ROWS($V$2:V437),$V$2:$V$1001,0),1)&gt;=100000,INDEX($AC$1005:$AS$1005,1,MATCH(COLUMNS($AC$1006:AJ1006),$AC$1006:$AS$1006,0))&gt;=100000), " ",IF(INDEX($AC$2:$AS$1001,MATCH(ROWS($V$2:V437),$V$2:$V$1001,0),MATCH(COLUMNS($AC$1006:AJ1006),$AC$1006:$AS$1006,0)), HYPERLINK("#",""), HYPERLINK(CONCATENATE("#metadata!", ADDRESS(INDEX($X$2:$X$1001,MATCH(ROWS($V$2:V437),$V$2:$V$1001,0),0), INDEX($AC$1004:$AS$1004,1,MATCH(COLUMNS($AC$1006:AJ1006),$AC$1006:$AS$1006,0)))),"Fix")))</f>
        <v xml:space="preserve"> </v>
      </c>
      <c r="J437" s="4" t="str">
        <f ca="1">IF(OR(INDEX($W$2:$W$1001,MATCH(ROWS($V$2:V437),$V$2:$V$1001,0),1)&gt;=100000,INDEX($AC$1005:$AS$1005,1,MATCH(COLUMNS($AC$1006:AK1006),$AC$1006:$AS$1006,0))&gt;=100000), " ",IF(INDEX($AC$2:$AS$1001,MATCH(ROWS($V$2:V437),$V$2:$V$1001,0),MATCH(COLUMNS($AC$1006:AK1006),$AC$1006:$AS$1006,0)), HYPERLINK("#",""), HYPERLINK(CONCATENATE("#metadata!", ADDRESS(INDEX($X$2:$X$1001,MATCH(ROWS($V$2:V437),$V$2:$V$1001,0),0), INDEX($AC$1004:$AS$1004,1,MATCH(COLUMNS($AC$1006:AK1006),$AC$1006:$AS$1006,0)))),"Fix")))</f>
        <v xml:space="preserve"> </v>
      </c>
      <c r="K437" s="4" t="str">
        <f ca="1">IF(OR(INDEX($W$2:$W$1001,MATCH(ROWS($V$2:V437),$V$2:$V$1001,0),1)&gt;=100000,INDEX($AC$1005:$AS$1005,1,MATCH(COLUMNS($AC$1006:AL1006),$AC$1006:$AS$1006,0))&gt;=100000), " ",IF(INDEX($AC$2:$AS$1001,MATCH(ROWS($V$2:V437),$V$2:$V$1001,0),MATCH(COLUMNS($AC$1006:AL1006),$AC$1006:$AS$1006,0)), HYPERLINK("#",""), HYPERLINK(CONCATENATE("#metadata!", ADDRESS(INDEX($X$2:$X$1001,MATCH(ROWS($V$2:V437),$V$2:$V$1001,0),0), INDEX($AC$1004:$AS$1004,1,MATCH(COLUMNS($AC$1006:AL1006),$AC$1006:$AS$1006,0)))),"Fix")))</f>
        <v xml:space="preserve"> </v>
      </c>
      <c r="L437" s="4" t="str">
        <f ca="1">IF(OR(INDEX($W$2:$W$1001,MATCH(ROWS($V$2:V437),$V$2:$V$1001,0),1)&gt;=100000,INDEX($AC$1005:$AS$1005,1,MATCH(COLUMNS($AC$1006:AM1006),$AC$1006:$AS$1006,0))&gt;=100000), " ",IF(INDEX($AC$2:$AS$1001,MATCH(ROWS($V$2:V437),$V$2:$V$1001,0),MATCH(COLUMNS($AC$1006:AM1006),$AC$1006:$AS$1006,0)), HYPERLINK("#",""), HYPERLINK(CONCATENATE("#metadata!", ADDRESS(INDEX($X$2:$X$1001,MATCH(ROWS($V$2:V437),$V$2:$V$1001,0),0), INDEX($AC$1004:$AS$1004,1,MATCH(COLUMNS($AC$1006:AM1006),$AC$1006:$AS$1006,0)))),"Fix")))</f>
        <v xml:space="preserve"> </v>
      </c>
      <c r="M437" s="4" t="str">
        <f ca="1">IF(OR(INDEX($W$2:$W$1001,MATCH(ROWS($V$2:V437),$V$2:$V$1001,0),1)&gt;=100000,INDEX($AC$1005:$AS$1005,1,MATCH(COLUMNS($AC$1006:AN1006),$AC$1006:$AS$1006,0))&gt;=100000), " ",IF(INDEX($AC$2:$AS$1001,MATCH(ROWS($V$2:V437),$V$2:$V$1001,0),MATCH(COLUMNS($AC$1006:AN1006),$AC$1006:$AS$1006,0)), HYPERLINK("#",""), HYPERLINK(CONCATENATE("#metadata!", ADDRESS(INDEX($X$2:$X$1001,MATCH(ROWS($V$2:V437),$V$2:$V$1001,0),0), INDEX($AC$1004:$AS$1004,1,MATCH(COLUMNS($AC$1006:AN1006),$AC$1006:$AS$1006,0)))),"Fix")))</f>
        <v xml:space="preserve"> </v>
      </c>
      <c r="N437" s="4" t="str">
        <f ca="1">IF(OR(INDEX($W$2:$W$1001,MATCH(ROWS($V$2:V437),$V$2:$V$1001,0),1)&gt;=100000,INDEX($AC$1005:$AS$1005,1,MATCH(COLUMNS($AC$1006:AO1006),$AC$1006:$AS$1006,0))&gt;=100000), " ",IF(INDEX($AC$2:$AS$1001,MATCH(ROWS($V$2:V437),$V$2:$V$1001,0),MATCH(COLUMNS($AC$1006:AO1006),$AC$1006:$AS$1006,0)), HYPERLINK("#",""), HYPERLINK(CONCATENATE("#metadata!", ADDRESS(INDEX($X$2:$X$1001,MATCH(ROWS($V$2:V437),$V$2:$V$1001,0),0), INDEX($AC$1004:$AS$1004,1,MATCH(COLUMNS($AC$1006:AO1006),$AC$1006:$AS$1006,0)))),"Fix")))</f>
        <v xml:space="preserve"> </v>
      </c>
      <c r="O437" s="4" t="str">
        <f ca="1">IF(OR(INDEX($W$2:$W$1001,MATCH(ROWS($V$2:V437),$V$2:$V$1001,0),1)&gt;=100000,INDEX($AC$1005:$AS$1005,1,MATCH(COLUMNS($AC$1006:AP1006),$AC$1006:$AS$1006,0))&gt;=100000), " ",IF(INDEX($AC$2:$AS$1001,MATCH(ROWS($V$2:V437),$V$2:$V$1001,0),MATCH(COLUMNS($AC$1006:AP1006),$AC$1006:$AS$1006,0)), HYPERLINK("#",""), HYPERLINK(CONCATENATE("#metadata!", ADDRESS(INDEX($X$2:$X$1001,MATCH(ROWS($V$2:V437),$V$2:$V$1001,0),0), INDEX($AC$1004:$AS$1004,1,MATCH(COLUMNS($AC$1006:AP1006),$AC$1006:$AS$1006,0)))),"Fix")))</f>
        <v xml:space="preserve"> </v>
      </c>
      <c r="P437" s="4" t="str">
        <f ca="1">IF(OR(INDEX($W$2:$W$1001,MATCH(ROWS($V$2:V437),$V$2:$V$1001,0),1)&gt;=100000,INDEX($AC$1005:$AS$1005,1,MATCH(COLUMNS($AC$1006:AQ1006),$AC$1006:$AS$1006,0))&gt;=100000), " ",IF(INDEX($AC$2:$AS$1001,MATCH(ROWS($V$2:V437),$V$2:$V$1001,0),MATCH(COLUMNS($AC$1006:AQ1006),$AC$1006:$AS$1006,0)), HYPERLINK("#",""), HYPERLINK(CONCATENATE("#metadata!", ADDRESS(INDEX($X$2:$X$1001,MATCH(ROWS($V$2:V437),$V$2:$V$1001,0),0), INDEX($AC$1004:$AS$1004,1,MATCH(COLUMNS($AC$1006:AQ1006),$AC$1006:$AS$1006,0)))),"Fix")))</f>
        <v xml:space="preserve"> </v>
      </c>
      <c r="Q437" s="4" t="str">
        <f ca="1">IF(OR(INDEX($W$2:$W$1001,MATCH(ROWS($V$2:V437),$V$2:$V$1001,0),1)&gt;=100000,INDEX($AC$1005:$AS$1005,1,MATCH(COLUMNS($AC$1006:AR1006),$AC$1006:$AS$1006,0))&gt;=100000), " ",IF(INDEX($AC$2:$AS$1001,MATCH(ROWS($V$2:V437),$V$2:$V$1001,0),MATCH(COLUMNS($AC$1006:AR1006),$AC$1006:$AS$1006,0)), HYPERLINK("#",""), HYPERLINK(CONCATENATE("#metadata!", ADDRESS(INDEX($X$2:$X$1001,MATCH(ROWS($V$2:V437),$V$2:$V$1001,0),0), INDEX($AC$1004:$AS$1004,1,MATCH(COLUMNS($AC$1006:AR1006),$AC$1006:$AS$1006,0)))),"Fix")))</f>
        <v xml:space="preserve"> </v>
      </c>
      <c r="R437" s="4" t="str">
        <f ca="1">IF(OR(INDEX($W$2:$W$1001,MATCH(ROWS($V$2:V437),$V$2:$V$1001,0),1)&gt;=100000,INDEX($AC$1005:$AS$1005,1,MATCH(COLUMNS($AC$1006:AS1006),$AC$1006:$AS$1006,0))&gt;=100000), " ",IF(INDEX($AC$2:$AS$1001,MATCH(ROWS($V$2:V437),$V$2:$V$1001,0),MATCH(COLUMNS($AC$1006:AS1006),$AC$1006:$AS$1006,0)), HYPERLINK("#",""), HYPERLINK(CONCATENATE("#metadata!", ADDRESS(INDEX($X$2:$X$1001,MATCH(ROWS($V$2:V437),$V$2:$V$1001,0),0), INDEX($AC$1004:$AS$1004,1,MATCH(COLUMNS($AC$1006:AS1006),$AC$1006:$AS$1006,0)))),"Fix")))</f>
        <v xml:space="preserve"> </v>
      </c>
      <c r="V437">
        <v>436</v>
      </c>
      <c r="W437">
        <v>100437</v>
      </c>
      <c r="X437">
        <v>437</v>
      </c>
      <c r="Y437" t="b">
        <f t="shared" si="6"/>
        <v>1</v>
      </c>
      <c r="Z437" t="b">
        <f>COUNTBLANK(metadata!B437:R437)=COLUMNS(metadata!B437:R437)</f>
        <v>1</v>
      </c>
      <c r="AA437" t="str">
        <v/>
      </c>
      <c r="AC437" t="b">
        <f ca="1"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AD437" t="b">
        <f>IF(metadata!C437="",FALSE,ISNUMBER(VALUE(metadata!C437)))</f>
        <v>0</v>
      </c>
      <c r="AE437" t="b">
        <f>AND(IF(metadata!D437="",FALSE,TRUE),EXACT(metadata!D437,"years"))</f>
        <v>0</v>
      </c>
      <c r="AF437" t="b">
        <f>OR(AND(IF(metadata!E437="",FALSE,TRUE),OR(EXACT(metadata!E437,"not applicable"),EXACT(metadata!E437,"missing: not collected"),EXACT(metadata!E437,"missing: not provided"),EXACT(metadata!E437,"missing: restricted access"))),AND(IF(metadata!E437="",FALSE,ISNUMBER(VALUE(metadata!E437))),metadata!E437&gt;0))</f>
        <v>0</v>
      </c>
      <c r="AG437" t="b">
        <f>AND(IF(metadata!F437="",FALSE,TRUE),EXACT(metadata!F437,"Not applicable"))</f>
        <v>0</v>
      </c>
      <c r="AH437" t="b">
        <f>AND(IF(metadata!G437="",FALSE,TRUE),EXACT(metadata!G437,"urban biome"))</f>
        <v>0</v>
      </c>
      <c r="AI437" t="b">
        <f>AND(IF(metadata!H437="",FALSE,TRUE),EXACT(metadata!H437,"human-associated habitat"))</f>
        <v>0</v>
      </c>
      <c r="AJ437" t="b">
        <f>AND(IF(metadata!I437="",FALSE,TRUE),OR(EXACT(metadata!I437,"human-associated"),EXACT(metadata!I437,"human-skin"),EXACT(metadata!I437,"human-oral"),EXACT(metadata!I437,"human-gut"),EXACT(metadata!I437,"human-vaginal")))</f>
        <v>0</v>
      </c>
      <c r="AK437" t="b">
        <f>IF(metadata!J437="",FALSE,ISNUMBER(VALUE(metadata!J437)))</f>
        <v>0</v>
      </c>
      <c r="AL437" t="b">
        <f>AND(IF(metadata!K437="",FALSE,TRUE),EXACT(metadata!K437,"cm"))</f>
        <v>0</v>
      </c>
      <c r="AM437" t="b">
        <f>AND(IF(metadata!L437="",FALSE,TRUE),EXACT(metadata!L437,"human"))</f>
        <v>0</v>
      </c>
      <c r="AN437" t="b">
        <f>AND(IF(metadata!M437="",FALSE,TRUE),EXACT(metadata!M437,"Homo sapiens"))</f>
        <v>0</v>
      </c>
      <c r="AO437" t="b">
        <f>AND(IF(metadata!N437="",FALSE,TRUE),EXACT(metadata!N437,"9606"))</f>
        <v>0</v>
      </c>
      <c r="AP437" t="b">
        <f>IF(metadata!O437="",FALSE,TRUE)</f>
        <v>0</v>
      </c>
      <c r="AQ437" t="b">
        <f>IF(metadata!P437="",FALSE,TRUE)</f>
        <v>0</v>
      </c>
      <c r="AR437" t="b">
        <f>IF(metadata!Q437="",FALSE,ISNUMBER(VALUE(metadata!Q437)))</f>
        <v>0</v>
      </c>
      <c r="AS437" t="b">
        <f>AND(IF(metadata!R437="",FALSE,TRUE),EXACT(metadata!R437,"kg"))</f>
        <v>0</v>
      </c>
    </row>
    <row r="438" spans="1:45" x14ac:dyDescent="0.2">
      <c r="A438" s="5" t="str">
        <f ca="1">IF(B438=" "," ",HYPERLINK(CONCATENATE("#metadata!",ADDRESS(INDEX($X$2:$X$1001,MATCH(ROWS($V$2:V438),$V$2:$V$1001,0),0),1)),INDEX($AA$2:$AA$1001,MATCH(ROWS($V$2:V438),$V$2:$V$1001,0),0)))</f>
        <v xml:space="preserve"> </v>
      </c>
      <c r="B438" s="4" t="str">
        <f ca="1">IF(OR(INDEX($W$2:$W$1001,MATCH(ROWS($V$2:V438),$V$2:$V$1001,0),1)&gt;=100000,INDEX($AC$1005:$AS$1005,1,MATCH(COLUMNS($AC$1006:AC1006),$AC$1006:$AS$1006,0))&gt;=100000), " ",IF(INDEX($AC$2:$AS$1001,MATCH(ROWS($V$2:V438),$V$2:$V$1001,0),MATCH(COLUMNS($AC$1006:AC1006),$AC$1006:$AS$1006,0)), HYPERLINK("#",""), HYPERLINK(CONCATENATE("#metadata!", ADDRESS(INDEX($X$2:$X$1001,MATCH(ROWS($V$2:V438),$V$2:$V$1001,0),0), INDEX($AC$1004:$AS$1004,1,MATCH(COLUMNS($AC$1006:AC1006),$AC$1006:$AS$1006,0)))),"Fix")))</f>
        <v xml:space="preserve"> </v>
      </c>
      <c r="C438" s="4" t="str">
        <f ca="1">IF(OR(INDEX($W$2:$W$1001,MATCH(ROWS($V$2:V438),$V$2:$V$1001,0),1)&gt;=100000,INDEX($AC$1005:$AS$1005,1,MATCH(COLUMNS($AC$1006:AD1006),$AC$1006:$AS$1006,0))&gt;=100000), " ",IF(INDEX($AC$2:$AS$1001,MATCH(ROWS($V$2:V438),$V$2:$V$1001,0),MATCH(COLUMNS($AC$1006:AD1006),$AC$1006:$AS$1006,0)), HYPERLINK("#",""), HYPERLINK(CONCATENATE("#metadata!", ADDRESS(INDEX($X$2:$X$1001,MATCH(ROWS($V$2:V438),$V$2:$V$1001,0),0), INDEX($AC$1004:$AS$1004,1,MATCH(COLUMNS($AC$1006:AD1006),$AC$1006:$AS$1006,0)))),"Fix")))</f>
        <v xml:space="preserve"> </v>
      </c>
      <c r="D438" s="4" t="str">
        <f ca="1">IF(OR(INDEX($W$2:$W$1001,MATCH(ROWS($V$2:V438),$V$2:$V$1001,0),1)&gt;=100000,INDEX($AC$1005:$AS$1005,1,MATCH(COLUMNS($AC$1006:AE1006),$AC$1006:$AS$1006,0))&gt;=100000), " ",IF(INDEX($AC$2:$AS$1001,MATCH(ROWS($V$2:V438),$V$2:$V$1001,0),MATCH(COLUMNS($AC$1006:AE1006),$AC$1006:$AS$1006,0)), HYPERLINK("#",""), HYPERLINK(CONCATENATE("#metadata!", ADDRESS(INDEX($X$2:$X$1001,MATCH(ROWS($V$2:V438),$V$2:$V$1001,0),0), INDEX($AC$1004:$AS$1004,1,MATCH(COLUMNS($AC$1006:AE1006),$AC$1006:$AS$1006,0)))),"Fix")))</f>
        <v xml:space="preserve"> </v>
      </c>
      <c r="E438" s="4" t="str">
        <f ca="1">IF(OR(INDEX($W$2:$W$1001,MATCH(ROWS($V$2:V438),$V$2:$V$1001,0),1)&gt;=100000,INDEX($AC$1005:$AS$1005,1,MATCH(COLUMNS($AC$1006:AF1006),$AC$1006:$AS$1006,0))&gt;=100000), " ",IF(INDEX($AC$2:$AS$1001,MATCH(ROWS($V$2:V438),$V$2:$V$1001,0),MATCH(COLUMNS($AC$1006:AF1006),$AC$1006:$AS$1006,0)), HYPERLINK("#",""), HYPERLINK(CONCATENATE("#metadata!", ADDRESS(INDEX($X$2:$X$1001,MATCH(ROWS($V$2:V438),$V$2:$V$1001,0),0), INDEX($AC$1004:$AS$1004,1,MATCH(COLUMNS($AC$1006:AF1006),$AC$1006:$AS$1006,0)))),"Fix")))</f>
        <v xml:space="preserve"> </v>
      </c>
      <c r="F438" s="4" t="str">
        <f ca="1">IF(OR(INDEX($W$2:$W$1001,MATCH(ROWS($V$2:V438),$V$2:$V$1001,0),1)&gt;=100000,INDEX($AC$1005:$AS$1005,1,MATCH(COLUMNS($AC$1006:AG1006),$AC$1006:$AS$1006,0))&gt;=100000), " ",IF(INDEX($AC$2:$AS$1001,MATCH(ROWS($V$2:V438),$V$2:$V$1001,0),MATCH(COLUMNS($AC$1006:AG1006),$AC$1006:$AS$1006,0)), HYPERLINK("#",""), HYPERLINK(CONCATENATE("#metadata!", ADDRESS(INDEX($X$2:$X$1001,MATCH(ROWS($V$2:V438),$V$2:$V$1001,0),0), INDEX($AC$1004:$AS$1004,1,MATCH(COLUMNS($AC$1006:AG1006),$AC$1006:$AS$1006,0)))),"Fix")))</f>
        <v xml:space="preserve"> </v>
      </c>
      <c r="G438" s="4" t="str">
        <f ca="1">IF(OR(INDEX($W$2:$W$1001,MATCH(ROWS($V$2:V438),$V$2:$V$1001,0),1)&gt;=100000,INDEX($AC$1005:$AS$1005,1,MATCH(COLUMNS($AC$1006:AH1006),$AC$1006:$AS$1006,0))&gt;=100000), " ",IF(INDEX($AC$2:$AS$1001,MATCH(ROWS($V$2:V438),$V$2:$V$1001,0),MATCH(COLUMNS($AC$1006:AH1006),$AC$1006:$AS$1006,0)), HYPERLINK("#",""), HYPERLINK(CONCATENATE("#metadata!", ADDRESS(INDEX($X$2:$X$1001,MATCH(ROWS($V$2:V438),$V$2:$V$1001,0),0), INDEX($AC$1004:$AS$1004,1,MATCH(COLUMNS($AC$1006:AH1006),$AC$1006:$AS$1006,0)))),"Fix")))</f>
        <v xml:space="preserve"> </v>
      </c>
      <c r="H438" s="4" t="str">
        <f ca="1">IF(OR(INDEX($W$2:$W$1001,MATCH(ROWS($V$2:V438),$V$2:$V$1001,0),1)&gt;=100000,INDEX($AC$1005:$AS$1005,1,MATCH(COLUMNS($AC$1006:AI1006),$AC$1006:$AS$1006,0))&gt;=100000), " ",IF(INDEX($AC$2:$AS$1001,MATCH(ROWS($V$2:V438),$V$2:$V$1001,0),MATCH(COLUMNS($AC$1006:AI1006),$AC$1006:$AS$1006,0)), HYPERLINK("#",""), HYPERLINK(CONCATENATE("#metadata!", ADDRESS(INDEX($X$2:$X$1001,MATCH(ROWS($V$2:V438),$V$2:$V$1001,0),0), INDEX($AC$1004:$AS$1004,1,MATCH(COLUMNS($AC$1006:AI1006),$AC$1006:$AS$1006,0)))),"Fix")))</f>
        <v xml:space="preserve"> </v>
      </c>
      <c r="I438" s="4" t="str">
        <f ca="1">IF(OR(INDEX($W$2:$W$1001,MATCH(ROWS($V$2:V438),$V$2:$V$1001,0),1)&gt;=100000,INDEX($AC$1005:$AS$1005,1,MATCH(COLUMNS($AC$1006:AJ1006),$AC$1006:$AS$1006,0))&gt;=100000), " ",IF(INDEX($AC$2:$AS$1001,MATCH(ROWS($V$2:V438),$V$2:$V$1001,0),MATCH(COLUMNS($AC$1006:AJ1006),$AC$1006:$AS$1006,0)), HYPERLINK("#",""), HYPERLINK(CONCATENATE("#metadata!", ADDRESS(INDEX($X$2:$X$1001,MATCH(ROWS($V$2:V438),$V$2:$V$1001,0),0), INDEX($AC$1004:$AS$1004,1,MATCH(COLUMNS($AC$1006:AJ1006),$AC$1006:$AS$1006,0)))),"Fix")))</f>
        <v xml:space="preserve"> </v>
      </c>
      <c r="J438" s="4" t="str">
        <f ca="1">IF(OR(INDEX($W$2:$W$1001,MATCH(ROWS($V$2:V438),$V$2:$V$1001,0),1)&gt;=100000,INDEX($AC$1005:$AS$1005,1,MATCH(COLUMNS($AC$1006:AK1006),$AC$1006:$AS$1006,0))&gt;=100000), " ",IF(INDEX($AC$2:$AS$1001,MATCH(ROWS($V$2:V438),$V$2:$V$1001,0),MATCH(COLUMNS($AC$1006:AK1006),$AC$1006:$AS$1006,0)), HYPERLINK("#",""), HYPERLINK(CONCATENATE("#metadata!", ADDRESS(INDEX($X$2:$X$1001,MATCH(ROWS($V$2:V438),$V$2:$V$1001,0),0), INDEX($AC$1004:$AS$1004,1,MATCH(COLUMNS($AC$1006:AK1006),$AC$1006:$AS$1006,0)))),"Fix")))</f>
        <v xml:space="preserve"> </v>
      </c>
      <c r="K438" s="4" t="str">
        <f ca="1">IF(OR(INDEX($W$2:$W$1001,MATCH(ROWS($V$2:V438),$V$2:$V$1001,0),1)&gt;=100000,INDEX($AC$1005:$AS$1005,1,MATCH(COLUMNS($AC$1006:AL1006),$AC$1006:$AS$1006,0))&gt;=100000), " ",IF(INDEX($AC$2:$AS$1001,MATCH(ROWS($V$2:V438),$V$2:$V$1001,0),MATCH(COLUMNS($AC$1006:AL1006),$AC$1006:$AS$1006,0)), HYPERLINK("#",""), HYPERLINK(CONCATENATE("#metadata!", ADDRESS(INDEX($X$2:$X$1001,MATCH(ROWS($V$2:V438),$V$2:$V$1001,0),0), INDEX($AC$1004:$AS$1004,1,MATCH(COLUMNS($AC$1006:AL1006),$AC$1006:$AS$1006,0)))),"Fix")))</f>
        <v xml:space="preserve"> </v>
      </c>
      <c r="L438" s="4" t="str">
        <f ca="1">IF(OR(INDEX($W$2:$W$1001,MATCH(ROWS($V$2:V438),$V$2:$V$1001,0),1)&gt;=100000,INDEX($AC$1005:$AS$1005,1,MATCH(COLUMNS($AC$1006:AM1006),$AC$1006:$AS$1006,0))&gt;=100000), " ",IF(INDEX($AC$2:$AS$1001,MATCH(ROWS($V$2:V438),$V$2:$V$1001,0),MATCH(COLUMNS($AC$1006:AM1006),$AC$1006:$AS$1006,0)), HYPERLINK("#",""), HYPERLINK(CONCATENATE("#metadata!", ADDRESS(INDEX($X$2:$X$1001,MATCH(ROWS($V$2:V438),$V$2:$V$1001,0),0), INDEX($AC$1004:$AS$1004,1,MATCH(COLUMNS($AC$1006:AM1006),$AC$1006:$AS$1006,0)))),"Fix")))</f>
        <v xml:space="preserve"> </v>
      </c>
      <c r="M438" s="4" t="str">
        <f ca="1">IF(OR(INDEX($W$2:$W$1001,MATCH(ROWS($V$2:V438),$V$2:$V$1001,0),1)&gt;=100000,INDEX($AC$1005:$AS$1005,1,MATCH(COLUMNS($AC$1006:AN1006),$AC$1006:$AS$1006,0))&gt;=100000), " ",IF(INDEX($AC$2:$AS$1001,MATCH(ROWS($V$2:V438),$V$2:$V$1001,0),MATCH(COLUMNS($AC$1006:AN1006),$AC$1006:$AS$1006,0)), HYPERLINK("#",""), HYPERLINK(CONCATENATE("#metadata!", ADDRESS(INDEX($X$2:$X$1001,MATCH(ROWS($V$2:V438),$V$2:$V$1001,0),0), INDEX($AC$1004:$AS$1004,1,MATCH(COLUMNS($AC$1006:AN1006),$AC$1006:$AS$1006,0)))),"Fix")))</f>
        <v xml:space="preserve"> </v>
      </c>
      <c r="N438" s="4" t="str">
        <f ca="1">IF(OR(INDEX($W$2:$W$1001,MATCH(ROWS($V$2:V438),$V$2:$V$1001,0),1)&gt;=100000,INDEX($AC$1005:$AS$1005,1,MATCH(COLUMNS($AC$1006:AO1006),$AC$1006:$AS$1006,0))&gt;=100000), " ",IF(INDEX($AC$2:$AS$1001,MATCH(ROWS($V$2:V438),$V$2:$V$1001,0),MATCH(COLUMNS($AC$1006:AO1006),$AC$1006:$AS$1006,0)), HYPERLINK("#",""), HYPERLINK(CONCATENATE("#metadata!", ADDRESS(INDEX($X$2:$X$1001,MATCH(ROWS($V$2:V438),$V$2:$V$1001,0),0), INDEX($AC$1004:$AS$1004,1,MATCH(COLUMNS($AC$1006:AO1006),$AC$1006:$AS$1006,0)))),"Fix")))</f>
        <v xml:space="preserve"> </v>
      </c>
      <c r="O438" s="4" t="str">
        <f ca="1">IF(OR(INDEX($W$2:$W$1001,MATCH(ROWS($V$2:V438),$V$2:$V$1001,0),1)&gt;=100000,INDEX($AC$1005:$AS$1005,1,MATCH(COLUMNS($AC$1006:AP1006),$AC$1006:$AS$1006,0))&gt;=100000), " ",IF(INDEX($AC$2:$AS$1001,MATCH(ROWS($V$2:V438),$V$2:$V$1001,0),MATCH(COLUMNS($AC$1006:AP1006),$AC$1006:$AS$1006,0)), HYPERLINK("#",""), HYPERLINK(CONCATENATE("#metadata!", ADDRESS(INDEX($X$2:$X$1001,MATCH(ROWS($V$2:V438),$V$2:$V$1001,0),0), INDEX($AC$1004:$AS$1004,1,MATCH(COLUMNS($AC$1006:AP1006),$AC$1006:$AS$1006,0)))),"Fix")))</f>
        <v xml:space="preserve"> </v>
      </c>
      <c r="P438" s="4" t="str">
        <f ca="1">IF(OR(INDEX($W$2:$W$1001,MATCH(ROWS($V$2:V438),$V$2:$V$1001,0),1)&gt;=100000,INDEX($AC$1005:$AS$1005,1,MATCH(COLUMNS($AC$1006:AQ1006),$AC$1006:$AS$1006,0))&gt;=100000), " ",IF(INDEX($AC$2:$AS$1001,MATCH(ROWS($V$2:V438),$V$2:$V$1001,0),MATCH(COLUMNS($AC$1006:AQ1006),$AC$1006:$AS$1006,0)), HYPERLINK("#",""), HYPERLINK(CONCATENATE("#metadata!", ADDRESS(INDEX($X$2:$X$1001,MATCH(ROWS($V$2:V438),$V$2:$V$1001,0),0), INDEX($AC$1004:$AS$1004,1,MATCH(COLUMNS($AC$1006:AQ1006),$AC$1006:$AS$1006,0)))),"Fix")))</f>
        <v xml:space="preserve"> </v>
      </c>
      <c r="Q438" s="4" t="str">
        <f ca="1">IF(OR(INDEX($W$2:$W$1001,MATCH(ROWS($V$2:V438),$V$2:$V$1001,0),1)&gt;=100000,INDEX($AC$1005:$AS$1005,1,MATCH(COLUMNS($AC$1006:AR1006),$AC$1006:$AS$1006,0))&gt;=100000), " ",IF(INDEX($AC$2:$AS$1001,MATCH(ROWS($V$2:V438),$V$2:$V$1001,0),MATCH(COLUMNS($AC$1006:AR1006),$AC$1006:$AS$1006,0)), HYPERLINK("#",""), HYPERLINK(CONCATENATE("#metadata!", ADDRESS(INDEX($X$2:$X$1001,MATCH(ROWS($V$2:V438),$V$2:$V$1001,0),0), INDEX($AC$1004:$AS$1004,1,MATCH(COLUMNS($AC$1006:AR1006),$AC$1006:$AS$1006,0)))),"Fix")))</f>
        <v xml:space="preserve"> </v>
      </c>
      <c r="R438" s="4" t="str">
        <f ca="1">IF(OR(INDEX($W$2:$W$1001,MATCH(ROWS($V$2:V438),$V$2:$V$1001,0),1)&gt;=100000,INDEX($AC$1005:$AS$1005,1,MATCH(COLUMNS($AC$1006:AS1006),$AC$1006:$AS$1006,0))&gt;=100000), " ",IF(INDEX($AC$2:$AS$1001,MATCH(ROWS($V$2:V438),$V$2:$V$1001,0),MATCH(COLUMNS($AC$1006:AS1006),$AC$1006:$AS$1006,0)), HYPERLINK("#",""), HYPERLINK(CONCATENATE("#metadata!", ADDRESS(INDEX($X$2:$X$1001,MATCH(ROWS($V$2:V438),$V$2:$V$1001,0),0), INDEX($AC$1004:$AS$1004,1,MATCH(COLUMNS($AC$1006:AS1006),$AC$1006:$AS$1006,0)))),"Fix")))</f>
        <v xml:space="preserve"> </v>
      </c>
      <c r="V438">
        <v>437</v>
      </c>
      <c r="W438">
        <v>100438</v>
      </c>
      <c r="X438">
        <v>438</v>
      </c>
      <c r="Y438" t="b">
        <f t="shared" si="6"/>
        <v>1</v>
      </c>
      <c r="Z438" t="b">
        <f>COUNTBLANK(metadata!B438:R438)=COLUMNS(metadata!B438:R438)</f>
        <v>1</v>
      </c>
      <c r="AA438" t="str">
        <v/>
      </c>
      <c r="AC438" t="b">
        <f ca="1"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AD438" t="b">
        <f>IF(metadata!C438="",FALSE,ISNUMBER(VALUE(metadata!C438)))</f>
        <v>0</v>
      </c>
      <c r="AE438" t="b">
        <f>AND(IF(metadata!D438="",FALSE,TRUE),EXACT(metadata!D438,"years"))</f>
        <v>0</v>
      </c>
      <c r="AF438" t="b">
        <f>OR(AND(IF(metadata!E438="",FALSE,TRUE),OR(EXACT(metadata!E438,"not applicable"),EXACT(metadata!E438,"missing: not collected"),EXACT(metadata!E438,"missing: not provided"),EXACT(metadata!E438,"missing: restricted access"))),AND(IF(metadata!E438="",FALSE,ISNUMBER(VALUE(metadata!E438))),metadata!E438&gt;0))</f>
        <v>0</v>
      </c>
      <c r="AG438" t="b">
        <f>AND(IF(metadata!F438="",FALSE,TRUE),EXACT(metadata!F438,"Not applicable"))</f>
        <v>0</v>
      </c>
      <c r="AH438" t="b">
        <f>AND(IF(metadata!G438="",FALSE,TRUE),EXACT(metadata!G438,"urban biome"))</f>
        <v>0</v>
      </c>
      <c r="AI438" t="b">
        <f>AND(IF(metadata!H438="",FALSE,TRUE),EXACT(metadata!H438,"human-associated habitat"))</f>
        <v>0</v>
      </c>
      <c r="AJ438" t="b">
        <f>AND(IF(metadata!I438="",FALSE,TRUE),OR(EXACT(metadata!I438,"human-associated"),EXACT(metadata!I438,"human-skin"),EXACT(metadata!I438,"human-oral"),EXACT(metadata!I438,"human-gut"),EXACT(metadata!I438,"human-vaginal")))</f>
        <v>0</v>
      </c>
      <c r="AK438" t="b">
        <f>IF(metadata!J438="",FALSE,ISNUMBER(VALUE(metadata!J438)))</f>
        <v>0</v>
      </c>
      <c r="AL438" t="b">
        <f>AND(IF(metadata!K438="",FALSE,TRUE),EXACT(metadata!K438,"cm"))</f>
        <v>0</v>
      </c>
      <c r="AM438" t="b">
        <f>AND(IF(metadata!L438="",FALSE,TRUE),EXACT(metadata!L438,"human"))</f>
        <v>0</v>
      </c>
      <c r="AN438" t="b">
        <f>AND(IF(metadata!M438="",FALSE,TRUE),EXACT(metadata!M438,"Homo sapiens"))</f>
        <v>0</v>
      </c>
      <c r="AO438" t="b">
        <f>AND(IF(metadata!N438="",FALSE,TRUE),EXACT(metadata!N438,"9606"))</f>
        <v>0</v>
      </c>
      <c r="AP438" t="b">
        <f>IF(metadata!O438="",FALSE,TRUE)</f>
        <v>0</v>
      </c>
      <c r="AQ438" t="b">
        <f>IF(metadata!P438="",FALSE,TRUE)</f>
        <v>0</v>
      </c>
      <c r="AR438" t="b">
        <f>IF(metadata!Q438="",FALSE,ISNUMBER(VALUE(metadata!Q438)))</f>
        <v>0</v>
      </c>
      <c r="AS438" t="b">
        <f>AND(IF(metadata!R438="",FALSE,TRUE),EXACT(metadata!R438,"kg"))</f>
        <v>0</v>
      </c>
    </row>
    <row r="439" spans="1:45" x14ac:dyDescent="0.2">
      <c r="A439" s="5" t="str">
        <f ca="1">IF(B439=" "," ",HYPERLINK(CONCATENATE("#metadata!",ADDRESS(INDEX($X$2:$X$1001,MATCH(ROWS($V$2:V439),$V$2:$V$1001,0),0),1)),INDEX($AA$2:$AA$1001,MATCH(ROWS($V$2:V439),$V$2:$V$1001,0),0)))</f>
        <v xml:space="preserve"> </v>
      </c>
      <c r="B439" s="4" t="str">
        <f ca="1">IF(OR(INDEX($W$2:$W$1001,MATCH(ROWS($V$2:V439),$V$2:$V$1001,0),1)&gt;=100000,INDEX($AC$1005:$AS$1005,1,MATCH(COLUMNS($AC$1006:AC1006),$AC$1006:$AS$1006,0))&gt;=100000), " ",IF(INDEX($AC$2:$AS$1001,MATCH(ROWS($V$2:V439),$V$2:$V$1001,0),MATCH(COLUMNS($AC$1006:AC1006),$AC$1006:$AS$1006,0)), HYPERLINK("#",""), HYPERLINK(CONCATENATE("#metadata!", ADDRESS(INDEX($X$2:$X$1001,MATCH(ROWS($V$2:V439),$V$2:$V$1001,0),0), INDEX($AC$1004:$AS$1004,1,MATCH(COLUMNS($AC$1006:AC1006),$AC$1006:$AS$1006,0)))),"Fix")))</f>
        <v xml:space="preserve"> </v>
      </c>
      <c r="C439" s="4" t="str">
        <f ca="1">IF(OR(INDEX($W$2:$W$1001,MATCH(ROWS($V$2:V439),$V$2:$V$1001,0),1)&gt;=100000,INDEX($AC$1005:$AS$1005,1,MATCH(COLUMNS($AC$1006:AD1006),$AC$1006:$AS$1006,0))&gt;=100000), " ",IF(INDEX($AC$2:$AS$1001,MATCH(ROWS($V$2:V439),$V$2:$V$1001,0),MATCH(COLUMNS($AC$1006:AD1006),$AC$1006:$AS$1006,0)), HYPERLINK("#",""), HYPERLINK(CONCATENATE("#metadata!", ADDRESS(INDEX($X$2:$X$1001,MATCH(ROWS($V$2:V439),$V$2:$V$1001,0),0), INDEX($AC$1004:$AS$1004,1,MATCH(COLUMNS($AC$1006:AD1006),$AC$1006:$AS$1006,0)))),"Fix")))</f>
        <v xml:space="preserve"> </v>
      </c>
      <c r="D439" s="4" t="str">
        <f ca="1">IF(OR(INDEX($W$2:$W$1001,MATCH(ROWS($V$2:V439),$V$2:$V$1001,0),1)&gt;=100000,INDEX($AC$1005:$AS$1005,1,MATCH(COLUMNS($AC$1006:AE1006),$AC$1006:$AS$1006,0))&gt;=100000), " ",IF(INDEX($AC$2:$AS$1001,MATCH(ROWS($V$2:V439),$V$2:$V$1001,0),MATCH(COLUMNS($AC$1006:AE1006),$AC$1006:$AS$1006,0)), HYPERLINK("#",""), HYPERLINK(CONCATENATE("#metadata!", ADDRESS(INDEX($X$2:$X$1001,MATCH(ROWS($V$2:V439),$V$2:$V$1001,0),0), INDEX($AC$1004:$AS$1004,1,MATCH(COLUMNS($AC$1006:AE1006),$AC$1006:$AS$1006,0)))),"Fix")))</f>
        <v xml:space="preserve"> </v>
      </c>
      <c r="E439" s="4" t="str">
        <f ca="1">IF(OR(INDEX($W$2:$W$1001,MATCH(ROWS($V$2:V439),$V$2:$V$1001,0),1)&gt;=100000,INDEX($AC$1005:$AS$1005,1,MATCH(COLUMNS($AC$1006:AF1006),$AC$1006:$AS$1006,0))&gt;=100000), " ",IF(INDEX($AC$2:$AS$1001,MATCH(ROWS($V$2:V439),$V$2:$V$1001,0),MATCH(COLUMNS($AC$1006:AF1006),$AC$1006:$AS$1006,0)), HYPERLINK("#",""), HYPERLINK(CONCATENATE("#metadata!", ADDRESS(INDEX($X$2:$X$1001,MATCH(ROWS($V$2:V439),$V$2:$V$1001,0),0), INDEX($AC$1004:$AS$1004,1,MATCH(COLUMNS($AC$1006:AF1006),$AC$1006:$AS$1006,0)))),"Fix")))</f>
        <v xml:space="preserve"> </v>
      </c>
      <c r="F439" s="4" t="str">
        <f ca="1">IF(OR(INDEX($W$2:$W$1001,MATCH(ROWS($V$2:V439),$V$2:$V$1001,0),1)&gt;=100000,INDEX($AC$1005:$AS$1005,1,MATCH(COLUMNS($AC$1006:AG1006),$AC$1006:$AS$1006,0))&gt;=100000), " ",IF(INDEX($AC$2:$AS$1001,MATCH(ROWS($V$2:V439),$V$2:$V$1001,0),MATCH(COLUMNS($AC$1006:AG1006),$AC$1006:$AS$1006,0)), HYPERLINK("#",""), HYPERLINK(CONCATENATE("#metadata!", ADDRESS(INDEX($X$2:$X$1001,MATCH(ROWS($V$2:V439),$V$2:$V$1001,0),0), INDEX($AC$1004:$AS$1004,1,MATCH(COLUMNS($AC$1006:AG1006),$AC$1006:$AS$1006,0)))),"Fix")))</f>
        <v xml:space="preserve"> </v>
      </c>
      <c r="G439" s="4" t="str">
        <f ca="1">IF(OR(INDEX($W$2:$W$1001,MATCH(ROWS($V$2:V439),$V$2:$V$1001,0),1)&gt;=100000,INDEX($AC$1005:$AS$1005,1,MATCH(COLUMNS($AC$1006:AH1006),$AC$1006:$AS$1006,0))&gt;=100000), " ",IF(INDEX($AC$2:$AS$1001,MATCH(ROWS($V$2:V439),$V$2:$V$1001,0),MATCH(COLUMNS($AC$1006:AH1006),$AC$1006:$AS$1006,0)), HYPERLINK("#",""), HYPERLINK(CONCATENATE("#metadata!", ADDRESS(INDEX($X$2:$X$1001,MATCH(ROWS($V$2:V439),$V$2:$V$1001,0),0), INDEX($AC$1004:$AS$1004,1,MATCH(COLUMNS($AC$1006:AH1006),$AC$1006:$AS$1006,0)))),"Fix")))</f>
        <v xml:space="preserve"> </v>
      </c>
      <c r="H439" s="4" t="str">
        <f ca="1">IF(OR(INDEX($W$2:$W$1001,MATCH(ROWS($V$2:V439),$V$2:$V$1001,0),1)&gt;=100000,INDEX($AC$1005:$AS$1005,1,MATCH(COLUMNS($AC$1006:AI1006),$AC$1006:$AS$1006,0))&gt;=100000), " ",IF(INDEX($AC$2:$AS$1001,MATCH(ROWS($V$2:V439),$V$2:$V$1001,0),MATCH(COLUMNS($AC$1006:AI1006),$AC$1006:$AS$1006,0)), HYPERLINK("#",""), HYPERLINK(CONCATENATE("#metadata!", ADDRESS(INDEX($X$2:$X$1001,MATCH(ROWS($V$2:V439),$V$2:$V$1001,0),0), INDEX($AC$1004:$AS$1004,1,MATCH(COLUMNS($AC$1006:AI1006),$AC$1006:$AS$1006,0)))),"Fix")))</f>
        <v xml:space="preserve"> </v>
      </c>
      <c r="I439" s="4" t="str">
        <f ca="1">IF(OR(INDEX($W$2:$W$1001,MATCH(ROWS($V$2:V439),$V$2:$V$1001,0),1)&gt;=100000,INDEX($AC$1005:$AS$1005,1,MATCH(COLUMNS($AC$1006:AJ1006),$AC$1006:$AS$1006,0))&gt;=100000), " ",IF(INDEX($AC$2:$AS$1001,MATCH(ROWS($V$2:V439),$V$2:$V$1001,0),MATCH(COLUMNS($AC$1006:AJ1006),$AC$1006:$AS$1006,0)), HYPERLINK("#",""), HYPERLINK(CONCATENATE("#metadata!", ADDRESS(INDEX($X$2:$X$1001,MATCH(ROWS($V$2:V439),$V$2:$V$1001,0),0), INDEX($AC$1004:$AS$1004,1,MATCH(COLUMNS($AC$1006:AJ1006),$AC$1006:$AS$1006,0)))),"Fix")))</f>
        <v xml:space="preserve"> </v>
      </c>
      <c r="J439" s="4" t="str">
        <f ca="1">IF(OR(INDEX($W$2:$W$1001,MATCH(ROWS($V$2:V439),$V$2:$V$1001,0),1)&gt;=100000,INDEX($AC$1005:$AS$1005,1,MATCH(COLUMNS($AC$1006:AK1006),$AC$1006:$AS$1006,0))&gt;=100000), " ",IF(INDEX($AC$2:$AS$1001,MATCH(ROWS($V$2:V439),$V$2:$V$1001,0),MATCH(COLUMNS($AC$1006:AK1006),$AC$1006:$AS$1006,0)), HYPERLINK("#",""), HYPERLINK(CONCATENATE("#metadata!", ADDRESS(INDEX($X$2:$X$1001,MATCH(ROWS($V$2:V439),$V$2:$V$1001,0),0), INDEX($AC$1004:$AS$1004,1,MATCH(COLUMNS($AC$1006:AK1006),$AC$1006:$AS$1006,0)))),"Fix")))</f>
        <v xml:space="preserve"> </v>
      </c>
      <c r="K439" s="4" t="str">
        <f ca="1">IF(OR(INDEX($W$2:$W$1001,MATCH(ROWS($V$2:V439),$V$2:$V$1001,0),1)&gt;=100000,INDEX($AC$1005:$AS$1005,1,MATCH(COLUMNS($AC$1006:AL1006),$AC$1006:$AS$1006,0))&gt;=100000), " ",IF(INDEX($AC$2:$AS$1001,MATCH(ROWS($V$2:V439),$V$2:$V$1001,0),MATCH(COLUMNS($AC$1006:AL1006),$AC$1006:$AS$1006,0)), HYPERLINK("#",""), HYPERLINK(CONCATENATE("#metadata!", ADDRESS(INDEX($X$2:$X$1001,MATCH(ROWS($V$2:V439),$V$2:$V$1001,0),0), INDEX($AC$1004:$AS$1004,1,MATCH(COLUMNS($AC$1006:AL1006),$AC$1006:$AS$1006,0)))),"Fix")))</f>
        <v xml:space="preserve"> </v>
      </c>
      <c r="L439" s="4" t="str">
        <f ca="1">IF(OR(INDEX($W$2:$W$1001,MATCH(ROWS($V$2:V439),$V$2:$V$1001,0),1)&gt;=100000,INDEX($AC$1005:$AS$1005,1,MATCH(COLUMNS($AC$1006:AM1006),$AC$1006:$AS$1006,0))&gt;=100000), " ",IF(INDEX($AC$2:$AS$1001,MATCH(ROWS($V$2:V439),$V$2:$V$1001,0),MATCH(COLUMNS($AC$1006:AM1006),$AC$1006:$AS$1006,0)), HYPERLINK("#",""), HYPERLINK(CONCATENATE("#metadata!", ADDRESS(INDEX($X$2:$X$1001,MATCH(ROWS($V$2:V439),$V$2:$V$1001,0),0), INDEX($AC$1004:$AS$1004,1,MATCH(COLUMNS($AC$1006:AM1006),$AC$1006:$AS$1006,0)))),"Fix")))</f>
        <v xml:space="preserve"> </v>
      </c>
      <c r="M439" s="4" t="str">
        <f ca="1">IF(OR(INDEX($W$2:$W$1001,MATCH(ROWS($V$2:V439),$V$2:$V$1001,0),1)&gt;=100000,INDEX($AC$1005:$AS$1005,1,MATCH(COLUMNS($AC$1006:AN1006),$AC$1006:$AS$1006,0))&gt;=100000), " ",IF(INDEX($AC$2:$AS$1001,MATCH(ROWS($V$2:V439),$V$2:$V$1001,0),MATCH(COLUMNS($AC$1006:AN1006),$AC$1006:$AS$1006,0)), HYPERLINK("#",""), HYPERLINK(CONCATENATE("#metadata!", ADDRESS(INDEX($X$2:$X$1001,MATCH(ROWS($V$2:V439),$V$2:$V$1001,0),0), INDEX($AC$1004:$AS$1004,1,MATCH(COLUMNS($AC$1006:AN1006),$AC$1006:$AS$1006,0)))),"Fix")))</f>
        <v xml:space="preserve"> </v>
      </c>
      <c r="N439" s="4" t="str">
        <f ca="1">IF(OR(INDEX($W$2:$W$1001,MATCH(ROWS($V$2:V439),$V$2:$V$1001,0),1)&gt;=100000,INDEX($AC$1005:$AS$1005,1,MATCH(COLUMNS($AC$1006:AO1006),$AC$1006:$AS$1006,0))&gt;=100000), " ",IF(INDEX($AC$2:$AS$1001,MATCH(ROWS($V$2:V439),$V$2:$V$1001,0),MATCH(COLUMNS($AC$1006:AO1006),$AC$1006:$AS$1006,0)), HYPERLINK("#",""), HYPERLINK(CONCATENATE("#metadata!", ADDRESS(INDEX($X$2:$X$1001,MATCH(ROWS($V$2:V439),$V$2:$V$1001,0),0), INDEX($AC$1004:$AS$1004,1,MATCH(COLUMNS($AC$1006:AO1006),$AC$1006:$AS$1006,0)))),"Fix")))</f>
        <v xml:space="preserve"> </v>
      </c>
      <c r="O439" s="4" t="str">
        <f ca="1">IF(OR(INDEX($W$2:$W$1001,MATCH(ROWS($V$2:V439),$V$2:$V$1001,0),1)&gt;=100000,INDEX($AC$1005:$AS$1005,1,MATCH(COLUMNS($AC$1006:AP1006),$AC$1006:$AS$1006,0))&gt;=100000), " ",IF(INDEX($AC$2:$AS$1001,MATCH(ROWS($V$2:V439),$V$2:$V$1001,0),MATCH(COLUMNS($AC$1006:AP1006),$AC$1006:$AS$1006,0)), HYPERLINK("#",""), HYPERLINK(CONCATENATE("#metadata!", ADDRESS(INDEX($X$2:$X$1001,MATCH(ROWS($V$2:V439),$V$2:$V$1001,0),0), INDEX($AC$1004:$AS$1004,1,MATCH(COLUMNS($AC$1006:AP1006),$AC$1006:$AS$1006,0)))),"Fix")))</f>
        <v xml:space="preserve"> </v>
      </c>
      <c r="P439" s="4" t="str">
        <f ca="1">IF(OR(INDEX($W$2:$W$1001,MATCH(ROWS($V$2:V439),$V$2:$V$1001,0),1)&gt;=100000,INDEX($AC$1005:$AS$1005,1,MATCH(COLUMNS($AC$1006:AQ1006),$AC$1006:$AS$1006,0))&gt;=100000), " ",IF(INDEX($AC$2:$AS$1001,MATCH(ROWS($V$2:V439),$V$2:$V$1001,0),MATCH(COLUMNS($AC$1006:AQ1006),$AC$1006:$AS$1006,0)), HYPERLINK("#",""), HYPERLINK(CONCATENATE("#metadata!", ADDRESS(INDEX($X$2:$X$1001,MATCH(ROWS($V$2:V439),$V$2:$V$1001,0),0), INDEX($AC$1004:$AS$1004,1,MATCH(COLUMNS($AC$1006:AQ1006),$AC$1006:$AS$1006,0)))),"Fix")))</f>
        <v xml:space="preserve"> </v>
      </c>
      <c r="Q439" s="4" t="str">
        <f ca="1">IF(OR(INDEX($W$2:$W$1001,MATCH(ROWS($V$2:V439),$V$2:$V$1001,0),1)&gt;=100000,INDEX($AC$1005:$AS$1005,1,MATCH(COLUMNS($AC$1006:AR1006),$AC$1006:$AS$1006,0))&gt;=100000), " ",IF(INDEX($AC$2:$AS$1001,MATCH(ROWS($V$2:V439),$V$2:$V$1001,0),MATCH(COLUMNS($AC$1006:AR1006),$AC$1006:$AS$1006,0)), HYPERLINK("#",""), HYPERLINK(CONCATENATE("#metadata!", ADDRESS(INDEX($X$2:$X$1001,MATCH(ROWS($V$2:V439),$V$2:$V$1001,0),0), INDEX($AC$1004:$AS$1004,1,MATCH(COLUMNS($AC$1006:AR1006),$AC$1006:$AS$1006,0)))),"Fix")))</f>
        <v xml:space="preserve"> </v>
      </c>
      <c r="R439" s="4" t="str">
        <f ca="1">IF(OR(INDEX($W$2:$W$1001,MATCH(ROWS($V$2:V439),$V$2:$V$1001,0),1)&gt;=100000,INDEX($AC$1005:$AS$1005,1,MATCH(COLUMNS($AC$1006:AS1006),$AC$1006:$AS$1006,0))&gt;=100000), " ",IF(INDEX($AC$2:$AS$1001,MATCH(ROWS($V$2:V439),$V$2:$V$1001,0),MATCH(COLUMNS($AC$1006:AS1006),$AC$1006:$AS$1006,0)), HYPERLINK("#",""), HYPERLINK(CONCATENATE("#metadata!", ADDRESS(INDEX($X$2:$X$1001,MATCH(ROWS($V$2:V439),$V$2:$V$1001,0),0), INDEX($AC$1004:$AS$1004,1,MATCH(COLUMNS($AC$1006:AS1006),$AC$1006:$AS$1006,0)))),"Fix")))</f>
        <v xml:space="preserve"> </v>
      </c>
      <c r="V439">
        <v>438</v>
      </c>
      <c r="W439">
        <v>100439</v>
      </c>
      <c r="X439">
        <v>439</v>
      </c>
      <c r="Y439" t="b">
        <f t="shared" si="6"/>
        <v>1</v>
      </c>
      <c r="Z439" t="b">
        <f>COUNTBLANK(metadata!B439:R439)=COLUMNS(metadata!B439:R439)</f>
        <v>1</v>
      </c>
      <c r="AA439" t="str">
        <v/>
      </c>
      <c r="AC439" t="b">
        <f ca="1"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AD439" t="b">
        <f>IF(metadata!C439="",FALSE,ISNUMBER(VALUE(metadata!C439)))</f>
        <v>0</v>
      </c>
      <c r="AE439" t="b">
        <f>AND(IF(metadata!D439="",FALSE,TRUE),EXACT(metadata!D439,"years"))</f>
        <v>0</v>
      </c>
      <c r="AF439" t="b">
        <f>OR(AND(IF(metadata!E439="",FALSE,TRUE),OR(EXACT(metadata!E439,"not applicable"),EXACT(metadata!E439,"missing: not collected"),EXACT(metadata!E439,"missing: not provided"),EXACT(metadata!E439,"missing: restricted access"))),AND(IF(metadata!E439="",FALSE,ISNUMBER(VALUE(metadata!E439))),metadata!E439&gt;0))</f>
        <v>0</v>
      </c>
      <c r="AG439" t="b">
        <f>AND(IF(metadata!F439="",FALSE,TRUE),EXACT(metadata!F439,"Not applicable"))</f>
        <v>0</v>
      </c>
      <c r="AH439" t="b">
        <f>AND(IF(metadata!G439="",FALSE,TRUE),EXACT(metadata!G439,"urban biome"))</f>
        <v>0</v>
      </c>
      <c r="AI439" t="b">
        <f>AND(IF(metadata!H439="",FALSE,TRUE),EXACT(metadata!H439,"human-associated habitat"))</f>
        <v>0</v>
      </c>
      <c r="AJ439" t="b">
        <f>AND(IF(metadata!I439="",FALSE,TRUE),OR(EXACT(metadata!I439,"human-associated"),EXACT(metadata!I439,"human-skin"),EXACT(metadata!I439,"human-oral"),EXACT(metadata!I439,"human-gut"),EXACT(metadata!I439,"human-vaginal")))</f>
        <v>0</v>
      </c>
      <c r="AK439" t="b">
        <f>IF(metadata!J439="",FALSE,ISNUMBER(VALUE(metadata!J439)))</f>
        <v>0</v>
      </c>
      <c r="AL439" t="b">
        <f>AND(IF(metadata!K439="",FALSE,TRUE),EXACT(metadata!K439,"cm"))</f>
        <v>0</v>
      </c>
      <c r="AM439" t="b">
        <f>AND(IF(metadata!L439="",FALSE,TRUE),EXACT(metadata!L439,"human"))</f>
        <v>0</v>
      </c>
      <c r="AN439" t="b">
        <f>AND(IF(metadata!M439="",FALSE,TRUE),EXACT(metadata!M439,"Homo sapiens"))</f>
        <v>0</v>
      </c>
      <c r="AO439" t="b">
        <f>AND(IF(metadata!N439="",FALSE,TRUE),EXACT(metadata!N439,"9606"))</f>
        <v>0</v>
      </c>
      <c r="AP439" t="b">
        <f>IF(metadata!O439="",FALSE,TRUE)</f>
        <v>0</v>
      </c>
      <c r="AQ439" t="b">
        <f>IF(metadata!P439="",FALSE,TRUE)</f>
        <v>0</v>
      </c>
      <c r="AR439" t="b">
        <f>IF(metadata!Q439="",FALSE,ISNUMBER(VALUE(metadata!Q439)))</f>
        <v>0</v>
      </c>
      <c r="AS439" t="b">
        <f>AND(IF(metadata!R439="",FALSE,TRUE),EXACT(metadata!R439,"kg"))</f>
        <v>0</v>
      </c>
    </row>
    <row r="440" spans="1:45" x14ac:dyDescent="0.2">
      <c r="A440" s="5" t="str">
        <f ca="1">IF(B440=" "," ",HYPERLINK(CONCATENATE("#metadata!",ADDRESS(INDEX($X$2:$X$1001,MATCH(ROWS($V$2:V440),$V$2:$V$1001,0),0),1)),INDEX($AA$2:$AA$1001,MATCH(ROWS($V$2:V440),$V$2:$V$1001,0),0)))</f>
        <v xml:space="preserve"> </v>
      </c>
      <c r="B440" s="4" t="str">
        <f ca="1">IF(OR(INDEX($W$2:$W$1001,MATCH(ROWS($V$2:V440),$V$2:$V$1001,0),1)&gt;=100000,INDEX($AC$1005:$AS$1005,1,MATCH(COLUMNS($AC$1006:AC1006),$AC$1006:$AS$1006,0))&gt;=100000), " ",IF(INDEX($AC$2:$AS$1001,MATCH(ROWS($V$2:V440),$V$2:$V$1001,0),MATCH(COLUMNS($AC$1006:AC1006),$AC$1006:$AS$1006,0)), HYPERLINK("#",""), HYPERLINK(CONCATENATE("#metadata!", ADDRESS(INDEX($X$2:$X$1001,MATCH(ROWS($V$2:V440),$V$2:$V$1001,0),0), INDEX($AC$1004:$AS$1004,1,MATCH(COLUMNS($AC$1006:AC1006),$AC$1006:$AS$1006,0)))),"Fix")))</f>
        <v xml:space="preserve"> </v>
      </c>
      <c r="C440" s="4" t="str">
        <f ca="1">IF(OR(INDEX($W$2:$W$1001,MATCH(ROWS($V$2:V440),$V$2:$V$1001,0),1)&gt;=100000,INDEX($AC$1005:$AS$1005,1,MATCH(COLUMNS($AC$1006:AD1006),$AC$1006:$AS$1006,0))&gt;=100000), " ",IF(INDEX($AC$2:$AS$1001,MATCH(ROWS($V$2:V440),$V$2:$V$1001,0),MATCH(COLUMNS($AC$1006:AD1006),$AC$1006:$AS$1006,0)), HYPERLINK("#",""), HYPERLINK(CONCATENATE("#metadata!", ADDRESS(INDEX($X$2:$X$1001,MATCH(ROWS($V$2:V440),$V$2:$V$1001,0),0), INDEX($AC$1004:$AS$1004,1,MATCH(COLUMNS($AC$1006:AD1006),$AC$1006:$AS$1006,0)))),"Fix")))</f>
        <v xml:space="preserve"> </v>
      </c>
      <c r="D440" s="4" t="str">
        <f ca="1">IF(OR(INDEX($W$2:$W$1001,MATCH(ROWS($V$2:V440),$V$2:$V$1001,0),1)&gt;=100000,INDEX($AC$1005:$AS$1005,1,MATCH(COLUMNS($AC$1006:AE1006),$AC$1006:$AS$1006,0))&gt;=100000), " ",IF(INDEX($AC$2:$AS$1001,MATCH(ROWS($V$2:V440),$V$2:$V$1001,0),MATCH(COLUMNS($AC$1006:AE1006),$AC$1006:$AS$1006,0)), HYPERLINK("#",""), HYPERLINK(CONCATENATE("#metadata!", ADDRESS(INDEX($X$2:$X$1001,MATCH(ROWS($V$2:V440),$V$2:$V$1001,0),0), INDEX($AC$1004:$AS$1004,1,MATCH(COLUMNS($AC$1006:AE1006),$AC$1006:$AS$1006,0)))),"Fix")))</f>
        <v xml:space="preserve"> </v>
      </c>
      <c r="E440" s="4" t="str">
        <f ca="1">IF(OR(INDEX($W$2:$W$1001,MATCH(ROWS($V$2:V440),$V$2:$V$1001,0),1)&gt;=100000,INDEX($AC$1005:$AS$1005,1,MATCH(COLUMNS($AC$1006:AF1006),$AC$1006:$AS$1006,0))&gt;=100000), " ",IF(INDEX($AC$2:$AS$1001,MATCH(ROWS($V$2:V440),$V$2:$V$1001,0),MATCH(COLUMNS($AC$1006:AF1006),$AC$1006:$AS$1006,0)), HYPERLINK("#",""), HYPERLINK(CONCATENATE("#metadata!", ADDRESS(INDEX($X$2:$X$1001,MATCH(ROWS($V$2:V440),$V$2:$V$1001,0),0), INDEX($AC$1004:$AS$1004,1,MATCH(COLUMNS($AC$1006:AF1006),$AC$1006:$AS$1006,0)))),"Fix")))</f>
        <v xml:space="preserve"> </v>
      </c>
      <c r="F440" s="4" t="str">
        <f ca="1">IF(OR(INDEX($W$2:$W$1001,MATCH(ROWS($V$2:V440),$V$2:$V$1001,0),1)&gt;=100000,INDEX($AC$1005:$AS$1005,1,MATCH(COLUMNS($AC$1006:AG1006),$AC$1006:$AS$1006,0))&gt;=100000), " ",IF(INDEX($AC$2:$AS$1001,MATCH(ROWS($V$2:V440),$V$2:$V$1001,0),MATCH(COLUMNS($AC$1006:AG1006),$AC$1006:$AS$1006,0)), HYPERLINK("#",""), HYPERLINK(CONCATENATE("#metadata!", ADDRESS(INDEX($X$2:$X$1001,MATCH(ROWS($V$2:V440),$V$2:$V$1001,0),0), INDEX($AC$1004:$AS$1004,1,MATCH(COLUMNS($AC$1006:AG1006),$AC$1006:$AS$1006,0)))),"Fix")))</f>
        <v xml:space="preserve"> </v>
      </c>
      <c r="G440" s="4" t="str">
        <f ca="1">IF(OR(INDEX($W$2:$W$1001,MATCH(ROWS($V$2:V440),$V$2:$V$1001,0),1)&gt;=100000,INDEX($AC$1005:$AS$1005,1,MATCH(COLUMNS($AC$1006:AH1006),$AC$1006:$AS$1006,0))&gt;=100000), " ",IF(INDEX($AC$2:$AS$1001,MATCH(ROWS($V$2:V440),$V$2:$V$1001,0),MATCH(COLUMNS($AC$1006:AH1006),$AC$1006:$AS$1006,0)), HYPERLINK("#",""), HYPERLINK(CONCATENATE("#metadata!", ADDRESS(INDEX($X$2:$X$1001,MATCH(ROWS($V$2:V440),$V$2:$V$1001,0),0), INDEX($AC$1004:$AS$1004,1,MATCH(COLUMNS($AC$1006:AH1006),$AC$1006:$AS$1006,0)))),"Fix")))</f>
        <v xml:space="preserve"> </v>
      </c>
      <c r="H440" s="4" t="str">
        <f ca="1">IF(OR(INDEX($W$2:$W$1001,MATCH(ROWS($V$2:V440),$V$2:$V$1001,0),1)&gt;=100000,INDEX($AC$1005:$AS$1005,1,MATCH(COLUMNS($AC$1006:AI1006),$AC$1006:$AS$1006,0))&gt;=100000), " ",IF(INDEX($AC$2:$AS$1001,MATCH(ROWS($V$2:V440),$V$2:$V$1001,0),MATCH(COLUMNS($AC$1006:AI1006),$AC$1006:$AS$1006,0)), HYPERLINK("#",""), HYPERLINK(CONCATENATE("#metadata!", ADDRESS(INDEX($X$2:$X$1001,MATCH(ROWS($V$2:V440),$V$2:$V$1001,0),0), INDEX($AC$1004:$AS$1004,1,MATCH(COLUMNS($AC$1006:AI1006),$AC$1006:$AS$1006,0)))),"Fix")))</f>
        <v xml:space="preserve"> </v>
      </c>
      <c r="I440" s="4" t="str">
        <f ca="1">IF(OR(INDEX($W$2:$W$1001,MATCH(ROWS($V$2:V440),$V$2:$V$1001,0),1)&gt;=100000,INDEX($AC$1005:$AS$1005,1,MATCH(COLUMNS($AC$1006:AJ1006),$AC$1006:$AS$1006,0))&gt;=100000), " ",IF(INDEX($AC$2:$AS$1001,MATCH(ROWS($V$2:V440),$V$2:$V$1001,0),MATCH(COLUMNS($AC$1006:AJ1006),$AC$1006:$AS$1006,0)), HYPERLINK("#",""), HYPERLINK(CONCATENATE("#metadata!", ADDRESS(INDEX($X$2:$X$1001,MATCH(ROWS($V$2:V440),$V$2:$V$1001,0),0), INDEX($AC$1004:$AS$1004,1,MATCH(COLUMNS($AC$1006:AJ1006),$AC$1006:$AS$1006,0)))),"Fix")))</f>
        <v xml:space="preserve"> </v>
      </c>
      <c r="J440" s="4" t="str">
        <f ca="1">IF(OR(INDEX($W$2:$W$1001,MATCH(ROWS($V$2:V440),$V$2:$V$1001,0),1)&gt;=100000,INDEX($AC$1005:$AS$1005,1,MATCH(COLUMNS($AC$1006:AK1006),$AC$1006:$AS$1006,0))&gt;=100000), " ",IF(INDEX($AC$2:$AS$1001,MATCH(ROWS($V$2:V440),$V$2:$V$1001,0),MATCH(COLUMNS($AC$1006:AK1006),$AC$1006:$AS$1006,0)), HYPERLINK("#",""), HYPERLINK(CONCATENATE("#metadata!", ADDRESS(INDEX($X$2:$X$1001,MATCH(ROWS($V$2:V440),$V$2:$V$1001,0),0), INDEX($AC$1004:$AS$1004,1,MATCH(COLUMNS($AC$1006:AK1006),$AC$1006:$AS$1006,0)))),"Fix")))</f>
        <v xml:space="preserve"> </v>
      </c>
      <c r="K440" s="4" t="str">
        <f ca="1">IF(OR(INDEX($W$2:$W$1001,MATCH(ROWS($V$2:V440),$V$2:$V$1001,0),1)&gt;=100000,INDEX($AC$1005:$AS$1005,1,MATCH(COLUMNS($AC$1006:AL1006),$AC$1006:$AS$1006,0))&gt;=100000), " ",IF(INDEX($AC$2:$AS$1001,MATCH(ROWS($V$2:V440),$V$2:$V$1001,0),MATCH(COLUMNS($AC$1006:AL1006),$AC$1006:$AS$1006,0)), HYPERLINK("#",""), HYPERLINK(CONCATENATE("#metadata!", ADDRESS(INDEX($X$2:$X$1001,MATCH(ROWS($V$2:V440),$V$2:$V$1001,0),0), INDEX($AC$1004:$AS$1004,1,MATCH(COLUMNS($AC$1006:AL1006),$AC$1006:$AS$1006,0)))),"Fix")))</f>
        <v xml:space="preserve"> </v>
      </c>
      <c r="L440" s="4" t="str">
        <f ca="1">IF(OR(INDEX($W$2:$W$1001,MATCH(ROWS($V$2:V440),$V$2:$V$1001,0),1)&gt;=100000,INDEX($AC$1005:$AS$1005,1,MATCH(COLUMNS($AC$1006:AM1006),$AC$1006:$AS$1006,0))&gt;=100000), " ",IF(INDEX($AC$2:$AS$1001,MATCH(ROWS($V$2:V440),$V$2:$V$1001,0),MATCH(COLUMNS($AC$1006:AM1006),$AC$1006:$AS$1006,0)), HYPERLINK("#",""), HYPERLINK(CONCATENATE("#metadata!", ADDRESS(INDEX($X$2:$X$1001,MATCH(ROWS($V$2:V440),$V$2:$V$1001,0),0), INDEX($AC$1004:$AS$1004,1,MATCH(COLUMNS($AC$1006:AM1006),$AC$1006:$AS$1006,0)))),"Fix")))</f>
        <v xml:space="preserve"> </v>
      </c>
      <c r="M440" s="4" t="str">
        <f ca="1">IF(OR(INDEX($W$2:$W$1001,MATCH(ROWS($V$2:V440),$V$2:$V$1001,0),1)&gt;=100000,INDEX($AC$1005:$AS$1005,1,MATCH(COLUMNS($AC$1006:AN1006),$AC$1006:$AS$1006,0))&gt;=100000), " ",IF(INDEX($AC$2:$AS$1001,MATCH(ROWS($V$2:V440),$V$2:$V$1001,0),MATCH(COLUMNS($AC$1006:AN1006),$AC$1006:$AS$1006,0)), HYPERLINK("#",""), HYPERLINK(CONCATENATE("#metadata!", ADDRESS(INDEX($X$2:$X$1001,MATCH(ROWS($V$2:V440),$V$2:$V$1001,0),0), INDEX($AC$1004:$AS$1004,1,MATCH(COLUMNS($AC$1006:AN1006),$AC$1006:$AS$1006,0)))),"Fix")))</f>
        <v xml:space="preserve"> </v>
      </c>
      <c r="N440" s="4" t="str">
        <f ca="1">IF(OR(INDEX($W$2:$W$1001,MATCH(ROWS($V$2:V440),$V$2:$V$1001,0),1)&gt;=100000,INDEX($AC$1005:$AS$1005,1,MATCH(COLUMNS($AC$1006:AO1006),$AC$1006:$AS$1006,0))&gt;=100000), " ",IF(INDEX($AC$2:$AS$1001,MATCH(ROWS($V$2:V440),$V$2:$V$1001,0),MATCH(COLUMNS($AC$1006:AO1006),$AC$1006:$AS$1006,0)), HYPERLINK("#",""), HYPERLINK(CONCATENATE("#metadata!", ADDRESS(INDEX($X$2:$X$1001,MATCH(ROWS($V$2:V440),$V$2:$V$1001,0),0), INDEX($AC$1004:$AS$1004,1,MATCH(COLUMNS($AC$1006:AO1006),$AC$1006:$AS$1006,0)))),"Fix")))</f>
        <v xml:space="preserve"> </v>
      </c>
      <c r="O440" s="4" t="str">
        <f ca="1">IF(OR(INDEX($W$2:$W$1001,MATCH(ROWS($V$2:V440),$V$2:$V$1001,0),1)&gt;=100000,INDEX($AC$1005:$AS$1005,1,MATCH(COLUMNS($AC$1006:AP1006),$AC$1006:$AS$1006,0))&gt;=100000), " ",IF(INDEX($AC$2:$AS$1001,MATCH(ROWS($V$2:V440),$V$2:$V$1001,0),MATCH(COLUMNS($AC$1006:AP1006),$AC$1006:$AS$1006,0)), HYPERLINK("#",""), HYPERLINK(CONCATENATE("#metadata!", ADDRESS(INDEX($X$2:$X$1001,MATCH(ROWS($V$2:V440),$V$2:$V$1001,0),0), INDEX($AC$1004:$AS$1004,1,MATCH(COLUMNS($AC$1006:AP1006),$AC$1006:$AS$1006,0)))),"Fix")))</f>
        <v xml:space="preserve"> </v>
      </c>
      <c r="P440" s="4" t="str">
        <f ca="1">IF(OR(INDEX($W$2:$W$1001,MATCH(ROWS($V$2:V440),$V$2:$V$1001,0),1)&gt;=100000,INDEX($AC$1005:$AS$1005,1,MATCH(COLUMNS($AC$1006:AQ1006),$AC$1006:$AS$1006,0))&gt;=100000), " ",IF(INDEX($AC$2:$AS$1001,MATCH(ROWS($V$2:V440),$V$2:$V$1001,0),MATCH(COLUMNS($AC$1006:AQ1006),$AC$1006:$AS$1006,0)), HYPERLINK("#",""), HYPERLINK(CONCATENATE("#metadata!", ADDRESS(INDEX($X$2:$X$1001,MATCH(ROWS($V$2:V440),$V$2:$V$1001,0),0), INDEX($AC$1004:$AS$1004,1,MATCH(COLUMNS($AC$1006:AQ1006),$AC$1006:$AS$1006,0)))),"Fix")))</f>
        <v xml:space="preserve"> </v>
      </c>
      <c r="Q440" s="4" t="str">
        <f ca="1">IF(OR(INDEX($W$2:$W$1001,MATCH(ROWS($V$2:V440),$V$2:$V$1001,0),1)&gt;=100000,INDEX($AC$1005:$AS$1005,1,MATCH(COLUMNS($AC$1006:AR1006),$AC$1006:$AS$1006,0))&gt;=100000), " ",IF(INDEX($AC$2:$AS$1001,MATCH(ROWS($V$2:V440),$V$2:$V$1001,0),MATCH(COLUMNS($AC$1006:AR1006),$AC$1006:$AS$1006,0)), HYPERLINK("#",""), HYPERLINK(CONCATENATE("#metadata!", ADDRESS(INDEX($X$2:$X$1001,MATCH(ROWS($V$2:V440),$V$2:$V$1001,0),0), INDEX($AC$1004:$AS$1004,1,MATCH(COLUMNS($AC$1006:AR1006),$AC$1006:$AS$1006,0)))),"Fix")))</f>
        <v xml:space="preserve"> </v>
      </c>
      <c r="R440" s="4" t="str">
        <f ca="1">IF(OR(INDEX($W$2:$W$1001,MATCH(ROWS($V$2:V440),$V$2:$V$1001,0),1)&gt;=100000,INDEX($AC$1005:$AS$1005,1,MATCH(COLUMNS($AC$1006:AS1006),$AC$1006:$AS$1006,0))&gt;=100000), " ",IF(INDEX($AC$2:$AS$1001,MATCH(ROWS($V$2:V440),$V$2:$V$1001,0),MATCH(COLUMNS($AC$1006:AS1006),$AC$1006:$AS$1006,0)), HYPERLINK("#",""), HYPERLINK(CONCATENATE("#metadata!", ADDRESS(INDEX($X$2:$X$1001,MATCH(ROWS($V$2:V440),$V$2:$V$1001,0),0), INDEX($AC$1004:$AS$1004,1,MATCH(COLUMNS($AC$1006:AS1006),$AC$1006:$AS$1006,0)))),"Fix")))</f>
        <v xml:space="preserve"> </v>
      </c>
      <c r="V440">
        <v>439</v>
      </c>
      <c r="W440">
        <v>100440</v>
      </c>
      <c r="X440">
        <v>440</v>
      </c>
      <c r="Y440" t="b">
        <f t="shared" si="6"/>
        <v>1</v>
      </c>
      <c r="Z440" t="b">
        <f>COUNTBLANK(metadata!B440:R440)=COLUMNS(metadata!B440:R440)</f>
        <v>1</v>
      </c>
      <c r="AA440" t="str">
        <v/>
      </c>
      <c r="AC440" t="b">
        <f ca="1"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AD440" t="b">
        <f>IF(metadata!C440="",FALSE,ISNUMBER(VALUE(metadata!C440)))</f>
        <v>0</v>
      </c>
      <c r="AE440" t="b">
        <f>AND(IF(metadata!D440="",FALSE,TRUE),EXACT(metadata!D440,"years"))</f>
        <v>0</v>
      </c>
      <c r="AF440" t="b">
        <f>OR(AND(IF(metadata!E440="",FALSE,TRUE),OR(EXACT(metadata!E440,"not applicable"),EXACT(metadata!E440,"missing: not collected"),EXACT(metadata!E440,"missing: not provided"),EXACT(metadata!E440,"missing: restricted access"))),AND(IF(metadata!E440="",FALSE,ISNUMBER(VALUE(metadata!E440))),metadata!E440&gt;0))</f>
        <v>0</v>
      </c>
      <c r="AG440" t="b">
        <f>AND(IF(metadata!F440="",FALSE,TRUE),EXACT(metadata!F440,"Not applicable"))</f>
        <v>0</v>
      </c>
      <c r="AH440" t="b">
        <f>AND(IF(metadata!G440="",FALSE,TRUE),EXACT(metadata!G440,"urban biome"))</f>
        <v>0</v>
      </c>
      <c r="AI440" t="b">
        <f>AND(IF(metadata!H440="",FALSE,TRUE),EXACT(metadata!H440,"human-associated habitat"))</f>
        <v>0</v>
      </c>
      <c r="AJ440" t="b">
        <f>AND(IF(metadata!I440="",FALSE,TRUE),OR(EXACT(metadata!I440,"human-associated"),EXACT(metadata!I440,"human-skin"),EXACT(metadata!I440,"human-oral"),EXACT(metadata!I440,"human-gut"),EXACT(metadata!I440,"human-vaginal")))</f>
        <v>0</v>
      </c>
      <c r="AK440" t="b">
        <f>IF(metadata!J440="",FALSE,ISNUMBER(VALUE(metadata!J440)))</f>
        <v>0</v>
      </c>
      <c r="AL440" t="b">
        <f>AND(IF(metadata!K440="",FALSE,TRUE),EXACT(metadata!K440,"cm"))</f>
        <v>0</v>
      </c>
      <c r="AM440" t="b">
        <f>AND(IF(metadata!L440="",FALSE,TRUE),EXACT(metadata!L440,"human"))</f>
        <v>0</v>
      </c>
      <c r="AN440" t="b">
        <f>AND(IF(metadata!M440="",FALSE,TRUE),EXACT(metadata!M440,"Homo sapiens"))</f>
        <v>0</v>
      </c>
      <c r="AO440" t="b">
        <f>AND(IF(metadata!N440="",FALSE,TRUE),EXACT(metadata!N440,"9606"))</f>
        <v>0</v>
      </c>
      <c r="AP440" t="b">
        <f>IF(metadata!O440="",FALSE,TRUE)</f>
        <v>0</v>
      </c>
      <c r="AQ440" t="b">
        <f>IF(metadata!P440="",FALSE,TRUE)</f>
        <v>0</v>
      </c>
      <c r="AR440" t="b">
        <f>IF(metadata!Q440="",FALSE,ISNUMBER(VALUE(metadata!Q440)))</f>
        <v>0</v>
      </c>
      <c r="AS440" t="b">
        <f>AND(IF(metadata!R440="",FALSE,TRUE),EXACT(metadata!R440,"kg"))</f>
        <v>0</v>
      </c>
    </row>
    <row r="441" spans="1:45" x14ac:dyDescent="0.2">
      <c r="A441" s="5" t="str">
        <f ca="1">IF(B441=" "," ",HYPERLINK(CONCATENATE("#metadata!",ADDRESS(INDEX($X$2:$X$1001,MATCH(ROWS($V$2:V441),$V$2:$V$1001,0),0),1)),INDEX($AA$2:$AA$1001,MATCH(ROWS($V$2:V441),$V$2:$V$1001,0),0)))</f>
        <v xml:space="preserve"> </v>
      </c>
      <c r="B441" s="4" t="str">
        <f ca="1">IF(OR(INDEX($W$2:$W$1001,MATCH(ROWS($V$2:V441),$V$2:$V$1001,0),1)&gt;=100000,INDEX($AC$1005:$AS$1005,1,MATCH(COLUMNS($AC$1006:AC1006),$AC$1006:$AS$1006,0))&gt;=100000), " ",IF(INDEX($AC$2:$AS$1001,MATCH(ROWS($V$2:V441),$V$2:$V$1001,0),MATCH(COLUMNS($AC$1006:AC1006),$AC$1006:$AS$1006,0)), HYPERLINK("#",""), HYPERLINK(CONCATENATE("#metadata!", ADDRESS(INDEX($X$2:$X$1001,MATCH(ROWS($V$2:V441),$V$2:$V$1001,0),0), INDEX($AC$1004:$AS$1004,1,MATCH(COLUMNS($AC$1006:AC1006),$AC$1006:$AS$1006,0)))),"Fix")))</f>
        <v xml:space="preserve"> </v>
      </c>
      <c r="C441" s="4" t="str">
        <f ca="1">IF(OR(INDEX($W$2:$W$1001,MATCH(ROWS($V$2:V441),$V$2:$V$1001,0),1)&gt;=100000,INDEX($AC$1005:$AS$1005,1,MATCH(COLUMNS($AC$1006:AD1006),$AC$1006:$AS$1006,0))&gt;=100000), " ",IF(INDEX($AC$2:$AS$1001,MATCH(ROWS($V$2:V441),$V$2:$V$1001,0),MATCH(COLUMNS($AC$1006:AD1006),$AC$1006:$AS$1006,0)), HYPERLINK("#",""), HYPERLINK(CONCATENATE("#metadata!", ADDRESS(INDEX($X$2:$X$1001,MATCH(ROWS($V$2:V441),$V$2:$V$1001,0),0), INDEX($AC$1004:$AS$1004,1,MATCH(COLUMNS($AC$1006:AD1006),$AC$1006:$AS$1006,0)))),"Fix")))</f>
        <v xml:space="preserve"> </v>
      </c>
      <c r="D441" s="4" t="str">
        <f ca="1">IF(OR(INDEX($W$2:$W$1001,MATCH(ROWS($V$2:V441),$V$2:$V$1001,0),1)&gt;=100000,INDEX($AC$1005:$AS$1005,1,MATCH(COLUMNS($AC$1006:AE1006),$AC$1006:$AS$1006,0))&gt;=100000), " ",IF(INDEX($AC$2:$AS$1001,MATCH(ROWS($V$2:V441),$V$2:$V$1001,0),MATCH(COLUMNS($AC$1006:AE1006),$AC$1006:$AS$1006,0)), HYPERLINK("#",""), HYPERLINK(CONCATENATE("#metadata!", ADDRESS(INDEX($X$2:$X$1001,MATCH(ROWS($V$2:V441),$V$2:$V$1001,0),0), INDEX($AC$1004:$AS$1004,1,MATCH(COLUMNS($AC$1006:AE1006),$AC$1006:$AS$1006,0)))),"Fix")))</f>
        <v xml:space="preserve"> </v>
      </c>
      <c r="E441" s="4" t="str">
        <f ca="1">IF(OR(INDEX($W$2:$W$1001,MATCH(ROWS($V$2:V441),$V$2:$V$1001,0),1)&gt;=100000,INDEX($AC$1005:$AS$1005,1,MATCH(COLUMNS($AC$1006:AF1006),$AC$1006:$AS$1006,0))&gt;=100000), " ",IF(INDEX($AC$2:$AS$1001,MATCH(ROWS($V$2:V441),$V$2:$V$1001,0),MATCH(COLUMNS($AC$1006:AF1006),$AC$1006:$AS$1006,0)), HYPERLINK("#",""), HYPERLINK(CONCATENATE("#metadata!", ADDRESS(INDEX($X$2:$X$1001,MATCH(ROWS($V$2:V441),$V$2:$V$1001,0),0), INDEX($AC$1004:$AS$1004,1,MATCH(COLUMNS($AC$1006:AF1006),$AC$1006:$AS$1006,0)))),"Fix")))</f>
        <v xml:space="preserve"> </v>
      </c>
      <c r="F441" s="4" t="str">
        <f ca="1">IF(OR(INDEX($W$2:$W$1001,MATCH(ROWS($V$2:V441),$V$2:$V$1001,0),1)&gt;=100000,INDEX($AC$1005:$AS$1005,1,MATCH(COLUMNS($AC$1006:AG1006),$AC$1006:$AS$1006,0))&gt;=100000), " ",IF(INDEX($AC$2:$AS$1001,MATCH(ROWS($V$2:V441),$V$2:$V$1001,0),MATCH(COLUMNS($AC$1006:AG1006),$AC$1006:$AS$1006,0)), HYPERLINK("#",""), HYPERLINK(CONCATENATE("#metadata!", ADDRESS(INDEX($X$2:$X$1001,MATCH(ROWS($V$2:V441),$V$2:$V$1001,0),0), INDEX($AC$1004:$AS$1004,1,MATCH(COLUMNS($AC$1006:AG1006),$AC$1006:$AS$1006,0)))),"Fix")))</f>
        <v xml:space="preserve"> </v>
      </c>
      <c r="G441" s="4" t="str">
        <f ca="1">IF(OR(INDEX($W$2:$W$1001,MATCH(ROWS($V$2:V441),$V$2:$V$1001,0),1)&gt;=100000,INDEX($AC$1005:$AS$1005,1,MATCH(COLUMNS($AC$1006:AH1006),$AC$1006:$AS$1006,0))&gt;=100000), " ",IF(INDEX($AC$2:$AS$1001,MATCH(ROWS($V$2:V441),$V$2:$V$1001,0),MATCH(COLUMNS($AC$1006:AH1006),$AC$1006:$AS$1006,0)), HYPERLINK("#",""), HYPERLINK(CONCATENATE("#metadata!", ADDRESS(INDEX($X$2:$X$1001,MATCH(ROWS($V$2:V441),$V$2:$V$1001,0),0), INDEX($AC$1004:$AS$1004,1,MATCH(COLUMNS($AC$1006:AH1006),$AC$1006:$AS$1006,0)))),"Fix")))</f>
        <v xml:space="preserve"> </v>
      </c>
      <c r="H441" s="4" t="str">
        <f ca="1">IF(OR(INDEX($W$2:$W$1001,MATCH(ROWS($V$2:V441),$V$2:$V$1001,0),1)&gt;=100000,INDEX($AC$1005:$AS$1005,1,MATCH(COLUMNS($AC$1006:AI1006),$AC$1006:$AS$1006,0))&gt;=100000), " ",IF(INDEX($AC$2:$AS$1001,MATCH(ROWS($V$2:V441),$V$2:$V$1001,0),MATCH(COLUMNS($AC$1006:AI1006),$AC$1006:$AS$1006,0)), HYPERLINK("#",""), HYPERLINK(CONCATENATE("#metadata!", ADDRESS(INDEX($X$2:$X$1001,MATCH(ROWS($V$2:V441),$V$2:$V$1001,0),0), INDEX($AC$1004:$AS$1004,1,MATCH(COLUMNS($AC$1006:AI1006),$AC$1006:$AS$1006,0)))),"Fix")))</f>
        <v xml:space="preserve"> </v>
      </c>
      <c r="I441" s="4" t="str">
        <f ca="1">IF(OR(INDEX($W$2:$W$1001,MATCH(ROWS($V$2:V441),$V$2:$V$1001,0),1)&gt;=100000,INDEX($AC$1005:$AS$1005,1,MATCH(COLUMNS($AC$1006:AJ1006),$AC$1006:$AS$1006,0))&gt;=100000), " ",IF(INDEX($AC$2:$AS$1001,MATCH(ROWS($V$2:V441),$V$2:$V$1001,0),MATCH(COLUMNS($AC$1006:AJ1006),$AC$1006:$AS$1006,0)), HYPERLINK("#",""), HYPERLINK(CONCATENATE("#metadata!", ADDRESS(INDEX($X$2:$X$1001,MATCH(ROWS($V$2:V441),$V$2:$V$1001,0),0), INDEX($AC$1004:$AS$1004,1,MATCH(COLUMNS($AC$1006:AJ1006),$AC$1006:$AS$1006,0)))),"Fix")))</f>
        <v xml:space="preserve"> </v>
      </c>
      <c r="J441" s="4" t="str">
        <f ca="1">IF(OR(INDEX($W$2:$W$1001,MATCH(ROWS($V$2:V441),$V$2:$V$1001,0),1)&gt;=100000,INDEX($AC$1005:$AS$1005,1,MATCH(COLUMNS($AC$1006:AK1006),$AC$1006:$AS$1006,0))&gt;=100000), " ",IF(INDEX($AC$2:$AS$1001,MATCH(ROWS($V$2:V441),$V$2:$V$1001,0),MATCH(COLUMNS($AC$1006:AK1006),$AC$1006:$AS$1006,0)), HYPERLINK("#",""), HYPERLINK(CONCATENATE("#metadata!", ADDRESS(INDEX($X$2:$X$1001,MATCH(ROWS($V$2:V441),$V$2:$V$1001,0),0), INDEX($AC$1004:$AS$1004,1,MATCH(COLUMNS($AC$1006:AK1006),$AC$1006:$AS$1006,0)))),"Fix")))</f>
        <v xml:space="preserve"> </v>
      </c>
      <c r="K441" s="4" t="str">
        <f ca="1">IF(OR(INDEX($W$2:$W$1001,MATCH(ROWS($V$2:V441),$V$2:$V$1001,0),1)&gt;=100000,INDEX($AC$1005:$AS$1005,1,MATCH(COLUMNS($AC$1006:AL1006),$AC$1006:$AS$1006,0))&gt;=100000), " ",IF(INDEX($AC$2:$AS$1001,MATCH(ROWS($V$2:V441),$V$2:$V$1001,0),MATCH(COLUMNS($AC$1006:AL1006),$AC$1006:$AS$1006,0)), HYPERLINK("#",""), HYPERLINK(CONCATENATE("#metadata!", ADDRESS(INDEX($X$2:$X$1001,MATCH(ROWS($V$2:V441),$V$2:$V$1001,0),0), INDEX($AC$1004:$AS$1004,1,MATCH(COLUMNS($AC$1006:AL1006),$AC$1006:$AS$1006,0)))),"Fix")))</f>
        <v xml:space="preserve"> </v>
      </c>
      <c r="L441" s="4" t="str">
        <f ca="1">IF(OR(INDEX($W$2:$W$1001,MATCH(ROWS($V$2:V441),$V$2:$V$1001,0),1)&gt;=100000,INDEX($AC$1005:$AS$1005,1,MATCH(COLUMNS($AC$1006:AM1006),$AC$1006:$AS$1006,0))&gt;=100000), " ",IF(INDEX($AC$2:$AS$1001,MATCH(ROWS($V$2:V441),$V$2:$V$1001,0),MATCH(COLUMNS($AC$1006:AM1006),$AC$1006:$AS$1006,0)), HYPERLINK("#",""), HYPERLINK(CONCATENATE("#metadata!", ADDRESS(INDEX($X$2:$X$1001,MATCH(ROWS($V$2:V441),$V$2:$V$1001,0),0), INDEX($AC$1004:$AS$1004,1,MATCH(COLUMNS($AC$1006:AM1006),$AC$1006:$AS$1006,0)))),"Fix")))</f>
        <v xml:space="preserve"> </v>
      </c>
      <c r="M441" s="4" t="str">
        <f ca="1">IF(OR(INDEX($W$2:$W$1001,MATCH(ROWS($V$2:V441),$V$2:$V$1001,0),1)&gt;=100000,INDEX($AC$1005:$AS$1005,1,MATCH(COLUMNS($AC$1006:AN1006),$AC$1006:$AS$1006,0))&gt;=100000), " ",IF(INDEX($AC$2:$AS$1001,MATCH(ROWS($V$2:V441),$V$2:$V$1001,0),MATCH(COLUMNS($AC$1006:AN1006),$AC$1006:$AS$1006,0)), HYPERLINK("#",""), HYPERLINK(CONCATENATE("#metadata!", ADDRESS(INDEX($X$2:$X$1001,MATCH(ROWS($V$2:V441),$V$2:$V$1001,0),0), INDEX($AC$1004:$AS$1004,1,MATCH(COLUMNS($AC$1006:AN1006),$AC$1006:$AS$1006,0)))),"Fix")))</f>
        <v xml:space="preserve"> </v>
      </c>
      <c r="N441" s="4" t="str">
        <f ca="1">IF(OR(INDEX($W$2:$W$1001,MATCH(ROWS($V$2:V441),$V$2:$V$1001,0),1)&gt;=100000,INDEX($AC$1005:$AS$1005,1,MATCH(COLUMNS($AC$1006:AO1006),$AC$1006:$AS$1006,0))&gt;=100000), " ",IF(INDEX($AC$2:$AS$1001,MATCH(ROWS($V$2:V441),$V$2:$V$1001,0),MATCH(COLUMNS($AC$1006:AO1006),$AC$1006:$AS$1006,0)), HYPERLINK("#",""), HYPERLINK(CONCATENATE("#metadata!", ADDRESS(INDEX($X$2:$X$1001,MATCH(ROWS($V$2:V441),$V$2:$V$1001,0),0), INDEX($AC$1004:$AS$1004,1,MATCH(COLUMNS($AC$1006:AO1006),$AC$1006:$AS$1006,0)))),"Fix")))</f>
        <v xml:space="preserve"> </v>
      </c>
      <c r="O441" s="4" t="str">
        <f ca="1">IF(OR(INDEX($W$2:$W$1001,MATCH(ROWS($V$2:V441),$V$2:$V$1001,0),1)&gt;=100000,INDEX($AC$1005:$AS$1005,1,MATCH(COLUMNS($AC$1006:AP1006),$AC$1006:$AS$1006,0))&gt;=100000), " ",IF(INDEX($AC$2:$AS$1001,MATCH(ROWS($V$2:V441),$V$2:$V$1001,0),MATCH(COLUMNS($AC$1006:AP1006),$AC$1006:$AS$1006,0)), HYPERLINK("#",""), HYPERLINK(CONCATENATE("#metadata!", ADDRESS(INDEX($X$2:$X$1001,MATCH(ROWS($V$2:V441),$V$2:$V$1001,0),0), INDEX($AC$1004:$AS$1004,1,MATCH(COLUMNS($AC$1006:AP1006),$AC$1006:$AS$1006,0)))),"Fix")))</f>
        <v xml:space="preserve"> </v>
      </c>
      <c r="P441" s="4" t="str">
        <f ca="1">IF(OR(INDEX($W$2:$W$1001,MATCH(ROWS($V$2:V441),$V$2:$V$1001,0),1)&gt;=100000,INDEX($AC$1005:$AS$1005,1,MATCH(COLUMNS($AC$1006:AQ1006),$AC$1006:$AS$1006,0))&gt;=100000), " ",IF(INDEX($AC$2:$AS$1001,MATCH(ROWS($V$2:V441),$V$2:$V$1001,0),MATCH(COLUMNS($AC$1006:AQ1006),$AC$1006:$AS$1006,0)), HYPERLINK("#",""), HYPERLINK(CONCATENATE("#metadata!", ADDRESS(INDEX($X$2:$X$1001,MATCH(ROWS($V$2:V441),$V$2:$V$1001,0),0), INDEX($AC$1004:$AS$1004,1,MATCH(COLUMNS($AC$1006:AQ1006),$AC$1006:$AS$1006,0)))),"Fix")))</f>
        <v xml:space="preserve"> </v>
      </c>
      <c r="Q441" s="4" t="str">
        <f ca="1">IF(OR(INDEX($W$2:$W$1001,MATCH(ROWS($V$2:V441),$V$2:$V$1001,0),1)&gt;=100000,INDEX($AC$1005:$AS$1005,1,MATCH(COLUMNS($AC$1006:AR1006),$AC$1006:$AS$1006,0))&gt;=100000), " ",IF(INDEX($AC$2:$AS$1001,MATCH(ROWS($V$2:V441),$V$2:$V$1001,0),MATCH(COLUMNS($AC$1006:AR1006),$AC$1006:$AS$1006,0)), HYPERLINK("#",""), HYPERLINK(CONCATENATE("#metadata!", ADDRESS(INDEX($X$2:$X$1001,MATCH(ROWS($V$2:V441),$V$2:$V$1001,0),0), INDEX($AC$1004:$AS$1004,1,MATCH(COLUMNS($AC$1006:AR1006),$AC$1006:$AS$1006,0)))),"Fix")))</f>
        <v xml:space="preserve"> </v>
      </c>
      <c r="R441" s="4" t="str">
        <f ca="1">IF(OR(INDEX($W$2:$W$1001,MATCH(ROWS($V$2:V441),$V$2:$V$1001,0),1)&gt;=100000,INDEX($AC$1005:$AS$1005,1,MATCH(COLUMNS($AC$1006:AS1006),$AC$1006:$AS$1006,0))&gt;=100000), " ",IF(INDEX($AC$2:$AS$1001,MATCH(ROWS($V$2:V441),$V$2:$V$1001,0),MATCH(COLUMNS($AC$1006:AS1006),$AC$1006:$AS$1006,0)), HYPERLINK("#",""), HYPERLINK(CONCATENATE("#metadata!", ADDRESS(INDEX($X$2:$X$1001,MATCH(ROWS($V$2:V441),$V$2:$V$1001,0),0), INDEX($AC$1004:$AS$1004,1,MATCH(COLUMNS($AC$1006:AS1006),$AC$1006:$AS$1006,0)))),"Fix")))</f>
        <v xml:space="preserve"> </v>
      </c>
      <c r="V441">
        <v>440</v>
      </c>
      <c r="W441">
        <v>100441</v>
      </c>
      <c r="X441">
        <v>441</v>
      </c>
      <c r="Y441" t="b">
        <f t="shared" si="6"/>
        <v>1</v>
      </c>
      <c r="Z441" t="b">
        <f>COUNTBLANK(metadata!B441:R441)=COLUMNS(metadata!B441:R441)</f>
        <v>1</v>
      </c>
      <c r="AA441" t="str">
        <v/>
      </c>
      <c r="AC441" t="b">
        <f ca="1"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AD441" t="b">
        <f>IF(metadata!C441="",FALSE,ISNUMBER(VALUE(metadata!C441)))</f>
        <v>0</v>
      </c>
      <c r="AE441" t="b">
        <f>AND(IF(metadata!D441="",FALSE,TRUE),EXACT(metadata!D441,"years"))</f>
        <v>0</v>
      </c>
      <c r="AF441" t="b">
        <f>OR(AND(IF(metadata!E441="",FALSE,TRUE),OR(EXACT(metadata!E441,"not applicable"),EXACT(metadata!E441,"missing: not collected"),EXACT(metadata!E441,"missing: not provided"),EXACT(metadata!E441,"missing: restricted access"))),AND(IF(metadata!E441="",FALSE,ISNUMBER(VALUE(metadata!E441))),metadata!E441&gt;0))</f>
        <v>0</v>
      </c>
      <c r="AG441" t="b">
        <f>AND(IF(metadata!F441="",FALSE,TRUE),EXACT(metadata!F441,"Not applicable"))</f>
        <v>0</v>
      </c>
      <c r="AH441" t="b">
        <f>AND(IF(metadata!G441="",FALSE,TRUE),EXACT(metadata!G441,"urban biome"))</f>
        <v>0</v>
      </c>
      <c r="AI441" t="b">
        <f>AND(IF(metadata!H441="",FALSE,TRUE),EXACT(metadata!H441,"human-associated habitat"))</f>
        <v>0</v>
      </c>
      <c r="AJ441" t="b">
        <f>AND(IF(metadata!I441="",FALSE,TRUE),OR(EXACT(metadata!I441,"human-associated"),EXACT(metadata!I441,"human-skin"),EXACT(metadata!I441,"human-oral"),EXACT(metadata!I441,"human-gut"),EXACT(metadata!I441,"human-vaginal")))</f>
        <v>0</v>
      </c>
      <c r="AK441" t="b">
        <f>IF(metadata!J441="",FALSE,ISNUMBER(VALUE(metadata!J441)))</f>
        <v>0</v>
      </c>
      <c r="AL441" t="b">
        <f>AND(IF(metadata!K441="",FALSE,TRUE),EXACT(metadata!K441,"cm"))</f>
        <v>0</v>
      </c>
      <c r="AM441" t="b">
        <f>AND(IF(metadata!L441="",FALSE,TRUE),EXACT(metadata!L441,"human"))</f>
        <v>0</v>
      </c>
      <c r="AN441" t="b">
        <f>AND(IF(metadata!M441="",FALSE,TRUE),EXACT(metadata!M441,"Homo sapiens"))</f>
        <v>0</v>
      </c>
      <c r="AO441" t="b">
        <f>AND(IF(metadata!N441="",FALSE,TRUE),EXACT(metadata!N441,"9606"))</f>
        <v>0</v>
      </c>
      <c r="AP441" t="b">
        <f>IF(metadata!O441="",FALSE,TRUE)</f>
        <v>0</v>
      </c>
      <c r="AQ441" t="b">
        <f>IF(metadata!P441="",FALSE,TRUE)</f>
        <v>0</v>
      </c>
      <c r="AR441" t="b">
        <f>IF(metadata!Q441="",FALSE,ISNUMBER(VALUE(metadata!Q441)))</f>
        <v>0</v>
      </c>
      <c r="AS441" t="b">
        <f>AND(IF(metadata!R441="",FALSE,TRUE),EXACT(metadata!R441,"kg"))</f>
        <v>0</v>
      </c>
    </row>
    <row r="442" spans="1:45" x14ac:dyDescent="0.2">
      <c r="A442" s="5" t="str">
        <f ca="1">IF(B442=" "," ",HYPERLINK(CONCATENATE("#metadata!",ADDRESS(INDEX($X$2:$X$1001,MATCH(ROWS($V$2:V442),$V$2:$V$1001,0),0),1)),INDEX($AA$2:$AA$1001,MATCH(ROWS($V$2:V442),$V$2:$V$1001,0),0)))</f>
        <v xml:space="preserve"> </v>
      </c>
      <c r="B442" s="4" t="str">
        <f ca="1">IF(OR(INDEX($W$2:$W$1001,MATCH(ROWS($V$2:V442),$V$2:$V$1001,0),1)&gt;=100000,INDEX($AC$1005:$AS$1005,1,MATCH(COLUMNS($AC$1006:AC1006),$AC$1006:$AS$1006,0))&gt;=100000), " ",IF(INDEX($AC$2:$AS$1001,MATCH(ROWS($V$2:V442),$V$2:$V$1001,0),MATCH(COLUMNS($AC$1006:AC1006),$AC$1006:$AS$1006,0)), HYPERLINK("#",""), HYPERLINK(CONCATENATE("#metadata!", ADDRESS(INDEX($X$2:$X$1001,MATCH(ROWS($V$2:V442),$V$2:$V$1001,0),0), INDEX($AC$1004:$AS$1004,1,MATCH(COLUMNS($AC$1006:AC1006),$AC$1006:$AS$1006,0)))),"Fix")))</f>
        <v xml:space="preserve"> </v>
      </c>
      <c r="C442" s="4" t="str">
        <f ca="1">IF(OR(INDEX($W$2:$W$1001,MATCH(ROWS($V$2:V442),$V$2:$V$1001,0),1)&gt;=100000,INDEX($AC$1005:$AS$1005,1,MATCH(COLUMNS($AC$1006:AD1006),$AC$1006:$AS$1006,0))&gt;=100000), " ",IF(INDEX($AC$2:$AS$1001,MATCH(ROWS($V$2:V442),$V$2:$V$1001,0),MATCH(COLUMNS($AC$1006:AD1006),$AC$1006:$AS$1006,0)), HYPERLINK("#",""), HYPERLINK(CONCATENATE("#metadata!", ADDRESS(INDEX($X$2:$X$1001,MATCH(ROWS($V$2:V442),$V$2:$V$1001,0),0), INDEX($AC$1004:$AS$1004,1,MATCH(COLUMNS($AC$1006:AD1006),$AC$1006:$AS$1006,0)))),"Fix")))</f>
        <v xml:space="preserve"> </v>
      </c>
      <c r="D442" s="4" t="str">
        <f ca="1">IF(OR(INDEX($W$2:$W$1001,MATCH(ROWS($V$2:V442),$V$2:$V$1001,0),1)&gt;=100000,INDEX($AC$1005:$AS$1005,1,MATCH(COLUMNS($AC$1006:AE1006),$AC$1006:$AS$1006,0))&gt;=100000), " ",IF(INDEX($AC$2:$AS$1001,MATCH(ROWS($V$2:V442),$V$2:$V$1001,0),MATCH(COLUMNS($AC$1006:AE1006),$AC$1006:$AS$1006,0)), HYPERLINK("#",""), HYPERLINK(CONCATENATE("#metadata!", ADDRESS(INDEX($X$2:$X$1001,MATCH(ROWS($V$2:V442),$V$2:$V$1001,0),0), INDEX($AC$1004:$AS$1004,1,MATCH(COLUMNS($AC$1006:AE1006),$AC$1006:$AS$1006,0)))),"Fix")))</f>
        <v xml:space="preserve"> </v>
      </c>
      <c r="E442" s="4" t="str">
        <f ca="1">IF(OR(INDEX($W$2:$W$1001,MATCH(ROWS($V$2:V442),$V$2:$V$1001,0),1)&gt;=100000,INDEX($AC$1005:$AS$1005,1,MATCH(COLUMNS($AC$1006:AF1006),$AC$1006:$AS$1006,0))&gt;=100000), " ",IF(INDEX($AC$2:$AS$1001,MATCH(ROWS($V$2:V442),$V$2:$V$1001,0),MATCH(COLUMNS($AC$1006:AF1006),$AC$1006:$AS$1006,0)), HYPERLINK("#",""), HYPERLINK(CONCATENATE("#metadata!", ADDRESS(INDEX($X$2:$X$1001,MATCH(ROWS($V$2:V442),$V$2:$V$1001,0),0), INDEX($AC$1004:$AS$1004,1,MATCH(COLUMNS($AC$1006:AF1006),$AC$1006:$AS$1006,0)))),"Fix")))</f>
        <v xml:space="preserve"> </v>
      </c>
      <c r="F442" s="4" t="str">
        <f ca="1">IF(OR(INDEX($W$2:$W$1001,MATCH(ROWS($V$2:V442),$V$2:$V$1001,0),1)&gt;=100000,INDEX($AC$1005:$AS$1005,1,MATCH(COLUMNS($AC$1006:AG1006),$AC$1006:$AS$1006,0))&gt;=100000), " ",IF(INDEX($AC$2:$AS$1001,MATCH(ROWS($V$2:V442),$V$2:$V$1001,0),MATCH(COLUMNS($AC$1006:AG1006),$AC$1006:$AS$1006,0)), HYPERLINK("#",""), HYPERLINK(CONCATENATE("#metadata!", ADDRESS(INDEX($X$2:$X$1001,MATCH(ROWS($V$2:V442),$V$2:$V$1001,0),0), INDEX($AC$1004:$AS$1004,1,MATCH(COLUMNS($AC$1006:AG1006),$AC$1006:$AS$1006,0)))),"Fix")))</f>
        <v xml:space="preserve"> </v>
      </c>
      <c r="G442" s="4" t="str">
        <f ca="1">IF(OR(INDEX($W$2:$W$1001,MATCH(ROWS($V$2:V442),$V$2:$V$1001,0),1)&gt;=100000,INDEX($AC$1005:$AS$1005,1,MATCH(COLUMNS($AC$1006:AH1006),$AC$1006:$AS$1006,0))&gt;=100000), " ",IF(INDEX($AC$2:$AS$1001,MATCH(ROWS($V$2:V442),$V$2:$V$1001,0),MATCH(COLUMNS($AC$1006:AH1006),$AC$1006:$AS$1006,0)), HYPERLINK("#",""), HYPERLINK(CONCATENATE("#metadata!", ADDRESS(INDEX($X$2:$X$1001,MATCH(ROWS($V$2:V442),$V$2:$V$1001,0),0), INDEX($AC$1004:$AS$1004,1,MATCH(COLUMNS($AC$1006:AH1006),$AC$1006:$AS$1006,0)))),"Fix")))</f>
        <v xml:space="preserve"> </v>
      </c>
      <c r="H442" s="4" t="str">
        <f ca="1">IF(OR(INDEX($W$2:$W$1001,MATCH(ROWS($V$2:V442),$V$2:$V$1001,0),1)&gt;=100000,INDEX($AC$1005:$AS$1005,1,MATCH(COLUMNS($AC$1006:AI1006),$AC$1006:$AS$1006,0))&gt;=100000), " ",IF(INDEX($AC$2:$AS$1001,MATCH(ROWS($V$2:V442),$V$2:$V$1001,0),MATCH(COLUMNS($AC$1006:AI1006),$AC$1006:$AS$1006,0)), HYPERLINK("#",""), HYPERLINK(CONCATENATE("#metadata!", ADDRESS(INDEX($X$2:$X$1001,MATCH(ROWS($V$2:V442),$V$2:$V$1001,0),0), INDEX($AC$1004:$AS$1004,1,MATCH(COLUMNS($AC$1006:AI1006),$AC$1006:$AS$1006,0)))),"Fix")))</f>
        <v xml:space="preserve"> </v>
      </c>
      <c r="I442" s="4" t="str">
        <f ca="1">IF(OR(INDEX($W$2:$W$1001,MATCH(ROWS($V$2:V442),$V$2:$V$1001,0),1)&gt;=100000,INDEX($AC$1005:$AS$1005,1,MATCH(COLUMNS($AC$1006:AJ1006),$AC$1006:$AS$1006,0))&gt;=100000), " ",IF(INDEX($AC$2:$AS$1001,MATCH(ROWS($V$2:V442),$V$2:$V$1001,0),MATCH(COLUMNS($AC$1006:AJ1006),$AC$1006:$AS$1006,0)), HYPERLINK("#",""), HYPERLINK(CONCATENATE("#metadata!", ADDRESS(INDEX($X$2:$X$1001,MATCH(ROWS($V$2:V442),$V$2:$V$1001,0),0), INDEX($AC$1004:$AS$1004,1,MATCH(COLUMNS($AC$1006:AJ1006),$AC$1006:$AS$1006,0)))),"Fix")))</f>
        <v xml:space="preserve"> </v>
      </c>
      <c r="J442" s="4" t="str">
        <f ca="1">IF(OR(INDEX($W$2:$W$1001,MATCH(ROWS($V$2:V442),$V$2:$V$1001,0),1)&gt;=100000,INDEX($AC$1005:$AS$1005,1,MATCH(COLUMNS($AC$1006:AK1006),$AC$1006:$AS$1006,0))&gt;=100000), " ",IF(INDEX($AC$2:$AS$1001,MATCH(ROWS($V$2:V442),$V$2:$V$1001,0),MATCH(COLUMNS($AC$1006:AK1006),$AC$1006:$AS$1006,0)), HYPERLINK("#",""), HYPERLINK(CONCATENATE("#metadata!", ADDRESS(INDEX($X$2:$X$1001,MATCH(ROWS($V$2:V442),$V$2:$V$1001,0),0), INDEX($AC$1004:$AS$1004,1,MATCH(COLUMNS($AC$1006:AK1006),$AC$1006:$AS$1006,0)))),"Fix")))</f>
        <v xml:space="preserve"> </v>
      </c>
      <c r="K442" s="4" t="str">
        <f ca="1">IF(OR(INDEX($W$2:$W$1001,MATCH(ROWS($V$2:V442),$V$2:$V$1001,0),1)&gt;=100000,INDEX($AC$1005:$AS$1005,1,MATCH(COLUMNS($AC$1006:AL1006),$AC$1006:$AS$1006,0))&gt;=100000), " ",IF(INDEX($AC$2:$AS$1001,MATCH(ROWS($V$2:V442),$V$2:$V$1001,0),MATCH(COLUMNS($AC$1006:AL1006),$AC$1006:$AS$1006,0)), HYPERLINK("#",""), HYPERLINK(CONCATENATE("#metadata!", ADDRESS(INDEX($X$2:$X$1001,MATCH(ROWS($V$2:V442),$V$2:$V$1001,0),0), INDEX($AC$1004:$AS$1004,1,MATCH(COLUMNS($AC$1006:AL1006),$AC$1006:$AS$1006,0)))),"Fix")))</f>
        <v xml:space="preserve"> </v>
      </c>
      <c r="L442" s="4" t="str">
        <f ca="1">IF(OR(INDEX($W$2:$W$1001,MATCH(ROWS($V$2:V442),$V$2:$V$1001,0),1)&gt;=100000,INDEX($AC$1005:$AS$1005,1,MATCH(COLUMNS($AC$1006:AM1006),$AC$1006:$AS$1006,0))&gt;=100000), " ",IF(INDEX($AC$2:$AS$1001,MATCH(ROWS($V$2:V442),$V$2:$V$1001,0),MATCH(COLUMNS($AC$1006:AM1006),$AC$1006:$AS$1006,0)), HYPERLINK("#",""), HYPERLINK(CONCATENATE("#metadata!", ADDRESS(INDEX($X$2:$X$1001,MATCH(ROWS($V$2:V442),$V$2:$V$1001,0),0), INDEX($AC$1004:$AS$1004,1,MATCH(COLUMNS($AC$1006:AM1006),$AC$1006:$AS$1006,0)))),"Fix")))</f>
        <v xml:space="preserve"> </v>
      </c>
      <c r="M442" s="4" t="str">
        <f ca="1">IF(OR(INDEX($W$2:$W$1001,MATCH(ROWS($V$2:V442),$V$2:$V$1001,0),1)&gt;=100000,INDEX($AC$1005:$AS$1005,1,MATCH(COLUMNS($AC$1006:AN1006),$AC$1006:$AS$1006,0))&gt;=100000), " ",IF(INDEX($AC$2:$AS$1001,MATCH(ROWS($V$2:V442),$V$2:$V$1001,0),MATCH(COLUMNS($AC$1006:AN1006),$AC$1006:$AS$1006,0)), HYPERLINK("#",""), HYPERLINK(CONCATENATE("#metadata!", ADDRESS(INDEX($X$2:$X$1001,MATCH(ROWS($V$2:V442),$V$2:$V$1001,0),0), INDEX($AC$1004:$AS$1004,1,MATCH(COLUMNS($AC$1006:AN1006),$AC$1006:$AS$1006,0)))),"Fix")))</f>
        <v xml:space="preserve"> </v>
      </c>
      <c r="N442" s="4" t="str">
        <f ca="1">IF(OR(INDEX($W$2:$W$1001,MATCH(ROWS($V$2:V442),$V$2:$V$1001,0),1)&gt;=100000,INDEX($AC$1005:$AS$1005,1,MATCH(COLUMNS($AC$1006:AO1006),$AC$1006:$AS$1006,0))&gt;=100000), " ",IF(INDEX($AC$2:$AS$1001,MATCH(ROWS($V$2:V442),$V$2:$V$1001,0),MATCH(COLUMNS($AC$1006:AO1006),$AC$1006:$AS$1006,0)), HYPERLINK("#",""), HYPERLINK(CONCATENATE("#metadata!", ADDRESS(INDEX($X$2:$X$1001,MATCH(ROWS($V$2:V442),$V$2:$V$1001,0),0), INDEX($AC$1004:$AS$1004,1,MATCH(COLUMNS($AC$1006:AO1006),$AC$1006:$AS$1006,0)))),"Fix")))</f>
        <v xml:space="preserve"> </v>
      </c>
      <c r="O442" s="4" t="str">
        <f ca="1">IF(OR(INDEX($W$2:$W$1001,MATCH(ROWS($V$2:V442),$V$2:$V$1001,0),1)&gt;=100000,INDEX($AC$1005:$AS$1005,1,MATCH(COLUMNS($AC$1006:AP1006),$AC$1006:$AS$1006,0))&gt;=100000), " ",IF(INDEX($AC$2:$AS$1001,MATCH(ROWS($V$2:V442),$V$2:$V$1001,0),MATCH(COLUMNS($AC$1006:AP1006),$AC$1006:$AS$1006,0)), HYPERLINK("#",""), HYPERLINK(CONCATENATE("#metadata!", ADDRESS(INDEX($X$2:$X$1001,MATCH(ROWS($V$2:V442),$V$2:$V$1001,0),0), INDEX($AC$1004:$AS$1004,1,MATCH(COLUMNS($AC$1006:AP1006),$AC$1006:$AS$1006,0)))),"Fix")))</f>
        <v xml:space="preserve"> </v>
      </c>
      <c r="P442" s="4" t="str">
        <f ca="1">IF(OR(INDEX($W$2:$W$1001,MATCH(ROWS($V$2:V442),$V$2:$V$1001,0),1)&gt;=100000,INDEX($AC$1005:$AS$1005,1,MATCH(COLUMNS($AC$1006:AQ1006),$AC$1006:$AS$1006,0))&gt;=100000), " ",IF(INDEX($AC$2:$AS$1001,MATCH(ROWS($V$2:V442),$V$2:$V$1001,0),MATCH(COLUMNS($AC$1006:AQ1006),$AC$1006:$AS$1006,0)), HYPERLINK("#",""), HYPERLINK(CONCATENATE("#metadata!", ADDRESS(INDEX($X$2:$X$1001,MATCH(ROWS($V$2:V442),$V$2:$V$1001,0),0), INDEX($AC$1004:$AS$1004,1,MATCH(COLUMNS($AC$1006:AQ1006),$AC$1006:$AS$1006,0)))),"Fix")))</f>
        <v xml:space="preserve"> </v>
      </c>
      <c r="Q442" s="4" t="str">
        <f ca="1">IF(OR(INDEX($W$2:$W$1001,MATCH(ROWS($V$2:V442),$V$2:$V$1001,0),1)&gt;=100000,INDEX($AC$1005:$AS$1005,1,MATCH(COLUMNS($AC$1006:AR1006),$AC$1006:$AS$1006,0))&gt;=100000), " ",IF(INDEX($AC$2:$AS$1001,MATCH(ROWS($V$2:V442),$V$2:$V$1001,0),MATCH(COLUMNS($AC$1006:AR1006),$AC$1006:$AS$1006,0)), HYPERLINK("#",""), HYPERLINK(CONCATENATE("#metadata!", ADDRESS(INDEX($X$2:$X$1001,MATCH(ROWS($V$2:V442),$V$2:$V$1001,0),0), INDEX($AC$1004:$AS$1004,1,MATCH(COLUMNS($AC$1006:AR1006),$AC$1006:$AS$1006,0)))),"Fix")))</f>
        <v xml:space="preserve"> </v>
      </c>
      <c r="R442" s="4" t="str">
        <f ca="1">IF(OR(INDEX($W$2:$W$1001,MATCH(ROWS($V$2:V442),$V$2:$V$1001,0),1)&gt;=100000,INDEX($AC$1005:$AS$1005,1,MATCH(COLUMNS($AC$1006:AS1006),$AC$1006:$AS$1006,0))&gt;=100000), " ",IF(INDEX($AC$2:$AS$1001,MATCH(ROWS($V$2:V442),$V$2:$V$1001,0),MATCH(COLUMNS($AC$1006:AS1006),$AC$1006:$AS$1006,0)), HYPERLINK("#",""), HYPERLINK(CONCATENATE("#metadata!", ADDRESS(INDEX($X$2:$X$1001,MATCH(ROWS($V$2:V442),$V$2:$V$1001,0),0), INDEX($AC$1004:$AS$1004,1,MATCH(COLUMNS($AC$1006:AS1006),$AC$1006:$AS$1006,0)))),"Fix")))</f>
        <v xml:space="preserve"> </v>
      </c>
      <c r="V442">
        <v>441</v>
      </c>
      <c r="W442">
        <v>100442</v>
      </c>
      <c r="X442">
        <v>442</v>
      </c>
      <c r="Y442" t="b">
        <f t="shared" si="6"/>
        <v>1</v>
      </c>
      <c r="Z442" t="b">
        <f>COUNTBLANK(metadata!B442:R442)=COLUMNS(metadata!B442:R442)</f>
        <v>1</v>
      </c>
      <c r="AA442" t="str">
        <v/>
      </c>
      <c r="AC442" t="b">
        <f ca="1"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AD442" t="b">
        <f>IF(metadata!C442="",FALSE,ISNUMBER(VALUE(metadata!C442)))</f>
        <v>0</v>
      </c>
      <c r="AE442" t="b">
        <f>AND(IF(metadata!D442="",FALSE,TRUE),EXACT(metadata!D442,"years"))</f>
        <v>0</v>
      </c>
      <c r="AF442" t="b">
        <f>OR(AND(IF(metadata!E442="",FALSE,TRUE),OR(EXACT(metadata!E442,"not applicable"),EXACT(metadata!E442,"missing: not collected"),EXACT(metadata!E442,"missing: not provided"),EXACT(metadata!E442,"missing: restricted access"))),AND(IF(metadata!E442="",FALSE,ISNUMBER(VALUE(metadata!E442))),metadata!E442&gt;0))</f>
        <v>0</v>
      </c>
      <c r="AG442" t="b">
        <f>AND(IF(metadata!F442="",FALSE,TRUE),EXACT(metadata!F442,"Not applicable"))</f>
        <v>0</v>
      </c>
      <c r="AH442" t="b">
        <f>AND(IF(metadata!G442="",FALSE,TRUE),EXACT(metadata!G442,"urban biome"))</f>
        <v>0</v>
      </c>
      <c r="AI442" t="b">
        <f>AND(IF(metadata!H442="",FALSE,TRUE),EXACT(metadata!H442,"human-associated habitat"))</f>
        <v>0</v>
      </c>
      <c r="AJ442" t="b">
        <f>AND(IF(metadata!I442="",FALSE,TRUE),OR(EXACT(metadata!I442,"human-associated"),EXACT(metadata!I442,"human-skin"),EXACT(metadata!I442,"human-oral"),EXACT(metadata!I442,"human-gut"),EXACT(metadata!I442,"human-vaginal")))</f>
        <v>0</v>
      </c>
      <c r="AK442" t="b">
        <f>IF(metadata!J442="",FALSE,ISNUMBER(VALUE(metadata!J442)))</f>
        <v>0</v>
      </c>
      <c r="AL442" t="b">
        <f>AND(IF(metadata!K442="",FALSE,TRUE),EXACT(metadata!K442,"cm"))</f>
        <v>0</v>
      </c>
      <c r="AM442" t="b">
        <f>AND(IF(metadata!L442="",FALSE,TRUE),EXACT(metadata!L442,"human"))</f>
        <v>0</v>
      </c>
      <c r="AN442" t="b">
        <f>AND(IF(metadata!M442="",FALSE,TRUE),EXACT(metadata!M442,"Homo sapiens"))</f>
        <v>0</v>
      </c>
      <c r="AO442" t="b">
        <f>AND(IF(metadata!N442="",FALSE,TRUE),EXACT(metadata!N442,"9606"))</f>
        <v>0</v>
      </c>
      <c r="AP442" t="b">
        <f>IF(metadata!O442="",FALSE,TRUE)</f>
        <v>0</v>
      </c>
      <c r="AQ442" t="b">
        <f>IF(metadata!P442="",FALSE,TRUE)</f>
        <v>0</v>
      </c>
      <c r="AR442" t="b">
        <f>IF(metadata!Q442="",FALSE,ISNUMBER(VALUE(metadata!Q442)))</f>
        <v>0</v>
      </c>
      <c r="AS442" t="b">
        <f>AND(IF(metadata!R442="",FALSE,TRUE),EXACT(metadata!R442,"kg"))</f>
        <v>0</v>
      </c>
    </row>
    <row r="443" spans="1:45" x14ac:dyDescent="0.2">
      <c r="A443" s="5" t="str">
        <f ca="1">IF(B443=" "," ",HYPERLINK(CONCATENATE("#metadata!",ADDRESS(INDEX($X$2:$X$1001,MATCH(ROWS($V$2:V443),$V$2:$V$1001,0),0),1)),INDEX($AA$2:$AA$1001,MATCH(ROWS($V$2:V443),$V$2:$V$1001,0),0)))</f>
        <v xml:space="preserve"> </v>
      </c>
      <c r="B443" s="4" t="str">
        <f ca="1">IF(OR(INDEX($W$2:$W$1001,MATCH(ROWS($V$2:V443),$V$2:$V$1001,0),1)&gt;=100000,INDEX($AC$1005:$AS$1005,1,MATCH(COLUMNS($AC$1006:AC1006),$AC$1006:$AS$1006,0))&gt;=100000), " ",IF(INDEX($AC$2:$AS$1001,MATCH(ROWS($V$2:V443),$V$2:$V$1001,0),MATCH(COLUMNS($AC$1006:AC1006),$AC$1006:$AS$1006,0)), HYPERLINK("#",""), HYPERLINK(CONCATENATE("#metadata!", ADDRESS(INDEX($X$2:$X$1001,MATCH(ROWS($V$2:V443),$V$2:$V$1001,0),0), INDEX($AC$1004:$AS$1004,1,MATCH(COLUMNS($AC$1006:AC1006),$AC$1006:$AS$1006,0)))),"Fix")))</f>
        <v xml:space="preserve"> </v>
      </c>
      <c r="C443" s="4" t="str">
        <f ca="1">IF(OR(INDEX($W$2:$W$1001,MATCH(ROWS($V$2:V443),$V$2:$V$1001,0),1)&gt;=100000,INDEX($AC$1005:$AS$1005,1,MATCH(COLUMNS($AC$1006:AD1006),$AC$1006:$AS$1006,0))&gt;=100000), " ",IF(INDEX($AC$2:$AS$1001,MATCH(ROWS($V$2:V443),$V$2:$V$1001,0),MATCH(COLUMNS($AC$1006:AD1006),$AC$1006:$AS$1006,0)), HYPERLINK("#",""), HYPERLINK(CONCATENATE("#metadata!", ADDRESS(INDEX($X$2:$X$1001,MATCH(ROWS($V$2:V443),$V$2:$V$1001,0),0), INDEX($AC$1004:$AS$1004,1,MATCH(COLUMNS($AC$1006:AD1006),$AC$1006:$AS$1006,0)))),"Fix")))</f>
        <v xml:space="preserve"> </v>
      </c>
      <c r="D443" s="4" t="str">
        <f ca="1">IF(OR(INDEX($W$2:$W$1001,MATCH(ROWS($V$2:V443),$V$2:$V$1001,0),1)&gt;=100000,INDEX($AC$1005:$AS$1005,1,MATCH(COLUMNS($AC$1006:AE1006),$AC$1006:$AS$1006,0))&gt;=100000), " ",IF(INDEX($AC$2:$AS$1001,MATCH(ROWS($V$2:V443),$V$2:$V$1001,0),MATCH(COLUMNS($AC$1006:AE1006),$AC$1006:$AS$1006,0)), HYPERLINK("#",""), HYPERLINK(CONCATENATE("#metadata!", ADDRESS(INDEX($X$2:$X$1001,MATCH(ROWS($V$2:V443),$V$2:$V$1001,0),0), INDEX($AC$1004:$AS$1004,1,MATCH(COLUMNS($AC$1006:AE1006),$AC$1006:$AS$1006,0)))),"Fix")))</f>
        <v xml:space="preserve"> </v>
      </c>
      <c r="E443" s="4" t="str">
        <f ca="1">IF(OR(INDEX($W$2:$W$1001,MATCH(ROWS($V$2:V443),$V$2:$V$1001,0),1)&gt;=100000,INDEX($AC$1005:$AS$1005,1,MATCH(COLUMNS($AC$1006:AF1006),$AC$1006:$AS$1006,0))&gt;=100000), " ",IF(INDEX($AC$2:$AS$1001,MATCH(ROWS($V$2:V443),$V$2:$V$1001,0),MATCH(COLUMNS($AC$1006:AF1006),$AC$1006:$AS$1006,0)), HYPERLINK("#",""), HYPERLINK(CONCATENATE("#metadata!", ADDRESS(INDEX($X$2:$X$1001,MATCH(ROWS($V$2:V443),$V$2:$V$1001,0),0), INDEX($AC$1004:$AS$1004,1,MATCH(COLUMNS($AC$1006:AF1006),$AC$1006:$AS$1006,0)))),"Fix")))</f>
        <v xml:space="preserve"> </v>
      </c>
      <c r="F443" s="4" t="str">
        <f ca="1">IF(OR(INDEX($W$2:$W$1001,MATCH(ROWS($V$2:V443),$V$2:$V$1001,0),1)&gt;=100000,INDEX($AC$1005:$AS$1005,1,MATCH(COLUMNS($AC$1006:AG1006),$AC$1006:$AS$1006,0))&gt;=100000), " ",IF(INDEX($AC$2:$AS$1001,MATCH(ROWS($V$2:V443),$V$2:$V$1001,0),MATCH(COLUMNS($AC$1006:AG1006),$AC$1006:$AS$1006,0)), HYPERLINK("#",""), HYPERLINK(CONCATENATE("#metadata!", ADDRESS(INDEX($X$2:$X$1001,MATCH(ROWS($V$2:V443),$V$2:$V$1001,0),0), INDEX($AC$1004:$AS$1004,1,MATCH(COLUMNS($AC$1006:AG1006),$AC$1006:$AS$1006,0)))),"Fix")))</f>
        <v xml:space="preserve"> </v>
      </c>
      <c r="G443" s="4" t="str">
        <f ca="1">IF(OR(INDEX($W$2:$W$1001,MATCH(ROWS($V$2:V443),$V$2:$V$1001,0),1)&gt;=100000,INDEX($AC$1005:$AS$1005,1,MATCH(COLUMNS($AC$1006:AH1006),$AC$1006:$AS$1006,0))&gt;=100000), " ",IF(INDEX($AC$2:$AS$1001,MATCH(ROWS($V$2:V443),$V$2:$V$1001,0),MATCH(COLUMNS($AC$1006:AH1006),$AC$1006:$AS$1006,0)), HYPERLINK("#",""), HYPERLINK(CONCATENATE("#metadata!", ADDRESS(INDEX($X$2:$X$1001,MATCH(ROWS($V$2:V443),$V$2:$V$1001,0),0), INDEX($AC$1004:$AS$1004,1,MATCH(COLUMNS($AC$1006:AH1006),$AC$1006:$AS$1006,0)))),"Fix")))</f>
        <v xml:space="preserve"> </v>
      </c>
      <c r="H443" s="4" t="str">
        <f ca="1">IF(OR(INDEX($W$2:$W$1001,MATCH(ROWS($V$2:V443),$V$2:$V$1001,0),1)&gt;=100000,INDEX($AC$1005:$AS$1005,1,MATCH(COLUMNS($AC$1006:AI1006),$AC$1006:$AS$1006,0))&gt;=100000), " ",IF(INDEX($AC$2:$AS$1001,MATCH(ROWS($V$2:V443),$V$2:$V$1001,0),MATCH(COLUMNS($AC$1006:AI1006),$AC$1006:$AS$1006,0)), HYPERLINK("#",""), HYPERLINK(CONCATENATE("#metadata!", ADDRESS(INDEX($X$2:$X$1001,MATCH(ROWS($V$2:V443),$V$2:$V$1001,0),0), INDEX($AC$1004:$AS$1004,1,MATCH(COLUMNS($AC$1006:AI1006),$AC$1006:$AS$1006,0)))),"Fix")))</f>
        <v xml:space="preserve"> </v>
      </c>
      <c r="I443" s="4" t="str">
        <f ca="1">IF(OR(INDEX($W$2:$W$1001,MATCH(ROWS($V$2:V443),$V$2:$V$1001,0),1)&gt;=100000,INDEX($AC$1005:$AS$1005,1,MATCH(COLUMNS($AC$1006:AJ1006),$AC$1006:$AS$1006,0))&gt;=100000), " ",IF(INDEX($AC$2:$AS$1001,MATCH(ROWS($V$2:V443),$V$2:$V$1001,0),MATCH(COLUMNS($AC$1006:AJ1006),$AC$1006:$AS$1006,0)), HYPERLINK("#",""), HYPERLINK(CONCATENATE("#metadata!", ADDRESS(INDEX($X$2:$X$1001,MATCH(ROWS($V$2:V443),$V$2:$V$1001,0),0), INDEX($AC$1004:$AS$1004,1,MATCH(COLUMNS($AC$1006:AJ1006),$AC$1006:$AS$1006,0)))),"Fix")))</f>
        <v xml:space="preserve"> </v>
      </c>
      <c r="J443" s="4" t="str">
        <f ca="1">IF(OR(INDEX($W$2:$W$1001,MATCH(ROWS($V$2:V443),$V$2:$V$1001,0),1)&gt;=100000,INDEX($AC$1005:$AS$1005,1,MATCH(COLUMNS($AC$1006:AK1006),$AC$1006:$AS$1006,0))&gt;=100000), " ",IF(INDEX($AC$2:$AS$1001,MATCH(ROWS($V$2:V443),$V$2:$V$1001,0),MATCH(COLUMNS($AC$1006:AK1006),$AC$1006:$AS$1006,0)), HYPERLINK("#",""), HYPERLINK(CONCATENATE("#metadata!", ADDRESS(INDEX($X$2:$X$1001,MATCH(ROWS($V$2:V443),$V$2:$V$1001,0),0), INDEX($AC$1004:$AS$1004,1,MATCH(COLUMNS($AC$1006:AK1006),$AC$1006:$AS$1006,0)))),"Fix")))</f>
        <v xml:space="preserve"> </v>
      </c>
      <c r="K443" s="4" t="str">
        <f ca="1">IF(OR(INDEX($W$2:$W$1001,MATCH(ROWS($V$2:V443),$V$2:$V$1001,0),1)&gt;=100000,INDEX($AC$1005:$AS$1005,1,MATCH(COLUMNS($AC$1006:AL1006),$AC$1006:$AS$1006,0))&gt;=100000), " ",IF(INDEX($AC$2:$AS$1001,MATCH(ROWS($V$2:V443),$V$2:$V$1001,0),MATCH(COLUMNS($AC$1006:AL1006),$AC$1006:$AS$1006,0)), HYPERLINK("#",""), HYPERLINK(CONCATENATE("#metadata!", ADDRESS(INDEX($X$2:$X$1001,MATCH(ROWS($V$2:V443),$V$2:$V$1001,0),0), INDEX($AC$1004:$AS$1004,1,MATCH(COLUMNS($AC$1006:AL1006),$AC$1006:$AS$1006,0)))),"Fix")))</f>
        <v xml:space="preserve"> </v>
      </c>
      <c r="L443" s="4" t="str">
        <f ca="1">IF(OR(INDEX($W$2:$W$1001,MATCH(ROWS($V$2:V443),$V$2:$V$1001,0),1)&gt;=100000,INDEX($AC$1005:$AS$1005,1,MATCH(COLUMNS($AC$1006:AM1006),$AC$1006:$AS$1006,0))&gt;=100000), " ",IF(INDEX($AC$2:$AS$1001,MATCH(ROWS($V$2:V443),$V$2:$V$1001,0),MATCH(COLUMNS($AC$1006:AM1006),$AC$1006:$AS$1006,0)), HYPERLINK("#",""), HYPERLINK(CONCATENATE("#metadata!", ADDRESS(INDEX($X$2:$X$1001,MATCH(ROWS($V$2:V443),$V$2:$V$1001,0),0), INDEX($AC$1004:$AS$1004,1,MATCH(COLUMNS($AC$1006:AM1006),$AC$1006:$AS$1006,0)))),"Fix")))</f>
        <v xml:space="preserve"> </v>
      </c>
      <c r="M443" s="4" t="str">
        <f ca="1">IF(OR(INDEX($W$2:$W$1001,MATCH(ROWS($V$2:V443),$V$2:$V$1001,0),1)&gt;=100000,INDEX($AC$1005:$AS$1005,1,MATCH(COLUMNS($AC$1006:AN1006),$AC$1006:$AS$1006,0))&gt;=100000), " ",IF(INDEX($AC$2:$AS$1001,MATCH(ROWS($V$2:V443),$V$2:$V$1001,0),MATCH(COLUMNS($AC$1006:AN1006),$AC$1006:$AS$1006,0)), HYPERLINK("#",""), HYPERLINK(CONCATENATE("#metadata!", ADDRESS(INDEX($X$2:$X$1001,MATCH(ROWS($V$2:V443),$V$2:$V$1001,0),0), INDEX($AC$1004:$AS$1004,1,MATCH(COLUMNS($AC$1006:AN1006),$AC$1006:$AS$1006,0)))),"Fix")))</f>
        <v xml:space="preserve"> </v>
      </c>
      <c r="N443" s="4" t="str">
        <f ca="1">IF(OR(INDEX($W$2:$W$1001,MATCH(ROWS($V$2:V443),$V$2:$V$1001,0),1)&gt;=100000,INDEX($AC$1005:$AS$1005,1,MATCH(COLUMNS($AC$1006:AO1006),$AC$1006:$AS$1006,0))&gt;=100000), " ",IF(INDEX($AC$2:$AS$1001,MATCH(ROWS($V$2:V443),$V$2:$V$1001,0),MATCH(COLUMNS($AC$1006:AO1006),$AC$1006:$AS$1006,0)), HYPERLINK("#",""), HYPERLINK(CONCATENATE("#metadata!", ADDRESS(INDEX($X$2:$X$1001,MATCH(ROWS($V$2:V443),$V$2:$V$1001,0),0), INDEX($AC$1004:$AS$1004,1,MATCH(COLUMNS($AC$1006:AO1006),$AC$1006:$AS$1006,0)))),"Fix")))</f>
        <v xml:space="preserve"> </v>
      </c>
      <c r="O443" s="4" t="str">
        <f ca="1">IF(OR(INDEX($W$2:$W$1001,MATCH(ROWS($V$2:V443),$V$2:$V$1001,0),1)&gt;=100000,INDEX($AC$1005:$AS$1005,1,MATCH(COLUMNS($AC$1006:AP1006),$AC$1006:$AS$1006,0))&gt;=100000), " ",IF(INDEX($AC$2:$AS$1001,MATCH(ROWS($V$2:V443),$V$2:$V$1001,0),MATCH(COLUMNS($AC$1006:AP1006),$AC$1006:$AS$1006,0)), HYPERLINK("#",""), HYPERLINK(CONCATENATE("#metadata!", ADDRESS(INDEX($X$2:$X$1001,MATCH(ROWS($V$2:V443),$V$2:$V$1001,0),0), INDEX($AC$1004:$AS$1004,1,MATCH(COLUMNS($AC$1006:AP1006),$AC$1006:$AS$1006,0)))),"Fix")))</f>
        <v xml:space="preserve"> </v>
      </c>
      <c r="P443" s="4" t="str">
        <f ca="1">IF(OR(INDEX($W$2:$W$1001,MATCH(ROWS($V$2:V443),$V$2:$V$1001,0),1)&gt;=100000,INDEX($AC$1005:$AS$1005,1,MATCH(COLUMNS($AC$1006:AQ1006),$AC$1006:$AS$1006,0))&gt;=100000), " ",IF(INDEX($AC$2:$AS$1001,MATCH(ROWS($V$2:V443),$V$2:$V$1001,0),MATCH(COLUMNS($AC$1006:AQ1006),$AC$1006:$AS$1006,0)), HYPERLINK("#",""), HYPERLINK(CONCATENATE("#metadata!", ADDRESS(INDEX($X$2:$X$1001,MATCH(ROWS($V$2:V443),$V$2:$V$1001,0),0), INDEX($AC$1004:$AS$1004,1,MATCH(COLUMNS($AC$1006:AQ1006),$AC$1006:$AS$1006,0)))),"Fix")))</f>
        <v xml:space="preserve"> </v>
      </c>
      <c r="Q443" s="4" t="str">
        <f ca="1">IF(OR(INDEX($W$2:$W$1001,MATCH(ROWS($V$2:V443),$V$2:$V$1001,0),1)&gt;=100000,INDEX($AC$1005:$AS$1005,1,MATCH(COLUMNS($AC$1006:AR1006),$AC$1006:$AS$1006,0))&gt;=100000), " ",IF(INDEX($AC$2:$AS$1001,MATCH(ROWS($V$2:V443),$V$2:$V$1001,0),MATCH(COLUMNS($AC$1006:AR1006),$AC$1006:$AS$1006,0)), HYPERLINK("#",""), HYPERLINK(CONCATENATE("#metadata!", ADDRESS(INDEX($X$2:$X$1001,MATCH(ROWS($V$2:V443),$V$2:$V$1001,0),0), INDEX($AC$1004:$AS$1004,1,MATCH(COLUMNS($AC$1006:AR1006),$AC$1006:$AS$1006,0)))),"Fix")))</f>
        <v xml:space="preserve"> </v>
      </c>
      <c r="R443" s="4" t="str">
        <f ca="1">IF(OR(INDEX($W$2:$W$1001,MATCH(ROWS($V$2:V443),$V$2:$V$1001,0),1)&gt;=100000,INDEX($AC$1005:$AS$1005,1,MATCH(COLUMNS($AC$1006:AS1006),$AC$1006:$AS$1006,0))&gt;=100000), " ",IF(INDEX($AC$2:$AS$1001,MATCH(ROWS($V$2:V443),$V$2:$V$1001,0),MATCH(COLUMNS($AC$1006:AS1006),$AC$1006:$AS$1006,0)), HYPERLINK("#",""), HYPERLINK(CONCATENATE("#metadata!", ADDRESS(INDEX($X$2:$X$1001,MATCH(ROWS($V$2:V443),$V$2:$V$1001,0),0), INDEX($AC$1004:$AS$1004,1,MATCH(COLUMNS($AC$1006:AS1006),$AC$1006:$AS$1006,0)))),"Fix")))</f>
        <v xml:space="preserve"> </v>
      </c>
      <c r="V443">
        <v>442</v>
      </c>
      <c r="W443">
        <v>100443</v>
      </c>
      <c r="X443">
        <v>443</v>
      </c>
      <c r="Y443" t="b">
        <f t="shared" si="6"/>
        <v>1</v>
      </c>
      <c r="Z443" t="b">
        <f>COUNTBLANK(metadata!B443:R443)=COLUMNS(metadata!B443:R443)</f>
        <v>1</v>
      </c>
      <c r="AA443" t="str">
        <v/>
      </c>
      <c r="AC443" t="b">
        <f ca="1"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AD443" t="b">
        <f>IF(metadata!C443="",FALSE,ISNUMBER(VALUE(metadata!C443)))</f>
        <v>0</v>
      </c>
      <c r="AE443" t="b">
        <f>AND(IF(metadata!D443="",FALSE,TRUE),EXACT(metadata!D443,"years"))</f>
        <v>0</v>
      </c>
      <c r="AF443" t="b">
        <f>OR(AND(IF(metadata!E443="",FALSE,TRUE),OR(EXACT(metadata!E443,"not applicable"),EXACT(metadata!E443,"missing: not collected"),EXACT(metadata!E443,"missing: not provided"),EXACT(metadata!E443,"missing: restricted access"))),AND(IF(metadata!E443="",FALSE,ISNUMBER(VALUE(metadata!E443))),metadata!E443&gt;0))</f>
        <v>0</v>
      </c>
      <c r="AG443" t="b">
        <f>AND(IF(metadata!F443="",FALSE,TRUE),EXACT(metadata!F443,"Not applicable"))</f>
        <v>0</v>
      </c>
      <c r="AH443" t="b">
        <f>AND(IF(metadata!G443="",FALSE,TRUE),EXACT(metadata!G443,"urban biome"))</f>
        <v>0</v>
      </c>
      <c r="AI443" t="b">
        <f>AND(IF(metadata!H443="",FALSE,TRUE),EXACT(metadata!H443,"human-associated habitat"))</f>
        <v>0</v>
      </c>
      <c r="AJ443" t="b">
        <f>AND(IF(metadata!I443="",FALSE,TRUE),OR(EXACT(metadata!I443,"human-associated"),EXACT(metadata!I443,"human-skin"),EXACT(metadata!I443,"human-oral"),EXACT(metadata!I443,"human-gut"),EXACT(metadata!I443,"human-vaginal")))</f>
        <v>0</v>
      </c>
      <c r="AK443" t="b">
        <f>IF(metadata!J443="",FALSE,ISNUMBER(VALUE(metadata!J443)))</f>
        <v>0</v>
      </c>
      <c r="AL443" t="b">
        <f>AND(IF(metadata!K443="",FALSE,TRUE),EXACT(metadata!K443,"cm"))</f>
        <v>0</v>
      </c>
      <c r="AM443" t="b">
        <f>AND(IF(metadata!L443="",FALSE,TRUE),EXACT(metadata!L443,"human"))</f>
        <v>0</v>
      </c>
      <c r="AN443" t="b">
        <f>AND(IF(metadata!M443="",FALSE,TRUE),EXACT(metadata!M443,"Homo sapiens"))</f>
        <v>0</v>
      </c>
      <c r="AO443" t="b">
        <f>AND(IF(metadata!N443="",FALSE,TRUE),EXACT(metadata!N443,"9606"))</f>
        <v>0</v>
      </c>
      <c r="AP443" t="b">
        <f>IF(metadata!O443="",FALSE,TRUE)</f>
        <v>0</v>
      </c>
      <c r="AQ443" t="b">
        <f>IF(metadata!P443="",FALSE,TRUE)</f>
        <v>0</v>
      </c>
      <c r="AR443" t="b">
        <f>IF(metadata!Q443="",FALSE,ISNUMBER(VALUE(metadata!Q443)))</f>
        <v>0</v>
      </c>
      <c r="AS443" t="b">
        <f>AND(IF(metadata!R443="",FALSE,TRUE),EXACT(metadata!R443,"kg"))</f>
        <v>0</v>
      </c>
    </row>
    <row r="444" spans="1:45" x14ac:dyDescent="0.2">
      <c r="A444" s="5" t="str">
        <f ca="1">IF(B444=" "," ",HYPERLINK(CONCATENATE("#metadata!",ADDRESS(INDEX($X$2:$X$1001,MATCH(ROWS($V$2:V444),$V$2:$V$1001,0),0),1)),INDEX($AA$2:$AA$1001,MATCH(ROWS($V$2:V444),$V$2:$V$1001,0),0)))</f>
        <v xml:space="preserve"> </v>
      </c>
      <c r="B444" s="4" t="str">
        <f ca="1">IF(OR(INDEX($W$2:$W$1001,MATCH(ROWS($V$2:V444),$V$2:$V$1001,0),1)&gt;=100000,INDEX($AC$1005:$AS$1005,1,MATCH(COLUMNS($AC$1006:AC1006),$AC$1006:$AS$1006,0))&gt;=100000), " ",IF(INDEX($AC$2:$AS$1001,MATCH(ROWS($V$2:V444),$V$2:$V$1001,0),MATCH(COLUMNS($AC$1006:AC1006),$AC$1006:$AS$1006,0)), HYPERLINK("#",""), HYPERLINK(CONCATENATE("#metadata!", ADDRESS(INDEX($X$2:$X$1001,MATCH(ROWS($V$2:V444),$V$2:$V$1001,0),0), INDEX($AC$1004:$AS$1004,1,MATCH(COLUMNS($AC$1006:AC1006),$AC$1006:$AS$1006,0)))),"Fix")))</f>
        <v xml:space="preserve"> </v>
      </c>
      <c r="C444" s="4" t="str">
        <f ca="1">IF(OR(INDEX($W$2:$W$1001,MATCH(ROWS($V$2:V444),$V$2:$V$1001,0),1)&gt;=100000,INDEX($AC$1005:$AS$1005,1,MATCH(COLUMNS($AC$1006:AD1006),$AC$1006:$AS$1006,0))&gt;=100000), " ",IF(INDEX($AC$2:$AS$1001,MATCH(ROWS($V$2:V444),$V$2:$V$1001,0),MATCH(COLUMNS($AC$1006:AD1006),$AC$1006:$AS$1006,0)), HYPERLINK("#",""), HYPERLINK(CONCATENATE("#metadata!", ADDRESS(INDEX($X$2:$X$1001,MATCH(ROWS($V$2:V444),$V$2:$V$1001,0),0), INDEX($AC$1004:$AS$1004,1,MATCH(COLUMNS($AC$1006:AD1006),$AC$1006:$AS$1006,0)))),"Fix")))</f>
        <v xml:space="preserve"> </v>
      </c>
      <c r="D444" s="4" t="str">
        <f ca="1">IF(OR(INDEX($W$2:$W$1001,MATCH(ROWS($V$2:V444),$V$2:$V$1001,0),1)&gt;=100000,INDEX($AC$1005:$AS$1005,1,MATCH(COLUMNS($AC$1006:AE1006),$AC$1006:$AS$1006,0))&gt;=100000), " ",IF(INDEX($AC$2:$AS$1001,MATCH(ROWS($V$2:V444),$V$2:$V$1001,0),MATCH(COLUMNS($AC$1006:AE1006),$AC$1006:$AS$1006,0)), HYPERLINK("#",""), HYPERLINK(CONCATENATE("#metadata!", ADDRESS(INDEX($X$2:$X$1001,MATCH(ROWS($V$2:V444),$V$2:$V$1001,0),0), INDEX($AC$1004:$AS$1004,1,MATCH(COLUMNS($AC$1006:AE1006),$AC$1006:$AS$1006,0)))),"Fix")))</f>
        <v xml:space="preserve"> </v>
      </c>
      <c r="E444" s="4" t="str">
        <f ca="1">IF(OR(INDEX($W$2:$W$1001,MATCH(ROWS($V$2:V444),$V$2:$V$1001,0),1)&gt;=100000,INDEX($AC$1005:$AS$1005,1,MATCH(COLUMNS($AC$1006:AF1006),$AC$1006:$AS$1006,0))&gt;=100000), " ",IF(INDEX($AC$2:$AS$1001,MATCH(ROWS($V$2:V444),$V$2:$V$1001,0),MATCH(COLUMNS($AC$1006:AF1006),$AC$1006:$AS$1006,0)), HYPERLINK("#",""), HYPERLINK(CONCATENATE("#metadata!", ADDRESS(INDEX($X$2:$X$1001,MATCH(ROWS($V$2:V444),$V$2:$V$1001,0),0), INDEX($AC$1004:$AS$1004,1,MATCH(COLUMNS($AC$1006:AF1006),$AC$1006:$AS$1006,0)))),"Fix")))</f>
        <v xml:space="preserve"> </v>
      </c>
      <c r="F444" s="4" t="str">
        <f ca="1">IF(OR(INDEX($W$2:$W$1001,MATCH(ROWS($V$2:V444),$V$2:$V$1001,0),1)&gt;=100000,INDEX($AC$1005:$AS$1005,1,MATCH(COLUMNS($AC$1006:AG1006),$AC$1006:$AS$1006,0))&gt;=100000), " ",IF(INDEX($AC$2:$AS$1001,MATCH(ROWS($V$2:V444),$V$2:$V$1001,0),MATCH(COLUMNS($AC$1006:AG1006),$AC$1006:$AS$1006,0)), HYPERLINK("#",""), HYPERLINK(CONCATENATE("#metadata!", ADDRESS(INDEX($X$2:$X$1001,MATCH(ROWS($V$2:V444),$V$2:$V$1001,0),0), INDEX($AC$1004:$AS$1004,1,MATCH(COLUMNS($AC$1006:AG1006),$AC$1006:$AS$1006,0)))),"Fix")))</f>
        <v xml:space="preserve"> </v>
      </c>
      <c r="G444" s="4" t="str">
        <f ca="1">IF(OR(INDEX($W$2:$W$1001,MATCH(ROWS($V$2:V444),$V$2:$V$1001,0),1)&gt;=100000,INDEX($AC$1005:$AS$1005,1,MATCH(COLUMNS($AC$1006:AH1006),$AC$1006:$AS$1006,0))&gt;=100000), " ",IF(INDEX($AC$2:$AS$1001,MATCH(ROWS($V$2:V444),$V$2:$V$1001,0),MATCH(COLUMNS($AC$1006:AH1006),$AC$1006:$AS$1006,0)), HYPERLINK("#",""), HYPERLINK(CONCATENATE("#metadata!", ADDRESS(INDEX($X$2:$X$1001,MATCH(ROWS($V$2:V444),$V$2:$V$1001,0),0), INDEX($AC$1004:$AS$1004,1,MATCH(COLUMNS($AC$1006:AH1006),$AC$1006:$AS$1006,0)))),"Fix")))</f>
        <v xml:space="preserve"> </v>
      </c>
      <c r="H444" s="4" t="str">
        <f ca="1">IF(OR(INDEX($W$2:$W$1001,MATCH(ROWS($V$2:V444),$V$2:$V$1001,0),1)&gt;=100000,INDEX($AC$1005:$AS$1005,1,MATCH(COLUMNS($AC$1006:AI1006),$AC$1006:$AS$1006,0))&gt;=100000), " ",IF(INDEX($AC$2:$AS$1001,MATCH(ROWS($V$2:V444),$V$2:$V$1001,0),MATCH(COLUMNS($AC$1006:AI1006),$AC$1006:$AS$1006,0)), HYPERLINK("#",""), HYPERLINK(CONCATENATE("#metadata!", ADDRESS(INDEX($X$2:$X$1001,MATCH(ROWS($V$2:V444),$V$2:$V$1001,0),0), INDEX($AC$1004:$AS$1004,1,MATCH(COLUMNS($AC$1006:AI1006),$AC$1006:$AS$1006,0)))),"Fix")))</f>
        <v xml:space="preserve"> </v>
      </c>
      <c r="I444" s="4" t="str">
        <f ca="1">IF(OR(INDEX($W$2:$W$1001,MATCH(ROWS($V$2:V444),$V$2:$V$1001,0),1)&gt;=100000,INDEX($AC$1005:$AS$1005,1,MATCH(COLUMNS($AC$1006:AJ1006),$AC$1006:$AS$1006,0))&gt;=100000), " ",IF(INDEX($AC$2:$AS$1001,MATCH(ROWS($V$2:V444),$V$2:$V$1001,0),MATCH(COLUMNS($AC$1006:AJ1006),$AC$1006:$AS$1006,0)), HYPERLINK("#",""), HYPERLINK(CONCATENATE("#metadata!", ADDRESS(INDEX($X$2:$X$1001,MATCH(ROWS($V$2:V444),$V$2:$V$1001,0),0), INDEX($AC$1004:$AS$1004,1,MATCH(COLUMNS($AC$1006:AJ1006),$AC$1006:$AS$1006,0)))),"Fix")))</f>
        <v xml:space="preserve"> </v>
      </c>
      <c r="J444" s="4" t="str">
        <f ca="1">IF(OR(INDEX($W$2:$W$1001,MATCH(ROWS($V$2:V444),$V$2:$V$1001,0),1)&gt;=100000,INDEX($AC$1005:$AS$1005,1,MATCH(COLUMNS($AC$1006:AK1006),$AC$1006:$AS$1006,0))&gt;=100000), " ",IF(INDEX($AC$2:$AS$1001,MATCH(ROWS($V$2:V444),$V$2:$V$1001,0),MATCH(COLUMNS($AC$1006:AK1006),$AC$1006:$AS$1006,0)), HYPERLINK("#",""), HYPERLINK(CONCATENATE("#metadata!", ADDRESS(INDEX($X$2:$X$1001,MATCH(ROWS($V$2:V444),$V$2:$V$1001,0),0), INDEX($AC$1004:$AS$1004,1,MATCH(COLUMNS($AC$1006:AK1006),$AC$1006:$AS$1006,0)))),"Fix")))</f>
        <v xml:space="preserve"> </v>
      </c>
      <c r="K444" s="4" t="str">
        <f ca="1">IF(OR(INDEX($W$2:$W$1001,MATCH(ROWS($V$2:V444),$V$2:$V$1001,0),1)&gt;=100000,INDEX($AC$1005:$AS$1005,1,MATCH(COLUMNS($AC$1006:AL1006),$AC$1006:$AS$1006,0))&gt;=100000), " ",IF(INDEX($AC$2:$AS$1001,MATCH(ROWS($V$2:V444),$V$2:$V$1001,0),MATCH(COLUMNS($AC$1006:AL1006),$AC$1006:$AS$1006,0)), HYPERLINK("#",""), HYPERLINK(CONCATENATE("#metadata!", ADDRESS(INDEX($X$2:$X$1001,MATCH(ROWS($V$2:V444),$V$2:$V$1001,0),0), INDEX($AC$1004:$AS$1004,1,MATCH(COLUMNS($AC$1006:AL1006),$AC$1006:$AS$1006,0)))),"Fix")))</f>
        <v xml:space="preserve"> </v>
      </c>
      <c r="L444" s="4" t="str">
        <f ca="1">IF(OR(INDEX($W$2:$W$1001,MATCH(ROWS($V$2:V444),$V$2:$V$1001,0),1)&gt;=100000,INDEX($AC$1005:$AS$1005,1,MATCH(COLUMNS($AC$1006:AM1006),$AC$1006:$AS$1006,0))&gt;=100000), " ",IF(INDEX($AC$2:$AS$1001,MATCH(ROWS($V$2:V444),$V$2:$V$1001,0),MATCH(COLUMNS($AC$1006:AM1006),$AC$1006:$AS$1006,0)), HYPERLINK("#",""), HYPERLINK(CONCATENATE("#metadata!", ADDRESS(INDEX($X$2:$X$1001,MATCH(ROWS($V$2:V444),$V$2:$V$1001,0),0), INDEX($AC$1004:$AS$1004,1,MATCH(COLUMNS($AC$1006:AM1006),$AC$1006:$AS$1006,0)))),"Fix")))</f>
        <v xml:space="preserve"> </v>
      </c>
      <c r="M444" s="4" t="str">
        <f ca="1">IF(OR(INDEX($W$2:$W$1001,MATCH(ROWS($V$2:V444),$V$2:$V$1001,0),1)&gt;=100000,INDEX($AC$1005:$AS$1005,1,MATCH(COLUMNS($AC$1006:AN1006),$AC$1006:$AS$1006,0))&gt;=100000), " ",IF(INDEX($AC$2:$AS$1001,MATCH(ROWS($V$2:V444),$V$2:$V$1001,0),MATCH(COLUMNS($AC$1006:AN1006),$AC$1006:$AS$1006,0)), HYPERLINK("#",""), HYPERLINK(CONCATENATE("#metadata!", ADDRESS(INDEX($X$2:$X$1001,MATCH(ROWS($V$2:V444),$V$2:$V$1001,0),0), INDEX($AC$1004:$AS$1004,1,MATCH(COLUMNS($AC$1006:AN1006),$AC$1006:$AS$1006,0)))),"Fix")))</f>
        <v xml:space="preserve"> </v>
      </c>
      <c r="N444" s="4" t="str">
        <f ca="1">IF(OR(INDEX($W$2:$W$1001,MATCH(ROWS($V$2:V444),$V$2:$V$1001,0),1)&gt;=100000,INDEX($AC$1005:$AS$1005,1,MATCH(COLUMNS($AC$1006:AO1006),$AC$1006:$AS$1006,0))&gt;=100000), " ",IF(INDEX($AC$2:$AS$1001,MATCH(ROWS($V$2:V444),$V$2:$V$1001,0),MATCH(COLUMNS($AC$1006:AO1006),$AC$1006:$AS$1006,0)), HYPERLINK("#",""), HYPERLINK(CONCATENATE("#metadata!", ADDRESS(INDEX($X$2:$X$1001,MATCH(ROWS($V$2:V444),$V$2:$V$1001,0),0), INDEX($AC$1004:$AS$1004,1,MATCH(COLUMNS($AC$1006:AO1006),$AC$1006:$AS$1006,0)))),"Fix")))</f>
        <v xml:space="preserve"> </v>
      </c>
      <c r="O444" s="4" t="str">
        <f ca="1">IF(OR(INDEX($W$2:$W$1001,MATCH(ROWS($V$2:V444),$V$2:$V$1001,0),1)&gt;=100000,INDEX($AC$1005:$AS$1005,1,MATCH(COLUMNS($AC$1006:AP1006),$AC$1006:$AS$1006,0))&gt;=100000), " ",IF(INDEX($AC$2:$AS$1001,MATCH(ROWS($V$2:V444),$V$2:$V$1001,0),MATCH(COLUMNS($AC$1006:AP1006),$AC$1006:$AS$1006,0)), HYPERLINK("#",""), HYPERLINK(CONCATENATE("#metadata!", ADDRESS(INDEX($X$2:$X$1001,MATCH(ROWS($V$2:V444),$V$2:$V$1001,0),0), INDEX($AC$1004:$AS$1004,1,MATCH(COLUMNS($AC$1006:AP1006),$AC$1006:$AS$1006,0)))),"Fix")))</f>
        <v xml:space="preserve"> </v>
      </c>
      <c r="P444" s="4" t="str">
        <f ca="1">IF(OR(INDEX($W$2:$W$1001,MATCH(ROWS($V$2:V444),$V$2:$V$1001,0),1)&gt;=100000,INDEX($AC$1005:$AS$1005,1,MATCH(COLUMNS($AC$1006:AQ1006),$AC$1006:$AS$1006,0))&gt;=100000), " ",IF(INDEX($AC$2:$AS$1001,MATCH(ROWS($V$2:V444),$V$2:$V$1001,0),MATCH(COLUMNS($AC$1006:AQ1006),$AC$1006:$AS$1006,0)), HYPERLINK("#",""), HYPERLINK(CONCATENATE("#metadata!", ADDRESS(INDEX($X$2:$X$1001,MATCH(ROWS($V$2:V444),$V$2:$V$1001,0),0), INDEX($AC$1004:$AS$1004,1,MATCH(COLUMNS($AC$1006:AQ1006),$AC$1006:$AS$1006,0)))),"Fix")))</f>
        <v xml:space="preserve"> </v>
      </c>
      <c r="Q444" s="4" t="str">
        <f ca="1">IF(OR(INDEX($W$2:$W$1001,MATCH(ROWS($V$2:V444),$V$2:$V$1001,0),1)&gt;=100000,INDEX($AC$1005:$AS$1005,1,MATCH(COLUMNS($AC$1006:AR1006),$AC$1006:$AS$1006,0))&gt;=100000), " ",IF(INDEX($AC$2:$AS$1001,MATCH(ROWS($V$2:V444),$V$2:$V$1001,0),MATCH(COLUMNS($AC$1006:AR1006),$AC$1006:$AS$1006,0)), HYPERLINK("#",""), HYPERLINK(CONCATENATE("#metadata!", ADDRESS(INDEX($X$2:$X$1001,MATCH(ROWS($V$2:V444),$V$2:$V$1001,0),0), INDEX($AC$1004:$AS$1004,1,MATCH(COLUMNS($AC$1006:AR1006),$AC$1006:$AS$1006,0)))),"Fix")))</f>
        <v xml:space="preserve"> </v>
      </c>
      <c r="R444" s="4" t="str">
        <f ca="1">IF(OR(INDEX($W$2:$W$1001,MATCH(ROWS($V$2:V444),$V$2:$V$1001,0),1)&gt;=100000,INDEX($AC$1005:$AS$1005,1,MATCH(COLUMNS($AC$1006:AS1006),$AC$1006:$AS$1006,0))&gt;=100000), " ",IF(INDEX($AC$2:$AS$1001,MATCH(ROWS($V$2:V444),$V$2:$V$1001,0),MATCH(COLUMNS($AC$1006:AS1006),$AC$1006:$AS$1006,0)), HYPERLINK("#",""), HYPERLINK(CONCATENATE("#metadata!", ADDRESS(INDEX($X$2:$X$1001,MATCH(ROWS($V$2:V444),$V$2:$V$1001,0),0), INDEX($AC$1004:$AS$1004,1,MATCH(COLUMNS($AC$1006:AS1006),$AC$1006:$AS$1006,0)))),"Fix")))</f>
        <v xml:space="preserve"> </v>
      </c>
      <c r="V444">
        <v>443</v>
      </c>
      <c r="W444">
        <v>100444</v>
      </c>
      <c r="X444">
        <v>444</v>
      </c>
      <c r="Y444" t="b">
        <f t="shared" si="6"/>
        <v>1</v>
      </c>
      <c r="Z444" t="b">
        <f>COUNTBLANK(metadata!B444:R444)=COLUMNS(metadata!B444:R444)</f>
        <v>1</v>
      </c>
      <c r="AA444" t="str">
        <v/>
      </c>
      <c r="AC444" t="b">
        <f ca="1"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AD444" t="b">
        <f>IF(metadata!C444="",FALSE,ISNUMBER(VALUE(metadata!C444)))</f>
        <v>0</v>
      </c>
      <c r="AE444" t="b">
        <f>AND(IF(metadata!D444="",FALSE,TRUE),EXACT(metadata!D444,"years"))</f>
        <v>0</v>
      </c>
      <c r="AF444" t="b">
        <f>OR(AND(IF(metadata!E444="",FALSE,TRUE),OR(EXACT(metadata!E444,"not applicable"),EXACT(metadata!E444,"missing: not collected"),EXACT(metadata!E444,"missing: not provided"),EXACT(metadata!E444,"missing: restricted access"))),AND(IF(metadata!E444="",FALSE,ISNUMBER(VALUE(metadata!E444))),metadata!E444&gt;0))</f>
        <v>0</v>
      </c>
      <c r="AG444" t="b">
        <f>AND(IF(metadata!F444="",FALSE,TRUE),EXACT(metadata!F444,"Not applicable"))</f>
        <v>0</v>
      </c>
      <c r="AH444" t="b">
        <f>AND(IF(metadata!G444="",FALSE,TRUE),EXACT(metadata!G444,"urban biome"))</f>
        <v>0</v>
      </c>
      <c r="AI444" t="b">
        <f>AND(IF(metadata!H444="",FALSE,TRUE),EXACT(metadata!H444,"human-associated habitat"))</f>
        <v>0</v>
      </c>
      <c r="AJ444" t="b">
        <f>AND(IF(metadata!I444="",FALSE,TRUE),OR(EXACT(metadata!I444,"human-associated"),EXACT(metadata!I444,"human-skin"),EXACT(metadata!I444,"human-oral"),EXACT(metadata!I444,"human-gut"),EXACT(metadata!I444,"human-vaginal")))</f>
        <v>0</v>
      </c>
      <c r="AK444" t="b">
        <f>IF(metadata!J444="",FALSE,ISNUMBER(VALUE(metadata!J444)))</f>
        <v>0</v>
      </c>
      <c r="AL444" t="b">
        <f>AND(IF(metadata!K444="",FALSE,TRUE),EXACT(metadata!K444,"cm"))</f>
        <v>0</v>
      </c>
      <c r="AM444" t="b">
        <f>AND(IF(metadata!L444="",FALSE,TRUE),EXACT(metadata!L444,"human"))</f>
        <v>0</v>
      </c>
      <c r="AN444" t="b">
        <f>AND(IF(metadata!M444="",FALSE,TRUE),EXACT(metadata!M444,"Homo sapiens"))</f>
        <v>0</v>
      </c>
      <c r="AO444" t="b">
        <f>AND(IF(metadata!N444="",FALSE,TRUE),EXACT(metadata!N444,"9606"))</f>
        <v>0</v>
      </c>
      <c r="AP444" t="b">
        <f>IF(metadata!O444="",FALSE,TRUE)</f>
        <v>0</v>
      </c>
      <c r="AQ444" t="b">
        <f>IF(metadata!P444="",FALSE,TRUE)</f>
        <v>0</v>
      </c>
      <c r="AR444" t="b">
        <f>IF(metadata!Q444="",FALSE,ISNUMBER(VALUE(metadata!Q444)))</f>
        <v>0</v>
      </c>
      <c r="AS444" t="b">
        <f>AND(IF(metadata!R444="",FALSE,TRUE),EXACT(metadata!R444,"kg"))</f>
        <v>0</v>
      </c>
    </row>
    <row r="445" spans="1:45" x14ac:dyDescent="0.2">
      <c r="A445" s="5" t="str">
        <f ca="1">IF(B445=" "," ",HYPERLINK(CONCATENATE("#metadata!",ADDRESS(INDEX($X$2:$X$1001,MATCH(ROWS($V$2:V445),$V$2:$V$1001,0),0),1)),INDEX($AA$2:$AA$1001,MATCH(ROWS($V$2:V445),$V$2:$V$1001,0),0)))</f>
        <v xml:space="preserve"> </v>
      </c>
      <c r="B445" s="4" t="str">
        <f ca="1">IF(OR(INDEX($W$2:$W$1001,MATCH(ROWS($V$2:V445),$V$2:$V$1001,0),1)&gt;=100000,INDEX($AC$1005:$AS$1005,1,MATCH(COLUMNS($AC$1006:AC1006),$AC$1006:$AS$1006,0))&gt;=100000), " ",IF(INDEX($AC$2:$AS$1001,MATCH(ROWS($V$2:V445),$V$2:$V$1001,0),MATCH(COLUMNS($AC$1006:AC1006),$AC$1006:$AS$1006,0)), HYPERLINK("#",""), HYPERLINK(CONCATENATE("#metadata!", ADDRESS(INDEX($X$2:$X$1001,MATCH(ROWS($V$2:V445),$V$2:$V$1001,0),0), INDEX($AC$1004:$AS$1004,1,MATCH(COLUMNS($AC$1006:AC1006),$AC$1006:$AS$1006,0)))),"Fix")))</f>
        <v xml:space="preserve"> </v>
      </c>
      <c r="C445" s="4" t="str">
        <f ca="1">IF(OR(INDEX($W$2:$W$1001,MATCH(ROWS($V$2:V445),$V$2:$V$1001,0),1)&gt;=100000,INDEX($AC$1005:$AS$1005,1,MATCH(COLUMNS($AC$1006:AD1006),$AC$1006:$AS$1006,0))&gt;=100000), " ",IF(INDEX($AC$2:$AS$1001,MATCH(ROWS($V$2:V445),$V$2:$V$1001,0),MATCH(COLUMNS($AC$1006:AD1006),$AC$1006:$AS$1006,0)), HYPERLINK("#",""), HYPERLINK(CONCATENATE("#metadata!", ADDRESS(INDEX($X$2:$X$1001,MATCH(ROWS($V$2:V445),$V$2:$V$1001,0),0), INDEX($AC$1004:$AS$1004,1,MATCH(COLUMNS($AC$1006:AD1006),$AC$1006:$AS$1006,0)))),"Fix")))</f>
        <v xml:space="preserve"> </v>
      </c>
      <c r="D445" s="4" t="str">
        <f ca="1">IF(OR(INDEX($W$2:$W$1001,MATCH(ROWS($V$2:V445),$V$2:$V$1001,0),1)&gt;=100000,INDEX($AC$1005:$AS$1005,1,MATCH(COLUMNS($AC$1006:AE1006),$AC$1006:$AS$1006,0))&gt;=100000), " ",IF(INDEX($AC$2:$AS$1001,MATCH(ROWS($V$2:V445),$V$2:$V$1001,0),MATCH(COLUMNS($AC$1006:AE1006),$AC$1006:$AS$1006,0)), HYPERLINK("#",""), HYPERLINK(CONCATENATE("#metadata!", ADDRESS(INDEX($X$2:$X$1001,MATCH(ROWS($V$2:V445),$V$2:$V$1001,0),0), INDEX($AC$1004:$AS$1004,1,MATCH(COLUMNS($AC$1006:AE1006),$AC$1006:$AS$1006,0)))),"Fix")))</f>
        <v xml:space="preserve"> </v>
      </c>
      <c r="E445" s="4" t="str">
        <f ca="1">IF(OR(INDEX($W$2:$W$1001,MATCH(ROWS($V$2:V445),$V$2:$V$1001,0),1)&gt;=100000,INDEX($AC$1005:$AS$1005,1,MATCH(COLUMNS($AC$1006:AF1006),$AC$1006:$AS$1006,0))&gt;=100000), " ",IF(INDEX($AC$2:$AS$1001,MATCH(ROWS($V$2:V445),$V$2:$V$1001,0),MATCH(COLUMNS($AC$1006:AF1006),$AC$1006:$AS$1006,0)), HYPERLINK("#",""), HYPERLINK(CONCATENATE("#metadata!", ADDRESS(INDEX($X$2:$X$1001,MATCH(ROWS($V$2:V445),$V$2:$V$1001,0),0), INDEX($AC$1004:$AS$1004,1,MATCH(COLUMNS($AC$1006:AF1006),$AC$1006:$AS$1006,0)))),"Fix")))</f>
        <v xml:space="preserve"> </v>
      </c>
      <c r="F445" s="4" t="str">
        <f ca="1">IF(OR(INDEX($W$2:$W$1001,MATCH(ROWS($V$2:V445),$V$2:$V$1001,0),1)&gt;=100000,INDEX($AC$1005:$AS$1005,1,MATCH(COLUMNS($AC$1006:AG1006),$AC$1006:$AS$1006,0))&gt;=100000), " ",IF(INDEX($AC$2:$AS$1001,MATCH(ROWS($V$2:V445),$V$2:$V$1001,0),MATCH(COLUMNS($AC$1006:AG1006),$AC$1006:$AS$1006,0)), HYPERLINK("#",""), HYPERLINK(CONCATENATE("#metadata!", ADDRESS(INDEX($X$2:$X$1001,MATCH(ROWS($V$2:V445),$V$2:$V$1001,0),0), INDEX($AC$1004:$AS$1004,1,MATCH(COLUMNS($AC$1006:AG1006),$AC$1006:$AS$1006,0)))),"Fix")))</f>
        <v xml:space="preserve"> </v>
      </c>
      <c r="G445" s="4" t="str">
        <f ca="1">IF(OR(INDEX($W$2:$W$1001,MATCH(ROWS($V$2:V445),$V$2:$V$1001,0),1)&gt;=100000,INDEX($AC$1005:$AS$1005,1,MATCH(COLUMNS($AC$1006:AH1006),$AC$1006:$AS$1006,0))&gt;=100000), " ",IF(INDEX($AC$2:$AS$1001,MATCH(ROWS($V$2:V445),$V$2:$V$1001,0),MATCH(COLUMNS($AC$1006:AH1006),$AC$1006:$AS$1006,0)), HYPERLINK("#",""), HYPERLINK(CONCATENATE("#metadata!", ADDRESS(INDEX($X$2:$X$1001,MATCH(ROWS($V$2:V445),$V$2:$V$1001,0),0), INDEX($AC$1004:$AS$1004,1,MATCH(COLUMNS($AC$1006:AH1006),$AC$1006:$AS$1006,0)))),"Fix")))</f>
        <v xml:space="preserve"> </v>
      </c>
      <c r="H445" s="4" t="str">
        <f ca="1">IF(OR(INDEX($W$2:$W$1001,MATCH(ROWS($V$2:V445),$V$2:$V$1001,0),1)&gt;=100000,INDEX($AC$1005:$AS$1005,1,MATCH(COLUMNS($AC$1006:AI1006),$AC$1006:$AS$1006,0))&gt;=100000), " ",IF(INDEX($AC$2:$AS$1001,MATCH(ROWS($V$2:V445),$V$2:$V$1001,0),MATCH(COLUMNS($AC$1006:AI1006),$AC$1006:$AS$1006,0)), HYPERLINK("#",""), HYPERLINK(CONCATENATE("#metadata!", ADDRESS(INDEX($X$2:$X$1001,MATCH(ROWS($V$2:V445),$V$2:$V$1001,0),0), INDEX($AC$1004:$AS$1004,1,MATCH(COLUMNS($AC$1006:AI1006),$AC$1006:$AS$1006,0)))),"Fix")))</f>
        <v xml:space="preserve"> </v>
      </c>
      <c r="I445" s="4" t="str">
        <f ca="1">IF(OR(INDEX($W$2:$W$1001,MATCH(ROWS($V$2:V445),$V$2:$V$1001,0),1)&gt;=100000,INDEX($AC$1005:$AS$1005,1,MATCH(COLUMNS($AC$1006:AJ1006),$AC$1006:$AS$1006,0))&gt;=100000), " ",IF(INDEX($AC$2:$AS$1001,MATCH(ROWS($V$2:V445),$V$2:$V$1001,0),MATCH(COLUMNS($AC$1006:AJ1006),$AC$1006:$AS$1006,0)), HYPERLINK("#",""), HYPERLINK(CONCATENATE("#metadata!", ADDRESS(INDEX($X$2:$X$1001,MATCH(ROWS($V$2:V445),$V$2:$V$1001,0),0), INDEX($AC$1004:$AS$1004,1,MATCH(COLUMNS($AC$1006:AJ1006),$AC$1006:$AS$1006,0)))),"Fix")))</f>
        <v xml:space="preserve"> </v>
      </c>
      <c r="J445" s="4" t="str">
        <f ca="1">IF(OR(INDEX($W$2:$W$1001,MATCH(ROWS($V$2:V445),$V$2:$V$1001,0),1)&gt;=100000,INDEX($AC$1005:$AS$1005,1,MATCH(COLUMNS($AC$1006:AK1006),$AC$1006:$AS$1006,0))&gt;=100000), " ",IF(INDEX($AC$2:$AS$1001,MATCH(ROWS($V$2:V445),$V$2:$V$1001,0),MATCH(COLUMNS($AC$1006:AK1006),$AC$1006:$AS$1006,0)), HYPERLINK("#",""), HYPERLINK(CONCATENATE("#metadata!", ADDRESS(INDEX($X$2:$X$1001,MATCH(ROWS($V$2:V445),$V$2:$V$1001,0),0), INDEX($AC$1004:$AS$1004,1,MATCH(COLUMNS($AC$1006:AK1006),$AC$1006:$AS$1006,0)))),"Fix")))</f>
        <v xml:space="preserve"> </v>
      </c>
      <c r="K445" s="4" t="str">
        <f ca="1">IF(OR(INDEX($W$2:$W$1001,MATCH(ROWS($V$2:V445),$V$2:$V$1001,0),1)&gt;=100000,INDEX($AC$1005:$AS$1005,1,MATCH(COLUMNS($AC$1006:AL1006),$AC$1006:$AS$1006,0))&gt;=100000), " ",IF(INDEX($AC$2:$AS$1001,MATCH(ROWS($V$2:V445),$V$2:$V$1001,0),MATCH(COLUMNS($AC$1006:AL1006),$AC$1006:$AS$1006,0)), HYPERLINK("#",""), HYPERLINK(CONCATENATE("#metadata!", ADDRESS(INDEX($X$2:$X$1001,MATCH(ROWS($V$2:V445),$V$2:$V$1001,0),0), INDEX($AC$1004:$AS$1004,1,MATCH(COLUMNS($AC$1006:AL1006),$AC$1006:$AS$1006,0)))),"Fix")))</f>
        <v xml:space="preserve"> </v>
      </c>
      <c r="L445" s="4" t="str">
        <f ca="1">IF(OR(INDEX($W$2:$W$1001,MATCH(ROWS($V$2:V445),$V$2:$V$1001,0),1)&gt;=100000,INDEX($AC$1005:$AS$1005,1,MATCH(COLUMNS($AC$1006:AM1006),$AC$1006:$AS$1006,0))&gt;=100000), " ",IF(INDEX($AC$2:$AS$1001,MATCH(ROWS($V$2:V445),$V$2:$V$1001,0),MATCH(COLUMNS($AC$1006:AM1006),$AC$1006:$AS$1006,0)), HYPERLINK("#",""), HYPERLINK(CONCATENATE("#metadata!", ADDRESS(INDEX($X$2:$X$1001,MATCH(ROWS($V$2:V445),$V$2:$V$1001,0),0), INDEX($AC$1004:$AS$1004,1,MATCH(COLUMNS($AC$1006:AM1006),$AC$1006:$AS$1006,0)))),"Fix")))</f>
        <v xml:space="preserve"> </v>
      </c>
      <c r="M445" s="4" t="str">
        <f ca="1">IF(OR(INDEX($W$2:$W$1001,MATCH(ROWS($V$2:V445),$V$2:$V$1001,0),1)&gt;=100000,INDEX($AC$1005:$AS$1005,1,MATCH(COLUMNS($AC$1006:AN1006),$AC$1006:$AS$1006,0))&gt;=100000), " ",IF(INDEX($AC$2:$AS$1001,MATCH(ROWS($V$2:V445),$V$2:$V$1001,0),MATCH(COLUMNS($AC$1006:AN1006),$AC$1006:$AS$1006,0)), HYPERLINK("#",""), HYPERLINK(CONCATENATE("#metadata!", ADDRESS(INDEX($X$2:$X$1001,MATCH(ROWS($V$2:V445),$V$2:$V$1001,0),0), INDEX($AC$1004:$AS$1004,1,MATCH(COLUMNS($AC$1006:AN1006),$AC$1006:$AS$1006,0)))),"Fix")))</f>
        <v xml:space="preserve"> </v>
      </c>
      <c r="N445" s="4" t="str">
        <f ca="1">IF(OR(INDEX($W$2:$W$1001,MATCH(ROWS($V$2:V445),$V$2:$V$1001,0),1)&gt;=100000,INDEX($AC$1005:$AS$1005,1,MATCH(COLUMNS($AC$1006:AO1006),$AC$1006:$AS$1006,0))&gt;=100000), " ",IF(INDEX($AC$2:$AS$1001,MATCH(ROWS($V$2:V445),$V$2:$V$1001,0),MATCH(COLUMNS($AC$1006:AO1006),$AC$1006:$AS$1006,0)), HYPERLINK("#",""), HYPERLINK(CONCATENATE("#metadata!", ADDRESS(INDEX($X$2:$X$1001,MATCH(ROWS($V$2:V445),$V$2:$V$1001,0),0), INDEX($AC$1004:$AS$1004,1,MATCH(COLUMNS($AC$1006:AO1006),$AC$1006:$AS$1006,0)))),"Fix")))</f>
        <v xml:space="preserve"> </v>
      </c>
      <c r="O445" s="4" t="str">
        <f ca="1">IF(OR(INDEX($W$2:$W$1001,MATCH(ROWS($V$2:V445),$V$2:$V$1001,0),1)&gt;=100000,INDEX($AC$1005:$AS$1005,1,MATCH(COLUMNS($AC$1006:AP1006),$AC$1006:$AS$1006,0))&gt;=100000), " ",IF(INDEX($AC$2:$AS$1001,MATCH(ROWS($V$2:V445),$V$2:$V$1001,0),MATCH(COLUMNS($AC$1006:AP1006),$AC$1006:$AS$1006,0)), HYPERLINK("#",""), HYPERLINK(CONCATENATE("#metadata!", ADDRESS(INDEX($X$2:$X$1001,MATCH(ROWS($V$2:V445),$V$2:$V$1001,0),0), INDEX($AC$1004:$AS$1004,1,MATCH(COLUMNS($AC$1006:AP1006),$AC$1006:$AS$1006,0)))),"Fix")))</f>
        <v xml:space="preserve"> </v>
      </c>
      <c r="P445" s="4" t="str">
        <f ca="1">IF(OR(INDEX($W$2:$W$1001,MATCH(ROWS($V$2:V445),$V$2:$V$1001,0),1)&gt;=100000,INDEX($AC$1005:$AS$1005,1,MATCH(COLUMNS($AC$1006:AQ1006),$AC$1006:$AS$1006,0))&gt;=100000), " ",IF(INDEX($AC$2:$AS$1001,MATCH(ROWS($V$2:V445),$V$2:$V$1001,0),MATCH(COLUMNS($AC$1006:AQ1006),$AC$1006:$AS$1006,0)), HYPERLINK("#",""), HYPERLINK(CONCATENATE("#metadata!", ADDRESS(INDEX($X$2:$X$1001,MATCH(ROWS($V$2:V445),$V$2:$V$1001,0),0), INDEX($AC$1004:$AS$1004,1,MATCH(COLUMNS($AC$1006:AQ1006),$AC$1006:$AS$1006,0)))),"Fix")))</f>
        <v xml:space="preserve"> </v>
      </c>
      <c r="Q445" s="4" t="str">
        <f ca="1">IF(OR(INDEX($W$2:$W$1001,MATCH(ROWS($V$2:V445),$V$2:$V$1001,0),1)&gt;=100000,INDEX($AC$1005:$AS$1005,1,MATCH(COLUMNS($AC$1006:AR1006),$AC$1006:$AS$1006,0))&gt;=100000), " ",IF(INDEX($AC$2:$AS$1001,MATCH(ROWS($V$2:V445),$V$2:$V$1001,0),MATCH(COLUMNS($AC$1006:AR1006),$AC$1006:$AS$1006,0)), HYPERLINK("#",""), HYPERLINK(CONCATENATE("#metadata!", ADDRESS(INDEX($X$2:$X$1001,MATCH(ROWS($V$2:V445),$V$2:$V$1001,0),0), INDEX($AC$1004:$AS$1004,1,MATCH(COLUMNS($AC$1006:AR1006),$AC$1006:$AS$1006,0)))),"Fix")))</f>
        <v xml:space="preserve"> </v>
      </c>
      <c r="R445" s="4" t="str">
        <f ca="1">IF(OR(INDEX($W$2:$W$1001,MATCH(ROWS($V$2:V445),$V$2:$V$1001,0),1)&gt;=100000,INDEX($AC$1005:$AS$1005,1,MATCH(COLUMNS($AC$1006:AS1006),$AC$1006:$AS$1006,0))&gt;=100000), " ",IF(INDEX($AC$2:$AS$1001,MATCH(ROWS($V$2:V445),$V$2:$V$1001,0),MATCH(COLUMNS($AC$1006:AS1006),$AC$1006:$AS$1006,0)), HYPERLINK("#",""), HYPERLINK(CONCATENATE("#metadata!", ADDRESS(INDEX($X$2:$X$1001,MATCH(ROWS($V$2:V445),$V$2:$V$1001,0),0), INDEX($AC$1004:$AS$1004,1,MATCH(COLUMNS($AC$1006:AS1006),$AC$1006:$AS$1006,0)))),"Fix")))</f>
        <v xml:space="preserve"> </v>
      </c>
      <c r="V445">
        <v>444</v>
      </c>
      <c r="W445">
        <v>100445</v>
      </c>
      <c r="X445">
        <v>445</v>
      </c>
      <c r="Y445" t="b">
        <f t="shared" si="6"/>
        <v>1</v>
      </c>
      <c r="Z445" t="b">
        <f>COUNTBLANK(metadata!B445:R445)=COLUMNS(metadata!B445:R445)</f>
        <v>1</v>
      </c>
      <c r="AA445" t="str">
        <v/>
      </c>
      <c r="AC445" t="b">
        <f ca="1"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AD445" t="b">
        <f>IF(metadata!C445="",FALSE,ISNUMBER(VALUE(metadata!C445)))</f>
        <v>0</v>
      </c>
      <c r="AE445" t="b">
        <f>AND(IF(metadata!D445="",FALSE,TRUE),EXACT(metadata!D445,"years"))</f>
        <v>0</v>
      </c>
      <c r="AF445" t="b">
        <f>OR(AND(IF(metadata!E445="",FALSE,TRUE),OR(EXACT(metadata!E445,"not applicable"),EXACT(metadata!E445,"missing: not collected"),EXACT(metadata!E445,"missing: not provided"),EXACT(metadata!E445,"missing: restricted access"))),AND(IF(metadata!E445="",FALSE,ISNUMBER(VALUE(metadata!E445))),metadata!E445&gt;0))</f>
        <v>0</v>
      </c>
      <c r="AG445" t="b">
        <f>AND(IF(metadata!F445="",FALSE,TRUE),EXACT(metadata!F445,"Not applicable"))</f>
        <v>0</v>
      </c>
      <c r="AH445" t="b">
        <f>AND(IF(metadata!G445="",FALSE,TRUE),EXACT(metadata!G445,"urban biome"))</f>
        <v>0</v>
      </c>
      <c r="AI445" t="b">
        <f>AND(IF(metadata!H445="",FALSE,TRUE),EXACT(metadata!H445,"human-associated habitat"))</f>
        <v>0</v>
      </c>
      <c r="AJ445" t="b">
        <f>AND(IF(metadata!I445="",FALSE,TRUE),OR(EXACT(metadata!I445,"human-associated"),EXACT(metadata!I445,"human-skin"),EXACT(metadata!I445,"human-oral"),EXACT(metadata!I445,"human-gut"),EXACT(metadata!I445,"human-vaginal")))</f>
        <v>0</v>
      </c>
      <c r="AK445" t="b">
        <f>IF(metadata!J445="",FALSE,ISNUMBER(VALUE(metadata!J445)))</f>
        <v>0</v>
      </c>
      <c r="AL445" t="b">
        <f>AND(IF(metadata!K445="",FALSE,TRUE),EXACT(metadata!K445,"cm"))</f>
        <v>0</v>
      </c>
      <c r="AM445" t="b">
        <f>AND(IF(metadata!L445="",FALSE,TRUE),EXACT(metadata!L445,"human"))</f>
        <v>0</v>
      </c>
      <c r="AN445" t="b">
        <f>AND(IF(metadata!M445="",FALSE,TRUE),EXACT(metadata!M445,"Homo sapiens"))</f>
        <v>0</v>
      </c>
      <c r="AO445" t="b">
        <f>AND(IF(metadata!N445="",FALSE,TRUE),EXACT(metadata!N445,"9606"))</f>
        <v>0</v>
      </c>
      <c r="AP445" t="b">
        <f>IF(metadata!O445="",FALSE,TRUE)</f>
        <v>0</v>
      </c>
      <c r="AQ445" t="b">
        <f>IF(metadata!P445="",FALSE,TRUE)</f>
        <v>0</v>
      </c>
      <c r="AR445" t="b">
        <f>IF(metadata!Q445="",FALSE,ISNUMBER(VALUE(metadata!Q445)))</f>
        <v>0</v>
      </c>
      <c r="AS445" t="b">
        <f>AND(IF(metadata!R445="",FALSE,TRUE),EXACT(metadata!R445,"kg"))</f>
        <v>0</v>
      </c>
    </row>
    <row r="446" spans="1:45" x14ac:dyDescent="0.2">
      <c r="A446" s="5" t="str">
        <f ca="1">IF(B446=" "," ",HYPERLINK(CONCATENATE("#metadata!",ADDRESS(INDEX($X$2:$X$1001,MATCH(ROWS($V$2:V446),$V$2:$V$1001,0),0),1)),INDEX($AA$2:$AA$1001,MATCH(ROWS($V$2:V446),$V$2:$V$1001,0),0)))</f>
        <v xml:space="preserve"> </v>
      </c>
      <c r="B446" s="4" t="str">
        <f ca="1">IF(OR(INDEX($W$2:$W$1001,MATCH(ROWS($V$2:V446),$V$2:$V$1001,0),1)&gt;=100000,INDEX($AC$1005:$AS$1005,1,MATCH(COLUMNS($AC$1006:AC1006),$AC$1006:$AS$1006,0))&gt;=100000), " ",IF(INDEX($AC$2:$AS$1001,MATCH(ROWS($V$2:V446),$V$2:$V$1001,0),MATCH(COLUMNS($AC$1006:AC1006),$AC$1006:$AS$1006,0)), HYPERLINK("#",""), HYPERLINK(CONCATENATE("#metadata!", ADDRESS(INDEX($X$2:$X$1001,MATCH(ROWS($V$2:V446),$V$2:$V$1001,0),0), INDEX($AC$1004:$AS$1004,1,MATCH(COLUMNS($AC$1006:AC1006),$AC$1006:$AS$1006,0)))),"Fix")))</f>
        <v xml:space="preserve"> </v>
      </c>
      <c r="C446" s="4" t="str">
        <f ca="1">IF(OR(INDEX($W$2:$W$1001,MATCH(ROWS($V$2:V446),$V$2:$V$1001,0),1)&gt;=100000,INDEX($AC$1005:$AS$1005,1,MATCH(COLUMNS($AC$1006:AD1006),$AC$1006:$AS$1006,0))&gt;=100000), " ",IF(INDEX($AC$2:$AS$1001,MATCH(ROWS($V$2:V446),$V$2:$V$1001,0),MATCH(COLUMNS($AC$1006:AD1006),$AC$1006:$AS$1006,0)), HYPERLINK("#",""), HYPERLINK(CONCATENATE("#metadata!", ADDRESS(INDEX($X$2:$X$1001,MATCH(ROWS($V$2:V446),$V$2:$V$1001,0),0), INDEX($AC$1004:$AS$1004,1,MATCH(COLUMNS($AC$1006:AD1006),$AC$1006:$AS$1006,0)))),"Fix")))</f>
        <v xml:space="preserve"> </v>
      </c>
      <c r="D446" s="4" t="str">
        <f ca="1">IF(OR(INDEX($W$2:$W$1001,MATCH(ROWS($V$2:V446),$V$2:$V$1001,0),1)&gt;=100000,INDEX($AC$1005:$AS$1005,1,MATCH(COLUMNS($AC$1006:AE1006),$AC$1006:$AS$1006,0))&gt;=100000), " ",IF(INDEX($AC$2:$AS$1001,MATCH(ROWS($V$2:V446),$V$2:$V$1001,0),MATCH(COLUMNS($AC$1006:AE1006),$AC$1006:$AS$1006,0)), HYPERLINK("#",""), HYPERLINK(CONCATENATE("#metadata!", ADDRESS(INDEX($X$2:$X$1001,MATCH(ROWS($V$2:V446),$V$2:$V$1001,0),0), INDEX($AC$1004:$AS$1004,1,MATCH(COLUMNS($AC$1006:AE1006),$AC$1006:$AS$1006,0)))),"Fix")))</f>
        <v xml:space="preserve"> </v>
      </c>
      <c r="E446" s="4" t="str">
        <f ca="1">IF(OR(INDEX($W$2:$W$1001,MATCH(ROWS($V$2:V446),$V$2:$V$1001,0),1)&gt;=100000,INDEX($AC$1005:$AS$1005,1,MATCH(COLUMNS($AC$1006:AF1006),$AC$1006:$AS$1006,0))&gt;=100000), " ",IF(INDEX($AC$2:$AS$1001,MATCH(ROWS($V$2:V446),$V$2:$V$1001,0),MATCH(COLUMNS($AC$1006:AF1006),$AC$1006:$AS$1006,0)), HYPERLINK("#",""), HYPERLINK(CONCATENATE("#metadata!", ADDRESS(INDEX($X$2:$X$1001,MATCH(ROWS($V$2:V446),$V$2:$V$1001,0),0), INDEX($AC$1004:$AS$1004,1,MATCH(COLUMNS($AC$1006:AF1006),$AC$1006:$AS$1006,0)))),"Fix")))</f>
        <v xml:space="preserve"> </v>
      </c>
      <c r="F446" s="4" t="str">
        <f ca="1">IF(OR(INDEX($W$2:$W$1001,MATCH(ROWS($V$2:V446),$V$2:$V$1001,0),1)&gt;=100000,INDEX($AC$1005:$AS$1005,1,MATCH(COLUMNS($AC$1006:AG1006),$AC$1006:$AS$1006,0))&gt;=100000), " ",IF(INDEX($AC$2:$AS$1001,MATCH(ROWS($V$2:V446),$V$2:$V$1001,0),MATCH(COLUMNS($AC$1006:AG1006),$AC$1006:$AS$1006,0)), HYPERLINK("#",""), HYPERLINK(CONCATENATE("#metadata!", ADDRESS(INDEX($X$2:$X$1001,MATCH(ROWS($V$2:V446),$V$2:$V$1001,0),0), INDEX($AC$1004:$AS$1004,1,MATCH(COLUMNS($AC$1006:AG1006),$AC$1006:$AS$1006,0)))),"Fix")))</f>
        <v xml:space="preserve"> </v>
      </c>
      <c r="G446" s="4" t="str">
        <f ca="1">IF(OR(INDEX($W$2:$W$1001,MATCH(ROWS($V$2:V446),$V$2:$V$1001,0),1)&gt;=100000,INDEX($AC$1005:$AS$1005,1,MATCH(COLUMNS($AC$1006:AH1006),$AC$1006:$AS$1006,0))&gt;=100000), " ",IF(INDEX($AC$2:$AS$1001,MATCH(ROWS($V$2:V446),$V$2:$V$1001,0),MATCH(COLUMNS($AC$1006:AH1006),$AC$1006:$AS$1006,0)), HYPERLINK("#",""), HYPERLINK(CONCATENATE("#metadata!", ADDRESS(INDEX($X$2:$X$1001,MATCH(ROWS($V$2:V446),$V$2:$V$1001,0),0), INDEX($AC$1004:$AS$1004,1,MATCH(COLUMNS($AC$1006:AH1006),$AC$1006:$AS$1006,0)))),"Fix")))</f>
        <v xml:space="preserve"> </v>
      </c>
      <c r="H446" s="4" t="str">
        <f ca="1">IF(OR(INDEX($W$2:$W$1001,MATCH(ROWS($V$2:V446),$V$2:$V$1001,0),1)&gt;=100000,INDEX($AC$1005:$AS$1005,1,MATCH(COLUMNS($AC$1006:AI1006),$AC$1006:$AS$1006,0))&gt;=100000), " ",IF(INDEX($AC$2:$AS$1001,MATCH(ROWS($V$2:V446),$V$2:$V$1001,0),MATCH(COLUMNS($AC$1006:AI1006),$AC$1006:$AS$1006,0)), HYPERLINK("#",""), HYPERLINK(CONCATENATE("#metadata!", ADDRESS(INDEX($X$2:$X$1001,MATCH(ROWS($V$2:V446),$V$2:$V$1001,0),0), INDEX($AC$1004:$AS$1004,1,MATCH(COLUMNS($AC$1006:AI1006),$AC$1006:$AS$1006,0)))),"Fix")))</f>
        <v xml:space="preserve"> </v>
      </c>
      <c r="I446" s="4" t="str">
        <f ca="1">IF(OR(INDEX($W$2:$W$1001,MATCH(ROWS($V$2:V446),$V$2:$V$1001,0),1)&gt;=100000,INDEX($AC$1005:$AS$1005,1,MATCH(COLUMNS($AC$1006:AJ1006),$AC$1006:$AS$1006,0))&gt;=100000), " ",IF(INDEX($AC$2:$AS$1001,MATCH(ROWS($V$2:V446),$V$2:$V$1001,0),MATCH(COLUMNS($AC$1006:AJ1006),$AC$1006:$AS$1006,0)), HYPERLINK("#",""), HYPERLINK(CONCATENATE("#metadata!", ADDRESS(INDEX($X$2:$X$1001,MATCH(ROWS($V$2:V446),$V$2:$V$1001,0),0), INDEX($AC$1004:$AS$1004,1,MATCH(COLUMNS($AC$1006:AJ1006),$AC$1006:$AS$1006,0)))),"Fix")))</f>
        <v xml:space="preserve"> </v>
      </c>
      <c r="J446" s="4" t="str">
        <f ca="1">IF(OR(INDEX($W$2:$W$1001,MATCH(ROWS($V$2:V446),$V$2:$V$1001,0),1)&gt;=100000,INDEX($AC$1005:$AS$1005,1,MATCH(COLUMNS($AC$1006:AK1006),$AC$1006:$AS$1006,0))&gt;=100000), " ",IF(INDEX($AC$2:$AS$1001,MATCH(ROWS($V$2:V446),$V$2:$V$1001,0),MATCH(COLUMNS($AC$1006:AK1006),$AC$1006:$AS$1006,0)), HYPERLINK("#",""), HYPERLINK(CONCATENATE("#metadata!", ADDRESS(INDEX($X$2:$X$1001,MATCH(ROWS($V$2:V446),$V$2:$V$1001,0),0), INDEX($AC$1004:$AS$1004,1,MATCH(COLUMNS($AC$1006:AK1006),$AC$1006:$AS$1006,0)))),"Fix")))</f>
        <v xml:space="preserve"> </v>
      </c>
      <c r="K446" s="4" t="str">
        <f ca="1">IF(OR(INDEX($W$2:$W$1001,MATCH(ROWS($V$2:V446),$V$2:$V$1001,0),1)&gt;=100000,INDEX($AC$1005:$AS$1005,1,MATCH(COLUMNS($AC$1006:AL1006),$AC$1006:$AS$1006,0))&gt;=100000), " ",IF(INDEX($AC$2:$AS$1001,MATCH(ROWS($V$2:V446),$V$2:$V$1001,0),MATCH(COLUMNS($AC$1006:AL1006),$AC$1006:$AS$1006,0)), HYPERLINK("#",""), HYPERLINK(CONCATENATE("#metadata!", ADDRESS(INDEX($X$2:$X$1001,MATCH(ROWS($V$2:V446),$V$2:$V$1001,0),0), INDEX($AC$1004:$AS$1004,1,MATCH(COLUMNS($AC$1006:AL1006),$AC$1006:$AS$1006,0)))),"Fix")))</f>
        <v xml:space="preserve"> </v>
      </c>
      <c r="L446" s="4" t="str">
        <f ca="1">IF(OR(INDEX($W$2:$W$1001,MATCH(ROWS($V$2:V446),$V$2:$V$1001,0),1)&gt;=100000,INDEX($AC$1005:$AS$1005,1,MATCH(COLUMNS($AC$1006:AM1006),$AC$1006:$AS$1006,0))&gt;=100000), " ",IF(INDEX($AC$2:$AS$1001,MATCH(ROWS($V$2:V446),$V$2:$V$1001,0),MATCH(COLUMNS($AC$1006:AM1006),$AC$1006:$AS$1006,0)), HYPERLINK("#",""), HYPERLINK(CONCATENATE("#metadata!", ADDRESS(INDEX($X$2:$X$1001,MATCH(ROWS($V$2:V446),$V$2:$V$1001,0),0), INDEX($AC$1004:$AS$1004,1,MATCH(COLUMNS($AC$1006:AM1006),$AC$1006:$AS$1006,0)))),"Fix")))</f>
        <v xml:space="preserve"> </v>
      </c>
      <c r="M446" s="4" t="str">
        <f ca="1">IF(OR(INDEX($W$2:$W$1001,MATCH(ROWS($V$2:V446),$V$2:$V$1001,0),1)&gt;=100000,INDEX($AC$1005:$AS$1005,1,MATCH(COLUMNS($AC$1006:AN1006),$AC$1006:$AS$1006,0))&gt;=100000), " ",IF(INDEX($AC$2:$AS$1001,MATCH(ROWS($V$2:V446),$V$2:$V$1001,0),MATCH(COLUMNS($AC$1006:AN1006),$AC$1006:$AS$1006,0)), HYPERLINK("#",""), HYPERLINK(CONCATENATE("#metadata!", ADDRESS(INDEX($X$2:$X$1001,MATCH(ROWS($V$2:V446),$V$2:$V$1001,0),0), INDEX($AC$1004:$AS$1004,1,MATCH(COLUMNS($AC$1006:AN1006),$AC$1006:$AS$1006,0)))),"Fix")))</f>
        <v xml:space="preserve"> </v>
      </c>
      <c r="N446" s="4" t="str">
        <f ca="1">IF(OR(INDEX($W$2:$W$1001,MATCH(ROWS($V$2:V446),$V$2:$V$1001,0),1)&gt;=100000,INDEX($AC$1005:$AS$1005,1,MATCH(COLUMNS($AC$1006:AO1006),$AC$1006:$AS$1006,0))&gt;=100000), " ",IF(INDEX($AC$2:$AS$1001,MATCH(ROWS($V$2:V446),$V$2:$V$1001,0),MATCH(COLUMNS($AC$1006:AO1006),$AC$1006:$AS$1006,0)), HYPERLINK("#",""), HYPERLINK(CONCATENATE("#metadata!", ADDRESS(INDEX($X$2:$X$1001,MATCH(ROWS($V$2:V446),$V$2:$V$1001,0),0), INDEX($AC$1004:$AS$1004,1,MATCH(COLUMNS($AC$1006:AO1006),$AC$1006:$AS$1006,0)))),"Fix")))</f>
        <v xml:space="preserve"> </v>
      </c>
      <c r="O446" s="4" t="str">
        <f ca="1">IF(OR(INDEX($W$2:$W$1001,MATCH(ROWS($V$2:V446),$V$2:$V$1001,0),1)&gt;=100000,INDEX($AC$1005:$AS$1005,1,MATCH(COLUMNS($AC$1006:AP1006),$AC$1006:$AS$1006,0))&gt;=100000), " ",IF(INDEX($AC$2:$AS$1001,MATCH(ROWS($V$2:V446),$V$2:$V$1001,0),MATCH(COLUMNS($AC$1006:AP1006),$AC$1006:$AS$1006,0)), HYPERLINK("#",""), HYPERLINK(CONCATENATE("#metadata!", ADDRESS(INDEX($X$2:$X$1001,MATCH(ROWS($V$2:V446),$V$2:$V$1001,0),0), INDEX($AC$1004:$AS$1004,1,MATCH(COLUMNS($AC$1006:AP1006),$AC$1006:$AS$1006,0)))),"Fix")))</f>
        <v xml:space="preserve"> </v>
      </c>
      <c r="P446" s="4" t="str">
        <f ca="1">IF(OR(INDEX($W$2:$W$1001,MATCH(ROWS($V$2:V446),$V$2:$V$1001,0),1)&gt;=100000,INDEX($AC$1005:$AS$1005,1,MATCH(COLUMNS($AC$1006:AQ1006),$AC$1006:$AS$1006,0))&gt;=100000), " ",IF(INDEX($AC$2:$AS$1001,MATCH(ROWS($V$2:V446),$V$2:$V$1001,0),MATCH(COLUMNS($AC$1006:AQ1006),$AC$1006:$AS$1006,0)), HYPERLINK("#",""), HYPERLINK(CONCATENATE("#metadata!", ADDRESS(INDEX($X$2:$X$1001,MATCH(ROWS($V$2:V446),$V$2:$V$1001,0),0), INDEX($AC$1004:$AS$1004,1,MATCH(COLUMNS($AC$1006:AQ1006),$AC$1006:$AS$1006,0)))),"Fix")))</f>
        <v xml:space="preserve"> </v>
      </c>
      <c r="Q446" s="4" t="str">
        <f ca="1">IF(OR(INDEX($W$2:$W$1001,MATCH(ROWS($V$2:V446),$V$2:$V$1001,0),1)&gt;=100000,INDEX($AC$1005:$AS$1005,1,MATCH(COLUMNS($AC$1006:AR1006),$AC$1006:$AS$1006,0))&gt;=100000), " ",IF(INDEX($AC$2:$AS$1001,MATCH(ROWS($V$2:V446),$V$2:$V$1001,0),MATCH(COLUMNS($AC$1006:AR1006),$AC$1006:$AS$1006,0)), HYPERLINK("#",""), HYPERLINK(CONCATENATE("#metadata!", ADDRESS(INDEX($X$2:$X$1001,MATCH(ROWS($V$2:V446),$V$2:$V$1001,0),0), INDEX($AC$1004:$AS$1004,1,MATCH(COLUMNS($AC$1006:AR1006),$AC$1006:$AS$1006,0)))),"Fix")))</f>
        <v xml:space="preserve"> </v>
      </c>
      <c r="R446" s="4" t="str">
        <f ca="1">IF(OR(INDEX($W$2:$W$1001,MATCH(ROWS($V$2:V446),$V$2:$V$1001,0),1)&gt;=100000,INDEX($AC$1005:$AS$1005,1,MATCH(COLUMNS($AC$1006:AS1006),$AC$1006:$AS$1006,0))&gt;=100000), " ",IF(INDEX($AC$2:$AS$1001,MATCH(ROWS($V$2:V446),$V$2:$V$1001,0),MATCH(COLUMNS($AC$1006:AS1006),$AC$1006:$AS$1006,0)), HYPERLINK("#",""), HYPERLINK(CONCATENATE("#metadata!", ADDRESS(INDEX($X$2:$X$1001,MATCH(ROWS($V$2:V446),$V$2:$V$1001,0),0), INDEX($AC$1004:$AS$1004,1,MATCH(COLUMNS($AC$1006:AS1006),$AC$1006:$AS$1006,0)))),"Fix")))</f>
        <v xml:space="preserve"> </v>
      </c>
      <c r="V446">
        <v>445</v>
      </c>
      <c r="W446">
        <v>100446</v>
      </c>
      <c r="X446">
        <v>446</v>
      </c>
      <c r="Y446" t="b">
        <f t="shared" si="6"/>
        <v>1</v>
      </c>
      <c r="Z446" t="b">
        <f>COUNTBLANK(metadata!B446:R446)=COLUMNS(metadata!B446:R446)</f>
        <v>1</v>
      </c>
      <c r="AA446" t="str">
        <v/>
      </c>
      <c r="AC446" t="b">
        <f ca="1"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AD446" t="b">
        <f>IF(metadata!C446="",FALSE,ISNUMBER(VALUE(metadata!C446)))</f>
        <v>0</v>
      </c>
      <c r="AE446" t="b">
        <f>AND(IF(metadata!D446="",FALSE,TRUE),EXACT(metadata!D446,"years"))</f>
        <v>0</v>
      </c>
      <c r="AF446" t="b">
        <f>OR(AND(IF(metadata!E446="",FALSE,TRUE),OR(EXACT(metadata!E446,"not applicable"),EXACT(metadata!E446,"missing: not collected"),EXACT(metadata!E446,"missing: not provided"),EXACT(metadata!E446,"missing: restricted access"))),AND(IF(metadata!E446="",FALSE,ISNUMBER(VALUE(metadata!E446))),metadata!E446&gt;0))</f>
        <v>0</v>
      </c>
      <c r="AG446" t="b">
        <f>AND(IF(metadata!F446="",FALSE,TRUE),EXACT(metadata!F446,"Not applicable"))</f>
        <v>0</v>
      </c>
      <c r="AH446" t="b">
        <f>AND(IF(metadata!G446="",FALSE,TRUE),EXACT(metadata!G446,"urban biome"))</f>
        <v>0</v>
      </c>
      <c r="AI446" t="b">
        <f>AND(IF(metadata!H446="",FALSE,TRUE),EXACT(metadata!H446,"human-associated habitat"))</f>
        <v>0</v>
      </c>
      <c r="AJ446" t="b">
        <f>AND(IF(metadata!I446="",FALSE,TRUE),OR(EXACT(metadata!I446,"human-associated"),EXACT(metadata!I446,"human-skin"),EXACT(metadata!I446,"human-oral"),EXACT(metadata!I446,"human-gut"),EXACT(metadata!I446,"human-vaginal")))</f>
        <v>0</v>
      </c>
      <c r="AK446" t="b">
        <f>IF(metadata!J446="",FALSE,ISNUMBER(VALUE(metadata!J446)))</f>
        <v>0</v>
      </c>
      <c r="AL446" t="b">
        <f>AND(IF(metadata!K446="",FALSE,TRUE),EXACT(metadata!K446,"cm"))</f>
        <v>0</v>
      </c>
      <c r="AM446" t="b">
        <f>AND(IF(metadata!L446="",FALSE,TRUE),EXACT(metadata!L446,"human"))</f>
        <v>0</v>
      </c>
      <c r="AN446" t="b">
        <f>AND(IF(metadata!M446="",FALSE,TRUE),EXACT(metadata!M446,"Homo sapiens"))</f>
        <v>0</v>
      </c>
      <c r="AO446" t="b">
        <f>AND(IF(metadata!N446="",FALSE,TRUE),EXACT(metadata!N446,"9606"))</f>
        <v>0</v>
      </c>
      <c r="AP446" t="b">
        <f>IF(metadata!O446="",FALSE,TRUE)</f>
        <v>0</v>
      </c>
      <c r="AQ446" t="b">
        <f>IF(metadata!P446="",FALSE,TRUE)</f>
        <v>0</v>
      </c>
      <c r="AR446" t="b">
        <f>IF(metadata!Q446="",FALSE,ISNUMBER(VALUE(metadata!Q446)))</f>
        <v>0</v>
      </c>
      <c r="AS446" t="b">
        <f>AND(IF(metadata!R446="",FALSE,TRUE),EXACT(metadata!R446,"kg"))</f>
        <v>0</v>
      </c>
    </row>
    <row r="447" spans="1:45" x14ac:dyDescent="0.2">
      <c r="A447" s="5" t="str">
        <f ca="1">IF(B447=" "," ",HYPERLINK(CONCATENATE("#metadata!",ADDRESS(INDEX($X$2:$X$1001,MATCH(ROWS($V$2:V447),$V$2:$V$1001,0),0),1)),INDEX($AA$2:$AA$1001,MATCH(ROWS($V$2:V447),$V$2:$V$1001,0),0)))</f>
        <v xml:space="preserve"> </v>
      </c>
      <c r="B447" s="4" t="str">
        <f ca="1">IF(OR(INDEX($W$2:$W$1001,MATCH(ROWS($V$2:V447),$V$2:$V$1001,0),1)&gt;=100000,INDEX($AC$1005:$AS$1005,1,MATCH(COLUMNS($AC$1006:AC1006),$AC$1006:$AS$1006,0))&gt;=100000), " ",IF(INDEX($AC$2:$AS$1001,MATCH(ROWS($V$2:V447),$V$2:$V$1001,0),MATCH(COLUMNS($AC$1006:AC1006),$AC$1006:$AS$1006,0)), HYPERLINK("#",""), HYPERLINK(CONCATENATE("#metadata!", ADDRESS(INDEX($X$2:$X$1001,MATCH(ROWS($V$2:V447),$V$2:$V$1001,0),0), INDEX($AC$1004:$AS$1004,1,MATCH(COLUMNS($AC$1006:AC1006),$AC$1006:$AS$1006,0)))),"Fix")))</f>
        <v xml:space="preserve"> </v>
      </c>
      <c r="C447" s="4" t="str">
        <f ca="1">IF(OR(INDEX($W$2:$W$1001,MATCH(ROWS($V$2:V447),$V$2:$V$1001,0),1)&gt;=100000,INDEX($AC$1005:$AS$1005,1,MATCH(COLUMNS($AC$1006:AD1006),$AC$1006:$AS$1006,0))&gt;=100000), " ",IF(INDEX($AC$2:$AS$1001,MATCH(ROWS($V$2:V447),$V$2:$V$1001,0),MATCH(COLUMNS($AC$1006:AD1006),$AC$1006:$AS$1006,0)), HYPERLINK("#",""), HYPERLINK(CONCATENATE("#metadata!", ADDRESS(INDEX($X$2:$X$1001,MATCH(ROWS($V$2:V447),$V$2:$V$1001,0),0), INDEX($AC$1004:$AS$1004,1,MATCH(COLUMNS($AC$1006:AD1006),$AC$1006:$AS$1006,0)))),"Fix")))</f>
        <v xml:space="preserve"> </v>
      </c>
      <c r="D447" s="4" t="str">
        <f ca="1">IF(OR(INDEX($W$2:$W$1001,MATCH(ROWS($V$2:V447),$V$2:$V$1001,0),1)&gt;=100000,INDEX($AC$1005:$AS$1005,1,MATCH(COLUMNS($AC$1006:AE1006),$AC$1006:$AS$1006,0))&gt;=100000), " ",IF(INDEX($AC$2:$AS$1001,MATCH(ROWS($V$2:V447),$V$2:$V$1001,0),MATCH(COLUMNS($AC$1006:AE1006),$AC$1006:$AS$1006,0)), HYPERLINK("#",""), HYPERLINK(CONCATENATE("#metadata!", ADDRESS(INDEX($X$2:$X$1001,MATCH(ROWS($V$2:V447),$V$2:$V$1001,0),0), INDEX($AC$1004:$AS$1004,1,MATCH(COLUMNS($AC$1006:AE1006),$AC$1006:$AS$1006,0)))),"Fix")))</f>
        <v xml:space="preserve"> </v>
      </c>
      <c r="E447" s="4" t="str">
        <f ca="1">IF(OR(INDEX($W$2:$W$1001,MATCH(ROWS($V$2:V447),$V$2:$V$1001,0),1)&gt;=100000,INDEX($AC$1005:$AS$1005,1,MATCH(COLUMNS($AC$1006:AF1006),$AC$1006:$AS$1006,0))&gt;=100000), " ",IF(INDEX($AC$2:$AS$1001,MATCH(ROWS($V$2:V447),$V$2:$V$1001,0),MATCH(COLUMNS($AC$1006:AF1006),$AC$1006:$AS$1006,0)), HYPERLINK("#",""), HYPERLINK(CONCATENATE("#metadata!", ADDRESS(INDEX($X$2:$X$1001,MATCH(ROWS($V$2:V447),$V$2:$V$1001,0),0), INDEX($AC$1004:$AS$1004,1,MATCH(COLUMNS($AC$1006:AF1006),$AC$1006:$AS$1006,0)))),"Fix")))</f>
        <v xml:space="preserve"> </v>
      </c>
      <c r="F447" s="4" t="str">
        <f ca="1">IF(OR(INDEX($W$2:$W$1001,MATCH(ROWS($V$2:V447),$V$2:$V$1001,0),1)&gt;=100000,INDEX($AC$1005:$AS$1005,1,MATCH(COLUMNS($AC$1006:AG1006),$AC$1006:$AS$1006,0))&gt;=100000), " ",IF(INDEX($AC$2:$AS$1001,MATCH(ROWS($V$2:V447),$V$2:$V$1001,0),MATCH(COLUMNS($AC$1006:AG1006),$AC$1006:$AS$1006,0)), HYPERLINK("#",""), HYPERLINK(CONCATENATE("#metadata!", ADDRESS(INDEX($X$2:$X$1001,MATCH(ROWS($V$2:V447),$V$2:$V$1001,0),0), INDEX($AC$1004:$AS$1004,1,MATCH(COLUMNS($AC$1006:AG1006),$AC$1006:$AS$1006,0)))),"Fix")))</f>
        <v xml:space="preserve"> </v>
      </c>
      <c r="G447" s="4" t="str">
        <f ca="1">IF(OR(INDEX($W$2:$W$1001,MATCH(ROWS($V$2:V447),$V$2:$V$1001,0),1)&gt;=100000,INDEX($AC$1005:$AS$1005,1,MATCH(COLUMNS($AC$1006:AH1006),$AC$1006:$AS$1006,0))&gt;=100000), " ",IF(INDEX($AC$2:$AS$1001,MATCH(ROWS($V$2:V447),$V$2:$V$1001,0),MATCH(COLUMNS($AC$1006:AH1006),$AC$1006:$AS$1006,0)), HYPERLINK("#",""), HYPERLINK(CONCATENATE("#metadata!", ADDRESS(INDEX($X$2:$X$1001,MATCH(ROWS($V$2:V447),$V$2:$V$1001,0),0), INDEX($AC$1004:$AS$1004,1,MATCH(COLUMNS($AC$1006:AH1006),$AC$1006:$AS$1006,0)))),"Fix")))</f>
        <v xml:space="preserve"> </v>
      </c>
      <c r="H447" s="4" t="str">
        <f ca="1">IF(OR(INDEX($W$2:$W$1001,MATCH(ROWS($V$2:V447),$V$2:$V$1001,0),1)&gt;=100000,INDEX($AC$1005:$AS$1005,1,MATCH(COLUMNS($AC$1006:AI1006),$AC$1006:$AS$1006,0))&gt;=100000), " ",IF(INDEX($AC$2:$AS$1001,MATCH(ROWS($V$2:V447),$V$2:$V$1001,0),MATCH(COLUMNS($AC$1006:AI1006),$AC$1006:$AS$1006,0)), HYPERLINK("#",""), HYPERLINK(CONCATENATE("#metadata!", ADDRESS(INDEX($X$2:$X$1001,MATCH(ROWS($V$2:V447),$V$2:$V$1001,0),0), INDEX($AC$1004:$AS$1004,1,MATCH(COLUMNS($AC$1006:AI1006),$AC$1006:$AS$1006,0)))),"Fix")))</f>
        <v xml:space="preserve"> </v>
      </c>
      <c r="I447" s="4" t="str">
        <f ca="1">IF(OR(INDEX($W$2:$W$1001,MATCH(ROWS($V$2:V447),$V$2:$V$1001,0),1)&gt;=100000,INDEX($AC$1005:$AS$1005,1,MATCH(COLUMNS($AC$1006:AJ1006),$AC$1006:$AS$1006,0))&gt;=100000), " ",IF(INDEX($AC$2:$AS$1001,MATCH(ROWS($V$2:V447),$V$2:$V$1001,0),MATCH(COLUMNS($AC$1006:AJ1006),$AC$1006:$AS$1006,0)), HYPERLINK("#",""), HYPERLINK(CONCATENATE("#metadata!", ADDRESS(INDEX($X$2:$X$1001,MATCH(ROWS($V$2:V447),$V$2:$V$1001,0),0), INDEX($AC$1004:$AS$1004,1,MATCH(COLUMNS($AC$1006:AJ1006),$AC$1006:$AS$1006,0)))),"Fix")))</f>
        <v xml:space="preserve"> </v>
      </c>
      <c r="J447" s="4" t="str">
        <f ca="1">IF(OR(INDEX($W$2:$W$1001,MATCH(ROWS($V$2:V447),$V$2:$V$1001,0),1)&gt;=100000,INDEX($AC$1005:$AS$1005,1,MATCH(COLUMNS($AC$1006:AK1006),$AC$1006:$AS$1006,0))&gt;=100000), " ",IF(INDEX($AC$2:$AS$1001,MATCH(ROWS($V$2:V447),$V$2:$V$1001,0),MATCH(COLUMNS($AC$1006:AK1006),$AC$1006:$AS$1006,0)), HYPERLINK("#",""), HYPERLINK(CONCATENATE("#metadata!", ADDRESS(INDEX($X$2:$X$1001,MATCH(ROWS($V$2:V447),$V$2:$V$1001,0),0), INDEX($AC$1004:$AS$1004,1,MATCH(COLUMNS($AC$1006:AK1006),$AC$1006:$AS$1006,0)))),"Fix")))</f>
        <v xml:space="preserve"> </v>
      </c>
      <c r="K447" s="4" t="str">
        <f ca="1">IF(OR(INDEX($W$2:$W$1001,MATCH(ROWS($V$2:V447),$V$2:$V$1001,0),1)&gt;=100000,INDEX($AC$1005:$AS$1005,1,MATCH(COLUMNS($AC$1006:AL1006),$AC$1006:$AS$1006,0))&gt;=100000), " ",IF(INDEX($AC$2:$AS$1001,MATCH(ROWS($V$2:V447),$V$2:$V$1001,0),MATCH(COLUMNS($AC$1006:AL1006),$AC$1006:$AS$1006,0)), HYPERLINK("#",""), HYPERLINK(CONCATENATE("#metadata!", ADDRESS(INDEX($X$2:$X$1001,MATCH(ROWS($V$2:V447),$V$2:$V$1001,0),0), INDEX($AC$1004:$AS$1004,1,MATCH(COLUMNS($AC$1006:AL1006),$AC$1006:$AS$1006,0)))),"Fix")))</f>
        <v xml:space="preserve"> </v>
      </c>
      <c r="L447" s="4" t="str">
        <f ca="1">IF(OR(INDEX($W$2:$W$1001,MATCH(ROWS($V$2:V447),$V$2:$V$1001,0),1)&gt;=100000,INDEX($AC$1005:$AS$1005,1,MATCH(COLUMNS($AC$1006:AM1006),$AC$1006:$AS$1006,0))&gt;=100000), " ",IF(INDEX($AC$2:$AS$1001,MATCH(ROWS($V$2:V447),$V$2:$V$1001,0),MATCH(COLUMNS($AC$1006:AM1006),$AC$1006:$AS$1006,0)), HYPERLINK("#",""), HYPERLINK(CONCATENATE("#metadata!", ADDRESS(INDEX($X$2:$X$1001,MATCH(ROWS($V$2:V447),$V$2:$V$1001,0),0), INDEX($AC$1004:$AS$1004,1,MATCH(COLUMNS($AC$1006:AM1006),$AC$1006:$AS$1006,0)))),"Fix")))</f>
        <v xml:space="preserve"> </v>
      </c>
      <c r="M447" s="4" t="str">
        <f ca="1">IF(OR(INDEX($W$2:$W$1001,MATCH(ROWS($V$2:V447),$V$2:$V$1001,0),1)&gt;=100000,INDEX($AC$1005:$AS$1005,1,MATCH(COLUMNS($AC$1006:AN1006),$AC$1006:$AS$1006,0))&gt;=100000), " ",IF(INDEX($AC$2:$AS$1001,MATCH(ROWS($V$2:V447),$V$2:$V$1001,0),MATCH(COLUMNS($AC$1006:AN1006),$AC$1006:$AS$1006,0)), HYPERLINK("#",""), HYPERLINK(CONCATENATE("#metadata!", ADDRESS(INDEX($X$2:$X$1001,MATCH(ROWS($V$2:V447),$V$2:$V$1001,0),0), INDEX($AC$1004:$AS$1004,1,MATCH(COLUMNS($AC$1006:AN1006),$AC$1006:$AS$1006,0)))),"Fix")))</f>
        <v xml:space="preserve"> </v>
      </c>
      <c r="N447" s="4" t="str">
        <f ca="1">IF(OR(INDEX($W$2:$W$1001,MATCH(ROWS($V$2:V447),$V$2:$V$1001,0),1)&gt;=100000,INDEX($AC$1005:$AS$1005,1,MATCH(COLUMNS($AC$1006:AO1006),$AC$1006:$AS$1006,0))&gt;=100000), " ",IF(INDEX($AC$2:$AS$1001,MATCH(ROWS($V$2:V447),$V$2:$V$1001,0),MATCH(COLUMNS($AC$1006:AO1006),$AC$1006:$AS$1006,0)), HYPERLINK("#",""), HYPERLINK(CONCATENATE("#metadata!", ADDRESS(INDEX($X$2:$X$1001,MATCH(ROWS($V$2:V447),$V$2:$V$1001,0),0), INDEX($AC$1004:$AS$1004,1,MATCH(COLUMNS($AC$1006:AO1006),$AC$1006:$AS$1006,0)))),"Fix")))</f>
        <v xml:space="preserve"> </v>
      </c>
      <c r="O447" s="4" t="str">
        <f ca="1">IF(OR(INDEX($W$2:$W$1001,MATCH(ROWS($V$2:V447),$V$2:$V$1001,0),1)&gt;=100000,INDEX($AC$1005:$AS$1005,1,MATCH(COLUMNS($AC$1006:AP1006),$AC$1006:$AS$1006,0))&gt;=100000), " ",IF(INDEX($AC$2:$AS$1001,MATCH(ROWS($V$2:V447),$V$2:$V$1001,0),MATCH(COLUMNS($AC$1006:AP1006),$AC$1006:$AS$1006,0)), HYPERLINK("#",""), HYPERLINK(CONCATENATE("#metadata!", ADDRESS(INDEX($X$2:$X$1001,MATCH(ROWS($V$2:V447),$V$2:$V$1001,0),0), INDEX($AC$1004:$AS$1004,1,MATCH(COLUMNS($AC$1006:AP1006),$AC$1006:$AS$1006,0)))),"Fix")))</f>
        <v xml:space="preserve"> </v>
      </c>
      <c r="P447" s="4" t="str">
        <f ca="1">IF(OR(INDEX($W$2:$W$1001,MATCH(ROWS($V$2:V447),$V$2:$V$1001,0),1)&gt;=100000,INDEX($AC$1005:$AS$1005,1,MATCH(COLUMNS($AC$1006:AQ1006),$AC$1006:$AS$1006,0))&gt;=100000), " ",IF(INDEX($AC$2:$AS$1001,MATCH(ROWS($V$2:V447),$V$2:$V$1001,0),MATCH(COLUMNS($AC$1006:AQ1006),$AC$1006:$AS$1006,0)), HYPERLINK("#",""), HYPERLINK(CONCATENATE("#metadata!", ADDRESS(INDEX($X$2:$X$1001,MATCH(ROWS($V$2:V447),$V$2:$V$1001,0),0), INDEX($AC$1004:$AS$1004,1,MATCH(COLUMNS($AC$1006:AQ1006),$AC$1006:$AS$1006,0)))),"Fix")))</f>
        <v xml:space="preserve"> </v>
      </c>
      <c r="Q447" s="4" t="str">
        <f ca="1">IF(OR(INDEX($W$2:$W$1001,MATCH(ROWS($V$2:V447),$V$2:$V$1001,0),1)&gt;=100000,INDEX($AC$1005:$AS$1005,1,MATCH(COLUMNS($AC$1006:AR1006),$AC$1006:$AS$1006,0))&gt;=100000), " ",IF(INDEX($AC$2:$AS$1001,MATCH(ROWS($V$2:V447),$V$2:$V$1001,0),MATCH(COLUMNS($AC$1006:AR1006),$AC$1006:$AS$1006,0)), HYPERLINK("#",""), HYPERLINK(CONCATENATE("#metadata!", ADDRESS(INDEX($X$2:$X$1001,MATCH(ROWS($V$2:V447),$V$2:$V$1001,0),0), INDEX($AC$1004:$AS$1004,1,MATCH(COLUMNS($AC$1006:AR1006),$AC$1006:$AS$1006,0)))),"Fix")))</f>
        <v xml:space="preserve"> </v>
      </c>
      <c r="R447" s="4" t="str">
        <f ca="1">IF(OR(INDEX($W$2:$W$1001,MATCH(ROWS($V$2:V447),$V$2:$V$1001,0),1)&gt;=100000,INDEX($AC$1005:$AS$1005,1,MATCH(COLUMNS($AC$1006:AS1006),$AC$1006:$AS$1006,0))&gt;=100000), " ",IF(INDEX($AC$2:$AS$1001,MATCH(ROWS($V$2:V447),$V$2:$V$1001,0),MATCH(COLUMNS($AC$1006:AS1006),$AC$1006:$AS$1006,0)), HYPERLINK("#",""), HYPERLINK(CONCATENATE("#metadata!", ADDRESS(INDEX($X$2:$X$1001,MATCH(ROWS($V$2:V447),$V$2:$V$1001,0),0), INDEX($AC$1004:$AS$1004,1,MATCH(COLUMNS($AC$1006:AS1006),$AC$1006:$AS$1006,0)))),"Fix")))</f>
        <v xml:space="preserve"> </v>
      </c>
      <c r="V447">
        <v>446</v>
      </c>
      <c r="W447">
        <v>100447</v>
      </c>
      <c r="X447">
        <v>447</v>
      </c>
      <c r="Y447" t="b">
        <f t="shared" si="6"/>
        <v>1</v>
      </c>
      <c r="Z447" t="b">
        <f>COUNTBLANK(metadata!B447:R447)=COLUMNS(metadata!B447:R447)</f>
        <v>1</v>
      </c>
      <c r="AA447" t="str">
        <v/>
      </c>
      <c r="AC447" t="b">
        <f ca="1"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AD447" t="b">
        <f>IF(metadata!C447="",FALSE,ISNUMBER(VALUE(metadata!C447)))</f>
        <v>0</v>
      </c>
      <c r="AE447" t="b">
        <f>AND(IF(metadata!D447="",FALSE,TRUE),EXACT(metadata!D447,"years"))</f>
        <v>0</v>
      </c>
      <c r="AF447" t="b">
        <f>OR(AND(IF(metadata!E447="",FALSE,TRUE),OR(EXACT(metadata!E447,"not applicable"),EXACT(metadata!E447,"missing: not collected"),EXACT(metadata!E447,"missing: not provided"),EXACT(metadata!E447,"missing: restricted access"))),AND(IF(metadata!E447="",FALSE,ISNUMBER(VALUE(metadata!E447))),metadata!E447&gt;0))</f>
        <v>0</v>
      </c>
      <c r="AG447" t="b">
        <f>AND(IF(metadata!F447="",FALSE,TRUE),EXACT(metadata!F447,"Not applicable"))</f>
        <v>0</v>
      </c>
      <c r="AH447" t="b">
        <f>AND(IF(metadata!G447="",FALSE,TRUE),EXACT(metadata!G447,"urban biome"))</f>
        <v>0</v>
      </c>
      <c r="AI447" t="b">
        <f>AND(IF(metadata!H447="",FALSE,TRUE),EXACT(metadata!H447,"human-associated habitat"))</f>
        <v>0</v>
      </c>
      <c r="AJ447" t="b">
        <f>AND(IF(metadata!I447="",FALSE,TRUE),OR(EXACT(metadata!I447,"human-associated"),EXACT(metadata!I447,"human-skin"),EXACT(metadata!I447,"human-oral"),EXACT(metadata!I447,"human-gut"),EXACT(metadata!I447,"human-vaginal")))</f>
        <v>0</v>
      </c>
      <c r="AK447" t="b">
        <f>IF(metadata!J447="",FALSE,ISNUMBER(VALUE(metadata!J447)))</f>
        <v>0</v>
      </c>
      <c r="AL447" t="b">
        <f>AND(IF(metadata!K447="",FALSE,TRUE),EXACT(metadata!K447,"cm"))</f>
        <v>0</v>
      </c>
      <c r="AM447" t="b">
        <f>AND(IF(metadata!L447="",FALSE,TRUE),EXACT(metadata!L447,"human"))</f>
        <v>0</v>
      </c>
      <c r="AN447" t="b">
        <f>AND(IF(metadata!M447="",FALSE,TRUE),EXACT(metadata!M447,"Homo sapiens"))</f>
        <v>0</v>
      </c>
      <c r="AO447" t="b">
        <f>AND(IF(metadata!N447="",FALSE,TRUE),EXACT(metadata!N447,"9606"))</f>
        <v>0</v>
      </c>
      <c r="AP447" t="b">
        <f>IF(metadata!O447="",FALSE,TRUE)</f>
        <v>0</v>
      </c>
      <c r="AQ447" t="b">
        <f>IF(metadata!P447="",FALSE,TRUE)</f>
        <v>0</v>
      </c>
      <c r="AR447" t="b">
        <f>IF(metadata!Q447="",FALSE,ISNUMBER(VALUE(metadata!Q447)))</f>
        <v>0</v>
      </c>
      <c r="AS447" t="b">
        <f>AND(IF(metadata!R447="",FALSE,TRUE),EXACT(metadata!R447,"kg"))</f>
        <v>0</v>
      </c>
    </row>
    <row r="448" spans="1:45" x14ac:dyDescent="0.2">
      <c r="A448" s="5" t="str">
        <f ca="1">IF(B448=" "," ",HYPERLINK(CONCATENATE("#metadata!",ADDRESS(INDEX($X$2:$X$1001,MATCH(ROWS($V$2:V448),$V$2:$V$1001,0),0),1)),INDEX($AA$2:$AA$1001,MATCH(ROWS($V$2:V448),$V$2:$V$1001,0),0)))</f>
        <v xml:space="preserve"> </v>
      </c>
      <c r="B448" s="4" t="str">
        <f ca="1">IF(OR(INDEX($W$2:$W$1001,MATCH(ROWS($V$2:V448),$V$2:$V$1001,0),1)&gt;=100000,INDEX($AC$1005:$AS$1005,1,MATCH(COLUMNS($AC$1006:AC1006),$AC$1006:$AS$1006,0))&gt;=100000), " ",IF(INDEX($AC$2:$AS$1001,MATCH(ROWS($V$2:V448),$V$2:$V$1001,0),MATCH(COLUMNS($AC$1006:AC1006),$AC$1006:$AS$1006,0)), HYPERLINK("#",""), HYPERLINK(CONCATENATE("#metadata!", ADDRESS(INDEX($X$2:$X$1001,MATCH(ROWS($V$2:V448),$V$2:$V$1001,0),0), INDEX($AC$1004:$AS$1004,1,MATCH(COLUMNS($AC$1006:AC1006),$AC$1006:$AS$1006,0)))),"Fix")))</f>
        <v xml:space="preserve"> </v>
      </c>
      <c r="C448" s="4" t="str">
        <f ca="1">IF(OR(INDEX($W$2:$W$1001,MATCH(ROWS($V$2:V448),$V$2:$V$1001,0),1)&gt;=100000,INDEX($AC$1005:$AS$1005,1,MATCH(COLUMNS($AC$1006:AD1006),$AC$1006:$AS$1006,0))&gt;=100000), " ",IF(INDEX($AC$2:$AS$1001,MATCH(ROWS($V$2:V448),$V$2:$V$1001,0),MATCH(COLUMNS($AC$1006:AD1006),$AC$1006:$AS$1006,0)), HYPERLINK("#",""), HYPERLINK(CONCATENATE("#metadata!", ADDRESS(INDEX($X$2:$X$1001,MATCH(ROWS($V$2:V448),$V$2:$V$1001,0),0), INDEX($AC$1004:$AS$1004,1,MATCH(COLUMNS($AC$1006:AD1006),$AC$1006:$AS$1006,0)))),"Fix")))</f>
        <v xml:space="preserve"> </v>
      </c>
      <c r="D448" s="4" t="str">
        <f ca="1">IF(OR(INDEX($W$2:$W$1001,MATCH(ROWS($V$2:V448),$V$2:$V$1001,0),1)&gt;=100000,INDEX($AC$1005:$AS$1005,1,MATCH(COLUMNS($AC$1006:AE1006),$AC$1006:$AS$1006,0))&gt;=100000), " ",IF(INDEX($AC$2:$AS$1001,MATCH(ROWS($V$2:V448),$V$2:$V$1001,0),MATCH(COLUMNS($AC$1006:AE1006),$AC$1006:$AS$1006,0)), HYPERLINK("#",""), HYPERLINK(CONCATENATE("#metadata!", ADDRESS(INDEX($X$2:$X$1001,MATCH(ROWS($V$2:V448),$V$2:$V$1001,0),0), INDEX($AC$1004:$AS$1004,1,MATCH(COLUMNS($AC$1006:AE1006),$AC$1006:$AS$1006,0)))),"Fix")))</f>
        <v xml:space="preserve"> </v>
      </c>
      <c r="E448" s="4" t="str">
        <f ca="1">IF(OR(INDEX($W$2:$W$1001,MATCH(ROWS($V$2:V448),$V$2:$V$1001,0),1)&gt;=100000,INDEX($AC$1005:$AS$1005,1,MATCH(COLUMNS($AC$1006:AF1006),$AC$1006:$AS$1006,0))&gt;=100000), " ",IF(INDEX($AC$2:$AS$1001,MATCH(ROWS($V$2:V448),$V$2:$V$1001,0),MATCH(COLUMNS($AC$1006:AF1006),$AC$1006:$AS$1006,0)), HYPERLINK("#",""), HYPERLINK(CONCATENATE("#metadata!", ADDRESS(INDEX($X$2:$X$1001,MATCH(ROWS($V$2:V448),$V$2:$V$1001,0),0), INDEX($AC$1004:$AS$1004,1,MATCH(COLUMNS($AC$1006:AF1006),$AC$1006:$AS$1006,0)))),"Fix")))</f>
        <v xml:space="preserve"> </v>
      </c>
      <c r="F448" s="4" t="str">
        <f ca="1">IF(OR(INDEX($W$2:$W$1001,MATCH(ROWS($V$2:V448),$V$2:$V$1001,0),1)&gt;=100000,INDEX($AC$1005:$AS$1005,1,MATCH(COLUMNS($AC$1006:AG1006),$AC$1006:$AS$1006,0))&gt;=100000), " ",IF(INDEX($AC$2:$AS$1001,MATCH(ROWS($V$2:V448),$V$2:$V$1001,0),MATCH(COLUMNS($AC$1006:AG1006),$AC$1006:$AS$1006,0)), HYPERLINK("#",""), HYPERLINK(CONCATENATE("#metadata!", ADDRESS(INDEX($X$2:$X$1001,MATCH(ROWS($V$2:V448),$V$2:$V$1001,0),0), INDEX($AC$1004:$AS$1004,1,MATCH(COLUMNS($AC$1006:AG1006),$AC$1006:$AS$1006,0)))),"Fix")))</f>
        <v xml:space="preserve"> </v>
      </c>
      <c r="G448" s="4" t="str">
        <f ca="1">IF(OR(INDEX($W$2:$W$1001,MATCH(ROWS($V$2:V448),$V$2:$V$1001,0),1)&gt;=100000,INDEX($AC$1005:$AS$1005,1,MATCH(COLUMNS($AC$1006:AH1006),$AC$1006:$AS$1006,0))&gt;=100000), " ",IF(INDEX($AC$2:$AS$1001,MATCH(ROWS($V$2:V448),$V$2:$V$1001,0),MATCH(COLUMNS($AC$1006:AH1006),$AC$1006:$AS$1006,0)), HYPERLINK("#",""), HYPERLINK(CONCATENATE("#metadata!", ADDRESS(INDEX($X$2:$X$1001,MATCH(ROWS($V$2:V448),$V$2:$V$1001,0),0), INDEX($AC$1004:$AS$1004,1,MATCH(COLUMNS($AC$1006:AH1006),$AC$1006:$AS$1006,0)))),"Fix")))</f>
        <v xml:space="preserve"> </v>
      </c>
      <c r="H448" s="4" t="str">
        <f ca="1">IF(OR(INDEX($W$2:$W$1001,MATCH(ROWS($V$2:V448),$V$2:$V$1001,0),1)&gt;=100000,INDEX($AC$1005:$AS$1005,1,MATCH(COLUMNS($AC$1006:AI1006),$AC$1006:$AS$1006,0))&gt;=100000), " ",IF(INDEX($AC$2:$AS$1001,MATCH(ROWS($V$2:V448),$V$2:$V$1001,0),MATCH(COLUMNS($AC$1006:AI1006),$AC$1006:$AS$1006,0)), HYPERLINK("#",""), HYPERLINK(CONCATENATE("#metadata!", ADDRESS(INDEX($X$2:$X$1001,MATCH(ROWS($V$2:V448),$V$2:$V$1001,0),0), INDEX($AC$1004:$AS$1004,1,MATCH(COLUMNS($AC$1006:AI1006),$AC$1006:$AS$1006,0)))),"Fix")))</f>
        <v xml:space="preserve"> </v>
      </c>
      <c r="I448" s="4" t="str">
        <f ca="1">IF(OR(INDEX($W$2:$W$1001,MATCH(ROWS($V$2:V448),$V$2:$V$1001,0),1)&gt;=100000,INDEX($AC$1005:$AS$1005,1,MATCH(COLUMNS($AC$1006:AJ1006),$AC$1006:$AS$1006,0))&gt;=100000), " ",IF(INDEX($AC$2:$AS$1001,MATCH(ROWS($V$2:V448),$V$2:$V$1001,0),MATCH(COLUMNS($AC$1006:AJ1006),$AC$1006:$AS$1006,0)), HYPERLINK("#",""), HYPERLINK(CONCATENATE("#metadata!", ADDRESS(INDEX($X$2:$X$1001,MATCH(ROWS($V$2:V448),$V$2:$V$1001,0),0), INDEX($AC$1004:$AS$1004,1,MATCH(COLUMNS($AC$1006:AJ1006),$AC$1006:$AS$1006,0)))),"Fix")))</f>
        <v xml:space="preserve"> </v>
      </c>
      <c r="J448" s="4" t="str">
        <f ca="1">IF(OR(INDEX($W$2:$W$1001,MATCH(ROWS($V$2:V448),$V$2:$V$1001,0),1)&gt;=100000,INDEX($AC$1005:$AS$1005,1,MATCH(COLUMNS($AC$1006:AK1006),$AC$1006:$AS$1006,0))&gt;=100000), " ",IF(INDEX($AC$2:$AS$1001,MATCH(ROWS($V$2:V448),$V$2:$V$1001,0),MATCH(COLUMNS($AC$1006:AK1006),$AC$1006:$AS$1006,0)), HYPERLINK("#",""), HYPERLINK(CONCATENATE("#metadata!", ADDRESS(INDEX($X$2:$X$1001,MATCH(ROWS($V$2:V448),$V$2:$V$1001,0),0), INDEX($AC$1004:$AS$1004,1,MATCH(COLUMNS($AC$1006:AK1006),$AC$1006:$AS$1006,0)))),"Fix")))</f>
        <v xml:space="preserve"> </v>
      </c>
      <c r="K448" s="4" t="str">
        <f ca="1">IF(OR(INDEX($W$2:$W$1001,MATCH(ROWS($V$2:V448),$V$2:$V$1001,0),1)&gt;=100000,INDEX($AC$1005:$AS$1005,1,MATCH(COLUMNS($AC$1006:AL1006),$AC$1006:$AS$1006,0))&gt;=100000), " ",IF(INDEX($AC$2:$AS$1001,MATCH(ROWS($V$2:V448),$V$2:$V$1001,0),MATCH(COLUMNS($AC$1006:AL1006),$AC$1006:$AS$1006,0)), HYPERLINK("#",""), HYPERLINK(CONCATENATE("#metadata!", ADDRESS(INDEX($X$2:$X$1001,MATCH(ROWS($V$2:V448),$V$2:$V$1001,0),0), INDEX($AC$1004:$AS$1004,1,MATCH(COLUMNS($AC$1006:AL1006),$AC$1006:$AS$1006,0)))),"Fix")))</f>
        <v xml:space="preserve"> </v>
      </c>
      <c r="L448" s="4" t="str">
        <f ca="1">IF(OR(INDEX($W$2:$W$1001,MATCH(ROWS($V$2:V448),$V$2:$V$1001,0),1)&gt;=100000,INDEX($AC$1005:$AS$1005,1,MATCH(COLUMNS($AC$1006:AM1006),$AC$1006:$AS$1006,0))&gt;=100000), " ",IF(INDEX($AC$2:$AS$1001,MATCH(ROWS($V$2:V448),$V$2:$V$1001,0),MATCH(COLUMNS($AC$1006:AM1006),$AC$1006:$AS$1006,0)), HYPERLINK("#",""), HYPERLINK(CONCATENATE("#metadata!", ADDRESS(INDEX($X$2:$X$1001,MATCH(ROWS($V$2:V448),$V$2:$V$1001,0),0), INDEX($AC$1004:$AS$1004,1,MATCH(COLUMNS($AC$1006:AM1006),$AC$1006:$AS$1006,0)))),"Fix")))</f>
        <v xml:space="preserve"> </v>
      </c>
      <c r="M448" s="4" t="str">
        <f ca="1">IF(OR(INDEX($W$2:$W$1001,MATCH(ROWS($V$2:V448),$V$2:$V$1001,0),1)&gt;=100000,INDEX($AC$1005:$AS$1005,1,MATCH(COLUMNS($AC$1006:AN1006),$AC$1006:$AS$1006,0))&gt;=100000), " ",IF(INDEX($AC$2:$AS$1001,MATCH(ROWS($V$2:V448),$V$2:$V$1001,0),MATCH(COLUMNS($AC$1006:AN1006),$AC$1006:$AS$1006,0)), HYPERLINK("#",""), HYPERLINK(CONCATENATE("#metadata!", ADDRESS(INDEX($X$2:$X$1001,MATCH(ROWS($V$2:V448),$V$2:$V$1001,0),0), INDEX($AC$1004:$AS$1004,1,MATCH(COLUMNS($AC$1006:AN1006),$AC$1006:$AS$1006,0)))),"Fix")))</f>
        <v xml:space="preserve"> </v>
      </c>
      <c r="N448" s="4" t="str">
        <f ca="1">IF(OR(INDEX($W$2:$W$1001,MATCH(ROWS($V$2:V448),$V$2:$V$1001,0),1)&gt;=100000,INDEX($AC$1005:$AS$1005,1,MATCH(COLUMNS($AC$1006:AO1006),$AC$1006:$AS$1006,0))&gt;=100000), " ",IF(INDEX($AC$2:$AS$1001,MATCH(ROWS($V$2:V448),$V$2:$V$1001,0),MATCH(COLUMNS($AC$1006:AO1006),$AC$1006:$AS$1006,0)), HYPERLINK("#",""), HYPERLINK(CONCATENATE("#metadata!", ADDRESS(INDEX($X$2:$X$1001,MATCH(ROWS($V$2:V448),$V$2:$V$1001,0),0), INDEX($AC$1004:$AS$1004,1,MATCH(COLUMNS($AC$1006:AO1006),$AC$1006:$AS$1006,0)))),"Fix")))</f>
        <v xml:space="preserve"> </v>
      </c>
      <c r="O448" s="4" t="str">
        <f ca="1">IF(OR(INDEX($W$2:$W$1001,MATCH(ROWS($V$2:V448),$V$2:$V$1001,0),1)&gt;=100000,INDEX($AC$1005:$AS$1005,1,MATCH(COLUMNS($AC$1006:AP1006),$AC$1006:$AS$1006,0))&gt;=100000), " ",IF(INDEX($AC$2:$AS$1001,MATCH(ROWS($V$2:V448),$V$2:$V$1001,0),MATCH(COLUMNS($AC$1006:AP1006),$AC$1006:$AS$1006,0)), HYPERLINK("#",""), HYPERLINK(CONCATENATE("#metadata!", ADDRESS(INDEX($X$2:$X$1001,MATCH(ROWS($V$2:V448),$V$2:$V$1001,0),0), INDEX($AC$1004:$AS$1004,1,MATCH(COLUMNS($AC$1006:AP1006),$AC$1006:$AS$1006,0)))),"Fix")))</f>
        <v xml:space="preserve"> </v>
      </c>
      <c r="P448" s="4" t="str">
        <f ca="1">IF(OR(INDEX($W$2:$W$1001,MATCH(ROWS($V$2:V448),$V$2:$V$1001,0),1)&gt;=100000,INDEX($AC$1005:$AS$1005,1,MATCH(COLUMNS($AC$1006:AQ1006),$AC$1006:$AS$1006,0))&gt;=100000), " ",IF(INDEX($AC$2:$AS$1001,MATCH(ROWS($V$2:V448),$V$2:$V$1001,0),MATCH(COLUMNS($AC$1006:AQ1006),$AC$1006:$AS$1006,0)), HYPERLINK("#",""), HYPERLINK(CONCATENATE("#metadata!", ADDRESS(INDEX($X$2:$X$1001,MATCH(ROWS($V$2:V448),$V$2:$V$1001,0),0), INDEX($AC$1004:$AS$1004,1,MATCH(COLUMNS($AC$1006:AQ1006),$AC$1006:$AS$1006,0)))),"Fix")))</f>
        <v xml:space="preserve"> </v>
      </c>
      <c r="Q448" s="4" t="str">
        <f ca="1">IF(OR(INDEX($W$2:$W$1001,MATCH(ROWS($V$2:V448),$V$2:$V$1001,0),1)&gt;=100000,INDEX($AC$1005:$AS$1005,1,MATCH(COLUMNS($AC$1006:AR1006),$AC$1006:$AS$1006,0))&gt;=100000), " ",IF(INDEX($AC$2:$AS$1001,MATCH(ROWS($V$2:V448),$V$2:$V$1001,0),MATCH(COLUMNS($AC$1006:AR1006),$AC$1006:$AS$1006,0)), HYPERLINK("#",""), HYPERLINK(CONCATENATE("#metadata!", ADDRESS(INDEX($X$2:$X$1001,MATCH(ROWS($V$2:V448),$V$2:$V$1001,0),0), INDEX($AC$1004:$AS$1004,1,MATCH(COLUMNS($AC$1006:AR1006),$AC$1006:$AS$1006,0)))),"Fix")))</f>
        <v xml:space="preserve"> </v>
      </c>
      <c r="R448" s="4" t="str">
        <f ca="1">IF(OR(INDEX($W$2:$W$1001,MATCH(ROWS($V$2:V448),$V$2:$V$1001,0),1)&gt;=100000,INDEX($AC$1005:$AS$1005,1,MATCH(COLUMNS($AC$1006:AS1006),$AC$1006:$AS$1006,0))&gt;=100000), " ",IF(INDEX($AC$2:$AS$1001,MATCH(ROWS($V$2:V448),$V$2:$V$1001,0),MATCH(COLUMNS($AC$1006:AS1006),$AC$1006:$AS$1006,0)), HYPERLINK("#",""), HYPERLINK(CONCATENATE("#metadata!", ADDRESS(INDEX($X$2:$X$1001,MATCH(ROWS($V$2:V448),$V$2:$V$1001,0),0), INDEX($AC$1004:$AS$1004,1,MATCH(COLUMNS($AC$1006:AS1006),$AC$1006:$AS$1006,0)))),"Fix")))</f>
        <v xml:space="preserve"> </v>
      </c>
      <c r="V448">
        <v>447</v>
      </c>
      <c r="W448">
        <v>100448</v>
      </c>
      <c r="X448">
        <v>448</v>
      </c>
      <c r="Y448" t="b">
        <f t="shared" si="6"/>
        <v>1</v>
      </c>
      <c r="Z448" t="b">
        <f>COUNTBLANK(metadata!B448:R448)=COLUMNS(metadata!B448:R448)</f>
        <v>1</v>
      </c>
      <c r="AA448" t="str">
        <v/>
      </c>
      <c r="AC448" t="b">
        <f ca="1"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AD448" t="b">
        <f>IF(metadata!C448="",FALSE,ISNUMBER(VALUE(metadata!C448)))</f>
        <v>0</v>
      </c>
      <c r="AE448" t="b">
        <f>AND(IF(metadata!D448="",FALSE,TRUE),EXACT(metadata!D448,"years"))</f>
        <v>0</v>
      </c>
      <c r="AF448" t="b">
        <f>OR(AND(IF(metadata!E448="",FALSE,TRUE),OR(EXACT(metadata!E448,"not applicable"),EXACT(metadata!E448,"missing: not collected"),EXACT(metadata!E448,"missing: not provided"),EXACT(metadata!E448,"missing: restricted access"))),AND(IF(metadata!E448="",FALSE,ISNUMBER(VALUE(metadata!E448))),metadata!E448&gt;0))</f>
        <v>0</v>
      </c>
      <c r="AG448" t="b">
        <f>AND(IF(metadata!F448="",FALSE,TRUE),EXACT(metadata!F448,"Not applicable"))</f>
        <v>0</v>
      </c>
      <c r="AH448" t="b">
        <f>AND(IF(metadata!G448="",FALSE,TRUE),EXACT(metadata!G448,"urban biome"))</f>
        <v>0</v>
      </c>
      <c r="AI448" t="b">
        <f>AND(IF(metadata!H448="",FALSE,TRUE),EXACT(metadata!H448,"human-associated habitat"))</f>
        <v>0</v>
      </c>
      <c r="AJ448" t="b">
        <f>AND(IF(metadata!I448="",FALSE,TRUE),OR(EXACT(metadata!I448,"human-associated"),EXACT(metadata!I448,"human-skin"),EXACT(metadata!I448,"human-oral"),EXACT(metadata!I448,"human-gut"),EXACT(metadata!I448,"human-vaginal")))</f>
        <v>0</v>
      </c>
      <c r="AK448" t="b">
        <f>IF(metadata!J448="",FALSE,ISNUMBER(VALUE(metadata!J448)))</f>
        <v>0</v>
      </c>
      <c r="AL448" t="b">
        <f>AND(IF(metadata!K448="",FALSE,TRUE),EXACT(metadata!K448,"cm"))</f>
        <v>0</v>
      </c>
      <c r="AM448" t="b">
        <f>AND(IF(metadata!L448="",FALSE,TRUE),EXACT(metadata!L448,"human"))</f>
        <v>0</v>
      </c>
      <c r="AN448" t="b">
        <f>AND(IF(metadata!M448="",FALSE,TRUE),EXACT(metadata!M448,"Homo sapiens"))</f>
        <v>0</v>
      </c>
      <c r="AO448" t="b">
        <f>AND(IF(metadata!N448="",FALSE,TRUE),EXACT(metadata!N448,"9606"))</f>
        <v>0</v>
      </c>
      <c r="AP448" t="b">
        <f>IF(metadata!O448="",FALSE,TRUE)</f>
        <v>0</v>
      </c>
      <c r="AQ448" t="b">
        <f>IF(metadata!P448="",FALSE,TRUE)</f>
        <v>0</v>
      </c>
      <c r="AR448" t="b">
        <f>IF(metadata!Q448="",FALSE,ISNUMBER(VALUE(metadata!Q448)))</f>
        <v>0</v>
      </c>
      <c r="AS448" t="b">
        <f>AND(IF(metadata!R448="",FALSE,TRUE),EXACT(metadata!R448,"kg"))</f>
        <v>0</v>
      </c>
    </row>
    <row r="449" spans="1:45" x14ac:dyDescent="0.2">
      <c r="A449" s="5" t="str">
        <f ca="1">IF(B449=" "," ",HYPERLINK(CONCATENATE("#metadata!",ADDRESS(INDEX($X$2:$X$1001,MATCH(ROWS($V$2:V449),$V$2:$V$1001,0),0),1)),INDEX($AA$2:$AA$1001,MATCH(ROWS($V$2:V449),$V$2:$V$1001,0),0)))</f>
        <v xml:space="preserve"> </v>
      </c>
      <c r="B449" s="4" t="str">
        <f ca="1">IF(OR(INDEX($W$2:$W$1001,MATCH(ROWS($V$2:V449),$V$2:$V$1001,0),1)&gt;=100000,INDEX($AC$1005:$AS$1005,1,MATCH(COLUMNS($AC$1006:AC1006),$AC$1006:$AS$1006,0))&gt;=100000), " ",IF(INDEX($AC$2:$AS$1001,MATCH(ROWS($V$2:V449),$V$2:$V$1001,0),MATCH(COLUMNS($AC$1006:AC1006),$AC$1006:$AS$1006,0)), HYPERLINK("#",""), HYPERLINK(CONCATENATE("#metadata!", ADDRESS(INDEX($X$2:$X$1001,MATCH(ROWS($V$2:V449),$V$2:$V$1001,0),0), INDEX($AC$1004:$AS$1004,1,MATCH(COLUMNS($AC$1006:AC1006),$AC$1006:$AS$1006,0)))),"Fix")))</f>
        <v xml:space="preserve"> </v>
      </c>
      <c r="C449" s="4" t="str">
        <f ca="1">IF(OR(INDEX($W$2:$W$1001,MATCH(ROWS($V$2:V449),$V$2:$V$1001,0),1)&gt;=100000,INDEX($AC$1005:$AS$1005,1,MATCH(COLUMNS($AC$1006:AD1006),$AC$1006:$AS$1006,0))&gt;=100000), " ",IF(INDEX($AC$2:$AS$1001,MATCH(ROWS($V$2:V449),$V$2:$V$1001,0),MATCH(COLUMNS($AC$1006:AD1006),$AC$1006:$AS$1006,0)), HYPERLINK("#",""), HYPERLINK(CONCATENATE("#metadata!", ADDRESS(INDEX($X$2:$X$1001,MATCH(ROWS($V$2:V449),$V$2:$V$1001,0),0), INDEX($AC$1004:$AS$1004,1,MATCH(COLUMNS($AC$1006:AD1006),$AC$1006:$AS$1006,0)))),"Fix")))</f>
        <v xml:space="preserve"> </v>
      </c>
      <c r="D449" s="4" t="str">
        <f ca="1">IF(OR(INDEX($W$2:$W$1001,MATCH(ROWS($V$2:V449),$V$2:$V$1001,0),1)&gt;=100000,INDEX($AC$1005:$AS$1005,1,MATCH(COLUMNS($AC$1006:AE1006),$AC$1006:$AS$1006,0))&gt;=100000), " ",IF(INDEX($AC$2:$AS$1001,MATCH(ROWS($V$2:V449),$V$2:$V$1001,0),MATCH(COLUMNS($AC$1006:AE1006),$AC$1006:$AS$1006,0)), HYPERLINK("#",""), HYPERLINK(CONCATENATE("#metadata!", ADDRESS(INDEX($X$2:$X$1001,MATCH(ROWS($V$2:V449),$V$2:$V$1001,0),0), INDEX($AC$1004:$AS$1004,1,MATCH(COLUMNS($AC$1006:AE1006),$AC$1006:$AS$1006,0)))),"Fix")))</f>
        <v xml:space="preserve"> </v>
      </c>
      <c r="E449" s="4" t="str">
        <f ca="1">IF(OR(INDEX($W$2:$W$1001,MATCH(ROWS($V$2:V449),$V$2:$V$1001,0),1)&gt;=100000,INDEX($AC$1005:$AS$1005,1,MATCH(COLUMNS($AC$1006:AF1006),$AC$1006:$AS$1006,0))&gt;=100000), " ",IF(INDEX($AC$2:$AS$1001,MATCH(ROWS($V$2:V449),$V$2:$V$1001,0),MATCH(COLUMNS($AC$1006:AF1006),$AC$1006:$AS$1006,0)), HYPERLINK("#",""), HYPERLINK(CONCATENATE("#metadata!", ADDRESS(INDEX($X$2:$X$1001,MATCH(ROWS($V$2:V449),$V$2:$V$1001,0),0), INDEX($AC$1004:$AS$1004,1,MATCH(COLUMNS($AC$1006:AF1006),$AC$1006:$AS$1006,0)))),"Fix")))</f>
        <v xml:space="preserve"> </v>
      </c>
      <c r="F449" s="4" t="str">
        <f ca="1">IF(OR(INDEX($W$2:$W$1001,MATCH(ROWS($V$2:V449),$V$2:$V$1001,0),1)&gt;=100000,INDEX($AC$1005:$AS$1005,1,MATCH(COLUMNS($AC$1006:AG1006),$AC$1006:$AS$1006,0))&gt;=100000), " ",IF(INDEX($AC$2:$AS$1001,MATCH(ROWS($V$2:V449),$V$2:$V$1001,0),MATCH(COLUMNS($AC$1006:AG1006),$AC$1006:$AS$1006,0)), HYPERLINK("#",""), HYPERLINK(CONCATENATE("#metadata!", ADDRESS(INDEX($X$2:$X$1001,MATCH(ROWS($V$2:V449),$V$2:$V$1001,0),0), INDEX($AC$1004:$AS$1004,1,MATCH(COLUMNS($AC$1006:AG1006),$AC$1006:$AS$1006,0)))),"Fix")))</f>
        <v xml:space="preserve"> </v>
      </c>
      <c r="G449" s="4" t="str">
        <f ca="1">IF(OR(INDEX($W$2:$W$1001,MATCH(ROWS($V$2:V449),$V$2:$V$1001,0),1)&gt;=100000,INDEX($AC$1005:$AS$1005,1,MATCH(COLUMNS($AC$1006:AH1006),$AC$1006:$AS$1006,0))&gt;=100000), " ",IF(INDEX($AC$2:$AS$1001,MATCH(ROWS($V$2:V449),$V$2:$V$1001,0),MATCH(COLUMNS($AC$1006:AH1006),$AC$1006:$AS$1006,0)), HYPERLINK("#",""), HYPERLINK(CONCATENATE("#metadata!", ADDRESS(INDEX($X$2:$X$1001,MATCH(ROWS($V$2:V449),$V$2:$V$1001,0),0), INDEX($AC$1004:$AS$1004,1,MATCH(COLUMNS($AC$1006:AH1006),$AC$1006:$AS$1006,0)))),"Fix")))</f>
        <v xml:space="preserve"> </v>
      </c>
      <c r="H449" s="4" t="str">
        <f ca="1">IF(OR(INDEX($W$2:$W$1001,MATCH(ROWS($V$2:V449),$V$2:$V$1001,0),1)&gt;=100000,INDEX($AC$1005:$AS$1005,1,MATCH(COLUMNS($AC$1006:AI1006),$AC$1006:$AS$1006,0))&gt;=100000), " ",IF(INDEX($AC$2:$AS$1001,MATCH(ROWS($V$2:V449),$V$2:$V$1001,0),MATCH(COLUMNS($AC$1006:AI1006),$AC$1006:$AS$1006,0)), HYPERLINK("#",""), HYPERLINK(CONCATENATE("#metadata!", ADDRESS(INDEX($X$2:$X$1001,MATCH(ROWS($V$2:V449),$V$2:$V$1001,0),0), INDEX($AC$1004:$AS$1004,1,MATCH(COLUMNS($AC$1006:AI1006),$AC$1006:$AS$1006,0)))),"Fix")))</f>
        <v xml:space="preserve"> </v>
      </c>
      <c r="I449" s="4" t="str">
        <f ca="1">IF(OR(INDEX($W$2:$W$1001,MATCH(ROWS($V$2:V449),$V$2:$V$1001,0),1)&gt;=100000,INDEX($AC$1005:$AS$1005,1,MATCH(COLUMNS($AC$1006:AJ1006),$AC$1006:$AS$1006,0))&gt;=100000), " ",IF(INDEX($AC$2:$AS$1001,MATCH(ROWS($V$2:V449),$V$2:$V$1001,0),MATCH(COLUMNS($AC$1006:AJ1006),$AC$1006:$AS$1006,0)), HYPERLINK("#",""), HYPERLINK(CONCATENATE("#metadata!", ADDRESS(INDEX($X$2:$X$1001,MATCH(ROWS($V$2:V449),$V$2:$V$1001,0),0), INDEX($AC$1004:$AS$1004,1,MATCH(COLUMNS($AC$1006:AJ1006),$AC$1006:$AS$1006,0)))),"Fix")))</f>
        <v xml:space="preserve"> </v>
      </c>
      <c r="J449" s="4" t="str">
        <f ca="1">IF(OR(INDEX($W$2:$W$1001,MATCH(ROWS($V$2:V449),$V$2:$V$1001,0),1)&gt;=100000,INDEX($AC$1005:$AS$1005,1,MATCH(COLUMNS($AC$1006:AK1006),$AC$1006:$AS$1006,0))&gt;=100000), " ",IF(INDEX($AC$2:$AS$1001,MATCH(ROWS($V$2:V449),$V$2:$V$1001,0),MATCH(COLUMNS($AC$1006:AK1006),$AC$1006:$AS$1006,0)), HYPERLINK("#",""), HYPERLINK(CONCATENATE("#metadata!", ADDRESS(INDEX($X$2:$X$1001,MATCH(ROWS($V$2:V449),$V$2:$V$1001,0),0), INDEX($AC$1004:$AS$1004,1,MATCH(COLUMNS($AC$1006:AK1006),$AC$1006:$AS$1006,0)))),"Fix")))</f>
        <v xml:space="preserve"> </v>
      </c>
      <c r="K449" s="4" t="str">
        <f ca="1">IF(OR(INDEX($W$2:$W$1001,MATCH(ROWS($V$2:V449),$V$2:$V$1001,0),1)&gt;=100000,INDEX($AC$1005:$AS$1005,1,MATCH(COLUMNS($AC$1006:AL1006),$AC$1006:$AS$1006,0))&gt;=100000), " ",IF(INDEX($AC$2:$AS$1001,MATCH(ROWS($V$2:V449),$V$2:$V$1001,0),MATCH(COLUMNS($AC$1006:AL1006),$AC$1006:$AS$1006,0)), HYPERLINK("#",""), HYPERLINK(CONCATENATE("#metadata!", ADDRESS(INDEX($X$2:$X$1001,MATCH(ROWS($V$2:V449),$V$2:$V$1001,0),0), INDEX($AC$1004:$AS$1004,1,MATCH(COLUMNS($AC$1006:AL1006),$AC$1006:$AS$1006,0)))),"Fix")))</f>
        <v xml:space="preserve"> </v>
      </c>
      <c r="L449" s="4" t="str">
        <f ca="1">IF(OR(INDEX($W$2:$W$1001,MATCH(ROWS($V$2:V449),$V$2:$V$1001,0),1)&gt;=100000,INDEX($AC$1005:$AS$1005,1,MATCH(COLUMNS($AC$1006:AM1006),$AC$1006:$AS$1006,0))&gt;=100000), " ",IF(INDEX($AC$2:$AS$1001,MATCH(ROWS($V$2:V449),$V$2:$V$1001,0),MATCH(COLUMNS($AC$1006:AM1006),$AC$1006:$AS$1006,0)), HYPERLINK("#",""), HYPERLINK(CONCATENATE("#metadata!", ADDRESS(INDEX($X$2:$X$1001,MATCH(ROWS($V$2:V449),$V$2:$V$1001,0),0), INDEX($AC$1004:$AS$1004,1,MATCH(COLUMNS($AC$1006:AM1006),$AC$1006:$AS$1006,0)))),"Fix")))</f>
        <v xml:space="preserve"> </v>
      </c>
      <c r="M449" s="4" t="str">
        <f ca="1">IF(OR(INDEX($W$2:$W$1001,MATCH(ROWS($V$2:V449),$V$2:$V$1001,0),1)&gt;=100000,INDEX($AC$1005:$AS$1005,1,MATCH(COLUMNS($AC$1006:AN1006),$AC$1006:$AS$1006,0))&gt;=100000), " ",IF(INDEX($AC$2:$AS$1001,MATCH(ROWS($V$2:V449),$V$2:$V$1001,0),MATCH(COLUMNS($AC$1006:AN1006),$AC$1006:$AS$1006,0)), HYPERLINK("#",""), HYPERLINK(CONCATENATE("#metadata!", ADDRESS(INDEX($X$2:$X$1001,MATCH(ROWS($V$2:V449),$V$2:$V$1001,0),0), INDEX($AC$1004:$AS$1004,1,MATCH(COLUMNS($AC$1006:AN1006),$AC$1006:$AS$1006,0)))),"Fix")))</f>
        <v xml:space="preserve"> </v>
      </c>
      <c r="N449" s="4" t="str">
        <f ca="1">IF(OR(INDEX($W$2:$W$1001,MATCH(ROWS($V$2:V449),$V$2:$V$1001,0),1)&gt;=100000,INDEX($AC$1005:$AS$1005,1,MATCH(COLUMNS($AC$1006:AO1006),$AC$1006:$AS$1006,0))&gt;=100000), " ",IF(INDEX($AC$2:$AS$1001,MATCH(ROWS($V$2:V449),$V$2:$V$1001,0),MATCH(COLUMNS($AC$1006:AO1006),$AC$1006:$AS$1006,0)), HYPERLINK("#",""), HYPERLINK(CONCATENATE("#metadata!", ADDRESS(INDEX($X$2:$X$1001,MATCH(ROWS($V$2:V449),$V$2:$V$1001,0),0), INDEX($AC$1004:$AS$1004,1,MATCH(COLUMNS($AC$1006:AO1006),$AC$1006:$AS$1006,0)))),"Fix")))</f>
        <v xml:space="preserve"> </v>
      </c>
      <c r="O449" s="4" t="str">
        <f ca="1">IF(OR(INDEX($W$2:$W$1001,MATCH(ROWS($V$2:V449),$V$2:$V$1001,0),1)&gt;=100000,INDEX($AC$1005:$AS$1005,1,MATCH(COLUMNS($AC$1006:AP1006),$AC$1006:$AS$1006,0))&gt;=100000), " ",IF(INDEX($AC$2:$AS$1001,MATCH(ROWS($V$2:V449),$V$2:$V$1001,0),MATCH(COLUMNS($AC$1006:AP1006),$AC$1006:$AS$1006,0)), HYPERLINK("#",""), HYPERLINK(CONCATENATE("#metadata!", ADDRESS(INDEX($X$2:$X$1001,MATCH(ROWS($V$2:V449),$V$2:$V$1001,0),0), INDEX($AC$1004:$AS$1004,1,MATCH(COLUMNS($AC$1006:AP1006),$AC$1006:$AS$1006,0)))),"Fix")))</f>
        <v xml:space="preserve"> </v>
      </c>
      <c r="P449" s="4" t="str">
        <f ca="1">IF(OR(INDEX($W$2:$W$1001,MATCH(ROWS($V$2:V449),$V$2:$V$1001,0),1)&gt;=100000,INDEX($AC$1005:$AS$1005,1,MATCH(COLUMNS($AC$1006:AQ1006),$AC$1006:$AS$1006,0))&gt;=100000), " ",IF(INDEX($AC$2:$AS$1001,MATCH(ROWS($V$2:V449),$V$2:$V$1001,0),MATCH(COLUMNS($AC$1006:AQ1006),$AC$1006:$AS$1006,0)), HYPERLINK("#",""), HYPERLINK(CONCATENATE("#metadata!", ADDRESS(INDEX($X$2:$X$1001,MATCH(ROWS($V$2:V449),$V$2:$V$1001,0),0), INDEX($AC$1004:$AS$1004,1,MATCH(COLUMNS($AC$1006:AQ1006),$AC$1006:$AS$1006,0)))),"Fix")))</f>
        <v xml:space="preserve"> </v>
      </c>
      <c r="Q449" s="4" t="str">
        <f ca="1">IF(OR(INDEX($W$2:$W$1001,MATCH(ROWS($V$2:V449),$V$2:$V$1001,0),1)&gt;=100000,INDEX($AC$1005:$AS$1005,1,MATCH(COLUMNS($AC$1006:AR1006),$AC$1006:$AS$1006,0))&gt;=100000), " ",IF(INDEX($AC$2:$AS$1001,MATCH(ROWS($V$2:V449),$V$2:$V$1001,0),MATCH(COLUMNS($AC$1006:AR1006),$AC$1006:$AS$1006,0)), HYPERLINK("#",""), HYPERLINK(CONCATENATE("#metadata!", ADDRESS(INDEX($X$2:$X$1001,MATCH(ROWS($V$2:V449),$V$2:$V$1001,0),0), INDEX($AC$1004:$AS$1004,1,MATCH(COLUMNS($AC$1006:AR1006),$AC$1006:$AS$1006,0)))),"Fix")))</f>
        <v xml:space="preserve"> </v>
      </c>
      <c r="R449" s="4" t="str">
        <f ca="1">IF(OR(INDEX($W$2:$W$1001,MATCH(ROWS($V$2:V449),$V$2:$V$1001,0),1)&gt;=100000,INDEX($AC$1005:$AS$1005,1,MATCH(COLUMNS($AC$1006:AS1006),$AC$1006:$AS$1006,0))&gt;=100000), " ",IF(INDEX($AC$2:$AS$1001,MATCH(ROWS($V$2:V449),$V$2:$V$1001,0),MATCH(COLUMNS($AC$1006:AS1006),$AC$1006:$AS$1006,0)), HYPERLINK("#",""), HYPERLINK(CONCATENATE("#metadata!", ADDRESS(INDEX($X$2:$X$1001,MATCH(ROWS($V$2:V449),$V$2:$V$1001,0),0), INDEX($AC$1004:$AS$1004,1,MATCH(COLUMNS($AC$1006:AS1006),$AC$1006:$AS$1006,0)))),"Fix")))</f>
        <v xml:space="preserve"> </v>
      </c>
      <c r="V449">
        <v>448</v>
      </c>
      <c r="W449">
        <v>100449</v>
      </c>
      <c r="X449">
        <v>449</v>
      </c>
      <c r="Y449" t="b">
        <f t="shared" si="6"/>
        <v>1</v>
      </c>
      <c r="Z449" t="b">
        <f>COUNTBLANK(metadata!B449:R449)=COLUMNS(metadata!B449:R449)</f>
        <v>1</v>
      </c>
      <c r="AA449" t="str">
        <v/>
      </c>
      <c r="AC449" t="b">
        <f ca="1"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AD449" t="b">
        <f>IF(metadata!C449="",FALSE,ISNUMBER(VALUE(metadata!C449)))</f>
        <v>0</v>
      </c>
      <c r="AE449" t="b">
        <f>AND(IF(metadata!D449="",FALSE,TRUE),EXACT(metadata!D449,"years"))</f>
        <v>0</v>
      </c>
      <c r="AF449" t="b">
        <f>OR(AND(IF(metadata!E449="",FALSE,TRUE),OR(EXACT(metadata!E449,"not applicable"),EXACT(metadata!E449,"missing: not collected"),EXACT(metadata!E449,"missing: not provided"),EXACT(metadata!E449,"missing: restricted access"))),AND(IF(metadata!E449="",FALSE,ISNUMBER(VALUE(metadata!E449))),metadata!E449&gt;0))</f>
        <v>0</v>
      </c>
      <c r="AG449" t="b">
        <f>AND(IF(metadata!F449="",FALSE,TRUE),EXACT(metadata!F449,"Not applicable"))</f>
        <v>0</v>
      </c>
      <c r="AH449" t="b">
        <f>AND(IF(metadata!G449="",FALSE,TRUE),EXACT(metadata!G449,"urban biome"))</f>
        <v>0</v>
      </c>
      <c r="AI449" t="b">
        <f>AND(IF(metadata!H449="",FALSE,TRUE),EXACT(metadata!H449,"human-associated habitat"))</f>
        <v>0</v>
      </c>
      <c r="AJ449" t="b">
        <f>AND(IF(metadata!I449="",FALSE,TRUE),OR(EXACT(metadata!I449,"human-associated"),EXACT(metadata!I449,"human-skin"),EXACT(metadata!I449,"human-oral"),EXACT(metadata!I449,"human-gut"),EXACT(metadata!I449,"human-vaginal")))</f>
        <v>0</v>
      </c>
      <c r="AK449" t="b">
        <f>IF(metadata!J449="",FALSE,ISNUMBER(VALUE(metadata!J449)))</f>
        <v>0</v>
      </c>
      <c r="AL449" t="b">
        <f>AND(IF(metadata!K449="",FALSE,TRUE),EXACT(metadata!K449,"cm"))</f>
        <v>0</v>
      </c>
      <c r="AM449" t="b">
        <f>AND(IF(metadata!L449="",FALSE,TRUE),EXACT(metadata!L449,"human"))</f>
        <v>0</v>
      </c>
      <c r="AN449" t="b">
        <f>AND(IF(metadata!M449="",FALSE,TRUE),EXACT(metadata!M449,"Homo sapiens"))</f>
        <v>0</v>
      </c>
      <c r="AO449" t="b">
        <f>AND(IF(metadata!N449="",FALSE,TRUE),EXACT(metadata!N449,"9606"))</f>
        <v>0</v>
      </c>
      <c r="AP449" t="b">
        <f>IF(metadata!O449="",FALSE,TRUE)</f>
        <v>0</v>
      </c>
      <c r="AQ449" t="b">
        <f>IF(metadata!P449="",FALSE,TRUE)</f>
        <v>0</v>
      </c>
      <c r="AR449" t="b">
        <f>IF(metadata!Q449="",FALSE,ISNUMBER(VALUE(metadata!Q449)))</f>
        <v>0</v>
      </c>
      <c r="AS449" t="b">
        <f>AND(IF(metadata!R449="",FALSE,TRUE),EXACT(metadata!R449,"kg"))</f>
        <v>0</v>
      </c>
    </row>
    <row r="450" spans="1:45" x14ac:dyDescent="0.2">
      <c r="A450" s="5" t="str">
        <f ca="1">IF(B450=" "," ",HYPERLINK(CONCATENATE("#metadata!",ADDRESS(INDEX($X$2:$X$1001,MATCH(ROWS($V$2:V450),$V$2:$V$1001,0),0),1)),INDEX($AA$2:$AA$1001,MATCH(ROWS($V$2:V450),$V$2:$V$1001,0),0)))</f>
        <v xml:space="preserve"> </v>
      </c>
      <c r="B450" s="4" t="str">
        <f ca="1">IF(OR(INDEX($W$2:$W$1001,MATCH(ROWS($V$2:V450),$V$2:$V$1001,0),1)&gt;=100000,INDEX($AC$1005:$AS$1005,1,MATCH(COLUMNS($AC$1006:AC1006),$AC$1006:$AS$1006,0))&gt;=100000), " ",IF(INDEX($AC$2:$AS$1001,MATCH(ROWS($V$2:V450),$V$2:$V$1001,0),MATCH(COLUMNS($AC$1006:AC1006),$AC$1006:$AS$1006,0)), HYPERLINK("#",""), HYPERLINK(CONCATENATE("#metadata!", ADDRESS(INDEX($X$2:$X$1001,MATCH(ROWS($V$2:V450),$V$2:$V$1001,0),0), INDEX($AC$1004:$AS$1004,1,MATCH(COLUMNS($AC$1006:AC1006),$AC$1006:$AS$1006,0)))),"Fix")))</f>
        <v xml:space="preserve"> </v>
      </c>
      <c r="C450" s="4" t="str">
        <f ca="1">IF(OR(INDEX($W$2:$W$1001,MATCH(ROWS($V$2:V450),$V$2:$V$1001,0),1)&gt;=100000,INDEX($AC$1005:$AS$1005,1,MATCH(COLUMNS($AC$1006:AD1006),$AC$1006:$AS$1006,0))&gt;=100000), " ",IF(INDEX($AC$2:$AS$1001,MATCH(ROWS($V$2:V450),$V$2:$V$1001,0),MATCH(COLUMNS($AC$1006:AD1006),$AC$1006:$AS$1006,0)), HYPERLINK("#",""), HYPERLINK(CONCATENATE("#metadata!", ADDRESS(INDEX($X$2:$X$1001,MATCH(ROWS($V$2:V450),$V$2:$V$1001,0),0), INDEX($AC$1004:$AS$1004,1,MATCH(COLUMNS($AC$1006:AD1006),$AC$1006:$AS$1006,0)))),"Fix")))</f>
        <v xml:space="preserve"> </v>
      </c>
      <c r="D450" s="4" t="str">
        <f ca="1">IF(OR(INDEX($W$2:$W$1001,MATCH(ROWS($V$2:V450),$V$2:$V$1001,0),1)&gt;=100000,INDEX($AC$1005:$AS$1005,1,MATCH(COLUMNS($AC$1006:AE1006),$AC$1006:$AS$1006,0))&gt;=100000), " ",IF(INDEX($AC$2:$AS$1001,MATCH(ROWS($V$2:V450),$V$2:$V$1001,0),MATCH(COLUMNS($AC$1006:AE1006),$AC$1006:$AS$1006,0)), HYPERLINK("#",""), HYPERLINK(CONCATENATE("#metadata!", ADDRESS(INDEX($X$2:$X$1001,MATCH(ROWS($V$2:V450),$V$2:$V$1001,0),0), INDEX($AC$1004:$AS$1004,1,MATCH(COLUMNS($AC$1006:AE1006),$AC$1006:$AS$1006,0)))),"Fix")))</f>
        <v xml:space="preserve"> </v>
      </c>
      <c r="E450" s="4" t="str">
        <f ca="1">IF(OR(INDEX($W$2:$W$1001,MATCH(ROWS($V$2:V450),$V$2:$V$1001,0),1)&gt;=100000,INDEX($AC$1005:$AS$1005,1,MATCH(COLUMNS($AC$1006:AF1006),$AC$1006:$AS$1006,0))&gt;=100000), " ",IF(INDEX($AC$2:$AS$1001,MATCH(ROWS($V$2:V450),$V$2:$V$1001,0),MATCH(COLUMNS($AC$1006:AF1006),$AC$1006:$AS$1006,0)), HYPERLINK("#",""), HYPERLINK(CONCATENATE("#metadata!", ADDRESS(INDEX($X$2:$X$1001,MATCH(ROWS($V$2:V450),$V$2:$V$1001,0),0), INDEX($AC$1004:$AS$1004,1,MATCH(COLUMNS($AC$1006:AF1006),$AC$1006:$AS$1006,0)))),"Fix")))</f>
        <v xml:space="preserve"> </v>
      </c>
      <c r="F450" s="4" t="str">
        <f ca="1">IF(OR(INDEX($W$2:$W$1001,MATCH(ROWS($V$2:V450),$V$2:$V$1001,0),1)&gt;=100000,INDEX($AC$1005:$AS$1005,1,MATCH(COLUMNS($AC$1006:AG1006),$AC$1006:$AS$1006,0))&gt;=100000), " ",IF(INDEX($AC$2:$AS$1001,MATCH(ROWS($V$2:V450),$V$2:$V$1001,0),MATCH(COLUMNS($AC$1006:AG1006),$AC$1006:$AS$1006,0)), HYPERLINK("#",""), HYPERLINK(CONCATENATE("#metadata!", ADDRESS(INDEX($X$2:$X$1001,MATCH(ROWS($V$2:V450),$V$2:$V$1001,0),0), INDEX($AC$1004:$AS$1004,1,MATCH(COLUMNS($AC$1006:AG1006),$AC$1006:$AS$1006,0)))),"Fix")))</f>
        <v xml:space="preserve"> </v>
      </c>
      <c r="G450" s="4" t="str">
        <f ca="1">IF(OR(INDEX($W$2:$W$1001,MATCH(ROWS($V$2:V450),$V$2:$V$1001,0),1)&gt;=100000,INDEX($AC$1005:$AS$1005,1,MATCH(COLUMNS($AC$1006:AH1006),$AC$1006:$AS$1006,0))&gt;=100000), " ",IF(INDEX($AC$2:$AS$1001,MATCH(ROWS($V$2:V450),$V$2:$V$1001,0),MATCH(COLUMNS($AC$1006:AH1006),$AC$1006:$AS$1006,0)), HYPERLINK("#",""), HYPERLINK(CONCATENATE("#metadata!", ADDRESS(INDEX($X$2:$X$1001,MATCH(ROWS($V$2:V450),$V$2:$V$1001,0),0), INDEX($AC$1004:$AS$1004,1,MATCH(COLUMNS($AC$1006:AH1006),$AC$1006:$AS$1006,0)))),"Fix")))</f>
        <v xml:space="preserve"> </v>
      </c>
      <c r="H450" s="4" t="str">
        <f ca="1">IF(OR(INDEX($W$2:$W$1001,MATCH(ROWS($V$2:V450),$V$2:$V$1001,0),1)&gt;=100000,INDEX($AC$1005:$AS$1005,1,MATCH(COLUMNS($AC$1006:AI1006),$AC$1006:$AS$1006,0))&gt;=100000), " ",IF(INDEX($AC$2:$AS$1001,MATCH(ROWS($V$2:V450),$V$2:$V$1001,0),MATCH(COLUMNS($AC$1006:AI1006),$AC$1006:$AS$1006,0)), HYPERLINK("#",""), HYPERLINK(CONCATENATE("#metadata!", ADDRESS(INDEX($X$2:$X$1001,MATCH(ROWS($V$2:V450),$V$2:$V$1001,0),0), INDEX($AC$1004:$AS$1004,1,MATCH(COLUMNS($AC$1006:AI1006),$AC$1006:$AS$1006,0)))),"Fix")))</f>
        <v xml:space="preserve"> </v>
      </c>
      <c r="I450" s="4" t="str">
        <f ca="1">IF(OR(INDEX($W$2:$W$1001,MATCH(ROWS($V$2:V450),$V$2:$V$1001,0),1)&gt;=100000,INDEX($AC$1005:$AS$1005,1,MATCH(COLUMNS($AC$1006:AJ1006),$AC$1006:$AS$1006,0))&gt;=100000), " ",IF(INDEX($AC$2:$AS$1001,MATCH(ROWS($V$2:V450),$V$2:$V$1001,0),MATCH(COLUMNS($AC$1006:AJ1006),$AC$1006:$AS$1006,0)), HYPERLINK("#",""), HYPERLINK(CONCATENATE("#metadata!", ADDRESS(INDEX($X$2:$X$1001,MATCH(ROWS($V$2:V450),$V$2:$V$1001,0),0), INDEX($AC$1004:$AS$1004,1,MATCH(COLUMNS($AC$1006:AJ1006),$AC$1006:$AS$1006,0)))),"Fix")))</f>
        <v xml:space="preserve"> </v>
      </c>
      <c r="J450" s="4" t="str">
        <f ca="1">IF(OR(INDEX($W$2:$W$1001,MATCH(ROWS($V$2:V450),$V$2:$V$1001,0),1)&gt;=100000,INDEX($AC$1005:$AS$1005,1,MATCH(COLUMNS($AC$1006:AK1006),$AC$1006:$AS$1006,0))&gt;=100000), " ",IF(INDEX($AC$2:$AS$1001,MATCH(ROWS($V$2:V450),$V$2:$V$1001,0),MATCH(COLUMNS($AC$1006:AK1006),$AC$1006:$AS$1006,0)), HYPERLINK("#",""), HYPERLINK(CONCATENATE("#metadata!", ADDRESS(INDEX($X$2:$X$1001,MATCH(ROWS($V$2:V450),$V$2:$V$1001,0),0), INDEX($AC$1004:$AS$1004,1,MATCH(COLUMNS($AC$1006:AK1006),$AC$1006:$AS$1006,0)))),"Fix")))</f>
        <v xml:space="preserve"> </v>
      </c>
      <c r="K450" s="4" t="str">
        <f ca="1">IF(OR(INDEX($W$2:$W$1001,MATCH(ROWS($V$2:V450),$V$2:$V$1001,0),1)&gt;=100000,INDEX($AC$1005:$AS$1005,1,MATCH(COLUMNS($AC$1006:AL1006),$AC$1006:$AS$1006,0))&gt;=100000), " ",IF(INDEX($AC$2:$AS$1001,MATCH(ROWS($V$2:V450),$V$2:$V$1001,0),MATCH(COLUMNS($AC$1006:AL1006),$AC$1006:$AS$1006,0)), HYPERLINK("#",""), HYPERLINK(CONCATENATE("#metadata!", ADDRESS(INDEX($X$2:$X$1001,MATCH(ROWS($V$2:V450),$V$2:$V$1001,0),0), INDEX($AC$1004:$AS$1004,1,MATCH(COLUMNS($AC$1006:AL1006),$AC$1006:$AS$1006,0)))),"Fix")))</f>
        <v xml:space="preserve"> </v>
      </c>
      <c r="L450" s="4" t="str">
        <f ca="1">IF(OR(INDEX($W$2:$W$1001,MATCH(ROWS($V$2:V450),$V$2:$V$1001,0),1)&gt;=100000,INDEX($AC$1005:$AS$1005,1,MATCH(COLUMNS($AC$1006:AM1006),$AC$1006:$AS$1006,0))&gt;=100000), " ",IF(INDEX($AC$2:$AS$1001,MATCH(ROWS($V$2:V450),$V$2:$V$1001,0),MATCH(COLUMNS($AC$1006:AM1006),$AC$1006:$AS$1006,0)), HYPERLINK("#",""), HYPERLINK(CONCATENATE("#metadata!", ADDRESS(INDEX($X$2:$X$1001,MATCH(ROWS($V$2:V450),$V$2:$V$1001,0),0), INDEX($AC$1004:$AS$1004,1,MATCH(COLUMNS($AC$1006:AM1006),$AC$1006:$AS$1006,0)))),"Fix")))</f>
        <v xml:space="preserve"> </v>
      </c>
      <c r="M450" s="4" t="str">
        <f ca="1">IF(OR(INDEX($W$2:$W$1001,MATCH(ROWS($V$2:V450),$V$2:$V$1001,0),1)&gt;=100000,INDEX($AC$1005:$AS$1005,1,MATCH(COLUMNS($AC$1006:AN1006),$AC$1006:$AS$1006,0))&gt;=100000), " ",IF(INDEX($AC$2:$AS$1001,MATCH(ROWS($V$2:V450),$V$2:$V$1001,0),MATCH(COLUMNS($AC$1006:AN1006),$AC$1006:$AS$1006,0)), HYPERLINK("#",""), HYPERLINK(CONCATENATE("#metadata!", ADDRESS(INDEX($X$2:$X$1001,MATCH(ROWS($V$2:V450),$V$2:$V$1001,0),0), INDEX($AC$1004:$AS$1004,1,MATCH(COLUMNS($AC$1006:AN1006),$AC$1006:$AS$1006,0)))),"Fix")))</f>
        <v xml:space="preserve"> </v>
      </c>
      <c r="N450" s="4" t="str">
        <f ca="1">IF(OR(INDEX($W$2:$W$1001,MATCH(ROWS($V$2:V450),$V$2:$V$1001,0),1)&gt;=100000,INDEX($AC$1005:$AS$1005,1,MATCH(COLUMNS($AC$1006:AO1006),$AC$1006:$AS$1006,0))&gt;=100000), " ",IF(INDEX($AC$2:$AS$1001,MATCH(ROWS($V$2:V450),$V$2:$V$1001,0),MATCH(COLUMNS($AC$1006:AO1006),$AC$1006:$AS$1006,0)), HYPERLINK("#",""), HYPERLINK(CONCATENATE("#metadata!", ADDRESS(INDEX($X$2:$X$1001,MATCH(ROWS($V$2:V450),$V$2:$V$1001,0),0), INDEX($AC$1004:$AS$1004,1,MATCH(COLUMNS($AC$1006:AO1006),$AC$1006:$AS$1006,0)))),"Fix")))</f>
        <v xml:space="preserve"> </v>
      </c>
      <c r="O450" s="4" t="str">
        <f ca="1">IF(OR(INDEX($W$2:$W$1001,MATCH(ROWS($V$2:V450),$V$2:$V$1001,0),1)&gt;=100000,INDEX($AC$1005:$AS$1005,1,MATCH(COLUMNS($AC$1006:AP1006),$AC$1006:$AS$1006,0))&gt;=100000), " ",IF(INDEX($AC$2:$AS$1001,MATCH(ROWS($V$2:V450),$V$2:$V$1001,0),MATCH(COLUMNS($AC$1006:AP1006),$AC$1006:$AS$1006,0)), HYPERLINK("#",""), HYPERLINK(CONCATENATE("#metadata!", ADDRESS(INDEX($X$2:$X$1001,MATCH(ROWS($V$2:V450),$V$2:$V$1001,0),0), INDEX($AC$1004:$AS$1004,1,MATCH(COLUMNS($AC$1006:AP1006),$AC$1006:$AS$1006,0)))),"Fix")))</f>
        <v xml:space="preserve"> </v>
      </c>
      <c r="P450" s="4" t="str">
        <f ca="1">IF(OR(INDEX($W$2:$W$1001,MATCH(ROWS($V$2:V450),$V$2:$V$1001,0),1)&gt;=100000,INDEX($AC$1005:$AS$1005,1,MATCH(COLUMNS($AC$1006:AQ1006),$AC$1006:$AS$1006,0))&gt;=100000), " ",IF(INDEX($AC$2:$AS$1001,MATCH(ROWS($V$2:V450),$V$2:$V$1001,0),MATCH(COLUMNS($AC$1006:AQ1006),$AC$1006:$AS$1006,0)), HYPERLINK("#",""), HYPERLINK(CONCATENATE("#metadata!", ADDRESS(INDEX($X$2:$X$1001,MATCH(ROWS($V$2:V450),$V$2:$V$1001,0),0), INDEX($AC$1004:$AS$1004,1,MATCH(COLUMNS($AC$1006:AQ1006),$AC$1006:$AS$1006,0)))),"Fix")))</f>
        <v xml:space="preserve"> </v>
      </c>
      <c r="Q450" s="4" t="str">
        <f ca="1">IF(OR(INDEX($W$2:$W$1001,MATCH(ROWS($V$2:V450),$V$2:$V$1001,0),1)&gt;=100000,INDEX($AC$1005:$AS$1005,1,MATCH(COLUMNS($AC$1006:AR1006),$AC$1006:$AS$1006,0))&gt;=100000), " ",IF(INDEX($AC$2:$AS$1001,MATCH(ROWS($V$2:V450),$V$2:$V$1001,0),MATCH(COLUMNS($AC$1006:AR1006),$AC$1006:$AS$1006,0)), HYPERLINK("#",""), HYPERLINK(CONCATENATE("#metadata!", ADDRESS(INDEX($X$2:$X$1001,MATCH(ROWS($V$2:V450),$V$2:$V$1001,0),0), INDEX($AC$1004:$AS$1004,1,MATCH(COLUMNS($AC$1006:AR1006),$AC$1006:$AS$1006,0)))),"Fix")))</f>
        <v xml:space="preserve"> </v>
      </c>
      <c r="R450" s="4" t="str">
        <f ca="1">IF(OR(INDEX($W$2:$W$1001,MATCH(ROWS($V$2:V450),$V$2:$V$1001,0),1)&gt;=100000,INDEX($AC$1005:$AS$1005,1,MATCH(COLUMNS($AC$1006:AS1006),$AC$1006:$AS$1006,0))&gt;=100000), " ",IF(INDEX($AC$2:$AS$1001,MATCH(ROWS($V$2:V450),$V$2:$V$1001,0),MATCH(COLUMNS($AC$1006:AS1006),$AC$1006:$AS$1006,0)), HYPERLINK("#",""), HYPERLINK(CONCATENATE("#metadata!", ADDRESS(INDEX($X$2:$X$1001,MATCH(ROWS($V$2:V450),$V$2:$V$1001,0),0), INDEX($AC$1004:$AS$1004,1,MATCH(COLUMNS($AC$1006:AS1006),$AC$1006:$AS$1006,0)))),"Fix")))</f>
        <v xml:space="preserve"> </v>
      </c>
      <c r="V450">
        <v>449</v>
      </c>
      <c r="W450">
        <v>100450</v>
      </c>
      <c r="X450">
        <v>450</v>
      </c>
      <c r="Y450" t="b">
        <f t="shared" ref="Y450:Y513" si="7">IF(Z450,TRUE,AND(AC450:AS450))</f>
        <v>1</v>
      </c>
      <c r="Z450" t="b">
        <f>COUNTBLANK(metadata!B450:R450)=COLUMNS(metadata!B450:R450)</f>
        <v>1</v>
      </c>
      <c r="AA450" t="str">
        <v/>
      </c>
      <c r="AC450" t="b">
        <f ca="1"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AD450" t="b">
        <f>IF(metadata!C450="",FALSE,ISNUMBER(VALUE(metadata!C450)))</f>
        <v>0</v>
      </c>
      <c r="AE450" t="b">
        <f>AND(IF(metadata!D450="",FALSE,TRUE),EXACT(metadata!D450,"years"))</f>
        <v>0</v>
      </c>
      <c r="AF450" t="b">
        <f>OR(AND(IF(metadata!E450="",FALSE,TRUE),OR(EXACT(metadata!E450,"not applicable"),EXACT(metadata!E450,"missing: not collected"),EXACT(metadata!E450,"missing: not provided"),EXACT(metadata!E450,"missing: restricted access"))),AND(IF(metadata!E450="",FALSE,ISNUMBER(VALUE(metadata!E450))),metadata!E450&gt;0))</f>
        <v>0</v>
      </c>
      <c r="AG450" t="b">
        <f>AND(IF(metadata!F450="",FALSE,TRUE),EXACT(metadata!F450,"Not applicable"))</f>
        <v>0</v>
      </c>
      <c r="AH450" t="b">
        <f>AND(IF(metadata!G450="",FALSE,TRUE),EXACT(metadata!G450,"urban biome"))</f>
        <v>0</v>
      </c>
      <c r="AI450" t="b">
        <f>AND(IF(metadata!H450="",FALSE,TRUE),EXACT(metadata!H450,"human-associated habitat"))</f>
        <v>0</v>
      </c>
      <c r="AJ450" t="b">
        <f>AND(IF(metadata!I450="",FALSE,TRUE),OR(EXACT(metadata!I450,"human-associated"),EXACT(metadata!I450,"human-skin"),EXACT(metadata!I450,"human-oral"),EXACT(metadata!I450,"human-gut"),EXACT(metadata!I450,"human-vaginal")))</f>
        <v>0</v>
      </c>
      <c r="AK450" t="b">
        <f>IF(metadata!J450="",FALSE,ISNUMBER(VALUE(metadata!J450)))</f>
        <v>0</v>
      </c>
      <c r="AL450" t="b">
        <f>AND(IF(metadata!K450="",FALSE,TRUE),EXACT(metadata!K450,"cm"))</f>
        <v>0</v>
      </c>
      <c r="AM450" t="b">
        <f>AND(IF(metadata!L450="",FALSE,TRUE),EXACT(metadata!L450,"human"))</f>
        <v>0</v>
      </c>
      <c r="AN450" t="b">
        <f>AND(IF(metadata!M450="",FALSE,TRUE),EXACT(metadata!M450,"Homo sapiens"))</f>
        <v>0</v>
      </c>
      <c r="AO450" t="b">
        <f>AND(IF(metadata!N450="",FALSE,TRUE),EXACT(metadata!N450,"9606"))</f>
        <v>0</v>
      </c>
      <c r="AP450" t="b">
        <f>IF(metadata!O450="",FALSE,TRUE)</f>
        <v>0</v>
      </c>
      <c r="AQ450" t="b">
        <f>IF(metadata!P450="",FALSE,TRUE)</f>
        <v>0</v>
      </c>
      <c r="AR450" t="b">
        <f>IF(metadata!Q450="",FALSE,ISNUMBER(VALUE(metadata!Q450)))</f>
        <v>0</v>
      </c>
      <c r="AS450" t="b">
        <f>AND(IF(metadata!R450="",FALSE,TRUE),EXACT(metadata!R450,"kg"))</f>
        <v>0</v>
      </c>
    </row>
    <row r="451" spans="1:45" x14ac:dyDescent="0.2">
      <c r="A451" s="5" t="str">
        <f ca="1">IF(B451=" "," ",HYPERLINK(CONCATENATE("#metadata!",ADDRESS(INDEX($X$2:$X$1001,MATCH(ROWS($V$2:V451),$V$2:$V$1001,0),0),1)),INDEX($AA$2:$AA$1001,MATCH(ROWS($V$2:V451),$V$2:$V$1001,0),0)))</f>
        <v xml:space="preserve"> </v>
      </c>
      <c r="B451" s="4" t="str">
        <f ca="1">IF(OR(INDEX($W$2:$W$1001,MATCH(ROWS($V$2:V451),$V$2:$V$1001,0),1)&gt;=100000,INDEX($AC$1005:$AS$1005,1,MATCH(COLUMNS($AC$1006:AC1006),$AC$1006:$AS$1006,0))&gt;=100000), " ",IF(INDEX($AC$2:$AS$1001,MATCH(ROWS($V$2:V451),$V$2:$V$1001,0),MATCH(COLUMNS($AC$1006:AC1006),$AC$1006:$AS$1006,0)), HYPERLINK("#",""), HYPERLINK(CONCATENATE("#metadata!", ADDRESS(INDEX($X$2:$X$1001,MATCH(ROWS($V$2:V451),$V$2:$V$1001,0),0), INDEX($AC$1004:$AS$1004,1,MATCH(COLUMNS($AC$1006:AC1006),$AC$1006:$AS$1006,0)))),"Fix")))</f>
        <v xml:space="preserve"> </v>
      </c>
      <c r="C451" s="4" t="str">
        <f ca="1">IF(OR(INDEX($W$2:$W$1001,MATCH(ROWS($V$2:V451),$V$2:$V$1001,0),1)&gt;=100000,INDEX($AC$1005:$AS$1005,1,MATCH(COLUMNS($AC$1006:AD1006),$AC$1006:$AS$1006,0))&gt;=100000), " ",IF(INDEX($AC$2:$AS$1001,MATCH(ROWS($V$2:V451),$V$2:$V$1001,0),MATCH(COLUMNS($AC$1006:AD1006),$AC$1006:$AS$1006,0)), HYPERLINK("#",""), HYPERLINK(CONCATENATE("#metadata!", ADDRESS(INDEX($X$2:$X$1001,MATCH(ROWS($V$2:V451),$V$2:$V$1001,0),0), INDEX($AC$1004:$AS$1004,1,MATCH(COLUMNS($AC$1006:AD1006),$AC$1006:$AS$1006,0)))),"Fix")))</f>
        <v xml:space="preserve"> </v>
      </c>
      <c r="D451" s="4" t="str">
        <f ca="1">IF(OR(INDEX($W$2:$W$1001,MATCH(ROWS($V$2:V451),$V$2:$V$1001,0),1)&gt;=100000,INDEX($AC$1005:$AS$1005,1,MATCH(COLUMNS($AC$1006:AE1006),$AC$1006:$AS$1006,0))&gt;=100000), " ",IF(INDEX($AC$2:$AS$1001,MATCH(ROWS($V$2:V451),$V$2:$V$1001,0),MATCH(COLUMNS($AC$1006:AE1006),$AC$1006:$AS$1006,0)), HYPERLINK("#",""), HYPERLINK(CONCATENATE("#metadata!", ADDRESS(INDEX($X$2:$X$1001,MATCH(ROWS($V$2:V451),$V$2:$V$1001,0),0), INDEX($AC$1004:$AS$1004,1,MATCH(COLUMNS($AC$1006:AE1006),$AC$1006:$AS$1006,0)))),"Fix")))</f>
        <v xml:space="preserve"> </v>
      </c>
      <c r="E451" s="4" t="str">
        <f ca="1">IF(OR(INDEX($W$2:$W$1001,MATCH(ROWS($V$2:V451),$V$2:$V$1001,0),1)&gt;=100000,INDEX($AC$1005:$AS$1005,1,MATCH(COLUMNS($AC$1006:AF1006),$AC$1006:$AS$1006,0))&gt;=100000), " ",IF(INDEX($AC$2:$AS$1001,MATCH(ROWS($V$2:V451),$V$2:$V$1001,0),MATCH(COLUMNS($AC$1006:AF1006),$AC$1006:$AS$1006,0)), HYPERLINK("#",""), HYPERLINK(CONCATENATE("#metadata!", ADDRESS(INDEX($X$2:$X$1001,MATCH(ROWS($V$2:V451),$V$2:$V$1001,0),0), INDEX($AC$1004:$AS$1004,1,MATCH(COLUMNS($AC$1006:AF1006),$AC$1006:$AS$1006,0)))),"Fix")))</f>
        <v xml:space="preserve"> </v>
      </c>
      <c r="F451" s="4" t="str">
        <f ca="1">IF(OR(INDEX($W$2:$W$1001,MATCH(ROWS($V$2:V451),$V$2:$V$1001,0),1)&gt;=100000,INDEX($AC$1005:$AS$1005,1,MATCH(COLUMNS($AC$1006:AG1006),$AC$1006:$AS$1006,0))&gt;=100000), " ",IF(INDEX($AC$2:$AS$1001,MATCH(ROWS($V$2:V451),$V$2:$V$1001,0),MATCH(COLUMNS($AC$1006:AG1006),$AC$1006:$AS$1006,0)), HYPERLINK("#",""), HYPERLINK(CONCATENATE("#metadata!", ADDRESS(INDEX($X$2:$X$1001,MATCH(ROWS($V$2:V451),$V$2:$V$1001,0),0), INDEX($AC$1004:$AS$1004,1,MATCH(COLUMNS($AC$1006:AG1006),$AC$1006:$AS$1006,0)))),"Fix")))</f>
        <v xml:space="preserve"> </v>
      </c>
      <c r="G451" s="4" t="str">
        <f ca="1">IF(OR(INDEX($W$2:$W$1001,MATCH(ROWS($V$2:V451),$V$2:$V$1001,0),1)&gt;=100000,INDEX($AC$1005:$AS$1005,1,MATCH(COLUMNS($AC$1006:AH1006),$AC$1006:$AS$1006,0))&gt;=100000), " ",IF(INDEX($AC$2:$AS$1001,MATCH(ROWS($V$2:V451),$V$2:$V$1001,0),MATCH(COLUMNS($AC$1006:AH1006),$AC$1006:$AS$1006,0)), HYPERLINK("#",""), HYPERLINK(CONCATENATE("#metadata!", ADDRESS(INDEX($X$2:$X$1001,MATCH(ROWS($V$2:V451),$V$2:$V$1001,0),0), INDEX($AC$1004:$AS$1004,1,MATCH(COLUMNS($AC$1006:AH1006),$AC$1006:$AS$1006,0)))),"Fix")))</f>
        <v xml:space="preserve"> </v>
      </c>
      <c r="H451" s="4" t="str">
        <f ca="1">IF(OR(INDEX($W$2:$W$1001,MATCH(ROWS($V$2:V451),$V$2:$V$1001,0),1)&gt;=100000,INDEX($AC$1005:$AS$1005,1,MATCH(COLUMNS($AC$1006:AI1006),$AC$1006:$AS$1006,0))&gt;=100000), " ",IF(INDEX($AC$2:$AS$1001,MATCH(ROWS($V$2:V451),$V$2:$V$1001,0),MATCH(COLUMNS($AC$1006:AI1006),$AC$1006:$AS$1006,0)), HYPERLINK("#",""), HYPERLINK(CONCATENATE("#metadata!", ADDRESS(INDEX($X$2:$X$1001,MATCH(ROWS($V$2:V451),$V$2:$V$1001,0),0), INDEX($AC$1004:$AS$1004,1,MATCH(COLUMNS($AC$1006:AI1006),$AC$1006:$AS$1006,0)))),"Fix")))</f>
        <v xml:space="preserve"> </v>
      </c>
      <c r="I451" s="4" t="str">
        <f ca="1">IF(OR(INDEX($W$2:$W$1001,MATCH(ROWS($V$2:V451),$V$2:$V$1001,0),1)&gt;=100000,INDEX($AC$1005:$AS$1005,1,MATCH(COLUMNS($AC$1006:AJ1006),$AC$1006:$AS$1006,0))&gt;=100000), " ",IF(INDEX($AC$2:$AS$1001,MATCH(ROWS($V$2:V451),$V$2:$V$1001,0),MATCH(COLUMNS($AC$1006:AJ1006),$AC$1006:$AS$1006,0)), HYPERLINK("#",""), HYPERLINK(CONCATENATE("#metadata!", ADDRESS(INDEX($X$2:$X$1001,MATCH(ROWS($V$2:V451),$V$2:$V$1001,0),0), INDEX($AC$1004:$AS$1004,1,MATCH(COLUMNS($AC$1006:AJ1006),$AC$1006:$AS$1006,0)))),"Fix")))</f>
        <v xml:space="preserve"> </v>
      </c>
      <c r="J451" s="4" t="str">
        <f ca="1">IF(OR(INDEX($W$2:$W$1001,MATCH(ROWS($V$2:V451),$V$2:$V$1001,0),1)&gt;=100000,INDEX($AC$1005:$AS$1005,1,MATCH(COLUMNS($AC$1006:AK1006),$AC$1006:$AS$1006,0))&gt;=100000), " ",IF(INDEX($AC$2:$AS$1001,MATCH(ROWS($V$2:V451),$V$2:$V$1001,0),MATCH(COLUMNS($AC$1006:AK1006),$AC$1006:$AS$1006,0)), HYPERLINK("#",""), HYPERLINK(CONCATENATE("#metadata!", ADDRESS(INDEX($X$2:$X$1001,MATCH(ROWS($V$2:V451),$V$2:$V$1001,0),0), INDEX($AC$1004:$AS$1004,1,MATCH(COLUMNS($AC$1006:AK1006),$AC$1006:$AS$1006,0)))),"Fix")))</f>
        <v xml:space="preserve"> </v>
      </c>
      <c r="K451" s="4" t="str">
        <f ca="1">IF(OR(INDEX($W$2:$W$1001,MATCH(ROWS($V$2:V451),$V$2:$V$1001,0),1)&gt;=100000,INDEX($AC$1005:$AS$1005,1,MATCH(COLUMNS($AC$1006:AL1006),$AC$1006:$AS$1006,0))&gt;=100000), " ",IF(INDEX($AC$2:$AS$1001,MATCH(ROWS($V$2:V451),$V$2:$V$1001,0),MATCH(COLUMNS($AC$1006:AL1006),$AC$1006:$AS$1006,0)), HYPERLINK("#",""), HYPERLINK(CONCATENATE("#metadata!", ADDRESS(INDEX($X$2:$X$1001,MATCH(ROWS($V$2:V451),$V$2:$V$1001,0),0), INDEX($AC$1004:$AS$1004,1,MATCH(COLUMNS($AC$1006:AL1006),$AC$1006:$AS$1006,0)))),"Fix")))</f>
        <v xml:space="preserve"> </v>
      </c>
      <c r="L451" s="4" t="str">
        <f ca="1">IF(OR(INDEX($W$2:$W$1001,MATCH(ROWS($V$2:V451),$V$2:$V$1001,0),1)&gt;=100000,INDEX($AC$1005:$AS$1005,1,MATCH(COLUMNS($AC$1006:AM1006),$AC$1006:$AS$1006,0))&gt;=100000), " ",IF(INDEX($AC$2:$AS$1001,MATCH(ROWS($V$2:V451),$V$2:$V$1001,0),MATCH(COLUMNS($AC$1006:AM1006),$AC$1006:$AS$1006,0)), HYPERLINK("#",""), HYPERLINK(CONCATENATE("#metadata!", ADDRESS(INDEX($X$2:$X$1001,MATCH(ROWS($V$2:V451),$V$2:$V$1001,0),0), INDEX($AC$1004:$AS$1004,1,MATCH(COLUMNS($AC$1006:AM1006),$AC$1006:$AS$1006,0)))),"Fix")))</f>
        <v xml:space="preserve"> </v>
      </c>
      <c r="M451" s="4" t="str">
        <f ca="1">IF(OR(INDEX($W$2:$W$1001,MATCH(ROWS($V$2:V451),$V$2:$V$1001,0),1)&gt;=100000,INDEX($AC$1005:$AS$1005,1,MATCH(COLUMNS($AC$1006:AN1006),$AC$1006:$AS$1006,0))&gt;=100000), " ",IF(INDEX($AC$2:$AS$1001,MATCH(ROWS($V$2:V451),$V$2:$V$1001,0),MATCH(COLUMNS($AC$1006:AN1006),$AC$1006:$AS$1006,0)), HYPERLINK("#",""), HYPERLINK(CONCATENATE("#metadata!", ADDRESS(INDEX($X$2:$X$1001,MATCH(ROWS($V$2:V451),$V$2:$V$1001,0),0), INDEX($AC$1004:$AS$1004,1,MATCH(COLUMNS($AC$1006:AN1006),$AC$1006:$AS$1006,0)))),"Fix")))</f>
        <v xml:space="preserve"> </v>
      </c>
      <c r="N451" s="4" t="str">
        <f ca="1">IF(OR(INDEX($W$2:$W$1001,MATCH(ROWS($V$2:V451),$V$2:$V$1001,0),1)&gt;=100000,INDEX($AC$1005:$AS$1005,1,MATCH(COLUMNS($AC$1006:AO1006),$AC$1006:$AS$1006,0))&gt;=100000), " ",IF(INDEX($AC$2:$AS$1001,MATCH(ROWS($V$2:V451),$V$2:$V$1001,0),MATCH(COLUMNS($AC$1006:AO1006),$AC$1006:$AS$1006,0)), HYPERLINK("#",""), HYPERLINK(CONCATENATE("#metadata!", ADDRESS(INDEX($X$2:$X$1001,MATCH(ROWS($V$2:V451),$V$2:$V$1001,0),0), INDEX($AC$1004:$AS$1004,1,MATCH(COLUMNS($AC$1006:AO1006),$AC$1006:$AS$1006,0)))),"Fix")))</f>
        <v xml:space="preserve"> </v>
      </c>
      <c r="O451" s="4" t="str">
        <f ca="1">IF(OR(INDEX($W$2:$W$1001,MATCH(ROWS($V$2:V451),$V$2:$V$1001,0),1)&gt;=100000,INDEX($AC$1005:$AS$1005,1,MATCH(COLUMNS($AC$1006:AP1006),$AC$1006:$AS$1006,0))&gt;=100000), " ",IF(INDEX($AC$2:$AS$1001,MATCH(ROWS($V$2:V451),$V$2:$V$1001,0),MATCH(COLUMNS($AC$1006:AP1006),$AC$1006:$AS$1006,0)), HYPERLINK("#",""), HYPERLINK(CONCATENATE("#metadata!", ADDRESS(INDEX($X$2:$X$1001,MATCH(ROWS($V$2:V451),$V$2:$V$1001,0),0), INDEX($AC$1004:$AS$1004,1,MATCH(COLUMNS($AC$1006:AP1006),$AC$1006:$AS$1006,0)))),"Fix")))</f>
        <v xml:space="preserve"> </v>
      </c>
      <c r="P451" s="4" t="str">
        <f ca="1">IF(OR(INDEX($W$2:$W$1001,MATCH(ROWS($V$2:V451),$V$2:$V$1001,0),1)&gt;=100000,INDEX($AC$1005:$AS$1005,1,MATCH(COLUMNS($AC$1006:AQ1006),$AC$1006:$AS$1006,0))&gt;=100000), " ",IF(INDEX($AC$2:$AS$1001,MATCH(ROWS($V$2:V451),$V$2:$V$1001,0),MATCH(COLUMNS($AC$1006:AQ1006),$AC$1006:$AS$1006,0)), HYPERLINK("#",""), HYPERLINK(CONCATENATE("#metadata!", ADDRESS(INDEX($X$2:$X$1001,MATCH(ROWS($V$2:V451),$V$2:$V$1001,0),0), INDEX($AC$1004:$AS$1004,1,MATCH(COLUMNS($AC$1006:AQ1006),$AC$1006:$AS$1006,0)))),"Fix")))</f>
        <v xml:space="preserve"> </v>
      </c>
      <c r="Q451" s="4" t="str">
        <f ca="1">IF(OR(INDEX($W$2:$W$1001,MATCH(ROWS($V$2:V451),$V$2:$V$1001,0),1)&gt;=100000,INDEX($AC$1005:$AS$1005,1,MATCH(COLUMNS($AC$1006:AR1006),$AC$1006:$AS$1006,0))&gt;=100000), " ",IF(INDEX($AC$2:$AS$1001,MATCH(ROWS($V$2:V451),$V$2:$V$1001,0),MATCH(COLUMNS($AC$1006:AR1006),$AC$1006:$AS$1006,0)), HYPERLINK("#",""), HYPERLINK(CONCATENATE("#metadata!", ADDRESS(INDEX($X$2:$X$1001,MATCH(ROWS($V$2:V451),$V$2:$V$1001,0),0), INDEX($AC$1004:$AS$1004,1,MATCH(COLUMNS($AC$1006:AR1006),$AC$1006:$AS$1006,0)))),"Fix")))</f>
        <v xml:space="preserve"> </v>
      </c>
      <c r="R451" s="4" t="str">
        <f ca="1">IF(OR(INDEX($W$2:$W$1001,MATCH(ROWS($V$2:V451),$V$2:$V$1001,0),1)&gt;=100000,INDEX($AC$1005:$AS$1005,1,MATCH(COLUMNS($AC$1006:AS1006),$AC$1006:$AS$1006,0))&gt;=100000), " ",IF(INDEX($AC$2:$AS$1001,MATCH(ROWS($V$2:V451),$V$2:$V$1001,0),MATCH(COLUMNS($AC$1006:AS1006),$AC$1006:$AS$1006,0)), HYPERLINK("#",""), HYPERLINK(CONCATENATE("#metadata!", ADDRESS(INDEX($X$2:$X$1001,MATCH(ROWS($V$2:V451),$V$2:$V$1001,0),0), INDEX($AC$1004:$AS$1004,1,MATCH(COLUMNS($AC$1006:AS1006),$AC$1006:$AS$1006,0)))),"Fix")))</f>
        <v xml:space="preserve"> </v>
      </c>
      <c r="V451">
        <v>450</v>
      </c>
      <c r="W451">
        <v>100451</v>
      </c>
      <c r="X451">
        <v>451</v>
      </c>
      <c r="Y451" t="b">
        <f t="shared" si="7"/>
        <v>1</v>
      </c>
      <c r="Z451" t="b">
        <f>COUNTBLANK(metadata!B451:R451)=COLUMNS(metadata!B451:R451)</f>
        <v>1</v>
      </c>
      <c r="AA451" t="str">
        <v/>
      </c>
      <c r="AC451" t="b">
        <f ca="1"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AD451" t="b">
        <f>IF(metadata!C451="",FALSE,ISNUMBER(VALUE(metadata!C451)))</f>
        <v>0</v>
      </c>
      <c r="AE451" t="b">
        <f>AND(IF(metadata!D451="",FALSE,TRUE),EXACT(metadata!D451,"years"))</f>
        <v>0</v>
      </c>
      <c r="AF451" t="b">
        <f>OR(AND(IF(metadata!E451="",FALSE,TRUE),OR(EXACT(metadata!E451,"not applicable"),EXACT(metadata!E451,"missing: not collected"),EXACT(metadata!E451,"missing: not provided"),EXACT(metadata!E451,"missing: restricted access"))),AND(IF(metadata!E451="",FALSE,ISNUMBER(VALUE(metadata!E451))),metadata!E451&gt;0))</f>
        <v>0</v>
      </c>
      <c r="AG451" t="b">
        <f>AND(IF(metadata!F451="",FALSE,TRUE),EXACT(metadata!F451,"Not applicable"))</f>
        <v>0</v>
      </c>
      <c r="AH451" t="b">
        <f>AND(IF(metadata!G451="",FALSE,TRUE),EXACT(metadata!G451,"urban biome"))</f>
        <v>0</v>
      </c>
      <c r="AI451" t="b">
        <f>AND(IF(metadata!H451="",FALSE,TRUE),EXACT(metadata!H451,"human-associated habitat"))</f>
        <v>0</v>
      </c>
      <c r="AJ451" t="b">
        <f>AND(IF(metadata!I451="",FALSE,TRUE),OR(EXACT(metadata!I451,"human-associated"),EXACT(metadata!I451,"human-skin"),EXACT(metadata!I451,"human-oral"),EXACT(metadata!I451,"human-gut"),EXACT(metadata!I451,"human-vaginal")))</f>
        <v>0</v>
      </c>
      <c r="AK451" t="b">
        <f>IF(metadata!J451="",FALSE,ISNUMBER(VALUE(metadata!J451)))</f>
        <v>0</v>
      </c>
      <c r="AL451" t="b">
        <f>AND(IF(metadata!K451="",FALSE,TRUE),EXACT(metadata!K451,"cm"))</f>
        <v>0</v>
      </c>
      <c r="AM451" t="b">
        <f>AND(IF(metadata!L451="",FALSE,TRUE),EXACT(metadata!L451,"human"))</f>
        <v>0</v>
      </c>
      <c r="AN451" t="b">
        <f>AND(IF(metadata!M451="",FALSE,TRUE),EXACT(metadata!M451,"Homo sapiens"))</f>
        <v>0</v>
      </c>
      <c r="AO451" t="b">
        <f>AND(IF(metadata!N451="",FALSE,TRUE),EXACT(metadata!N451,"9606"))</f>
        <v>0</v>
      </c>
      <c r="AP451" t="b">
        <f>IF(metadata!O451="",FALSE,TRUE)</f>
        <v>0</v>
      </c>
      <c r="AQ451" t="b">
        <f>IF(metadata!P451="",FALSE,TRUE)</f>
        <v>0</v>
      </c>
      <c r="AR451" t="b">
        <f>IF(metadata!Q451="",FALSE,ISNUMBER(VALUE(metadata!Q451)))</f>
        <v>0</v>
      </c>
      <c r="AS451" t="b">
        <f>AND(IF(metadata!R451="",FALSE,TRUE),EXACT(metadata!R451,"kg"))</f>
        <v>0</v>
      </c>
    </row>
    <row r="452" spans="1:45" x14ac:dyDescent="0.2">
      <c r="A452" s="5" t="str">
        <f ca="1">IF(B452=" "," ",HYPERLINK(CONCATENATE("#metadata!",ADDRESS(INDEX($X$2:$X$1001,MATCH(ROWS($V$2:V452),$V$2:$V$1001,0),0),1)),INDEX($AA$2:$AA$1001,MATCH(ROWS($V$2:V452),$V$2:$V$1001,0),0)))</f>
        <v xml:space="preserve"> </v>
      </c>
      <c r="B452" s="4" t="str">
        <f ca="1">IF(OR(INDEX($W$2:$W$1001,MATCH(ROWS($V$2:V452),$V$2:$V$1001,0),1)&gt;=100000,INDEX($AC$1005:$AS$1005,1,MATCH(COLUMNS($AC$1006:AC1006),$AC$1006:$AS$1006,0))&gt;=100000), " ",IF(INDEX($AC$2:$AS$1001,MATCH(ROWS($V$2:V452),$V$2:$V$1001,0),MATCH(COLUMNS($AC$1006:AC1006),$AC$1006:$AS$1006,0)), HYPERLINK("#",""), HYPERLINK(CONCATENATE("#metadata!", ADDRESS(INDEX($X$2:$X$1001,MATCH(ROWS($V$2:V452),$V$2:$V$1001,0),0), INDEX($AC$1004:$AS$1004,1,MATCH(COLUMNS($AC$1006:AC1006),$AC$1006:$AS$1006,0)))),"Fix")))</f>
        <v xml:space="preserve"> </v>
      </c>
      <c r="C452" s="4" t="str">
        <f ca="1">IF(OR(INDEX($W$2:$W$1001,MATCH(ROWS($V$2:V452),$V$2:$V$1001,0),1)&gt;=100000,INDEX($AC$1005:$AS$1005,1,MATCH(COLUMNS($AC$1006:AD1006),$AC$1006:$AS$1006,0))&gt;=100000), " ",IF(INDEX($AC$2:$AS$1001,MATCH(ROWS($V$2:V452),$V$2:$V$1001,0),MATCH(COLUMNS($AC$1006:AD1006),$AC$1006:$AS$1006,0)), HYPERLINK("#",""), HYPERLINK(CONCATENATE("#metadata!", ADDRESS(INDEX($X$2:$X$1001,MATCH(ROWS($V$2:V452),$V$2:$V$1001,0),0), INDEX($AC$1004:$AS$1004,1,MATCH(COLUMNS($AC$1006:AD1006),$AC$1006:$AS$1006,0)))),"Fix")))</f>
        <v xml:space="preserve"> </v>
      </c>
      <c r="D452" s="4" t="str">
        <f ca="1">IF(OR(INDEX($W$2:$W$1001,MATCH(ROWS($V$2:V452),$V$2:$V$1001,0),1)&gt;=100000,INDEX($AC$1005:$AS$1005,1,MATCH(COLUMNS($AC$1006:AE1006),$AC$1006:$AS$1006,0))&gt;=100000), " ",IF(INDEX($AC$2:$AS$1001,MATCH(ROWS($V$2:V452),$V$2:$V$1001,0),MATCH(COLUMNS($AC$1006:AE1006),$AC$1006:$AS$1006,0)), HYPERLINK("#",""), HYPERLINK(CONCATENATE("#metadata!", ADDRESS(INDEX($X$2:$X$1001,MATCH(ROWS($V$2:V452),$V$2:$V$1001,0),0), INDEX($AC$1004:$AS$1004,1,MATCH(COLUMNS($AC$1006:AE1006),$AC$1006:$AS$1006,0)))),"Fix")))</f>
        <v xml:space="preserve"> </v>
      </c>
      <c r="E452" s="4" t="str">
        <f ca="1">IF(OR(INDEX($W$2:$W$1001,MATCH(ROWS($V$2:V452),$V$2:$V$1001,0),1)&gt;=100000,INDEX($AC$1005:$AS$1005,1,MATCH(COLUMNS($AC$1006:AF1006),$AC$1006:$AS$1006,0))&gt;=100000), " ",IF(INDEX($AC$2:$AS$1001,MATCH(ROWS($V$2:V452),$V$2:$V$1001,0),MATCH(COLUMNS($AC$1006:AF1006),$AC$1006:$AS$1006,0)), HYPERLINK("#",""), HYPERLINK(CONCATENATE("#metadata!", ADDRESS(INDEX($X$2:$X$1001,MATCH(ROWS($V$2:V452),$V$2:$V$1001,0),0), INDEX($AC$1004:$AS$1004,1,MATCH(COLUMNS($AC$1006:AF1006),$AC$1006:$AS$1006,0)))),"Fix")))</f>
        <v xml:space="preserve"> </v>
      </c>
      <c r="F452" s="4" t="str">
        <f ca="1">IF(OR(INDEX($W$2:$W$1001,MATCH(ROWS($V$2:V452),$V$2:$V$1001,0),1)&gt;=100000,INDEX($AC$1005:$AS$1005,1,MATCH(COLUMNS($AC$1006:AG1006),$AC$1006:$AS$1006,0))&gt;=100000), " ",IF(INDEX($AC$2:$AS$1001,MATCH(ROWS($V$2:V452),$V$2:$V$1001,0),MATCH(COLUMNS($AC$1006:AG1006),$AC$1006:$AS$1006,0)), HYPERLINK("#",""), HYPERLINK(CONCATENATE("#metadata!", ADDRESS(INDEX($X$2:$X$1001,MATCH(ROWS($V$2:V452),$V$2:$V$1001,0),0), INDEX($AC$1004:$AS$1004,1,MATCH(COLUMNS($AC$1006:AG1006),$AC$1006:$AS$1006,0)))),"Fix")))</f>
        <v xml:space="preserve"> </v>
      </c>
      <c r="G452" s="4" t="str">
        <f ca="1">IF(OR(INDEX($W$2:$W$1001,MATCH(ROWS($V$2:V452),$V$2:$V$1001,0),1)&gt;=100000,INDEX($AC$1005:$AS$1005,1,MATCH(COLUMNS($AC$1006:AH1006),$AC$1006:$AS$1006,0))&gt;=100000), " ",IF(INDEX($AC$2:$AS$1001,MATCH(ROWS($V$2:V452),$V$2:$V$1001,0),MATCH(COLUMNS($AC$1006:AH1006),$AC$1006:$AS$1006,0)), HYPERLINK("#",""), HYPERLINK(CONCATENATE("#metadata!", ADDRESS(INDEX($X$2:$X$1001,MATCH(ROWS($V$2:V452),$V$2:$V$1001,0),0), INDEX($AC$1004:$AS$1004,1,MATCH(COLUMNS($AC$1006:AH1006),$AC$1006:$AS$1006,0)))),"Fix")))</f>
        <v xml:space="preserve"> </v>
      </c>
      <c r="H452" s="4" t="str">
        <f ca="1">IF(OR(INDEX($W$2:$W$1001,MATCH(ROWS($V$2:V452),$V$2:$V$1001,0),1)&gt;=100000,INDEX($AC$1005:$AS$1005,1,MATCH(COLUMNS($AC$1006:AI1006),$AC$1006:$AS$1006,0))&gt;=100000), " ",IF(INDEX($AC$2:$AS$1001,MATCH(ROWS($V$2:V452),$V$2:$V$1001,0),MATCH(COLUMNS($AC$1006:AI1006),$AC$1006:$AS$1006,0)), HYPERLINK("#",""), HYPERLINK(CONCATENATE("#metadata!", ADDRESS(INDEX($X$2:$X$1001,MATCH(ROWS($V$2:V452),$V$2:$V$1001,0),0), INDEX($AC$1004:$AS$1004,1,MATCH(COLUMNS($AC$1006:AI1006),$AC$1006:$AS$1006,0)))),"Fix")))</f>
        <v xml:space="preserve"> </v>
      </c>
      <c r="I452" s="4" t="str">
        <f ca="1">IF(OR(INDEX($W$2:$W$1001,MATCH(ROWS($V$2:V452),$V$2:$V$1001,0),1)&gt;=100000,INDEX($AC$1005:$AS$1005,1,MATCH(COLUMNS($AC$1006:AJ1006),$AC$1006:$AS$1006,0))&gt;=100000), " ",IF(INDEX($AC$2:$AS$1001,MATCH(ROWS($V$2:V452),$V$2:$V$1001,0),MATCH(COLUMNS($AC$1006:AJ1006),$AC$1006:$AS$1006,0)), HYPERLINK("#",""), HYPERLINK(CONCATENATE("#metadata!", ADDRESS(INDEX($X$2:$X$1001,MATCH(ROWS($V$2:V452),$V$2:$V$1001,0),0), INDEX($AC$1004:$AS$1004,1,MATCH(COLUMNS($AC$1006:AJ1006),$AC$1006:$AS$1006,0)))),"Fix")))</f>
        <v xml:space="preserve"> </v>
      </c>
      <c r="J452" s="4" t="str">
        <f ca="1">IF(OR(INDEX($W$2:$W$1001,MATCH(ROWS($V$2:V452),$V$2:$V$1001,0),1)&gt;=100000,INDEX($AC$1005:$AS$1005,1,MATCH(COLUMNS($AC$1006:AK1006),$AC$1006:$AS$1006,0))&gt;=100000), " ",IF(INDEX($AC$2:$AS$1001,MATCH(ROWS($V$2:V452),$V$2:$V$1001,0),MATCH(COLUMNS($AC$1006:AK1006),$AC$1006:$AS$1006,0)), HYPERLINK("#",""), HYPERLINK(CONCATENATE("#metadata!", ADDRESS(INDEX($X$2:$X$1001,MATCH(ROWS($V$2:V452),$V$2:$V$1001,0),0), INDEX($AC$1004:$AS$1004,1,MATCH(COLUMNS($AC$1006:AK1006),$AC$1006:$AS$1006,0)))),"Fix")))</f>
        <v xml:space="preserve"> </v>
      </c>
      <c r="K452" s="4" t="str">
        <f ca="1">IF(OR(INDEX($W$2:$W$1001,MATCH(ROWS($V$2:V452),$V$2:$V$1001,0),1)&gt;=100000,INDEX($AC$1005:$AS$1005,1,MATCH(COLUMNS($AC$1006:AL1006),$AC$1006:$AS$1006,0))&gt;=100000), " ",IF(INDEX($AC$2:$AS$1001,MATCH(ROWS($V$2:V452),$V$2:$V$1001,0),MATCH(COLUMNS($AC$1006:AL1006),$AC$1006:$AS$1006,0)), HYPERLINK("#",""), HYPERLINK(CONCATENATE("#metadata!", ADDRESS(INDEX($X$2:$X$1001,MATCH(ROWS($V$2:V452),$V$2:$V$1001,0),0), INDEX($AC$1004:$AS$1004,1,MATCH(COLUMNS($AC$1006:AL1006),$AC$1006:$AS$1006,0)))),"Fix")))</f>
        <v xml:space="preserve"> </v>
      </c>
      <c r="L452" s="4" t="str">
        <f ca="1">IF(OR(INDEX($W$2:$W$1001,MATCH(ROWS($V$2:V452),$V$2:$V$1001,0),1)&gt;=100000,INDEX($AC$1005:$AS$1005,1,MATCH(COLUMNS($AC$1006:AM1006),$AC$1006:$AS$1006,0))&gt;=100000), " ",IF(INDEX($AC$2:$AS$1001,MATCH(ROWS($V$2:V452),$V$2:$V$1001,0),MATCH(COLUMNS($AC$1006:AM1006),$AC$1006:$AS$1006,0)), HYPERLINK("#",""), HYPERLINK(CONCATENATE("#metadata!", ADDRESS(INDEX($X$2:$X$1001,MATCH(ROWS($V$2:V452),$V$2:$V$1001,0),0), INDEX($AC$1004:$AS$1004,1,MATCH(COLUMNS($AC$1006:AM1006),$AC$1006:$AS$1006,0)))),"Fix")))</f>
        <v xml:space="preserve"> </v>
      </c>
      <c r="M452" s="4" t="str">
        <f ca="1">IF(OR(INDEX($W$2:$W$1001,MATCH(ROWS($V$2:V452),$V$2:$V$1001,0),1)&gt;=100000,INDEX($AC$1005:$AS$1005,1,MATCH(COLUMNS($AC$1006:AN1006),$AC$1006:$AS$1006,0))&gt;=100000), " ",IF(INDEX($AC$2:$AS$1001,MATCH(ROWS($V$2:V452),$V$2:$V$1001,0),MATCH(COLUMNS($AC$1006:AN1006),$AC$1006:$AS$1006,0)), HYPERLINK("#",""), HYPERLINK(CONCATENATE("#metadata!", ADDRESS(INDEX($X$2:$X$1001,MATCH(ROWS($V$2:V452),$V$2:$V$1001,0),0), INDEX($AC$1004:$AS$1004,1,MATCH(COLUMNS($AC$1006:AN1006),$AC$1006:$AS$1006,0)))),"Fix")))</f>
        <v xml:space="preserve"> </v>
      </c>
      <c r="N452" s="4" t="str">
        <f ca="1">IF(OR(INDEX($W$2:$W$1001,MATCH(ROWS($V$2:V452),$V$2:$V$1001,0),1)&gt;=100000,INDEX($AC$1005:$AS$1005,1,MATCH(COLUMNS($AC$1006:AO1006),$AC$1006:$AS$1006,0))&gt;=100000), " ",IF(INDEX($AC$2:$AS$1001,MATCH(ROWS($V$2:V452),$V$2:$V$1001,0),MATCH(COLUMNS($AC$1006:AO1006),$AC$1006:$AS$1006,0)), HYPERLINK("#",""), HYPERLINK(CONCATENATE("#metadata!", ADDRESS(INDEX($X$2:$X$1001,MATCH(ROWS($V$2:V452),$V$2:$V$1001,0),0), INDEX($AC$1004:$AS$1004,1,MATCH(COLUMNS($AC$1006:AO1006),$AC$1006:$AS$1006,0)))),"Fix")))</f>
        <v xml:space="preserve"> </v>
      </c>
      <c r="O452" s="4" t="str">
        <f ca="1">IF(OR(INDEX($W$2:$W$1001,MATCH(ROWS($V$2:V452),$V$2:$V$1001,0),1)&gt;=100000,INDEX($AC$1005:$AS$1005,1,MATCH(COLUMNS($AC$1006:AP1006),$AC$1006:$AS$1006,0))&gt;=100000), " ",IF(INDEX($AC$2:$AS$1001,MATCH(ROWS($V$2:V452),$V$2:$V$1001,0),MATCH(COLUMNS($AC$1006:AP1006),$AC$1006:$AS$1006,0)), HYPERLINK("#",""), HYPERLINK(CONCATENATE("#metadata!", ADDRESS(INDEX($X$2:$X$1001,MATCH(ROWS($V$2:V452),$V$2:$V$1001,0),0), INDEX($AC$1004:$AS$1004,1,MATCH(COLUMNS($AC$1006:AP1006),$AC$1006:$AS$1006,0)))),"Fix")))</f>
        <v xml:space="preserve"> </v>
      </c>
      <c r="P452" s="4" t="str">
        <f ca="1">IF(OR(INDEX($W$2:$W$1001,MATCH(ROWS($V$2:V452),$V$2:$V$1001,0),1)&gt;=100000,INDEX($AC$1005:$AS$1005,1,MATCH(COLUMNS($AC$1006:AQ1006),$AC$1006:$AS$1006,0))&gt;=100000), " ",IF(INDEX($AC$2:$AS$1001,MATCH(ROWS($V$2:V452),$V$2:$V$1001,0),MATCH(COLUMNS($AC$1006:AQ1006),$AC$1006:$AS$1006,0)), HYPERLINK("#",""), HYPERLINK(CONCATENATE("#metadata!", ADDRESS(INDEX($X$2:$X$1001,MATCH(ROWS($V$2:V452),$V$2:$V$1001,0),0), INDEX($AC$1004:$AS$1004,1,MATCH(COLUMNS($AC$1006:AQ1006),$AC$1006:$AS$1006,0)))),"Fix")))</f>
        <v xml:space="preserve"> </v>
      </c>
      <c r="Q452" s="4" t="str">
        <f ca="1">IF(OR(INDEX($W$2:$W$1001,MATCH(ROWS($V$2:V452),$V$2:$V$1001,0),1)&gt;=100000,INDEX($AC$1005:$AS$1005,1,MATCH(COLUMNS($AC$1006:AR1006),$AC$1006:$AS$1006,0))&gt;=100000), " ",IF(INDEX($AC$2:$AS$1001,MATCH(ROWS($V$2:V452),$V$2:$V$1001,0),MATCH(COLUMNS($AC$1006:AR1006),$AC$1006:$AS$1006,0)), HYPERLINK("#",""), HYPERLINK(CONCATENATE("#metadata!", ADDRESS(INDEX($X$2:$X$1001,MATCH(ROWS($V$2:V452),$V$2:$V$1001,0),0), INDEX($AC$1004:$AS$1004,1,MATCH(COLUMNS($AC$1006:AR1006),$AC$1006:$AS$1006,0)))),"Fix")))</f>
        <v xml:space="preserve"> </v>
      </c>
      <c r="R452" s="4" t="str">
        <f ca="1">IF(OR(INDEX($W$2:$W$1001,MATCH(ROWS($V$2:V452),$V$2:$V$1001,0),1)&gt;=100000,INDEX($AC$1005:$AS$1005,1,MATCH(COLUMNS($AC$1006:AS1006),$AC$1006:$AS$1006,0))&gt;=100000), " ",IF(INDEX($AC$2:$AS$1001,MATCH(ROWS($V$2:V452),$V$2:$V$1001,0),MATCH(COLUMNS($AC$1006:AS1006),$AC$1006:$AS$1006,0)), HYPERLINK("#",""), HYPERLINK(CONCATENATE("#metadata!", ADDRESS(INDEX($X$2:$X$1001,MATCH(ROWS($V$2:V452),$V$2:$V$1001,0),0), INDEX($AC$1004:$AS$1004,1,MATCH(COLUMNS($AC$1006:AS1006),$AC$1006:$AS$1006,0)))),"Fix")))</f>
        <v xml:space="preserve"> </v>
      </c>
      <c r="V452">
        <v>451</v>
      </c>
      <c r="W452">
        <v>100452</v>
      </c>
      <c r="X452">
        <v>452</v>
      </c>
      <c r="Y452" t="b">
        <f t="shared" si="7"/>
        <v>1</v>
      </c>
      <c r="Z452" t="b">
        <f>COUNTBLANK(metadata!B452:R452)=COLUMNS(metadata!B452:R452)</f>
        <v>1</v>
      </c>
      <c r="AA452" t="str">
        <v/>
      </c>
      <c r="AC452" t="b">
        <f ca="1"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AD452" t="b">
        <f>IF(metadata!C452="",FALSE,ISNUMBER(VALUE(metadata!C452)))</f>
        <v>0</v>
      </c>
      <c r="AE452" t="b">
        <f>AND(IF(metadata!D452="",FALSE,TRUE),EXACT(metadata!D452,"years"))</f>
        <v>0</v>
      </c>
      <c r="AF452" t="b">
        <f>OR(AND(IF(metadata!E452="",FALSE,TRUE),OR(EXACT(metadata!E452,"not applicable"),EXACT(metadata!E452,"missing: not collected"),EXACT(metadata!E452,"missing: not provided"),EXACT(metadata!E452,"missing: restricted access"))),AND(IF(metadata!E452="",FALSE,ISNUMBER(VALUE(metadata!E452))),metadata!E452&gt;0))</f>
        <v>0</v>
      </c>
      <c r="AG452" t="b">
        <f>AND(IF(metadata!F452="",FALSE,TRUE),EXACT(metadata!F452,"Not applicable"))</f>
        <v>0</v>
      </c>
      <c r="AH452" t="b">
        <f>AND(IF(metadata!G452="",FALSE,TRUE),EXACT(metadata!G452,"urban biome"))</f>
        <v>0</v>
      </c>
      <c r="AI452" t="b">
        <f>AND(IF(metadata!H452="",FALSE,TRUE),EXACT(metadata!H452,"human-associated habitat"))</f>
        <v>0</v>
      </c>
      <c r="AJ452" t="b">
        <f>AND(IF(metadata!I452="",FALSE,TRUE),OR(EXACT(metadata!I452,"human-associated"),EXACT(metadata!I452,"human-skin"),EXACT(metadata!I452,"human-oral"),EXACT(metadata!I452,"human-gut"),EXACT(metadata!I452,"human-vaginal")))</f>
        <v>0</v>
      </c>
      <c r="AK452" t="b">
        <f>IF(metadata!J452="",FALSE,ISNUMBER(VALUE(metadata!J452)))</f>
        <v>0</v>
      </c>
      <c r="AL452" t="b">
        <f>AND(IF(metadata!K452="",FALSE,TRUE),EXACT(metadata!K452,"cm"))</f>
        <v>0</v>
      </c>
      <c r="AM452" t="b">
        <f>AND(IF(metadata!L452="",FALSE,TRUE),EXACT(metadata!L452,"human"))</f>
        <v>0</v>
      </c>
      <c r="AN452" t="b">
        <f>AND(IF(metadata!M452="",FALSE,TRUE),EXACT(metadata!M452,"Homo sapiens"))</f>
        <v>0</v>
      </c>
      <c r="AO452" t="b">
        <f>AND(IF(metadata!N452="",FALSE,TRUE),EXACT(metadata!N452,"9606"))</f>
        <v>0</v>
      </c>
      <c r="AP452" t="b">
        <f>IF(metadata!O452="",FALSE,TRUE)</f>
        <v>0</v>
      </c>
      <c r="AQ452" t="b">
        <f>IF(metadata!P452="",FALSE,TRUE)</f>
        <v>0</v>
      </c>
      <c r="AR452" t="b">
        <f>IF(metadata!Q452="",FALSE,ISNUMBER(VALUE(metadata!Q452)))</f>
        <v>0</v>
      </c>
      <c r="AS452" t="b">
        <f>AND(IF(metadata!R452="",FALSE,TRUE),EXACT(metadata!R452,"kg"))</f>
        <v>0</v>
      </c>
    </row>
    <row r="453" spans="1:45" x14ac:dyDescent="0.2">
      <c r="A453" s="5" t="str">
        <f ca="1">IF(B453=" "," ",HYPERLINK(CONCATENATE("#metadata!",ADDRESS(INDEX($X$2:$X$1001,MATCH(ROWS($V$2:V453),$V$2:$V$1001,0),0),1)),INDEX($AA$2:$AA$1001,MATCH(ROWS($V$2:V453),$V$2:$V$1001,0),0)))</f>
        <v xml:space="preserve"> </v>
      </c>
      <c r="B453" s="4" t="str">
        <f ca="1">IF(OR(INDEX($W$2:$W$1001,MATCH(ROWS($V$2:V453),$V$2:$V$1001,0),1)&gt;=100000,INDEX($AC$1005:$AS$1005,1,MATCH(COLUMNS($AC$1006:AC1006),$AC$1006:$AS$1006,0))&gt;=100000), " ",IF(INDEX($AC$2:$AS$1001,MATCH(ROWS($V$2:V453),$V$2:$V$1001,0),MATCH(COLUMNS($AC$1006:AC1006),$AC$1006:$AS$1006,0)), HYPERLINK("#",""), HYPERLINK(CONCATENATE("#metadata!", ADDRESS(INDEX($X$2:$X$1001,MATCH(ROWS($V$2:V453),$V$2:$V$1001,0),0), INDEX($AC$1004:$AS$1004,1,MATCH(COLUMNS($AC$1006:AC1006),$AC$1006:$AS$1006,0)))),"Fix")))</f>
        <v xml:space="preserve"> </v>
      </c>
      <c r="C453" s="4" t="str">
        <f ca="1">IF(OR(INDEX($W$2:$W$1001,MATCH(ROWS($V$2:V453),$V$2:$V$1001,0),1)&gt;=100000,INDEX($AC$1005:$AS$1005,1,MATCH(COLUMNS($AC$1006:AD1006),$AC$1006:$AS$1006,0))&gt;=100000), " ",IF(INDEX($AC$2:$AS$1001,MATCH(ROWS($V$2:V453),$V$2:$V$1001,0),MATCH(COLUMNS($AC$1006:AD1006),$AC$1006:$AS$1006,0)), HYPERLINK("#",""), HYPERLINK(CONCATENATE("#metadata!", ADDRESS(INDEX($X$2:$X$1001,MATCH(ROWS($V$2:V453),$V$2:$V$1001,0),0), INDEX($AC$1004:$AS$1004,1,MATCH(COLUMNS($AC$1006:AD1006),$AC$1006:$AS$1006,0)))),"Fix")))</f>
        <v xml:space="preserve"> </v>
      </c>
      <c r="D453" s="4" t="str">
        <f ca="1">IF(OR(INDEX($W$2:$W$1001,MATCH(ROWS($V$2:V453),$V$2:$V$1001,0),1)&gt;=100000,INDEX($AC$1005:$AS$1005,1,MATCH(COLUMNS($AC$1006:AE1006),$AC$1006:$AS$1006,0))&gt;=100000), " ",IF(INDEX($AC$2:$AS$1001,MATCH(ROWS($V$2:V453),$V$2:$V$1001,0),MATCH(COLUMNS($AC$1006:AE1006),$AC$1006:$AS$1006,0)), HYPERLINK("#",""), HYPERLINK(CONCATENATE("#metadata!", ADDRESS(INDEX($X$2:$X$1001,MATCH(ROWS($V$2:V453),$V$2:$V$1001,0),0), INDEX($AC$1004:$AS$1004,1,MATCH(COLUMNS($AC$1006:AE1006),$AC$1006:$AS$1006,0)))),"Fix")))</f>
        <v xml:space="preserve"> </v>
      </c>
      <c r="E453" s="4" t="str">
        <f ca="1">IF(OR(INDEX($W$2:$W$1001,MATCH(ROWS($V$2:V453),$V$2:$V$1001,0),1)&gt;=100000,INDEX($AC$1005:$AS$1005,1,MATCH(COLUMNS($AC$1006:AF1006),$AC$1006:$AS$1006,0))&gt;=100000), " ",IF(INDEX($AC$2:$AS$1001,MATCH(ROWS($V$2:V453),$V$2:$V$1001,0),MATCH(COLUMNS($AC$1006:AF1006),$AC$1006:$AS$1006,0)), HYPERLINK("#",""), HYPERLINK(CONCATENATE("#metadata!", ADDRESS(INDEX($X$2:$X$1001,MATCH(ROWS($V$2:V453),$V$2:$V$1001,0),0), INDEX($AC$1004:$AS$1004,1,MATCH(COLUMNS($AC$1006:AF1006),$AC$1006:$AS$1006,0)))),"Fix")))</f>
        <v xml:space="preserve"> </v>
      </c>
      <c r="F453" s="4" t="str">
        <f ca="1">IF(OR(INDEX($W$2:$W$1001,MATCH(ROWS($V$2:V453),$V$2:$V$1001,0),1)&gt;=100000,INDEX($AC$1005:$AS$1005,1,MATCH(COLUMNS($AC$1006:AG1006),$AC$1006:$AS$1006,0))&gt;=100000), " ",IF(INDEX($AC$2:$AS$1001,MATCH(ROWS($V$2:V453),$V$2:$V$1001,0),MATCH(COLUMNS($AC$1006:AG1006),$AC$1006:$AS$1006,0)), HYPERLINK("#",""), HYPERLINK(CONCATENATE("#metadata!", ADDRESS(INDEX($X$2:$X$1001,MATCH(ROWS($V$2:V453),$V$2:$V$1001,0),0), INDEX($AC$1004:$AS$1004,1,MATCH(COLUMNS($AC$1006:AG1006),$AC$1006:$AS$1006,0)))),"Fix")))</f>
        <v xml:space="preserve"> </v>
      </c>
      <c r="G453" s="4" t="str">
        <f ca="1">IF(OR(INDEX($W$2:$W$1001,MATCH(ROWS($V$2:V453),$V$2:$V$1001,0),1)&gt;=100000,INDEX($AC$1005:$AS$1005,1,MATCH(COLUMNS($AC$1006:AH1006),$AC$1006:$AS$1006,0))&gt;=100000), " ",IF(INDEX($AC$2:$AS$1001,MATCH(ROWS($V$2:V453),$V$2:$V$1001,0),MATCH(COLUMNS($AC$1006:AH1006),$AC$1006:$AS$1006,0)), HYPERLINK("#",""), HYPERLINK(CONCATENATE("#metadata!", ADDRESS(INDEX($X$2:$X$1001,MATCH(ROWS($V$2:V453),$V$2:$V$1001,0),0), INDEX($AC$1004:$AS$1004,1,MATCH(COLUMNS($AC$1006:AH1006),$AC$1006:$AS$1006,0)))),"Fix")))</f>
        <v xml:space="preserve"> </v>
      </c>
      <c r="H453" s="4" t="str">
        <f ca="1">IF(OR(INDEX($W$2:$W$1001,MATCH(ROWS($V$2:V453),$V$2:$V$1001,0),1)&gt;=100000,INDEX($AC$1005:$AS$1005,1,MATCH(COLUMNS($AC$1006:AI1006),$AC$1006:$AS$1006,0))&gt;=100000), " ",IF(INDEX($AC$2:$AS$1001,MATCH(ROWS($V$2:V453),$V$2:$V$1001,0),MATCH(COLUMNS($AC$1006:AI1006),$AC$1006:$AS$1006,0)), HYPERLINK("#",""), HYPERLINK(CONCATENATE("#metadata!", ADDRESS(INDEX($X$2:$X$1001,MATCH(ROWS($V$2:V453),$V$2:$V$1001,0),0), INDEX($AC$1004:$AS$1004,1,MATCH(COLUMNS($AC$1006:AI1006),$AC$1006:$AS$1006,0)))),"Fix")))</f>
        <v xml:space="preserve"> </v>
      </c>
      <c r="I453" s="4" t="str">
        <f ca="1">IF(OR(INDEX($W$2:$W$1001,MATCH(ROWS($V$2:V453),$V$2:$V$1001,0),1)&gt;=100000,INDEX($AC$1005:$AS$1005,1,MATCH(COLUMNS($AC$1006:AJ1006),$AC$1006:$AS$1006,0))&gt;=100000), " ",IF(INDEX($AC$2:$AS$1001,MATCH(ROWS($V$2:V453),$V$2:$V$1001,0),MATCH(COLUMNS($AC$1006:AJ1006),$AC$1006:$AS$1006,0)), HYPERLINK("#",""), HYPERLINK(CONCATENATE("#metadata!", ADDRESS(INDEX($X$2:$X$1001,MATCH(ROWS($V$2:V453),$V$2:$V$1001,0),0), INDEX($AC$1004:$AS$1004,1,MATCH(COLUMNS($AC$1006:AJ1006),$AC$1006:$AS$1006,0)))),"Fix")))</f>
        <v xml:space="preserve"> </v>
      </c>
      <c r="J453" s="4" t="str">
        <f ca="1">IF(OR(INDEX($W$2:$W$1001,MATCH(ROWS($V$2:V453),$V$2:$V$1001,0),1)&gt;=100000,INDEX($AC$1005:$AS$1005,1,MATCH(COLUMNS($AC$1006:AK1006),$AC$1006:$AS$1006,0))&gt;=100000), " ",IF(INDEX($AC$2:$AS$1001,MATCH(ROWS($V$2:V453),$V$2:$V$1001,0),MATCH(COLUMNS($AC$1006:AK1006),$AC$1006:$AS$1006,0)), HYPERLINK("#",""), HYPERLINK(CONCATENATE("#metadata!", ADDRESS(INDEX($X$2:$X$1001,MATCH(ROWS($V$2:V453),$V$2:$V$1001,0),0), INDEX($AC$1004:$AS$1004,1,MATCH(COLUMNS($AC$1006:AK1006),$AC$1006:$AS$1006,0)))),"Fix")))</f>
        <v xml:space="preserve"> </v>
      </c>
      <c r="K453" s="4" t="str">
        <f ca="1">IF(OR(INDEX($W$2:$W$1001,MATCH(ROWS($V$2:V453),$V$2:$V$1001,0),1)&gt;=100000,INDEX($AC$1005:$AS$1005,1,MATCH(COLUMNS($AC$1006:AL1006),$AC$1006:$AS$1006,0))&gt;=100000), " ",IF(INDEX($AC$2:$AS$1001,MATCH(ROWS($V$2:V453),$V$2:$V$1001,0),MATCH(COLUMNS($AC$1006:AL1006),$AC$1006:$AS$1006,0)), HYPERLINK("#",""), HYPERLINK(CONCATENATE("#metadata!", ADDRESS(INDEX($X$2:$X$1001,MATCH(ROWS($V$2:V453),$V$2:$V$1001,0),0), INDEX($AC$1004:$AS$1004,1,MATCH(COLUMNS($AC$1006:AL1006),$AC$1006:$AS$1006,0)))),"Fix")))</f>
        <v xml:space="preserve"> </v>
      </c>
      <c r="L453" s="4" t="str">
        <f ca="1">IF(OR(INDEX($W$2:$W$1001,MATCH(ROWS($V$2:V453),$V$2:$V$1001,0),1)&gt;=100000,INDEX($AC$1005:$AS$1005,1,MATCH(COLUMNS($AC$1006:AM1006),$AC$1006:$AS$1006,0))&gt;=100000), " ",IF(INDEX($AC$2:$AS$1001,MATCH(ROWS($V$2:V453),$V$2:$V$1001,0),MATCH(COLUMNS($AC$1006:AM1006),$AC$1006:$AS$1006,0)), HYPERLINK("#",""), HYPERLINK(CONCATENATE("#metadata!", ADDRESS(INDEX($X$2:$X$1001,MATCH(ROWS($V$2:V453),$V$2:$V$1001,0),0), INDEX($AC$1004:$AS$1004,1,MATCH(COLUMNS($AC$1006:AM1006),$AC$1006:$AS$1006,0)))),"Fix")))</f>
        <v xml:space="preserve"> </v>
      </c>
      <c r="M453" s="4" t="str">
        <f ca="1">IF(OR(INDEX($W$2:$W$1001,MATCH(ROWS($V$2:V453),$V$2:$V$1001,0),1)&gt;=100000,INDEX($AC$1005:$AS$1005,1,MATCH(COLUMNS($AC$1006:AN1006),$AC$1006:$AS$1006,0))&gt;=100000), " ",IF(INDEX($AC$2:$AS$1001,MATCH(ROWS($V$2:V453),$V$2:$V$1001,0),MATCH(COLUMNS($AC$1006:AN1006),$AC$1006:$AS$1006,0)), HYPERLINK("#",""), HYPERLINK(CONCATENATE("#metadata!", ADDRESS(INDEX($X$2:$X$1001,MATCH(ROWS($V$2:V453),$V$2:$V$1001,0),0), INDEX($AC$1004:$AS$1004,1,MATCH(COLUMNS($AC$1006:AN1006),$AC$1006:$AS$1006,0)))),"Fix")))</f>
        <v xml:space="preserve"> </v>
      </c>
      <c r="N453" s="4" t="str">
        <f ca="1">IF(OR(INDEX($W$2:$W$1001,MATCH(ROWS($V$2:V453),$V$2:$V$1001,0),1)&gt;=100000,INDEX($AC$1005:$AS$1005,1,MATCH(COLUMNS($AC$1006:AO1006),$AC$1006:$AS$1006,0))&gt;=100000), " ",IF(INDEX($AC$2:$AS$1001,MATCH(ROWS($V$2:V453),$V$2:$V$1001,0),MATCH(COLUMNS($AC$1006:AO1006),$AC$1006:$AS$1006,0)), HYPERLINK("#",""), HYPERLINK(CONCATENATE("#metadata!", ADDRESS(INDEX($X$2:$X$1001,MATCH(ROWS($V$2:V453),$V$2:$V$1001,0),0), INDEX($AC$1004:$AS$1004,1,MATCH(COLUMNS($AC$1006:AO1006),$AC$1006:$AS$1006,0)))),"Fix")))</f>
        <v xml:space="preserve"> </v>
      </c>
      <c r="O453" s="4" t="str">
        <f ca="1">IF(OR(INDEX($W$2:$W$1001,MATCH(ROWS($V$2:V453),$V$2:$V$1001,0),1)&gt;=100000,INDEX($AC$1005:$AS$1005,1,MATCH(COLUMNS($AC$1006:AP1006),$AC$1006:$AS$1006,0))&gt;=100000), " ",IF(INDEX($AC$2:$AS$1001,MATCH(ROWS($V$2:V453),$V$2:$V$1001,0),MATCH(COLUMNS($AC$1006:AP1006),$AC$1006:$AS$1006,0)), HYPERLINK("#",""), HYPERLINK(CONCATENATE("#metadata!", ADDRESS(INDEX($X$2:$X$1001,MATCH(ROWS($V$2:V453),$V$2:$V$1001,0),0), INDEX($AC$1004:$AS$1004,1,MATCH(COLUMNS($AC$1006:AP1006),$AC$1006:$AS$1006,0)))),"Fix")))</f>
        <v xml:space="preserve"> </v>
      </c>
      <c r="P453" s="4" t="str">
        <f ca="1">IF(OR(INDEX($W$2:$W$1001,MATCH(ROWS($V$2:V453),$V$2:$V$1001,0),1)&gt;=100000,INDEX($AC$1005:$AS$1005,1,MATCH(COLUMNS($AC$1006:AQ1006),$AC$1006:$AS$1006,0))&gt;=100000), " ",IF(INDEX($AC$2:$AS$1001,MATCH(ROWS($V$2:V453),$V$2:$V$1001,0),MATCH(COLUMNS($AC$1006:AQ1006),$AC$1006:$AS$1006,0)), HYPERLINK("#",""), HYPERLINK(CONCATENATE("#metadata!", ADDRESS(INDEX($X$2:$X$1001,MATCH(ROWS($V$2:V453),$V$2:$V$1001,0),0), INDEX($AC$1004:$AS$1004,1,MATCH(COLUMNS($AC$1006:AQ1006),$AC$1006:$AS$1006,0)))),"Fix")))</f>
        <v xml:space="preserve"> </v>
      </c>
      <c r="Q453" s="4" t="str">
        <f ca="1">IF(OR(INDEX($W$2:$W$1001,MATCH(ROWS($V$2:V453),$V$2:$V$1001,0),1)&gt;=100000,INDEX($AC$1005:$AS$1005,1,MATCH(COLUMNS($AC$1006:AR1006),$AC$1006:$AS$1006,0))&gt;=100000), " ",IF(INDEX($AC$2:$AS$1001,MATCH(ROWS($V$2:V453),$V$2:$V$1001,0),MATCH(COLUMNS($AC$1006:AR1006),$AC$1006:$AS$1006,0)), HYPERLINK("#",""), HYPERLINK(CONCATENATE("#metadata!", ADDRESS(INDEX($X$2:$X$1001,MATCH(ROWS($V$2:V453),$V$2:$V$1001,0),0), INDEX($AC$1004:$AS$1004,1,MATCH(COLUMNS($AC$1006:AR1006),$AC$1006:$AS$1006,0)))),"Fix")))</f>
        <v xml:space="preserve"> </v>
      </c>
      <c r="R453" s="4" t="str">
        <f ca="1">IF(OR(INDEX($W$2:$W$1001,MATCH(ROWS($V$2:V453),$V$2:$V$1001,0),1)&gt;=100000,INDEX($AC$1005:$AS$1005,1,MATCH(COLUMNS($AC$1006:AS1006),$AC$1006:$AS$1006,0))&gt;=100000), " ",IF(INDEX($AC$2:$AS$1001,MATCH(ROWS($V$2:V453),$V$2:$V$1001,0),MATCH(COLUMNS($AC$1006:AS1006),$AC$1006:$AS$1006,0)), HYPERLINK("#",""), HYPERLINK(CONCATENATE("#metadata!", ADDRESS(INDEX($X$2:$X$1001,MATCH(ROWS($V$2:V453),$V$2:$V$1001,0),0), INDEX($AC$1004:$AS$1004,1,MATCH(COLUMNS($AC$1006:AS1006),$AC$1006:$AS$1006,0)))),"Fix")))</f>
        <v xml:space="preserve"> </v>
      </c>
      <c r="V453">
        <v>452</v>
      </c>
      <c r="W453">
        <v>100453</v>
      </c>
      <c r="X453">
        <v>453</v>
      </c>
      <c r="Y453" t="b">
        <f t="shared" si="7"/>
        <v>1</v>
      </c>
      <c r="Z453" t="b">
        <f>COUNTBLANK(metadata!B453:R453)=COLUMNS(metadata!B453:R453)</f>
        <v>1</v>
      </c>
      <c r="AA453" t="str">
        <v/>
      </c>
      <c r="AC453" t="b">
        <f ca="1"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AD453" t="b">
        <f>IF(metadata!C453="",FALSE,ISNUMBER(VALUE(metadata!C453)))</f>
        <v>0</v>
      </c>
      <c r="AE453" t="b">
        <f>AND(IF(metadata!D453="",FALSE,TRUE),EXACT(metadata!D453,"years"))</f>
        <v>0</v>
      </c>
      <c r="AF453" t="b">
        <f>OR(AND(IF(metadata!E453="",FALSE,TRUE),OR(EXACT(metadata!E453,"not applicable"),EXACT(metadata!E453,"missing: not collected"),EXACT(metadata!E453,"missing: not provided"),EXACT(metadata!E453,"missing: restricted access"))),AND(IF(metadata!E453="",FALSE,ISNUMBER(VALUE(metadata!E453))),metadata!E453&gt;0))</f>
        <v>0</v>
      </c>
      <c r="AG453" t="b">
        <f>AND(IF(metadata!F453="",FALSE,TRUE),EXACT(metadata!F453,"Not applicable"))</f>
        <v>0</v>
      </c>
      <c r="AH453" t="b">
        <f>AND(IF(metadata!G453="",FALSE,TRUE),EXACT(metadata!G453,"urban biome"))</f>
        <v>0</v>
      </c>
      <c r="AI453" t="b">
        <f>AND(IF(metadata!H453="",FALSE,TRUE),EXACT(metadata!H453,"human-associated habitat"))</f>
        <v>0</v>
      </c>
      <c r="AJ453" t="b">
        <f>AND(IF(metadata!I453="",FALSE,TRUE),OR(EXACT(metadata!I453,"human-associated"),EXACT(metadata!I453,"human-skin"),EXACT(metadata!I453,"human-oral"),EXACT(metadata!I453,"human-gut"),EXACT(metadata!I453,"human-vaginal")))</f>
        <v>0</v>
      </c>
      <c r="AK453" t="b">
        <f>IF(metadata!J453="",FALSE,ISNUMBER(VALUE(metadata!J453)))</f>
        <v>0</v>
      </c>
      <c r="AL453" t="b">
        <f>AND(IF(metadata!K453="",FALSE,TRUE),EXACT(metadata!K453,"cm"))</f>
        <v>0</v>
      </c>
      <c r="AM453" t="b">
        <f>AND(IF(metadata!L453="",FALSE,TRUE),EXACT(metadata!L453,"human"))</f>
        <v>0</v>
      </c>
      <c r="AN453" t="b">
        <f>AND(IF(metadata!M453="",FALSE,TRUE),EXACT(metadata!M453,"Homo sapiens"))</f>
        <v>0</v>
      </c>
      <c r="AO453" t="b">
        <f>AND(IF(metadata!N453="",FALSE,TRUE),EXACT(metadata!N453,"9606"))</f>
        <v>0</v>
      </c>
      <c r="AP453" t="b">
        <f>IF(metadata!O453="",FALSE,TRUE)</f>
        <v>0</v>
      </c>
      <c r="AQ453" t="b">
        <f>IF(metadata!P453="",FALSE,TRUE)</f>
        <v>0</v>
      </c>
      <c r="AR453" t="b">
        <f>IF(metadata!Q453="",FALSE,ISNUMBER(VALUE(metadata!Q453)))</f>
        <v>0</v>
      </c>
      <c r="AS453" t="b">
        <f>AND(IF(metadata!R453="",FALSE,TRUE),EXACT(metadata!R453,"kg"))</f>
        <v>0</v>
      </c>
    </row>
    <row r="454" spans="1:45" x14ac:dyDescent="0.2">
      <c r="A454" s="5" t="str">
        <f ca="1">IF(B454=" "," ",HYPERLINK(CONCATENATE("#metadata!",ADDRESS(INDEX($X$2:$X$1001,MATCH(ROWS($V$2:V454),$V$2:$V$1001,0),0),1)),INDEX($AA$2:$AA$1001,MATCH(ROWS($V$2:V454),$V$2:$V$1001,0),0)))</f>
        <v xml:space="preserve"> </v>
      </c>
      <c r="B454" s="4" t="str">
        <f ca="1">IF(OR(INDEX($W$2:$W$1001,MATCH(ROWS($V$2:V454),$V$2:$V$1001,0),1)&gt;=100000,INDEX($AC$1005:$AS$1005,1,MATCH(COLUMNS($AC$1006:AC1006),$AC$1006:$AS$1006,0))&gt;=100000), " ",IF(INDEX($AC$2:$AS$1001,MATCH(ROWS($V$2:V454),$V$2:$V$1001,0),MATCH(COLUMNS($AC$1006:AC1006),$AC$1006:$AS$1006,0)), HYPERLINK("#",""), HYPERLINK(CONCATENATE("#metadata!", ADDRESS(INDEX($X$2:$X$1001,MATCH(ROWS($V$2:V454),$V$2:$V$1001,0),0), INDEX($AC$1004:$AS$1004,1,MATCH(COLUMNS($AC$1006:AC1006),$AC$1006:$AS$1006,0)))),"Fix")))</f>
        <v xml:space="preserve"> </v>
      </c>
      <c r="C454" s="4" t="str">
        <f ca="1">IF(OR(INDEX($W$2:$W$1001,MATCH(ROWS($V$2:V454),$V$2:$V$1001,0),1)&gt;=100000,INDEX($AC$1005:$AS$1005,1,MATCH(COLUMNS($AC$1006:AD1006),$AC$1006:$AS$1006,0))&gt;=100000), " ",IF(INDEX($AC$2:$AS$1001,MATCH(ROWS($V$2:V454),$V$2:$V$1001,0),MATCH(COLUMNS($AC$1006:AD1006),$AC$1006:$AS$1006,0)), HYPERLINK("#",""), HYPERLINK(CONCATENATE("#metadata!", ADDRESS(INDEX($X$2:$X$1001,MATCH(ROWS($V$2:V454),$V$2:$V$1001,0),0), INDEX($AC$1004:$AS$1004,1,MATCH(COLUMNS($AC$1006:AD1006),$AC$1006:$AS$1006,0)))),"Fix")))</f>
        <v xml:space="preserve"> </v>
      </c>
      <c r="D454" s="4" t="str">
        <f ca="1">IF(OR(INDEX($W$2:$W$1001,MATCH(ROWS($V$2:V454),$V$2:$V$1001,0),1)&gt;=100000,INDEX($AC$1005:$AS$1005,1,MATCH(COLUMNS($AC$1006:AE1006),$AC$1006:$AS$1006,0))&gt;=100000), " ",IF(INDEX($AC$2:$AS$1001,MATCH(ROWS($V$2:V454),$V$2:$V$1001,0),MATCH(COLUMNS($AC$1006:AE1006),$AC$1006:$AS$1006,0)), HYPERLINK("#",""), HYPERLINK(CONCATENATE("#metadata!", ADDRESS(INDEX($X$2:$X$1001,MATCH(ROWS($V$2:V454),$V$2:$V$1001,0),0), INDEX($AC$1004:$AS$1004,1,MATCH(COLUMNS($AC$1006:AE1006),$AC$1006:$AS$1006,0)))),"Fix")))</f>
        <v xml:space="preserve"> </v>
      </c>
      <c r="E454" s="4" t="str">
        <f ca="1">IF(OR(INDEX($W$2:$W$1001,MATCH(ROWS($V$2:V454),$V$2:$V$1001,0),1)&gt;=100000,INDEX($AC$1005:$AS$1005,1,MATCH(COLUMNS($AC$1006:AF1006),$AC$1006:$AS$1006,0))&gt;=100000), " ",IF(INDEX($AC$2:$AS$1001,MATCH(ROWS($V$2:V454),$V$2:$V$1001,0),MATCH(COLUMNS($AC$1006:AF1006),$AC$1006:$AS$1006,0)), HYPERLINK("#",""), HYPERLINK(CONCATENATE("#metadata!", ADDRESS(INDEX($X$2:$X$1001,MATCH(ROWS($V$2:V454),$V$2:$V$1001,0),0), INDEX($AC$1004:$AS$1004,1,MATCH(COLUMNS($AC$1006:AF1006),$AC$1006:$AS$1006,0)))),"Fix")))</f>
        <v xml:space="preserve"> </v>
      </c>
      <c r="F454" s="4" t="str">
        <f ca="1">IF(OR(INDEX($W$2:$W$1001,MATCH(ROWS($V$2:V454),$V$2:$V$1001,0),1)&gt;=100000,INDEX($AC$1005:$AS$1005,1,MATCH(COLUMNS($AC$1006:AG1006),$AC$1006:$AS$1006,0))&gt;=100000), " ",IF(INDEX($AC$2:$AS$1001,MATCH(ROWS($V$2:V454),$V$2:$V$1001,0),MATCH(COLUMNS($AC$1006:AG1006),$AC$1006:$AS$1006,0)), HYPERLINK("#",""), HYPERLINK(CONCATENATE("#metadata!", ADDRESS(INDEX($X$2:$X$1001,MATCH(ROWS($V$2:V454),$V$2:$V$1001,0),0), INDEX($AC$1004:$AS$1004,1,MATCH(COLUMNS($AC$1006:AG1006),$AC$1006:$AS$1006,0)))),"Fix")))</f>
        <v xml:space="preserve"> </v>
      </c>
      <c r="G454" s="4" t="str">
        <f ca="1">IF(OR(INDEX($W$2:$W$1001,MATCH(ROWS($V$2:V454),$V$2:$V$1001,0),1)&gt;=100000,INDEX($AC$1005:$AS$1005,1,MATCH(COLUMNS($AC$1006:AH1006),$AC$1006:$AS$1006,0))&gt;=100000), " ",IF(INDEX($AC$2:$AS$1001,MATCH(ROWS($V$2:V454),$V$2:$V$1001,0),MATCH(COLUMNS($AC$1006:AH1006),$AC$1006:$AS$1006,0)), HYPERLINK("#",""), HYPERLINK(CONCATENATE("#metadata!", ADDRESS(INDEX($X$2:$X$1001,MATCH(ROWS($V$2:V454),$V$2:$V$1001,0),0), INDEX($AC$1004:$AS$1004,1,MATCH(COLUMNS($AC$1006:AH1006),$AC$1006:$AS$1006,0)))),"Fix")))</f>
        <v xml:space="preserve"> </v>
      </c>
      <c r="H454" s="4" t="str">
        <f ca="1">IF(OR(INDEX($W$2:$W$1001,MATCH(ROWS($V$2:V454),$V$2:$V$1001,0),1)&gt;=100000,INDEX($AC$1005:$AS$1005,1,MATCH(COLUMNS($AC$1006:AI1006),$AC$1006:$AS$1006,0))&gt;=100000), " ",IF(INDEX($AC$2:$AS$1001,MATCH(ROWS($V$2:V454),$V$2:$V$1001,0),MATCH(COLUMNS($AC$1006:AI1006),$AC$1006:$AS$1006,0)), HYPERLINK("#",""), HYPERLINK(CONCATENATE("#metadata!", ADDRESS(INDEX($X$2:$X$1001,MATCH(ROWS($V$2:V454),$V$2:$V$1001,0),0), INDEX($AC$1004:$AS$1004,1,MATCH(COLUMNS($AC$1006:AI1006),$AC$1006:$AS$1006,0)))),"Fix")))</f>
        <v xml:space="preserve"> </v>
      </c>
      <c r="I454" s="4" t="str">
        <f ca="1">IF(OR(INDEX($W$2:$W$1001,MATCH(ROWS($V$2:V454),$V$2:$V$1001,0),1)&gt;=100000,INDEX($AC$1005:$AS$1005,1,MATCH(COLUMNS($AC$1006:AJ1006),$AC$1006:$AS$1006,0))&gt;=100000), " ",IF(INDEX($AC$2:$AS$1001,MATCH(ROWS($V$2:V454),$V$2:$V$1001,0),MATCH(COLUMNS($AC$1006:AJ1006),$AC$1006:$AS$1006,0)), HYPERLINK("#",""), HYPERLINK(CONCATENATE("#metadata!", ADDRESS(INDEX($X$2:$X$1001,MATCH(ROWS($V$2:V454),$V$2:$V$1001,0),0), INDEX($AC$1004:$AS$1004,1,MATCH(COLUMNS($AC$1006:AJ1006),$AC$1006:$AS$1006,0)))),"Fix")))</f>
        <v xml:space="preserve"> </v>
      </c>
      <c r="J454" s="4" t="str">
        <f ca="1">IF(OR(INDEX($W$2:$W$1001,MATCH(ROWS($V$2:V454),$V$2:$V$1001,0),1)&gt;=100000,INDEX($AC$1005:$AS$1005,1,MATCH(COLUMNS($AC$1006:AK1006),$AC$1006:$AS$1006,0))&gt;=100000), " ",IF(INDEX($AC$2:$AS$1001,MATCH(ROWS($V$2:V454),$V$2:$V$1001,0),MATCH(COLUMNS($AC$1006:AK1006),$AC$1006:$AS$1006,0)), HYPERLINK("#",""), HYPERLINK(CONCATENATE("#metadata!", ADDRESS(INDEX($X$2:$X$1001,MATCH(ROWS($V$2:V454),$V$2:$V$1001,0),0), INDEX($AC$1004:$AS$1004,1,MATCH(COLUMNS($AC$1006:AK1006),$AC$1006:$AS$1006,0)))),"Fix")))</f>
        <v xml:space="preserve"> </v>
      </c>
      <c r="K454" s="4" t="str">
        <f ca="1">IF(OR(INDEX($W$2:$W$1001,MATCH(ROWS($V$2:V454),$V$2:$V$1001,0),1)&gt;=100000,INDEX($AC$1005:$AS$1005,1,MATCH(COLUMNS($AC$1006:AL1006),$AC$1006:$AS$1006,0))&gt;=100000), " ",IF(INDEX($AC$2:$AS$1001,MATCH(ROWS($V$2:V454),$V$2:$V$1001,0),MATCH(COLUMNS($AC$1006:AL1006),$AC$1006:$AS$1006,0)), HYPERLINK("#",""), HYPERLINK(CONCATENATE("#metadata!", ADDRESS(INDEX($X$2:$X$1001,MATCH(ROWS($V$2:V454),$V$2:$V$1001,0),0), INDEX($AC$1004:$AS$1004,1,MATCH(COLUMNS($AC$1006:AL1006),$AC$1006:$AS$1006,0)))),"Fix")))</f>
        <v xml:space="preserve"> </v>
      </c>
      <c r="L454" s="4" t="str">
        <f ca="1">IF(OR(INDEX($W$2:$W$1001,MATCH(ROWS($V$2:V454),$V$2:$V$1001,0),1)&gt;=100000,INDEX($AC$1005:$AS$1005,1,MATCH(COLUMNS($AC$1006:AM1006),$AC$1006:$AS$1006,0))&gt;=100000), " ",IF(INDEX($AC$2:$AS$1001,MATCH(ROWS($V$2:V454),$V$2:$V$1001,0),MATCH(COLUMNS($AC$1006:AM1006),$AC$1006:$AS$1006,0)), HYPERLINK("#",""), HYPERLINK(CONCATENATE("#metadata!", ADDRESS(INDEX($X$2:$X$1001,MATCH(ROWS($V$2:V454),$V$2:$V$1001,0),0), INDEX($AC$1004:$AS$1004,1,MATCH(COLUMNS($AC$1006:AM1006),$AC$1006:$AS$1006,0)))),"Fix")))</f>
        <v xml:space="preserve"> </v>
      </c>
      <c r="M454" s="4" t="str">
        <f ca="1">IF(OR(INDEX($W$2:$W$1001,MATCH(ROWS($V$2:V454),$V$2:$V$1001,0),1)&gt;=100000,INDEX($AC$1005:$AS$1005,1,MATCH(COLUMNS($AC$1006:AN1006),$AC$1006:$AS$1006,0))&gt;=100000), " ",IF(INDEX($AC$2:$AS$1001,MATCH(ROWS($V$2:V454),$V$2:$V$1001,0),MATCH(COLUMNS($AC$1006:AN1006),$AC$1006:$AS$1006,0)), HYPERLINK("#",""), HYPERLINK(CONCATENATE("#metadata!", ADDRESS(INDEX($X$2:$X$1001,MATCH(ROWS($V$2:V454),$V$2:$V$1001,0),0), INDEX($AC$1004:$AS$1004,1,MATCH(COLUMNS($AC$1006:AN1006),$AC$1006:$AS$1006,0)))),"Fix")))</f>
        <v xml:space="preserve"> </v>
      </c>
      <c r="N454" s="4" t="str">
        <f ca="1">IF(OR(INDEX($W$2:$W$1001,MATCH(ROWS($V$2:V454),$V$2:$V$1001,0),1)&gt;=100000,INDEX($AC$1005:$AS$1005,1,MATCH(COLUMNS($AC$1006:AO1006),$AC$1006:$AS$1006,0))&gt;=100000), " ",IF(INDEX($AC$2:$AS$1001,MATCH(ROWS($V$2:V454),$V$2:$V$1001,0),MATCH(COLUMNS($AC$1006:AO1006),$AC$1006:$AS$1006,0)), HYPERLINK("#",""), HYPERLINK(CONCATENATE("#metadata!", ADDRESS(INDEX($X$2:$X$1001,MATCH(ROWS($V$2:V454),$V$2:$V$1001,0),0), INDEX($AC$1004:$AS$1004,1,MATCH(COLUMNS($AC$1006:AO1006),$AC$1006:$AS$1006,0)))),"Fix")))</f>
        <v xml:space="preserve"> </v>
      </c>
      <c r="O454" s="4" t="str">
        <f ca="1">IF(OR(INDEX($W$2:$W$1001,MATCH(ROWS($V$2:V454),$V$2:$V$1001,0),1)&gt;=100000,INDEX($AC$1005:$AS$1005,1,MATCH(COLUMNS($AC$1006:AP1006),$AC$1006:$AS$1006,0))&gt;=100000), " ",IF(INDEX($AC$2:$AS$1001,MATCH(ROWS($V$2:V454),$V$2:$V$1001,0),MATCH(COLUMNS($AC$1006:AP1006),$AC$1006:$AS$1006,0)), HYPERLINK("#",""), HYPERLINK(CONCATENATE("#metadata!", ADDRESS(INDEX($X$2:$X$1001,MATCH(ROWS($V$2:V454),$V$2:$V$1001,0),0), INDEX($AC$1004:$AS$1004,1,MATCH(COLUMNS($AC$1006:AP1006),$AC$1006:$AS$1006,0)))),"Fix")))</f>
        <v xml:space="preserve"> </v>
      </c>
      <c r="P454" s="4" t="str">
        <f ca="1">IF(OR(INDEX($W$2:$W$1001,MATCH(ROWS($V$2:V454),$V$2:$V$1001,0),1)&gt;=100000,INDEX($AC$1005:$AS$1005,1,MATCH(COLUMNS($AC$1006:AQ1006),$AC$1006:$AS$1006,0))&gt;=100000), " ",IF(INDEX($AC$2:$AS$1001,MATCH(ROWS($V$2:V454),$V$2:$V$1001,0),MATCH(COLUMNS($AC$1006:AQ1006),$AC$1006:$AS$1006,0)), HYPERLINK("#",""), HYPERLINK(CONCATENATE("#metadata!", ADDRESS(INDEX($X$2:$X$1001,MATCH(ROWS($V$2:V454),$V$2:$V$1001,0),0), INDEX($AC$1004:$AS$1004,1,MATCH(COLUMNS($AC$1006:AQ1006),$AC$1006:$AS$1006,0)))),"Fix")))</f>
        <v xml:space="preserve"> </v>
      </c>
      <c r="Q454" s="4" t="str">
        <f ca="1">IF(OR(INDEX($W$2:$W$1001,MATCH(ROWS($V$2:V454),$V$2:$V$1001,0),1)&gt;=100000,INDEX($AC$1005:$AS$1005,1,MATCH(COLUMNS($AC$1006:AR1006),$AC$1006:$AS$1006,0))&gt;=100000), " ",IF(INDEX($AC$2:$AS$1001,MATCH(ROWS($V$2:V454),$V$2:$V$1001,0),MATCH(COLUMNS($AC$1006:AR1006),$AC$1006:$AS$1006,0)), HYPERLINK("#",""), HYPERLINK(CONCATENATE("#metadata!", ADDRESS(INDEX($X$2:$X$1001,MATCH(ROWS($V$2:V454),$V$2:$V$1001,0),0), INDEX($AC$1004:$AS$1004,1,MATCH(COLUMNS($AC$1006:AR1006),$AC$1006:$AS$1006,0)))),"Fix")))</f>
        <v xml:space="preserve"> </v>
      </c>
      <c r="R454" s="4" t="str">
        <f ca="1">IF(OR(INDEX($W$2:$W$1001,MATCH(ROWS($V$2:V454),$V$2:$V$1001,0),1)&gt;=100000,INDEX($AC$1005:$AS$1005,1,MATCH(COLUMNS($AC$1006:AS1006),$AC$1006:$AS$1006,0))&gt;=100000), " ",IF(INDEX($AC$2:$AS$1001,MATCH(ROWS($V$2:V454),$V$2:$V$1001,0),MATCH(COLUMNS($AC$1006:AS1006),$AC$1006:$AS$1006,0)), HYPERLINK("#",""), HYPERLINK(CONCATENATE("#metadata!", ADDRESS(INDEX($X$2:$X$1001,MATCH(ROWS($V$2:V454),$V$2:$V$1001,0),0), INDEX($AC$1004:$AS$1004,1,MATCH(COLUMNS($AC$1006:AS1006),$AC$1006:$AS$1006,0)))),"Fix")))</f>
        <v xml:space="preserve"> </v>
      </c>
      <c r="V454">
        <v>453</v>
      </c>
      <c r="W454">
        <v>100454</v>
      </c>
      <c r="X454">
        <v>454</v>
      </c>
      <c r="Y454" t="b">
        <f t="shared" si="7"/>
        <v>1</v>
      </c>
      <c r="Z454" t="b">
        <f>COUNTBLANK(metadata!B454:R454)=COLUMNS(metadata!B454:R454)</f>
        <v>1</v>
      </c>
      <c r="AA454" t="str">
        <v/>
      </c>
      <c r="AC454" t="b">
        <f ca="1"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AD454" t="b">
        <f>IF(metadata!C454="",FALSE,ISNUMBER(VALUE(metadata!C454)))</f>
        <v>0</v>
      </c>
      <c r="AE454" t="b">
        <f>AND(IF(metadata!D454="",FALSE,TRUE),EXACT(metadata!D454,"years"))</f>
        <v>0</v>
      </c>
      <c r="AF454" t="b">
        <f>OR(AND(IF(metadata!E454="",FALSE,TRUE),OR(EXACT(metadata!E454,"not applicable"),EXACT(metadata!E454,"missing: not collected"),EXACT(metadata!E454,"missing: not provided"),EXACT(metadata!E454,"missing: restricted access"))),AND(IF(metadata!E454="",FALSE,ISNUMBER(VALUE(metadata!E454))),metadata!E454&gt;0))</f>
        <v>0</v>
      </c>
      <c r="AG454" t="b">
        <f>AND(IF(metadata!F454="",FALSE,TRUE),EXACT(metadata!F454,"Not applicable"))</f>
        <v>0</v>
      </c>
      <c r="AH454" t="b">
        <f>AND(IF(metadata!G454="",FALSE,TRUE),EXACT(metadata!G454,"urban biome"))</f>
        <v>0</v>
      </c>
      <c r="AI454" t="b">
        <f>AND(IF(metadata!H454="",FALSE,TRUE),EXACT(metadata!H454,"human-associated habitat"))</f>
        <v>0</v>
      </c>
      <c r="AJ454" t="b">
        <f>AND(IF(metadata!I454="",FALSE,TRUE),OR(EXACT(metadata!I454,"human-associated"),EXACT(metadata!I454,"human-skin"),EXACT(metadata!I454,"human-oral"),EXACT(metadata!I454,"human-gut"),EXACT(metadata!I454,"human-vaginal")))</f>
        <v>0</v>
      </c>
      <c r="AK454" t="b">
        <f>IF(metadata!J454="",FALSE,ISNUMBER(VALUE(metadata!J454)))</f>
        <v>0</v>
      </c>
      <c r="AL454" t="b">
        <f>AND(IF(metadata!K454="",FALSE,TRUE),EXACT(metadata!K454,"cm"))</f>
        <v>0</v>
      </c>
      <c r="AM454" t="b">
        <f>AND(IF(metadata!L454="",FALSE,TRUE),EXACT(metadata!L454,"human"))</f>
        <v>0</v>
      </c>
      <c r="AN454" t="b">
        <f>AND(IF(metadata!M454="",FALSE,TRUE),EXACT(metadata!M454,"Homo sapiens"))</f>
        <v>0</v>
      </c>
      <c r="AO454" t="b">
        <f>AND(IF(metadata!N454="",FALSE,TRUE),EXACT(metadata!N454,"9606"))</f>
        <v>0</v>
      </c>
      <c r="AP454" t="b">
        <f>IF(metadata!O454="",FALSE,TRUE)</f>
        <v>0</v>
      </c>
      <c r="AQ454" t="b">
        <f>IF(metadata!P454="",FALSE,TRUE)</f>
        <v>0</v>
      </c>
      <c r="AR454" t="b">
        <f>IF(metadata!Q454="",FALSE,ISNUMBER(VALUE(metadata!Q454)))</f>
        <v>0</v>
      </c>
      <c r="AS454" t="b">
        <f>AND(IF(metadata!R454="",FALSE,TRUE),EXACT(metadata!R454,"kg"))</f>
        <v>0</v>
      </c>
    </row>
    <row r="455" spans="1:45" x14ac:dyDescent="0.2">
      <c r="A455" s="5" t="str">
        <f ca="1">IF(B455=" "," ",HYPERLINK(CONCATENATE("#metadata!",ADDRESS(INDEX($X$2:$X$1001,MATCH(ROWS($V$2:V455),$V$2:$V$1001,0),0),1)),INDEX($AA$2:$AA$1001,MATCH(ROWS($V$2:V455),$V$2:$V$1001,0),0)))</f>
        <v xml:space="preserve"> </v>
      </c>
      <c r="B455" s="4" t="str">
        <f ca="1">IF(OR(INDEX($W$2:$W$1001,MATCH(ROWS($V$2:V455),$V$2:$V$1001,0),1)&gt;=100000,INDEX($AC$1005:$AS$1005,1,MATCH(COLUMNS($AC$1006:AC1006),$AC$1006:$AS$1006,0))&gt;=100000), " ",IF(INDEX($AC$2:$AS$1001,MATCH(ROWS($V$2:V455),$V$2:$V$1001,0),MATCH(COLUMNS($AC$1006:AC1006),$AC$1006:$AS$1006,0)), HYPERLINK("#",""), HYPERLINK(CONCATENATE("#metadata!", ADDRESS(INDEX($X$2:$X$1001,MATCH(ROWS($V$2:V455),$V$2:$V$1001,0),0), INDEX($AC$1004:$AS$1004,1,MATCH(COLUMNS($AC$1006:AC1006),$AC$1006:$AS$1006,0)))),"Fix")))</f>
        <v xml:space="preserve"> </v>
      </c>
      <c r="C455" s="4" t="str">
        <f ca="1">IF(OR(INDEX($W$2:$W$1001,MATCH(ROWS($V$2:V455),$V$2:$V$1001,0),1)&gt;=100000,INDEX($AC$1005:$AS$1005,1,MATCH(COLUMNS($AC$1006:AD1006),$AC$1006:$AS$1006,0))&gt;=100000), " ",IF(INDEX($AC$2:$AS$1001,MATCH(ROWS($V$2:V455),$V$2:$V$1001,0),MATCH(COLUMNS($AC$1006:AD1006),$AC$1006:$AS$1006,0)), HYPERLINK("#",""), HYPERLINK(CONCATENATE("#metadata!", ADDRESS(INDEX($X$2:$X$1001,MATCH(ROWS($V$2:V455),$V$2:$V$1001,0),0), INDEX($AC$1004:$AS$1004,1,MATCH(COLUMNS($AC$1006:AD1006),$AC$1006:$AS$1006,0)))),"Fix")))</f>
        <v xml:space="preserve"> </v>
      </c>
      <c r="D455" s="4" t="str">
        <f ca="1">IF(OR(INDEX($W$2:$W$1001,MATCH(ROWS($V$2:V455),$V$2:$V$1001,0),1)&gt;=100000,INDEX($AC$1005:$AS$1005,1,MATCH(COLUMNS($AC$1006:AE1006),$AC$1006:$AS$1006,0))&gt;=100000), " ",IF(INDEX($AC$2:$AS$1001,MATCH(ROWS($V$2:V455),$V$2:$V$1001,0),MATCH(COLUMNS($AC$1006:AE1006),$AC$1006:$AS$1006,0)), HYPERLINK("#",""), HYPERLINK(CONCATENATE("#metadata!", ADDRESS(INDEX($X$2:$X$1001,MATCH(ROWS($V$2:V455),$V$2:$V$1001,0),0), INDEX($AC$1004:$AS$1004,1,MATCH(COLUMNS($AC$1006:AE1006),$AC$1006:$AS$1006,0)))),"Fix")))</f>
        <v xml:space="preserve"> </v>
      </c>
      <c r="E455" s="4" t="str">
        <f ca="1">IF(OR(INDEX($W$2:$W$1001,MATCH(ROWS($V$2:V455),$V$2:$V$1001,0),1)&gt;=100000,INDEX($AC$1005:$AS$1005,1,MATCH(COLUMNS($AC$1006:AF1006),$AC$1006:$AS$1006,0))&gt;=100000), " ",IF(INDEX($AC$2:$AS$1001,MATCH(ROWS($V$2:V455),$V$2:$V$1001,0),MATCH(COLUMNS($AC$1006:AF1006),$AC$1006:$AS$1006,0)), HYPERLINK("#",""), HYPERLINK(CONCATENATE("#metadata!", ADDRESS(INDEX($X$2:$X$1001,MATCH(ROWS($V$2:V455),$V$2:$V$1001,0),0), INDEX($AC$1004:$AS$1004,1,MATCH(COLUMNS($AC$1006:AF1006),$AC$1006:$AS$1006,0)))),"Fix")))</f>
        <v xml:space="preserve"> </v>
      </c>
      <c r="F455" s="4" t="str">
        <f ca="1">IF(OR(INDEX($W$2:$W$1001,MATCH(ROWS($V$2:V455),$V$2:$V$1001,0),1)&gt;=100000,INDEX($AC$1005:$AS$1005,1,MATCH(COLUMNS($AC$1006:AG1006),$AC$1006:$AS$1006,0))&gt;=100000), " ",IF(INDEX($AC$2:$AS$1001,MATCH(ROWS($V$2:V455),$V$2:$V$1001,0),MATCH(COLUMNS($AC$1006:AG1006),$AC$1006:$AS$1006,0)), HYPERLINK("#",""), HYPERLINK(CONCATENATE("#metadata!", ADDRESS(INDEX($X$2:$X$1001,MATCH(ROWS($V$2:V455),$V$2:$V$1001,0),0), INDEX($AC$1004:$AS$1004,1,MATCH(COLUMNS($AC$1006:AG1006),$AC$1006:$AS$1006,0)))),"Fix")))</f>
        <v xml:space="preserve"> </v>
      </c>
      <c r="G455" s="4" t="str">
        <f ca="1">IF(OR(INDEX($W$2:$W$1001,MATCH(ROWS($V$2:V455),$V$2:$V$1001,0),1)&gt;=100000,INDEX($AC$1005:$AS$1005,1,MATCH(COLUMNS($AC$1006:AH1006),$AC$1006:$AS$1006,0))&gt;=100000), " ",IF(INDEX($AC$2:$AS$1001,MATCH(ROWS($V$2:V455),$V$2:$V$1001,0),MATCH(COLUMNS($AC$1006:AH1006),$AC$1006:$AS$1006,0)), HYPERLINK("#",""), HYPERLINK(CONCATENATE("#metadata!", ADDRESS(INDEX($X$2:$X$1001,MATCH(ROWS($V$2:V455),$V$2:$V$1001,0),0), INDEX($AC$1004:$AS$1004,1,MATCH(COLUMNS($AC$1006:AH1006),$AC$1006:$AS$1006,0)))),"Fix")))</f>
        <v xml:space="preserve"> </v>
      </c>
      <c r="H455" s="4" t="str">
        <f ca="1">IF(OR(INDEX($W$2:$W$1001,MATCH(ROWS($V$2:V455),$V$2:$V$1001,0),1)&gt;=100000,INDEX($AC$1005:$AS$1005,1,MATCH(COLUMNS($AC$1006:AI1006),$AC$1006:$AS$1006,0))&gt;=100000), " ",IF(INDEX($AC$2:$AS$1001,MATCH(ROWS($V$2:V455),$V$2:$V$1001,0),MATCH(COLUMNS($AC$1006:AI1006),$AC$1006:$AS$1006,0)), HYPERLINK("#",""), HYPERLINK(CONCATENATE("#metadata!", ADDRESS(INDEX($X$2:$X$1001,MATCH(ROWS($V$2:V455),$V$2:$V$1001,0),0), INDEX($AC$1004:$AS$1004,1,MATCH(COLUMNS($AC$1006:AI1006),$AC$1006:$AS$1006,0)))),"Fix")))</f>
        <v xml:space="preserve"> </v>
      </c>
      <c r="I455" s="4" t="str">
        <f ca="1">IF(OR(INDEX($W$2:$W$1001,MATCH(ROWS($V$2:V455),$V$2:$V$1001,0),1)&gt;=100000,INDEX($AC$1005:$AS$1005,1,MATCH(COLUMNS($AC$1006:AJ1006),$AC$1006:$AS$1006,0))&gt;=100000), " ",IF(INDEX($AC$2:$AS$1001,MATCH(ROWS($V$2:V455),$V$2:$V$1001,0),MATCH(COLUMNS($AC$1006:AJ1006),$AC$1006:$AS$1006,0)), HYPERLINK("#",""), HYPERLINK(CONCATENATE("#metadata!", ADDRESS(INDEX($X$2:$X$1001,MATCH(ROWS($V$2:V455),$V$2:$V$1001,0),0), INDEX($AC$1004:$AS$1004,1,MATCH(COLUMNS($AC$1006:AJ1006),$AC$1006:$AS$1006,0)))),"Fix")))</f>
        <v xml:space="preserve"> </v>
      </c>
      <c r="J455" s="4" t="str">
        <f ca="1">IF(OR(INDEX($W$2:$W$1001,MATCH(ROWS($V$2:V455),$V$2:$V$1001,0),1)&gt;=100000,INDEX($AC$1005:$AS$1005,1,MATCH(COLUMNS($AC$1006:AK1006),$AC$1006:$AS$1006,0))&gt;=100000), " ",IF(INDEX($AC$2:$AS$1001,MATCH(ROWS($V$2:V455),$V$2:$V$1001,0),MATCH(COLUMNS($AC$1006:AK1006),$AC$1006:$AS$1006,0)), HYPERLINK("#",""), HYPERLINK(CONCATENATE("#metadata!", ADDRESS(INDEX($X$2:$X$1001,MATCH(ROWS($V$2:V455),$V$2:$V$1001,0),0), INDEX($AC$1004:$AS$1004,1,MATCH(COLUMNS($AC$1006:AK1006),$AC$1006:$AS$1006,0)))),"Fix")))</f>
        <v xml:space="preserve"> </v>
      </c>
      <c r="K455" s="4" t="str">
        <f ca="1">IF(OR(INDEX($W$2:$W$1001,MATCH(ROWS($V$2:V455),$V$2:$V$1001,0),1)&gt;=100000,INDEX($AC$1005:$AS$1005,1,MATCH(COLUMNS($AC$1006:AL1006),$AC$1006:$AS$1006,0))&gt;=100000), " ",IF(INDEX($AC$2:$AS$1001,MATCH(ROWS($V$2:V455),$V$2:$V$1001,0),MATCH(COLUMNS($AC$1006:AL1006),$AC$1006:$AS$1006,0)), HYPERLINK("#",""), HYPERLINK(CONCATENATE("#metadata!", ADDRESS(INDEX($X$2:$X$1001,MATCH(ROWS($V$2:V455),$V$2:$V$1001,0),0), INDEX($AC$1004:$AS$1004,1,MATCH(COLUMNS($AC$1006:AL1006),$AC$1006:$AS$1006,0)))),"Fix")))</f>
        <v xml:space="preserve"> </v>
      </c>
      <c r="L455" s="4" t="str">
        <f ca="1">IF(OR(INDEX($W$2:$W$1001,MATCH(ROWS($V$2:V455),$V$2:$V$1001,0),1)&gt;=100000,INDEX($AC$1005:$AS$1005,1,MATCH(COLUMNS($AC$1006:AM1006),$AC$1006:$AS$1006,0))&gt;=100000), " ",IF(INDEX($AC$2:$AS$1001,MATCH(ROWS($V$2:V455),$V$2:$V$1001,0),MATCH(COLUMNS($AC$1006:AM1006),$AC$1006:$AS$1006,0)), HYPERLINK("#",""), HYPERLINK(CONCATENATE("#metadata!", ADDRESS(INDEX($X$2:$X$1001,MATCH(ROWS($V$2:V455),$V$2:$V$1001,0),0), INDEX($AC$1004:$AS$1004,1,MATCH(COLUMNS($AC$1006:AM1006),$AC$1006:$AS$1006,0)))),"Fix")))</f>
        <v xml:space="preserve"> </v>
      </c>
      <c r="M455" s="4" t="str">
        <f ca="1">IF(OR(INDEX($W$2:$W$1001,MATCH(ROWS($V$2:V455),$V$2:$V$1001,0),1)&gt;=100000,INDEX($AC$1005:$AS$1005,1,MATCH(COLUMNS($AC$1006:AN1006),$AC$1006:$AS$1006,0))&gt;=100000), " ",IF(INDEX($AC$2:$AS$1001,MATCH(ROWS($V$2:V455),$V$2:$V$1001,0),MATCH(COLUMNS($AC$1006:AN1006),$AC$1006:$AS$1006,0)), HYPERLINK("#",""), HYPERLINK(CONCATENATE("#metadata!", ADDRESS(INDEX($X$2:$X$1001,MATCH(ROWS($V$2:V455),$V$2:$V$1001,0),0), INDEX($AC$1004:$AS$1004,1,MATCH(COLUMNS($AC$1006:AN1006),$AC$1006:$AS$1006,0)))),"Fix")))</f>
        <v xml:space="preserve"> </v>
      </c>
      <c r="N455" s="4" t="str">
        <f ca="1">IF(OR(INDEX($W$2:$W$1001,MATCH(ROWS($V$2:V455),$V$2:$V$1001,0),1)&gt;=100000,INDEX($AC$1005:$AS$1005,1,MATCH(COLUMNS($AC$1006:AO1006),$AC$1006:$AS$1006,0))&gt;=100000), " ",IF(INDEX($AC$2:$AS$1001,MATCH(ROWS($V$2:V455),$V$2:$V$1001,0),MATCH(COLUMNS($AC$1006:AO1006),$AC$1006:$AS$1006,0)), HYPERLINK("#",""), HYPERLINK(CONCATENATE("#metadata!", ADDRESS(INDEX($X$2:$X$1001,MATCH(ROWS($V$2:V455),$V$2:$V$1001,0),0), INDEX($AC$1004:$AS$1004,1,MATCH(COLUMNS($AC$1006:AO1006),$AC$1006:$AS$1006,0)))),"Fix")))</f>
        <v xml:space="preserve"> </v>
      </c>
      <c r="O455" s="4" t="str">
        <f ca="1">IF(OR(INDEX($W$2:$W$1001,MATCH(ROWS($V$2:V455),$V$2:$V$1001,0),1)&gt;=100000,INDEX($AC$1005:$AS$1005,1,MATCH(COLUMNS($AC$1006:AP1006),$AC$1006:$AS$1006,0))&gt;=100000), " ",IF(INDEX($AC$2:$AS$1001,MATCH(ROWS($V$2:V455),$V$2:$V$1001,0),MATCH(COLUMNS($AC$1006:AP1006),$AC$1006:$AS$1006,0)), HYPERLINK("#",""), HYPERLINK(CONCATENATE("#metadata!", ADDRESS(INDEX($X$2:$X$1001,MATCH(ROWS($V$2:V455),$V$2:$V$1001,0),0), INDEX($AC$1004:$AS$1004,1,MATCH(COLUMNS($AC$1006:AP1006),$AC$1006:$AS$1006,0)))),"Fix")))</f>
        <v xml:space="preserve"> </v>
      </c>
      <c r="P455" s="4" t="str">
        <f ca="1">IF(OR(INDEX($W$2:$W$1001,MATCH(ROWS($V$2:V455),$V$2:$V$1001,0),1)&gt;=100000,INDEX($AC$1005:$AS$1005,1,MATCH(COLUMNS($AC$1006:AQ1006),$AC$1006:$AS$1006,0))&gt;=100000), " ",IF(INDEX($AC$2:$AS$1001,MATCH(ROWS($V$2:V455),$V$2:$V$1001,0),MATCH(COLUMNS($AC$1006:AQ1006),$AC$1006:$AS$1006,0)), HYPERLINK("#",""), HYPERLINK(CONCATENATE("#metadata!", ADDRESS(INDEX($X$2:$X$1001,MATCH(ROWS($V$2:V455),$V$2:$V$1001,0),0), INDEX($AC$1004:$AS$1004,1,MATCH(COLUMNS($AC$1006:AQ1006),$AC$1006:$AS$1006,0)))),"Fix")))</f>
        <v xml:space="preserve"> </v>
      </c>
      <c r="Q455" s="4" t="str">
        <f ca="1">IF(OR(INDEX($W$2:$W$1001,MATCH(ROWS($V$2:V455),$V$2:$V$1001,0),1)&gt;=100000,INDEX($AC$1005:$AS$1005,1,MATCH(COLUMNS($AC$1006:AR1006),$AC$1006:$AS$1006,0))&gt;=100000), " ",IF(INDEX($AC$2:$AS$1001,MATCH(ROWS($V$2:V455),$V$2:$V$1001,0),MATCH(COLUMNS($AC$1006:AR1006),$AC$1006:$AS$1006,0)), HYPERLINK("#",""), HYPERLINK(CONCATENATE("#metadata!", ADDRESS(INDEX($X$2:$X$1001,MATCH(ROWS($V$2:V455),$V$2:$V$1001,0),0), INDEX($AC$1004:$AS$1004,1,MATCH(COLUMNS($AC$1006:AR1006),$AC$1006:$AS$1006,0)))),"Fix")))</f>
        <v xml:space="preserve"> </v>
      </c>
      <c r="R455" s="4" t="str">
        <f ca="1">IF(OR(INDEX($W$2:$W$1001,MATCH(ROWS($V$2:V455),$V$2:$V$1001,0),1)&gt;=100000,INDEX($AC$1005:$AS$1005,1,MATCH(COLUMNS($AC$1006:AS1006),$AC$1006:$AS$1006,0))&gt;=100000), " ",IF(INDEX($AC$2:$AS$1001,MATCH(ROWS($V$2:V455),$V$2:$V$1001,0),MATCH(COLUMNS($AC$1006:AS1006),$AC$1006:$AS$1006,0)), HYPERLINK("#",""), HYPERLINK(CONCATENATE("#metadata!", ADDRESS(INDEX($X$2:$X$1001,MATCH(ROWS($V$2:V455),$V$2:$V$1001,0),0), INDEX($AC$1004:$AS$1004,1,MATCH(COLUMNS($AC$1006:AS1006),$AC$1006:$AS$1006,0)))),"Fix")))</f>
        <v xml:space="preserve"> </v>
      </c>
      <c r="V455">
        <v>454</v>
      </c>
      <c r="W455">
        <v>100455</v>
      </c>
      <c r="X455">
        <v>455</v>
      </c>
      <c r="Y455" t="b">
        <f t="shared" si="7"/>
        <v>1</v>
      </c>
      <c r="Z455" t="b">
        <f>COUNTBLANK(metadata!B455:R455)=COLUMNS(metadata!B455:R455)</f>
        <v>1</v>
      </c>
      <c r="AA455" t="str">
        <v/>
      </c>
      <c r="AC455" t="b">
        <f ca="1"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AD455" t="b">
        <f>IF(metadata!C455="",FALSE,ISNUMBER(VALUE(metadata!C455)))</f>
        <v>0</v>
      </c>
      <c r="AE455" t="b">
        <f>AND(IF(metadata!D455="",FALSE,TRUE),EXACT(metadata!D455,"years"))</f>
        <v>0</v>
      </c>
      <c r="AF455" t="b">
        <f>OR(AND(IF(metadata!E455="",FALSE,TRUE),OR(EXACT(metadata!E455,"not applicable"),EXACT(metadata!E455,"missing: not collected"),EXACT(metadata!E455,"missing: not provided"),EXACT(metadata!E455,"missing: restricted access"))),AND(IF(metadata!E455="",FALSE,ISNUMBER(VALUE(metadata!E455))),metadata!E455&gt;0))</f>
        <v>0</v>
      </c>
      <c r="AG455" t="b">
        <f>AND(IF(metadata!F455="",FALSE,TRUE),EXACT(metadata!F455,"Not applicable"))</f>
        <v>0</v>
      </c>
      <c r="AH455" t="b">
        <f>AND(IF(metadata!G455="",FALSE,TRUE),EXACT(metadata!G455,"urban biome"))</f>
        <v>0</v>
      </c>
      <c r="AI455" t="b">
        <f>AND(IF(metadata!H455="",FALSE,TRUE),EXACT(metadata!H455,"human-associated habitat"))</f>
        <v>0</v>
      </c>
      <c r="AJ455" t="b">
        <f>AND(IF(metadata!I455="",FALSE,TRUE),OR(EXACT(metadata!I455,"human-associated"),EXACT(metadata!I455,"human-skin"),EXACT(metadata!I455,"human-oral"),EXACT(metadata!I455,"human-gut"),EXACT(metadata!I455,"human-vaginal")))</f>
        <v>0</v>
      </c>
      <c r="AK455" t="b">
        <f>IF(metadata!J455="",FALSE,ISNUMBER(VALUE(metadata!J455)))</f>
        <v>0</v>
      </c>
      <c r="AL455" t="b">
        <f>AND(IF(metadata!K455="",FALSE,TRUE),EXACT(metadata!K455,"cm"))</f>
        <v>0</v>
      </c>
      <c r="AM455" t="b">
        <f>AND(IF(metadata!L455="",FALSE,TRUE),EXACT(metadata!L455,"human"))</f>
        <v>0</v>
      </c>
      <c r="AN455" t="b">
        <f>AND(IF(metadata!M455="",FALSE,TRUE),EXACT(metadata!M455,"Homo sapiens"))</f>
        <v>0</v>
      </c>
      <c r="AO455" t="b">
        <f>AND(IF(metadata!N455="",FALSE,TRUE),EXACT(metadata!N455,"9606"))</f>
        <v>0</v>
      </c>
      <c r="AP455" t="b">
        <f>IF(metadata!O455="",FALSE,TRUE)</f>
        <v>0</v>
      </c>
      <c r="AQ455" t="b">
        <f>IF(metadata!P455="",FALSE,TRUE)</f>
        <v>0</v>
      </c>
      <c r="AR455" t="b">
        <f>IF(metadata!Q455="",FALSE,ISNUMBER(VALUE(metadata!Q455)))</f>
        <v>0</v>
      </c>
      <c r="AS455" t="b">
        <f>AND(IF(metadata!R455="",FALSE,TRUE),EXACT(metadata!R455,"kg"))</f>
        <v>0</v>
      </c>
    </row>
    <row r="456" spans="1:45" x14ac:dyDescent="0.2">
      <c r="A456" s="5" t="str">
        <f ca="1">IF(B456=" "," ",HYPERLINK(CONCATENATE("#metadata!",ADDRESS(INDEX($X$2:$X$1001,MATCH(ROWS($V$2:V456),$V$2:$V$1001,0),0),1)),INDEX($AA$2:$AA$1001,MATCH(ROWS($V$2:V456),$V$2:$V$1001,0),0)))</f>
        <v xml:space="preserve"> </v>
      </c>
      <c r="B456" s="4" t="str">
        <f ca="1">IF(OR(INDEX($W$2:$W$1001,MATCH(ROWS($V$2:V456),$V$2:$V$1001,0),1)&gt;=100000,INDEX($AC$1005:$AS$1005,1,MATCH(COLUMNS($AC$1006:AC1006),$AC$1006:$AS$1006,0))&gt;=100000), " ",IF(INDEX($AC$2:$AS$1001,MATCH(ROWS($V$2:V456),$V$2:$V$1001,0),MATCH(COLUMNS($AC$1006:AC1006),$AC$1006:$AS$1006,0)), HYPERLINK("#",""), HYPERLINK(CONCATENATE("#metadata!", ADDRESS(INDEX($X$2:$X$1001,MATCH(ROWS($V$2:V456),$V$2:$V$1001,0),0), INDEX($AC$1004:$AS$1004,1,MATCH(COLUMNS($AC$1006:AC1006),$AC$1006:$AS$1006,0)))),"Fix")))</f>
        <v xml:space="preserve"> </v>
      </c>
      <c r="C456" s="4" t="str">
        <f ca="1">IF(OR(INDEX($W$2:$W$1001,MATCH(ROWS($V$2:V456),$V$2:$V$1001,0),1)&gt;=100000,INDEX($AC$1005:$AS$1005,1,MATCH(COLUMNS($AC$1006:AD1006),$AC$1006:$AS$1006,0))&gt;=100000), " ",IF(INDEX($AC$2:$AS$1001,MATCH(ROWS($V$2:V456),$V$2:$V$1001,0),MATCH(COLUMNS($AC$1006:AD1006),$AC$1006:$AS$1006,0)), HYPERLINK("#",""), HYPERLINK(CONCATENATE("#metadata!", ADDRESS(INDEX($X$2:$X$1001,MATCH(ROWS($V$2:V456),$V$2:$V$1001,0),0), INDEX($AC$1004:$AS$1004,1,MATCH(COLUMNS($AC$1006:AD1006),$AC$1006:$AS$1006,0)))),"Fix")))</f>
        <v xml:space="preserve"> </v>
      </c>
      <c r="D456" s="4" t="str">
        <f ca="1">IF(OR(INDEX($W$2:$W$1001,MATCH(ROWS($V$2:V456),$V$2:$V$1001,0),1)&gt;=100000,INDEX($AC$1005:$AS$1005,1,MATCH(COLUMNS($AC$1006:AE1006),$AC$1006:$AS$1006,0))&gt;=100000), " ",IF(INDEX($AC$2:$AS$1001,MATCH(ROWS($V$2:V456),$V$2:$V$1001,0),MATCH(COLUMNS($AC$1006:AE1006),$AC$1006:$AS$1006,0)), HYPERLINK("#",""), HYPERLINK(CONCATENATE("#metadata!", ADDRESS(INDEX($X$2:$X$1001,MATCH(ROWS($V$2:V456),$V$2:$V$1001,0),0), INDEX($AC$1004:$AS$1004,1,MATCH(COLUMNS($AC$1006:AE1006),$AC$1006:$AS$1006,0)))),"Fix")))</f>
        <v xml:space="preserve"> </v>
      </c>
      <c r="E456" s="4" t="str">
        <f ca="1">IF(OR(INDEX($W$2:$W$1001,MATCH(ROWS($V$2:V456),$V$2:$V$1001,0),1)&gt;=100000,INDEX($AC$1005:$AS$1005,1,MATCH(COLUMNS($AC$1006:AF1006),$AC$1006:$AS$1006,0))&gt;=100000), " ",IF(INDEX($AC$2:$AS$1001,MATCH(ROWS($V$2:V456),$V$2:$V$1001,0),MATCH(COLUMNS($AC$1006:AF1006),$AC$1006:$AS$1006,0)), HYPERLINK("#",""), HYPERLINK(CONCATENATE("#metadata!", ADDRESS(INDEX($X$2:$X$1001,MATCH(ROWS($V$2:V456),$V$2:$V$1001,0),0), INDEX($AC$1004:$AS$1004,1,MATCH(COLUMNS($AC$1006:AF1006),$AC$1006:$AS$1006,0)))),"Fix")))</f>
        <v xml:space="preserve"> </v>
      </c>
      <c r="F456" s="4" t="str">
        <f ca="1">IF(OR(INDEX($W$2:$W$1001,MATCH(ROWS($V$2:V456),$V$2:$V$1001,0),1)&gt;=100000,INDEX($AC$1005:$AS$1005,1,MATCH(COLUMNS($AC$1006:AG1006),$AC$1006:$AS$1006,0))&gt;=100000), " ",IF(INDEX($AC$2:$AS$1001,MATCH(ROWS($V$2:V456),$V$2:$V$1001,0),MATCH(COLUMNS($AC$1006:AG1006),$AC$1006:$AS$1006,0)), HYPERLINK("#",""), HYPERLINK(CONCATENATE("#metadata!", ADDRESS(INDEX($X$2:$X$1001,MATCH(ROWS($V$2:V456),$V$2:$V$1001,0),0), INDEX($AC$1004:$AS$1004,1,MATCH(COLUMNS($AC$1006:AG1006),$AC$1006:$AS$1006,0)))),"Fix")))</f>
        <v xml:space="preserve"> </v>
      </c>
      <c r="G456" s="4" t="str">
        <f ca="1">IF(OR(INDEX($W$2:$W$1001,MATCH(ROWS($V$2:V456),$V$2:$V$1001,0),1)&gt;=100000,INDEX($AC$1005:$AS$1005,1,MATCH(COLUMNS($AC$1006:AH1006),$AC$1006:$AS$1006,0))&gt;=100000), " ",IF(INDEX($AC$2:$AS$1001,MATCH(ROWS($V$2:V456),$V$2:$V$1001,0),MATCH(COLUMNS($AC$1006:AH1006),$AC$1006:$AS$1006,0)), HYPERLINK("#",""), HYPERLINK(CONCATENATE("#metadata!", ADDRESS(INDEX($X$2:$X$1001,MATCH(ROWS($V$2:V456),$V$2:$V$1001,0),0), INDEX($AC$1004:$AS$1004,1,MATCH(COLUMNS($AC$1006:AH1006),$AC$1006:$AS$1006,0)))),"Fix")))</f>
        <v xml:space="preserve"> </v>
      </c>
      <c r="H456" s="4" t="str">
        <f ca="1">IF(OR(INDEX($W$2:$W$1001,MATCH(ROWS($V$2:V456),$V$2:$V$1001,0),1)&gt;=100000,INDEX($AC$1005:$AS$1005,1,MATCH(COLUMNS($AC$1006:AI1006),$AC$1006:$AS$1006,0))&gt;=100000), " ",IF(INDEX($AC$2:$AS$1001,MATCH(ROWS($V$2:V456),$V$2:$V$1001,0),MATCH(COLUMNS($AC$1006:AI1006),$AC$1006:$AS$1006,0)), HYPERLINK("#",""), HYPERLINK(CONCATENATE("#metadata!", ADDRESS(INDEX($X$2:$X$1001,MATCH(ROWS($V$2:V456),$V$2:$V$1001,0),0), INDEX($AC$1004:$AS$1004,1,MATCH(COLUMNS($AC$1006:AI1006),$AC$1006:$AS$1006,0)))),"Fix")))</f>
        <v xml:space="preserve"> </v>
      </c>
      <c r="I456" s="4" t="str">
        <f ca="1">IF(OR(INDEX($W$2:$W$1001,MATCH(ROWS($V$2:V456),$V$2:$V$1001,0),1)&gt;=100000,INDEX($AC$1005:$AS$1005,1,MATCH(COLUMNS($AC$1006:AJ1006),$AC$1006:$AS$1006,0))&gt;=100000), " ",IF(INDEX($AC$2:$AS$1001,MATCH(ROWS($V$2:V456),$V$2:$V$1001,0),MATCH(COLUMNS($AC$1006:AJ1006),$AC$1006:$AS$1006,0)), HYPERLINK("#",""), HYPERLINK(CONCATENATE("#metadata!", ADDRESS(INDEX($X$2:$X$1001,MATCH(ROWS($V$2:V456),$V$2:$V$1001,0),0), INDEX($AC$1004:$AS$1004,1,MATCH(COLUMNS($AC$1006:AJ1006),$AC$1006:$AS$1006,0)))),"Fix")))</f>
        <v xml:space="preserve"> </v>
      </c>
      <c r="J456" s="4" t="str">
        <f ca="1">IF(OR(INDEX($W$2:$W$1001,MATCH(ROWS($V$2:V456),$V$2:$V$1001,0),1)&gt;=100000,INDEX($AC$1005:$AS$1005,1,MATCH(COLUMNS($AC$1006:AK1006),$AC$1006:$AS$1006,0))&gt;=100000), " ",IF(INDEX($AC$2:$AS$1001,MATCH(ROWS($V$2:V456),$V$2:$V$1001,0),MATCH(COLUMNS($AC$1006:AK1006),$AC$1006:$AS$1006,0)), HYPERLINK("#",""), HYPERLINK(CONCATENATE("#metadata!", ADDRESS(INDEX($X$2:$X$1001,MATCH(ROWS($V$2:V456),$V$2:$V$1001,0),0), INDEX($AC$1004:$AS$1004,1,MATCH(COLUMNS($AC$1006:AK1006),$AC$1006:$AS$1006,0)))),"Fix")))</f>
        <v xml:space="preserve"> </v>
      </c>
      <c r="K456" s="4" t="str">
        <f ca="1">IF(OR(INDEX($W$2:$W$1001,MATCH(ROWS($V$2:V456),$V$2:$V$1001,0),1)&gt;=100000,INDEX($AC$1005:$AS$1005,1,MATCH(COLUMNS($AC$1006:AL1006),$AC$1006:$AS$1006,0))&gt;=100000), " ",IF(INDEX($AC$2:$AS$1001,MATCH(ROWS($V$2:V456),$V$2:$V$1001,0),MATCH(COLUMNS($AC$1006:AL1006),$AC$1006:$AS$1006,0)), HYPERLINK("#",""), HYPERLINK(CONCATENATE("#metadata!", ADDRESS(INDEX($X$2:$X$1001,MATCH(ROWS($V$2:V456),$V$2:$V$1001,0),0), INDEX($AC$1004:$AS$1004,1,MATCH(COLUMNS($AC$1006:AL1006),$AC$1006:$AS$1006,0)))),"Fix")))</f>
        <v xml:space="preserve"> </v>
      </c>
      <c r="L456" s="4" t="str">
        <f ca="1">IF(OR(INDEX($W$2:$W$1001,MATCH(ROWS($V$2:V456),$V$2:$V$1001,0),1)&gt;=100000,INDEX($AC$1005:$AS$1005,1,MATCH(COLUMNS($AC$1006:AM1006),$AC$1006:$AS$1006,0))&gt;=100000), " ",IF(INDEX($AC$2:$AS$1001,MATCH(ROWS($V$2:V456),$V$2:$V$1001,0),MATCH(COLUMNS($AC$1006:AM1006),$AC$1006:$AS$1006,0)), HYPERLINK("#",""), HYPERLINK(CONCATENATE("#metadata!", ADDRESS(INDEX($X$2:$X$1001,MATCH(ROWS($V$2:V456),$V$2:$V$1001,0),0), INDEX($AC$1004:$AS$1004,1,MATCH(COLUMNS($AC$1006:AM1006),$AC$1006:$AS$1006,0)))),"Fix")))</f>
        <v xml:space="preserve"> </v>
      </c>
      <c r="M456" s="4" t="str">
        <f ca="1">IF(OR(INDEX($W$2:$W$1001,MATCH(ROWS($V$2:V456),$V$2:$V$1001,0),1)&gt;=100000,INDEX($AC$1005:$AS$1005,1,MATCH(COLUMNS($AC$1006:AN1006),$AC$1006:$AS$1006,0))&gt;=100000), " ",IF(INDEX($AC$2:$AS$1001,MATCH(ROWS($V$2:V456),$V$2:$V$1001,0),MATCH(COLUMNS($AC$1006:AN1006),$AC$1006:$AS$1006,0)), HYPERLINK("#",""), HYPERLINK(CONCATENATE("#metadata!", ADDRESS(INDEX($X$2:$X$1001,MATCH(ROWS($V$2:V456),$V$2:$V$1001,0),0), INDEX($AC$1004:$AS$1004,1,MATCH(COLUMNS($AC$1006:AN1006),$AC$1006:$AS$1006,0)))),"Fix")))</f>
        <v xml:space="preserve"> </v>
      </c>
      <c r="N456" s="4" t="str">
        <f ca="1">IF(OR(INDEX($W$2:$W$1001,MATCH(ROWS($V$2:V456),$V$2:$V$1001,0),1)&gt;=100000,INDEX($AC$1005:$AS$1005,1,MATCH(COLUMNS($AC$1006:AO1006),$AC$1006:$AS$1006,0))&gt;=100000), " ",IF(INDEX($AC$2:$AS$1001,MATCH(ROWS($V$2:V456),$V$2:$V$1001,0),MATCH(COLUMNS($AC$1006:AO1006),$AC$1006:$AS$1006,0)), HYPERLINK("#",""), HYPERLINK(CONCATENATE("#metadata!", ADDRESS(INDEX($X$2:$X$1001,MATCH(ROWS($V$2:V456),$V$2:$V$1001,0),0), INDEX($AC$1004:$AS$1004,1,MATCH(COLUMNS($AC$1006:AO1006),$AC$1006:$AS$1006,0)))),"Fix")))</f>
        <v xml:space="preserve"> </v>
      </c>
      <c r="O456" s="4" t="str">
        <f ca="1">IF(OR(INDEX($W$2:$W$1001,MATCH(ROWS($V$2:V456),$V$2:$V$1001,0),1)&gt;=100000,INDEX($AC$1005:$AS$1005,1,MATCH(COLUMNS($AC$1006:AP1006),$AC$1006:$AS$1006,0))&gt;=100000), " ",IF(INDEX($AC$2:$AS$1001,MATCH(ROWS($V$2:V456),$V$2:$V$1001,0),MATCH(COLUMNS($AC$1006:AP1006),$AC$1006:$AS$1006,0)), HYPERLINK("#",""), HYPERLINK(CONCATENATE("#metadata!", ADDRESS(INDEX($X$2:$X$1001,MATCH(ROWS($V$2:V456),$V$2:$V$1001,0),0), INDEX($AC$1004:$AS$1004,1,MATCH(COLUMNS($AC$1006:AP1006),$AC$1006:$AS$1006,0)))),"Fix")))</f>
        <v xml:space="preserve"> </v>
      </c>
      <c r="P456" s="4" t="str">
        <f ca="1">IF(OR(INDEX($W$2:$W$1001,MATCH(ROWS($V$2:V456),$V$2:$V$1001,0),1)&gt;=100000,INDEX($AC$1005:$AS$1005,1,MATCH(COLUMNS($AC$1006:AQ1006),$AC$1006:$AS$1006,0))&gt;=100000), " ",IF(INDEX($AC$2:$AS$1001,MATCH(ROWS($V$2:V456),$V$2:$V$1001,0),MATCH(COLUMNS($AC$1006:AQ1006),$AC$1006:$AS$1006,0)), HYPERLINK("#",""), HYPERLINK(CONCATENATE("#metadata!", ADDRESS(INDEX($X$2:$X$1001,MATCH(ROWS($V$2:V456),$V$2:$V$1001,0),0), INDEX($AC$1004:$AS$1004,1,MATCH(COLUMNS($AC$1006:AQ1006),$AC$1006:$AS$1006,0)))),"Fix")))</f>
        <v xml:space="preserve"> </v>
      </c>
      <c r="Q456" s="4" t="str">
        <f ca="1">IF(OR(INDEX($W$2:$W$1001,MATCH(ROWS($V$2:V456),$V$2:$V$1001,0),1)&gt;=100000,INDEX($AC$1005:$AS$1005,1,MATCH(COLUMNS($AC$1006:AR1006),$AC$1006:$AS$1006,0))&gt;=100000), " ",IF(INDEX($AC$2:$AS$1001,MATCH(ROWS($V$2:V456),$V$2:$V$1001,0),MATCH(COLUMNS($AC$1006:AR1006),$AC$1006:$AS$1006,0)), HYPERLINK("#",""), HYPERLINK(CONCATENATE("#metadata!", ADDRESS(INDEX($X$2:$X$1001,MATCH(ROWS($V$2:V456),$V$2:$V$1001,0),0), INDEX($AC$1004:$AS$1004,1,MATCH(COLUMNS($AC$1006:AR1006),$AC$1006:$AS$1006,0)))),"Fix")))</f>
        <v xml:space="preserve"> </v>
      </c>
      <c r="R456" s="4" t="str">
        <f ca="1">IF(OR(INDEX($W$2:$W$1001,MATCH(ROWS($V$2:V456),$V$2:$V$1001,0),1)&gt;=100000,INDEX($AC$1005:$AS$1005,1,MATCH(COLUMNS($AC$1006:AS1006),$AC$1006:$AS$1006,0))&gt;=100000), " ",IF(INDEX($AC$2:$AS$1001,MATCH(ROWS($V$2:V456),$V$2:$V$1001,0),MATCH(COLUMNS($AC$1006:AS1006),$AC$1006:$AS$1006,0)), HYPERLINK("#",""), HYPERLINK(CONCATENATE("#metadata!", ADDRESS(INDEX($X$2:$X$1001,MATCH(ROWS($V$2:V456),$V$2:$V$1001,0),0), INDEX($AC$1004:$AS$1004,1,MATCH(COLUMNS($AC$1006:AS1006),$AC$1006:$AS$1006,0)))),"Fix")))</f>
        <v xml:space="preserve"> </v>
      </c>
      <c r="V456">
        <v>455</v>
      </c>
      <c r="W456">
        <v>100456</v>
      </c>
      <c r="X456">
        <v>456</v>
      </c>
      <c r="Y456" t="b">
        <f t="shared" si="7"/>
        <v>1</v>
      </c>
      <c r="Z456" t="b">
        <f>COUNTBLANK(metadata!B456:R456)=COLUMNS(metadata!B456:R456)</f>
        <v>1</v>
      </c>
      <c r="AA456" t="str">
        <v/>
      </c>
      <c r="AC456" t="b">
        <f ca="1"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AD456" t="b">
        <f>IF(metadata!C456="",FALSE,ISNUMBER(VALUE(metadata!C456)))</f>
        <v>0</v>
      </c>
      <c r="AE456" t="b">
        <f>AND(IF(metadata!D456="",FALSE,TRUE),EXACT(metadata!D456,"years"))</f>
        <v>0</v>
      </c>
      <c r="AF456" t="b">
        <f>OR(AND(IF(metadata!E456="",FALSE,TRUE),OR(EXACT(metadata!E456,"not applicable"),EXACT(metadata!E456,"missing: not collected"),EXACT(metadata!E456,"missing: not provided"),EXACT(metadata!E456,"missing: restricted access"))),AND(IF(metadata!E456="",FALSE,ISNUMBER(VALUE(metadata!E456))),metadata!E456&gt;0))</f>
        <v>0</v>
      </c>
      <c r="AG456" t="b">
        <f>AND(IF(metadata!F456="",FALSE,TRUE),EXACT(metadata!F456,"Not applicable"))</f>
        <v>0</v>
      </c>
      <c r="AH456" t="b">
        <f>AND(IF(metadata!G456="",FALSE,TRUE),EXACT(metadata!G456,"urban biome"))</f>
        <v>0</v>
      </c>
      <c r="AI456" t="b">
        <f>AND(IF(metadata!H456="",FALSE,TRUE),EXACT(metadata!H456,"human-associated habitat"))</f>
        <v>0</v>
      </c>
      <c r="AJ456" t="b">
        <f>AND(IF(metadata!I456="",FALSE,TRUE),OR(EXACT(metadata!I456,"human-associated"),EXACT(metadata!I456,"human-skin"),EXACT(metadata!I456,"human-oral"),EXACT(metadata!I456,"human-gut"),EXACT(metadata!I456,"human-vaginal")))</f>
        <v>0</v>
      </c>
      <c r="AK456" t="b">
        <f>IF(metadata!J456="",FALSE,ISNUMBER(VALUE(metadata!J456)))</f>
        <v>0</v>
      </c>
      <c r="AL456" t="b">
        <f>AND(IF(metadata!K456="",FALSE,TRUE),EXACT(metadata!K456,"cm"))</f>
        <v>0</v>
      </c>
      <c r="AM456" t="b">
        <f>AND(IF(metadata!L456="",FALSE,TRUE),EXACT(metadata!L456,"human"))</f>
        <v>0</v>
      </c>
      <c r="AN456" t="b">
        <f>AND(IF(metadata!M456="",FALSE,TRUE),EXACT(metadata!M456,"Homo sapiens"))</f>
        <v>0</v>
      </c>
      <c r="AO456" t="b">
        <f>AND(IF(metadata!N456="",FALSE,TRUE),EXACT(metadata!N456,"9606"))</f>
        <v>0</v>
      </c>
      <c r="AP456" t="b">
        <f>IF(metadata!O456="",FALSE,TRUE)</f>
        <v>0</v>
      </c>
      <c r="AQ456" t="b">
        <f>IF(metadata!P456="",FALSE,TRUE)</f>
        <v>0</v>
      </c>
      <c r="AR456" t="b">
        <f>IF(metadata!Q456="",FALSE,ISNUMBER(VALUE(metadata!Q456)))</f>
        <v>0</v>
      </c>
      <c r="AS456" t="b">
        <f>AND(IF(metadata!R456="",FALSE,TRUE),EXACT(metadata!R456,"kg"))</f>
        <v>0</v>
      </c>
    </row>
    <row r="457" spans="1:45" x14ac:dyDescent="0.2">
      <c r="A457" s="5" t="str">
        <f ca="1">IF(B457=" "," ",HYPERLINK(CONCATENATE("#metadata!",ADDRESS(INDEX($X$2:$X$1001,MATCH(ROWS($V$2:V457),$V$2:$V$1001,0),0),1)),INDEX($AA$2:$AA$1001,MATCH(ROWS($V$2:V457),$V$2:$V$1001,0),0)))</f>
        <v xml:space="preserve"> </v>
      </c>
      <c r="B457" s="4" t="str">
        <f ca="1">IF(OR(INDEX($W$2:$W$1001,MATCH(ROWS($V$2:V457),$V$2:$V$1001,0),1)&gt;=100000,INDEX($AC$1005:$AS$1005,1,MATCH(COLUMNS($AC$1006:AC1006),$AC$1006:$AS$1006,0))&gt;=100000), " ",IF(INDEX($AC$2:$AS$1001,MATCH(ROWS($V$2:V457),$V$2:$V$1001,0),MATCH(COLUMNS($AC$1006:AC1006),$AC$1006:$AS$1006,0)), HYPERLINK("#",""), HYPERLINK(CONCATENATE("#metadata!", ADDRESS(INDEX($X$2:$X$1001,MATCH(ROWS($V$2:V457),$V$2:$V$1001,0),0), INDEX($AC$1004:$AS$1004,1,MATCH(COLUMNS($AC$1006:AC1006),$AC$1006:$AS$1006,0)))),"Fix")))</f>
        <v xml:space="preserve"> </v>
      </c>
      <c r="C457" s="4" t="str">
        <f ca="1">IF(OR(INDEX($W$2:$W$1001,MATCH(ROWS($V$2:V457),$V$2:$V$1001,0),1)&gt;=100000,INDEX($AC$1005:$AS$1005,1,MATCH(COLUMNS($AC$1006:AD1006),$AC$1006:$AS$1006,0))&gt;=100000), " ",IF(INDEX($AC$2:$AS$1001,MATCH(ROWS($V$2:V457),$V$2:$V$1001,0),MATCH(COLUMNS($AC$1006:AD1006),$AC$1006:$AS$1006,0)), HYPERLINK("#",""), HYPERLINK(CONCATENATE("#metadata!", ADDRESS(INDEX($X$2:$X$1001,MATCH(ROWS($V$2:V457),$V$2:$V$1001,0),0), INDEX($AC$1004:$AS$1004,1,MATCH(COLUMNS($AC$1006:AD1006),$AC$1006:$AS$1006,0)))),"Fix")))</f>
        <v xml:space="preserve"> </v>
      </c>
      <c r="D457" s="4" t="str">
        <f ca="1">IF(OR(INDEX($W$2:$W$1001,MATCH(ROWS($V$2:V457),$V$2:$V$1001,0),1)&gt;=100000,INDEX($AC$1005:$AS$1005,1,MATCH(COLUMNS($AC$1006:AE1006),$AC$1006:$AS$1006,0))&gt;=100000), " ",IF(INDEX($AC$2:$AS$1001,MATCH(ROWS($V$2:V457),$V$2:$V$1001,0),MATCH(COLUMNS($AC$1006:AE1006),$AC$1006:$AS$1006,0)), HYPERLINK("#",""), HYPERLINK(CONCATENATE("#metadata!", ADDRESS(INDEX($X$2:$X$1001,MATCH(ROWS($V$2:V457),$V$2:$V$1001,0),0), INDEX($AC$1004:$AS$1004,1,MATCH(COLUMNS($AC$1006:AE1006),$AC$1006:$AS$1006,0)))),"Fix")))</f>
        <v xml:space="preserve"> </v>
      </c>
      <c r="E457" s="4" t="str">
        <f ca="1">IF(OR(INDEX($W$2:$W$1001,MATCH(ROWS($V$2:V457),$V$2:$V$1001,0),1)&gt;=100000,INDEX($AC$1005:$AS$1005,1,MATCH(COLUMNS($AC$1006:AF1006),$AC$1006:$AS$1006,0))&gt;=100000), " ",IF(INDEX($AC$2:$AS$1001,MATCH(ROWS($V$2:V457),$V$2:$V$1001,0),MATCH(COLUMNS($AC$1006:AF1006),$AC$1006:$AS$1006,0)), HYPERLINK("#",""), HYPERLINK(CONCATENATE("#metadata!", ADDRESS(INDEX($X$2:$X$1001,MATCH(ROWS($V$2:V457),$V$2:$V$1001,0),0), INDEX($AC$1004:$AS$1004,1,MATCH(COLUMNS($AC$1006:AF1006),$AC$1006:$AS$1006,0)))),"Fix")))</f>
        <v xml:space="preserve"> </v>
      </c>
      <c r="F457" s="4" t="str">
        <f ca="1">IF(OR(INDEX($W$2:$W$1001,MATCH(ROWS($V$2:V457),$V$2:$V$1001,0),1)&gt;=100000,INDEX($AC$1005:$AS$1005,1,MATCH(COLUMNS($AC$1006:AG1006),$AC$1006:$AS$1006,0))&gt;=100000), " ",IF(INDEX($AC$2:$AS$1001,MATCH(ROWS($V$2:V457),$V$2:$V$1001,0),MATCH(COLUMNS($AC$1006:AG1006),$AC$1006:$AS$1006,0)), HYPERLINK("#",""), HYPERLINK(CONCATENATE("#metadata!", ADDRESS(INDEX($X$2:$X$1001,MATCH(ROWS($V$2:V457),$V$2:$V$1001,0),0), INDEX($AC$1004:$AS$1004,1,MATCH(COLUMNS($AC$1006:AG1006),$AC$1006:$AS$1006,0)))),"Fix")))</f>
        <v xml:space="preserve"> </v>
      </c>
      <c r="G457" s="4" t="str">
        <f ca="1">IF(OR(INDEX($W$2:$W$1001,MATCH(ROWS($V$2:V457),$V$2:$V$1001,0),1)&gt;=100000,INDEX($AC$1005:$AS$1005,1,MATCH(COLUMNS($AC$1006:AH1006),$AC$1006:$AS$1006,0))&gt;=100000), " ",IF(INDEX($AC$2:$AS$1001,MATCH(ROWS($V$2:V457),$V$2:$V$1001,0),MATCH(COLUMNS($AC$1006:AH1006),$AC$1006:$AS$1006,0)), HYPERLINK("#",""), HYPERLINK(CONCATENATE("#metadata!", ADDRESS(INDEX($X$2:$X$1001,MATCH(ROWS($V$2:V457),$V$2:$V$1001,0),0), INDEX($AC$1004:$AS$1004,1,MATCH(COLUMNS($AC$1006:AH1006),$AC$1006:$AS$1006,0)))),"Fix")))</f>
        <v xml:space="preserve"> </v>
      </c>
      <c r="H457" s="4" t="str">
        <f ca="1">IF(OR(INDEX($W$2:$W$1001,MATCH(ROWS($V$2:V457),$V$2:$V$1001,0),1)&gt;=100000,INDEX($AC$1005:$AS$1005,1,MATCH(COLUMNS($AC$1006:AI1006),$AC$1006:$AS$1006,0))&gt;=100000), " ",IF(INDEX($AC$2:$AS$1001,MATCH(ROWS($V$2:V457),$V$2:$V$1001,0),MATCH(COLUMNS($AC$1006:AI1006),$AC$1006:$AS$1006,0)), HYPERLINK("#",""), HYPERLINK(CONCATENATE("#metadata!", ADDRESS(INDEX($X$2:$X$1001,MATCH(ROWS($V$2:V457),$V$2:$V$1001,0),0), INDEX($AC$1004:$AS$1004,1,MATCH(COLUMNS($AC$1006:AI1006),$AC$1006:$AS$1006,0)))),"Fix")))</f>
        <v xml:space="preserve"> </v>
      </c>
      <c r="I457" s="4" t="str">
        <f ca="1">IF(OR(INDEX($W$2:$W$1001,MATCH(ROWS($V$2:V457),$V$2:$V$1001,0),1)&gt;=100000,INDEX($AC$1005:$AS$1005,1,MATCH(COLUMNS($AC$1006:AJ1006),$AC$1006:$AS$1006,0))&gt;=100000), " ",IF(INDEX($AC$2:$AS$1001,MATCH(ROWS($V$2:V457),$V$2:$V$1001,0),MATCH(COLUMNS($AC$1006:AJ1006),$AC$1006:$AS$1006,0)), HYPERLINK("#",""), HYPERLINK(CONCATENATE("#metadata!", ADDRESS(INDEX($X$2:$X$1001,MATCH(ROWS($V$2:V457),$V$2:$V$1001,0),0), INDEX($AC$1004:$AS$1004,1,MATCH(COLUMNS($AC$1006:AJ1006),$AC$1006:$AS$1006,0)))),"Fix")))</f>
        <v xml:space="preserve"> </v>
      </c>
      <c r="J457" s="4" t="str">
        <f ca="1">IF(OR(INDEX($W$2:$W$1001,MATCH(ROWS($V$2:V457),$V$2:$V$1001,0),1)&gt;=100000,INDEX($AC$1005:$AS$1005,1,MATCH(COLUMNS($AC$1006:AK1006),$AC$1006:$AS$1006,0))&gt;=100000), " ",IF(INDEX($AC$2:$AS$1001,MATCH(ROWS($V$2:V457),$V$2:$V$1001,0),MATCH(COLUMNS($AC$1006:AK1006),$AC$1006:$AS$1006,0)), HYPERLINK("#",""), HYPERLINK(CONCATENATE("#metadata!", ADDRESS(INDEX($X$2:$X$1001,MATCH(ROWS($V$2:V457),$V$2:$V$1001,0),0), INDEX($AC$1004:$AS$1004,1,MATCH(COLUMNS($AC$1006:AK1006),$AC$1006:$AS$1006,0)))),"Fix")))</f>
        <v xml:space="preserve"> </v>
      </c>
      <c r="K457" s="4" t="str">
        <f ca="1">IF(OR(INDEX($W$2:$W$1001,MATCH(ROWS($V$2:V457),$V$2:$V$1001,0),1)&gt;=100000,INDEX($AC$1005:$AS$1005,1,MATCH(COLUMNS($AC$1006:AL1006),$AC$1006:$AS$1006,0))&gt;=100000), " ",IF(INDEX($AC$2:$AS$1001,MATCH(ROWS($V$2:V457),$V$2:$V$1001,0),MATCH(COLUMNS($AC$1006:AL1006),$AC$1006:$AS$1006,0)), HYPERLINK("#",""), HYPERLINK(CONCATENATE("#metadata!", ADDRESS(INDEX($X$2:$X$1001,MATCH(ROWS($V$2:V457),$V$2:$V$1001,0),0), INDEX($AC$1004:$AS$1004,1,MATCH(COLUMNS($AC$1006:AL1006),$AC$1006:$AS$1006,0)))),"Fix")))</f>
        <v xml:space="preserve"> </v>
      </c>
      <c r="L457" s="4" t="str">
        <f ca="1">IF(OR(INDEX($W$2:$W$1001,MATCH(ROWS($V$2:V457),$V$2:$V$1001,0),1)&gt;=100000,INDEX($AC$1005:$AS$1005,1,MATCH(COLUMNS($AC$1006:AM1006),$AC$1006:$AS$1006,0))&gt;=100000), " ",IF(INDEX($AC$2:$AS$1001,MATCH(ROWS($V$2:V457),$V$2:$V$1001,0),MATCH(COLUMNS($AC$1006:AM1006),$AC$1006:$AS$1006,0)), HYPERLINK("#",""), HYPERLINK(CONCATENATE("#metadata!", ADDRESS(INDEX($X$2:$X$1001,MATCH(ROWS($V$2:V457),$V$2:$V$1001,0),0), INDEX($AC$1004:$AS$1004,1,MATCH(COLUMNS($AC$1006:AM1006),$AC$1006:$AS$1006,0)))),"Fix")))</f>
        <v xml:space="preserve"> </v>
      </c>
      <c r="M457" s="4" t="str">
        <f ca="1">IF(OR(INDEX($W$2:$W$1001,MATCH(ROWS($V$2:V457),$V$2:$V$1001,0),1)&gt;=100000,INDEX($AC$1005:$AS$1005,1,MATCH(COLUMNS($AC$1006:AN1006),$AC$1006:$AS$1006,0))&gt;=100000), " ",IF(INDEX($AC$2:$AS$1001,MATCH(ROWS($V$2:V457),$V$2:$V$1001,0),MATCH(COLUMNS($AC$1006:AN1006),$AC$1006:$AS$1006,0)), HYPERLINK("#",""), HYPERLINK(CONCATENATE("#metadata!", ADDRESS(INDEX($X$2:$X$1001,MATCH(ROWS($V$2:V457),$V$2:$V$1001,0),0), INDEX($AC$1004:$AS$1004,1,MATCH(COLUMNS($AC$1006:AN1006),$AC$1006:$AS$1006,0)))),"Fix")))</f>
        <v xml:space="preserve"> </v>
      </c>
      <c r="N457" s="4" t="str">
        <f ca="1">IF(OR(INDEX($W$2:$W$1001,MATCH(ROWS($V$2:V457),$V$2:$V$1001,0),1)&gt;=100000,INDEX($AC$1005:$AS$1005,1,MATCH(COLUMNS($AC$1006:AO1006),$AC$1006:$AS$1006,0))&gt;=100000), " ",IF(INDEX($AC$2:$AS$1001,MATCH(ROWS($V$2:V457),$V$2:$V$1001,0),MATCH(COLUMNS($AC$1006:AO1006),$AC$1006:$AS$1006,0)), HYPERLINK("#",""), HYPERLINK(CONCATENATE("#metadata!", ADDRESS(INDEX($X$2:$X$1001,MATCH(ROWS($V$2:V457),$V$2:$V$1001,0),0), INDEX($AC$1004:$AS$1004,1,MATCH(COLUMNS($AC$1006:AO1006),$AC$1006:$AS$1006,0)))),"Fix")))</f>
        <v xml:space="preserve"> </v>
      </c>
      <c r="O457" s="4" t="str">
        <f ca="1">IF(OR(INDEX($W$2:$W$1001,MATCH(ROWS($V$2:V457),$V$2:$V$1001,0),1)&gt;=100000,INDEX($AC$1005:$AS$1005,1,MATCH(COLUMNS($AC$1006:AP1006),$AC$1006:$AS$1006,0))&gt;=100000), " ",IF(INDEX($AC$2:$AS$1001,MATCH(ROWS($V$2:V457),$V$2:$V$1001,0),MATCH(COLUMNS($AC$1006:AP1006),$AC$1006:$AS$1006,0)), HYPERLINK("#",""), HYPERLINK(CONCATENATE("#metadata!", ADDRESS(INDEX($X$2:$X$1001,MATCH(ROWS($V$2:V457),$V$2:$V$1001,0),0), INDEX($AC$1004:$AS$1004,1,MATCH(COLUMNS($AC$1006:AP1006),$AC$1006:$AS$1006,0)))),"Fix")))</f>
        <v xml:space="preserve"> </v>
      </c>
      <c r="P457" s="4" t="str">
        <f ca="1">IF(OR(INDEX($W$2:$W$1001,MATCH(ROWS($V$2:V457),$V$2:$V$1001,0),1)&gt;=100000,INDEX($AC$1005:$AS$1005,1,MATCH(COLUMNS($AC$1006:AQ1006),$AC$1006:$AS$1006,0))&gt;=100000), " ",IF(INDEX($AC$2:$AS$1001,MATCH(ROWS($V$2:V457),$V$2:$V$1001,0),MATCH(COLUMNS($AC$1006:AQ1006),$AC$1006:$AS$1006,0)), HYPERLINK("#",""), HYPERLINK(CONCATENATE("#metadata!", ADDRESS(INDEX($X$2:$X$1001,MATCH(ROWS($V$2:V457),$V$2:$V$1001,0),0), INDEX($AC$1004:$AS$1004,1,MATCH(COLUMNS($AC$1006:AQ1006),$AC$1006:$AS$1006,0)))),"Fix")))</f>
        <v xml:space="preserve"> </v>
      </c>
      <c r="Q457" s="4" t="str">
        <f ca="1">IF(OR(INDEX($W$2:$W$1001,MATCH(ROWS($V$2:V457),$V$2:$V$1001,0),1)&gt;=100000,INDEX($AC$1005:$AS$1005,1,MATCH(COLUMNS($AC$1006:AR1006),$AC$1006:$AS$1006,0))&gt;=100000), " ",IF(INDEX($AC$2:$AS$1001,MATCH(ROWS($V$2:V457),$V$2:$V$1001,0),MATCH(COLUMNS($AC$1006:AR1006),$AC$1006:$AS$1006,0)), HYPERLINK("#",""), HYPERLINK(CONCATENATE("#metadata!", ADDRESS(INDEX($X$2:$X$1001,MATCH(ROWS($V$2:V457),$V$2:$V$1001,0),0), INDEX($AC$1004:$AS$1004,1,MATCH(COLUMNS($AC$1006:AR1006),$AC$1006:$AS$1006,0)))),"Fix")))</f>
        <v xml:space="preserve"> </v>
      </c>
      <c r="R457" s="4" t="str">
        <f ca="1">IF(OR(INDEX($W$2:$W$1001,MATCH(ROWS($V$2:V457),$V$2:$V$1001,0),1)&gt;=100000,INDEX($AC$1005:$AS$1005,1,MATCH(COLUMNS($AC$1006:AS1006),$AC$1006:$AS$1006,0))&gt;=100000), " ",IF(INDEX($AC$2:$AS$1001,MATCH(ROWS($V$2:V457),$V$2:$V$1001,0),MATCH(COLUMNS($AC$1006:AS1006),$AC$1006:$AS$1006,0)), HYPERLINK("#",""), HYPERLINK(CONCATENATE("#metadata!", ADDRESS(INDEX($X$2:$X$1001,MATCH(ROWS($V$2:V457),$V$2:$V$1001,0),0), INDEX($AC$1004:$AS$1004,1,MATCH(COLUMNS($AC$1006:AS1006),$AC$1006:$AS$1006,0)))),"Fix")))</f>
        <v xml:space="preserve"> </v>
      </c>
      <c r="V457">
        <v>456</v>
      </c>
      <c r="W457">
        <v>100457</v>
      </c>
      <c r="X457">
        <v>457</v>
      </c>
      <c r="Y457" t="b">
        <f t="shared" si="7"/>
        <v>1</v>
      </c>
      <c r="Z457" t="b">
        <f>COUNTBLANK(metadata!B457:R457)=COLUMNS(metadata!B457:R457)</f>
        <v>1</v>
      </c>
      <c r="AA457" t="str">
        <v/>
      </c>
      <c r="AC457" t="b">
        <f ca="1"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AD457" t="b">
        <f>IF(metadata!C457="",FALSE,ISNUMBER(VALUE(metadata!C457)))</f>
        <v>0</v>
      </c>
      <c r="AE457" t="b">
        <f>AND(IF(metadata!D457="",FALSE,TRUE),EXACT(metadata!D457,"years"))</f>
        <v>0</v>
      </c>
      <c r="AF457" t="b">
        <f>OR(AND(IF(metadata!E457="",FALSE,TRUE),OR(EXACT(metadata!E457,"not applicable"),EXACT(metadata!E457,"missing: not collected"),EXACT(metadata!E457,"missing: not provided"),EXACT(metadata!E457,"missing: restricted access"))),AND(IF(metadata!E457="",FALSE,ISNUMBER(VALUE(metadata!E457))),metadata!E457&gt;0))</f>
        <v>0</v>
      </c>
      <c r="AG457" t="b">
        <f>AND(IF(metadata!F457="",FALSE,TRUE),EXACT(metadata!F457,"Not applicable"))</f>
        <v>0</v>
      </c>
      <c r="AH457" t="b">
        <f>AND(IF(metadata!G457="",FALSE,TRUE),EXACT(metadata!G457,"urban biome"))</f>
        <v>0</v>
      </c>
      <c r="AI457" t="b">
        <f>AND(IF(metadata!H457="",FALSE,TRUE),EXACT(metadata!H457,"human-associated habitat"))</f>
        <v>0</v>
      </c>
      <c r="AJ457" t="b">
        <f>AND(IF(metadata!I457="",FALSE,TRUE),OR(EXACT(metadata!I457,"human-associated"),EXACT(metadata!I457,"human-skin"),EXACT(metadata!I457,"human-oral"),EXACT(metadata!I457,"human-gut"),EXACT(metadata!I457,"human-vaginal")))</f>
        <v>0</v>
      </c>
      <c r="AK457" t="b">
        <f>IF(metadata!J457="",FALSE,ISNUMBER(VALUE(metadata!J457)))</f>
        <v>0</v>
      </c>
      <c r="AL457" t="b">
        <f>AND(IF(metadata!K457="",FALSE,TRUE),EXACT(metadata!K457,"cm"))</f>
        <v>0</v>
      </c>
      <c r="AM457" t="b">
        <f>AND(IF(metadata!L457="",FALSE,TRUE),EXACT(metadata!L457,"human"))</f>
        <v>0</v>
      </c>
      <c r="AN457" t="b">
        <f>AND(IF(metadata!M457="",FALSE,TRUE),EXACT(metadata!M457,"Homo sapiens"))</f>
        <v>0</v>
      </c>
      <c r="AO457" t="b">
        <f>AND(IF(metadata!N457="",FALSE,TRUE),EXACT(metadata!N457,"9606"))</f>
        <v>0</v>
      </c>
      <c r="AP457" t="b">
        <f>IF(metadata!O457="",FALSE,TRUE)</f>
        <v>0</v>
      </c>
      <c r="AQ457" t="b">
        <f>IF(metadata!P457="",FALSE,TRUE)</f>
        <v>0</v>
      </c>
      <c r="AR457" t="b">
        <f>IF(metadata!Q457="",FALSE,ISNUMBER(VALUE(metadata!Q457)))</f>
        <v>0</v>
      </c>
      <c r="AS457" t="b">
        <f>AND(IF(metadata!R457="",FALSE,TRUE),EXACT(metadata!R457,"kg"))</f>
        <v>0</v>
      </c>
    </row>
    <row r="458" spans="1:45" x14ac:dyDescent="0.2">
      <c r="A458" s="5" t="str">
        <f ca="1">IF(B458=" "," ",HYPERLINK(CONCATENATE("#metadata!",ADDRESS(INDEX($X$2:$X$1001,MATCH(ROWS($V$2:V458),$V$2:$V$1001,0),0),1)),INDEX($AA$2:$AA$1001,MATCH(ROWS($V$2:V458),$V$2:$V$1001,0),0)))</f>
        <v xml:space="preserve"> </v>
      </c>
      <c r="B458" s="4" t="str">
        <f ca="1">IF(OR(INDEX($W$2:$W$1001,MATCH(ROWS($V$2:V458),$V$2:$V$1001,0),1)&gt;=100000,INDEX($AC$1005:$AS$1005,1,MATCH(COLUMNS($AC$1006:AC1006),$AC$1006:$AS$1006,0))&gt;=100000), " ",IF(INDEX($AC$2:$AS$1001,MATCH(ROWS($V$2:V458),$V$2:$V$1001,0),MATCH(COLUMNS($AC$1006:AC1006),$AC$1006:$AS$1006,0)), HYPERLINK("#",""), HYPERLINK(CONCATENATE("#metadata!", ADDRESS(INDEX($X$2:$X$1001,MATCH(ROWS($V$2:V458),$V$2:$V$1001,0),0), INDEX($AC$1004:$AS$1004,1,MATCH(COLUMNS($AC$1006:AC1006),$AC$1006:$AS$1006,0)))),"Fix")))</f>
        <v xml:space="preserve"> </v>
      </c>
      <c r="C458" s="4" t="str">
        <f ca="1">IF(OR(INDEX($W$2:$W$1001,MATCH(ROWS($V$2:V458),$V$2:$V$1001,0),1)&gt;=100000,INDEX($AC$1005:$AS$1005,1,MATCH(COLUMNS($AC$1006:AD1006),$AC$1006:$AS$1006,0))&gt;=100000), " ",IF(INDEX($AC$2:$AS$1001,MATCH(ROWS($V$2:V458),$V$2:$V$1001,0),MATCH(COLUMNS($AC$1006:AD1006),$AC$1006:$AS$1006,0)), HYPERLINK("#",""), HYPERLINK(CONCATENATE("#metadata!", ADDRESS(INDEX($X$2:$X$1001,MATCH(ROWS($V$2:V458),$V$2:$V$1001,0),0), INDEX($AC$1004:$AS$1004,1,MATCH(COLUMNS($AC$1006:AD1006),$AC$1006:$AS$1006,0)))),"Fix")))</f>
        <v xml:space="preserve"> </v>
      </c>
      <c r="D458" s="4" t="str">
        <f ca="1">IF(OR(INDEX($W$2:$W$1001,MATCH(ROWS($V$2:V458),$V$2:$V$1001,0),1)&gt;=100000,INDEX($AC$1005:$AS$1005,1,MATCH(COLUMNS($AC$1006:AE1006),$AC$1006:$AS$1006,0))&gt;=100000), " ",IF(INDEX($AC$2:$AS$1001,MATCH(ROWS($V$2:V458),$V$2:$V$1001,0),MATCH(COLUMNS($AC$1006:AE1006),$AC$1006:$AS$1006,0)), HYPERLINK("#",""), HYPERLINK(CONCATENATE("#metadata!", ADDRESS(INDEX($X$2:$X$1001,MATCH(ROWS($V$2:V458),$V$2:$V$1001,0),0), INDEX($AC$1004:$AS$1004,1,MATCH(COLUMNS($AC$1006:AE1006),$AC$1006:$AS$1006,0)))),"Fix")))</f>
        <v xml:space="preserve"> </v>
      </c>
      <c r="E458" s="4" t="str">
        <f ca="1">IF(OR(INDEX($W$2:$W$1001,MATCH(ROWS($V$2:V458),$V$2:$V$1001,0),1)&gt;=100000,INDEX($AC$1005:$AS$1005,1,MATCH(COLUMNS($AC$1006:AF1006),$AC$1006:$AS$1006,0))&gt;=100000), " ",IF(INDEX($AC$2:$AS$1001,MATCH(ROWS($V$2:V458),$V$2:$V$1001,0),MATCH(COLUMNS($AC$1006:AF1006),$AC$1006:$AS$1006,0)), HYPERLINK("#",""), HYPERLINK(CONCATENATE("#metadata!", ADDRESS(INDEX($X$2:$X$1001,MATCH(ROWS($V$2:V458),$V$2:$V$1001,0),0), INDEX($AC$1004:$AS$1004,1,MATCH(COLUMNS($AC$1006:AF1006),$AC$1006:$AS$1006,0)))),"Fix")))</f>
        <v xml:space="preserve"> </v>
      </c>
      <c r="F458" s="4" t="str">
        <f ca="1">IF(OR(INDEX($W$2:$W$1001,MATCH(ROWS($V$2:V458),$V$2:$V$1001,0),1)&gt;=100000,INDEX($AC$1005:$AS$1005,1,MATCH(COLUMNS($AC$1006:AG1006),$AC$1006:$AS$1006,0))&gt;=100000), " ",IF(INDEX($AC$2:$AS$1001,MATCH(ROWS($V$2:V458),$V$2:$V$1001,0),MATCH(COLUMNS($AC$1006:AG1006),$AC$1006:$AS$1006,0)), HYPERLINK("#",""), HYPERLINK(CONCATENATE("#metadata!", ADDRESS(INDEX($X$2:$X$1001,MATCH(ROWS($V$2:V458),$V$2:$V$1001,0),0), INDEX($AC$1004:$AS$1004,1,MATCH(COLUMNS($AC$1006:AG1006),$AC$1006:$AS$1006,0)))),"Fix")))</f>
        <v xml:space="preserve"> </v>
      </c>
      <c r="G458" s="4" t="str">
        <f ca="1">IF(OR(INDEX($W$2:$W$1001,MATCH(ROWS($V$2:V458),$V$2:$V$1001,0),1)&gt;=100000,INDEX($AC$1005:$AS$1005,1,MATCH(COLUMNS($AC$1006:AH1006),$AC$1006:$AS$1006,0))&gt;=100000), " ",IF(INDEX($AC$2:$AS$1001,MATCH(ROWS($V$2:V458),$V$2:$V$1001,0),MATCH(COLUMNS($AC$1006:AH1006),$AC$1006:$AS$1006,0)), HYPERLINK("#",""), HYPERLINK(CONCATENATE("#metadata!", ADDRESS(INDEX($X$2:$X$1001,MATCH(ROWS($V$2:V458),$V$2:$V$1001,0),0), INDEX($AC$1004:$AS$1004,1,MATCH(COLUMNS($AC$1006:AH1006),$AC$1006:$AS$1006,0)))),"Fix")))</f>
        <v xml:space="preserve"> </v>
      </c>
      <c r="H458" s="4" t="str">
        <f ca="1">IF(OR(INDEX($W$2:$W$1001,MATCH(ROWS($V$2:V458),$V$2:$V$1001,0),1)&gt;=100000,INDEX($AC$1005:$AS$1005,1,MATCH(COLUMNS($AC$1006:AI1006),$AC$1006:$AS$1006,0))&gt;=100000), " ",IF(INDEX($AC$2:$AS$1001,MATCH(ROWS($V$2:V458),$V$2:$V$1001,0),MATCH(COLUMNS($AC$1006:AI1006),$AC$1006:$AS$1006,0)), HYPERLINK("#",""), HYPERLINK(CONCATENATE("#metadata!", ADDRESS(INDEX($X$2:$X$1001,MATCH(ROWS($V$2:V458),$V$2:$V$1001,0),0), INDEX($AC$1004:$AS$1004,1,MATCH(COLUMNS($AC$1006:AI1006),$AC$1006:$AS$1006,0)))),"Fix")))</f>
        <v xml:space="preserve"> </v>
      </c>
      <c r="I458" s="4" t="str">
        <f ca="1">IF(OR(INDEX($W$2:$W$1001,MATCH(ROWS($V$2:V458),$V$2:$V$1001,0),1)&gt;=100000,INDEX($AC$1005:$AS$1005,1,MATCH(COLUMNS($AC$1006:AJ1006),$AC$1006:$AS$1006,0))&gt;=100000), " ",IF(INDEX($AC$2:$AS$1001,MATCH(ROWS($V$2:V458),$V$2:$V$1001,0),MATCH(COLUMNS($AC$1006:AJ1006),$AC$1006:$AS$1006,0)), HYPERLINK("#",""), HYPERLINK(CONCATENATE("#metadata!", ADDRESS(INDEX($X$2:$X$1001,MATCH(ROWS($V$2:V458),$V$2:$V$1001,0),0), INDEX($AC$1004:$AS$1004,1,MATCH(COLUMNS($AC$1006:AJ1006),$AC$1006:$AS$1006,0)))),"Fix")))</f>
        <v xml:space="preserve"> </v>
      </c>
      <c r="J458" s="4" t="str">
        <f ca="1">IF(OR(INDEX($W$2:$W$1001,MATCH(ROWS($V$2:V458),$V$2:$V$1001,0),1)&gt;=100000,INDEX($AC$1005:$AS$1005,1,MATCH(COLUMNS($AC$1006:AK1006),$AC$1006:$AS$1006,0))&gt;=100000), " ",IF(INDEX($AC$2:$AS$1001,MATCH(ROWS($V$2:V458),$V$2:$V$1001,0),MATCH(COLUMNS($AC$1006:AK1006),$AC$1006:$AS$1006,0)), HYPERLINK("#",""), HYPERLINK(CONCATENATE("#metadata!", ADDRESS(INDEX($X$2:$X$1001,MATCH(ROWS($V$2:V458),$V$2:$V$1001,0),0), INDEX($AC$1004:$AS$1004,1,MATCH(COLUMNS($AC$1006:AK1006),$AC$1006:$AS$1006,0)))),"Fix")))</f>
        <v xml:space="preserve"> </v>
      </c>
      <c r="K458" s="4" t="str">
        <f ca="1">IF(OR(INDEX($W$2:$W$1001,MATCH(ROWS($V$2:V458),$V$2:$V$1001,0),1)&gt;=100000,INDEX($AC$1005:$AS$1005,1,MATCH(COLUMNS($AC$1006:AL1006),$AC$1006:$AS$1006,0))&gt;=100000), " ",IF(INDEX($AC$2:$AS$1001,MATCH(ROWS($V$2:V458),$V$2:$V$1001,0),MATCH(COLUMNS($AC$1006:AL1006),$AC$1006:$AS$1006,0)), HYPERLINK("#",""), HYPERLINK(CONCATENATE("#metadata!", ADDRESS(INDEX($X$2:$X$1001,MATCH(ROWS($V$2:V458),$V$2:$V$1001,0),0), INDEX($AC$1004:$AS$1004,1,MATCH(COLUMNS($AC$1006:AL1006),$AC$1006:$AS$1006,0)))),"Fix")))</f>
        <v xml:space="preserve"> </v>
      </c>
      <c r="L458" s="4" t="str">
        <f ca="1">IF(OR(INDEX($W$2:$W$1001,MATCH(ROWS($V$2:V458),$V$2:$V$1001,0),1)&gt;=100000,INDEX($AC$1005:$AS$1005,1,MATCH(COLUMNS($AC$1006:AM1006),$AC$1006:$AS$1006,0))&gt;=100000), " ",IF(INDEX($AC$2:$AS$1001,MATCH(ROWS($V$2:V458),$V$2:$V$1001,0),MATCH(COLUMNS($AC$1006:AM1006),$AC$1006:$AS$1006,0)), HYPERLINK("#",""), HYPERLINK(CONCATENATE("#metadata!", ADDRESS(INDEX($X$2:$X$1001,MATCH(ROWS($V$2:V458),$V$2:$V$1001,0),0), INDEX($AC$1004:$AS$1004,1,MATCH(COLUMNS($AC$1006:AM1006),$AC$1006:$AS$1006,0)))),"Fix")))</f>
        <v xml:space="preserve"> </v>
      </c>
      <c r="M458" s="4" t="str">
        <f ca="1">IF(OR(INDEX($W$2:$W$1001,MATCH(ROWS($V$2:V458),$V$2:$V$1001,0),1)&gt;=100000,INDEX($AC$1005:$AS$1005,1,MATCH(COLUMNS($AC$1006:AN1006),$AC$1006:$AS$1006,0))&gt;=100000), " ",IF(INDEX($AC$2:$AS$1001,MATCH(ROWS($V$2:V458),$V$2:$V$1001,0),MATCH(COLUMNS($AC$1006:AN1006),$AC$1006:$AS$1006,0)), HYPERLINK("#",""), HYPERLINK(CONCATENATE("#metadata!", ADDRESS(INDEX($X$2:$X$1001,MATCH(ROWS($V$2:V458),$V$2:$V$1001,0),0), INDEX($AC$1004:$AS$1004,1,MATCH(COLUMNS($AC$1006:AN1006),$AC$1006:$AS$1006,0)))),"Fix")))</f>
        <v xml:space="preserve"> </v>
      </c>
      <c r="N458" s="4" t="str">
        <f ca="1">IF(OR(INDEX($W$2:$W$1001,MATCH(ROWS($V$2:V458),$V$2:$V$1001,0),1)&gt;=100000,INDEX($AC$1005:$AS$1005,1,MATCH(COLUMNS($AC$1006:AO1006),$AC$1006:$AS$1006,0))&gt;=100000), " ",IF(INDEX($AC$2:$AS$1001,MATCH(ROWS($V$2:V458),$V$2:$V$1001,0),MATCH(COLUMNS($AC$1006:AO1006),$AC$1006:$AS$1006,0)), HYPERLINK("#",""), HYPERLINK(CONCATENATE("#metadata!", ADDRESS(INDEX($X$2:$X$1001,MATCH(ROWS($V$2:V458),$V$2:$V$1001,0),0), INDEX($AC$1004:$AS$1004,1,MATCH(COLUMNS($AC$1006:AO1006),$AC$1006:$AS$1006,0)))),"Fix")))</f>
        <v xml:space="preserve"> </v>
      </c>
      <c r="O458" s="4" t="str">
        <f ca="1">IF(OR(INDEX($W$2:$W$1001,MATCH(ROWS($V$2:V458),$V$2:$V$1001,0),1)&gt;=100000,INDEX($AC$1005:$AS$1005,1,MATCH(COLUMNS($AC$1006:AP1006),$AC$1006:$AS$1006,0))&gt;=100000), " ",IF(INDEX($AC$2:$AS$1001,MATCH(ROWS($V$2:V458),$V$2:$V$1001,0),MATCH(COLUMNS($AC$1006:AP1006),$AC$1006:$AS$1006,0)), HYPERLINK("#",""), HYPERLINK(CONCATENATE("#metadata!", ADDRESS(INDEX($X$2:$X$1001,MATCH(ROWS($V$2:V458),$V$2:$V$1001,0),0), INDEX($AC$1004:$AS$1004,1,MATCH(COLUMNS($AC$1006:AP1006),$AC$1006:$AS$1006,0)))),"Fix")))</f>
        <v xml:space="preserve"> </v>
      </c>
      <c r="P458" s="4" t="str">
        <f ca="1">IF(OR(INDEX($W$2:$W$1001,MATCH(ROWS($V$2:V458),$V$2:$V$1001,0),1)&gt;=100000,INDEX($AC$1005:$AS$1005,1,MATCH(COLUMNS($AC$1006:AQ1006),$AC$1006:$AS$1006,0))&gt;=100000), " ",IF(INDEX($AC$2:$AS$1001,MATCH(ROWS($V$2:V458),$V$2:$V$1001,0),MATCH(COLUMNS($AC$1006:AQ1006),$AC$1006:$AS$1006,0)), HYPERLINK("#",""), HYPERLINK(CONCATENATE("#metadata!", ADDRESS(INDEX($X$2:$X$1001,MATCH(ROWS($V$2:V458),$V$2:$V$1001,0),0), INDEX($AC$1004:$AS$1004,1,MATCH(COLUMNS($AC$1006:AQ1006),$AC$1006:$AS$1006,0)))),"Fix")))</f>
        <v xml:space="preserve"> </v>
      </c>
      <c r="Q458" s="4" t="str">
        <f ca="1">IF(OR(INDEX($W$2:$W$1001,MATCH(ROWS($V$2:V458),$V$2:$V$1001,0),1)&gt;=100000,INDEX($AC$1005:$AS$1005,1,MATCH(COLUMNS($AC$1006:AR1006),$AC$1006:$AS$1006,0))&gt;=100000), " ",IF(INDEX($AC$2:$AS$1001,MATCH(ROWS($V$2:V458),$V$2:$V$1001,0),MATCH(COLUMNS($AC$1006:AR1006),$AC$1006:$AS$1006,0)), HYPERLINK("#",""), HYPERLINK(CONCATENATE("#metadata!", ADDRESS(INDEX($X$2:$X$1001,MATCH(ROWS($V$2:V458),$V$2:$V$1001,0),0), INDEX($AC$1004:$AS$1004,1,MATCH(COLUMNS($AC$1006:AR1006),$AC$1006:$AS$1006,0)))),"Fix")))</f>
        <v xml:space="preserve"> </v>
      </c>
      <c r="R458" s="4" t="str">
        <f ca="1">IF(OR(INDEX($W$2:$W$1001,MATCH(ROWS($V$2:V458),$V$2:$V$1001,0),1)&gt;=100000,INDEX($AC$1005:$AS$1005,1,MATCH(COLUMNS($AC$1006:AS1006),$AC$1006:$AS$1006,0))&gt;=100000), " ",IF(INDEX($AC$2:$AS$1001,MATCH(ROWS($V$2:V458),$V$2:$V$1001,0),MATCH(COLUMNS($AC$1006:AS1006),$AC$1006:$AS$1006,0)), HYPERLINK("#",""), HYPERLINK(CONCATENATE("#metadata!", ADDRESS(INDEX($X$2:$X$1001,MATCH(ROWS($V$2:V458),$V$2:$V$1001,0),0), INDEX($AC$1004:$AS$1004,1,MATCH(COLUMNS($AC$1006:AS1006),$AC$1006:$AS$1006,0)))),"Fix")))</f>
        <v xml:space="preserve"> </v>
      </c>
      <c r="V458">
        <v>457</v>
      </c>
      <c r="W458">
        <v>100458</v>
      </c>
      <c r="X458">
        <v>458</v>
      </c>
      <c r="Y458" t="b">
        <f t="shared" si="7"/>
        <v>1</v>
      </c>
      <c r="Z458" t="b">
        <f>COUNTBLANK(metadata!B458:R458)=COLUMNS(metadata!B458:R458)</f>
        <v>1</v>
      </c>
      <c r="AA458" t="str">
        <v/>
      </c>
      <c r="AC458" t="b">
        <f ca="1"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AD458" t="b">
        <f>IF(metadata!C458="",FALSE,ISNUMBER(VALUE(metadata!C458)))</f>
        <v>0</v>
      </c>
      <c r="AE458" t="b">
        <f>AND(IF(metadata!D458="",FALSE,TRUE),EXACT(metadata!D458,"years"))</f>
        <v>0</v>
      </c>
      <c r="AF458" t="b">
        <f>OR(AND(IF(metadata!E458="",FALSE,TRUE),OR(EXACT(metadata!E458,"not applicable"),EXACT(metadata!E458,"missing: not collected"),EXACT(metadata!E458,"missing: not provided"),EXACT(metadata!E458,"missing: restricted access"))),AND(IF(metadata!E458="",FALSE,ISNUMBER(VALUE(metadata!E458))),metadata!E458&gt;0))</f>
        <v>0</v>
      </c>
      <c r="AG458" t="b">
        <f>AND(IF(metadata!F458="",FALSE,TRUE),EXACT(metadata!F458,"Not applicable"))</f>
        <v>0</v>
      </c>
      <c r="AH458" t="b">
        <f>AND(IF(metadata!G458="",FALSE,TRUE),EXACT(metadata!G458,"urban biome"))</f>
        <v>0</v>
      </c>
      <c r="AI458" t="b">
        <f>AND(IF(metadata!H458="",FALSE,TRUE),EXACT(metadata!H458,"human-associated habitat"))</f>
        <v>0</v>
      </c>
      <c r="AJ458" t="b">
        <f>AND(IF(metadata!I458="",FALSE,TRUE),OR(EXACT(metadata!I458,"human-associated"),EXACT(metadata!I458,"human-skin"),EXACT(metadata!I458,"human-oral"),EXACT(metadata!I458,"human-gut"),EXACT(metadata!I458,"human-vaginal")))</f>
        <v>0</v>
      </c>
      <c r="AK458" t="b">
        <f>IF(metadata!J458="",FALSE,ISNUMBER(VALUE(metadata!J458)))</f>
        <v>0</v>
      </c>
      <c r="AL458" t="b">
        <f>AND(IF(metadata!K458="",FALSE,TRUE),EXACT(metadata!K458,"cm"))</f>
        <v>0</v>
      </c>
      <c r="AM458" t="b">
        <f>AND(IF(metadata!L458="",FALSE,TRUE),EXACT(metadata!L458,"human"))</f>
        <v>0</v>
      </c>
      <c r="AN458" t="b">
        <f>AND(IF(metadata!M458="",FALSE,TRUE),EXACT(metadata!M458,"Homo sapiens"))</f>
        <v>0</v>
      </c>
      <c r="AO458" t="b">
        <f>AND(IF(metadata!N458="",FALSE,TRUE),EXACT(metadata!N458,"9606"))</f>
        <v>0</v>
      </c>
      <c r="AP458" t="b">
        <f>IF(metadata!O458="",FALSE,TRUE)</f>
        <v>0</v>
      </c>
      <c r="AQ458" t="b">
        <f>IF(metadata!P458="",FALSE,TRUE)</f>
        <v>0</v>
      </c>
      <c r="AR458" t="b">
        <f>IF(metadata!Q458="",FALSE,ISNUMBER(VALUE(metadata!Q458)))</f>
        <v>0</v>
      </c>
      <c r="AS458" t="b">
        <f>AND(IF(metadata!R458="",FALSE,TRUE),EXACT(metadata!R458,"kg"))</f>
        <v>0</v>
      </c>
    </row>
    <row r="459" spans="1:45" x14ac:dyDescent="0.2">
      <c r="A459" s="5" t="str">
        <f ca="1">IF(B459=" "," ",HYPERLINK(CONCATENATE("#metadata!",ADDRESS(INDEX($X$2:$X$1001,MATCH(ROWS($V$2:V459),$V$2:$V$1001,0),0),1)),INDEX($AA$2:$AA$1001,MATCH(ROWS($V$2:V459),$V$2:$V$1001,0),0)))</f>
        <v xml:space="preserve"> </v>
      </c>
      <c r="B459" s="4" t="str">
        <f ca="1">IF(OR(INDEX($W$2:$W$1001,MATCH(ROWS($V$2:V459),$V$2:$V$1001,0),1)&gt;=100000,INDEX($AC$1005:$AS$1005,1,MATCH(COLUMNS($AC$1006:AC1006),$AC$1006:$AS$1006,0))&gt;=100000), " ",IF(INDEX($AC$2:$AS$1001,MATCH(ROWS($V$2:V459),$V$2:$V$1001,0),MATCH(COLUMNS($AC$1006:AC1006),$AC$1006:$AS$1006,0)), HYPERLINK("#",""), HYPERLINK(CONCATENATE("#metadata!", ADDRESS(INDEX($X$2:$X$1001,MATCH(ROWS($V$2:V459),$V$2:$V$1001,0),0), INDEX($AC$1004:$AS$1004,1,MATCH(COLUMNS($AC$1006:AC1006),$AC$1006:$AS$1006,0)))),"Fix")))</f>
        <v xml:space="preserve"> </v>
      </c>
      <c r="C459" s="4" t="str">
        <f ca="1">IF(OR(INDEX($W$2:$W$1001,MATCH(ROWS($V$2:V459),$V$2:$V$1001,0),1)&gt;=100000,INDEX($AC$1005:$AS$1005,1,MATCH(COLUMNS($AC$1006:AD1006),$AC$1006:$AS$1006,0))&gt;=100000), " ",IF(INDEX($AC$2:$AS$1001,MATCH(ROWS($V$2:V459),$V$2:$V$1001,0),MATCH(COLUMNS($AC$1006:AD1006),$AC$1006:$AS$1006,0)), HYPERLINK("#",""), HYPERLINK(CONCATENATE("#metadata!", ADDRESS(INDEX($X$2:$X$1001,MATCH(ROWS($V$2:V459),$V$2:$V$1001,0),0), INDEX($AC$1004:$AS$1004,1,MATCH(COLUMNS($AC$1006:AD1006),$AC$1006:$AS$1006,0)))),"Fix")))</f>
        <v xml:space="preserve"> </v>
      </c>
      <c r="D459" s="4" t="str">
        <f ca="1">IF(OR(INDEX($W$2:$W$1001,MATCH(ROWS($V$2:V459),$V$2:$V$1001,0),1)&gt;=100000,INDEX($AC$1005:$AS$1005,1,MATCH(COLUMNS($AC$1006:AE1006),$AC$1006:$AS$1006,0))&gt;=100000), " ",IF(INDEX($AC$2:$AS$1001,MATCH(ROWS($V$2:V459),$V$2:$V$1001,0),MATCH(COLUMNS($AC$1006:AE1006),$AC$1006:$AS$1006,0)), HYPERLINK("#",""), HYPERLINK(CONCATENATE("#metadata!", ADDRESS(INDEX($X$2:$X$1001,MATCH(ROWS($V$2:V459),$V$2:$V$1001,0),0), INDEX($AC$1004:$AS$1004,1,MATCH(COLUMNS($AC$1006:AE1006),$AC$1006:$AS$1006,0)))),"Fix")))</f>
        <v xml:space="preserve"> </v>
      </c>
      <c r="E459" s="4" t="str">
        <f ca="1">IF(OR(INDEX($W$2:$W$1001,MATCH(ROWS($V$2:V459),$V$2:$V$1001,0),1)&gt;=100000,INDEX($AC$1005:$AS$1005,1,MATCH(COLUMNS($AC$1006:AF1006),$AC$1006:$AS$1006,0))&gt;=100000), " ",IF(INDEX($AC$2:$AS$1001,MATCH(ROWS($V$2:V459),$V$2:$V$1001,0),MATCH(COLUMNS($AC$1006:AF1006),$AC$1006:$AS$1006,0)), HYPERLINK("#",""), HYPERLINK(CONCATENATE("#metadata!", ADDRESS(INDEX($X$2:$X$1001,MATCH(ROWS($V$2:V459),$V$2:$V$1001,0),0), INDEX($AC$1004:$AS$1004,1,MATCH(COLUMNS($AC$1006:AF1006),$AC$1006:$AS$1006,0)))),"Fix")))</f>
        <v xml:space="preserve"> </v>
      </c>
      <c r="F459" s="4" t="str">
        <f ca="1">IF(OR(INDEX($W$2:$W$1001,MATCH(ROWS($V$2:V459),$V$2:$V$1001,0),1)&gt;=100000,INDEX($AC$1005:$AS$1005,1,MATCH(COLUMNS($AC$1006:AG1006),$AC$1006:$AS$1006,0))&gt;=100000), " ",IF(INDEX($AC$2:$AS$1001,MATCH(ROWS($V$2:V459),$V$2:$V$1001,0),MATCH(COLUMNS($AC$1006:AG1006),$AC$1006:$AS$1006,0)), HYPERLINK("#",""), HYPERLINK(CONCATENATE("#metadata!", ADDRESS(INDEX($X$2:$X$1001,MATCH(ROWS($V$2:V459),$V$2:$V$1001,0),0), INDEX($AC$1004:$AS$1004,1,MATCH(COLUMNS($AC$1006:AG1006),$AC$1006:$AS$1006,0)))),"Fix")))</f>
        <v xml:space="preserve"> </v>
      </c>
      <c r="G459" s="4" t="str">
        <f ca="1">IF(OR(INDEX($W$2:$W$1001,MATCH(ROWS($V$2:V459),$V$2:$V$1001,0),1)&gt;=100000,INDEX($AC$1005:$AS$1005,1,MATCH(COLUMNS($AC$1006:AH1006),$AC$1006:$AS$1006,0))&gt;=100000), " ",IF(INDEX($AC$2:$AS$1001,MATCH(ROWS($V$2:V459),$V$2:$V$1001,0),MATCH(COLUMNS($AC$1006:AH1006),$AC$1006:$AS$1006,0)), HYPERLINK("#",""), HYPERLINK(CONCATENATE("#metadata!", ADDRESS(INDEX($X$2:$X$1001,MATCH(ROWS($V$2:V459),$V$2:$V$1001,0),0), INDEX($AC$1004:$AS$1004,1,MATCH(COLUMNS($AC$1006:AH1006),$AC$1006:$AS$1006,0)))),"Fix")))</f>
        <v xml:space="preserve"> </v>
      </c>
      <c r="H459" s="4" t="str">
        <f ca="1">IF(OR(INDEX($W$2:$W$1001,MATCH(ROWS($V$2:V459),$V$2:$V$1001,0),1)&gt;=100000,INDEX($AC$1005:$AS$1005,1,MATCH(COLUMNS($AC$1006:AI1006),$AC$1006:$AS$1006,0))&gt;=100000), " ",IF(INDEX($AC$2:$AS$1001,MATCH(ROWS($V$2:V459),$V$2:$V$1001,0),MATCH(COLUMNS($AC$1006:AI1006),$AC$1006:$AS$1006,0)), HYPERLINK("#",""), HYPERLINK(CONCATENATE("#metadata!", ADDRESS(INDEX($X$2:$X$1001,MATCH(ROWS($V$2:V459),$V$2:$V$1001,0),0), INDEX($AC$1004:$AS$1004,1,MATCH(COLUMNS($AC$1006:AI1006),$AC$1006:$AS$1006,0)))),"Fix")))</f>
        <v xml:space="preserve"> </v>
      </c>
      <c r="I459" s="4" t="str">
        <f ca="1">IF(OR(INDEX($W$2:$W$1001,MATCH(ROWS($V$2:V459),$V$2:$V$1001,0),1)&gt;=100000,INDEX($AC$1005:$AS$1005,1,MATCH(COLUMNS($AC$1006:AJ1006),$AC$1006:$AS$1006,0))&gt;=100000), " ",IF(INDEX($AC$2:$AS$1001,MATCH(ROWS($V$2:V459),$V$2:$V$1001,0),MATCH(COLUMNS($AC$1006:AJ1006),$AC$1006:$AS$1006,0)), HYPERLINK("#",""), HYPERLINK(CONCATENATE("#metadata!", ADDRESS(INDEX($X$2:$X$1001,MATCH(ROWS($V$2:V459),$V$2:$V$1001,0),0), INDEX($AC$1004:$AS$1004,1,MATCH(COLUMNS($AC$1006:AJ1006),$AC$1006:$AS$1006,0)))),"Fix")))</f>
        <v xml:space="preserve"> </v>
      </c>
      <c r="J459" s="4" t="str">
        <f ca="1">IF(OR(INDEX($W$2:$W$1001,MATCH(ROWS($V$2:V459),$V$2:$V$1001,0),1)&gt;=100000,INDEX($AC$1005:$AS$1005,1,MATCH(COLUMNS($AC$1006:AK1006),$AC$1006:$AS$1006,0))&gt;=100000), " ",IF(INDEX($AC$2:$AS$1001,MATCH(ROWS($V$2:V459),$V$2:$V$1001,0),MATCH(COLUMNS($AC$1006:AK1006),$AC$1006:$AS$1006,0)), HYPERLINK("#",""), HYPERLINK(CONCATENATE("#metadata!", ADDRESS(INDEX($X$2:$X$1001,MATCH(ROWS($V$2:V459),$V$2:$V$1001,0),0), INDEX($AC$1004:$AS$1004,1,MATCH(COLUMNS($AC$1006:AK1006),$AC$1006:$AS$1006,0)))),"Fix")))</f>
        <v xml:space="preserve"> </v>
      </c>
      <c r="K459" s="4" t="str">
        <f ca="1">IF(OR(INDEX($W$2:$W$1001,MATCH(ROWS($V$2:V459),$V$2:$V$1001,0),1)&gt;=100000,INDEX($AC$1005:$AS$1005,1,MATCH(COLUMNS($AC$1006:AL1006),$AC$1006:$AS$1006,0))&gt;=100000), " ",IF(INDEX($AC$2:$AS$1001,MATCH(ROWS($V$2:V459),$V$2:$V$1001,0),MATCH(COLUMNS($AC$1006:AL1006),$AC$1006:$AS$1006,0)), HYPERLINK("#",""), HYPERLINK(CONCATENATE("#metadata!", ADDRESS(INDEX($X$2:$X$1001,MATCH(ROWS($V$2:V459),$V$2:$V$1001,0),0), INDEX($AC$1004:$AS$1004,1,MATCH(COLUMNS($AC$1006:AL1006),$AC$1006:$AS$1006,0)))),"Fix")))</f>
        <v xml:space="preserve"> </v>
      </c>
      <c r="L459" s="4" t="str">
        <f ca="1">IF(OR(INDEX($W$2:$W$1001,MATCH(ROWS($V$2:V459),$V$2:$V$1001,0),1)&gt;=100000,INDEX($AC$1005:$AS$1005,1,MATCH(COLUMNS($AC$1006:AM1006),$AC$1006:$AS$1006,0))&gt;=100000), " ",IF(INDEX($AC$2:$AS$1001,MATCH(ROWS($V$2:V459),$V$2:$V$1001,0),MATCH(COLUMNS($AC$1006:AM1006),$AC$1006:$AS$1006,0)), HYPERLINK("#",""), HYPERLINK(CONCATENATE("#metadata!", ADDRESS(INDEX($X$2:$X$1001,MATCH(ROWS($V$2:V459),$V$2:$V$1001,0),0), INDEX($AC$1004:$AS$1004,1,MATCH(COLUMNS($AC$1006:AM1006),$AC$1006:$AS$1006,0)))),"Fix")))</f>
        <v xml:space="preserve"> </v>
      </c>
      <c r="M459" s="4" t="str">
        <f ca="1">IF(OR(INDEX($W$2:$W$1001,MATCH(ROWS($V$2:V459),$V$2:$V$1001,0),1)&gt;=100000,INDEX($AC$1005:$AS$1005,1,MATCH(COLUMNS($AC$1006:AN1006),$AC$1006:$AS$1006,0))&gt;=100000), " ",IF(INDEX($AC$2:$AS$1001,MATCH(ROWS($V$2:V459),$V$2:$V$1001,0),MATCH(COLUMNS($AC$1006:AN1006),$AC$1006:$AS$1006,0)), HYPERLINK("#",""), HYPERLINK(CONCATENATE("#metadata!", ADDRESS(INDEX($X$2:$X$1001,MATCH(ROWS($V$2:V459),$V$2:$V$1001,0),0), INDEX($AC$1004:$AS$1004,1,MATCH(COLUMNS($AC$1006:AN1006),$AC$1006:$AS$1006,0)))),"Fix")))</f>
        <v xml:space="preserve"> </v>
      </c>
      <c r="N459" s="4" t="str">
        <f ca="1">IF(OR(INDEX($W$2:$W$1001,MATCH(ROWS($V$2:V459),$V$2:$V$1001,0),1)&gt;=100000,INDEX($AC$1005:$AS$1005,1,MATCH(COLUMNS($AC$1006:AO1006),$AC$1006:$AS$1006,0))&gt;=100000), " ",IF(INDEX($AC$2:$AS$1001,MATCH(ROWS($V$2:V459),$V$2:$V$1001,0),MATCH(COLUMNS($AC$1006:AO1006),$AC$1006:$AS$1006,0)), HYPERLINK("#",""), HYPERLINK(CONCATENATE("#metadata!", ADDRESS(INDEX($X$2:$X$1001,MATCH(ROWS($V$2:V459),$V$2:$V$1001,0),0), INDEX($AC$1004:$AS$1004,1,MATCH(COLUMNS($AC$1006:AO1006),$AC$1006:$AS$1006,0)))),"Fix")))</f>
        <v xml:space="preserve"> </v>
      </c>
      <c r="O459" s="4" t="str">
        <f ca="1">IF(OR(INDEX($W$2:$W$1001,MATCH(ROWS($V$2:V459),$V$2:$V$1001,0),1)&gt;=100000,INDEX($AC$1005:$AS$1005,1,MATCH(COLUMNS($AC$1006:AP1006),$AC$1006:$AS$1006,0))&gt;=100000), " ",IF(INDEX($AC$2:$AS$1001,MATCH(ROWS($V$2:V459),$V$2:$V$1001,0),MATCH(COLUMNS($AC$1006:AP1006),$AC$1006:$AS$1006,0)), HYPERLINK("#",""), HYPERLINK(CONCATENATE("#metadata!", ADDRESS(INDEX($X$2:$X$1001,MATCH(ROWS($V$2:V459),$V$2:$V$1001,0),0), INDEX($AC$1004:$AS$1004,1,MATCH(COLUMNS($AC$1006:AP1006),$AC$1006:$AS$1006,0)))),"Fix")))</f>
        <v xml:space="preserve"> </v>
      </c>
      <c r="P459" s="4" t="str">
        <f ca="1">IF(OR(INDEX($W$2:$W$1001,MATCH(ROWS($V$2:V459),$V$2:$V$1001,0),1)&gt;=100000,INDEX($AC$1005:$AS$1005,1,MATCH(COLUMNS($AC$1006:AQ1006),$AC$1006:$AS$1006,0))&gt;=100000), " ",IF(INDEX($AC$2:$AS$1001,MATCH(ROWS($V$2:V459),$V$2:$V$1001,0),MATCH(COLUMNS($AC$1006:AQ1006),$AC$1006:$AS$1006,0)), HYPERLINK("#",""), HYPERLINK(CONCATENATE("#metadata!", ADDRESS(INDEX($X$2:$X$1001,MATCH(ROWS($V$2:V459),$V$2:$V$1001,0),0), INDEX($AC$1004:$AS$1004,1,MATCH(COLUMNS($AC$1006:AQ1006),$AC$1006:$AS$1006,0)))),"Fix")))</f>
        <v xml:space="preserve"> </v>
      </c>
      <c r="Q459" s="4" t="str">
        <f ca="1">IF(OR(INDEX($W$2:$W$1001,MATCH(ROWS($V$2:V459),$V$2:$V$1001,0),1)&gt;=100000,INDEX($AC$1005:$AS$1005,1,MATCH(COLUMNS($AC$1006:AR1006),$AC$1006:$AS$1006,0))&gt;=100000), " ",IF(INDEX($AC$2:$AS$1001,MATCH(ROWS($V$2:V459),$V$2:$V$1001,0),MATCH(COLUMNS($AC$1006:AR1006),$AC$1006:$AS$1006,0)), HYPERLINK("#",""), HYPERLINK(CONCATENATE("#metadata!", ADDRESS(INDEX($X$2:$X$1001,MATCH(ROWS($V$2:V459),$V$2:$V$1001,0),0), INDEX($AC$1004:$AS$1004,1,MATCH(COLUMNS($AC$1006:AR1006),$AC$1006:$AS$1006,0)))),"Fix")))</f>
        <v xml:space="preserve"> </v>
      </c>
      <c r="R459" s="4" t="str">
        <f ca="1">IF(OR(INDEX($W$2:$W$1001,MATCH(ROWS($V$2:V459),$V$2:$V$1001,0),1)&gt;=100000,INDEX($AC$1005:$AS$1005,1,MATCH(COLUMNS($AC$1006:AS1006),$AC$1006:$AS$1006,0))&gt;=100000), " ",IF(INDEX($AC$2:$AS$1001,MATCH(ROWS($V$2:V459),$V$2:$V$1001,0),MATCH(COLUMNS($AC$1006:AS1006),$AC$1006:$AS$1006,0)), HYPERLINK("#",""), HYPERLINK(CONCATENATE("#metadata!", ADDRESS(INDEX($X$2:$X$1001,MATCH(ROWS($V$2:V459),$V$2:$V$1001,0),0), INDEX($AC$1004:$AS$1004,1,MATCH(COLUMNS($AC$1006:AS1006),$AC$1006:$AS$1006,0)))),"Fix")))</f>
        <v xml:space="preserve"> </v>
      </c>
      <c r="V459">
        <v>458</v>
      </c>
      <c r="W459">
        <v>100459</v>
      </c>
      <c r="X459">
        <v>459</v>
      </c>
      <c r="Y459" t="b">
        <f t="shared" si="7"/>
        <v>1</v>
      </c>
      <c r="Z459" t="b">
        <f>COUNTBLANK(metadata!B459:R459)=COLUMNS(metadata!B459:R459)</f>
        <v>1</v>
      </c>
      <c r="AA459" t="str">
        <v/>
      </c>
      <c r="AC459" t="b">
        <f ca="1"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AD459" t="b">
        <f>IF(metadata!C459="",FALSE,ISNUMBER(VALUE(metadata!C459)))</f>
        <v>0</v>
      </c>
      <c r="AE459" t="b">
        <f>AND(IF(metadata!D459="",FALSE,TRUE),EXACT(metadata!D459,"years"))</f>
        <v>0</v>
      </c>
      <c r="AF459" t="b">
        <f>OR(AND(IF(metadata!E459="",FALSE,TRUE),OR(EXACT(metadata!E459,"not applicable"),EXACT(metadata!E459,"missing: not collected"),EXACT(metadata!E459,"missing: not provided"),EXACT(metadata!E459,"missing: restricted access"))),AND(IF(metadata!E459="",FALSE,ISNUMBER(VALUE(metadata!E459))),metadata!E459&gt;0))</f>
        <v>0</v>
      </c>
      <c r="AG459" t="b">
        <f>AND(IF(metadata!F459="",FALSE,TRUE),EXACT(metadata!F459,"Not applicable"))</f>
        <v>0</v>
      </c>
      <c r="AH459" t="b">
        <f>AND(IF(metadata!G459="",FALSE,TRUE),EXACT(metadata!G459,"urban biome"))</f>
        <v>0</v>
      </c>
      <c r="AI459" t="b">
        <f>AND(IF(metadata!H459="",FALSE,TRUE),EXACT(metadata!H459,"human-associated habitat"))</f>
        <v>0</v>
      </c>
      <c r="AJ459" t="b">
        <f>AND(IF(metadata!I459="",FALSE,TRUE),OR(EXACT(metadata!I459,"human-associated"),EXACT(metadata!I459,"human-skin"),EXACT(metadata!I459,"human-oral"),EXACT(metadata!I459,"human-gut"),EXACT(metadata!I459,"human-vaginal")))</f>
        <v>0</v>
      </c>
      <c r="AK459" t="b">
        <f>IF(metadata!J459="",FALSE,ISNUMBER(VALUE(metadata!J459)))</f>
        <v>0</v>
      </c>
      <c r="AL459" t="b">
        <f>AND(IF(metadata!K459="",FALSE,TRUE),EXACT(metadata!K459,"cm"))</f>
        <v>0</v>
      </c>
      <c r="AM459" t="b">
        <f>AND(IF(metadata!L459="",FALSE,TRUE),EXACT(metadata!L459,"human"))</f>
        <v>0</v>
      </c>
      <c r="AN459" t="b">
        <f>AND(IF(metadata!M459="",FALSE,TRUE),EXACT(metadata!M459,"Homo sapiens"))</f>
        <v>0</v>
      </c>
      <c r="AO459" t="b">
        <f>AND(IF(metadata!N459="",FALSE,TRUE),EXACT(metadata!N459,"9606"))</f>
        <v>0</v>
      </c>
      <c r="AP459" t="b">
        <f>IF(metadata!O459="",FALSE,TRUE)</f>
        <v>0</v>
      </c>
      <c r="AQ459" t="b">
        <f>IF(metadata!P459="",FALSE,TRUE)</f>
        <v>0</v>
      </c>
      <c r="AR459" t="b">
        <f>IF(metadata!Q459="",FALSE,ISNUMBER(VALUE(metadata!Q459)))</f>
        <v>0</v>
      </c>
      <c r="AS459" t="b">
        <f>AND(IF(metadata!R459="",FALSE,TRUE),EXACT(metadata!R459,"kg"))</f>
        <v>0</v>
      </c>
    </row>
    <row r="460" spans="1:45" x14ac:dyDescent="0.2">
      <c r="A460" s="5" t="str">
        <f ca="1">IF(B460=" "," ",HYPERLINK(CONCATENATE("#metadata!",ADDRESS(INDEX($X$2:$X$1001,MATCH(ROWS($V$2:V460),$V$2:$V$1001,0),0),1)),INDEX($AA$2:$AA$1001,MATCH(ROWS($V$2:V460),$V$2:$V$1001,0),0)))</f>
        <v xml:space="preserve"> </v>
      </c>
      <c r="B460" s="4" t="str">
        <f ca="1">IF(OR(INDEX($W$2:$W$1001,MATCH(ROWS($V$2:V460),$V$2:$V$1001,0),1)&gt;=100000,INDEX($AC$1005:$AS$1005,1,MATCH(COLUMNS($AC$1006:AC1006),$AC$1006:$AS$1006,0))&gt;=100000), " ",IF(INDEX($AC$2:$AS$1001,MATCH(ROWS($V$2:V460),$V$2:$V$1001,0),MATCH(COLUMNS($AC$1006:AC1006),$AC$1006:$AS$1006,0)), HYPERLINK("#",""), HYPERLINK(CONCATENATE("#metadata!", ADDRESS(INDEX($X$2:$X$1001,MATCH(ROWS($V$2:V460),$V$2:$V$1001,0),0), INDEX($AC$1004:$AS$1004,1,MATCH(COLUMNS($AC$1006:AC1006),$AC$1006:$AS$1006,0)))),"Fix")))</f>
        <v xml:space="preserve"> </v>
      </c>
      <c r="C460" s="4" t="str">
        <f ca="1">IF(OR(INDEX($W$2:$W$1001,MATCH(ROWS($V$2:V460),$V$2:$V$1001,0),1)&gt;=100000,INDEX($AC$1005:$AS$1005,1,MATCH(COLUMNS($AC$1006:AD1006),$AC$1006:$AS$1006,0))&gt;=100000), " ",IF(INDEX($AC$2:$AS$1001,MATCH(ROWS($V$2:V460),$V$2:$V$1001,0),MATCH(COLUMNS($AC$1006:AD1006),$AC$1006:$AS$1006,0)), HYPERLINK("#",""), HYPERLINK(CONCATENATE("#metadata!", ADDRESS(INDEX($X$2:$X$1001,MATCH(ROWS($V$2:V460),$V$2:$V$1001,0),0), INDEX($AC$1004:$AS$1004,1,MATCH(COLUMNS($AC$1006:AD1006),$AC$1006:$AS$1006,0)))),"Fix")))</f>
        <v xml:space="preserve"> </v>
      </c>
      <c r="D460" s="4" t="str">
        <f ca="1">IF(OR(INDEX($W$2:$W$1001,MATCH(ROWS($V$2:V460),$V$2:$V$1001,0),1)&gt;=100000,INDEX($AC$1005:$AS$1005,1,MATCH(COLUMNS($AC$1006:AE1006),$AC$1006:$AS$1006,0))&gt;=100000), " ",IF(INDEX($AC$2:$AS$1001,MATCH(ROWS($V$2:V460),$V$2:$V$1001,0),MATCH(COLUMNS($AC$1006:AE1006),$AC$1006:$AS$1006,0)), HYPERLINK("#",""), HYPERLINK(CONCATENATE("#metadata!", ADDRESS(INDEX($X$2:$X$1001,MATCH(ROWS($V$2:V460),$V$2:$V$1001,0),0), INDEX($AC$1004:$AS$1004,1,MATCH(COLUMNS($AC$1006:AE1006),$AC$1006:$AS$1006,0)))),"Fix")))</f>
        <v xml:space="preserve"> </v>
      </c>
      <c r="E460" s="4" t="str">
        <f ca="1">IF(OR(INDEX($W$2:$W$1001,MATCH(ROWS($V$2:V460),$V$2:$V$1001,0),1)&gt;=100000,INDEX($AC$1005:$AS$1005,1,MATCH(COLUMNS($AC$1006:AF1006),$AC$1006:$AS$1006,0))&gt;=100000), " ",IF(INDEX($AC$2:$AS$1001,MATCH(ROWS($V$2:V460),$V$2:$V$1001,0),MATCH(COLUMNS($AC$1006:AF1006),$AC$1006:$AS$1006,0)), HYPERLINK("#",""), HYPERLINK(CONCATENATE("#metadata!", ADDRESS(INDEX($X$2:$X$1001,MATCH(ROWS($V$2:V460),$V$2:$V$1001,0),0), INDEX($AC$1004:$AS$1004,1,MATCH(COLUMNS($AC$1006:AF1006),$AC$1006:$AS$1006,0)))),"Fix")))</f>
        <v xml:space="preserve"> </v>
      </c>
      <c r="F460" s="4" t="str">
        <f ca="1">IF(OR(INDEX($W$2:$W$1001,MATCH(ROWS($V$2:V460),$V$2:$V$1001,0),1)&gt;=100000,INDEX($AC$1005:$AS$1005,1,MATCH(COLUMNS($AC$1006:AG1006),$AC$1006:$AS$1006,0))&gt;=100000), " ",IF(INDEX($AC$2:$AS$1001,MATCH(ROWS($V$2:V460),$V$2:$V$1001,0),MATCH(COLUMNS($AC$1006:AG1006),$AC$1006:$AS$1006,0)), HYPERLINK("#",""), HYPERLINK(CONCATENATE("#metadata!", ADDRESS(INDEX($X$2:$X$1001,MATCH(ROWS($V$2:V460),$V$2:$V$1001,0),0), INDEX($AC$1004:$AS$1004,1,MATCH(COLUMNS($AC$1006:AG1006),$AC$1006:$AS$1006,0)))),"Fix")))</f>
        <v xml:space="preserve"> </v>
      </c>
      <c r="G460" s="4" t="str">
        <f ca="1">IF(OR(INDEX($W$2:$W$1001,MATCH(ROWS($V$2:V460),$V$2:$V$1001,0),1)&gt;=100000,INDEX($AC$1005:$AS$1005,1,MATCH(COLUMNS($AC$1006:AH1006),$AC$1006:$AS$1006,0))&gt;=100000), " ",IF(INDEX($AC$2:$AS$1001,MATCH(ROWS($V$2:V460),$V$2:$V$1001,0),MATCH(COLUMNS($AC$1006:AH1006),$AC$1006:$AS$1006,0)), HYPERLINK("#",""), HYPERLINK(CONCATENATE("#metadata!", ADDRESS(INDEX($X$2:$X$1001,MATCH(ROWS($V$2:V460),$V$2:$V$1001,0),0), INDEX($AC$1004:$AS$1004,1,MATCH(COLUMNS($AC$1006:AH1006),$AC$1006:$AS$1006,0)))),"Fix")))</f>
        <v xml:space="preserve"> </v>
      </c>
      <c r="H460" s="4" t="str">
        <f ca="1">IF(OR(INDEX($W$2:$W$1001,MATCH(ROWS($V$2:V460),$V$2:$V$1001,0),1)&gt;=100000,INDEX($AC$1005:$AS$1005,1,MATCH(COLUMNS($AC$1006:AI1006),$AC$1006:$AS$1006,0))&gt;=100000), " ",IF(INDEX($AC$2:$AS$1001,MATCH(ROWS($V$2:V460),$V$2:$V$1001,0),MATCH(COLUMNS($AC$1006:AI1006),$AC$1006:$AS$1006,0)), HYPERLINK("#",""), HYPERLINK(CONCATENATE("#metadata!", ADDRESS(INDEX($X$2:$X$1001,MATCH(ROWS($V$2:V460),$V$2:$V$1001,0),0), INDEX($AC$1004:$AS$1004,1,MATCH(COLUMNS($AC$1006:AI1006),$AC$1006:$AS$1006,0)))),"Fix")))</f>
        <v xml:space="preserve"> </v>
      </c>
      <c r="I460" s="4" t="str">
        <f ca="1">IF(OR(INDEX($W$2:$W$1001,MATCH(ROWS($V$2:V460),$V$2:$V$1001,0),1)&gt;=100000,INDEX($AC$1005:$AS$1005,1,MATCH(COLUMNS($AC$1006:AJ1006),$AC$1006:$AS$1006,0))&gt;=100000), " ",IF(INDEX($AC$2:$AS$1001,MATCH(ROWS($V$2:V460),$V$2:$V$1001,0),MATCH(COLUMNS($AC$1006:AJ1006),$AC$1006:$AS$1006,0)), HYPERLINK("#",""), HYPERLINK(CONCATENATE("#metadata!", ADDRESS(INDEX($X$2:$X$1001,MATCH(ROWS($V$2:V460),$V$2:$V$1001,0),0), INDEX($AC$1004:$AS$1004,1,MATCH(COLUMNS($AC$1006:AJ1006),$AC$1006:$AS$1006,0)))),"Fix")))</f>
        <v xml:space="preserve"> </v>
      </c>
      <c r="J460" s="4" t="str">
        <f ca="1">IF(OR(INDEX($W$2:$W$1001,MATCH(ROWS($V$2:V460),$V$2:$V$1001,0),1)&gt;=100000,INDEX($AC$1005:$AS$1005,1,MATCH(COLUMNS($AC$1006:AK1006),$AC$1006:$AS$1006,0))&gt;=100000), " ",IF(INDEX($AC$2:$AS$1001,MATCH(ROWS($V$2:V460),$V$2:$V$1001,0),MATCH(COLUMNS($AC$1006:AK1006),$AC$1006:$AS$1006,0)), HYPERLINK("#",""), HYPERLINK(CONCATENATE("#metadata!", ADDRESS(INDEX($X$2:$X$1001,MATCH(ROWS($V$2:V460),$V$2:$V$1001,0),0), INDEX($AC$1004:$AS$1004,1,MATCH(COLUMNS($AC$1006:AK1006),$AC$1006:$AS$1006,0)))),"Fix")))</f>
        <v xml:space="preserve"> </v>
      </c>
      <c r="K460" s="4" t="str">
        <f ca="1">IF(OR(INDEX($W$2:$W$1001,MATCH(ROWS($V$2:V460),$V$2:$V$1001,0),1)&gt;=100000,INDEX($AC$1005:$AS$1005,1,MATCH(COLUMNS($AC$1006:AL1006),$AC$1006:$AS$1006,0))&gt;=100000), " ",IF(INDEX($AC$2:$AS$1001,MATCH(ROWS($V$2:V460),$V$2:$V$1001,0),MATCH(COLUMNS($AC$1006:AL1006),$AC$1006:$AS$1006,0)), HYPERLINK("#",""), HYPERLINK(CONCATENATE("#metadata!", ADDRESS(INDEX($X$2:$X$1001,MATCH(ROWS($V$2:V460),$V$2:$V$1001,0),0), INDEX($AC$1004:$AS$1004,1,MATCH(COLUMNS($AC$1006:AL1006),$AC$1006:$AS$1006,0)))),"Fix")))</f>
        <v xml:space="preserve"> </v>
      </c>
      <c r="L460" s="4" t="str">
        <f ca="1">IF(OR(INDEX($W$2:$W$1001,MATCH(ROWS($V$2:V460),$V$2:$V$1001,0),1)&gt;=100000,INDEX($AC$1005:$AS$1005,1,MATCH(COLUMNS($AC$1006:AM1006),$AC$1006:$AS$1006,0))&gt;=100000), " ",IF(INDEX($AC$2:$AS$1001,MATCH(ROWS($V$2:V460),$V$2:$V$1001,0),MATCH(COLUMNS($AC$1006:AM1006),$AC$1006:$AS$1006,0)), HYPERLINK("#",""), HYPERLINK(CONCATENATE("#metadata!", ADDRESS(INDEX($X$2:$X$1001,MATCH(ROWS($V$2:V460),$V$2:$V$1001,0),0), INDEX($AC$1004:$AS$1004,1,MATCH(COLUMNS($AC$1006:AM1006),$AC$1006:$AS$1006,0)))),"Fix")))</f>
        <v xml:space="preserve"> </v>
      </c>
      <c r="M460" s="4" t="str">
        <f ca="1">IF(OR(INDEX($W$2:$W$1001,MATCH(ROWS($V$2:V460),$V$2:$V$1001,0),1)&gt;=100000,INDEX($AC$1005:$AS$1005,1,MATCH(COLUMNS($AC$1006:AN1006),$AC$1006:$AS$1006,0))&gt;=100000), " ",IF(INDEX($AC$2:$AS$1001,MATCH(ROWS($V$2:V460),$V$2:$V$1001,0),MATCH(COLUMNS($AC$1006:AN1006),$AC$1006:$AS$1006,0)), HYPERLINK("#",""), HYPERLINK(CONCATENATE("#metadata!", ADDRESS(INDEX($X$2:$X$1001,MATCH(ROWS($V$2:V460),$V$2:$V$1001,0),0), INDEX($AC$1004:$AS$1004,1,MATCH(COLUMNS($AC$1006:AN1006),$AC$1006:$AS$1006,0)))),"Fix")))</f>
        <v xml:space="preserve"> </v>
      </c>
      <c r="N460" s="4" t="str">
        <f ca="1">IF(OR(INDEX($W$2:$W$1001,MATCH(ROWS($V$2:V460),$V$2:$V$1001,0),1)&gt;=100000,INDEX($AC$1005:$AS$1005,1,MATCH(COLUMNS($AC$1006:AO1006),$AC$1006:$AS$1006,0))&gt;=100000), " ",IF(INDEX($AC$2:$AS$1001,MATCH(ROWS($V$2:V460),$V$2:$V$1001,0),MATCH(COLUMNS($AC$1006:AO1006),$AC$1006:$AS$1006,0)), HYPERLINK("#",""), HYPERLINK(CONCATENATE("#metadata!", ADDRESS(INDEX($X$2:$X$1001,MATCH(ROWS($V$2:V460),$V$2:$V$1001,0),0), INDEX($AC$1004:$AS$1004,1,MATCH(COLUMNS($AC$1006:AO1006),$AC$1006:$AS$1006,0)))),"Fix")))</f>
        <v xml:space="preserve"> </v>
      </c>
      <c r="O460" s="4" t="str">
        <f ca="1">IF(OR(INDEX($W$2:$W$1001,MATCH(ROWS($V$2:V460),$V$2:$V$1001,0),1)&gt;=100000,INDEX($AC$1005:$AS$1005,1,MATCH(COLUMNS($AC$1006:AP1006),$AC$1006:$AS$1006,0))&gt;=100000), " ",IF(INDEX($AC$2:$AS$1001,MATCH(ROWS($V$2:V460),$V$2:$V$1001,0),MATCH(COLUMNS($AC$1006:AP1006),$AC$1006:$AS$1006,0)), HYPERLINK("#",""), HYPERLINK(CONCATENATE("#metadata!", ADDRESS(INDEX($X$2:$X$1001,MATCH(ROWS($V$2:V460),$V$2:$V$1001,0),0), INDEX($AC$1004:$AS$1004,1,MATCH(COLUMNS($AC$1006:AP1006),$AC$1006:$AS$1006,0)))),"Fix")))</f>
        <v xml:space="preserve"> </v>
      </c>
      <c r="P460" s="4" t="str">
        <f ca="1">IF(OR(INDEX($W$2:$W$1001,MATCH(ROWS($V$2:V460),$V$2:$V$1001,0),1)&gt;=100000,INDEX($AC$1005:$AS$1005,1,MATCH(COLUMNS($AC$1006:AQ1006),$AC$1006:$AS$1006,0))&gt;=100000), " ",IF(INDEX($AC$2:$AS$1001,MATCH(ROWS($V$2:V460),$V$2:$V$1001,0),MATCH(COLUMNS($AC$1006:AQ1006),$AC$1006:$AS$1006,0)), HYPERLINK("#",""), HYPERLINK(CONCATENATE("#metadata!", ADDRESS(INDEX($X$2:$X$1001,MATCH(ROWS($V$2:V460),$V$2:$V$1001,0),0), INDEX($AC$1004:$AS$1004,1,MATCH(COLUMNS($AC$1006:AQ1006),$AC$1006:$AS$1006,0)))),"Fix")))</f>
        <v xml:space="preserve"> </v>
      </c>
      <c r="Q460" s="4" t="str">
        <f ca="1">IF(OR(INDEX($W$2:$W$1001,MATCH(ROWS($V$2:V460),$V$2:$V$1001,0),1)&gt;=100000,INDEX($AC$1005:$AS$1005,1,MATCH(COLUMNS($AC$1006:AR1006),$AC$1006:$AS$1006,0))&gt;=100000), " ",IF(INDEX($AC$2:$AS$1001,MATCH(ROWS($V$2:V460),$V$2:$V$1001,0),MATCH(COLUMNS($AC$1006:AR1006),$AC$1006:$AS$1006,0)), HYPERLINK("#",""), HYPERLINK(CONCATENATE("#metadata!", ADDRESS(INDEX($X$2:$X$1001,MATCH(ROWS($V$2:V460),$V$2:$V$1001,0),0), INDEX($AC$1004:$AS$1004,1,MATCH(COLUMNS($AC$1006:AR1006),$AC$1006:$AS$1006,0)))),"Fix")))</f>
        <v xml:space="preserve"> </v>
      </c>
      <c r="R460" s="4" t="str">
        <f ca="1">IF(OR(INDEX($W$2:$W$1001,MATCH(ROWS($V$2:V460),$V$2:$V$1001,0),1)&gt;=100000,INDEX($AC$1005:$AS$1005,1,MATCH(COLUMNS($AC$1006:AS1006),$AC$1006:$AS$1006,0))&gt;=100000), " ",IF(INDEX($AC$2:$AS$1001,MATCH(ROWS($V$2:V460),$V$2:$V$1001,0),MATCH(COLUMNS($AC$1006:AS1006),$AC$1006:$AS$1006,0)), HYPERLINK("#",""), HYPERLINK(CONCATENATE("#metadata!", ADDRESS(INDEX($X$2:$X$1001,MATCH(ROWS($V$2:V460),$V$2:$V$1001,0),0), INDEX($AC$1004:$AS$1004,1,MATCH(COLUMNS($AC$1006:AS1006),$AC$1006:$AS$1006,0)))),"Fix")))</f>
        <v xml:space="preserve"> </v>
      </c>
      <c r="V460">
        <v>459</v>
      </c>
      <c r="W460">
        <v>100460</v>
      </c>
      <c r="X460">
        <v>460</v>
      </c>
      <c r="Y460" t="b">
        <f t="shared" si="7"/>
        <v>1</v>
      </c>
      <c r="Z460" t="b">
        <f>COUNTBLANK(metadata!B460:R460)=COLUMNS(metadata!B460:R460)</f>
        <v>1</v>
      </c>
      <c r="AA460" t="str">
        <v/>
      </c>
      <c r="AC460" t="b">
        <f ca="1"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AD460" t="b">
        <f>IF(metadata!C460="",FALSE,ISNUMBER(VALUE(metadata!C460)))</f>
        <v>0</v>
      </c>
      <c r="AE460" t="b">
        <f>AND(IF(metadata!D460="",FALSE,TRUE),EXACT(metadata!D460,"years"))</f>
        <v>0</v>
      </c>
      <c r="AF460" t="b">
        <f>OR(AND(IF(metadata!E460="",FALSE,TRUE),OR(EXACT(metadata!E460,"not applicable"),EXACT(metadata!E460,"missing: not collected"),EXACT(metadata!E460,"missing: not provided"),EXACT(metadata!E460,"missing: restricted access"))),AND(IF(metadata!E460="",FALSE,ISNUMBER(VALUE(metadata!E460))),metadata!E460&gt;0))</f>
        <v>0</v>
      </c>
      <c r="AG460" t="b">
        <f>AND(IF(metadata!F460="",FALSE,TRUE),EXACT(metadata!F460,"Not applicable"))</f>
        <v>0</v>
      </c>
      <c r="AH460" t="b">
        <f>AND(IF(metadata!G460="",FALSE,TRUE),EXACT(metadata!G460,"urban biome"))</f>
        <v>0</v>
      </c>
      <c r="AI460" t="b">
        <f>AND(IF(metadata!H460="",FALSE,TRUE),EXACT(metadata!H460,"human-associated habitat"))</f>
        <v>0</v>
      </c>
      <c r="AJ460" t="b">
        <f>AND(IF(metadata!I460="",FALSE,TRUE),OR(EXACT(metadata!I460,"human-associated"),EXACT(metadata!I460,"human-skin"),EXACT(metadata!I460,"human-oral"),EXACT(metadata!I460,"human-gut"),EXACT(metadata!I460,"human-vaginal")))</f>
        <v>0</v>
      </c>
      <c r="AK460" t="b">
        <f>IF(metadata!J460="",FALSE,ISNUMBER(VALUE(metadata!J460)))</f>
        <v>0</v>
      </c>
      <c r="AL460" t="b">
        <f>AND(IF(metadata!K460="",FALSE,TRUE),EXACT(metadata!K460,"cm"))</f>
        <v>0</v>
      </c>
      <c r="AM460" t="b">
        <f>AND(IF(metadata!L460="",FALSE,TRUE),EXACT(metadata!L460,"human"))</f>
        <v>0</v>
      </c>
      <c r="AN460" t="b">
        <f>AND(IF(metadata!M460="",FALSE,TRUE),EXACT(metadata!M460,"Homo sapiens"))</f>
        <v>0</v>
      </c>
      <c r="AO460" t="b">
        <f>AND(IF(metadata!N460="",FALSE,TRUE),EXACT(metadata!N460,"9606"))</f>
        <v>0</v>
      </c>
      <c r="AP460" t="b">
        <f>IF(metadata!O460="",FALSE,TRUE)</f>
        <v>0</v>
      </c>
      <c r="AQ460" t="b">
        <f>IF(metadata!P460="",FALSE,TRUE)</f>
        <v>0</v>
      </c>
      <c r="AR460" t="b">
        <f>IF(metadata!Q460="",FALSE,ISNUMBER(VALUE(metadata!Q460)))</f>
        <v>0</v>
      </c>
      <c r="AS460" t="b">
        <f>AND(IF(metadata!R460="",FALSE,TRUE),EXACT(metadata!R460,"kg"))</f>
        <v>0</v>
      </c>
    </row>
    <row r="461" spans="1:45" x14ac:dyDescent="0.2">
      <c r="A461" s="5" t="str">
        <f ca="1">IF(B461=" "," ",HYPERLINK(CONCATENATE("#metadata!",ADDRESS(INDEX($X$2:$X$1001,MATCH(ROWS($V$2:V461),$V$2:$V$1001,0),0),1)),INDEX($AA$2:$AA$1001,MATCH(ROWS($V$2:V461),$V$2:$V$1001,0),0)))</f>
        <v xml:space="preserve"> </v>
      </c>
      <c r="B461" s="4" t="str">
        <f ca="1">IF(OR(INDEX($W$2:$W$1001,MATCH(ROWS($V$2:V461),$V$2:$V$1001,0),1)&gt;=100000,INDEX($AC$1005:$AS$1005,1,MATCH(COLUMNS($AC$1006:AC1006),$AC$1006:$AS$1006,0))&gt;=100000), " ",IF(INDEX($AC$2:$AS$1001,MATCH(ROWS($V$2:V461),$V$2:$V$1001,0),MATCH(COLUMNS($AC$1006:AC1006),$AC$1006:$AS$1006,0)), HYPERLINK("#",""), HYPERLINK(CONCATENATE("#metadata!", ADDRESS(INDEX($X$2:$X$1001,MATCH(ROWS($V$2:V461),$V$2:$V$1001,0),0), INDEX($AC$1004:$AS$1004,1,MATCH(COLUMNS($AC$1006:AC1006),$AC$1006:$AS$1006,0)))),"Fix")))</f>
        <v xml:space="preserve"> </v>
      </c>
      <c r="C461" s="4" t="str">
        <f ca="1">IF(OR(INDEX($W$2:$W$1001,MATCH(ROWS($V$2:V461),$V$2:$V$1001,0),1)&gt;=100000,INDEX($AC$1005:$AS$1005,1,MATCH(COLUMNS($AC$1006:AD1006),$AC$1006:$AS$1006,0))&gt;=100000), " ",IF(INDEX($AC$2:$AS$1001,MATCH(ROWS($V$2:V461),$V$2:$V$1001,0),MATCH(COLUMNS($AC$1006:AD1006),$AC$1006:$AS$1006,0)), HYPERLINK("#",""), HYPERLINK(CONCATENATE("#metadata!", ADDRESS(INDEX($X$2:$X$1001,MATCH(ROWS($V$2:V461),$V$2:$V$1001,0),0), INDEX($AC$1004:$AS$1004,1,MATCH(COLUMNS($AC$1006:AD1006),$AC$1006:$AS$1006,0)))),"Fix")))</f>
        <v xml:space="preserve"> </v>
      </c>
      <c r="D461" s="4" t="str">
        <f ca="1">IF(OR(INDEX($W$2:$W$1001,MATCH(ROWS($V$2:V461),$V$2:$V$1001,0),1)&gt;=100000,INDEX($AC$1005:$AS$1005,1,MATCH(COLUMNS($AC$1006:AE1006),$AC$1006:$AS$1006,0))&gt;=100000), " ",IF(INDEX($AC$2:$AS$1001,MATCH(ROWS($V$2:V461),$V$2:$V$1001,0),MATCH(COLUMNS($AC$1006:AE1006),$AC$1006:$AS$1006,0)), HYPERLINK("#",""), HYPERLINK(CONCATENATE("#metadata!", ADDRESS(INDEX($X$2:$X$1001,MATCH(ROWS($V$2:V461),$V$2:$V$1001,0),0), INDEX($AC$1004:$AS$1004,1,MATCH(COLUMNS($AC$1006:AE1006),$AC$1006:$AS$1006,0)))),"Fix")))</f>
        <v xml:space="preserve"> </v>
      </c>
      <c r="E461" s="4" t="str">
        <f ca="1">IF(OR(INDEX($W$2:$W$1001,MATCH(ROWS($V$2:V461),$V$2:$V$1001,0),1)&gt;=100000,INDEX($AC$1005:$AS$1005,1,MATCH(COLUMNS($AC$1006:AF1006),$AC$1006:$AS$1006,0))&gt;=100000), " ",IF(INDEX($AC$2:$AS$1001,MATCH(ROWS($V$2:V461),$V$2:$V$1001,0),MATCH(COLUMNS($AC$1006:AF1006),$AC$1006:$AS$1006,0)), HYPERLINK("#",""), HYPERLINK(CONCATENATE("#metadata!", ADDRESS(INDEX($X$2:$X$1001,MATCH(ROWS($V$2:V461),$V$2:$V$1001,0),0), INDEX($AC$1004:$AS$1004,1,MATCH(COLUMNS($AC$1006:AF1006),$AC$1006:$AS$1006,0)))),"Fix")))</f>
        <v xml:space="preserve"> </v>
      </c>
      <c r="F461" s="4" t="str">
        <f ca="1">IF(OR(INDEX($W$2:$W$1001,MATCH(ROWS($V$2:V461),$V$2:$V$1001,0),1)&gt;=100000,INDEX($AC$1005:$AS$1005,1,MATCH(COLUMNS($AC$1006:AG1006),$AC$1006:$AS$1006,0))&gt;=100000), " ",IF(INDEX($AC$2:$AS$1001,MATCH(ROWS($V$2:V461),$V$2:$V$1001,0),MATCH(COLUMNS($AC$1006:AG1006),$AC$1006:$AS$1006,0)), HYPERLINK("#",""), HYPERLINK(CONCATENATE("#metadata!", ADDRESS(INDEX($X$2:$X$1001,MATCH(ROWS($V$2:V461),$V$2:$V$1001,0),0), INDEX($AC$1004:$AS$1004,1,MATCH(COLUMNS($AC$1006:AG1006),$AC$1006:$AS$1006,0)))),"Fix")))</f>
        <v xml:space="preserve"> </v>
      </c>
      <c r="G461" s="4" t="str">
        <f ca="1">IF(OR(INDEX($W$2:$W$1001,MATCH(ROWS($V$2:V461),$V$2:$V$1001,0),1)&gt;=100000,INDEX($AC$1005:$AS$1005,1,MATCH(COLUMNS($AC$1006:AH1006),$AC$1006:$AS$1006,0))&gt;=100000), " ",IF(INDEX($AC$2:$AS$1001,MATCH(ROWS($V$2:V461),$V$2:$V$1001,0),MATCH(COLUMNS($AC$1006:AH1006),$AC$1006:$AS$1006,0)), HYPERLINK("#",""), HYPERLINK(CONCATENATE("#metadata!", ADDRESS(INDEX($X$2:$X$1001,MATCH(ROWS($V$2:V461),$V$2:$V$1001,0),0), INDEX($AC$1004:$AS$1004,1,MATCH(COLUMNS($AC$1006:AH1006),$AC$1006:$AS$1006,0)))),"Fix")))</f>
        <v xml:space="preserve"> </v>
      </c>
      <c r="H461" s="4" t="str">
        <f ca="1">IF(OR(INDEX($W$2:$W$1001,MATCH(ROWS($V$2:V461),$V$2:$V$1001,0),1)&gt;=100000,INDEX($AC$1005:$AS$1005,1,MATCH(COLUMNS($AC$1006:AI1006),$AC$1006:$AS$1006,0))&gt;=100000), " ",IF(INDEX($AC$2:$AS$1001,MATCH(ROWS($V$2:V461),$V$2:$V$1001,0),MATCH(COLUMNS($AC$1006:AI1006),$AC$1006:$AS$1006,0)), HYPERLINK("#",""), HYPERLINK(CONCATENATE("#metadata!", ADDRESS(INDEX($X$2:$X$1001,MATCH(ROWS($V$2:V461),$V$2:$V$1001,0),0), INDEX($AC$1004:$AS$1004,1,MATCH(COLUMNS($AC$1006:AI1006),$AC$1006:$AS$1006,0)))),"Fix")))</f>
        <v xml:space="preserve"> </v>
      </c>
      <c r="I461" s="4" t="str">
        <f ca="1">IF(OR(INDEX($W$2:$W$1001,MATCH(ROWS($V$2:V461),$V$2:$V$1001,0),1)&gt;=100000,INDEX($AC$1005:$AS$1005,1,MATCH(COLUMNS($AC$1006:AJ1006),$AC$1006:$AS$1006,0))&gt;=100000), " ",IF(INDEX($AC$2:$AS$1001,MATCH(ROWS($V$2:V461),$V$2:$V$1001,0),MATCH(COLUMNS($AC$1006:AJ1006),$AC$1006:$AS$1006,0)), HYPERLINK("#",""), HYPERLINK(CONCATENATE("#metadata!", ADDRESS(INDEX($X$2:$X$1001,MATCH(ROWS($V$2:V461),$V$2:$V$1001,0),0), INDEX($AC$1004:$AS$1004,1,MATCH(COLUMNS($AC$1006:AJ1006),$AC$1006:$AS$1006,0)))),"Fix")))</f>
        <v xml:space="preserve"> </v>
      </c>
      <c r="J461" s="4" t="str">
        <f ca="1">IF(OR(INDEX($W$2:$W$1001,MATCH(ROWS($V$2:V461),$V$2:$V$1001,0),1)&gt;=100000,INDEX($AC$1005:$AS$1005,1,MATCH(COLUMNS($AC$1006:AK1006),$AC$1006:$AS$1006,0))&gt;=100000), " ",IF(INDEX($AC$2:$AS$1001,MATCH(ROWS($V$2:V461),$V$2:$V$1001,0),MATCH(COLUMNS($AC$1006:AK1006),$AC$1006:$AS$1006,0)), HYPERLINK("#",""), HYPERLINK(CONCATENATE("#metadata!", ADDRESS(INDEX($X$2:$X$1001,MATCH(ROWS($V$2:V461),$V$2:$V$1001,0),0), INDEX($AC$1004:$AS$1004,1,MATCH(COLUMNS($AC$1006:AK1006),$AC$1006:$AS$1006,0)))),"Fix")))</f>
        <v xml:space="preserve"> </v>
      </c>
      <c r="K461" s="4" t="str">
        <f ca="1">IF(OR(INDEX($W$2:$W$1001,MATCH(ROWS($V$2:V461),$V$2:$V$1001,0),1)&gt;=100000,INDEX($AC$1005:$AS$1005,1,MATCH(COLUMNS($AC$1006:AL1006),$AC$1006:$AS$1006,0))&gt;=100000), " ",IF(INDEX($AC$2:$AS$1001,MATCH(ROWS($V$2:V461),$V$2:$V$1001,0),MATCH(COLUMNS($AC$1006:AL1006),$AC$1006:$AS$1006,0)), HYPERLINK("#",""), HYPERLINK(CONCATENATE("#metadata!", ADDRESS(INDEX($X$2:$X$1001,MATCH(ROWS($V$2:V461),$V$2:$V$1001,0),0), INDEX($AC$1004:$AS$1004,1,MATCH(COLUMNS($AC$1006:AL1006),$AC$1006:$AS$1006,0)))),"Fix")))</f>
        <v xml:space="preserve"> </v>
      </c>
      <c r="L461" s="4" t="str">
        <f ca="1">IF(OR(INDEX($W$2:$W$1001,MATCH(ROWS($V$2:V461),$V$2:$V$1001,0),1)&gt;=100000,INDEX($AC$1005:$AS$1005,1,MATCH(COLUMNS($AC$1006:AM1006),$AC$1006:$AS$1006,0))&gt;=100000), " ",IF(INDEX($AC$2:$AS$1001,MATCH(ROWS($V$2:V461),$V$2:$V$1001,0),MATCH(COLUMNS($AC$1006:AM1006),$AC$1006:$AS$1006,0)), HYPERLINK("#",""), HYPERLINK(CONCATENATE("#metadata!", ADDRESS(INDEX($X$2:$X$1001,MATCH(ROWS($V$2:V461),$V$2:$V$1001,0),0), INDEX($AC$1004:$AS$1004,1,MATCH(COLUMNS($AC$1006:AM1006),$AC$1006:$AS$1006,0)))),"Fix")))</f>
        <v xml:space="preserve"> </v>
      </c>
      <c r="M461" s="4" t="str">
        <f ca="1">IF(OR(INDEX($W$2:$W$1001,MATCH(ROWS($V$2:V461),$V$2:$V$1001,0),1)&gt;=100000,INDEX($AC$1005:$AS$1005,1,MATCH(COLUMNS($AC$1006:AN1006),$AC$1006:$AS$1006,0))&gt;=100000), " ",IF(INDEX($AC$2:$AS$1001,MATCH(ROWS($V$2:V461),$V$2:$V$1001,0),MATCH(COLUMNS($AC$1006:AN1006),$AC$1006:$AS$1006,0)), HYPERLINK("#",""), HYPERLINK(CONCATENATE("#metadata!", ADDRESS(INDEX($X$2:$X$1001,MATCH(ROWS($V$2:V461),$V$2:$V$1001,0),0), INDEX($AC$1004:$AS$1004,1,MATCH(COLUMNS($AC$1006:AN1006),$AC$1006:$AS$1006,0)))),"Fix")))</f>
        <v xml:space="preserve"> </v>
      </c>
      <c r="N461" s="4" t="str">
        <f ca="1">IF(OR(INDEX($W$2:$W$1001,MATCH(ROWS($V$2:V461),$V$2:$V$1001,0),1)&gt;=100000,INDEX($AC$1005:$AS$1005,1,MATCH(COLUMNS($AC$1006:AO1006),$AC$1006:$AS$1006,0))&gt;=100000), " ",IF(INDEX($AC$2:$AS$1001,MATCH(ROWS($V$2:V461),$V$2:$V$1001,0),MATCH(COLUMNS($AC$1006:AO1006),$AC$1006:$AS$1006,0)), HYPERLINK("#",""), HYPERLINK(CONCATENATE("#metadata!", ADDRESS(INDEX($X$2:$X$1001,MATCH(ROWS($V$2:V461),$V$2:$V$1001,0),0), INDEX($AC$1004:$AS$1004,1,MATCH(COLUMNS($AC$1006:AO1006),$AC$1006:$AS$1006,0)))),"Fix")))</f>
        <v xml:space="preserve"> </v>
      </c>
      <c r="O461" s="4" t="str">
        <f ca="1">IF(OR(INDEX($W$2:$W$1001,MATCH(ROWS($V$2:V461),$V$2:$V$1001,0),1)&gt;=100000,INDEX($AC$1005:$AS$1005,1,MATCH(COLUMNS($AC$1006:AP1006),$AC$1006:$AS$1006,0))&gt;=100000), " ",IF(INDEX($AC$2:$AS$1001,MATCH(ROWS($V$2:V461),$V$2:$V$1001,0),MATCH(COLUMNS($AC$1006:AP1006),$AC$1006:$AS$1006,0)), HYPERLINK("#",""), HYPERLINK(CONCATENATE("#metadata!", ADDRESS(INDEX($X$2:$X$1001,MATCH(ROWS($V$2:V461),$V$2:$V$1001,0),0), INDEX($AC$1004:$AS$1004,1,MATCH(COLUMNS($AC$1006:AP1006),$AC$1006:$AS$1006,0)))),"Fix")))</f>
        <v xml:space="preserve"> </v>
      </c>
      <c r="P461" s="4" t="str">
        <f ca="1">IF(OR(INDEX($W$2:$W$1001,MATCH(ROWS($V$2:V461),$V$2:$V$1001,0),1)&gt;=100000,INDEX($AC$1005:$AS$1005,1,MATCH(COLUMNS($AC$1006:AQ1006),$AC$1006:$AS$1006,0))&gt;=100000), " ",IF(INDEX($AC$2:$AS$1001,MATCH(ROWS($V$2:V461),$V$2:$V$1001,0),MATCH(COLUMNS($AC$1006:AQ1006),$AC$1006:$AS$1006,0)), HYPERLINK("#",""), HYPERLINK(CONCATENATE("#metadata!", ADDRESS(INDEX($X$2:$X$1001,MATCH(ROWS($V$2:V461),$V$2:$V$1001,0),0), INDEX($AC$1004:$AS$1004,1,MATCH(COLUMNS($AC$1006:AQ1006),$AC$1006:$AS$1006,0)))),"Fix")))</f>
        <v xml:space="preserve"> </v>
      </c>
      <c r="Q461" s="4" t="str">
        <f ca="1">IF(OR(INDEX($W$2:$W$1001,MATCH(ROWS($V$2:V461),$V$2:$V$1001,0),1)&gt;=100000,INDEX($AC$1005:$AS$1005,1,MATCH(COLUMNS($AC$1006:AR1006),$AC$1006:$AS$1006,0))&gt;=100000), " ",IF(INDEX($AC$2:$AS$1001,MATCH(ROWS($V$2:V461),$V$2:$V$1001,0),MATCH(COLUMNS($AC$1006:AR1006),$AC$1006:$AS$1006,0)), HYPERLINK("#",""), HYPERLINK(CONCATENATE("#metadata!", ADDRESS(INDEX($X$2:$X$1001,MATCH(ROWS($V$2:V461),$V$2:$V$1001,0),0), INDEX($AC$1004:$AS$1004,1,MATCH(COLUMNS($AC$1006:AR1006),$AC$1006:$AS$1006,0)))),"Fix")))</f>
        <v xml:space="preserve"> </v>
      </c>
      <c r="R461" s="4" t="str">
        <f ca="1">IF(OR(INDEX($W$2:$W$1001,MATCH(ROWS($V$2:V461),$V$2:$V$1001,0),1)&gt;=100000,INDEX($AC$1005:$AS$1005,1,MATCH(COLUMNS($AC$1006:AS1006),$AC$1006:$AS$1006,0))&gt;=100000), " ",IF(INDEX($AC$2:$AS$1001,MATCH(ROWS($V$2:V461),$V$2:$V$1001,0),MATCH(COLUMNS($AC$1006:AS1006),$AC$1006:$AS$1006,0)), HYPERLINK("#",""), HYPERLINK(CONCATENATE("#metadata!", ADDRESS(INDEX($X$2:$X$1001,MATCH(ROWS($V$2:V461),$V$2:$V$1001,0),0), INDEX($AC$1004:$AS$1004,1,MATCH(COLUMNS($AC$1006:AS1006),$AC$1006:$AS$1006,0)))),"Fix")))</f>
        <v xml:space="preserve"> </v>
      </c>
      <c r="V461">
        <v>460</v>
      </c>
      <c r="W461">
        <v>100461</v>
      </c>
      <c r="X461">
        <v>461</v>
      </c>
      <c r="Y461" t="b">
        <f t="shared" si="7"/>
        <v>1</v>
      </c>
      <c r="Z461" t="b">
        <f>COUNTBLANK(metadata!B461:R461)=COLUMNS(metadata!B461:R461)</f>
        <v>1</v>
      </c>
      <c r="AA461" t="str">
        <v/>
      </c>
      <c r="AC461" t="b">
        <f ca="1"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AD461" t="b">
        <f>IF(metadata!C461="",FALSE,ISNUMBER(VALUE(metadata!C461)))</f>
        <v>0</v>
      </c>
      <c r="AE461" t="b">
        <f>AND(IF(metadata!D461="",FALSE,TRUE),EXACT(metadata!D461,"years"))</f>
        <v>0</v>
      </c>
      <c r="AF461" t="b">
        <f>OR(AND(IF(metadata!E461="",FALSE,TRUE),OR(EXACT(metadata!E461,"not applicable"),EXACT(metadata!E461,"missing: not collected"),EXACT(metadata!E461,"missing: not provided"),EXACT(metadata!E461,"missing: restricted access"))),AND(IF(metadata!E461="",FALSE,ISNUMBER(VALUE(metadata!E461))),metadata!E461&gt;0))</f>
        <v>0</v>
      </c>
      <c r="AG461" t="b">
        <f>AND(IF(metadata!F461="",FALSE,TRUE),EXACT(metadata!F461,"Not applicable"))</f>
        <v>0</v>
      </c>
      <c r="AH461" t="b">
        <f>AND(IF(metadata!G461="",FALSE,TRUE),EXACT(metadata!G461,"urban biome"))</f>
        <v>0</v>
      </c>
      <c r="AI461" t="b">
        <f>AND(IF(metadata!H461="",FALSE,TRUE),EXACT(metadata!H461,"human-associated habitat"))</f>
        <v>0</v>
      </c>
      <c r="AJ461" t="b">
        <f>AND(IF(metadata!I461="",FALSE,TRUE),OR(EXACT(metadata!I461,"human-associated"),EXACT(metadata!I461,"human-skin"),EXACT(metadata!I461,"human-oral"),EXACT(metadata!I461,"human-gut"),EXACT(metadata!I461,"human-vaginal")))</f>
        <v>0</v>
      </c>
      <c r="AK461" t="b">
        <f>IF(metadata!J461="",FALSE,ISNUMBER(VALUE(metadata!J461)))</f>
        <v>0</v>
      </c>
      <c r="AL461" t="b">
        <f>AND(IF(metadata!K461="",FALSE,TRUE),EXACT(metadata!K461,"cm"))</f>
        <v>0</v>
      </c>
      <c r="AM461" t="b">
        <f>AND(IF(metadata!L461="",FALSE,TRUE),EXACT(metadata!L461,"human"))</f>
        <v>0</v>
      </c>
      <c r="AN461" t="b">
        <f>AND(IF(metadata!M461="",FALSE,TRUE),EXACT(metadata!M461,"Homo sapiens"))</f>
        <v>0</v>
      </c>
      <c r="AO461" t="b">
        <f>AND(IF(metadata!N461="",FALSE,TRUE),EXACT(metadata!N461,"9606"))</f>
        <v>0</v>
      </c>
      <c r="AP461" t="b">
        <f>IF(metadata!O461="",FALSE,TRUE)</f>
        <v>0</v>
      </c>
      <c r="AQ461" t="b">
        <f>IF(metadata!P461="",FALSE,TRUE)</f>
        <v>0</v>
      </c>
      <c r="AR461" t="b">
        <f>IF(metadata!Q461="",FALSE,ISNUMBER(VALUE(metadata!Q461)))</f>
        <v>0</v>
      </c>
      <c r="AS461" t="b">
        <f>AND(IF(metadata!R461="",FALSE,TRUE),EXACT(metadata!R461,"kg"))</f>
        <v>0</v>
      </c>
    </row>
    <row r="462" spans="1:45" x14ac:dyDescent="0.2">
      <c r="A462" s="5" t="str">
        <f ca="1">IF(B462=" "," ",HYPERLINK(CONCATENATE("#metadata!",ADDRESS(INDEX($X$2:$X$1001,MATCH(ROWS($V$2:V462),$V$2:$V$1001,0),0),1)),INDEX($AA$2:$AA$1001,MATCH(ROWS($V$2:V462),$V$2:$V$1001,0),0)))</f>
        <v xml:space="preserve"> </v>
      </c>
      <c r="B462" s="4" t="str">
        <f ca="1">IF(OR(INDEX($W$2:$W$1001,MATCH(ROWS($V$2:V462),$V$2:$V$1001,0),1)&gt;=100000,INDEX($AC$1005:$AS$1005,1,MATCH(COLUMNS($AC$1006:AC1006),$AC$1006:$AS$1006,0))&gt;=100000), " ",IF(INDEX($AC$2:$AS$1001,MATCH(ROWS($V$2:V462),$V$2:$V$1001,0),MATCH(COLUMNS($AC$1006:AC1006),$AC$1006:$AS$1006,0)), HYPERLINK("#",""), HYPERLINK(CONCATENATE("#metadata!", ADDRESS(INDEX($X$2:$X$1001,MATCH(ROWS($V$2:V462),$V$2:$V$1001,0),0), INDEX($AC$1004:$AS$1004,1,MATCH(COLUMNS($AC$1006:AC1006),$AC$1006:$AS$1006,0)))),"Fix")))</f>
        <v xml:space="preserve"> </v>
      </c>
      <c r="C462" s="4" t="str">
        <f ca="1">IF(OR(INDEX($W$2:$W$1001,MATCH(ROWS($V$2:V462),$V$2:$V$1001,0),1)&gt;=100000,INDEX($AC$1005:$AS$1005,1,MATCH(COLUMNS($AC$1006:AD1006),$AC$1006:$AS$1006,0))&gt;=100000), " ",IF(INDEX($AC$2:$AS$1001,MATCH(ROWS($V$2:V462),$V$2:$V$1001,0),MATCH(COLUMNS($AC$1006:AD1006),$AC$1006:$AS$1006,0)), HYPERLINK("#",""), HYPERLINK(CONCATENATE("#metadata!", ADDRESS(INDEX($X$2:$X$1001,MATCH(ROWS($V$2:V462),$V$2:$V$1001,0),0), INDEX($AC$1004:$AS$1004,1,MATCH(COLUMNS($AC$1006:AD1006),$AC$1006:$AS$1006,0)))),"Fix")))</f>
        <v xml:space="preserve"> </v>
      </c>
      <c r="D462" s="4" t="str">
        <f ca="1">IF(OR(INDEX($W$2:$W$1001,MATCH(ROWS($V$2:V462),$V$2:$V$1001,0),1)&gt;=100000,INDEX($AC$1005:$AS$1005,1,MATCH(COLUMNS($AC$1006:AE1006),$AC$1006:$AS$1006,0))&gt;=100000), " ",IF(INDEX($AC$2:$AS$1001,MATCH(ROWS($V$2:V462),$V$2:$V$1001,0),MATCH(COLUMNS($AC$1006:AE1006),$AC$1006:$AS$1006,0)), HYPERLINK("#",""), HYPERLINK(CONCATENATE("#metadata!", ADDRESS(INDEX($X$2:$X$1001,MATCH(ROWS($V$2:V462),$V$2:$V$1001,0),0), INDEX($AC$1004:$AS$1004,1,MATCH(COLUMNS($AC$1006:AE1006),$AC$1006:$AS$1006,0)))),"Fix")))</f>
        <v xml:space="preserve"> </v>
      </c>
      <c r="E462" s="4" t="str">
        <f ca="1">IF(OR(INDEX($W$2:$W$1001,MATCH(ROWS($V$2:V462),$V$2:$V$1001,0),1)&gt;=100000,INDEX($AC$1005:$AS$1005,1,MATCH(COLUMNS($AC$1006:AF1006),$AC$1006:$AS$1006,0))&gt;=100000), " ",IF(INDEX($AC$2:$AS$1001,MATCH(ROWS($V$2:V462),$V$2:$V$1001,0),MATCH(COLUMNS($AC$1006:AF1006),$AC$1006:$AS$1006,0)), HYPERLINK("#",""), HYPERLINK(CONCATENATE("#metadata!", ADDRESS(INDEX($X$2:$X$1001,MATCH(ROWS($V$2:V462),$V$2:$V$1001,0),0), INDEX($AC$1004:$AS$1004,1,MATCH(COLUMNS($AC$1006:AF1006),$AC$1006:$AS$1006,0)))),"Fix")))</f>
        <v xml:space="preserve"> </v>
      </c>
      <c r="F462" s="4" t="str">
        <f ca="1">IF(OR(INDEX($W$2:$W$1001,MATCH(ROWS($V$2:V462),$V$2:$V$1001,0),1)&gt;=100000,INDEX($AC$1005:$AS$1005,1,MATCH(COLUMNS($AC$1006:AG1006),$AC$1006:$AS$1006,0))&gt;=100000), " ",IF(INDEX($AC$2:$AS$1001,MATCH(ROWS($V$2:V462),$V$2:$V$1001,0),MATCH(COLUMNS($AC$1006:AG1006),$AC$1006:$AS$1006,0)), HYPERLINK("#",""), HYPERLINK(CONCATENATE("#metadata!", ADDRESS(INDEX($X$2:$X$1001,MATCH(ROWS($V$2:V462),$V$2:$V$1001,0),0), INDEX($AC$1004:$AS$1004,1,MATCH(COLUMNS($AC$1006:AG1006),$AC$1006:$AS$1006,0)))),"Fix")))</f>
        <v xml:space="preserve"> </v>
      </c>
      <c r="G462" s="4" t="str">
        <f ca="1">IF(OR(INDEX($W$2:$W$1001,MATCH(ROWS($V$2:V462),$V$2:$V$1001,0),1)&gt;=100000,INDEX($AC$1005:$AS$1005,1,MATCH(COLUMNS($AC$1006:AH1006),$AC$1006:$AS$1006,0))&gt;=100000), " ",IF(INDEX($AC$2:$AS$1001,MATCH(ROWS($V$2:V462),$V$2:$V$1001,0),MATCH(COLUMNS($AC$1006:AH1006),$AC$1006:$AS$1006,0)), HYPERLINK("#",""), HYPERLINK(CONCATENATE("#metadata!", ADDRESS(INDEX($X$2:$X$1001,MATCH(ROWS($V$2:V462),$V$2:$V$1001,0),0), INDEX($AC$1004:$AS$1004,1,MATCH(COLUMNS($AC$1006:AH1006),$AC$1006:$AS$1006,0)))),"Fix")))</f>
        <v xml:space="preserve"> </v>
      </c>
      <c r="H462" s="4" t="str">
        <f ca="1">IF(OR(INDEX($W$2:$W$1001,MATCH(ROWS($V$2:V462),$V$2:$V$1001,0),1)&gt;=100000,INDEX($AC$1005:$AS$1005,1,MATCH(COLUMNS($AC$1006:AI1006),$AC$1006:$AS$1006,0))&gt;=100000), " ",IF(INDEX($AC$2:$AS$1001,MATCH(ROWS($V$2:V462),$V$2:$V$1001,0),MATCH(COLUMNS($AC$1006:AI1006),$AC$1006:$AS$1006,0)), HYPERLINK("#",""), HYPERLINK(CONCATENATE("#metadata!", ADDRESS(INDEX($X$2:$X$1001,MATCH(ROWS($V$2:V462),$V$2:$V$1001,0),0), INDEX($AC$1004:$AS$1004,1,MATCH(COLUMNS($AC$1006:AI1006),$AC$1006:$AS$1006,0)))),"Fix")))</f>
        <v xml:space="preserve"> </v>
      </c>
      <c r="I462" s="4" t="str">
        <f ca="1">IF(OR(INDEX($W$2:$W$1001,MATCH(ROWS($V$2:V462),$V$2:$V$1001,0),1)&gt;=100000,INDEX($AC$1005:$AS$1005,1,MATCH(COLUMNS($AC$1006:AJ1006),$AC$1006:$AS$1006,0))&gt;=100000), " ",IF(INDEX($AC$2:$AS$1001,MATCH(ROWS($V$2:V462),$V$2:$V$1001,0),MATCH(COLUMNS($AC$1006:AJ1006),$AC$1006:$AS$1006,0)), HYPERLINK("#",""), HYPERLINK(CONCATENATE("#metadata!", ADDRESS(INDEX($X$2:$X$1001,MATCH(ROWS($V$2:V462),$V$2:$V$1001,0),0), INDEX($AC$1004:$AS$1004,1,MATCH(COLUMNS($AC$1006:AJ1006),$AC$1006:$AS$1006,0)))),"Fix")))</f>
        <v xml:space="preserve"> </v>
      </c>
      <c r="J462" s="4" t="str">
        <f ca="1">IF(OR(INDEX($W$2:$W$1001,MATCH(ROWS($V$2:V462),$V$2:$V$1001,0),1)&gt;=100000,INDEX($AC$1005:$AS$1005,1,MATCH(COLUMNS($AC$1006:AK1006),$AC$1006:$AS$1006,0))&gt;=100000), " ",IF(INDEX($AC$2:$AS$1001,MATCH(ROWS($V$2:V462),$V$2:$V$1001,0),MATCH(COLUMNS($AC$1006:AK1006),$AC$1006:$AS$1006,0)), HYPERLINK("#",""), HYPERLINK(CONCATENATE("#metadata!", ADDRESS(INDEX($X$2:$X$1001,MATCH(ROWS($V$2:V462),$V$2:$V$1001,0),0), INDEX($AC$1004:$AS$1004,1,MATCH(COLUMNS($AC$1006:AK1006),$AC$1006:$AS$1006,0)))),"Fix")))</f>
        <v xml:space="preserve"> </v>
      </c>
      <c r="K462" s="4" t="str">
        <f ca="1">IF(OR(INDEX($W$2:$W$1001,MATCH(ROWS($V$2:V462),$V$2:$V$1001,0),1)&gt;=100000,INDEX($AC$1005:$AS$1005,1,MATCH(COLUMNS($AC$1006:AL1006),$AC$1006:$AS$1006,0))&gt;=100000), " ",IF(INDEX($AC$2:$AS$1001,MATCH(ROWS($V$2:V462),$V$2:$V$1001,0),MATCH(COLUMNS($AC$1006:AL1006),$AC$1006:$AS$1006,0)), HYPERLINK("#",""), HYPERLINK(CONCATENATE("#metadata!", ADDRESS(INDEX($X$2:$X$1001,MATCH(ROWS($V$2:V462),$V$2:$V$1001,0),0), INDEX($AC$1004:$AS$1004,1,MATCH(COLUMNS($AC$1006:AL1006),$AC$1006:$AS$1006,0)))),"Fix")))</f>
        <v xml:space="preserve"> </v>
      </c>
      <c r="L462" s="4" t="str">
        <f ca="1">IF(OR(INDEX($W$2:$W$1001,MATCH(ROWS($V$2:V462),$V$2:$V$1001,0),1)&gt;=100000,INDEX($AC$1005:$AS$1005,1,MATCH(COLUMNS($AC$1006:AM1006),$AC$1006:$AS$1006,0))&gt;=100000), " ",IF(INDEX($AC$2:$AS$1001,MATCH(ROWS($V$2:V462),$V$2:$V$1001,0),MATCH(COLUMNS($AC$1006:AM1006),$AC$1006:$AS$1006,0)), HYPERLINK("#",""), HYPERLINK(CONCATENATE("#metadata!", ADDRESS(INDEX($X$2:$X$1001,MATCH(ROWS($V$2:V462),$V$2:$V$1001,0),0), INDEX($AC$1004:$AS$1004,1,MATCH(COLUMNS($AC$1006:AM1006),$AC$1006:$AS$1006,0)))),"Fix")))</f>
        <v xml:space="preserve"> </v>
      </c>
      <c r="M462" s="4" t="str">
        <f ca="1">IF(OR(INDEX($W$2:$W$1001,MATCH(ROWS($V$2:V462),$V$2:$V$1001,0),1)&gt;=100000,INDEX($AC$1005:$AS$1005,1,MATCH(COLUMNS($AC$1006:AN1006),$AC$1006:$AS$1006,0))&gt;=100000), " ",IF(INDEX($AC$2:$AS$1001,MATCH(ROWS($V$2:V462),$V$2:$V$1001,0),MATCH(COLUMNS($AC$1006:AN1006),$AC$1006:$AS$1006,0)), HYPERLINK("#",""), HYPERLINK(CONCATENATE("#metadata!", ADDRESS(INDEX($X$2:$X$1001,MATCH(ROWS($V$2:V462),$V$2:$V$1001,0),0), INDEX($AC$1004:$AS$1004,1,MATCH(COLUMNS($AC$1006:AN1006),$AC$1006:$AS$1006,0)))),"Fix")))</f>
        <v xml:space="preserve"> </v>
      </c>
      <c r="N462" s="4" t="str">
        <f ca="1">IF(OR(INDEX($W$2:$W$1001,MATCH(ROWS($V$2:V462),$V$2:$V$1001,0),1)&gt;=100000,INDEX($AC$1005:$AS$1005,1,MATCH(COLUMNS($AC$1006:AO1006),$AC$1006:$AS$1006,0))&gt;=100000), " ",IF(INDEX($AC$2:$AS$1001,MATCH(ROWS($V$2:V462),$V$2:$V$1001,0),MATCH(COLUMNS($AC$1006:AO1006),$AC$1006:$AS$1006,0)), HYPERLINK("#",""), HYPERLINK(CONCATENATE("#metadata!", ADDRESS(INDEX($X$2:$X$1001,MATCH(ROWS($V$2:V462),$V$2:$V$1001,0),0), INDEX($AC$1004:$AS$1004,1,MATCH(COLUMNS($AC$1006:AO1006),$AC$1006:$AS$1006,0)))),"Fix")))</f>
        <v xml:space="preserve"> </v>
      </c>
      <c r="O462" s="4" t="str">
        <f ca="1">IF(OR(INDEX($W$2:$W$1001,MATCH(ROWS($V$2:V462),$V$2:$V$1001,0),1)&gt;=100000,INDEX($AC$1005:$AS$1005,1,MATCH(COLUMNS($AC$1006:AP1006),$AC$1006:$AS$1006,0))&gt;=100000), " ",IF(INDEX($AC$2:$AS$1001,MATCH(ROWS($V$2:V462),$V$2:$V$1001,0),MATCH(COLUMNS($AC$1006:AP1006),$AC$1006:$AS$1006,0)), HYPERLINK("#",""), HYPERLINK(CONCATENATE("#metadata!", ADDRESS(INDEX($X$2:$X$1001,MATCH(ROWS($V$2:V462),$V$2:$V$1001,0),0), INDEX($AC$1004:$AS$1004,1,MATCH(COLUMNS($AC$1006:AP1006),$AC$1006:$AS$1006,0)))),"Fix")))</f>
        <v xml:space="preserve"> </v>
      </c>
      <c r="P462" s="4" t="str">
        <f ca="1">IF(OR(INDEX($W$2:$W$1001,MATCH(ROWS($V$2:V462),$V$2:$V$1001,0),1)&gt;=100000,INDEX($AC$1005:$AS$1005,1,MATCH(COLUMNS($AC$1006:AQ1006),$AC$1006:$AS$1006,0))&gt;=100000), " ",IF(INDEX($AC$2:$AS$1001,MATCH(ROWS($V$2:V462),$V$2:$V$1001,0),MATCH(COLUMNS($AC$1006:AQ1006),$AC$1006:$AS$1006,0)), HYPERLINK("#",""), HYPERLINK(CONCATENATE("#metadata!", ADDRESS(INDEX($X$2:$X$1001,MATCH(ROWS($V$2:V462),$V$2:$V$1001,0),0), INDEX($AC$1004:$AS$1004,1,MATCH(COLUMNS($AC$1006:AQ1006),$AC$1006:$AS$1006,0)))),"Fix")))</f>
        <v xml:space="preserve"> </v>
      </c>
      <c r="Q462" s="4" t="str">
        <f ca="1">IF(OR(INDEX($W$2:$W$1001,MATCH(ROWS($V$2:V462),$V$2:$V$1001,0),1)&gt;=100000,INDEX($AC$1005:$AS$1005,1,MATCH(COLUMNS($AC$1006:AR1006),$AC$1006:$AS$1006,0))&gt;=100000), " ",IF(INDEX($AC$2:$AS$1001,MATCH(ROWS($V$2:V462),$V$2:$V$1001,0),MATCH(COLUMNS($AC$1006:AR1006),$AC$1006:$AS$1006,0)), HYPERLINK("#",""), HYPERLINK(CONCATENATE("#metadata!", ADDRESS(INDEX($X$2:$X$1001,MATCH(ROWS($V$2:V462),$V$2:$V$1001,0),0), INDEX($AC$1004:$AS$1004,1,MATCH(COLUMNS($AC$1006:AR1006),$AC$1006:$AS$1006,0)))),"Fix")))</f>
        <v xml:space="preserve"> </v>
      </c>
      <c r="R462" s="4" t="str">
        <f ca="1">IF(OR(INDEX($W$2:$W$1001,MATCH(ROWS($V$2:V462),$V$2:$V$1001,0),1)&gt;=100000,INDEX($AC$1005:$AS$1005,1,MATCH(COLUMNS($AC$1006:AS1006),$AC$1006:$AS$1006,0))&gt;=100000), " ",IF(INDEX($AC$2:$AS$1001,MATCH(ROWS($V$2:V462),$V$2:$V$1001,0),MATCH(COLUMNS($AC$1006:AS1006),$AC$1006:$AS$1006,0)), HYPERLINK("#",""), HYPERLINK(CONCATENATE("#metadata!", ADDRESS(INDEX($X$2:$X$1001,MATCH(ROWS($V$2:V462),$V$2:$V$1001,0),0), INDEX($AC$1004:$AS$1004,1,MATCH(COLUMNS($AC$1006:AS1006),$AC$1006:$AS$1006,0)))),"Fix")))</f>
        <v xml:space="preserve"> </v>
      </c>
      <c r="V462">
        <v>461</v>
      </c>
      <c r="W462">
        <v>100462</v>
      </c>
      <c r="X462">
        <v>462</v>
      </c>
      <c r="Y462" t="b">
        <f t="shared" si="7"/>
        <v>1</v>
      </c>
      <c r="Z462" t="b">
        <f>COUNTBLANK(metadata!B462:R462)=COLUMNS(metadata!B462:R462)</f>
        <v>1</v>
      </c>
      <c r="AA462" t="str">
        <v/>
      </c>
      <c r="AC462" t="b">
        <f ca="1"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AD462" t="b">
        <f>IF(metadata!C462="",FALSE,ISNUMBER(VALUE(metadata!C462)))</f>
        <v>0</v>
      </c>
      <c r="AE462" t="b">
        <f>AND(IF(metadata!D462="",FALSE,TRUE),EXACT(metadata!D462,"years"))</f>
        <v>0</v>
      </c>
      <c r="AF462" t="b">
        <f>OR(AND(IF(metadata!E462="",FALSE,TRUE),OR(EXACT(metadata!E462,"not applicable"),EXACT(metadata!E462,"missing: not collected"),EXACT(metadata!E462,"missing: not provided"),EXACT(metadata!E462,"missing: restricted access"))),AND(IF(metadata!E462="",FALSE,ISNUMBER(VALUE(metadata!E462))),metadata!E462&gt;0))</f>
        <v>0</v>
      </c>
      <c r="AG462" t="b">
        <f>AND(IF(metadata!F462="",FALSE,TRUE),EXACT(metadata!F462,"Not applicable"))</f>
        <v>0</v>
      </c>
      <c r="AH462" t="b">
        <f>AND(IF(metadata!G462="",FALSE,TRUE),EXACT(metadata!G462,"urban biome"))</f>
        <v>0</v>
      </c>
      <c r="AI462" t="b">
        <f>AND(IF(metadata!H462="",FALSE,TRUE),EXACT(metadata!H462,"human-associated habitat"))</f>
        <v>0</v>
      </c>
      <c r="AJ462" t="b">
        <f>AND(IF(metadata!I462="",FALSE,TRUE),OR(EXACT(metadata!I462,"human-associated"),EXACT(metadata!I462,"human-skin"),EXACT(metadata!I462,"human-oral"),EXACT(metadata!I462,"human-gut"),EXACT(metadata!I462,"human-vaginal")))</f>
        <v>0</v>
      </c>
      <c r="AK462" t="b">
        <f>IF(metadata!J462="",FALSE,ISNUMBER(VALUE(metadata!J462)))</f>
        <v>0</v>
      </c>
      <c r="AL462" t="b">
        <f>AND(IF(metadata!K462="",FALSE,TRUE),EXACT(metadata!K462,"cm"))</f>
        <v>0</v>
      </c>
      <c r="AM462" t="b">
        <f>AND(IF(metadata!L462="",FALSE,TRUE),EXACT(metadata!L462,"human"))</f>
        <v>0</v>
      </c>
      <c r="AN462" t="b">
        <f>AND(IF(metadata!M462="",FALSE,TRUE),EXACT(metadata!M462,"Homo sapiens"))</f>
        <v>0</v>
      </c>
      <c r="AO462" t="b">
        <f>AND(IF(metadata!N462="",FALSE,TRUE),EXACT(metadata!N462,"9606"))</f>
        <v>0</v>
      </c>
      <c r="AP462" t="b">
        <f>IF(metadata!O462="",FALSE,TRUE)</f>
        <v>0</v>
      </c>
      <c r="AQ462" t="b">
        <f>IF(metadata!P462="",FALSE,TRUE)</f>
        <v>0</v>
      </c>
      <c r="AR462" t="b">
        <f>IF(metadata!Q462="",FALSE,ISNUMBER(VALUE(metadata!Q462)))</f>
        <v>0</v>
      </c>
      <c r="AS462" t="b">
        <f>AND(IF(metadata!R462="",FALSE,TRUE),EXACT(metadata!R462,"kg"))</f>
        <v>0</v>
      </c>
    </row>
    <row r="463" spans="1:45" x14ac:dyDescent="0.2">
      <c r="A463" s="5" t="str">
        <f ca="1">IF(B463=" "," ",HYPERLINK(CONCATENATE("#metadata!",ADDRESS(INDEX($X$2:$X$1001,MATCH(ROWS($V$2:V463),$V$2:$V$1001,0),0),1)),INDEX($AA$2:$AA$1001,MATCH(ROWS($V$2:V463),$V$2:$V$1001,0),0)))</f>
        <v xml:space="preserve"> </v>
      </c>
      <c r="B463" s="4" t="str">
        <f ca="1">IF(OR(INDEX($W$2:$W$1001,MATCH(ROWS($V$2:V463),$V$2:$V$1001,0),1)&gt;=100000,INDEX($AC$1005:$AS$1005,1,MATCH(COLUMNS($AC$1006:AC1006),$AC$1006:$AS$1006,0))&gt;=100000), " ",IF(INDEX($AC$2:$AS$1001,MATCH(ROWS($V$2:V463),$V$2:$V$1001,0),MATCH(COLUMNS($AC$1006:AC1006),$AC$1006:$AS$1006,0)), HYPERLINK("#",""), HYPERLINK(CONCATENATE("#metadata!", ADDRESS(INDEX($X$2:$X$1001,MATCH(ROWS($V$2:V463),$V$2:$V$1001,0),0), INDEX($AC$1004:$AS$1004,1,MATCH(COLUMNS($AC$1006:AC1006),$AC$1006:$AS$1006,0)))),"Fix")))</f>
        <v xml:space="preserve"> </v>
      </c>
      <c r="C463" s="4" t="str">
        <f ca="1">IF(OR(INDEX($W$2:$W$1001,MATCH(ROWS($V$2:V463),$V$2:$V$1001,0),1)&gt;=100000,INDEX($AC$1005:$AS$1005,1,MATCH(COLUMNS($AC$1006:AD1006),$AC$1006:$AS$1006,0))&gt;=100000), " ",IF(INDEX($AC$2:$AS$1001,MATCH(ROWS($V$2:V463),$V$2:$V$1001,0),MATCH(COLUMNS($AC$1006:AD1006),$AC$1006:$AS$1006,0)), HYPERLINK("#",""), HYPERLINK(CONCATENATE("#metadata!", ADDRESS(INDEX($X$2:$X$1001,MATCH(ROWS($V$2:V463),$V$2:$V$1001,0),0), INDEX($AC$1004:$AS$1004,1,MATCH(COLUMNS($AC$1006:AD1006),$AC$1006:$AS$1006,0)))),"Fix")))</f>
        <v xml:space="preserve"> </v>
      </c>
      <c r="D463" s="4" t="str">
        <f ca="1">IF(OR(INDEX($W$2:$W$1001,MATCH(ROWS($V$2:V463),$V$2:$V$1001,0),1)&gt;=100000,INDEX($AC$1005:$AS$1005,1,MATCH(COLUMNS($AC$1006:AE1006),$AC$1006:$AS$1006,0))&gt;=100000), " ",IF(INDEX($AC$2:$AS$1001,MATCH(ROWS($V$2:V463),$V$2:$V$1001,0),MATCH(COLUMNS($AC$1006:AE1006),$AC$1006:$AS$1006,0)), HYPERLINK("#",""), HYPERLINK(CONCATENATE("#metadata!", ADDRESS(INDEX($X$2:$X$1001,MATCH(ROWS($V$2:V463),$V$2:$V$1001,0),0), INDEX($AC$1004:$AS$1004,1,MATCH(COLUMNS($AC$1006:AE1006),$AC$1006:$AS$1006,0)))),"Fix")))</f>
        <v xml:space="preserve"> </v>
      </c>
      <c r="E463" s="4" t="str">
        <f ca="1">IF(OR(INDEX($W$2:$W$1001,MATCH(ROWS($V$2:V463),$V$2:$V$1001,0),1)&gt;=100000,INDEX($AC$1005:$AS$1005,1,MATCH(COLUMNS($AC$1006:AF1006),$AC$1006:$AS$1006,0))&gt;=100000), " ",IF(INDEX($AC$2:$AS$1001,MATCH(ROWS($V$2:V463),$V$2:$V$1001,0),MATCH(COLUMNS($AC$1006:AF1006),$AC$1006:$AS$1006,0)), HYPERLINK("#",""), HYPERLINK(CONCATENATE("#metadata!", ADDRESS(INDEX($X$2:$X$1001,MATCH(ROWS($V$2:V463),$V$2:$V$1001,0),0), INDEX($AC$1004:$AS$1004,1,MATCH(COLUMNS($AC$1006:AF1006),$AC$1006:$AS$1006,0)))),"Fix")))</f>
        <v xml:space="preserve"> </v>
      </c>
      <c r="F463" s="4" t="str">
        <f ca="1">IF(OR(INDEX($W$2:$W$1001,MATCH(ROWS($V$2:V463),$V$2:$V$1001,0),1)&gt;=100000,INDEX($AC$1005:$AS$1005,1,MATCH(COLUMNS($AC$1006:AG1006),$AC$1006:$AS$1006,0))&gt;=100000), " ",IF(INDEX($AC$2:$AS$1001,MATCH(ROWS($V$2:V463),$V$2:$V$1001,0),MATCH(COLUMNS($AC$1006:AG1006),$AC$1006:$AS$1006,0)), HYPERLINK("#",""), HYPERLINK(CONCATENATE("#metadata!", ADDRESS(INDEX($X$2:$X$1001,MATCH(ROWS($V$2:V463),$V$2:$V$1001,0),0), INDEX($AC$1004:$AS$1004,1,MATCH(COLUMNS($AC$1006:AG1006),$AC$1006:$AS$1006,0)))),"Fix")))</f>
        <v xml:space="preserve"> </v>
      </c>
      <c r="G463" s="4" t="str">
        <f ca="1">IF(OR(INDEX($W$2:$W$1001,MATCH(ROWS($V$2:V463),$V$2:$V$1001,0),1)&gt;=100000,INDEX($AC$1005:$AS$1005,1,MATCH(COLUMNS($AC$1006:AH1006),$AC$1006:$AS$1006,0))&gt;=100000), " ",IF(INDEX($AC$2:$AS$1001,MATCH(ROWS($V$2:V463),$V$2:$V$1001,0),MATCH(COLUMNS($AC$1006:AH1006),$AC$1006:$AS$1006,0)), HYPERLINK("#",""), HYPERLINK(CONCATENATE("#metadata!", ADDRESS(INDEX($X$2:$X$1001,MATCH(ROWS($V$2:V463),$V$2:$V$1001,0),0), INDEX($AC$1004:$AS$1004,1,MATCH(COLUMNS($AC$1006:AH1006),$AC$1006:$AS$1006,0)))),"Fix")))</f>
        <v xml:space="preserve"> </v>
      </c>
      <c r="H463" s="4" t="str">
        <f ca="1">IF(OR(INDEX($W$2:$W$1001,MATCH(ROWS($V$2:V463),$V$2:$V$1001,0),1)&gt;=100000,INDEX($AC$1005:$AS$1005,1,MATCH(COLUMNS($AC$1006:AI1006),$AC$1006:$AS$1006,0))&gt;=100000), " ",IF(INDEX($AC$2:$AS$1001,MATCH(ROWS($V$2:V463),$V$2:$V$1001,0),MATCH(COLUMNS($AC$1006:AI1006),$AC$1006:$AS$1006,0)), HYPERLINK("#",""), HYPERLINK(CONCATENATE("#metadata!", ADDRESS(INDEX($X$2:$X$1001,MATCH(ROWS($V$2:V463),$V$2:$V$1001,0),0), INDEX($AC$1004:$AS$1004,1,MATCH(COLUMNS($AC$1006:AI1006),$AC$1006:$AS$1006,0)))),"Fix")))</f>
        <v xml:space="preserve"> </v>
      </c>
      <c r="I463" s="4" t="str">
        <f ca="1">IF(OR(INDEX($W$2:$W$1001,MATCH(ROWS($V$2:V463),$V$2:$V$1001,0),1)&gt;=100000,INDEX($AC$1005:$AS$1005,1,MATCH(COLUMNS($AC$1006:AJ1006),$AC$1006:$AS$1006,0))&gt;=100000), " ",IF(INDEX($AC$2:$AS$1001,MATCH(ROWS($V$2:V463),$V$2:$V$1001,0),MATCH(COLUMNS($AC$1006:AJ1006),$AC$1006:$AS$1006,0)), HYPERLINK("#",""), HYPERLINK(CONCATENATE("#metadata!", ADDRESS(INDEX($X$2:$X$1001,MATCH(ROWS($V$2:V463),$V$2:$V$1001,0),0), INDEX($AC$1004:$AS$1004,1,MATCH(COLUMNS($AC$1006:AJ1006),$AC$1006:$AS$1006,0)))),"Fix")))</f>
        <v xml:space="preserve"> </v>
      </c>
      <c r="J463" s="4" t="str">
        <f ca="1">IF(OR(INDEX($W$2:$W$1001,MATCH(ROWS($V$2:V463),$V$2:$V$1001,0),1)&gt;=100000,INDEX($AC$1005:$AS$1005,1,MATCH(COLUMNS($AC$1006:AK1006),$AC$1006:$AS$1006,0))&gt;=100000), " ",IF(INDEX($AC$2:$AS$1001,MATCH(ROWS($V$2:V463),$V$2:$V$1001,0),MATCH(COLUMNS($AC$1006:AK1006),$AC$1006:$AS$1006,0)), HYPERLINK("#",""), HYPERLINK(CONCATENATE("#metadata!", ADDRESS(INDEX($X$2:$X$1001,MATCH(ROWS($V$2:V463),$V$2:$V$1001,0),0), INDEX($AC$1004:$AS$1004,1,MATCH(COLUMNS($AC$1006:AK1006),$AC$1006:$AS$1006,0)))),"Fix")))</f>
        <v xml:space="preserve"> </v>
      </c>
      <c r="K463" s="4" t="str">
        <f ca="1">IF(OR(INDEX($W$2:$W$1001,MATCH(ROWS($V$2:V463),$V$2:$V$1001,0),1)&gt;=100000,INDEX($AC$1005:$AS$1005,1,MATCH(COLUMNS($AC$1006:AL1006),$AC$1006:$AS$1006,0))&gt;=100000), " ",IF(INDEX($AC$2:$AS$1001,MATCH(ROWS($V$2:V463),$V$2:$V$1001,0),MATCH(COLUMNS($AC$1006:AL1006),$AC$1006:$AS$1006,0)), HYPERLINK("#",""), HYPERLINK(CONCATENATE("#metadata!", ADDRESS(INDEX($X$2:$X$1001,MATCH(ROWS($V$2:V463),$V$2:$V$1001,0),0), INDEX($AC$1004:$AS$1004,1,MATCH(COLUMNS($AC$1006:AL1006),$AC$1006:$AS$1006,0)))),"Fix")))</f>
        <v xml:space="preserve"> </v>
      </c>
      <c r="L463" s="4" t="str">
        <f ca="1">IF(OR(INDEX($W$2:$W$1001,MATCH(ROWS($V$2:V463),$V$2:$V$1001,0),1)&gt;=100000,INDEX($AC$1005:$AS$1005,1,MATCH(COLUMNS($AC$1006:AM1006),$AC$1006:$AS$1006,0))&gt;=100000), " ",IF(INDEX($AC$2:$AS$1001,MATCH(ROWS($V$2:V463),$V$2:$V$1001,0),MATCH(COLUMNS($AC$1006:AM1006),$AC$1006:$AS$1006,0)), HYPERLINK("#",""), HYPERLINK(CONCATENATE("#metadata!", ADDRESS(INDEX($X$2:$X$1001,MATCH(ROWS($V$2:V463),$V$2:$V$1001,0),0), INDEX($AC$1004:$AS$1004,1,MATCH(COLUMNS($AC$1006:AM1006),$AC$1006:$AS$1006,0)))),"Fix")))</f>
        <v xml:space="preserve"> </v>
      </c>
      <c r="M463" s="4" t="str">
        <f ca="1">IF(OR(INDEX($W$2:$W$1001,MATCH(ROWS($V$2:V463),$V$2:$V$1001,0),1)&gt;=100000,INDEX($AC$1005:$AS$1005,1,MATCH(COLUMNS($AC$1006:AN1006),$AC$1006:$AS$1006,0))&gt;=100000), " ",IF(INDEX($AC$2:$AS$1001,MATCH(ROWS($V$2:V463),$V$2:$V$1001,0),MATCH(COLUMNS($AC$1006:AN1006),$AC$1006:$AS$1006,0)), HYPERLINK("#",""), HYPERLINK(CONCATENATE("#metadata!", ADDRESS(INDEX($X$2:$X$1001,MATCH(ROWS($V$2:V463),$V$2:$V$1001,0),0), INDEX($AC$1004:$AS$1004,1,MATCH(COLUMNS($AC$1006:AN1006),$AC$1006:$AS$1006,0)))),"Fix")))</f>
        <v xml:space="preserve"> </v>
      </c>
      <c r="N463" s="4" t="str">
        <f ca="1">IF(OR(INDEX($W$2:$W$1001,MATCH(ROWS($V$2:V463),$V$2:$V$1001,0),1)&gt;=100000,INDEX($AC$1005:$AS$1005,1,MATCH(COLUMNS($AC$1006:AO1006),$AC$1006:$AS$1006,0))&gt;=100000), " ",IF(INDEX($AC$2:$AS$1001,MATCH(ROWS($V$2:V463),$V$2:$V$1001,0),MATCH(COLUMNS($AC$1006:AO1006),$AC$1006:$AS$1006,0)), HYPERLINK("#",""), HYPERLINK(CONCATENATE("#metadata!", ADDRESS(INDEX($X$2:$X$1001,MATCH(ROWS($V$2:V463),$V$2:$V$1001,0),0), INDEX($AC$1004:$AS$1004,1,MATCH(COLUMNS($AC$1006:AO1006),$AC$1006:$AS$1006,0)))),"Fix")))</f>
        <v xml:space="preserve"> </v>
      </c>
      <c r="O463" s="4" t="str">
        <f ca="1">IF(OR(INDEX($W$2:$W$1001,MATCH(ROWS($V$2:V463),$V$2:$V$1001,0),1)&gt;=100000,INDEX($AC$1005:$AS$1005,1,MATCH(COLUMNS($AC$1006:AP1006),$AC$1006:$AS$1006,0))&gt;=100000), " ",IF(INDEX($AC$2:$AS$1001,MATCH(ROWS($V$2:V463),$V$2:$V$1001,0),MATCH(COLUMNS($AC$1006:AP1006),$AC$1006:$AS$1006,0)), HYPERLINK("#",""), HYPERLINK(CONCATENATE("#metadata!", ADDRESS(INDEX($X$2:$X$1001,MATCH(ROWS($V$2:V463),$V$2:$V$1001,0),0), INDEX($AC$1004:$AS$1004,1,MATCH(COLUMNS($AC$1006:AP1006),$AC$1006:$AS$1006,0)))),"Fix")))</f>
        <v xml:space="preserve"> </v>
      </c>
      <c r="P463" s="4" t="str">
        <f ca="1">IF(OR(INDEX($W$2:$W$1001,MATCH(ROWS($V$2:V463),$V$2:$V$1001,0),1)&gt;=100000,INDEX($AC$1005:$AS$1005,1,MATCH(COLUMNS($AC$1006:AQ1006),$AC$1006:$AS$1006,0))&gt;=100000), " ",IF(INDEX($AC$2:$AS$1001,MATCH(ROWS($V$2:V463),$V$2:$V$1001,0),MATCH(COLUMNS($AC$1006:AQ1006),$AC$1006:$AS$1006,0)), HYPERLINK("#",""), HYPERLINK(CONCATENATE("#metadata!", ADDRESS(INDEX($X$2:$X$1001,MATCH(ROWS($V$2:V463),$V$2:$V$1001,0),0), INDEX($AC$1004:$AS$1004,1,MATCH(COLUMNS($AC$1006:AQ1006),$AC$1006:$AS$1006,0)))),"Fix")))</f>
        <v xml:space="preserve"> </v>
      </c>
      <c r="Q463" s="4" t="str">
        <f ca="1">IF(OR(INDEX($W$2:$W$1001,MATCH(ROWS($V$2:V463),$V$2:$V$1001,0),1)&gt;=100000,INDEX($AC$1005:$AS$1005,1,MATCH(COLUMNS($AC$1006:AR1006),$AC$1006:$AS$1006,0))&gt;=100000), " ",IF(INDEX($AC$2:$AS$1001,MATCH(ROWS($V$2:V463),$V$2:$V$1001,0),MATCH(COLUMNS($AC$1006:AR1006),$AC$1006:$AS$1006,0)), HYPERLINK("#",""), HYPERLINK(CONCATENATE("#metadata!", ADDRESS(INDEX($X$2:$X$1001,MATCH(ROWS($V$2:V463),$V$2:$V$1001,0),0), INDEX($AC$1004:$AS$1004,1,MATCH(COLUMNS($AC$1006:AR1006),$AC$1006:$AS$1006,0)))),"Fix")))</f>
        <v xml:space="preserve"> </v>
      </c>
      <c r="R463" s="4" t="str">
        <f ca="1">IF(OR(INDEX($W$2:$W$1001,MATCH(ROWS($V$2:V463),$V$2:$V$1001,0),1)&gt;=100000,INDEX($AC$1005:$AS$1005,1,MATCH(COLUMNS($AC$1006:AS1006),$AC$1006:$AS$1006,0))&gt;=100000), " ",IF(INDEX($AC$2:$AS$1001,MATCH(ROWS($V$2:V463),$V$2:$V$1001,0),MATCH(COLUMNS($AC$1006:AS1006),$AC$1006:$AS$1006,0)), HYPERLINK("#",""), HYPERLINK(CONCATENATE("#metadata!", ADDRESS(INDEX($X$2:$X$1001,MATCH(ROWS($V$2:V463),$V$2:$V$1001,0),0), INDEX($AC$1004:$AS$1004,1,MATCH(COLUMNS($AC$1006:AS1006),$AC$1006:$AS$1006,0)))),"Fix")))</f>
        <v xml:space="preserve"> </v>
      </c>
      <c r="V463">
        <v>462</v>
      </c>
      <c r="W463">
        <v>100463</v>
      </c>
      <c r="X463">
        <v>463</v>
      </c>
      <c r="Y463" t="b">
        <f t="shared" si="7"/>
        <v>1</v>
      </c>
      <c r="Z463" t="b">
        <f>COUNTBLANK(metadata!B463:R463)=COLUMNS(metadata!B463:R463)</f>
        <v>1</v>
      </c>
      <c r="AA463" t="str">
        <v/>
      </c>
      <c r="AC463" t="b">
        <f ca="1"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AD463" t="b">
        <f>IF(metadata!C463="",FALSE,ISNUMBER(VALUE(metadata!C463)))</f>
        <v>0</v>
      </c>
      <c r="AE463" t="b">
        <f>AND(IF(metadata!D463="",FALSE,TRUE),EXACT(metadata!D463,"years"))</f>
        <v>0</v>
      </c>
      <c r="AF463" t="b">
        <f>OR(AND(IF(metadata!E463="",FALSE,TRUE),OR(EXACT(metadata!E463,"not applicable"),EXACT(metadata!E463,"missing: not collected"),EXACT(metadata!E463,"missing: not provided"),EXACT(metadata!E463,"missing: restricted access"))),AND(IF(metadata!E463="",FALSE,ISNUMBER(VALUE(metadata!E463))),metadata!E463&gt;0))</f>
        <v>0</v>
      </c>
      <c r="AG463" t="b">
        <f>AND(IF(metadata!F463="",FALSE,TRUE),EXACT(metadata!F463,"Not applicable"))</f>
        <v>0</v>
      </c>
      <c r="AH463" t="b">
        <f>AND(IF(metadata!G463="",FALSE,TRUE),EXACT(metadata!G463,"urban biome"))</f>
        <v>0</v>
      </c>
      <c r="AI463" t="b">
        <f>AND(IF(metadata!H463="",FALSE,TRUE),EXACT(metadata!H463,"human-associated habitat"))</f>
        <v>0</v>
      </c>
      <c r="AJ463" t="b">
        <f>AND(IF(metadata!I463="",FALSE,TRUE),OR(EXACT(metadata!I463,"human-associated"),EXACT(metadata!I463,"human-skin"),EXACT(metadata!I463,"human-oral"),EXACT(metadata!I463,"human-gut"),EXACT(metadata!I463,"human-vaginal")))</f>
        <v>0</v>
      </c>
      <c r="AK463" t="b">
        <f>IF(metadata!J463="",FALSE,ISNUMBER(VALUE(metadata!J463)))</f>
        <v>0</v>
      </c>
      <c r="AL463" t="b">
        <f>AND(IF(metadata!K463="",FALSE,TRUE),EXACT(metadata!K463,"cm"))</f>
        <v>0</v>
      </c>
      <c r="AM463" t="b">
        <f>AND(IF(metadata!L463="",FALSE,TRUE),EXACT(metadata!L463,"human"))</f>
        <v>0</v>
      </c>
      <c r="AN463" t="b">
        <f>AND(IF(metadata!M463="",FALSE,TRUE),EXACT(metadata!M463,"Homo sapiens"))</f>
        <v>0</v>
      </c>
      <c r="AO463" t="b">
        <f>AND(IF(metadata!N463="",FALSE,TRUE),EXACT(metadata!N463,"9606"))</f>
        <v>0</v>
      </c>
      <c r="AP463" t="b">
        <f>IF(metadata!O463="",FALSE,TRUE)</f>
        <v>0</v>
      </c>
      <c r="AQ463" t="b">
        <f>IF(metadata!P463="",FALSE,TRUE)</f>
        <v>0</v>
      </c>
      <c r="AR463" t="b">
        <f>IF(metadata!Q463="",FALSE,ISNUMBER(VALUE(metadata!Q463)))</f>
        <v>0</v>
      </c>
      <c r="AS463" t="b">
        <f>AND(IF(metadata!R463="",FALSE,TRUE),EXACT(metadata!R463,"kg"))</f>
        <v>0</v>
      </c>
    </row>
    <row r="464" spans="1:45" x14ac:dyDescent="0.2">
      <c r="A464" s="5" t="str">
        <f ca="1">IF(B464=" "," ",HYPERLINK(CONCATENATE("#metadata!",ADDRESS(INDEX($X$2:$X$1001,MATCH(ROWS($V$2:V464),$V$2:$V$1001,0),0),1)),INDEX($AA$2:$AA$1001,MATCH(ROWS($V$2:V464),$V$2:$V$1001,0),0)))</f>
        <v xml:space="preserve"> </v>
      </c>
      <c r="B464" s="4" t="str">
        <f ca="1">IF(OR(INDEX($W$2:$W$1001,MATCH(ROWS($V$2:V464),$V$2:$V$1001,0),1)&gt;=100000,INDEX($AC$1005:$AS$1005,1,MATCH(COLUMNS($AC$1006:AC1006),$AC$1006:$AS$1006,0))&gt;=100000), " ",IF(INDEX($AC$2:$AS$1001,MATCH(ROWS($V$2:V464),$V$2:$V$1001,0),MATCH(COLUMNS($AC$1006:AC1006),$AC$1006:$AS$1006,0)), HYPERLINK("#",""), HYPERLINK(CONCATENATE("#metadata!", ADDRESS(INDEX($X$2:$X$1001,MATCH(ROWS($V$2:V464),$V$2:$V$1001,0),0), INDEX($AC$1004:$AS$1004,1,MATCH(COLUMNS($AC$1006:AC1006),$AC$1006:$AS$1006,0)))),"Fix")))</f>
        <v xml:space="preserve"> </v>
      </c>
      <c r="C464" s="4" t="str">
        <f ca="1">IF(OR(INDEX($W$2:$W$1001,MATCH(ROWS($V$2:V464),$V$2:$V$1001,0),1)&gt;=100000,INDEX($AC$1005:$AS$1005,1,MATCH(COLUMNS($AC$1006:AD1006),$AC$1006:$AS$1006,0))&gt;=100000), " ",IF(INDEX($AC$2:$AS$1001,MATCH(ROWS($V$2:V464),$V$2:$V$1001,0),MATCH(COLUMNS($AC$1006:AD1006),$AC$1006:$AS$1006,0)), HYPERLINK("#",""), HYPERLINK(CONCATENATE("#metadata!", ADDRESS(INDEX($X$2:$X$1001,MATCH(ROWS($V$2:V464),$V$2:$V$1001,0),0), INDEX($AC$1004:$AS$1004,1,MATCH(COLUMNS($AC$1006:AD1006),$AC$1006:$AS$1006,0)))),"Fix")))</f>
        <v xml:space="preserve"> </v>
      </c>
      <c r="D464" s="4" t="str">
        <f ca="1">IF(OR(INDEX($W$2:$W$1001,MATCH(ROWS($V$2:V464),$V$2:$V$1001,0),1)&gt;=100000,INDEX($AC$1005:$AS$1005,1,MATCH(COLUMNS($AC$1006:AE1006),$AC$1006:$AS$1006,0))&gt;=100000), " ",IF(INDEX($AC$2:$AS$1001,MATCH(ROWS($V$2:V464),$V$2:$V$1001,0),MATCH(COLUMNS($AC$1006:AE1006),$AC$1006:$AS$1006,0)), HYPERLINK("#",""), HYPERLINK(CONCATENATE("#metadata!", ADDRESS(INDEX($X$2:$X$1001,MATCH(ROWS($V$2:V464),$V$2:$V$1001,0),0), INDEX($AC$1004:$AS$1004,1,MATCH(COLUMNS($AC$1006:AE1006),$AC$1006:$AS$1006,0)))),"Fix")))</f>
        <v xml:space="preserve"> </v>
      </c>
      <c r="E464" s="4" t="str">
        <f ca="1">IF(OR(INDEX($W$2:$W$1001,MATCH(ROWS($V$2:V464),$V$2:$V$1001,0),1)&gt;=100000,INDEX($AC$1005:$AS$1005,1,MATCH(COLUMNS($AC$1006:AF1006),$AC$1006:$AS$1006,0))&gt;=100000), " ",IF(INDEX($AC$2:$AS$1001,MATCH(ROWS($V$2:V464),$V$2:$V$1001,0),MATCH(COLUMNS($AC$1006:AF1006),$AC$1006:$AS$1006,0)), HYPERLINK("#",""), HYPERLINK(CONCATENATE("#metadata!", ADDRESS(INDEX($X$2:$X$1001,MATCH(ROWS($V$2:V464),$V$2:$V$1001,0),0), INDEX($AC$1004:$AS$1004,1,MATCH(COLUMNS($AC$1006:AF1006),$AC$1006:$AS$1006,0)))),"Fix")))</f>
        <v xml:space="preserve"> </v>
      </c>
      <c r="F464" s="4" t="str">
        <f ca="1">IF(OR(INDEX($W$2:$W$1001,MATCH(ROWS($V$2:V464),$V$2:$V$1001,0),1)&gt;=100000,INDEX($AC$1005:$AS$1005,1,MATCH(COLUMNS($AC$1006:AG1006),$AC$1006:$AS$1006,0))&gt;=100000), " ",IF(INDEX($AC$2:$AS$1001,MATCH(ROWS($V$2:V464),$V$2:$V$1001,0),MATCH(COLUMNS($AC$1006:AG1006),$AC$1006:$AS$1006,0)), HYPERLINK("#",""), HYPERLINK(CONCATENATE("#metadata!", ADDRESS(INDEX($X$2:$X$1001,MATCH(ROWS($V$2:V464),$V$2:$V$1001,0),0), INDEX($AC$1004:$AS$1004,1,MATCH(COLUMNS($AC$1006:AG1006),$AC$1006:$AS$1006,0)))),"Fix")))</f>
        <v xml:space="preserve"> </v>
      </c>
      <c r="G464" s="4" t="str">
        <f ca="1">IF(OR(INDEX($W$2:$W$1001,MATCH(ROWS($V$2:V464),$V$2:$V$1001,0),1)&gt;=100000,INDEX($AC$1005:$AS$1005,1,MATCH(COLUMNS($AC$1006:AH1006),$AC$1006:$AS$1006,0))&gt;=100000), " ",IF(INDEX($AC$2:$AS$1001,MATCH(ROWS($V$2:V464),$V$2:$V$1001,0),MATCH(COLUMNS($AC$1006:AH1006),$AC$1006:$AS$1006,0)), HYPERLINK("#",""), HYPERLINK(CONCATENATE("#metadata!", ADDRESS(INDEX($X$2:$X$1001,MATCH(ROWS($V$2:V464),$V$2:$V$1001,0),0), INDEX($AC$1004:$AS$1004,1,MATCH(COLUMNS($AC$1006:AH1006),$AC$1006:$AS$1006,0)))),"Fix")))</f>
        <v xml:space="preserve"> </v>
      </c>
      <c r="H464" s="4" t="str">
        <f ca="1">IF(OR(INDEX($W$2:$W$1001,MATCH(ROWS($V$2:V464),$V$2:$V$1001,0),1)&gt;=100000,INDEX($AC$1005:$AS$1005,1,MATCH(COLUMNS($AC$1006:AI1006),$AC$1006:$AS$1006,0))&gt;=100000), " ",IF(INDEX($AC$2:$AS$1001,MATCH(ROWS($V$2:V464),$V$2:$V$1001,0),MATCH(COLUMNS($AC$1006:AI1006),$AC$1006:$AS$1006,0)), HYPERLINK("#",""), HYPERLINK(CONCATENATE("#metadata!", ADDRESS(INDEX($X$2:$X$1001,MATCH(ROWS($V$2:V464),$V$2:$V$1001,0),0), INDEX($AC$1004:$AS$1004,1,MATCH(COLUMNS($AC$1006:AI1006),$AC$1006:$AS$1006,0)))),"Fix")))</f>
        <v xml:space="preserve"> </v>
      </c>
      <c r="I464" s="4" t="str">
        <f ca="1">IF(OR(INDEX($W$2:$W$1001,MATCH(ROWS($V$2:V464),$V$2:$V$1001,0),1)&gt;=100000,INDEX($AC$1005:$AS$1005,1,MATCH(COLUMNS($AC$1006:AJ1006),$AC$1006:$AS$1006,0))&gt;=100000), " ",IF(INDEX($AC$2:$AS$1001,MATCH(ROWS($V$2:V464),$V$2:$V$1001,0),MATCH(COLUMNS($AC$1006:AJ1006),$AC$1006:$AS$1006,0)), HYPERLINK("#",""), HYPERLINK(CONCATENATE("#metadata!", ADDRESS(INDEX($X$2:$X$1001,MATCH(ROWS($V$2:V464),$V$2:$V$1001,0),0), INDEX($AC$1004:$AS$1004,1,MATCH(COLUMNS($AC$1006:AJ1006),$AC$1006:$AS$1006,0)))),"Fix")))</f>
        <v xml:space="preserve"> </v>
      </c>
      <c r="J464" s="4" t="str">
        <f ca="1">IF(OR(INDEX($W$2:$W$1001,MATCH(ROWS($V$2:V464),$V$2:$V$1001,0),1)&gt;=100000,INDEX($AC$1005:$AS$1005,1,MATCH(COLUMNS($AC$1006:AK1006),$AC$1006:$AS$1006,0))&gt;=100000), " ",IF(INDEX($AC$2:$AS$1001,MATCH(ROWS($V$2:V464),$V$2:$V$1001,0),MATCH(COLUMNS($AC$1006:AK1006),$AC$1006:$AS$1006,0)), HYPERLINK("#",""), HYPERLINK(CONCATENATE("#metadata!", ADDRESS(INDEX($X$2:$X$1001,MATCH(ROWS($V$2:V464),$V$2:$V$1001,0),0), INDEX($AC$1004:$AS$1004,1,MATCH(COLUMNS($AC$1006:AK1006),$AC$1006:$AS$1006,0)))),"Fix")))</f>
        <v xml:space="preserve"> </v>
      </c>
      <c r="K464" s="4" t="str">
        <f ca="1">IF(OR(INDEX($W$2:$W$1001,MATCH(ROWS($V$2:V464),$V$2:$V$1001,0),1)&gt;=100000,INDEX($AC$1005:$AS$1005,1,MATCH(COLUMNS($AC$1006:AL1006),$AC$1006:$AS$1006,0))&gt;=100000), " ",IF(INDEX($AC$2:$AS$1001,MATCH(ROWS($V$2:V464),$V$2:$V$1001,0),MATCH(COLUMNS($AC$1006:AL1006),$AC$1006:$AS$1006,0)), HYPERLINK("#",""), HYPERLINK(CONCATENATE("#metadata!", ADDRESS(INDEX($X$2:$X$1001,MATCH(ROWS($V$2:V464),$V$2:$V$1001,0),0), INDEX($AC$1004:$AS$1004,1,MATCH(COLUMNS($AC$1006:AL1006),$AC$1006:$AS$1006,0)))),"Fix")))</f>
        <v xml:space="preserve"> </v>
      </c>
      <c r="L464" s="4" t="str">
        <f ca="1">IF(OR(INDEX($W$2:$W$1001,MATCH(ROWS($V$2:V464),$V$2:$V$1001,0),1)&gt;=100000,INDEX($AC$1005:$AS$1005,1,MATCH(COLUMNS($AC$1006:AM1006),$AC$1006:$AS$1006,0))&gt;=100000), " ",IF(INDEX($AC$2:$AS$1001,MATCH(ROWS($V$2:V464),$V$2:$V$1001,0),MATCH(COLUMNS($AC$1006:AM1006),$AC$1006:$AS$1006,0)), HYPERLINK("#",""), HYPERLINK(CONCATENATE("#metadata!", ADDRESS(INDEX($X$2:$X$1001,MATCH(ROWS($V$2:V464),$V$2:$V$1001,0),0), INDEX($AC$1004:$AS$1004,1,MATCH(COLUMNS($AC$1006:AM1006),$AC$1006:$AS$1006,0)))),"Fix")))</f>
        <v xml:space="preserve"> </v>
      </c>
      <c r="M464" s="4" t="str">
        <f ca="1">IF(OR(INDEX($W$2:$W$1001,MATCH(ROWS($V$2:V464),$V$2:$V$1001,0),1)&gt;=100000,INDEX($AC$1005:$AS$1005,1,MATCH(COLUMNS($AC$1006:AN1006),$AC$1006:$AS$1006,0))&gt;=100000), " ",IF(INDEX($AC$2:$AS$1001,MATCH(ROWS($V$2:V464),$V$2:$V$1001,0),MATCH(COLUMNS($AC$1006:AN1006),$AC$1006:$AS$1006,0)), HYPERLINK("#",""), HYPERLINK(CONCATENATE("#metadata!", ADDRESS(INDEX($X$2:$X$1001,MATCH(ROWS($V$2:V464),$V$2:$V$1001,0),0), INDEX($AC$1004:$AS$1004,1,MATCH(COLUMNS($AC$1006:AN1006),$AC$1006:$AS$1006,0)))),"Fix")))</f>
        <v xml:space="preserve"> </v>
      </c>
      <c r="N464" s="4" t="str">
        <f ca="1">IF(OR(INDEX($W$2:$W$1001,MATCH(ROWS($V$2:V464),$V$2:$V$1001,0),1)&gt;=100000,INDEX($AC$1005:$AS$1005,1,MATCH(COLUMNS($AC$1006:AO1006),$AC$1006:$AS$1006,0))&gt;=100000), " ",IF(INDEX($AC$2:$AS$1001,MATCH(ROWS($V$2:V464),$V$2:$V$1001,0),MATCH(COLUMNS($AC$1006:AO1006),$AC$1006:$AS$1006,0)), HYPERLINK("#",""), HYPERLINK(CONCATENATE("#metadata!", ADDRESS(INDEX($X$2:$X$1001,MATCH(ROWS($V$2:V464),$V$2:$V$1001,0),0), INDEX($AC$1004:$AS$1004,1,MATCH(COLUMNS($AC$1006:AO1006),$AC$1006:$AS$1006,0)))),"Fix")))</f>
        <v xml:space="preserve"> </v>
      </c>
      <c r="O464" s="4" t="str">
        <f ca="1">IF(OR(INDEX($W$2:$W$1001,MATCH(ROWS($V$2:V464),$V$2:$V$1001,0),1)&gt;=100000,INDEX($AC$1005:$AS$1005,1,MATCH(COLUMNS($AC$1006:AP1006),$AC$1006:$AS$1006,0))&gt;=100000), " ",IF(INDEX($AC$2:$AS$1001,MATCH(ROWS($V$2:V464),$V$2:$V$1001,0),MATCH(COLUMNS($AC$1006:AP1006),$AC$1006:$AS$1006,0)), HYPERLINK("#",""), HYPERLINK(CONCATENATE("#metadata!", ADDRESS(INDEX($X$2:$X$1001,MATCH(ROWS($V$2:V464),$V$2:$V$1001,0),0), INDEX($AC$1004:$AS$1004,1,MATCH(COLUMNS($AC$1006:AP1006),$AC$1006:$AS$1006,0)))),"Fix")))</f>
        <v xml:space="preserve"> </v>
      </c>
      <c r="P464" s="4" t="str">
        <f ca="1">IF(OR(INDEX($W$2:$W$1001,MATCH(ROWS($V$2:V464),$V$2:$V$1001,0),1)&gt;=100000,INDEX($AC$1005:$AS$1005,1,MATCH(COLUMNS($AC$1006:AQ1006),$AC$1006:$AS$1006,0))&gt;=100000), " ",IF(INDEX($AC$2:$AS$1001,MATCH(ROWS($V$2:V464),$V$2:$V$1001,0),MATCH(COLUMNS($AC$1006:AQ1006),$AC$1006:$AS$1006,0)), HYPERLINK("#",""), HYPERLINK(CONCATENATE("#metadata!", ADDRESS(INDEX($X$2:$X$1001,MATCH(ROWS($V$2:V464),$V$2:$V$1001,0),0), INDEX($AC$1004:$AS$1004,1,MATCH(COLUMNS($AC$1006:AQ1006),$AC$1006:$AS$1006,0)))),"Fix")))</f>
        <v xml:space="preserve"> </v>
      </c>
      <c r="Q464" s="4" t="str">
        <f ca="1">IF(OR(INDEX($W$2:$W$1001,MATCH(ROWS($V$2:V464),$V$2:$V$1001,0),1)&gt;=100000,INDEX($AC$1005:$AS$1005,1,MATCH(COLUMNS($AC$1006:AR1006),$AC$1006:$AS$1006,0))&gt;=100000), " ",IF(INDEX($AC$2:$AS$1001,MATCH(ROWS($V$2:V464),$V$2:$V$1001,0),MATCH(COLUMNS($AC$1006:AR1006),$AC$1006:$AS$1006,0)), HYPERLINK("#",""), HYPERLINK(CONCATENATE("#metadata!", ADDRESS(INDEX($X$2:$X$1001,MATCH(ROWS($V$2:V464),$V$2:$V$1001,0),0), INDEX($AC$1004:$AS$1004,1,MATCH(COLUMNS($AC$1006:AR1006),$AC$1006:$AS$1006,0)))),"Fix")))</f>
        <v xml:space="preserve"> </v>
      </c>
      <c r="R464" s="4" t="str">
        <f ca="1">IF(OR(INDEX($W$2:$W$1001,MATCH(ROWS($V$2:V464),$V$2:$V$1001,0),1)&gt;=100000,INDEX($AC$1005:$AS$1005,1,MATCH(COLUMNS($AC$1006:AS1006),$AC$1006:$AS$1006,0))&gt;=100000), " ",IF(INDEX($AC$2:$AS$1001,MATCH(ROWS($V$2:V464),$V$2:$V$1001,0),MATCH(COLUMNS($AC$1006:AS1006),$AC$1006:$AS$1006,0)), HYPERLINK("#",""), HYPERLINK(CONCATENATE("#metadata!", ADDRESS(INDEX($X$2:$X$1001,MATCH(ROWS($V$2:V464),$V$2:$V$1001,0),0), INDEX($AC$1004:$AS$1004,1,MATCH(COLUMNS($AC$1006:AS1006),$AC$1006:$AS$1006,0)))),"Fix")))</f>
        <v xml:space="preserve"> </v>
      </c>
      <c r="V464">
        <v>463</v>
      </c>
      <c r="W464">
        <v>100464</v>
      </c>
      <c r="X464">
        <v>464</v>
      </c>
      <c r="Y464" t="b">
        <f t="shared" si="7"/>
        <v>1</v>
      </c>
      <c r="Z464" t="b">
        <f>COUNTBLANK(metadata!B464:R464)=COLUMNS(metadata!B464:R464)</f>
        <v>1</v>
      </c>
      <c r="AA464" t="str">
        <v/>
      </c>
      <c r="AC464" t="b">
        <f ca="1"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AD464" t="b">
        <f>IF(metadata!C464="",FALSE,ISNUMBER(VALUE(metadata!C464)))</f>
        <v>0</v>
      </c>
      <c r="AE464" t="b">
        <f>AND(IF(metadata!D464="",FALSE,TRUE),EXACT(metadata!D464,"years"))</f>
        <v>0</v>
      </c>
      <c r="AF464" t="b">
        <f>OR(AND(IF(metadata!E464="",FALSE,TRUE),OR(EXACT(metadata!E464,"not applicable"),EXACT(metadata!E464,"missing: not collected"),EXACT(metadata!E464,"missing: not provided"),EXACT(metadata!E464,"missing: restricted access"))),AND(IF(metadata!E464="",FALSE,ISNUMBER(VALUE(metadata!E464))),metadata!E464&gt;0))</f>
        <v>0</v>
      </c>
      <c r="AG464" t="b">
        <f>AND(IF(metadata!F464="",FALSE,TRUE),EXACT(metadata!F464,"Not applicable"))</f>
        <v>0</v>
      </c>
      <c r="AH464" t="b">
        <f>AND(IF(metadata!G464="",FALSE,TRUE),EXACT(metadata!G464,"urban biome"))</f>
        <v>0</v>
      </c>
      <c r="AI464" t="b">
        <f>AND(IF(metadata!H464="",FALSE,TRUE),EXACT(metadata!H464,"human-associated habitat"))</f>
        <v>0</v>
      </c>
      <c r="AJ464" t="b">
        <f>AND(IF(metadata!I464="",FALSE,TRUE),OR(EXACT(metadata!I464,"human-associated"),EXACT(metadata!I464,"human-skin"),EXACT(metadata!I464,"human-oral"),EXACT(metadata!I464,"human-gut"),EXACT(metadata!I464,"human-vaginal")))</f>
        <v>0</v>
      </c>
      <c r="AK464" t="b">
        <f>IF(metadata!J464="",FALSE,ISNUMBER(VALUE(metadata!J464)))</f>
        <v>0</v>
      </c>
      <c r="AL464" t="b">
        <f>AND(IF(metadata!K464="",FALSE,TRUE),EXACT(metadata!K464,"cm"))</f>
        <v>0</v>
      </c>
      <c r="AM464" t="b">
        <f>AND(IF(metadata!L464="",FALSE,TRUE),EXACT(metadata!L464,"human"))</f>
        <v>0</v>
      </c>
      <c r="AN464" t="b">
        <f>AND(IF(metadata!M464="",FALSE,TRUE),EXACT(metadata!M464,"Homo sapiens"))</f>
        <v>0</v>
      </c>
      <c r="AO464" t="b">
        <f>AND(IF(metadata!N464="",FALSE,TRUE),EXACT(metadata!N464,"9606"))</f>
        <v>0</v>
      </c>
      <c r="AP464" t="b">
        <f>IF(metadata!O464="",FALSE,TRUE)</f>
        <v>0</v>
      </c>
      <c r="AQ464" t="b">
        <f>IF(metadata!P464="",FALSE,TRUE)</f>
        <v>0</v>
      </c>
      <c r="AR464" t="b">
        <f>IF(metadata!Q464="",FALSE,ISNUMBER(VALUE(metadata!Q464)))</f>
        <v>0</v>
      </c>
      <c r="AS464" t="b">
        <f>AND(IF(metadata!R464="",FALSE,TRUE),EXACT(metadata!R464,"kg"))</f>
        <v>0</v>
      </c>
    </row>
    <row r="465" spans="1:45" x14ac:dyDescent="0.2">
      <c r="A465" s="5" t="str">
        <f ca="1">IF(B465=" "," ",HYPERLINK(CONCATENATE("#metadata!",ADDRESS(INDEX($X$2:$X$1001,MATCH(ROWS($V$2:V465),$V$2:$V$1001,0),0),1)),INDEX($AA$2:$AA$1001,MATCH(ROWS($V$2:V465),$V$2:$V$1001,0),0)))</f>
        <v xml:space="preserve"> </v>
      </c>
      <c r="B465" s="4" t="str">
        <f ca="1">IF(OR(INDEX($W$2:$W$1001,MATCH(ROWS($V$2:V465),$V$2:$V$1001,0),1)&gt;=100000,INDEX($AC$1005:$AS$1005,1,MATCH(COLUMNS($AC$1006:AC1006),$AC$1006:$AS$1006,0))&gt;=100000), " ",IF(INDEX($AC$2:$AS$1001,MATCH(ROWS($V$2:V465),$V$2:$V$1001,0),MATCH(COLUMNS($AC$1006:AC1006),$AC$1006:$AS$1006,0)), HYPERLINK("#",""), HYPERLINK(CONCATENATE("#metadata!", ADDRESS(INDEX($X$2:$X$1001,MATCH(ROWS($V$2:V465),$V$2:$V$1001,0),0), INDEX($AC$1004:$AS$1004,1,MATCH(COLUMNS($AC$1006:AC1006),$AC$1006:$AS$1006,0)))),"Fix")))</f>
        <v xml:space="preserve"> </v>
      </c>
      <c r="C465" s="4" t="str">
        <f ca="1">IF(OR(INDEX($W$2:$W$1001,MATCH(ROWS($V$2:V465),$V$2:$V$1001,0),1)&gt;=100000,INDEX($AC$1005:$AS$1005,1,MATCH(COLUMNS($AC$1006:AD1006),$AC$1006:$AS$1006,0))&gt;=100000), " ",IF(INDEX($AC$2:$AS$1001,MATCH(ROWS($V$2:V465),$V$2:$V$1001,0),MATCH(COLUMNS($AC$1006:AD1006),$AC$1006:$AS$1006,0)), HYPERLINK("#",""), HYPERLINK(CONCATENATE("#metadata!", ADDRESS(INDEX($X$2:$X$1001,MATCH(ROWS($V$2:V465),$V$2:$V$1001,0),0), INDEX($AC$1004:$AS$1004,1,MATCH(COLUMNS($AC$1006:AD1006),$AC$1006:$AS$1006,0)))),"Fix")))</f>
        <v xml:space="preserve"> </v>
      </c>
      <c r="D465" s="4" t="str">
        <f ca="1">IF(OR(INDEX($W$2:$W$1001,MATCH(ROWS($V$2:V465),$V$2:$V$1001,0),1)&gt;=100000,INDEX($AC$1005:$AS$1005,1,MATCH(COLUMNS($AC$1006:AE1006),$AC$1006:$AS$1006,0))&gt;=100000), " ",IF(INDEX($AC$2:$AS$1001,MATCH(ROWS($V$2:V465),$V$2:$V$1001,0),MATCH(COLUMNS($AC$1006:AE1006),$AC$1006:$AS$1006,0)), HYPERLINK("#",""), HYPERLINK(CONCATENATE("#metadata!", ADDRESS(INDEX($X$2:$X$1001,MATCH(ROWS($V$2:V465),$V$2:$V$1001,0),0), INDEX($AC$1004:$AS$1004,1,MATCH(COLUMNS($AC$1006:AE1006),$AC$1006:$AS$1006,0)))),"Fix")))</f>
        <v xml:space="preserve"> </v>
      </c>
      <c r="E465" s="4" t="str">
        <f ca="1">IF(OR(INDEX($W$2:$W$1001,MATCH(ROWS($V$2:V465),$V$2:$V$1001,0),1)&gt;=100000,INDEX($AC$1005:$AS$1005,1,MATCH(COLUMNS($AC$1006:AF1006),$AC$1006:$AS$1006,0))&gt;=100000), " ",IF(INDEX($AC$2:$AS$1001,MATCH(ROWS($V$2:V465),$V$2:$V$1001,0),MATCH(COLUMNS($AC$1006:AF1006),$AC$1006:$AS$1006,0)), HYPERLINK("#",""), HYPERLINK(CONCATENATE("#metadata!", ADDRESS(INDEX($X$2:$X$1001,MATCH(ROWS($V$2:V465),$V$2:$V$1001,0),0), INDEX($AC$1004:$AS$1004,1,MATCH(COLUMNS($AC$1006:AF1006),$AC$1006:$AS$1006,0)))),"Fix")))</f>
        <v xml:space="preserve"> </v>
      </c>
      <c r="F465" s="4" t="str">
        <f ca="1">IF(OR(INDEX($W$2:$W$1001,MATCH(ROWS($V$2:V465),$V$2:$V$1001,0),1)&gt;=100000,INDEX($AC$1005:$AS$1005,1,MATCH(COLUMNS($AC$1006:AG1006),$AC$1006:$AS$1006,0))&gt;=100000), " ",IF(INDEX($AC$2:$AS$1001,MATCH(ROWS($V$2:V465),$V$2:$V$1001,0),MATCH(COLUMNS($AC$1006:AG1006),$AC$1006:$AS$1006,0)), HYPERLINK("#",""), HYPERLINK(CONCATENATE("#metadata!", ADDRESS(INDEX($X$2:$X$1001,MATCH(ROWS($V$2:V465),$V$2:$V$1001,0),0), INDEX($AC$1004:$AS$1004,1,MATCH(COLUMNS($AC$1006:AG1006),$AC$1006:$AS$1006,0)))),"Fix")))</f>
        <v xml:space="preserve"> </v>
      </c>
      <c r="G465" s="4" t="str">
        <f ca="1">IF(OR(INDEX($W$2:$W$1001,MATCH(ROWS($V$2:V465),$V$2:$V$1001,0),1)&gt;=100000,INDEX($AC$1005:$AS$1005,1,MATCH(COLUMNS($AC$1006:AH1006),$AC$1006:$AS$1006,0))&gt;=100000), " ",IF(INDEX($AC$2:$AS$1001,MATCH(ROWS($V$2:V465),$V$2:$V$1001,0),MATCH(COLUMNS($AC$1006:AH1006),$AC$1006:$AS$1006,0)), HYPERLINK("#",""), HYPERLINK(CONCATENATE("#metadata!", ADDRESS(INDEX($X$2:$X$1001,MATCH(ROWS($V$2:V465),$V$2:$V$1001,0),0), INDEX($AC$1004:$AS$1004,1,MATCH(COLUMNS($AC$1006:AH1006),$AC$1006:$AS$1006,0)))),"Fix")))</f>
        <v xml:space="preserve"> </v>
      </c>
      <c r="H465" s="4" t="str">
        <f ca="1">IF(OR(INDEX($W$2:$W$1001,MATCH(ROWS($V$2:V465),$V$2:$V$1001,0),1)&gt;=100000,INDEX($AC$1005:$AS$1005,1,MATCH(COLUMNS($AC$1006:AI1006),$AC$1006:$AS$1006,0))&gt;=100000), " ",IF(INDEX($AC$2:$AS$1001,MATCH(ROWS($V$2:V465),$V$2:$V$1001,0),MATCH(COLUMNS($AC$1006:AI1006),$AC$1006:$AS$1006,0)), HYPERLINK("#",""), HYPERLINK(CONCATENATE("#metadata!", ADDRESS(INDEX($X$2:$X$1001,MATCH(ROWS($V$2:V465),$V$2:$V$1001,0),0), INDEX($AC$1004:$AS$1004,1,MATCH(COLUMNS($AC$1006:AI1006),$AC$1006:$AS$1006,0)))),"Fix")))</f>
        <v xml:space="preserve"> </v>
      </c>
      <c r="I465" s="4" t="str">
        <f ca="1">IF(OR(INDEX($W$2:$W$1001,MATCH(ROWS($V$2:V465),$V$2:$V$1001,0),1)&gt;=100000,INDEX($AC$1005:$AS$1005,1,MATCH(COLUMNS($AC$1006:AJ1006),$AC$1006:$AS$1006,0))&gt;=100000), " ",IF(INDEX($AC$2:$AS$1001,MATCH(ROWS($V$2:V465),$V$2:$V$1001,0),MATCH(COLUMNS($AC$1006:AJ1006),$AC$1006:$AS$1006,0)), HYPERLINK("#",""), HYPERLINK(CONCATENATE("#metadata!", ADDRESS(INDEX($X$2:$X$1001,MATCH(ROWS($V$2:V465),$V$2:$V$1001,0),0), INDEX($AC$1004:$AS$1004,1,MATCH(COLUMNS($AC$1006:AJ1006),$AC$1006:$AS$1006,0)))),"Fix")))</f>
        <v xml:space="preserve"> </v>
      </c>
      <c r="J465" s="4" t="str">
        <f ca="1">IF(OR(INDEX($W$2:$W$1001,MATCH(ROWS($V$2:V465),$V$2:$V$1001,0),1)&gt;=100000,INDEX($AC$1005:$AS$1005,1,MATCH(COLUMNS($AC$1006:AK1006),$AC$1006:$AS$1006,0))&gt;=100000), " ",IF(INDEX($AC$2:$AS$1001,MATCH(ROWS($V$2:V465),$V$2:$V$1001,0),MATCH(COLUMNS($AC$1006:AK1006),$AC$1006:$AS$1006,0)), HYPERLINK("#",""), HYPERLINK(CONCATENATE("#metadata!", ADDRESS(INDEX($X$2:$X$1001,MATCH(ROWS($V$2:V465),$V$2:$V$1001,0),0), INDEX($AC$1004:$AS$1004,1,MATCH(COLUMNS($AC$1006:AK1006),$AC$1006:$AS$1006,0)))),"Fix")))</f>
        <v xml:space="preserve"> </v>
      </c>
      <c r="K465" s="4" t="str">
        <f ca="1">IF(OR(INDEX($W$2:$W$1001,MATCH(ROWS($V$2:V465),$V$2:$V$1001,0),1)&gt;=100000,INDEX($AC$1005:$AS$1005,1,MATCH(COLUMNS($AC$1006:AL1006),$AC$1006:$AS$1006,0))&gt;=100000), " ",IF(INDEX($AC$2:$AS$1001,MATCH(ROWS($V$2:V465),$V$2:$V$1001,0),MATCH(COLUMNS($AC$1006:AL1006),$AC$1006:$AS$1006,0)), HYPERLINK("#",""), HYPERLINK(CONCATENATE("#metadata!", ADDRESS(INDEX($X$2:$X$1001,MATCH(ROWS($V$2:V465),$V$2:$V$1001,0),0), INDEX($AC$1004:$AS$1004,1,MATCH(COLUMNS($AC$1006:AL1006),$AC$1006:$AS$1006,0)))),"Fix")))</f>
        <v xml:space="preserve"> </v>
      </c>
      <c r="L465" s="4" t="str">
        <f ca="1">IF(OR(INDEX($W$2:$W$1001,MATCH(ROWS($V$2:V465),$V$2:$V$1001,0),1)&gt;=100000,INDEX($AC$1005:$AS$1005,1,MATCH(COLUMNS($AC$1006:AM1006),$AC$1006:$AS$1006,0))&gt;=100000), " ",IF(INDEX($AC$2:$AS$1001,MATCH(ROWS($V$2:V465),$V$2:$V$1001,0),MATCH(COLUMNS($AC$1006:AM1006),$AC$1006:$AS$1006,0)), HYPERLINK("#",""), HYPERLINK(CONCATENATE("#metadata!", ADDRESS(INDEX($X$2:$X$1001,MATCH(ROWS($V$2:V465),$V$2:$V$1001,0),0), INDEX($AC$1004:$AS$1004,1,MATCH(COLUMNS($AC$1006:AM1006),$AC$1006:$AS$1006,0)))),"Fix")))</f>
        <v xml:space="preserve"> </v>
      </c>
      <c r="M465" s="4" t="str">
        <f ca="1">IF(OR(INDEX($W$2:$W$1001,MATCH(ROWS($V$2:V465),$V$2:$V$1001,0),1)&gt;=100000,INDEX($AC$1005:$AS$1005,1,MATCH(COLUMNS($AC$1006:AN1006),$AC$1006:$AS$1006,0))&gt;=100000), " ",IF(INDEX($AC$2:$AS$1001,MATCH(ROWS($V$2:V465),$V$2:$V$1001,0),MATCH(COLUMNS($AC$1006:AN1006),$AC$1006:$AS$1006,0)), HYPERLINK("#",""), HYPERLINK(CONCATENATE("#metadata!", ADDRESS(INDEX($X$2:$X$1001,MATCH(ROWS($V$2:V465),$V$2:$V$1001,0),0), INDEX($AC$1004:$AS$1004,1,MATCH(COLUMNS($AC$1006:AN1006),$AC$1006:$AS$1006,0)))),"Fix")))</f>
        <v xml:space="preserve"> </v>
      </c>
      <c r="N465" s="4" t="str">
        <f ca="1">IF(OR(INDEX($W$2:$W$1001,MATCH(ROWS($V$2:V465),$V$2:$V$1001,0),1)&gt;=100000,INDEX($AC$1005:$AS$1005,1,MATCH(COLUMNS($AC$1006:AO1006),$AC$1006:$AS$1006,0))&gt;=100000), " ",IF(INDEX($AC$2:$AS$1001,MATCH(ROWS($V$2:V465),$V$2:$V$1001,0),MATCH(COLUMNS($AC$1006:AO1006),$AC$1006:$AS$1006,0)), HYPERLINK("#",""), HYPERLINK(CONCATENATE("#metadata!", ADDRESS(INDEX($X$2:$X$1001,MATCH(ROWS($V$2:V465),$V$2:$V$1001,0),0), INDEX($AC$1004:$AS$1004,1,MATCH(COLUMNS($AC$1006:AO1006),$AC$1006:$AS$1006,0)))),"Fix")))</f>
        <v xml:space="preserve"> </v>
      </c>
      <c r="O465" s="4" t="str">
        <f ca="1">IF(OR(INDEX($W$2:$W$1001,MATCH(ROWS($V$2:V465),$V$2:$V$1001,0),1)&gt;=100000,INDEX($AC$1005:$AS$1005,1,MATCH(COLUMNS($AC$1006:AP1006),$AC$1006:$AS$1006,0))&gt;=100000), " ",IF(INDEX($AC$2:$AS$1001,MATCH(ROWS($V$2:V465),$V$2:$V$1001,0),MATCH(COLUMNS($AC$1006:AP1006),$AC$1006:$AS$1006,0)), HYPERLINK("#",""), HYPERLINK(CONCATENATE("#metadata!", ADDRESS(INDEX($X$2:$X$1001,MATCH(ROWS($V$2:V465),$V$2:$V$1001,0),0), INDEX($AC$1004:$AS$1004,1,MATCH(COLUMNS($AC$1006:AP1006),$AC$1006:$AS$1006,0)))),"Fix")))</f>
        <v xml:space="preserve"> </v>
      </c>
      <c r="P465" s="4" t="str">
        <f ca="1">IF(OR(INDEX($W$2:$W$1001,MATCH(ROWS($V$2:V465),$V$2:$V$1001,0),1)&gt;=100000,INDEX($AC$1005:$AS$1005,1,MATCH(COLUMNS($AC$1006:AQ1006),$AC$1006:$AS$1006,0))&gt;=100000), " ",IF(INDEX($AC$2:$AS$1001,MATCH(ROWS($V$2:V465),$V$2:$V$1001,0),MATCH(COLUMNS($AC$1006:AQ1006),$AC$1006:$AS$1006,0)), HYPERLINK("#",""), HYPERLINK(CONCATENATE("#metadata!", ADDRESS(INDEX($X$2:$X$1001,MATCH(ROWS($V$2:V465),$V$2:$V$1001,0),0), INDEX($AC$1004:$AS$1004,1,MATCH(COLUMNS($AC$1006:AQ1006),$AC$1006:$AS$1006,0)))),"Fix")))</f>
        <v xml:space="preserve"> </v>
      </c>
      <c r="Q465" s="4" t="str">
        <f ca="1">IF(OR(INDEX($W$2:$W$1001,MATCH(ROWS($V$2:V465),$V$2:$V$1001,0),1)&gt;=100000,INDEX($AC$1005:$AS$1005,1,MATCH(COLUMNS($AC$1006:AR1006),$AC$1006:$AS$1006,0))&gt;=100000), " ",IF(INDEX($AC$2:$AS$1001,MATCH(ROWS($V$2:V465),$V$2:$V$1001,0),MATCH(COLUMNS($AC$1006:AR1006),$AC$1006:$AS$1006,0)), HYPERLINK("#",""), HYPERLINK(CONCATENATE("#metadata!", ADDRESS(INDEX($X$2:$X$1001,MATCH(ROWS($V$2:V465),$V$2:$V$1001,0),0), INDEX($AC$1004:$AS$1004,1,MATCH(COLUMNS($AC$1006:AR1006),$AC$1006:$AS$1006,0)))),"Fix")))</f>
        <v xml:space="preserve"> </v>
      </c>
      <c r="R465" s="4" t="str">
        <f ca="1">IF(OR(INDEX($W$2:$W$1001,MATCH(ROWS($V$2:V465),$V$2:$V$1001,0),1)&gt;=100000,INDEX($AC$1005:$AS$1005,1,MATCH(COLUMNS($AC$1006:AS1006),$AC$1006:$AS$1006,0))&gt;=100000), " ",IF(INDEX($AC$2:$AS$1001,MATCH(ROWS($V$2:V465),$V$2:$V$1001,0),MATCH(COLUMNS($AC$1006:AS1006),$AC$1006:$AS$1006,0)), HYPERLINK("#",""), HYPERLINK(CONCATENATE("#metadata!", ADDRESS(INDEX($X$2:$X$1001,MATCH(ROWS($V$2:V465),$V$2:$V$1001,0),0), INDEX($AC$1004:$AS$1004,1,MATCH(COLUMNS($AC$1006:AS1006),$AC$1006:$AS$1006,0)))),"Fix")))</f>
        <v xml:space="preserve"> </v>
      </c>
      <c r="V465">
        <v>464</v>
      </c>
      <c r="W465">
        <v>100465</v>
      </c>
      <c r="X465">
        <v>465</v>
      </c>
      <c r="Y465" t="b">
        <f t="shared" si="7"/>
        <v>1</v>
      </c>
      <c r="Z465" t="b">
        <f>COUNTBLANK(metadata!B465:R465)=COLUMNS(metadata!B465:R465)</f>
        <v>1</v>
      </c>
      <c r="AA465" t="str">
        <v/>
      </c>
      <c r="AC465" t="b">
        <f ca="1"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AD465" t="b">
        <f>IF(metadata!C465="",FALSE,ISNUMBER(VALUE(metadata!C465)))</f>
        <v>0</v>
      </c>
      <c r="AE465" t="b">
        <f>AND(IF(metadata!D465="",FALSE,TRUE),EXACT(metadata!D465,"years"))</f>
        <v>0</v>
      </c>
      <c r="AF465" t="b">
        <f>OR(AND(IF(metadata!E465="",FALSE,TRUE),OR(EXACT(metadata!E465,"not applicable"),EXACT(metadata!E465,"missing: not collected"),EXACT(metadata!E465,"missing: not provided"),EXACT(metadata!E465,"missing: restricted access"))),AND(IF(metadata!E465="",FALSE,ISNUMBER(VALUE(metadata!E465))),metadata!E465&gt;0))</f>
        <v>0</v>
      </c>
      <c r="AG465" t="b">
        <f>AND(IF(metadata!F465="",FALSE,TRUE),EXACT(metadata!F465,"Not applicable"))</f>
        <v>0</v>
      </c>
      <c r="AH465" t="b">
        <f>AND(IF(metadata!G465="",FALSE,TRUE),EXACT(metadata!G465,"urban biome"))</f>
        <v>0</v>
      </c>
      <c r="AI465" t="b">
        <f>AND(IF(metadata!H465="",FALSE,TRUE),EXACT(metadata!H465,"human-associated habitat"))</f>
        <v>0</v>
      </c>
      <c r="AJ465" t="b">
        <f>AND(IF(metadata!I465="",FALSE,TRUE),OR(EXACT(metadata!I465,"human-associated"),EXACT(metadata!I465,"human-skin"),EXACT(metadata!I465,"human-oral"),EXACT(metadata!I465,"human-gut"),EXACT(metadata!I465,"human-vaginal")))</f>
        <v>0</v>
      </c>
      <c r="AK465" t="b">
        <f>IF(metadata!J465="",FALSE,ISNUMBER(VALUE(metadata!J465)))</f>
        <v>0</v>
      </c>
      <c r="AL465" t="b">
        <f>AND(IF(metadata!K465="",FALSE,TRUE),EXACT(metadata!K465,"cm"))</f>
        <v>0</v>
      </c>
      <c r="AM465" t="b">
        <f>AND(IF(metadata!L465="",FALSE,TRUE),EXACT(metadata!L465,"human"))</f>
        <v>0</v>
      </c>
      <c r="AN465" t="b">
        <f>AND(IF(metadata!M465="",FALSE,TRUE),EXACT(metadata!M465,"Homo sapiens"))</f>
        <v>0</v>
      </c>
      <c r="AO465" t="b">
        <f>AND(IF(metadata!N465="",FALSE,TRUE),EXACT(metadata!N465,"9606"))</f>
        <v>0</v>
      </c>
      <c r="AP465" t="b">
        <f>IF(metadata!O465="",FALSE,TRUE)</f>
        <v>0</v>
      </c>
      <c r="AQ465" t="b">
        <f>IF(metadata!P465="",FALSE,TRUE)</f>
        <v>0</v>
      </c>
      <c r="AR465" t="b">
        <f>IF(metadata!Q465="",FALSE,ISNUMBER(VALUE(metadata!Q465)))</f>
        <v>0</v>
      </c>
      <c r="AS465" t="b">
        <f>AND(IF(metadata!R465="",FALSE,TRUE),EXACT(metadata!R465,"kg"))</f>
        <v>0</v>
      </c>
    </row>
    <row r="466" spans="1:45" x14ac:dyDescent="0.2">
      <c r="A466" s="5" t="str">
        <f ca="1">IF(B466=" "," ",HYPERLINK(CONCATENATE("#metadata!",ADDRESS(INDEX($X$2:$X$1001,MATCH(ROWS($V$2:V466),$V$2:$V$1001,0),0),1)),INDEX($AA$2:$AA$1001,MATCH(ROWS($V$2:V466),$V$2:$V$1001,0),0)))</f>
        <v xml:space="preserve"> </v>
      </c>
      <c r="B466" s="4" t="str">
        <f ca="1">IF(OR(INDEX($W$2:$W$1001,MATCH(ROWS($V$2:V466),$V$2:$V$1001,0),1)&gt;=100000,INDEX($AC$1005:$AS$1005,1,MATCH(COLUMNS($AC$1006:AC1006),$AC$1006:$AS$1006,0))&gt;=100000), " ",IF(INDEX($AC$2:$AS$1001,MATCH(ROWS($V$2:V466),$V$2:$V$1001,0),MATCH(COLUMNS($AC$1006:AC1006),$AC$1006:$AS$1006,0)), HYPERLINK("#",""), HYPERLINK(CONCATENATE("#metadata!", ADDRESS(INDEX($X$2:$X$1001,MATCH(ROWS($V$2:V466),$V$2:$V$1001,0),0), INDEX($AC$1004:$AS$1004,1,MATCH(COLUMNS($AC$1006:AC1006),$AC$1006:$AS$1006,0)))),"Fix")))</f>
        <v xml:space="preserve"> </v>
      </c>
      <c r="C466" s="4" t="str">
        <f ca="1">IF(OR(INDEX($W$2:$W$1001,MATCH(ROWS($V$2:V466),$V$2:$V$1001,0),1)&gt;=100000,INDEX($AC$1005:$AS$1005,1,MATCH(COLUMNS($AC$1006:AD1006),$AC$1006:$AS$1006,0))&gt;=100000), " ",IF(INDEX($AC$2:$AS$1001,MATCH(ROWS($V$2:V466),$V$2:$V$1001,0),MATCH(COLUMNS($AC$1006:AD1006),$AC$1006:$AS$1006,0)), HYPERLINK("#",""), HYPERLINK(CONCATENATE("#metadata!", ADDRESS(INDEX($X$2:$X$1001,MATCH(ROWS($V$2:V466),$V$2:$V$1001,0),0), INDEX($AC$1004:$AS$1004,1,MATCH(COLUMNS($AC$1006:AD1006),$AC$1006:$AS$1006,0)))),"Fix")))</f>
        <v xml:space="preserve"> </v>
      </c>
      <c r="D466" s="4" t="str">
        <f ca="1">IF(OR(INDEX($W$2:$W$1001,MATCH(ROWS($V$2:V466),$V$2:$V$1001,0),1)&gt;=100000,INDEX($AC$1005:$AS$1005,1,MATCH(COLUMNS($AC$1006:AE1006),$AC$1006:$AS$1006,0))&gt;=100000), " ",IF(INDEX($AC$2:$AS$1001,MATCH(ROWS($V$2:V466),$V$2:$V$1001,0),MATCH(COLUMNS($AC$1006:AE1006),$AC$1006:$AS$1006,0)), HYPERLINK("#",""), HYPERLINK(CONCATENATE("#metadata!", ADDRESS(INDEX($X$2:$X$1001,MATCH(ROWS($V$2:V466),$V$2:$V$1001,0),0), INDEX($AC$1004:$AS$1004,1,MATCH(COLUMNS($AC$1006:AE1006),$AC$1006:$AS$1006,0)))),"Fix")))</f>
        <v xml:space="preserve"> </v>
      </c>
      <c r="E466" s="4" t="str">
        <f ca="1">IF(OR(INDEX($W$2:$W$1001,MATCH(ROWS($V$2:V466),$V$2:$V$1001,0),1)&gt;=100000,INDEX($AC$1005:$AS$1005,1,MATCH(COLUMNS($AC$1006:AF1006),$AC$1006:$AS$1006,0))&gt;=100000), " ",IF(INDEX($AC$2:$AS$1001,MATCH(ROWS($V$2:V466),$V$2:$V$1001,0),MATCH(COLUMNS($AC$1006:AF1006),$AC$1006:$AS$1006,0)), HYPERLINK("#",""), HYPERLINK(CONCATENATE("#metadata!", ADDRESS(INDEX($X$2:$X$1001,MATCH(ROWS($V$2:V466),$V$2:$V$1001,0),0), INDEX($AC$1004:$AS$1004,1,MATCH(COLUMNS($AC$1006:AF1006),$AC$1006:$AS$1006,0)))),"Fix")))</f>
        <v xml:space="preserve"> </v>
      </c>
      <c r="F466" s="4" t="str">
        <f ca="1">IF(OR(INDEX($W$2:$W$1001,MATCH(ROWS($V$2:V466),$V$2:$V$1001,0),1)&gt;=100000,INDEX($AC$1005:$AS$1005,1,MATCH(COLUMNS($AC$1006:AG1006),$AC$1006:$AS$1006,0))&gt;=100000), " ",IF(INDEX($AC$2:$AS$1001,MATCH(ROWS($V$2:V466),$V$2:$V$1001,0),MATCH(COLUMNS($AC$1006:AG1006),$AC$1006:$AS$1006,0)), HYPERLINK("#",""), HYPERLINK(CONCATENATE("#metadata!", ADDRESS(INDEX($X$2:$X$1001,MATCH(ROWS($V$2:V466),$V$2:$V$1001,0),0), INDEX($AC$1004:$AS$1004,1,MATCH(COLUMNS($AC$1006:AG1006),$AC$1006:$AS$1006,0)))),"Fix")))</f>
        <v xml:space="preserve"> </v>
      </c>
      <c r="G466" s="4" t="str">
        <f ca="1">IF(OR(INDEX($W$2:$W$1001,MATCH(ROWS($V$2:V466),$V$2:$V$1001,0),1)&gt;=100000,INDEX($AC$1005:$AS$1005,1,MATCH(COLUMNS($AC$1006:AH1006),$AC$1006:$AS$1006,0))&gt;=100000), " ",IF(INDEX($AC$2:$AS$1001,MATCH(ROWS($V$2:V466),$V$2:$V$1001,0),MATCH(COLUMNS($AC$1006:AH1006),$AC$1006:$AS$1006,0)), HYPERLINK("#",""), HYPERLINK(CONCATENATE("#metadata!", ADDRESS(INDEX($X$2:$X$1001,MATCH(ROWS($V$2:V466),$V$2:$V$1001,0),0), INDEX($AC$1004:$AS$1004,1,MATCH(COLUMNS($AC$1006:AH1006),$AC$1006:$AS$1006,0)))),"Fix")))</f>
        <v xml:space="preserve"> </v>
      </c>
      <c r="H466" s="4" t="str">
        <f ca="1">IF(OR(INDEX($W$2:$W$1001,MATCH(ROWS($V$2:V466),$V$2:$V$1001,0),1)&gt;=100000,INDEX($AC$1005:$AS$1005,1,MATCH(COLUMNS($AC$1006:AI1006),$AC$1006:$AS$1006,0))&gt;=100000), " ",IF(INDEX($AC$2:$AS$1001,MATCH(ROWS($V$2:V466),$V$2:$V$1001,0),MATCH(COLUMNS($AC$1006:AI1006),$AC$1006:$AS$1006,0)), HYPERLINK("#",""), HYPERLINK(CONCATENATE("#metadata!", ADDRESS(INDEX($X$2:$X$1001,MATCH(ROWS($V$2:V466),$V$2:$V$1001,0),0), INDEX($AC$1004:$AS$1004,1,MATCH(COLUMNS($AC$1006:AI1006),$AC$1006:$AS$1006,0)))),"Fix")))</f>
        <v xml:space="preserve"> </v>
      </c>
      <c r="I466" s="4" t="str">
        <f ca="1">IF(OR(INDEX($W$2:$W$1001,MATCH(ROWS($V$2:V466),$V$2:$V$1001,0),1)&gt;=100000,INDEX($AC$1005:$AS$1005,1,MATCH(COLUMNS($AC$1006:AJ1006),$AC$1006:$AS$1006,0))&gt;=100000), " ",IF(INDEX($AC$2:$AS$1001,MATCH(ROWS($V$2:V466),$V$2:$V$1001,0),MATCH(COLUMNS($AC$1006:AJ1006),$AC$1006:$AS$1006,0)), HYPERLINK("#",""), HYPERLINK(CONCATENATE("#metadata!", ADDRESS(INDEX($X$2:$X$1001,MATCH(ROWS($V$2:V466),$V$2:$V$1001,0),0), INDEX($AC$1004:$AS$1004,1,MATCH(COLUMNS($AC$1006:AJ1006),$AC$1006:$AS$1006,0)))),"Fix")))</f>
        <v xml:space="preserve"> </v>
      </c>
      <c r="J466" s="4" t="str">
        <f ca="1">IF(OR(INDEX($W$2:$W$1001,MATCH(ROWS($V$2:V466),$V$2:$V$1001,0),1)&gt;=100000,INDEX($AC$1005:$AS$1005,1,MATCH(COLUMNS($AC$1006:AK1006),$AC$1006:$AS$1006,0))&gt;=100000), " ",IF(INDEX($AC$2:$AS$1001,MATCH(ROWS($V$2:V466),$V$2:$V$1001,0),MATCH(COLUMNS($AC$1006:AK1006),$AC$1006:$AS$1006,0)), HYPERLINK("#",""), HYPERLINK(CONCATENATE("#metadata!", ADDRESS(INDEX($X$2:$X$1001,MATCH(ROWS($V$2:V466),$V$2:$V$1001,0),0), INDEX($AC$1004:$AS$1004,1,MATCH(COLUMNS($AC$1006:AK1006),$AC$1006:$AS$1006,0)))),"Fix")))</f>
        <v xml:space="preserve"> </v>
      </c>
      <c r="K466" s="4" t="str">
        <f ca="1">IF(OR(INDEX($W$2:$W$1001,MATCH(ROWS($V$2:V466),$V$2:$V$1001,0),1)&gt;=100000,INDEX($AC$1005:$AS$1005,1,MATCH(COLUMNS($AC$1006:AL1006),$AC$1006:$AS$1006,0))&gt;=100000), " ",IF(INDEX($AC$2:$AS$1001,MATCH(ROWS($V$2:V466),$V$2:$V$1001,0),MATCH(COLUMNS($AC$1006:AL1006),$AC$1006:$AS$1006,0)), HYPERLINK("#",""), HYPERLINK(CONCATENATE("#metadata!", ADDRESS(INDEX($X$2:$X$1001,MATCH(ROWS($V$2:V466),$V$2:$V$1001,0),0), INDEX($AC$1004:$AS$1004,1,MATCH(COLUMNS($AC$1006:AL1006),$AC$1006:$AS$1006,0)))),"Fix")))</f>
        <v xml:space="preserve"> </v>
      </c>
      <c r="L466" s="4" t="str">
        <f ca="1">IF(OR(INDEX($W$2:$W$1001,MATCH(ROWS($V$2:V466),$V$2:$V$1001,0),1)&gt;=100000,INDEX($AC$1005:$AS$1005,1,MATCH(COLUMNS($AC$1006:AM1006),$AC$1006:$AS$1006,0))&gt;=100000), " ",IF(INDEX($AC$2:$AS$1001,MATCH(ROWS($V$2:V466),$V$2:$V$1001,0),MATCH(COLUMNS($AC$1006:AM1006),$AC$1006:$AS$1006,0)), HYPERLINK("#",""), HYPERLINK(CONCATENATE("#metadata!", ADDRESS(INDEX($X$2:$X$1001,MATCH(ROWS($V$2:V466),$V$2:$V$1001,0),0), INDEX($AC$1004:$AS$1004,1,MATCH(COLUMNS($AC$1006:AM1006),$AC$1006:$AS$1006,0)))),"Fix")))</f>
        <v xml:space="preserve"> </v>
      </c>
      <c r="M466" s="4" t="str">
        <f ca="1">IF(OR(INDEX($W$2:$W$1001,MATCH(ROWS($V$2:V466),$V$2:$V$1001,0),1)&gt;=100000,INDEX($AC$1005:$AS$1005,1,MATCH(COLUMNS($AC$1006:AN1006),$AC$1006:$AS$1006,0))&gt;=100000), " ",IF(INDEX($AC$2:$AS$1001,MATCH(ROWS($V$2:V466),$V$2:$V$1001,0),MATCH(COLUMNS($AC$1006:AN1006),$AC$1006:$AS$1006,0)), HYPERLINK("#",""), HYPERLINK(CONCATENATE("#metadata!", ADDRESS(INDEX($X$2:$X$1001,MATCH(ROWS($V$2:V466),$V$2:$V$1001,0),0), INDEX($AC$1004:$AS$1004,1,MATCH(COLUMNS($AC$1006:AN1006),$AC$1006:$AS$1006,0)))),"Fix")))</f>
        <v xml:space="preserve"> </v>
      </c>
      <c r="N466" s="4" t="str">
        <f ca="1">IF(OR(INDEX($W$2:$W$1001,MATCH(ROWS($V$2:V466),$V$2:$V$1001,0),1)&gt;=100000,INDEX($AC$1005:$AS$1005,1,MATCH(COLUMNS($AC$1006:AO1006),$AC$1006:$AS$1006,0))&gt;=100000), " ",IF(INDEX($AC$2:$AS$1001,MATCH(ROWS($V$2:V466),$V$2:$V$1001,0),MATCH(COLUMNS($AC$1006:AO1006),$AC$1006:$AS$1006,0)), HYPERLINK("#",""), HYPERLINK(CONCATENATE("#metadata!", ADDRESS(INDEX($X$2:$X$1001,MATCH(ROWS($V$2:V466),$V$2:$V$1001,0),0), INDEX($AC$1004:$AS$1004,1,MATCH(COLUMNS($AC$1006:AO1006),$AC$1006:$AS$1006,0)))),"Fix")))</f>
        <v xml:space="preserve"> </v>
      </c>
      <c r="O466" s="4" t="str">
        <f ca="1">IF(OR(INDEX($W$2:$W$1001,MATCH(ROWS($V$2:V466),$V$2:$V$1001,0),1)&gt;=100000,INDEX($AC$1005:$AS$1005,1,MATCH(COLUMNS($AC$1006:AP1006),$AC$1006:$AS$1006,0))&gt;=100000), " ",IF(INDEX($AC$2:$AS$1001,MATCH(ROWS($V$2:V466),$V$2:$V$1001,0),MATCH(COLUMNS($AC$1006:AP1006),$AC$1006:$AS$1006,0)), HYPERLINK("#",""), HYPERLINK(CONCATENATE("#metadata!", ADDRESS(INDEX($X$2:$X$1001,MATCH(ROWS($V$2:V466),$V$2:$V$1001,0),0), INDEX($AC$1004:$AS$1004,1,MATCH(COLUMNS($AC$1006:AP1006),$AC$1006:$AS$1006,0)))),"Fix")))</f>
        <v xml:space="preserve"> </v>
      </c>
      <c r="P466" s="4" t="str">
        <f ca="1">IF(OR(INDEX($W$2:$W$1001,MATCH(ROWS($V$2:V466),$V$2:$V$1001,0),1)&gt;=100000,INDEX($AC$1005:$AS$1005,1,MATCH(COLUMNS($AC$1006:AQ1006),$AC$1006:$AS$1006,0))&gt;=100000), " ",IF(INDEX($AC$2:$AS$1001,MATCH(ROWS($V$2:V466),$V$2:$V$1001,0),MATCH(COLUMNS($AC$1006:AQ1006),$AC$1006:$AS$1006,0)), HYPERLINK("#",""), HYPERLINK(CONCATENATE("#metadata!", ADDRESS(INDEX($X$2:$X$1001,MATCH(ROWS($V$2:V466),$V$2:$V$1001,0),0), INDEX($AC$1004:$AS$1004,1,MATCH(COLUMNS($AC$1006:AQ1006),$AC$1006:$AS$1006,0)))),"Fix")))</f>
        <v xml:space="preserve"> </v>
      </c>
      <c r="Q466" s="4" t="str">
        <f ca="1">IF(OR(INDEX($W$2:$W$1001,MATCH(ROWS($V$2:V466),$V$2:$V$1001,0),1)&gt;=100000,INDEX($AC$1005:$AS$1005,1,MATCH(COLUMNS($AC$1006:AR1006),$AC$1006:$AS$1006,0))&gt;=100000), " ",IF(INDEX($AC$2:$AS$1001,MATCH(ROWS($V$2:V466),$V$2:$V$1001,0),MATCH(COLUMNS($AC$1006:AR1006),$AC$1006:$AS$1006,0)), HYPERLINK("#",""), HYPERLINK(CONCATENATE("#metadata!", ADDRESS(INDEX($X$2:$X$1001,MATCH(ROWS($V$2:V466),$V$2:$V$1001,0),0), INDEX($AC$1004:$AS$1004,1,MATCH(COLUMNS($AC$1006:AR1006),$AC$1006:$AS$1006,0)))),"Fix")))</f>
        <v xml:space="preserve"> </v>
      </c>
      <c r="R466" s="4" t="str">
        <f ca="1">IF(OR(INDEX($W$2:$W$1001,MATCH(ROWS($V$2:V466),$V$2:$V$1001,0),1)&gt;=100000,INDEX($AC$1005:$AS$1005,1,MATCH(COLUMNS($AC$1006:AS1006),$AC$1006:$AS$1006,0))&gt;=100000), " ",IF(INDEX($AC$2:$AS$1001,MATCH(ROWS($V$2:V466),$V$2:$V$1001,0),MATCH(COLUMNS($AC$1006:AS1006),$AC$1006:$AS$1006,0)), HYPERLINK("#",""), HYPERLINK(CONCATENATE("#metadata!", ADDRESS(INDEX($X$2:$X$1001,MATCH(ROWS($V$2:V466),$V$2:$V$1001,0),0), INDEX($AC$1004:$AS$1004,1,MATCH(COLUMNS($AC$1006:AS1006),$AC$1006:$AS$1006,0)))),"Fix")))</f>
        <v xml:space="preserve"> </v>
      </c>
      <c r="V466">
        <v>465</v>
      </c>
      <c r="W466">
        <v>100466</v>
      </c>
      <c r="X466">
        <v>466</v>
      </c>
      <c r="Y466" t="b">
        <f t="shared" si="7"/>
        <v>1</v>
      </c>
      <c r="Z466" t="b">
        <f>COUNTBLANK(metadata!B466:R466)=COLUMNS(metadata!B466:R466)</f>
        <v>1</v>
      </c>
      <c r="AA466" t="str">
        <v/>
      </c>
      <c r="AC466" t="b">
        <f ca="1"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AD466" t="b">
        <f>IF(metadata!C466="",FALSE,ISNUMBER(VALUE(metadata!C466)))</f>
        <v>0</v>
      </c>
      <c r="AE466" t="b">
        <f>AND(IF(metadata!D466="",FALSE,TRUE),EXACT(metadata!D466,"years"))</f>
        <v>0</v>
      </c>
      <c r="AF466" t="b">
        <f>OR(AND(IF(metadata!E466="",FALSE,TRUE),OR(EXACT(metadata!E466,"not applicable"),EXACT(metadata!E466,"missing: not collected"),EXACT(metadata!E466,"missing: not provided"),EXACT(metadata!E466,"missing: restricted access"))),AND(IF(metadata!E466="",FALSE,ISNUMBER(VALUE(metadata!E466))),metadata!E466&gt;0))</f>
        <v>0</v>
      </c>
      <c r="AG466" t="b">
        <f>AND(IF(metadata!F466="",FALSE,TRUE),EXACT(metadata!F466,"Not applicable"))</f>
        <v>0</v>
      </c>
      <c r="AH466" t="b">
        <f>AND(IF(metadata!G466="",FALSE,TRUE),EXACT(metadata!G466,"urban biome"))</f>
        <v>0</v>
      </c>
      <c r="AI466" t="b">
        <f>AND(IF(metadata!H466="",FALSE,TRUE),EXACT(metadata!H466,"human-associated habitat"))</f>
        <v>0</v>
      </c>
      <c r="AJ466" t="b">
        <f>AND(IF(metadata!I466="",FALSE,TRUE),OR(EXACT(metadata!I466,"human-associated"),EXACT(metadata!I466,"human-skin"),EXACT(metadata!I466,"human-oral"),EXACT(metadata!I466,"human-gut"),EXACT(metadata!I466,"human-vaginal")))</f>
        <v>0</v>
      </c>
      <c r="AK466" t="b">
        <f>IF(metadata!J466="",FALSE,ISNUMBER(VALUE(metadata!J466)))</f>
        <v>0</v>
      </c>
      <c r="AL466" t="b">
        <f>AND(IF(metadata!K466="",FALSE,TRUE),EXACT(metadata!K466,"cm"))</f>
        <v>0</v>
      </c>
      <c r="AM466" t="b">
        <f>AND(IF(metadata!L466="",FALSE,TRUE),EXACT(metadata!L466,"human"))</f>
        <v>0</v>
      </c>
      <c r="AN466" t="b">
        <f>AND(IF(metadata!M466="",FALSE,TRUE),EXACT(metadata!M466,"Homo sapiens"))</f>
        <v>0</v>
      </c>
      <c r="AO466" t="b">
        <f>AND(IF(metadata!N466="",FALSE,TRUE),EXACT(metadata!N466,"9606"))</f>
        <v>0</v>
      </c>
      <c r="AP466" t="b">
        <f>IF(metadata!O466="",FALSE,TRUE)</f>
        <v>0</v>
      </c>
      <c r="AQ466" t="b">
        <f>IF(metadata!P466="",FALSE,TRUE)</f>
        <v>0</v>
      </c>
      <c r="AR466" t="b">
        <f>IF(metadata!Q466="",FALSE,ISNUMBER(VALUE(metadata!Q466)))</f>
        <v>0</v>
      </c>
      <c r="AS466" t="b">
        <f>AND(IF(metadata!R466="",FALSE,TRUE),EXACT(metadata!R466,"kg"))</f>
        <v>0</v>
      </c>
    </row>
    <row r="467" spans="1:45" x14ac:dyDescent="0.2">
      <c r="A467" s="5" t="str">
        <f ca="1">IF(B467=" "," ",HYPERLINK(CONCATENATE("#metadata!",ADDRESS(INDEX($X$2:$X$1001,MATCH(ROWS($V$2:V467),$V$2:$V$1001,0),0),1)),INDEX($AA$2:$AA$1001,MATCH(ROWS($V$2:V467),$V$2:$V$1001,0),0)))</f>
        <v xml:space="preserve"> </v>
      </c>
      <c r="B467" s="4" t="str">
        <f ca="1">IF(OR(INDEX($W$2:$W$1001,MATCH(ROWS($V$2:V467),$V$2:$V$1001,0),1)&gt;=100000,INDEX($AC$1005:$AS$1005,1,MATCH(COLUMNS($AC$1006:AC1006),$AC$1006:$AS$1006,0))&gt;=100000), " ",IF(INDEX($AC$2:$AS$1001,MATCH(ROWS($V$2:V467),$V$2:$V$1001,0),MATCH(COLUMNS($AC$1006:AC1006),$AC$1006:$AS$1006,0)), HYPERLINK("#",""), HYPERLINK(CONCATENATE("#metadata!", ADDRESS(INDEX($X$2:$X$1001,MATCH(ROWS($V$2:V467),$V$2:$V$1001,0),0), INDEX($AC$1004:$AS$1004,1,MATCH(COLUMNS($AC$1006:AC1006),$AC$1006:$AS$1006,0)))),"Fix")))</f>
        <v xml:space="preserve"> </v>
      </c>
      <c r="C467" s="4" t="str">
        <f ca="1">IF(OR(INDEX($W$2:$W$1001,MATCH(ROWS($V$2:V467),$V$2:$V$1001,0),1)&gt;=100000,INDEX($AC$1005:$AS$1005,1,MATCH(COLUMNS($AC$1006:AD1006),$AC$1006:$AS$1006,0))&gt;=100000), " ",IF(INDEX($AC$2:$AS$1001,MATCH(ROWS($V$2:V467),$V$2:$V$1001,0),MATCH(COLUMNS($AC$1006:AD1006),$AC$1006:$AS$1006,0)), HYPERLINK("#",""), HYPERLINK(CONCATENATE("#metadata!", ADDRESS(INDEX($X$2:$X$1001,MATCH(ROWS($V$2:V467),$V$2:$V$1001,0),0), INDEX($AC$1004:$AS$1004,1,MATCH(COLUMNS($AC$1006:AD1006),$AC$1006:$AS$1006,0)))),"Fix")))</f>
        <v xml:space="preserve"> </v>
      </c>
      <c r="D467" s="4" t="str">
        <f ca="1">IF(OR(INDEX($W$2:$W$1001,MATCH(ROWS($V$2:V467),$V$2:$V$1001,0),1)&gt;=100000,INDEX($AC$1005:$AS$1005,1,MATCH(COLUMNS($AC$1006:AE1006),$AC$1006:$AS$1006,0))&gt;=100000), " ",IF(INDEX($AC$2:$AS$1001,MATCH(ROWS($V$2:V467),$V$2:$V$1001,0),MATCH(COLUMNS($AC$1006:AE1006),$AC$1006:$AS$1006,0)), HYPERLINK("#",""), HYPERLINK(CONCATENATE("#metadata!", ADDRESS(INDEX($X$2:$X$1001,MATCH(ROWS($V$2:V467),$V$2:$V$1001,0),0), INDEX($AC$1004:$AS$1004,1,MATCH(COLUMNS($AC$1006:AE1006),$AC$1006:$AS$1006,0)))),"Fix")))</f>
        <v xml:space="preserve"> </v>
      </c>
      <c r="E467" s="4" t="str">
        <f ca="1">IF(OR(INDEX($W$2:$W$1001,MATCH(ROWS($V$2:V467),$V$2:$V$1001,0),1)&gt;=100000,INDEX($AC$1005:$AS$1005,1,MATCH(COLUMNS($AC$1006:AF1006),$AC$1006:$AS$1006,0))&gt;=100000), " ",IF(INDEX($AC$2:$AS$1001,MATCH(ROWS($V$2:V467),$V$2:$V$1001,0),MATCH(COLUMNS($AC$1006:AF1006),$AC$1006:$AS$1006,0)), HYPERLINK("#",""), HYPERLINK(CONCATENATE("#metadata!", ADDRESS(INDEX($X$2:$X$1001,MATCH(ROWS($V$2:V467),$V$2:$V$1001,0),0), INDEX($AC$1004:$AS$1004,1,MATCH(COLUMNS($AC$1006:AF1006),$AC$1006:$AS$1006,0)))),"Fix")))</f>
        <v xml:space="preserve"> </v>
      </c>
      <c r="F467" s="4" t="str">
        <f ca="1">IF(OR(INDEX($W$2:$W$1001,MATCH(ROWS($V$2:V467),$V$2:$V$1001,0),1)&gt;=100000,INDEX($AC$1005:$AS$1005,1,MATCH(COLUMNS($AC$1006:AG1006),$AC$1006:$AS$1006,0))&gt;=100000), " ",IF(INDEX($AC$2:$AS$1001,MATCH(ROWS($V$2:V467),$V$2:$V$1001,0),MATCH(COLUMNS($AC$1006:AG1006),$AC$1006:$AS$1006,0)), HYPERLINK("#",""), HYPERLINK(CONCATENATE("#metadata!", ADDRESS(INDEX($X$2:$X$1001,MATCH(ROWS($V$2:V467),$V$2:$V$1001,0),0), INDEX($AC$1004:$AS$1004,1,MATCH(COLUMNS($AC$1006:AG1006),$AC$1006:$AS$1006,0)))),"Fix")))</f>
        <v xml:space="preserve"> </v>
      </c>
      <c r="G467" s="4" t="str">
        <f ca="1">IF(OR(INDEX($W$2:$W$1001,MATCH(ROWS($V$2:V467),$V$2:$V$1001,0),1)&gt;=100000,INDEX($AC$1005:$AS$1005,1,MATCH(COLUMNS($AC$1006:AH1006),$AC$1006:$AS$1006,0))&gt;=100000), " ",IF(INDEX($AC$2:$AS$1001,MATCH(ROWS($V$2:V467),$V$2:$V$1001,0),MATCH(COLUMNS($AC$1006:AH1006),$AC$1006:$AS$1006,0)), HYPERLINK("#",""), HYPERLINK(CONCATENATE("#metadata!", ADDRESS(INDEX($X$2:$X$1001,MATCH(ROWS($V$2:V467),$V$2:$V$1001,0),0), INDEX($AC$1004:$AS$1004,1,MATCH(COLUMNS($AC$1006:AH1006),$AC$1006:$AS$1006,0)))),"Fix")))</f>
        <v xml:space="preserve"> </v>
      </c>
      <c r="H467" s="4" t="str">
        <f ca="1">IF(OR(INDEX($W$2:$W$1001,MATCH(ROWS($V$2:V467),$V$2:$V$1001,0),1)&gt;=100000,INDEX($AC$1005:$AS$1005,1,MATCH(COLUMNS($AC$1006:AI1006),$AC$1006:$AS$1006,0))&gt;=100000), " ",IF(INDEX($AC$2:$AS$1001,MATCH(ROWS($V$2:V467),$V$2:$V$1001,0),MATCH(COLUMNS($AC$1006:AI1006),$AC$1006:$AS$1006,0)), HYPERLINK("#",""), HYPERLINK(CONCATENATE("#metadata!", ADDRESS(INDEX($X$2:$X$1001,MATCH(ROWS($V$2:V467),$V$2:$V$1001,0),0), INDEX($AC$1004:$AS$1004,1,MATCH(COLUMNS($AC$1006:AI1006),$AC$1006:$AS$1006,0)))),"Fix")))</f>
        <v xml:space="preserve"> </v>
      </c>
      <c r="I467" s="4" t="str">
        <f ca="1">IF(OR(INDEX($W$2:$W$1001,MATCH(ROWS($V$2:V467),$V$2:$V$1001,0),1)&gt;=100000,INDEX($AC$1005:$AS$1005,1,MATCH(COLUMNS($AC$1006:AJ1006),$AC$1006:$AS$1006,0))&gt;=100000), " ",IF(INDEX($AC$2:$AS$1001,MATCH(ROWS($V$2:V467),$V$2:$V$1001,0),MATCH(COLUMNS($AC$1006:AJ1006),$AC$1006:$AS$1006,0)), HYPERLINK("#",""), HYPERLINK(CONCATENATE("#metadata!", ADDRESS(INDEX($X$2:$X$1001,MATCH(ROWS($V$2:V467),$V$2:$V$1001,0),0), INDEX($AC$1004:$AS$1004,1,MATCH(COLUMNS($AC$1006:AJ1006),$AC$1006:$AS$1006,0)))),"Fix")))</f>
        <v xml:space="preserve"> </v>
      </c>
      <c r="J467" s="4" t="str">
        <f ca="1">IF(OR(INDEX($W$2:$W$1001,MATCH(ROWS($V$2:V467),$V$2:$V$1001,0),1)&gt;=100000,INDEX($AC$1005:$AS$1005,1,MATCH(COLUMNS($AC$1006:AK1006),$AC$1006:$AS$1006,0))&gt;=100000), " ",IF(INDEX($AC$2:$AS$1001,MATCH(ROWS($V$2:V467),$V$2:$V$1001,0),MATCH(COLUMNS($AC$1006:AK1006),$AC$1006:$AS$1006,0)), HYPERLINK("#",""), HYPERLINK(CONCATENATE("#metadata!", ADDRESS(INDEX($X$2:$X$1001,MATCH(ROWS($V$2:V467),$V$2:$V$1001,0),0), INDEX($AC$1004:$AS$1004,1,MATCH(COLUMNS($AC$1006:AK1006),$AC$1006:$AS$1006,0)))),"Fix")))</f>
        <v xml:space="preserve"> </v>
      </c>
      <c r="K467" s="4" t="str">
        <f ca="1">IF(OR(INDEX($W$2:$W$1001,MATCH(ROWS($V$2:V467),$V$2:$V$1001,0),1)&gt;=100000,INDEX($AC$1005:$AS$1005,1,MATCH(COLUMNS($AC$1006:AL1006),$AC$1006:$AS$1006,0))&gt;=100000), " ",IF(INDEX($AC$2:$AS$1001,MATCH(ROWS($V$2:V467),$V$2:$V$1001,0),MATCH(COLUMNS($AC$1006:AL1006),$AC$1006:$AS$1006,0)), HYPERLINK("#",""), HYPERLINK(CONCATENATE("#metadata!", ADDRESS(INDEX($X$2:$X$1001,MATCH(ROWS($V$2:V467),$V$2:$V$1001,0),0), INDEX($AC$1004:$AS$1004,1,MATCH(COLUMNS($AC$1006:AL1006),$AC$1006:$AS$1006,0)))),"Fix")))</f>
        <v xml:space="preserve"> </v>
      </c>
      <c r="L467" s="4" t="str">
        <f ca="1">IF(OR(INDEX($W$2:$W$1001,MATCH(ROWS($V$2:V467),$V$2:$V$1001,0),1)&gt;=100000,INDEX($AC$1005:$AS$1005,1,MATCH(COLUMNS($AC$1006:AM1006),$AC$1006:$AS$1006,0))&gt;=100000), " ",IF(INDEX($AC$2:$AS$1001,MATCH(ROWS($V$2:V467),$V$2:$V$1001,0),MATCH(COLUMNS($AC$1006:AM1006),$AC$1006:$AS$1006,0)), HYPERLINK("#",""), HYPERLINK(CONCATENATE("#metadata!", ADDRESS(INDEX($X$2:$X$1001,MATCH(ROWS($V$2:V467),$V$2:$V$1001,0),0), INDEX($AC$1004:$AS$1004,1,MATCH(COLUMNS($AC$1006:AM1006),$AC$1006:$AS$1006,0)))),"Fix")))</f>
        <v xml:space="preserve"> </v>
      </c>
      <c r="M467" s="4" t="str">
        <f ca="1">IF(OR(INDEX($W$2:$W$1001,MATCH(ROWS($V$2:V467),$V$2:$V$1001,0),1)&gt;=100000,INDEX($AC$1005:$AS$1005,1,MATCH(COLUMNS($AC$1006:AN1006),$AC$1006:$AS$1006,0))&gt;=100000), " ",IF(INDEX($AC$2:$AS$1001,MATCH(ROWS($V$2:V467),$V$2:$V$1001,0),MATCH(COLUMNS($AC$1006:AN1006),$AC$1006:$AS$1006,0)), HYPERLINK("#",""), HYPERLINK(CONCATENATE("#metadata!", ADDRESS(INDEX($X$2:$X$1001,MATCH(ROWS($V$2:V467),$V$2:$V$1001,0),0), INDEX($AC$1004:$AS$1004,1,MATCH(COLUMNS($AC$1006:AN1006),$AC$1006:$AS$1006,0)))),"Fix")))</f>
        <v xml:space="preserve"> </v>
      </c>
      <c r="N467" s="4" t="str">
        <f ca="1">IF(OR(INDEX($W$2:$W$1001,MATCH(ROWS($V$2:V467),$V$2:$V$1001,0),1)&gt;=100000,INDEX($AC$1005:$AS$1005,1,MATCH(COLUMNS($AC$1006:AO1006),$AC$1006:$AS$1006,0))&gt;=100000), " ",IF(INDEX($AC$2:$AS$1001,MATCH(ROWS($V$2:V467),$V$2:$V$1001,0),MATCH(COLUMNS($AC$1006:AO1006),$AC$1006:$AS$1006,0)), HYPERLINK("#",""), HYPERLINK(CONCATENATE("#metadata!", ADDRESS(INDEX($X$2:$X$1001,MATCH(ROWS($V$2:V467),$V$2:$V$1001,0),0), INDEX($AC$1004:$AS$1004,1,MATCH(COLUMNS($AC$1006:AO1006),$AC$1006:$AS$1006,0)))),"Fix")))</f>
        <v xml:space="preserve"> </v>
      </c>
      <c r="O467" s="4" t="str">
        <f ca="1">IF(OR(INDEX($W$2:$W$1001,MATCH(ROWS($V$2:V467),$V$2:$V$1001,0),1)&gt;=100000,INDEX($AC$1005:$AS$1005,1,MATCH(COLUMNS($AC$1006:AP1006),$AC$1006:$AS$1006,0))&gt;=100000), " ",IF(INDEX($AC$2:$AS$1001,MATCH(ROWS($V$2:V467),$V$2:$V$1001,0),MATCH(COLUMNS($AC$1006:AP1006),$AC$1006:$AS$1006,0)), HYPERLINK("#",""), HYPERLINK(CONCATENATE("#metadata!", ADDRESS(INDEX($X$2:$X$1001,MATCH(ROWS($V$2:V467),$V$2:$V$1001,0),0), INDEX($AC$1004:$AS$1004,1,MATCH(COLUMNS($AC$1006:AP1006),$AC$1006:$AS$1006,0)))),"Fix")))</f>
        <v xml:space="preserve"> </v>
      </c>
      <c r="P467" s="4" t="str">
        <f ca="1">IF(OR(INDEX($W$2:$W$1001,MATCH(ROWS($V$2:V467),$V$2:$V$1001,0),1)&gt;=100000,INDEX($AC$1005:$AS$1005,1,MATCH(COLUMNS($AC$1006:AQ1006),$AC$1006:$AS$1006,0))&gt;=100000), " ",IF(INDEX($AC$2:$AS$1001,MATCH(ROWS($V$2:V467),$V$2:$V$1001,0),MATCH(COLUMNS($AC$1006:AQ1006),$AC$1006:$AS$1006,0)), HYPERLINK("#",""), HYPERLINK(CONCATENATE("#metadata!", ADDRESS(INDEX($X$2:$X$1001,MATCH(ROWS($V$2:V467),$V$2:$V$1001,0),0), INDEX($AC$1004:$AS$1004,1,MATCH(COLUMNS($AC$1006:AQ1006),$AC$1006:$AS$1006,0)))),"Fix")))</f>
        <v xml:space="preserve"> </v>
      </c>
      <c r="Q467" s="4" t="str">
        <f ca="1">IF(OR(INDEX($W$2:$W$1001,MATCH(ROWS($V$2:V467),$V$2:$V$1001,0),1)&gt;=100000,INDEX($AC$1005:$AS$1005,1,MATCH(COLUMNS($AC$1006:AR1006),$AC$1006:$AS$1006,0))&gt;=100000), " ",IF(INDEX($AC$2:$AS$1001,MATCH(ROWS($V$2:V467),$V$2:$V$1001,0),MATCH(COLUMNS($AC$1006:AR1006),$AC$1006:$AS$1006,0)), HYPERLINK("#",""), HYPERLINK(CONCATENATE("#metadata!", ADDRESS(INDEX($X$2:$X$1001,MATCH(ROWS($V$2:V467),$V$2:$V$1001,0),0), INDEX($AC$1004:$AS$1004,1,MATCH(COLUMNS($AC$1006:AR1006),$AC$1006:$AS$1006,0)))),"Fix")))</f>
        <v xml:space="preserve"> </v>
      </c>
      <c r="R467" s="4" t="str">
        <f ca="1">IF(OR(INDEX($W$2:$W$1001,MATCH(ROWS($V$2:V467),$V$2:$V$1001,0),1)&gt;=100000,INDEX($AC$1005:$AS$1005,1,MATCH(COLUMNS($AC$1006:AS1006),$AC$1006:$AS$1006,0))&gt;=100000), " ",IF(INDEX($AC$2:$AS$1001,MATCH(ROWS($V$2:V467),$V$2:$V$1001,0),MATCH(COLUMNS($AC$1006:AS1006),$AC$1006:$AS$1006,0)), HYPERLINK("#",""), HYPERLINK(CONCATENATE("#metadata!", ADDRESS(INDEX($X$2:$X$1001,MATCH(ROWS($V$2:V467),$V$2:$V$1001,0),0), INDEX($AC$1004:$AS$1004,1,MATCH(COLUMNS($AC$1006:AS1006),$AC$1006:$AS$1006,0)))),"Fix")))</f>
        <v xml:space="preserve"> </v>
      </c>
      <c r="V467">
        <v>466</v>
      </c>
      <c r="W467">
        <v>100467</v>
      </c>
      <c r="X467">
        <v>467</v>
      </c>
      <c r="Y467" t="b">
        <f t="shared" si="7"/>
        <v>1</v>
      </c>
      <c r="Z467" t="b">
        <f>COUNTBLANK(metadata!B467:R467)=COLUMNS(metadata!B467:R467)</f>
        <v>1</v>
      </c>
      <c r="AA467" t="str">
        <v/>
      </c>
      <c r="AC467" t="b">
        <f ca="1"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AD467" t="b">
        <f>IF(metadata!C467="",FALSE,ISNUMBER(VALUE(metadata!C467)))</f>
        <v>0</v>
      </c>
      <c r="AE467" t="b">
        <f>AND(IF(metadata!D467="",FALSE,TRUE),EXACT(metadata!D467,"years"))</f>
        <v>0</v>
      </c>
      <c r="AF467" t="b">
        <f>OR(AND(IF(metadata!E467="",FALSE,TRUE),OR(EXACT(metadata!E467,"not applicable"),EXACT(metadata!E467,"missing: not collected"),EXACT(metadata!E467,"missing: not provided"),EXACT(metadata!E467,"missing: restricted access"))),AND(IF(metadata!E467="",FALSE,ISNUMBER(VALUE(metadata!E467))),metadata!E467&gt;0))</f>
        <v>0</v>
      </c>
      <c r="AG467" t="b">
        <f>AND(IF(metadata!F467="",FALSE,TRUE),EXACT(metadata!F467,"Not applicable"))</f>
        <v>0</v>
      </c>
      <c r="AH467" t="b">
        <f>AND(IF(metadata!G467="",FALSE,TRUE),EXACT(metadata!G467,"urban biome"))</f>
        <v>0</v>
      </c>
      <c r="AI467" t="b">
        <f>AND(IF(metadata!H467="",FALSE,TRUE),EXACT(metadata!H467,"human-associated habitat"))</f>
        <v>0</v>
      </c>
      <c r="AJ467" t="b">
        <f>AND(IF(metadata!I467="",FALSE,TRUE),OR(EXACT(metadata!I467,"human-associated"),EXACT(metadata!I467,"human-skin"),EXACT(metadata!I467,"human-oral"),EXACT(metadata!I467,"human-gut"),EXACT(metadata!I467,"human-vaginal")))</f>
        <v>0</v>
      </c>
      <c r="AK467" t="b">
        <f>IF(metadata!J467="",FALSE,ISNUMBER(VALUE(metadata!J467)))</f>
        <v>0</v>
      </c>
      <c r="AL467" t="b">
        <f>AND(IF(metadata!K467="",FALSE,TRUE),EXACT(metadata!K467,"cm"))</f>
        <v>0</v>
      </c>
      <c r="AM467" t="b">
        <f>AND(IF(metadata!L467="",FALSE,TRUE),EXACT(metadata!L467,"human"))</f>
        <v>0</v>
      </c>
      <c r="AN467" t="b">
        <f>AND(IF(metadata!M467="",FALSE,TRUE),EXACT(metadata!M467,"Homo sapiens"))</f>
        <v>0</v>
      </c>
      <c r="AO467" t="b">
        <f>AND(IF(metadata!N467="",FALSE,TRUE),EXACT(metadata!N467,"9606"))</f>
        <v>0</v>
      </c>
      <c r="AP467" t="b">
        <f>IF(metadata!O467="",FALSE,TRUE)</f>
        <v>0</v>
      </c>
      <c r="AQ467" t="b">
        <f>IF(metadata!P467="",FALSE,TRUE)</f>
        <v>0</v>
      </c>
      <c r="AR467" t="b">
        <f>IF(metadata!Q467="",FALSE,ISNUMBER(VALUE(metadata!Q467)))</f>
        <v>0</v>
      </c>
      <c r="AS467" t="b">
        <f>AND(IF(metadata!R467="",FALSE,TRUE),EXACT(metadata!R467,"kg"))</f>
        <v>0</v>
      </c>
    </row>
    <row r="468" spans="1:45" x14ac:dyDescent="0.2">
      <c r="A468" s="5" t="str">
        <f ca="1">IF(B468=" "," ",HYPERLINK(CONCATENATE("#metadata!",ADDRESS(INDEX($X$2:$X$1001,MATCH(ROWS($V$2:V468),$V$2:$V$1001,0),0),1)),INDEX($AA$2:$AA$1001,MATCH(ROWS($V$2:V468),$V$2:$V$1001,0),0)))</f>
        <v xml:space="preserve"> </v>
      </c>
      <c r="B468" s="4" t="str">
        <f ca="1">IF(OR(INDEX($W$2:$W$1001,MATCH(ROWS($V$2:V468),$V$2:$V$1001,0),1)&gt;=100000,INDEX($AC$1005:$AS$1005,1,MATCH(COLUMNS($AC$1006:AC1006),$AC$1006:$AS$1006,0))&gt;=100000), " ",IF(INDEX($AC$2:$AS$1001,MATCH(ROWS($V$2:V468),$V$2:$V$1001,0),MATCH(COLUMNS($AC$1006:AC1006),$AC$1006:$AS$1006,0)), HYPERLINK("#",""), HYPERLINK(CONCATENATE("#metadata!", ADDRESS(INDEX($X$2:$X$1001,MATCH(ROWS($V$2:V468),$V$2:$V$1001,0),0), INDEX($AC$1004:$AS$1004,1,MATCH(COLUMNS($AC$1006:AC1006),$AC$1006:$AS$1006,0)))),"Fix")))</f>
        <v xml:space="preserve"> </v>
      </c>
      <c r="C468" s="4" t="str">
        <f ca="1">IF(OR(INDEX($W$2:$W$1001,MATCH(ROWS($V$2:V468),$V$2:$V$1001,0),1)&gt;=100000,INDEX($AC$1005:$AS$1005,1,MATCH(COLUMNS($AC$1006:AD1006),$AC$1006:$AS$1006,0))&gt;=100000), " ",IF(INDEX($AC$2:$AS$1001,MATCH(ROWS($V$2:V468),$V$2:$V$1001,0),MATCH(COLUMNS($AC$1006:AD1006),$AC$1006:$AS$1006,0)), HYPERLINK("#",""), HYPERLINK(CONCATENATE("#metadata!", ADDRESS(INDEX($X$2:$X$1001,MATCH(ROWS($V$2:V468),$V$2:$V$1001,0),0), INDEX($AC$1004:$AS$1004,1,MATCH(COLUMNS($AC$1006:AD1006),$AC$1006:$AS$1006,0)))),"Fix")))</f>
        <v xml:space="preserve"> </v>
      </c>
      <c r="D468" s="4" t="str">
        <f ca="1">IF(OR(INDEX($W$2:$W$1001,MATCH(ROWS($V$2:V468),$V$2:$V$1001,0),1)&gt;=100000,INDEX($AC$1005:$AS$1005,1,MATCH(COLUMNS($AC$1006:AE1006),$AC$1006:$AS$1006,0))&gt;=100000), " ",IF(INDEX($AC$2:$AS$1001,MATCH(ROWS($V$2:V468),$V$2:$V$1001,0),MATCH(COLUMNS($AC$1006:AE1006),$AC$1006:$AS$1006,0)), HYPERLINK("#",""), HYPERLINK(CONCATENATE("#metadata!", ADDRESS(INDEX($X$2:$X$1001,MATCH(ROWS($V$2:V468),$V$2:$V$1001,0),0), INDEX($AC$1004:$AS$1004,1,MATCH(COLUMNS($AC$1006:AE1006),$AC$1006:$AS$1006,0)))),"Fix")))</f>
        <v xml:space="preserve"> </v>
      </c>
      <c r="E468" s="4" t="str">
        <f ca="1">IF(OR(INDEX($W$2:$W$1001,MATCH(ROWS($V$2:V468),$V$2:$V$1001,0),1)&gt;=100000,INDEX($AC$1005:$AS$1005,1,MATCH(COLUMNS($AC$1006:AF1006),$AC$1006:$AS$1006,0))&gt;=100000), " ",IF(INDEX($AC$2:$AS$1001,MATCH(ROWS($V$2:V468),$V$2:$V$1001,0),MATCH(COLUMNS($AC$1006:AF1006),$AC$1006:$AS$1006,0)), HYPERLINK("#",""), HYPERLINK(CONCATENATE("#metadata!", ADDRESS(INDEX($X$2:$X$1001,MATCH(ROWS($V$2:V468),$V$2:$V$1001,0),0), INDEX($AC$1004:$AS$1004,1,MATCH(COLUMNS($AC$1006:AF1006),$AC$1006:$AS$1006,0)))),"Fix")))</f>
        <v xml:space="preserve"> </v>
      </c>
      <c r="F468" s="4" t="str">
        <f ca="1">IF(OR(INDEX($W$2:$W$1001,MATCH(ROWS($V$2:V468),$V$2:$V$1001,0),1)&gt;=100000,INDEX($AC$1005:$AS$1005,1,MATCH(COLUMNS($AC$1006:AG1006),$AC$1006:$AS$1006,0))&gt;=100000), " ",IF(INDEX($AC$2:$AS$1001,MATCH(ROWS($V$2:V468),$V$2:$V$1001,0),MATCH(COLUMNS($AC$1006:AG1006),$AC$1006:$AS$1006,0)), HYPERLINK("#",""), HYPERLINK(CONCATENATE("#metadata!", ADDRESS(INDEX($X$2:$X$1001,MATCH(ROWS($V$2:V468),$V$2:$V$1001,0),0), INDEX($AC$1004:$AS$1004,1,MATCH(COLUMNS($AC$1006:AG1006),$AC$1006:$AS$1006,0)))),"Fix")))</f>
        <v xml:space="preserve"> </v>
      </c>
      <c r="G468" s="4" t="str">
        <f ca="1">IF(OR(INDEX($W$2:$W$1001,MATCH(ROWS($V$2:V468),$V$2:$V$1001,0),1)&gt;=100000,INDEX($AC$1005:$AS$1005,1,MATCH(COLUMNS($AC$1006:AH1006),$AC$1006:$AS$1006,0))&gt;=100000), " ",IF(INDEX($AC$2:$AS$1001,MATCH(ROWS($V$2:V468),$V$2:$V$1001,0),MATCH(COLUMNS($AC$1006:AH1006),$AC$1006:$AS$1006,0)), HYPERLINK("#",""), HYPERLINK(CONCATENATE("#metadata!", ADDRESS(INDEX($X$2:$X$1001,MATCH(ROWS($V$2:V468),$V$2:$V$1001,0),0), INDEX($AC$1004:$AS$1004,1,MATCH(COLUMNS($AC$1006:AH1006),$AC$1006:$AS$1006,0)))),"Fix")))</f>
        <v xml:space="preserve"> </v>
      </c>
      <c r="H468" s="4" t="str">
        <f ca="1">IF(OR(INDEX($W$2:$W$1001,MATCH(ROWS($V$2:V468),$V$2:$V$1001,0),1)&gt;=100000,INDEX($AC$1005:$AS$1005,1,MATCH(COLUMNS($AC$1006:AI1006),$AC$1006:$AS$1006,0))&gt;=100000), " ",IF(INDEX($AC$2:$AS$1001,MATCH(ROWS($V$2:V468),$V$2:$V$1001,0),MATCH(COLUMNS($AC$1006:AI1006),$AC$1006:$AS$1006,0)), HYPERLINK("#",""), HYPERLINK(CONCATENATE("#metadata!", ADDRESS(INDEX($X$2:$X$1001,MATCH(ROWS($V$2:V468),$V$2:$V$1001,0),0), INDEX($AC$1004:$AS$1004,1,MATCH(COLUMNS($AC$1006:AI1006),$AC$1006:$AS$1006,0)))),"Fix")))</f>
        <v xml:space="preserve"> </v>
      </c>
      <c r="I468" s="4" t="str">
        <f ca="1">IF(OR(INDEX($W$2:$W$1001,MATCH(ROWS($V$2:V468),$V$2:$V$1001,0),1)&gt;=100000,INDEX($AC$1005:$AS$1005,1,MATCH(COLUMNS($AC$1006:AJ1006),$AC$1006:$AS$1006,0))&gt;=100000), " ",IF(INDEX($AC$2:$AS$1001,MATCH(ROWS($V$2:V468),$V$2:$V$1001,0),MATCH(COLUMNS($AC$1006:AJ1006),$AC$1006:$AS$1006,0)), HYPERLINK("#",""), HYPERLINK(CONCATENATE("#metadata!", ADDRESS(INDEX($X$2:$X$1001,MATCH(ROWS($V$2:V468),$V$2:$V$1001,0),0), INDEX($AC$1004:$AS$1004,1,MATCH(COLUMNS($AC$1006:AJ1006),$AC$1006:$AS$1006,0)))),"Fix")))</f>
        <v xml:space="preserve"> </v>
      </c>
      <c r="J468" s="4" t="str">
        <f ca="1">IF(OR(INDEX($W$2:$W$1001,MATCH(ROWS($V$2:V468),$V$2:$V$1001,0),1)&gt;=100000,INDEX($AC$1005:$AS$1005,1,MATCH(COLUMNS($AC$1006:AK1006),$AC$1006:$AS$1006,0))&gt;=100000), " ",IF(INDEX($AC$2:$AS$1001,MATCH(ROWS($V$2:V468),$V$2:$V$1001,0),MATCH(COLUMNS($AC$1006:AK1006),$AC$1006:$AS$1006,0)), HYPERLINK("#",""), HYPERLINK(CONCATENATE("#metadata!", ADDRESS(INDEX($X$2:$X$1001,MATCH(ROWS($V$2:V468),$V$2:$V$1001,0),0), INDEX($AC$1004:$AS$1004,1,MATCH(COLUMNS($AC$1006:AK1006),$AC$1006:$AS$1006,0)))),"Fix")))</f>
        <v xml:space="preserve"> </v>
      </c>
      <c r="K468" s="4" t="str">
        <f ca="1">IF(OR(INDEX($W$2:$W$1001,MATCH(ROWS($V$2:V468),$V$2:$V$1001,0),1)&gt;=100000,INDEX($AC$1005:$AS$1005,1,MATCH(COLUMNS($AC$1006:AL1006),$AC$1006:$AS$1006,0))&gt;=100000), " ",IF(INDEX($AC$2:$AS$1001,MATCH(ROWS($V$2:V468),$V$2:$V$1001,0),MATCH(COLUMNS($AC$1006:AL1006),$AC$1006:$AS$1006,0)), HYPERLINK("#",""), HYPERLINK(CONCATENATE("#metadata!", ADDRESS(INDEX($X$2:$X$1001,MATCH(ROWS($V$2:V468),$V$2:$V$1001,0),0), INDEX($AC$1004:$AS$1004,1,MATCH(COLUMNS($AC$1006:AL1006),$AC$1006:$AS$1006,0)))),"Fix")))</f>
        <v xml:space="preserve"> </v>
      </c>
      <c r="L468" s="4" t="str">
        <f ca="1">IF(OR(INDEX($W$2:$W$1001,MATCH(ROWS($V$2:V468),$V$2:$V$1001,0),1)&gt;=100000,INDEX($AC$1005:$AS$1005,1,MATCH(COLUMNS($AC$1006:AM1006),$AC$1006:$AS$1006,0))&gt;=100000), " ",IF(INDEX($AC$2:$AS$1001,MATCH(ROWS($V$2:V468),$V$2:$V$1001,0),MATCH(COLUMNS($AC$1006:AM1006),$AC$1006:$AS$1006,0)), HYPERLINK("#",""), HYPERLINK(CONCATENATE("#metadata!", ADDRESS(INDEX($X$2:$X$1001,MATCH(ROWS($V$2:V468),$V$2:$V$1001,0),0), INDEX($AC$1004:$AS$1004,1,MATCH(COLUMNS($AC$1006:AM1006),$AC$1006:$AS$1006,0)))),"Fix")))</f>
        <v xml:space="preserve"> </v>
      </c>
      <c r="M468" s="4" t="str">
        <f ca="1">IF(OR(INDEX($W$2:$W$1001,MATCH(ROWS($V$2:V468),$V$2:$V$1001,0),1)&gt;=100000,INDEX($AC$1005:$AS$1005,1,MATCH(COLUMNS($AC$1006:AN1006),$AC$1006:$AS$1006,0))&gt;=100000), " ",IF(INDEX($AC$2:$AS$1001,MATCH(ROWS($V$2:V468),$V$2:$V$1001,0),MATCH(COLUMNS($AC$1006:AN1006),$AC$1006:$AS$1006,0)), HYPERLINK("#",""), HYPERLINK(CONCATENATE("#metadata!", ADDRESS(INDEX($X$2:$X$1001,MATCH(ROWS($V$2:V468),$V$2:$V$1001,0),0), INDEX($AC$1004:$AS$1004,1,MATCH(COLUMNS($AC$1006:AN1006),$AC$1006:$AS$1006,0)))),"Fix")))</f>
        <v xml:space="preserve"> </v>
      </c>
      <c r="N468" s="4" t="str">
        <f ca="1">IF(OR(INDEX($W$2:$W$1001,MATCH(ROWS($V$2:V468),$V$2:$V$1001,0),1)&gt;=100000,INDEX($AC$1005:$AS$1005,1,MATCH(COLUMNS($AC$1006:AO1006),$AC$1006:$AS$1006,0))&gt;=100000), " ",IF(INDEX($AC$2:$AS$1001,MATCH(ROWS($V$2:V468),$V$2:$V$1001,0),MATCH(COLUMNS($AC$1006:AO1006),$AC$1006:$AS$1006,0)), HYPERLINK("#",""), HYPERLINK(CONCATENATE("#metadata!", ADDRESS(INDEX($X$2:$X$1001,MATCH(ROWS($V$2:V468),$V$2:$V$1001,0),0), INDEX($AC$1004:$AS$1004,1,MATCH(COLUMNS($AC$1006:AO1006),$AC$1006:$AS$1006,0)))),"Fix")))</f>
        <v xml:space="preserve"> </v>
      </c>
      <c r="O468" s="4" t="str">
        <f ca="1">IF(OR(INDEX($W$2:$W$1001,MATCH(ROWS($V$2:V468),$V$2:$V$1001,0),1)&gt;=100000,INDEX($AC$1005:$AS$1005,1,MATCH(COLUMNS($AC$1006:AP1006),$AC$1006:$AS$1006,0))&gt;=100000), " ",IF(INDEX($AC$2:$AS$1001,MATCH(ROWS($V$2:V468),$V$2:$V$1001,0),MATCH(COLUMNS($AC$1006:AP1006),$AC$1006:$AS$1006,0)), HYPERLINK("#",""), HYPERLINK(CONCATENATE("#metadata!", ADDRESS(INDEX($X$2:$X$1001,MATCH(ROWS($V$2:V468),$V$2:$V$1001,0),0), INDEX($AC$1004:$AS$1004,1,MATCH(COLUMNS($AC$1006:AP1006),$AC$1006:$AS$1006,0)))),"Fix")))</f>
        <v xml:space="preserve"> </v>
      </c>
      <c r="P468" s="4" t="str">
        <f ca="1">IF(OR(INDEX($W$2:$W$1001,MATCH(ROWS($V$2:V468),$V$2:$V$1001,0),1)&gt;=100000,INDEX($AC$1005:$AS$1005,1,MATCH(COLUMNS($AC$1006:AQ1006),$AC$1006:$AS$1006,0))&gt;=100000), " ",IF(INDEX($AC$2:$AS$1001,MATCH(ROWS($V$2:V468),$V$2:$V$1001,0),MATCH(COLUMNS($AC$1006:AQ1006),$AC$1006:$AS$1006,0)), HYPERLINK("#",""), HYPERLINK(CONCATENATE("#metadata!", ADDRESS(INDEX($X$2:$X$1001,MATCH(ROWS($V$2:V468),$V$2:$V$1001,0),0), INDEX($AC$1004:$AS$1004,1,MATCH(COLUMNS($AC$1006:AQ1006),$AC$1006:$AS$1006,0)))),"Fix")))</f>
        <v xml:space="preserve"> </v>
      </c>
      <c r="Q468" s="4" t="str">
        <f ca="1">IF(OR(INDEX($W$2:$W$1001,MATCH(ROWS($V$2:V468),$V$2:$V$1001,0),1)&gt;=100000,INDEX($AC$1005:$AS$1005,1,MATCH(COLUMNS($AC$1006:AR1006),$AC$1006:$AS$1006,0))&gt;=100000), " ",IF(INDEX($AC$2:$AS$1001,MATCH(ROWS($V$2:V468),$V$2:$V$1001,0),MATCH(COLUMNS($AC$1006:AR1006),$AC$1006:$AS$1006,0)), HYPERLINK("#",""), HYPERLINK(CONCATENATE("#metadata!", ADDRESS(INDEX($X$2:$X$1001,MATCH(ROWS($V$2:V468),$V$2:$V$1001,0),0), INDEX($AC$1004:$AS$1004,1,MATCH(COLUMNS($AC$1006:AR1006),$AC$1006:$AS$1006,0)))),"Fix")))</f>
        <v xml:space="preserve"> </v>
      </c>
      <c r="R468" s="4" t="str">
        <f ca="1">IF(OR(INDEX($W$2:$W$1001,MATCH(ROWS($V$2:V468),$V$2:$V$1001,0),1)&gt;=100000,INDEX($AC$1005:$AS$1005,1,MATCH(COLUMNS($AC$1006:AS1006),$AC$1006:$AS$1006,0))&gt;=100000), " ",IF(INDEX($AC$2:$AS$1001,MATCH(ROWS($V$2:V468),$V$2:$V$1001,0),MATCH(COLUMNS($AC$1006:AS1006),$AC$1006:$AS$1006,0)), HYPERLINK("#",""), HYPERLINK(CONCATENATE("#metadata!", ADDRESS(INDEX($X$2:$X$1001,MATCH(ROWS($V$2:V468),$V$2:$V$1001,0),0), INDEX($AC$1004:$AS$1004,1,MATCH(COLUMNS($AC$1006:AS1006),$AC$1006:$AS$1006,0)))),"Fix")))</f>
        <v xml:space="preserve"> </v>
      </c>
      <c r="V468">
        <v>467</v>
      </c>
      <c r="W468">
        <v>100468</v>
      </c>
      <c r="X468">
        <v>468</v>
      </c>
      <c r="Y468" t="b">
        <f t="shared" si="7"/>
        <v>1</v>
      </c>
      <c r="Z468" t="b">
        <f>COUNTBLANK(metadata!B468:R468)=COLUMNS(metadata!B468:R468)</f>
        <v>1</v>
      </c>
      <c r="AA468" t="str">
        <v/>
      </c>
      <c r="AC468" t="b">
        <f ca="1"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AD468" t="b">
        <f>IF(metadata!C468="",FALSE,ISNUMBER(VALUE(metadata!C468)))</f>
        <v>0</v>
      </c>
      <c r="AE468" t="b">
        <f>AND(IF(metadata!D468="",FALSE,TRUE),EXACT(metadata!D468,"years"))</f>
        <v>0</v>
      </c>
      <c r="AF468" t="b">
        <f>OR(AND(IF(metadata!E468="",FALSE,TRUE),OR(EXACT(metadata!E468,"not applicable"),EXACT(metadata!E468,"missing: not collected"),EXACT(metadata!E468,"missing: not provided"),EXACT(metadata!E468,"missing: restricted access"))),AND(IF(metadata!E468="",FALSE,ISNUMBER(VALUE(metadata!E468))),metadata!E468&gt;0))</f>
        <v>0</v>
      </c>
      <c r="AG468" t="b">
        <f>AND(IF(metadata!F468="",FALSE,TRUE),EXACT(metadata!F468,"Not applicable"))</f>
        <v>0</v>
      </c>
      <c r="AH468" t="b">
        <f>AND(IF(metadata!G468="",FALSE,TRUE),EXACT(metadata!G468,"urban biome"))</f>
        <v>0</v>
      </c>
      <c r="AI468" t="b">
        <f>AND(IF(metadata!H468="",FALSE,TRUE),EXACT(metadata!H468,"human-associated habitat"))</f>
        <v>0</v>
      </c>
      <c r="AJ468" t="b">
        <f>AND(IF(metadata!I468="",FALSE,TRUE),OR(EXACT(metadata!I468,"human-associated"),EXACT(metadata!I468,"human-skin"),EXACT(metadata!I468,"human-oral"),EXACT(metadata!I468,"human-gut"),EXACT(metadata!I468,"human-vaginal")))</f>
        <v>0</v>
      </c>
      <c r="AK468" t="b">
        <f>IF(metadata!J468="",FALSE,ISNUMBER(VALUE(metadata!J468)))</f>
        <v>0</v>
      </c>
      <c r="AL468" t="b">
        <f>AND(IF(metadata!K468="",FALSE,TRUE),EXACT(metadata!K468,"cm"))</f>
        <v>0</v>
      </c>
      <c r="AM468" t="b">
        <f>AND(IF(metadata!L468="",FALSE,TRUE),EXACT(metadata!L468,"human"))</f>
        <v>0</v>
      </c>
      <c r="AN468" t="b">
        <f>AND(IF(metadata!M468="",FALSE,TRUE),EXACT(metadata!M468,"Homo sapiens"))</f>
        <v>0</v>
      </c>
      <c r="AO468" t="b">
        <f>AND(IF(metadata!N468="",FALSE,TRUE),EXACT(metadata!N468,"9606"))</f>
        <v>0</v>
      </c>
      <c r="AP468" t="b">
        <f>IF(metadata!O468="",FALSE,TRUE)</f>
        <v>0</v>
      </c>
      <c r="AQ468" t="b">
        <f>IF(metadata!P468="",FALSE,TRUE)</f>
        <v>0</v>
      </c>
      <c r="AR468" t="b">
        <f>IF(metadata!Q468="",FALSE,ISNUMBER(VALUE(metadata!Q468)))</f>
        <v>0</v>
      </c>
      <c r="AS468" t="b">
        <f>AND(IF(metadata!R468="",FALSE,TRUE),EXACT(metadata!R468,"kg"))</f>
        <v>0</v>
      </c>
    </row>
    <row r="469" spans="1:45" x14ac:dyDescent="0.2">
      <c r="A469" s="5" t="str">
        <f ca="1">IF(B469=" "," ",HYPERLINK(CONCATENATE("#metadata!",ADDRESS(INDEX($X$2:$X$1001,MATCH(ROWS($V$2:V469),$V$2:$V$1001,0),0),1)),INDEX($AA$2:$AA$1001,MATCH(ROWS($V$2:V469),$V$2:$V$1001,0),0)))</f>
        <v xml:space="preserve"> </v>
      </c>
      <c r="B469" s="4" t="str">
        <f ca="1">IF(OR(INDEX($W$2:$W$1001,MATCH(ROWS($V$2:V469),$V$2:$V$1001,0),1)&gt;=100000,INDEX($AC$1005:$AS$1005,1,MATCH(COLUMNS($AC$1006:AC1006),$AC$1006:$AS$1006,0))&gt;=100000), " ",IF(INDEX($AC$2:$AS$1001,MATCH(ROWS($V$2:V469),$V$2:$V$1001,0),MATCH(COLUMNS($AC$1006:AC1006),$AC$1006:$AS$1006,0)), HYPERLINK("#",""), HYPERLINK(CONCATENATE("#metadata!", ADDRESS(INDEX($X$2:$X$1001,MATCH(ROWS($V$2:V469),$V$2:$V$1001,0),0), INDEX($AC$1004:$AS$1004,1,MATCH(COLUMNS($AC$1006:AC1006),$AC$1006:$AS$1006,0)))),"Fix")))</f>
        <v xml:space="preserve"> </v>
      </c>
      <c r="C469" s="4" t="str">
        <f ca="1">IF(OR(INDEX($W$2:$W$1001,MATCH(ROWS($V$2:V469),$V$2:$V$1001,0),1)&gt;=100000,INDEX($AC$1005:$AS$1005,1,MATCH(COLUMNS($AC$1006:AD1006),$AC$1006:$AS$1006,0))&gt;=100000), " ",IF(INDEX($AC$2:$AS$1001,MATCH(ROWS($V$2:V469),$V$2:$V$1001,0),MATCH(COLUMNS($AC$1006:AD1006),$AC$1006:$AS$1006,0)), HYPERLINK("#",""), HYPERLINK(CONCATENATE("#metadata!", ADDRESS(INDEX($X$2:$X$1001,MATCH(ROWS($V$2:V469),$V$2:$V$1001,0),0), INDEX($AC$1004:$AS$1004,1,MATCH(COLUMNS($AC$1006:AD1006),$AC$1006:$AS$1006,0)))),"Fix")))</f>
        <v xml:space="preserve"> </v>
      </c>
      <c r="D469" s="4" t="str">
        <f ca="1">IF(OR(INDEX($W$2:$W$1001,MATCH(ROWS($V$2:V469),$V$2:$V$1001,0),1)&gt;=100000,INDEX($AC$1005:$AS$1005,1,MATCH(COLUMNS($AC$1006:AE1006),$AC$1006:$AS$1006,0))&gt;=100000), " ",IF(INDEX($AC$2:$AS$1001,MATCH(ROWS($V$2:V469),$V$2:$V$1001,0),MATCH(COLUMNS($AC$1006:AE1006),$AC$1006:$AS$1006,0)), HYPERLINK("#",""), HYPERLINK(CONCATENATE("#metadata!", ADDRESS(INDEX($X$2:$X$1001,MATCH(ROWS($V$2:V469),$V$2:$V$1001,0),0), INDEX($AC$1004:$AS$1004,1,MATCH(COLUMNS($AC$1006:AE1006),$AC$1006:$AS$1006,0)))),"Fix")))</f>
        <v xml:space="preserve"> </v>
      </c>
      <c r="E469" s="4" t="str">
        <f ca="1">IF(OR(INDEX($W$2:$W$1001,MATCH(ROWS($V$2:V469),$V$2:$V$1001,0),1)&gt;=100000,INDEX($AC$1005:$AS$1005,1,MATCH(COLUMNS($AC$1006:AF1006),$AC$1006:$AS$1006,0))&gt;=100000), " ",IF(INDEX($AC$2:$AS$1001,MATCH(ROWS($V$2:V469),$V$2:$V$1001,0),MATCH(COLUMNS($AC$1006:AF1006),$AC$1006:$AS$1006,0)), HYPERLINK("#",""), HYPERLINK(CONCATENATE("#metadata!", ADDRESS(INDEX($X$2:$X$1001,MATCH(ROWS($V$2:V469),$V$2:$V$1001,0),0), INDEX($AC$1004:$AS$1004,1,MATCH(COLUMNS($AC$1006:AF1006),$AC$1006:$AS$1006,0)))),"Fix")))</f>
        <v xml:space="preserve"> </v>
      </c>
      <c r="F469" s="4" t="str">
        <f ca="1">IF(OR(INDEX($W$2:$W$1001,MATCH(ROWS($V$2:V469),$V$2:$V$1001,0),1)&gt;=100000,INDEX($AC$1005:$AS$1005,1,MATCH(COLUMNS($AC$1006:AG1006),$AC$1006:$AS$1006,0))&gt;=100000), " ",IF(INDEX($AC$2:$AS$1001,MATCH(ROWS($V$2:V469),$V$2:$V$1001,0),MATCH(COLUMNS($AC$1006:AG1006),$AC$1006:$AS$1006,0)), HYPERLINK("#",""), HYPERLINK(CONCATENATE("#metadata!", ADDRESS(INDEX($X$2:$X$1001,MATCH(ROWS($V$2:V469),$V$2:$V$1001,0),0), INDEX($AC$1004:$AS$1004,1,MATCH(COLUMNS($AC$1006:AG1006),$AC$1006:$AS$1006,0)))),"Fix")))</f>
        <v xml:space="preserve"> </v>
      </c>
      <c r="G469" s="4" t="str">
        <f ca="1">IF(OR(INDEX($W$2:$W$1001,MATCH(ROWS($V$2:V469),$V$2:$V$1001,0),1)&gt;=100000,INDEX($AC$1005:$AS$1005,1,MATCH(COLUMNS($AC$1006:AH1006),$AC$1006:$AS$1006,0))&gt;=100000), " ",IF(INDEX($AC$2:$AS$1001,MATCH(ROWS($V$2:V469),$V$2:$V$1001,0),MATCH(COLUMNS($AC$1006:AH1006),$AC$1006:$AS$1006,0)), HYPERLINK("#",""), HYPERLINK(CONCATENATE("#metadata!", ADDRESS(INDEX($X$2:$X$1001,MATCH(ROWS($V$2:V469),$V$2:$V$1001,0),0), INDEX($AC$1004:$AS$1004,1,MATCH(COLUMNS($AC$1006:AH1006),$AC$1006:$AS$1006,0)))),"Fix")))</f>
        <v xml:space="preserve"> </v>
      </c>
      <c r="H469" s="4" t="str">
        <f ca="1">IF(OR(INDEX($W$2:$W$1001,MATCH(ROWS($V$2:V469),$V$2:$V$1001,0),1)&gt;=100000,INDEX($AC$1005:$AS$1005,1,MATCH(COLUMNS($AC$1006:AI1006),$AC$1006:$AS$1006,0))&gt;=100000), " ",IF(INDEX($AC$2:$AS$1001,MATCH(ROWS($V$2:V469),$V$2:$V$1001,0),MATCH(COLUMNS($AC$1006:AI1006),$AC$1006:$AS$1006,0)), HYPERLINK("#",""), HYPERLINK(CONCATENATE("#metadata!", ADDRESS(INDEX($X$2:$X$1001,MATCH(ROWS($V$2:V469),$V$2:$V$1001,0),0), INDEX($AC$1004:$AS$1004,1,MATCH(COLUMNS($AC$1006:AI1006),$AC$1006:$AS$1006,0)))),"Fix")))</f>
        <v xml:space="preserve"> </v>
      </c>
      <c r="I469" s="4" t="str">
        <f ca="1">IF(OR(INDEX($W$2:$W$1001,MATCH(ROWS($V$2:V469),$V$2:$V$1001,0),1)&gt;=100000,INDEX($AC$1005:$AS$1005,1,MATCH(COLUMNS($AC$1006:AJ1006),$AC$1006:$AS$1006,0))&gt;=100000), " ",IF(INDEX($AC$2:$AS$1001,MATCH(ROWS($V$2:V469),$V$2:$V$1001,0),MATCH(COLUMNS($AC$1006:AJ1006),$AC$1006:$AS$1006,0)), HYPERLINK("#",""), HYPERLINK(CONCATENATE("#metadata!", ADDRESS(INDEX($X$2:$X$1001,MATCH(ROWS($V$2:V469),$V$2:$V$1001,0),0), INDEX($AC$1004:$AS$1004,1,MATCH(COLUMNS($AC$1006:AJ1006),$AC$1006:$AS$1006,0)))),"Fix")))</f>
        <v xml:space="preserve"> </v>
      </c>
      <c r="J469" s="4" t="str">
        <f ca="1">IF(OR(INDEX($W$2:$W$1001,MATCH(ROWS($V$2:V469),$V$2:$V$1001,0),1)&gt;=100000,INDEX($AC$1005:$AS$1005,1,MATCH(COLUMNS($AC$1006:AK1006),$AC$1006:$AS$1006,0))&gt;=100000), " ",IF(INDEX($AC$2:$AS$1001,MATCH(ROWS($V$2:V469),$V$2:$V$1001,0),MATCH(COLUMNS($AC$1006:AK1006),$AC$1006:$AS$1006,0)), HYPERLINK("#",""), HYPERLINK(CONCATENATE("#metadata!", ADDRESS(INDEX($X$2:$X$1001,MATCH(ROWS($V$2:V469),$V$2:$V$1001,0),0), INDEX($AC$1004:$AS$1004,1,MATCH(COLUMNS($AC$1006:AK1006),$AC$1006:$AS$1006,0)))),"Fix")))</f>
        <v xml:space="preserve"> </v>
      </c>
      <c r="K469" s="4" t="str">
        <f ca="1">IF(OR(INDEX($W$2:$W$1001,MATCH(ROWS($V$2:V469),$V$2:$V$1001,0),1)&gt;=100000,INDEX($AC$1005:$AS$1005,1,MATCH(COLUMNS($AC$1006:AL1006),$AC$1006:$AS$1006,0))&gt;=100000), " ",IF(INDEX($AC$2:$AS$1001,MATCH(ROWS($V$2:V469),$V$2:$V$1001,0),MATCH(COLUMNS($AC$1006:AL1006),$AC$1006:$AS$1006,0)), HYPERLINK("#",""), HYPERLINK(CONCATENATE("#metadata!", ADDRESS(INDEX($X$2:$X$1001,MATCH(ROWS($V$2:V469),$V$2:$V$1001,0),0), INDEX($AC$1004:$AS$1004,1,MATCH(COLUMNS($AC$1006:AL1006),$AC$1006:$AS$1006,0)))),"Fix")))</f>
        <v xml:space="preserve"> </v>
      </c>
      <c r="L469" s="4" t="str">
        <f ca="1">IF(OR(INDEX($W$2:$W$1001,MATCH(ROWS($V$2:V469),$V$2:$V$1001,0),1)&gt;=100000,INDEX($AC$1005:$AS$1005,1,MATCH(COLUMNS($AC$1006:AM1006),$AC$1006:$AS$1006,0))&gt;=100000), " ",IF(INDEX($AC$2:$AS$1001,MATCH(ROWS($V$2:V469),$V$2:$V$1001,0),MATCH(COLUMNS($AC$1006:AM1006),$AC$1006:$AS$1006,0)), HYPERLINK("#",""), HYPERLINK(CONCATENATE("#metadata!", ADDRESS(INDEX($X$2:$X$1001,MATCH(ROWS($V$2:V469),$V$2:$V$1001,0),0), INDEX($AC$1004:$AS$1004,1,MATCH(COLUMNS($AC$1006:AM1006),$AC$1006:$AS$1006,0)))),"Fix")))</f>
        <v xml:space="preserve"> </v>
      </c>
      <c r="M469" s="4" t="str">
        <f ca="1">IF(OR(INDEX($W$2:$W$1001,MATCH(ROWS($V$2:V469),$V$2:$V$1001,0),1)&gt;=100000,INDEX($AC$1005:$AS$1005,1,MATCH(COLUMNS($AC$1006:AN1006),$AC$1006:$AS$1006,0))&gt;=100000), " ",IF(INDEX($AC$2:$AS$1001,MATCH(ROWS($V$2:V469),$V$2:$V$1001,0),MATCH(COLUMNS($AC$1006:AN1006),$AC$1006:$AS$1006,0)), HYPERLINK("#",""), HYPERLINK(CONCATENATE("#metadata!", ADDRESS(INDEX($X$2:$X$1001,MATCH(ROWS($V$2:V469),$V$2:$V$1001,0),0), INDEX($AC$1004:$AS$1004,1,MATCH(COLUMNS($AC$1006:AN1006),$AC$1006:$AS$1006,0)))),"Fix")))</f>
        <v xml:space="preserve"> </v>
      </c>
      <c r="N469" s="4" t="str">
        <f ca="1">IF(OR(INDEX($W$2:$W$1001,MATCH(ROWS($V$2:V469),$V$2:$V$1001,0),1)&gt;=100000,INDEX($AC$1005:$AS$1005,1,MATCH(COLUMNS($AC$1006:AO1006),$AC$1006:$AS$1006,0))&gt;=100000), " ",IF(INDEX($AC$2:$AS$1001,MATCH(ROWS($V$2:V469),$V$2:$V$1001,0),MATCH(COLUMNS($AC$1006:AO1006),$AC$1006:$AS$1006,0)), HYPERLINK("#",""), HYPERLINK(CONCATENATE("#metadata!", ADDRESS(INDEX($X$2:$X$1001,MATCH(ROWS($V$2:V469),$V$2:$V$1001,0),0), INDEX($AC$1004:$AS$1004,1,MATCH(COLUMNS($AC$1006:AO1006),$AC$1006:$AS$1006,0)))),"Fix")))</f>
        <v xml:space="preserve"> </v>
      </c>
      <c r="O469" s="4" t="str">
        <f ca="1">IF(OR(INDEX($W$2:$W$1001,MATCH(ROWS($V$2:V469),$V$2:$V$1001,0),1)&gt;=100000,INDEX($AC$1005:$AS$1005,1,MATCH(COLUMNS($AC$1006:AP1006),$AC$1006:$AS$1006,0))&gt;=100000), " ",IF(INDEX($AC$2:$AS$1001,MATCH(ROWS($V$2:V469),$V$2:$V$1001,0),MATCH(COLUMNS($AC$1006:AP1006),$AC$1006:$AS$1006,0)), HYPERLINK("#",""), HYPERLINK(CONCATENATE("#metadata!", ADDRESS(INDEX($X$2:$X$1001,MATCH(ROWS($V$2:V469),$V$2:$V$1001,0),0), INDEX($AC$1004:$AS$1004,1,MATCH(COLUMNS($AC$1006:AP1006),$AC$1006:$AS$1006,0)))),"Fix")))</f>
        <v xml:space="preserve"> </v>
      </c>
      <c r="P469" s="4" t="str">
        <f ca="1">IF(OR(INDEX($W$2:$W$1001,MATCH(ROWS($V$2:V469),$V$2:$V$1001,0),1)&gt;=100000,INDEX($AC$1005:$AS$1005,1,MATCH(COLUMNS($AC$1006:AQ1006),$AC$1006:$AS$1006,0))&gt;=100000), " ",IF(INDEX($AC$2:$AS$1001,MATCH(ROWS($V$2:V469),$V$2:$V$1001,0),MATCH(COLUMNS($AC$1006:AQ1006),$AC$1006:$AS$1006,0)), HYPERLINK("#",""), HYPERLINK(CONCATENATE("#metadata!", ADDRESS(INDEX($X$2:$X$1001,MATCH(ROWS($V$2:V469),$V$2:$V$1001,0),0), INDEX($AC$1004:$AS$1004,1,MATCH(COLUMNS($AC$1006:AQ1006),$AC$1006:$AS$1006,0)))),"Fix")))</f>
        <v xml:space="preserve"> </v>
      </c>
      <c r="Q469" s="4" t="str">
        <f ca="1">IF(OR(INDEX($W$2:$W$1001,MATCH(ROWS($V$2:V469),$V$2:$V$1001,0),1)&gt;=100000,INDEX($AC$1005:$AS$1005,1,MATCH(COLUMNS($AC$1006:AR1006),$AC$1006:$AS$1006,0))&gt;=100000), " ",IF(INDEX($AC$2:$AS$1001,MATCH(ROWS($V$2:V469),$V$2:$V$1001,0),MATCH(COLUMNS($AC$1006:AR1006),$AC$1006:$AS$1006,0)), HYPERLINK("#",""), HYPERLINK(CONCATENATE("#metadata!", ADDRESS(INDEX($X$2:$X$1001,MATCH(ROWS($V$2:V469),$V$2:$V$1001,0),0), INDEX($AC$1004:$AS$1004,1,MATCH(COLUMNS($AC$1006:AR1006),$AC$1006:$AS$1006,0)))),"Fix")))</f>
        <v xml:space="preserve"> </v>
      </c>
      <c r="R469" s="4" t="str">
        <f ca="1">IF(OR(INDEX($W$2:$W$1001,MATCH(ROWS($V$2:V469),$V$2:$V$1001,0),1)&gt;=100000,INDEX($AC$1005:$AS$1005,1,MATCH(COLUMNS($AC$1006:AS1006),$AC$1006:$AS$1006,0))&gt;=100000), " ",IF(INDEX($AC$2:$AS$1001,MATCH(ROWS($V$2:V469),$V$2:$V$1001,0),MATCH(COLUMNS($AC$1006:AS1006),$AC$1006:$AS$1006,0)), HYPERLINK("#",""), HYPERLINK(CONCATENATE("#metadata!", ADDRESS(INDEX($X$2:$X$1001,MATCH(ROWS($V$2:V469),$V$2:$V$1001,0),0), INDEX($AC$1004:$AS$1004,1,MATCH(COLUMNS($AC$1006:AS1006),$AC$1006:$AS$1006,0)))),"Fix")))</f>
        <v xml:space="preserve"> </v>
      </c>
      <c r="V469">
        <v>468</v>
      </c>
      <c r="W469">
        <v>100469</v>
      </c>
      <c r="X469">
        <v>469</v>
      </c>
      <c r="Y469" t="b">
        <f t="shared" si="7"/>
        <v>1</v>
      </c>
      <c r="Z469" t="b">
        <f>COUNTBLANK(metadata!B469:R469)=COLUMNS(metadata!B469:R469)</f>
        <v>1</v>
      </c>
      <c r="AA469" t="str">
        <v/>
      </c>
      <c r="AC469" t="b">
        <f ca="1"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AD469" t="b">
        <f>IF(metadata!C469="",FALSE,ISNUMBER(VALUE(metadata!C469)))</f>
        <v>0</v>
      </c>
      <c r="AE469" t="b">
        <f>AND(IF(metadata!D469="",FALSE,TRUE),EXACT(metadata!D469,"years"))</f>
        <v>0</v>
      </c>
      <c r="AF469" t="b">
        <f>OR(AND(IF(metadata!E469="",FALSE,TRUE),OR(EXACT(metadata!E469,"not applicable"),EXACT(metadata!E469,"missing: not collected"),EXACT(metadata!E469,"missing: not provided"),EXACT(metadata!E469,"missing: restricted access"))),AND(IF(metadata!E469="",FALSE,ISNUMBER(VALUE(metadata!E469))),metadata!E469&gt;0))</f>
        <v>0</v>
      </c>
      <c r="AG469" t="b">
        <f>AND(IF(metadata!F469="",FALSE,TRUE),EXACT(metadata!F469,"Not applicable"))</f>
        <v>0</v>
      </c>
      <c r="AH469" t="b">
        <f>AND(IF(metadata!G469="",FALSE,TRUE),EXACT(metadata!G469,"urban biome"))</f>
        <v>0</v>
      </c>
      <c r="AI469" t="b">
        <f>AND(IF(metadata!H469="",FALSE,TRUE),EXACT(metadata!H469,"human-associated habitat"))</f>
        <v>0</v>
      </c>
      <c r="AJ469" t="b">
        <f>AND(IF(metadata!I469="",FALSE,TRUE),OR(EXACT(metadata!I469,"human-associated"),EXACT(metadata!I469,"human-skin"),EXACT(metadata!I469,"human-oral"),EXACT(metadata!I469,"human-gut"),EXACT(metadata!I469,"human-vaginal")))</f>
        <v>0</v>
      </c>
      <c r="AK469" t="b">
        <f>IF(metadata!J469="",FALSE,ISNUMBER(VALUE(metadata!J469)))</f>
        <v>0</v>
      </c>
      <c r="AL469" t="b">
        <f>AND(IF(metadata!K469="",FALSE,TRUE),EXACT(metadata!K469,"cm"))</f>
        <v>0</v>
      </c>
      <c r="AM469" t="b">
        <f>AND(IF(metadata!L469="",FALSE,TRUE),EXACT(metadata!L469,"human"))</f>
        <v>0</v>
      </c>
      <c r="AN469" t="b">
        <f>AND(IF(metadata!M469="",FALSE,TRUE),EXACT(metadata!M469,"Homo sapiens"))</f>
        <v>0</v>
      </c>
      <c r="AO469" t="b">
        <f>AND(IF(metadata!N469="",FALSE,TRUE),EXACT(metadata!N469,"9606"))</f>
        <v>0</v>
      </c>
      <c r="AP469" t="b">
        <f>IF(metadata!O469="",FALSE,TRUE)</f>
        <v>0</v>
      </c>
      <c r="AQ469" t="b">
        <f>IF(metadata!P469="",FALSE,TRUE)</f>
        <v>0</v>
      </c>
      <c r="AR469" t="b">
        <f>IF(metadata!Q469="",FALSE,ISNUMBER(VALUE(metadata!Q469)))</f>
        <v>0</v>
      </c>
      <c r="AS469" t="b">
        <f>AND(IF(metadata!R469="",FALSE,TRUE),EXACT(metadata!R469,"kg"))</f>
        <v>0</v>
      </c>
    </row>
    <row r="470" spans="1:45" x14ac:dyDescent="0.2">
      <c r="A470" s="5" t="str">
        <f ca="1">IF(B470=" "," ",HYPERLINK(CONCATENATE("#metadata!",ADDRESS(INDEX($X$2:$X$1001,MATCH(ROWS($V$2:V470),$V$2:$V$1001,0),0),1)),INDEX($AA$2:$AA$1001,MATCH(ROWS($V$2:V470),$V$2:$V$1001,0),0)))</f>
        <v xml:space="preserve"> </v>
      </c>
      <c r="B470" s="4" t="str">
        <f ca="1">IF(OR(INDEX($W$2:$W$1001,MATCH(ROWS($V$2:V470),$V$2:$V$1001,0),1)&gt;=100000,INDEX($AC$1005:$AS$1005,1,MATCH(COLUMNS($AC$1006:AC1006),$AC$1006:$AS$1006,0))&gt;=100000), " ",IF(INDEX($AC$2:$AS$1001,MATCH(ROWS($V$2:V470),$V$2:$V$1001,0),MATCH(COLUMNS($AC$1006:AC1006),$AC$1006:$AS$1006,0)), HYPERLINK("#",""), HYPERLINK(CONCATENATE("#metadata!", ADDRESS(INDEX($X$2:$X$1001,MATCH(ROWS($V$2:V470),$V$2:$V$1001,0),0), INDEX($AC$1004:$AS$1004,1,MATCH(COLUMNS($AC$1006:AC1006),$AC$1006:$AS$1006,0)))),"Fix")))</f>
        <v xml:space="preserve"> </v>
      </c>
      <c r="C470" s="4" t="str">
        <f ca="1">IF(OR(INDEX($W$2:$W$1001,MATCH(ROWS($V$2:V470),$V$2:$V$1001,0),1)&gt;=100000,INDEX($AC$1005:$AS$1005,1,MATCH(COLUMNS($AC$1006:AD1006),$AC$1006:$AS$1006,0))&gt;=100000), " ",IF(INDEX($AC$2:$AS$1001,MATCH(ROWS($V$2:V470),$V$2:$V$1001,0),MATCH(COLUMNS($AC$1006:AD1006),$AC$1006:$AS$1006,0)), HYPERLINK("#",""), HYPERLINK(CONCATENATE("#metadata!", ADDRESS(INDEX($X$2:$X$1001,MATCH(ROWS($V$2:V470),$V$2:$V$1001,0),0), INDEX($AC$1004:$AS$1004,1,MATCH(COLUMNS($AC$1006:AD1006),$AC$1006:$AS$1006,0)))),"Fix")))</f>
        <v xml:space="preserve"> </v>
      </c>
      <c r="D470" s="4" t="str">
        <f ca="1">IF(OR(INDEX($W$2:$W$1001,MATCH(ROWS($V$2:V470),$V$2:$V$1001,0),1)&gt;=100000,INDEX($AC$1005:$AS$1005,1,MATCH(COLUMNS($AC$1006:AE1006),$AC$1006:$AS$1006,0))&gt;=100000), " ",IF(INDEX($AC$2:$AS$1001,MATCH(ROWS($V$2:V470),$V$2:$V$1001,0),MATCH(COLUMNS($AC$1006:AE1006),$AC$1006:$AS$1006,0)), HYPERLINK("#",""), HYPERLINK(CONCATENATE("#metadata!", ADDRESS(INDEX($X$2:$X$1001,MATCH(ROWS($V$2:V470),$V$2:$V$1001,0),0), INDEX($AC$1004:$AS$1004,1,MATCH(COLUMNS($AC$1006:AE1006),$AC$1006:$AS$1006,0)))),"Fix")))</f>
        <v xml:space="preserve"> </v>
      </c>
      <c r="E470" s="4" t="str">
        <f ca="1">IF(OR(INDEX($W$2:$W$1001,MATCH(ROWS($V$2:V470),$V$2:$V$1001,0),1)&gt;=100000,INDEX($AC$1005:$AS$1005,1,MATCH(COLUMNS($AC$1006:AF1006),$AC$1006:$AS$1006,0))&gt;=100000), " ",IF(INDEX($AC$2:$AS$1001,MATCH(ROWS($V$2:V470),$V$2:$V$1001,0),MATCH(COLUMNS($AC$1006:AF1006),$AC$1006:$AS$1006,0)), HYPERLINK("#",""), HYPERLINK(CONCATENATE("#metadata!", ADDRESS(INDEX($X$2:$X$1001,MATCH(ROWS($V$2:V470),$V$2:$V$1001,0),0), INDEX($AC$1004:$AS$1004,1,MATCH(COLUMNS($AC$1006:AF1006),$AC$1006:$AS$1006,0)))),"Fix")))</f>
        <v xml:space="preserve"> </v>
      </c>
      <c r="F470" s="4" t="str">
        <f ca="1">IF(OR(INDEX($W$2:$W$1001,MATCH(ROWS($V$2:V470),$V$2:$V$1001,0),1)&gt;=100000,INDEX($AC$1005:$AS$1005,1,MATCH(COLUMNS($AC$1006:AG1006),$AC$1006:$AS$1006,0))&gt;=100000), " ",IF(INDEX($AC$2:$AS$1001,MATCH(ROWS($V$2:V470),$V$2:$V$1001,0),MATCH(COLUMNS($AC$1006:AG1006),$AC$1006:$AS$1006,0)), HYPERLINK("#",""), HYPERLINK(CONCATENATE("#metadata!", ADDRESS(INDEX($X$2:$X$1001,MATCH(ROWS($V$2:V470),$V$2:$V$1001,0),0), INDEX($AC$1004:$AS$1004,1,MATCH(COLUMNS($AC$1006:AG1006),$AC$1006:$AS$1006,0)))),"Fix")))</f>
        <v xml:space="preserve"> </v>
      </c>
      <c r="G470" s="4" t="str">
        <f ca="1">IF(OR(INDEX($W$2:$W$1001,MATCH(ROWS($V$2:V470),$V$2:$V$1001,0),1)&gt;=100000,INDEX($AC$1005:$AS$1005,1,MATCH(COLUMNS($AC$1006:AH1006),$AC$1006:$AS$1006,0))&gt;=100000), " ",IF(INDEX($AC$2:$AS$1001,MATCH(ROWS($V$2:V470),$V$2:$V$1001,0),MATCH(COLUMNS($AC$1006:AH1006),$AC$1006:$AS$1006,0)), HYPERLINK("#",""), HYPERLINK(CONCATENATE("#metadata!", ADDRESS(INDEX($X$2:$X$1001,MATCH(ROWS($V$2:V470),$V$2:$V$1001,0),0), INDEX($AC$1004:$AS$1004,1,MATCH(COLUMNS($AC$1006:AH1006),$AC$1006:$AS$1006,0)))),"Fix")))</f>
        <v xml:space="preserve"> </v>
      </c>
      <c r="H470" s="4" t="str">
        <f ca="1">IF(OR(INDEX($W$2:$W$1001,MATCH(ROWS($V$2:V470),$V$2:$V$1001,0),1)&gt;=100000,INDEX($AC$1005:$AS$1005,1,MATCH(COLUMNS($AC$1006:AI1006),$AC$1006:$AS$1006,0))&gt;=100000), " ",IF(INDEX($AC$2:$AS$1001,MATCH(ROWS($V$2:V470),$V$2:$V$1001,0),MATCH(COLUMNS($AC$1006:AI1006),$AC$1006:$AS$1006,0)), HYPERLINK("#",""), HYPERLINK(CONCATENATE("#metadata!", ADDRESS(INDEX($X$2:$X$1001,MATCH(ROWS($V$2:V470),$V$2:$V$1001,0),0), INDEX($AC$1004:$AS$1004,1,MATCH(COLUMNS($AC$1006:AI1006),$AC$1006:$AS$1006,0)))),"Fix")))</f>
        <v xml:space="preserve"> </v>
      </c>
      <c r="I470" s="4" t="str">
        <f ca="1">IF(OR(INDEX($W$2:$W$1001,MATCH(ROWS($V$2:V470),$V$2:$V$1001,0),1)&gt;=100000,INDEX($AC$1005:$AS$1005,1,MATCH(COLUMNS($AC$1006:AJ1006),$AC$1006:$AS$1006,0))&gt;=100000), " ",IF(INDEX($AC$2:$AS$1001,MATCH(ROWS($V$2:V470),$V$2:$V$1001,0),MATCH(COLUMNS($AC$1006:AJ1006),$AC$1006:$AS$1006,0)), HYPERLINK("#",""), HYPERLINK(CONCATENATE("#metadata!", ADDRESS(INDEX($X$2:$X$1001,MATCH(ROWS($V$2:V470),$V$2:$V$1001,0),0), INDEX($AC$1004:$AS$1004,1,MATCH(COLUMNS($AC$1006:AJ1006),$AC$1006:$AS$1006,0)))),"Fix")))</f>
        <v xml:space="preserve"> </v>
      </c>
      <c r="J470" s="4" t="str">
        <f ca="1">IF(OR(INDEX($W$2:$W$1001,MATCH(ROWS($V$2:V470),$V$2:$V$1001,0),1)&gt;=100000,INDEX($AC$1005:$AS$1005,1,MATCH(COLUMNS($AC$1006:AK1006),$AC$1006:$AS$1006,0))&gt;=100000), " ",IF(INDEX($AC$2:$AS$1001,MATCH(ROWS($V$2:V470),$V$2:$V$1001,0),MATCH(COLUMNS($AC$1006:AK1006),$AC$1006:$AS$1006,0)), HYPERLINK("#",""), HYPERLINK(CONCATENATE("#metadata!", ADDRESS(INDEX($X$2:$X$1001,MATCH(ROWS($V$2:V470),$V$2:$V$1001,0),0), INDEX($AC$1004:$AS$1004,1,MATCH(COLUMNS($AC$1006:AK1006),$AC$1006:$AS$1006,0)))),"Fix")))</f>
        <v xml:space="preserve"> </v>
      </c>
      <c r="K470" s="4" t="str">
        <f ca="1">IF(OR(INDEX($W$2:$W$1001,MATCH(ROWS($V$2:V470),$V$2:$V$1001,0),1)&gt;=100000,INDEX($AC$1005:$AS$1005,1,MATCH(COLUMNS($AC$1006:AL1006),$AC$1006:$AS$1006,0))&gt;=100000), " ",IF(INDEX($AC$2:$AS$1001,MATCH(ROWS($V$2:V470),$V$2:$V$1001,0),MATCH(COLUMNS($AC$1006:AL1006),$AC$1006:$AS$1006,0)), HYPERLINK("#",""), HYPERLINK(CONCATENATE("#metadata!", ADDRESS(INDEX($X$2:$X$1001,MATCH(ROWS($V$2:V470),$V$2:$V$1001,0),0), INDEX($AC$1004:$AS$1004,1,MATCH(COLUMNS($AC$1006:AL1006),$AC$1006:$AS$1006,0)))),"Fix")))</f>
        <v xml:space="preserve"> </v>
      </c>
      <c r="L470" s="4" t="str">
        <f ca="1">IF(OR(INDEX($W$2:$W$1001,MATCH(ROWS($V$2:V470),$V$2:$V$1001,0),1)&gt;=100000,INDEX($AC$1005:$AS$1005,1,MATCH(COLUMNS($AC$1006:AM1006),$AC$1006:$AS$1006,0))&gt;=100000), " ",IF(INDEX($AC$2:$AS$1001,MATCH(ROWS($V$2:V470),$V$2:$V$1001,0),MATCH(COLUMNS($AC$1006:AM1006),$AC$1006:$AS$1006,0)), HYPERLINK("#",""), HYPERLINK(CONCATENATE("#metadata!", ADDRESS(INDEX($X$2:$X$1001,MATCH(ROWS($V$2:V470),$V$2:$V$1001,0),0), INDEX($AC$1004:$AS$1004,1,MATCH(COLUMNS($AC$1006:AM1006),$AC$1006:$AS$1006,0)))),"Fix")))</f>
        <v xml:space="preserve"> </v>
      </c>
      <c r="M470" s="4" t="str">
        <f ca="1">IF(OR(INDEX($W$2:$W$1001,MATCH(ROWS($V$2:V470),$V$2:$V$1001,0),1)&gt;=100000,INDEX($AC$1005:$AS$1005,1,MATCH(COLUMNS($AC$1006:AN1006),$AC$1006:$AS$1006,0))&gt;=100000), " ",IF(INDEX($AC$2:$AS$1001,MATCH(ROWS($V$2:V470),$V$2:$V$1001,0),MATCH(COLUMNS($AC$1006:AN1006),$AC$1006:$AS$1006,0)), HYPERLINK("#",""), HYPERLINK(CONCATENATE("#metadata!", ADDRESS(INDEX($X$2:$X$1001,MATCH(ROWS($V$2:V470),$V$2:$V$1001,0),0), INDEX($AC$1004:$AS$1004,1,MATCH(COLUMNS($AC$1006:AN1006),$AC$1006:$AS$1006,0)))),"Fix")))</f>
        <v xml:space="preserve"> </v>
      </c>
      <c r="N470" s="4" t="str">
        <f ca="1">IF(OR(INDEX($W$2:$W$1001,MATCH(ROWS($V$2:V470),$V$2:$V$1001,0),1)&gt;=100000,INDEX($AC$1005:$AS$1005,1,MATCH(COLUMNS($AC$1006:AO1006),$AC$1006:$AS$1006,0))&gt;=100000), " ",IF(INDEX($AC$2:$AS$1001,MATCH(ROWS($V$2:V470),$V$2:$V$1001,0),MATCH(COLUMNS($AC$1006:AO1006),$AC$1006:$AS$1006,0)), HYPERLINK("#",""), HYPERLINK(CONCATENATE("#metadata!", ADDRESS(INDEX($X$2:$X$1001,MATCH(ROWS($V$2:V470),$V$2:$V$1001,0),0), INDEX($AC$1004:$AS$1004,1,MATCH(COLUMNS($AC$1006:AO1006),$AC$1006:$AS$1006,0)))),"Fix")))</f>
        <v xml:space="preserve"> </v>
      </c>
      <c r="O470" s="4" t="str">
        <f ca="1">IF(OR(INDEX($W$2:$W$1001,MATCH(ROWS($V$2:V470),$V$2:$V$1001,0),1)&gt;=100000,INDEX($AC$1005:$AS$1005,1,MATCH(COLUMNS($AC$1006:AP1006),$AC$1006:$AS$1006,0))&gt;=100000), " ",IF(INDEX($AC$2:$AS$1001,MATCH(ROWS($V$2:V470),$V$2:$V$1001,0),MATCH(COLUMNS($AC$1006:AP1006),$AC$1006:$AS$1006,0)), HYPERLINK("#",""), HYPERLINK(CONCATENATE("#metadata!", ADDRESS(INDEX($X$2:$X$1001,MATCH(ROWS($V$2:V470),$V$2:$V$1001,0),0), INDEX($AC$1004:$AS$1004,1,MATCH(COLUMNS($AC$1006:AP1006),$AC$1006:$AS$1006,0)))),"Fix")))</f>
        <v xml:space="preserve"> </v>
      </c>
      <c r="P470" s="4" t="str">
        <f ca="1">IF(OR(INDEX($W$2:$W$1001,MATCH(ROWS($V$2:V470),$V$2:$V$1001,0),1)&gt;=100000,INDEX($AC$1005:$AS$1005,1,MATCH(COLUMNS($AC$1006:AQ1006),$AC$1006:$AS$1006,0))&gt;=100000), " ",IF(INDEX($AC$2:$AS$1001,MATCH(ROWS($V$2:V470),$V$2:$V$1001,0),MATCH(COLUMNS($AC$1006:AQ1006),$AC$1006:$AS$1006,0)), HYPERLINK("#",""), HYPERLINK(CONCATENATE("#metadata!", ADDRESS(INDEX($X$2:$X$1001,MATCH(ROWS($V$2:V470),$V$2:$V$1001,0),0), INDEX($AC$1004:$AS$1004,1,MATCH(COLUMNS($AC$1006:AQ1006),$AC$1006:$AS$1006,0)))),"Fix")))</f>
        <v xml:space="preserve"> </v>
      </c>
      <c r="Q470" s="4" t="str">
        <f ca="1">IF(OR(INDEX($W$2:$W$1001,MATCH(ROWS($V$2:V470),$V$2:$V$1001,0),1)&gt;=100000,INDEX($AC$1005:$AS$1005,1,MATCH(COLUMNS($AC$1006:AR1006),$AC$1006:$AS$1006,0))&gt;=100000), " ",IF(INDEX($AC$2:$AS$1001,MATCH(ROWS($V$2:V470),$V$2:$V$1001,0),MATCH(COLUMNS($AC$1006:AR1006),$AC$1006:$AS$1006,0)), HYPERLINK("#",""), HYPERLINK(CONCATENATE("#metadata!", ADDRESS(INDEX($X$2:$X$1001,MATCH(ROWS($V$2:V470),$V$2:$V$1001,0),0), INDEX($AC$1004:$AS$1004,1,MATCH(COLUMNS($AC$1006:AR1006),$AC$1006:$AS$1006,0)))),"Fix")))</f>
        <v xml:space="preserve"> </v>
      </c>
      <c r="R470" s="4" t="str">
        <f ca="1">IF(OR(INDEX($W$2:$W$1001,MATCH(ROWS($V$2:V470),$V$2:$V$1001,0),1)&gt;=100000,INDEX($AC$1005:$AS$1005,1,MATCH(COLUMNS($AC$1006:AS1006),$AC$1006:$AS$1006,0))&gt;=100000), " ",IF(INDEX($AC$2:$AS$1001,MATCH(ROWS($V$2:V470),$V$2:$V$1001,0),MATCH(COLUMNS($AC$1006:AS1006),$AC$1006:$AS$1006,0)), HYPERLINK("#",""), HYPERLINK(CONCATENATE("#metadata!", ADDRESS(INDEX($X$2:$X$1001,MATCH(ROWS($V$2:V470),$V$2:$V$1001,0),0), INDEX($AC$1004:$AS$1004,1,MATCH(COLUMNS($AC$1006:AS1006),$AC$1006:$AS$1006,0)))),"Fix")))</f>
        <v xml:space="preserve"> </v>
      </c>
      <c r="V470">
        <v>469</v>
      </c>
      <c r="W470">
        <v>100470</v>
      </c>
      <c r="X470">
        <v>470</v>
      </c>
      <c r="Y470" t="b">
        <f t="shared" si="7"/>
        <v>1</v>
      </c>
      <c r="Z470" t="b">
        <f>COUNTBLANK(metadata!B470:R470)=COLUMNS(metadata!B470:R470)</f>
        <v>1</v>
      </c>
      <c r="AA470" t="str">
        <v/>
      </c>
      <c r="AC470" t="b">
        <f ca="1"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AD470" t="b">
        <f>IF(metadata!C470="",FALSE,ISNUMBER(VALUE(metadata!C470)))</f>
        <v>0</v>
      </c>
      <c r="AE470" t="b">
        <f>AND(IF(metadata!D470="",FALSE,TRUE),EXACT(metadata!D470,"years"))</f>
        <v>0</v>
      </c>
      <c r="AF470" t="b">
        <f>OR(AND(IF(metadata!E470="",FALSE,TRUE),OR(EXACT(metadata!E470,"not applicable"),EXACT(metadata!E470,"missing: not collected"),EXACT(metadata!E470,"missing: not provided"),EXACT(metadata!E470,"missing: restricted access"))),AND(IF(metadata!E470="",FALSE,ISNUMBER(VALUE(metadata!E470))),metadata!E470&gt;0))</f>
        <v>0</v>
      </c>
      <c r="AG470" t="b">
        <f>AND(IF(metadata!F470="",FALSE,TRUE),EXACT(metadata!F470,"Not applicable"))</f>
        <v>0</v>
      </c>
      <c r="AH470" t="b">
        <f>AND(IF(metadata!G470="",FALSE,TRUE),EXACT(metadata!G470,"urban biome"))</f>
        <v>0</v>
      </c>
      <c r="AI470" t="b">
        <f>AND(IF(metadata!H470="",FALSE,TRUE),EXACT(metadata!H470,"human-associated habitat"))</f>
        <v>0</v>
      </c>
      <c r="AJ470" t="b">
        <f>AND(IF(metadata!I470="",FALSE,TRUE),OR(EXACT(metadata!I470,"human-associated"),EXACT(metadata!I470,"human-skin"),EXACT(metadata!I470,"human-oral"),EXACT(metadata!I470,"human-gut"),EXACT(metadata!I470,"human-vaginal")))</f>
        <v>0</v>
      </c>
      <c r="AK470" t="b">
        <f>IF(metadata!J470="",FALSE,ISNUMBER(VALUE(metadata!J470)))</f>
        <v>0</v>
      </c>
      <c r="AL470" t="b">
        <f>AND(IF(metadata!K470="",FALSE,TRUE),EXACT(metadata!K470,"cm"))</f>
        <v>0</v>
      </c>
      <c r="AM470" t="b">
        <f>AND(IF(metadata!L470="",FALSE,TRUE),EXACT(metadata!L470,"human"))</f>
        <v>0</v>
      </c>
      <c r="AN470" t="b">
        <f>AND(IF(metadata!M470="",FALSE,TRUE),EXACT(metadata!M470,"Homo sapiens"))</f>
        <v>0</v>
      </c>
      <c r="AO470" t="b">
        <f>AND(IF(metadata!N470="",FALSE,TRUE),EXACT(metadata!N470,"9606"))</f>
        <v>0</v>
      </c>
      <c r="AP470" t="b">
        <f>IF(metadata!O470="",FALSE,TRUE)</f>
        <v>0</v>
      </c>
      <c r="AQ470" t="b">
        <f>IF(metadata!P470="",FALSE,TRUE)</f>
        <v>0</v>
      </c>
      <c r="AR470" t="b">
        <f>IF(metadata!Q470="",FALSE,ISNUMBER(VALUE(metadata!Q470)))</f>
        <v>0</v>
      </c>
      <c r="AS470" t="b">
        <f>AND(IF(metadata!R470="",FALSE,TRUE),EXACT(metadata!R470,"kg"))</f>
        <v>0</v>
      </c>
    </row>
    <row r="471" spans="1:45" x14ac:dyDescent="0.2">
      <c r="A471" s="5" t="str">
        <f ca="1">IF(B471=" "," ",HYPERLINK(CONCATENATE("#metadata!",ADDRESS(INDEX($X$2:$X$1001,MATCH(ROWS($V$2:V471),$V$2:$V$1001,0),0),1)),INDEX($AA$2:$AA$1001,MATCH(ROWS($V$2:V471),$V$2:$V$1001,0),0)))</f>
        <v xml:space="preserve"> </v>
      </c>
      <c r="B471" s="4" t="str">
        <f ca="1">IF(OR(INDEX($W$2:$W$1001,MATCH(ROWS($V$2:V471),$V$2:$V$1001,0),1)&gt;=100000,INDEX($AC$1005:$AS$1005,1,MATCH(COLUMNS($AC$1006:AC1006),$AC$1006:$AS$1006,0))&gt;=100000), " ",IF(INDEX($AC$2:$AS$1001,MATCH(ROWS($V$2:V471),$V$2:$V$1001,0),MATCH(COLUMNS($AC$1006:AC1006),$AC$1006:$AS$1006,0)), HYPERLINK("#",""), HYPERLINK(CONCATENATE("#metadata!", ADDRESS(INDEX($X$2:$X$1001,MATCH(ROWS($V$2:V471),$V$2:$V$1001,0),0), INDEX($AC$1004:$AS$1004,1,MATCH(COLUMNS($AC$1006:AC1006),$AC$1006:$AS$1006,0)))),"Fix")))</f>
        <v xml:space="preserve"> </v>
      </c>
      <c r="C471" s="4" t="str">
        <f ca="1">IF(OR(INDEX($W$2:$W$1001,MATCH(ROWS($V$2:V471),$V$2:$V$1001,0),1)&gt;=100000,INDEX($AC$1005:$AS$1005,1,MATCH(COLUMNS($AC$1006:AD1006),$AC$1006:$AS$1006,0))&gt;=100000), " ",IF(INDEX($AC$2:$AS$1001,MATCH(ROWS($V$2:V471),$V$2:$V$1001,0),MATCH(COLUMNS($AC$1006:AD1006),$AC$1006:$AS$1006,0)), HYPERLINK("#",""), HYPERLINK(CONCATENATE("#metadata!", ADDRESS(INDEX($X$2:$X$1001,MATCH(ROWS($V$2:V471),$V$2:$V$1001,0),0), INDEX($AC$1004:$AS$1004,1,MATCH(COLUMNS($AC$1006:AD1006),$AC$1006:$AS$1006,0)))),"Fix")))</f>
        <v xml:space="preserve"> </v>
      </c>
      <c r="D471" s="4" t="str">
        <f ca="1">IF(OR(INDEX($W$2:$W$1001,MATCH(ROWS($V$2:V471),$V$2:$V$1001,0),1)&gt;=100000,INDEX($AC$1005:$AS$1005,1,MATCH(COLUMNS($AC$1006:AE1006),$AC$1006:$AS$1006,0))&gt;=100000), " ",IF(INDEX($AC$2:$AS$1001,MATCH(ROWS($V$2:V471),$V$2:$V$1001,0),MATCH(COLUMNS($AC$1006:AE1006),$AC$1006:$AS$1006,0)), HYPERLINK("#",""), HYPERLINK(CONCATENATE("#metadata!", ADDRESS(INDEX($X$2:$X$1001,MATCH(ROWS($V$2:V471),$V$2:$V$1001,0),0), INDEX($AC$1004:$AS$1004,1,MATCH(COLUMNS($AC$1006:AE1006),$AC$1006:$AS$1006,0)))),"Fix")))</f>
        <v xml:space="preserve"> </v>
      </c>
      <c r="E471" s="4" t="str">
        <f ca="1">IF(OR(INDEX($W$2:$W$1001,MATCH(ROWS($V$2:V471),$V$2:$V$1001,0),1)&gt;=100000,INDEX($AC$1005:$AS$1005,1,MATCH(COLUMNS($AC$1006:AF1006),$AC$1006:$AS$1006,0))&gt;=100000), " ",IF(INDEX($AC$2:$AS$1001,MATCH(ROWS($V$2:V471),$V$2:$V$1001,0),MATCH(COLUMNS($AC$1006:AF1006),$AC$1006:$AS$1006,0)), HYPERLINK("#",""), HYPERLINK(CONCATENATE("#metadata!", ADDRESS(INDEX($X$2:$X$1001,MATCH(ROWS($V$2:V471),$V$2:$V$1001,0),0), INDEX($AC$1004:$AS$1004,1,MATCH(COLUMNS($AC$1006:AF1006),$AC$1006:$AS$1006,0)))),"Fix")))</f>
        <v xml:space="preserve"> </v>
      </c>
      <c r="F471" s="4" t="str">
        <f ca="1">IF(OR(INDEX($W$2:$W$1001,MATCH(ROWS($V$2:V471),$V$2:$V$1001,0),1)&gt;=100000,INDEX($AC$1005:$AS$1005,1,MATCH(COLUMNS($AC$1006:AG1006),$AC$1006:$AS$1006,0))&gt;=100000), " ",IF(INDEX($AC$2:$AS$1001,MATCH(ROWS($V$2:V471),$V$2:$V$1001,0),MATCH(COLUMNS($AC$1006:AG1006),$AC$1006:$AS$1006,0)), HYPERLINK("#",""), HYPERLINK(CONCATENATE("#metadata!", ADDRESS(INDEX($X$2:$X$1001,MATCH(ROWS($V$2:V471),$V$2:$V$1001,0),0), INDEX($AC$1004:$AS$1004,1,MATCH(COLUMNS($AC$1006:AG1006),$AC$1006:$AS$1006,0)))),"Fix")))</f>
        <v xml:space="preserve"> </v>
      </c>
      <c r="G471" s="4" t="str">
        <f ca="1">IF(OR(INDEX($W$2:$W$1001,MATCH(ROWS($V$2:V471),$V$2:$V$1001,0),1)&gt;=100000,INDEX($AC$1005:$AS$1005,1,MATCH(COLUMNS($AC$1006:AH1006),$AC$1006:$AS$1006,0))&gt;=100000), " ",IF(INDEX($AC$2:$AS$1001,MATCH(ROWS($V$2:V471),$V$2:$V$1001,0),MATCH(COLUMNS($AC$1006:AH1006),$AC$1006:$AS$1006,0)), HYPERLINK("#",""), HYPERLINK(CONCATENATE("#metadata!", ADDRESS(INDEX($X$2:$X$1001,MATCH(ROWS($V$2:V471),$V$2:$V$1001,0),0), INDEX($AC$1004:$AS$1004,1,MATCH(COLUMNS($AC$1006:AH1006),$AC$1006:$AS$1006,0)))),"Fix")))</f>
        <v xml:space="preserve"> </v>
      </c>
      <c r="H471" s="4" t="str">
        <f ca="1">IF(OR(INDEX($W$2:$W$1001,MATCH(ROWS($V$2:V471),$V$2:$V$1001,0),1)&gt;=100000,INDEX($AC$1005:$AS$1005,1,MATCH(COLUMNS($AC$1006:AI1006),$AC$1006:$AS$1006,0))&gt;=100000), " ",IF(INDEX($AC$2:$AS$1001,MATCH(ROWS($V$2:V471),$V$2:$V$1001,0),MATCH(COLUMNS($AC$1006:AI1006),$AC$1006:$AS$1006,0)), HYPERLINK("#",""), HYPERLINK(CONCATENATE("#metadata!", ADDRESS(INDEX($X$2:$X$1001,MATCH(ROWS($V$2:V471),$V$2:$V$1001,0),0), INDEX($AC$1004:$AS$1004,1,MATCH(COLUMNS($AC$1006:AI1006),$AC$1006:$AS$1006,0)))),"Fix")))</f>
        <v xml:space="preserve"> </v>
      </c>
      <c r="I471" s="4" t="str">
        <f ca="1">IF(OR(INDEX($W$2:$W$1001,MATCH(ROWS($V$2:V471),$V$2:$V$1001,0),1)&gt;=100000,INDEX($AC$1005:$AS$1005,1,MATCH(COLUMNS($AC$1006:AJ1006),$AC$1006:$AS$1006,0))&gt;=100000), " ",IF(INDEX($AC$2:$AS$1001,MATCH(ROWS($V$2:V471),$V$2:$V$1001,0),MATCH(COLUMNS($AC$1006:AJ1006),$AC$1006:$AS$1006,0)), HYPERLINK("#",""), HYPERLINK(CONCATENATE("#metadata!", ADDRESS(INDEX($X$2:$X$1001,MATCH(ROWS($V$2:V471),$V$2:$V$1001,0),0), INDEX($AC$1004:$AS$1004,1,MATCH(COLUMNS($AC$1006:AJ1006),$AC$1006:$AS$1006,0)))),"Fix")))</f>
        <v xml:space="preserve"> </v>
      </c>
      <c r="J471" s="4" t="str">
        <f ca="1">IF(OR(INDEX($W$2:$W$1001,MATCH(ROWS($V$2:V471),$V$2:$V$1001,0),1)&gt;=100000,INDEX($AC$1005:$AS$1005,1,MATCH(COLUMNS($AC$1006:AK1006),$AC$1006:$AS$1006,0))&gt;=100000), " ",IF(INDEX($AC$2:$AS$1001,MATCH(ROWS($V$2:V471),$V$2:$V$1001,0),MATCH(COLUMNS($AC$1006:AK1006),$AC$1006:$AS$1006,0)), HYPERLINK("#",""), HYPERLINK(CONCATENATE("#metadata!", ADDRESS(INDEX($X$2:$X$1001,MATCH(ROWS($V$2:V471),$V$2:$V$1001,0),0), INDEX($AC$1004:$AS$1004,1,MATCH(COLUMNS($AC$1006:AK1006),$AC$1006:$AS$1006,0)))),"Fix")))</f>
        <v xml:space="preserve"> </v>
      </c>
      <c r="K471" s="4" t="str">
        <f ca="1">IF(OR(INDEX($W$2:$W$1001,MATCH(ROWS($V$2:V471),$V$2:$V$1001,0),1)&gt;=100000,INDEX($AC$1005:$AS$1005,1,MATCH(COLUMNS($AC$1006:AL1006),$AC$1006:$AS$1006,0))&gt;=100000), " ",IF(INDEX($AC$2:$AS$1001,MATCH(ROWS($V$2:V471),$V$2:$V$1001,0),MATCH(COLUMNS($AC$1006:AL1006),$AC$1006:$AS$1006,0)), HYPERLINK("#",""), HYPERLINK(CONCATENATE("#metadata!", ADDRESS(INDEX($X$2:$X$1001,MATCH(ROWS($V$2:V471),$V$2:$V$1001,0),0), INDEX($AC$1004:$AS$1004,1,MATCH(COLUMNS($AC$1006:AL1006),$AC$1006:$AS$1006,0)))),"Fix")))</f>
        <v xml:space="preserve"> </v>
      </c>
      <c r="L471" s="4" t="str">
        <f ca="1">IF(OR(INDEX($W$2:$W$1001,MATCH(ROWS($V$2:V471),$V$2:$V$1001,0),1)&gt;=100000,INDEX($AC$1005:$AS$1005,1,MATCH(COLUMNS($AC$1006:AM1006),$AC$1006:$AS$1006,0))&gt;=100000), " ",IF(INDEX($AC$2:$AS$1001,MATCH(ROWS($V$2:V471),$V$2:$V$1001,0),MATCH(COLUMNS($AC$1006:AM1006),$AC$1006:$AS$1006,0)), HYPERLINK("#",""), HYPERLINK(CONCATENATE("#metadata!", ADDRESS(INDEX($X$2:$X$1001,MATCH(ROWS($V$2:V471),$V$2:$V$1001,0),0), INDEX($AC$1004:$AS$1004,1,MATCH(COLUMNS($AC$1006:AM1006),$AC$1006:$AS$1006,0)))),"Fix")))</f>
        <v xml:space="preserve"> </v>
      </c>
      <c r="M471" s="4" t="str">
        <f ca="1">IF(OR(INDEX($W$2:$W$1001,MATCH(ROWS($V$2:V471),$V$2:$V$1001,0),1)&gt;=100000,INDEX($AC$1005:$AS$1005,1,MATCH(COLUMNS($AC$1006:AN1006),$AC$1006:$AS$1006,0))&gt;=100000), " ",IF(INDEX($AC$2:$AS$1001,MATCH(ROWS($V$2:V471),$V$2:$V$1001,0),MATCH(COLUMNS($AC$1006:AN1006),$AC$1006:$AS$1006,0)), HYPERLINK("#",""), HYPERLINK(CONCATENATE("#metadata!", ADDRESS(INDEX($X$2:$X$1001,MATCH(ROWS($V$2:V471),$V$2:$V$1001,0),0), INDEX($AC$1004:$AS$1004,1,MATCH(COLUMNS($AC$1006:AN1006),$AC$1006:$AS$1006,0)))),"Fix")))</f>
        <v xml:space="preserve"> </v>
      </c>
      <c r="N471" s="4" t="str">
        <f ca="1">IF(OR(INDEX($W$2:$W$1001,MATCH(ROWS($V$2:V471),$V$2:$V$1001,0),1)&gt;=100000,INDEX($AC$1005:$AS$1005,1,MATCH(COLUMNS($AC$1006:AO1006),$AC$1006:$AS$1006,0))&gt;=100000), " ",IF(INDEX($AC$2:$AS$1001,MATCH(ROWS($V$2:V471),$V$2:$V$1001,0),MATCH(COLUMNS($AC$1006:AO1006),$AC$1006:$AS$1006,0)), HYPERLINK("#",""), HYPERLINK(CONCATENATE("#metadata!", ADDRESS(INDEX($X$2:$X$1001,MATCH(ROWS($V$2:V471),$V$2:$V$1001,0),0), INDEX($AC$1004:$AS$1004,1,MATCH(COLUMNS($AC$1006:AO1006),$AC$1006:$AS$1006,0)))),"Fix")))</f>
        <v xml:space="preserve"> </v>
      </c>
      <c r="O471" s="4" t="str">
        <f ca="1">IF(OR(INDEX($W$2:$W$1001,MATCH(ROWS($V$2:V471),$V$2:$V$1001,0),1)&gt;=100000,INDEX($AC$1005:$AS$1005,1,MATCH(COLUMNS($AC$1006:AP1006),$AC$1006:$AS$1006,0))&gt;=100000), " ",IF(INDEX($AC$2:$AS$1001,MATCH(ROWS($V$2:V471),$V$2:$V$1001,0),MATCH(COLUMNS($AC$1006:AP1006),$AC$1006:$AS$1006,0)), HYPERLINK("#",""), HYPERLINK(CONCATENATE("#metadata!", ADDRESS(INDEX($X$2:$X$1001,MATCH(ROWS($V$2:V471),$V$2:$V$1001,0),0), INDEX($AC$1004:$AS$1004,1,MATCH(COLUMNS($AC$1006:AP1006),$AC$1006:$AS$1006,0)))),"Fix")))</f>
        <v xml:space="preserve"> </v>
      </c>
      <c r="P471" s="4" t="str">
        <f ca="1">IF(OR(INDEX($W$2:$W$1001,MATCH(ROWS($V$2:V471),$V$2:$V$1001,0),1)&gt;=100000,INDEX($AC$1005:$AS$1005,1,MATCH(COLUMNS($AC$1006:AQ1006),$AC$1006:$AS$1006,0))&gt;=100000), " ",IF(INDEX($AC$2:$AS$1001,MATCH(ROWS($V$2:V471),$V$2:$V$1001,0),MATCH(COLUMNS($AC$1006:AQ1006),$AC$1006:$AS$1006,0)), HYPERLINK("#",""), HYPERLINK(CONCATENATE("#metadata!", ADDRESS(INDEX($X$2:$X$1001,MATCH(ROWS($V$2:V471),$V$2:$V$1001,0),0), INDEX($AC$1004:$AS$1004,1,MATCH(COLUMNS($AC$1006:AQ1006),$AC$1006:$AS$1006,0)))),"Fix")))</f>
        <v xml:space="preserve"> </v>
      </c>
      <c r="Q471" s="4" t="str">
        <f ca="1">IF(OR(INDEX($W$2:$W$1001,MATCH(ROWS($V$2:V471),$V$2:$V$1001,0),1)&gt;=100000,INDEX($AC$1005:$AS$1005,1,MATCH(COLUMNS($AC$1006:AR1006),$AC$1006:$AS$1006,0))&gt;=100000), " ",IF(INDEX($AC$2:$AS$1001,MATCH(ROWS($V$2:V471),$V$2:$V$1001,0),MATCH(COLUMNS($AC$1006:AR1006),$AC$1006:$AS$1006,0)), HYPERLINK("#",""), HYPERLINK(CONCATENATE("#metadata!", ADDRESS(INDEX($X$2:$X$1001,MATCH(ROWS($V$2:V471),$V$2:$V$1001,0),0), INDEX($AC$1004:$AS$1004,1,MATCH(COLUMNS($AC$1006:AR1006),$AC$1006:$AS$1006,0)))),"Fix")))</f>
        <v xml:space="preserve"> </v>
      </c>
      <c r="R471" s="4" t="str">
        <f ca="1">IF(OR(INDEX($W$2:$W$1001,MATCH(ROWS($V$2:V471),$V$2:$V$1001,0),1)&gt;=100000,INDEX($AC$1005:$AS$1005,1,MATCH(COLUMNS($AC$1006:AS1006),$AC$1006:$AS$1006,0))&gt;=100000), " ",IF(INDEX($AC$2:$AS$1001,MATCH(ROWS($V$2:V471),$V$2:$V$1001,0),MATCH(COLUMNS($AC$1006:AS1006),$AC$1006:$AS$1006,0)), HYPERLINK("#",""), HYPERLINK(CONCATENATE("#metadata!", ADDRESS(INDEX($X$2:$X$1001,MATCH(ROWS($V$2:V471),$V$2:$V$1001,0),0), INDEX($AC$1004:$AS$1004,1,MATCH(COLUMNS($AC$1006:AS1006),$AC$1006:$AS$1006,0)))),"Fix")))</f>
        <v xml:space="preserve"> </v>
      </c>
      <c r="V471">
        <v>470</v>
      </c>
      <c r="W471">
        <v>100471</v>
      </c>
      <c r="X471">
        <v>471</v>
      </c>
      <c r="Y471" t="b">
        <f t="shared" si="7"/>
        <v>1</v>
      </c>
      <c r="Z471" t="b">
        <f>COUNTBLANK(metadata!B471:R471)=COLUMNS(metadata!B471:R471)</f>
        <v>1</v>
      </c>
      <c r="AA471" t="str">
        <v/>
      </c>
      <c r="AC471" t="b">
        <f ca="1"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AD471" t="b">
        <f>IF(metadata!C471="",FALSE,ISNUMBER(VALUE(metadata!C471)))</f>
        <v>0</v>
      </c>
      <c r="AE471" t="b">
        <f>AND(IF(metadata!D471="",FALSE,TRUE),EXACT(metadata!D471,"years"))</f>
        <v>0</v>
      </c>
      <c r="AF471" t="b">
        <f>OR(AND(IF(metadata!E471="",FALSE,TRUE),OR(EXACT(metadata!E471,"not applicable"),EXACT(metadata!E471,"missing: not collected"),EXACT(metadata!E471,"missing: not provided"),EXACT(metadata!E471,"missing: restricted access"))),AND(IF(metadata!E471="",FALSE,ISNUMBER(VALUE(metadata!E471))),metadata!E471&gt;0))</f>
        <v>0</v>
      </c>
      <c r="AG471" t="b">
        <f>AND(IF(metadata!F471="",FALSE,TRUE),EXACT(metadata!F471,"Not applicable"))</f>
        <v>0</v>
      </c>
      <c r="AH471" t="b">
        <f>AND(IF(metadata!G471="",FALSE,TRUE),EXACT(metadata!G471,"urban biome"))</f>
        <v>0</v>
      </c>
      <c r="AI471" t="b">
        <f>AND(IF(metadata!H471="",FALSE,TRUE),EXACT(metadata!H471,"human-associated habitat"))</f>
        <v>0</v>
      </c>
      <c r="AJ471" t="b">
        <f>AND(IF(metadata!I471="",FALSE,TRUE),OR(EXACT(metadata!I471,"human-associated"),EXACT(metadata!I471,"human-skin"),EXACT(metadata!I471,"human-oral"),EXACT(metadata!I471,"human-gut"),EXACT(metadata!I471,"human-vaginal")))</f>
        <v>0</v>
      </c>
      <c r="AK471" t="b">
        <f>IF(metadata!J471="",FALSE,ISNUMBER(VALUE(metadata!J471)))</f>
        <v>0</v>
      </c>
      <c r="AL471" t="b">
        <f>AND(IF(metadata!K471="",FALSE,TRUE),EXACT(metadata!K471,"cm"))</f>
        <v>0</v>
      </c>
      <c r="AM471" t="b">
        <f>AND(IF(metadata!L471="",FALSE,TRUE),EXACT(metadata!L471,"human"))</f>
        <v>0</v>
      </c>
      <c r="AN471" t="b">
        <f>AND(IF(metadata!M471="",FALSE,TRUE),EXACT(metadata!M471,"Homo sapiens"))</f>
        <v>0</v>
      </c>
      <c r="AO471" t="b">
        <f>AND(IF(metadata!N471="",FALSE,TRUE),EXACT(metadata!N471,"9606"))</f>
        <v>0</v>
      </c>
      <c r="AP471" t="b">
        <f>IF(metadata!O471="",FALSE,TRUE)</f>
        <v>0</v>
      </c>
      <c r="AQ471" t="b">
        <f>IF(metadata!P471="",FALSE,TRUE)</f>
        <v>0</v>
      </c>
      <c r="AR471" t="b">
        <f>IF(metadata!Q471="",FALSE,ISNUMBER(VALUE(metadata!Q471)))</f>
        <v>0</v>
      </c>
      <c r="AS471" t="b">
        <f>AND(IF(metadata!R471="",FALSE,TRUE),EXACT(metadata!R471,"kg"))</f>
        <v>0</v>
      </c>
    </row>
    <row r="472" spans="1:45" x14ac:dyDescent="0.2">
      <c r="A472" s="5" t="str">
        <f ca="1">IF(B472=" "," ",HYPERLINK(CONCATENATE("#metadata!",ADDRESS(INDEX($X$2:$X$1001,MATCH(ROWS($V$2:V472),$V$2:$V$1001,0),0),1)),INDEX($AA$2:$AA$1001,MATCH(ROWS($V$2:V472),$V$2:$V$1001,0),0)))</f>
        <v xml:space="preserve"> </v>
      </c>
      <c r="B472" s="4" t="str">
        <f ca="1">IF(OR(INDEX($W$2:$W$1001,MATCH(ROWS($V$2:V472),$V$2:$V$1001,0),1)&gt;=100000,INDEX($AC$1005:$AS$1005,1,MATCH(COLUMNS($AC$1006:AC1006),$AC$1006:$AS$1006,0))&gt;=100000), " ",IF(INDEX($AC$2:$AS$1001,MATCH(ROWS($V$2:V472),$V$2:$V$1001,0),MATCH(COLUMNS($AC$1006:AC1006),$AC$1006:$AS$1006,0)), HYPERLINK("#",""), HYPERLINK(CONCATENATE("#metadata!", ADDRESS(INDEX($X$2:$X$1001,MATCH(ROWS($V$2:V472),$V$2:$V$1001,0),0), INDEX($AC$1004:$AS$1004,1,MATCH(COLUMNS($AC$1006:AC1006),$AC$1006:$AS$1006,0)))),"Fix")))</f>
        <v xml:space="preserve"> </v>
      </c>
      <c r="C472" s="4" t="str">
        <f ca="1">IF(OR(INDEX($W$2:$W$1001,MATCH(ROWS($V$2:V472),$V$2:$V$1001,0),1)&gt;=100000,INDEX($AC$1005:$AS$1005,1,MATCH(COLUMNS($AC$1006:AD1006),$AC$1006:$AS$1006,0))&gt;=100000), " ",IF(INDEX($AC$2:$AS$1001,MATCH(ROWS($V$2:V472),$V$2:$V$1001,0),MATCH(COLUMNS($AC$1006:AD1006),$AC$1006:$AS$1006,0)), HYPERLINK("#",""), HYPERLINK(CONCATENATE("#metadata!", ADDRESS(INDEX($X$2:$X$1001,MATCH(ROWS($V$2:V472),$V$2:$V$1001,0),0), INDEX($AC$1004:$AS$1004,1,MATCH(COLUMNS($AC$1006:AD1006),$AC$1006:$AS$1006,0)))),"Fix")))</f>
        <v xml:space="preserve"> </v>
      </c>
      <c r="D472" s="4" t="str">
        <f ca="1">IF(OR(INDEX($W$2:$W$1001,MATCH(ROWS($V$2:V472),$V$2:$V$1001,0),1)&gt;=100000,INDEX($AC$1005:$AS$1005,1,MATCH(COLUMNS($AC$1006:AE1006),$AC$1006:$AS$1006,0))&gt;=100000), " ",IF(INDEX($AC$2:$AS$1001,MATCH(ROWS($V$2:V472),$V$2:$V$1001,0),MATCH(COLUMNS($AC$1006:AE1006),$AC$1006:$AS$1006,0)), HYPERLINK("#",""), HYPERLINK(CONCATENATE("#metadata!", ADDRESS(INDEX($X$2:$X$1001,MATCH(ROWS($V$2:V472),$V$2:$V$1001,0),0), INDEX($AC$1004:$AS$1004,1,MATCH(COLUMNS($AC$1006:AE1006),$AC$1006:$AS$1006,0)))),"Fix")))</f>
        <v xml:space="preserve"> </v>
      </c>
      <c r="E472" s="4" t="str">
        <f ca="1">IF(OR(INDEX($W$2:$W$1001,MATCH(ROWS($V$2:V472),$V$2:$V$1001,0),1)&gt;=100000,INDEX($AC$1005:$AS$1005,1,MATCH(COLUMNS($AC$1006:AF1006),$AC$1006:$AS$1006,0))&gt;=100000), " ",IF(INDEX($AC$2:$AS$1001,MATCH(ROWS($V$2:V472),$V$2:$V$1001,0),MATCH(COLUMNS($AC$1006:AF1006),$AC$1006:$AS$1006,0)), HYPERLINK("#",""), HYPERLINK(CONCATENATE("#metadata!", ADDRESS(INDEX($X$2:$X$1001,MATCH(ROWS($V$2:V472),$V$2:$V$1001,0),0), INDEX($AC$1004:$AS$1004,1,MATCH(COLUMNS($AC$1006:AF1006),$AC$1006:$AS$1006,0)))),"Fix")))</f>
        <v xml:space="preserve"> </v>
      </c>
      <c r="F472" s="4" t="str">
        <f ca="1">IF(OR(INDEX($W$2:$W$1001,MATCH(ROWS($V$2:V472),$V$2:$V$1001,0),1)&gt;=100000,INDEX($AC$1005:$AS$1005,1,MATCH(COLUMNS($AC$1006:AG1006),$AC$1006:$AS$1006,0))&gt;=100000), " ",IF(INDEX($AC$2:$AS$1001,MATCH(ROWS($V$2:V472),$V$2:$V$1001,0),MATCH(COLUMNS($AC$1006:AG1006),$AC$1006:$AS$1006,0)), HYPERLINK("#",""), HYPERLINK(CONCATENATE("#metadata!", ADDRESS(INDEX($X$2:$X$1001,MATCH(ROWS($V$2:V472),$V$2:$V$1001,0),0), INDEX($AC$1004:$AS$1004,1,MATCH(COLUMNS($AC$1006:AG1006),$AC$1006:$AS$1006,0)))),"Fix")))</f>
        <v xml:space="preserve"> </v>
      </c>
      <c r="G472" s="4" t="str">
        <f ca="1">IF(OR(INDEX($W$2:$W$1001,MATCH(ROWS($V$2:V472),$V$2:$V$1001,0),1)&gt;=100000,INDEX($AC$1005:$AS$1005,1,MATCH(COLUMNS($AC$1006:AH1006),$AC$1006:$AS$1006,0))&gt;=100000), " ",IF(INDEX($AC$2:$AS$1001,MATCH(ROWS($V$2:V472),$V$2:$V$1001,0),MATCH(COLUMNS($AC$1006:AH1006),$AC$1006:$AS$1006,0)), HYPERLINK("#",""), HYPERLINK(CONCATENATE("#metadata!", ADDRESS(INDEX($X$2:$X$1001,MATCH(ROWS($V$2:V472),$V$2:$V$1001,0),0), INDEX($AC$1004:$AS$1004,1,MATCH(COLUMNS($AC$1006:AH1006),$AC$1006:$AS$1006,0)))),"Fix")))</f>
        <v xml:space="preserve"> </v>
      </c>
      <c r="H472" s="4" t="str">
        <f ca="1">IF(OR(INDEX($W$2:$W$1001,MATCH(ROWS($V$2:V472),$V$2:$V$1001,0),1)&gt;=100000,INDEX($AC$1005:$AS$1005,1,MATCH(COLUMNS($AC$1006:AI1006),$AC$1006:$AS$1006,0))&gt;=100000), " ",IF(INDEX($AC$2:$AS$1001,MATCH(ROWS($V$2:V472),$V$2:$V$1001,0),MATCH(COLUMNS($AC$1006:AI1006),$AC$1006:$AS$1006,0)), HYPERLINK("#",""), HYPERLINK(CONCATENATE("#metadata!", ADDRESS(INDEX($X$2:$X$1001,MATCH(ROWS($V$2:V472),$V$2:$V$1001,0),0), INDEX($AC$1004:$AS$1004,1,MATCH(COLUMNS($AC$1006:AI1006),$AC$1006:$AS$1006,0)))),"Fix")))</f>
        <v xml:space="preserve"> </v>
      </c>
      <c r="I472" s="4" t="str">
        <f ca="1">IF(OR(INDEX($W$2:$W$1001,MATCH(ROWS($V$2:V472),$V$2:$V$1001,0),1)&gt;=100000,INDEX($AC$1005:$AS$1005,1,MATCH(COLUMNS($AC$1006:AJ1006),$AC$1006:$AS$1006,0))&gt;=100000), " ",IF(INDEX($AC$2:$AS$1001,MATCH(ROWS($V$2:V472),$V$2:$V$1001,0),MATCH(COLUMNS($AC$1006:AJ1006),$AC$1006:$AS$1006,0)), HYPERLINK("#",""), HYPERLINK(CONCATENATE("#metadata!", ADDRESS(INDEX($X$2:$X$1001,MATCH(ROWS($V$2:V472),$V$2:$V$1001,0),0), INDEX($AC$1004:$AS$1004,1,MATCH(COLUMNS($AC$1006:AJ1006),$AC$1006:$AS$1006,0)))),"Fix")))</f>
        <v xml:space="preserve"> </v>
      </c>
      <c r="J472" s="4" t="str">
        <f ca="1">IF(OR(INDEX($W$2:$W$1001,MATCH(ROWS($V$2:V472),$V$2:$V$1001,0),1)&gt;=100000,INDEX($AC$1005:$AS$1005,1,MATCH(COLUMNS($AC$1006:AK1006),$AC$1006:$AS$1006,0))&gt;=100000), " ",IF(INDEX($AC$2:$AS$1001,MATCH(ROWS($V$2:V472),$V$2:$V$1001,0),MATCH(COLUMNS($AC$1006:AK1006),$AC$1006:$AS$1006,0)), HYPERLINK("#",""), HYPERLINK(CONCATENATE("#metadata!", ADDRESS(INDEX($X$2:$X$1001,MATCH(ROWS($V$2:V472),$V$2:$V$1001,0),0), INDEX($AC$1004:$AS$1004,1,MATCH(COLUMNS($AC$1006:AK1006),$AC$1006:$AS$1006,0)))),"Fix")))</f>
        <v xml:space="preserve"> </v>
      </c>
      <c r="K472" s="4" t="str">
        <f ca="1">IF(OR(INDEX($W$2:$W$1001,MATCH(ROWS($V$2:V472),$V$2:$V$1001,0),1)&gt;=100000,INDEX($AC$1005:$AS$1005,1,MATCH(COLUMNS($AC$1006:AL1006),$AC$1006:$AS$1006,0))&gt;=100000), " ",IF(INDEX($AC$2:$AS$1001,MATCH(ROWS($V$2:V472),$V$2:$V$1001,0),MATCH(COLUMNS($AC$1006:AL1006),$AC$1006:$AS$1006,0)), HYPERLINK("#",""), HYPERLINK(CONCATENATE("#metadata!", ADDRESS(INDEX($X$2:$X$1001,MATCH(ROWS($V$2:V472),$V$2:$V$1001,0),0), INDEX($AC$1004:$AS$1004,1,MATCH(COLUMNS($AC$1006:AL1006),$AC$1006:$AS$1006,0)))),"Fix")))</f>
        <v xml:space="preserve"> </v>
      </c>
      <c r="L472" s="4" t="str">
        <f ca="1">IF(OR(INDEX($W$2:$W$1001,MATCH(ROWS($V$2:V472),$V$2:$V$1001,0),1)&gt;=100000,INDEX($AC$1005:$AS$1005,1,MATCH(COLUMNS($AC$1006:AM1006),$AC$1006:$AS$1006,0))&gt;=100000), " ",IF(INDEX($AC$2:$AS$1001,MATCH(ROWS($V$2:V472),$V$2:$V$1001,0),MATCH(COLUMNS($AC$1006:AM1006),$AC$1006:$AS$1006,0)), HYPERLINK("#",""), HYPERLINK(CONCATENATE("#metadata!", ADDRESS(INDEX($X$2:$X$1001,MATCH(ROWS($V$2:V472),$V$2:$V$1001,0),0), INDEX($AC$1004:$AS$1004,1,MATCH(COLUMNS($AC$1006:AM1006),$AC$1006:$AS$1006,0)))),"Fix")))</f>
        <v xml:space="preserve"> </v>
      </c>
      <c r="M472" s="4" t="str">
        <f ca="1">IF(OR(INDEX($W$2:$W$1001,MATCH(ROWS($V$2:V472),$V$2:$V$1001,0),1)&gt;=100000,INDEX($AC$1005:$AS$1005,1,MATCH(COLUMNS($AC$1006:AN1006),$AC$1006:$AS$1006,0))&gt;=100000), " ",IF(INDEX($AC$2:$AS$1001,MATCH(ROWS($V$2:V472),$V$2:$V$1001,0),MATCH(COLUMNS($AC$1006:AN1006),$AC$1006:$AS$1006,0)), HYPERLINK("#",""), HYPERLINK(CONCATENATE("#metadata!", ADDRESS(INDEX($X$2:$X$1001,MATCH(ROWS($V$2:V472),$V$2:$V$1001,0),0), INDEX($AC$1004:$AS$1004,1,MATCH(COLUMNS($AC$1006:AN1006),$AC$1006:$AS$1006,0)))),"Fix")))</f>
        <v xml:space="preserve"> </v>
      </c>
      <c r="N472" s="4" t="str">
        <f ca="1">IF(OR(INDEX($W$2:$W$1001,MATCH(ROWS($V$2:V472),$V$2:$V$1001,0),1)&gt;=100000,INDEX($AC$1005:$AS$1005,1,MATCH(COLUMNS($AC$1006:AO1006),$AC$1006:$AS$1006,0))&gt;=100000), " ",IF(INDEX($AC$2:$AS$1001,MATCH(ROWS($V$2:V472),$V$2:$V$1001,0),MATCH(COLUMNS($AC$1006:AO1006),$AC$1006:$AS$1006,0)), HYPERLINK("#",""), HYPERLINK(CONCATENATE("#metadata!", ADDRESS(INDEX($X$2:$X$1001,MATCH(ROWS($V$2:V472),$V$2:$V$1001,0),0), INDEX($AC$1004:$AS$1004,1,MATCH(COLUMNS($AC$1006:AO1006),$AC$1006:$AS$1006,0)))),"Fix")))</f>
        <v xml:space="preserve"> </v>
      </c>
      <c r="O472" s="4" t="str">
        <f ca="1">IF(OR(INDEX($W$2:$W$1001,MATCH(ROWS($V$2:V472),$V$2:$V$1001,0),1)&gt;=100000,INDEX($AC$1005:$AS$1005,1,MATCH(COLUMNS($AC$1006:AP1006),$AC$1006:$AS$1006,0))&gt;=100000), " ",IF(INDEX($AC$2:$AS$1001,MATCH(ROWS($V$2:V472),$V$2:$V$1001,0),MATCH(COLUMNS($AC$1006:AP1006),$AC$1006:$AS$1006,0)), HYPERLINK("#",""), HYPERLINK(CONCATENATE("#metadata!", ADDRESS(INDEX($X$2:$X$1001,MATCH(ROWS($V$2:V472),$V$2:$V$1001,0),0), INDEX($AC$1004:$AS$1004,1,MATCH(COLUMNS($AC$1006:AP1006),$AC$1006:$AS$1006,0)))),"Fix")))</f>
        <v xml:space="preserve"> </v>
      </c>
      <c r="P472" s="4" t="str">
        <f ca="1">IF(OR(INDEX($W$2:$W$1001,MATCH(ROWS($V$2:V472),$V$2:$V$1001,0),1)&gt;=100000,INDEX($AC$1005:$AS$1005,1,MATCH(COLUMNS($AC$1006:AQ1006),$AC$1006:$AS$1006,0))&gt;=100000), " ",IF(INDEX($AC$2:$AS$1001,MATCH(ROWS($V$2:V472),$V$2:$V$1001,0),MATCH(COLUMNS($AC$1006:AQ1006),$AC$1006:$AS$1006,0)), HYPERLINK("#",""), HYPERLINK(CONCATENATE("#metadata!", ADDRESS(INDEX($X$2:$X$1001,MATCH(ROWS($V$2:V472),$V$2:$V$1001,0),0), INDEX($AC$1004:$AS$1004,1,MATCH(COLUMNS($AC$1006:AQ1006),$AC$1006:$AS$1006,0)))),"Fix")))</f>
        <v xml:space="preserve"> </v>
      </c>
      <c r="Q472" s="4" t="str">
        <f ca="1">IF(OR(INDEX($W$2:$W$1001,MATCH(ROWS($V$2:V472),$V$2:$V$1001,0),1)&gt;=100000,INDEX($AC$1005:$AS$1005,1,MATCH(COLUMNS($AC$1006:AR1006),$AC$1006:$AS$1006,0))&gt;=100000), " ",IF(INDEX($AC$2:$AS$1001,MATCH(ROWS($V$2:V472),$V$2:$V$1001,0),MATCH(COLUMNS($AC$1006:AR1006),$AC$1006:$AS$1006,0)), HYPERLINK("#",""), HYPERLINK(CONCATENATE("#metadata!", ADDRESS(INDEX($X$2:$X$1001,MATCH(ROWS($V$2:V472),$V$2:$V$1001,0),0), INDEX($AC$1004:$AS$1004,1,MATCH(COLUMNS($AC$1006:AR1006),$AC$1006:$AS$1006,0)))),"Fix")))</f>
        <v xml:space="preserve"> </v>
      </c>
      <c r="R472" s="4" t="str">
        <f ca="1">IF(OR(INDEX($W$2:$W$1001,MATCH(ROWS($V$2:V472),$V$2:$V$1001,0),1)&gt;=100000,INDEX($AC$1005:$AS$1005,1,MATCH(COLUMNS($AC$1006:AS1006),$AC$1006:$AS$1006,0))&gt;=100000), " ",IF(INDEX($AC$2:$AS$1001,MATCH(ROWS($V$2:V472),$V$2:$V$1001,0),MATCH(COLUMNS($AC$1006:AS1006),$AC$1006:$AS$1006,0)), HYPERLINK("#",""), HYPERLINK(CONCATENATE("#metadata!", ADDRESS(INDEX($X$2:$X$1001,MATCH(ROWS($V$2:V472),$V$2:$V$1001,0),0), INDEX($AC$1004:$AS$1004,1,MATCH(COLUMNS($AC$1006:AS1006),$AC$1006:$AS$1006,0)))),"Fix")))</f>
        <v xml:space="preserve"> </v>
      </c>
      <c r="V472">
        <v>471</v>
      </c>
      <c r="W472">
        <v>100472</v>
      </c>
      <c r="X472">
        <v>472</v>
      </c>
      <c r="Y472" t="b">
        <f t="shared" si="7"/>
        <v>1</v>
      </c>
      <c r="Z472" t="b">
        <f>COUNTBLANK(metadata!B472:R472)=COLUMNS(metadata!B472:R472)</f>
        <v>1</v>
      </c>
      <c r="AA472" t="str">
        <v/>
      </c>
      <c r="AC472" t="b">
        <f ca="1"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AD472" t="b">
        <f>IF(metadata!C472="",FALSE,ISNUMBER(VALUE(metadata!C472)))</f>
        <v>0</v>
      </c>
      <c r="AE472" t="b">
        <f>AND(IF(metadata!D472="",FALSE,TRUE),EXACT(metadata!D472,"years"))</f>
        <v>0</v>
      </c>
      <c r="AF472" t="b">
        <f>OR(AND(IF(metadata!E472="",FALSE,TRUE),OR(EXACT(metadata!E472,"not applicable"),EXACT(metadata!E472,"missing: not collected"),EXACT(metadata!E472,"missing: not provided"),EXACT(metadata!E472,"missing: restricted access"))),AND(IF(metadata!E472="",FALSE,ISNUMBER(VALUE(metadata!E472))),metadata!E472&gt;0))</f>
        <v>0</v>
      </c>
      <c r="AG472" t="b">
        <f>AND(IF(metadata!F472="",FALSE,TRUE),EXACT(metadata!F472,"Not applicable"))</f>
        <v>0</v>
      </c>
      <c r="AH472" t="b">
        <f>AND(IF(metadata!G472="",FALSE,TRUE),EXACT(metadata!G472,"urban biome"))</f>
        <v>0</v>
      </c>
      <c r="AI472" t="b">
        <f>AND(IF(metadata!H472="",FALSE,TRUE),EXACT(metadata!H472,"human-associated habitat"))</f>
        <v>0</v>
      </c>
      <c r="AJ472" t="b">
        <f>AND(IF(metadata!I472="",FALSE,TRUE),OR(EXACT(metadata!I472,"human-associated"),EXACT(metadata!I472,"human-skin"),EXACT(metadata!I472,"human-oral"),EXACT(metadata!I472,"human-gut"),EXACT(metadata!I472,"human-vaginal")))</f>
        <v>0</v>
      </c>
      <c r="AK472" t="b">
        <f>IF(metadata!J472="",FALSE,ISNUMBER(VALUE(metadata!J472)))</f>
        <v>0</v>
      </c>
      <c r="AL472" t="b">
        <f>AND(IF(metadata!K472="",FALSE,TRUE),EXACT(metadata!K472,"cm"))</f>
        <v>0</v>
      </c>
      <c r="AM472" t="b">
        <f>AND(IF(metadata!L472="",FALSE,TRUE),EXACT(metadata!L472,"human"))</f>
        <v>0</v>
      </c>
      <c r="AN472" t="b">
        <f>AND(IF(metadata!M472="",FALSE,TRUE),EXACT(metadata!M472,"Homo sapiens"))</f>
        <v>0</v>
      </c>
      <c r="AO472" t="b">
        <f>AND(IF(metadata!N472="",FALSE,TRUE),EXACT(metadata!N472,"9606"))</f>
        <v>0</v>
      </c>
      <c r="AP472" t="b">
        <f>IF(metadata!O472="",FALSE,TRUE)</f>
        <v>0</v>
      </c>
      <c r="AQ472" t="b">
        <f>IF(metadata!P472="",FALSE,TRUE)</f>
        <v>0</v>
      </c>
      <c r="AR472" t="b">
        <f>IF(metadata!Q472="",FALSE,ISNUMBER(VALUE(metadata!Q472)))</f>
        <v>0</v>
      </c>
      <c r="AS472" t="b">
        <f>AND(IF(metadata!R472="",FALSE,TRUE),EXACT(metadata!R472,"kg"))</f>
        <v>0</v>
      </c>
    </row>
    <row r="473" spans="1:45" x14ac:dyDescent="0.2">
      <c r="A473" s="5" t="str">
        <f ca="1">IF(B473=" "," ",HYPERLINK(CONCATENATE("#metadata!",ADDRESS(INDEX($X$2:$X$1001,MATCH(ROWS($V$2:V473),$V$2:$V$1001,0),0),1)),INDEX($AA$2:$AA$1001,MATCH(ROWS($V$2:V473),$V$2:$V$1001,0),0)))</f>
        <v xml:space="preserve"> </v>
      </c>
      <c r="B473" s="4" t="str">
        <f ca="1">IF(OR(INDEX($W$2:$W$1001,MATCH(ROWS($V$2:V473),$V$2:$V$1001,0),1)&gt;=100000,INDEX($AC$1005:$AS$1005,1,MATCH(COLUMNS($AC$1006:AC1006),$AC$1006:$AS$1006,0))&gt;=100000), " ",IF(INDEX($AC$2:$AS$1001,MATCH(ROWS($V$2:V473),$V$2:$V$1001,0),MATCH(COLUMNS($AC$1006:AC1006),$AC$1006:$AS$1006,0)), HYPERLINK("#",""), HYPERLINK(CONCATENATE("#metadata!", ADDRESS(INDEX($X$2:$X$1001,MATCH(ROWS($V$2:V473),$V$2:$V$1001,0),0), INDEX($AC$1004:$AS$1004,1,MATCH(COLUMNS($AC$1006:AC1006),$AC$1006:$AS$1006,0)))),"Fix")))</f>
        <v xml:space="preserve"> </v>
      </c>
      <c r="C473" s="4" t="str">
        <f ca="1">IF(OR(INDEX($W$2:$W$1001,MATCH(ROWS($V$2:V473),$V$2:$V$1001,0),1)&gt;=100000,INDEX($AC$1005:$AS$1005,1,MATCH(COLUMNS($AC$1006:AD1006),$AC$1006:$AS$1006,0))&gt;=100000), " ",IF(INDEX($AC$2:$AS$1001,MATCH(ROWS($V$2:V473),$V$2:$V$1001,0),MATCH(COLUMNS($AC$1006:AD1006),$AC$1006:$AS$1006,0)), HYPERLINK("#",""), HYPERLINK(CONCATENATE("#metadata!", ADDRESS(INDEX($X$2:$X$1001,MATCH(ROWS($V$2:V473),$V$2:$V$1001,0),0), INDEX($AC$1004:$AS$1004,1,MATCH(COLUMNS($AC$1006:AD1006),$AC$1006:$AS$1006,0)))),"Fix")))</f>
        <v xml:space="preserve"> </v>
      </c>
      <c r="D473" s="4" t="str">
        <f ca="1">IF(OR(INDEX($W$2:$W$1001,MATCH(ROWS($V$2:V473),$V$2:$V$1001,0),1)&gt;=100000,INDEX($AC$1005:$AS$1005,1,MATCH(COLUMNS($AC$1006:AE1006),$AC$1006:$AS$1006,0))&gt;=100000), " ",IF(INDEX($AC$2:$AS$1001,MATCH(ROWS($V$2:V473),$V$2:$V$1001,0),MATCH(COLUMNS($AC$1006:AE1006),$AC$1006:$AS$1006,0)), HYPERLINK("#",""), HYPERLINK(CONCATENATE("#metadata!", ADDRESS(INDEX($X$2:$X$1001,MATCH(ROWS($V$2:V473),$V$2:$V$1001,0),0), INDEX($AC$1004:$AS$1004,1,MATCH(COLUMNS($AC$1006:AE1006),$AC$1006:$AS$1006,0)))),"Fix")))</f>
        <v xml:space="preserve"> </v>
      </c>
      <c r="E473" s="4" t="str">
        <f ca="1">IF(OR(INDEX($W$2:$W$1001,MATCH(ROWS($V$2:V473),$V$2:$V$1001,0),1)&gt;=100000,INDEX($AC$1005:$AS$1005,1,MATCH(COLUMNS($AC$1006:AF1006),$AC$1006:$AS$1006,0))&gt;=100000), " ",IF(INDEX($AC$2:$AS$1001,MATCH(ROWS($V$2:V473),$V$2:$V$1001,0),MATCH(COLUMNS($AC$1006:AF1006),$AC$1006:$AS$1006,0)), HYPERLINK("#",""), HYPERLINK(CONCATENATE("#metadata!", ADDRESS(INDEX($X$2:$X$1001,MATCH(ROWS($V$2:V473),$V$2:$V$1001,0),0), INDEX($AC$1004:$AS$1004,1,MATCH(COLUMNS($AC$1006:AF1006),$AC$1006:$AS$1006,0)))),"Fix")))</f>
        <v xml:space="preserve"> </v>
      </c>
      <c r="F473" s="4" t="str">
        <f ca="1">IF(OR(INDEX($W$2:$W$1001,MATCH(ROWS($V$2:V473),$V$2:$V$1001,0),1)&gt;=100000,INDEX($AC$1005:$AS$1005,1,MATCH(COLUMNS($AC$1006:AG1006),$AC$1006:$AS$1006,0))&gt;=100000), " ",IF(INDEX($AC$2:$AS$1001,MATCH(ROWS($V$2:V473),$V$2:$V$1001,0),MATCH(COLUMNS($AC$1006:AG1006),$AC$1006:$AS$1006,0)), HYPERLINK("#",""), HYPERLINK(CONCATENATE("#metadata!", ADDRESS(INDEX($X$2:$X$1001,MATCH(ROWS($V$2:V473),$V$2:$V$1001,0),0), INDEX($AC$1004:$AS$1004,1,MATCH(COLUMNS($AC$1006:AG1006),$AC$1006:$AS$1006,0)))),"Fix")))</f>
        <v xml:space="preserve"> </v>
      </c>
      <c r="G473" s="4" t="str">
        <f ca="1">IF(OR(INDEX($W$2:$W$1001,MATCH(ROWS($V$2:V473),$V$2:$V$1001,0),1)&gt;=100000,INDEX($AC$1005:$AS$1005,1,MATCH(COLUMNS($AC$1006:AH1006),$AC$1006:$AS$1006,0))&gt;=100000), " ",IF(INDEX($AC$2:$AS$1001,MATCH(ROWS($V$2:V473),$V$2:$V$1001,0),MATCH(COLUMNS($AC$1006:AH1006),$AC$1006:$AS$1006,0)), HYPERLINK("#",""), HYPERLINK(CONCATENATE("#metadata!", ADDRESS(INDEX($X$2:$X$1001,MATCH(ROWS($V$2:V473),$V$2:$V$1001,0),0), INDEX($AC$1004:$AS$1004,1,MATCH(COLUMNS($AC$1006:AH1006),$AC$1006:$AS$1006,0)))),"Fix")))</f>
        <v xml:space="preserve"> </v>
      </c>
      <c r="H473" s="4" t="str">
        <f ca="1">IF(OR(INDEX($W$2:$W$1001,MATCH(ROWS($V$2:V473),$V$2:$V$1001,0),1)&gt;=100000,INDEX($AC$1005:$AS$1005,1,MATCH(COLUMNS($AC$1006:AI1006),$AC$1006:$AS$1006,0))&gt;=100000), " ",IF(INDEX($AC$2:$AS$1001,MATCH(ROWS($V$2:V473),$V$2:$V$1001,0),MATCH(COLUMNS($AC$1006:AI1006),$AC$1006:$AS$1006,0)), HYPERLINK("#",""), HYPERLINK(CONCATENATE("#metadata!", ADDRESS(INDEX($X$2:$X$1001,MATCH(ROWS($V$2:V473),$V$2:$V$1001,0),0), INDEX($AC$1004:$AS$1004,1,MATCH(COLUMNS($AC$1006:AI1006),$AC$1006:$AS$1006,0)))),"Fix")))</f>
        <v xml:space="preserve"> </v>
      </c>
      <c r="I473" s="4" t="str">
        <f ca="1">IF(OR(INDEX($W$2:$W$1001,MATCH(ROWS($V$2:V473),$V$2:$V$1001,0),1)&gt;=100000,INDEX($AC$1005:$AS$1005,1,MATCH(COLUMNS($AC$1006:AJ1006),$AC$1006:$AS$1006,0))&gt;=100000), " ",IF(INDEX($AC$2:$AS$1001,MATCH(ROWS($V$2:V473),$V$2:$V$1001,0),MATCH(COLUMNS($AC$1006:AJ1006),$AC$1006:$AS$1006,0)), HYPERLINK("#",""), HYPERLINK(CONCATENATE("#metadata!", ADDRESS(INDEX($X$2:$X$1001,MATCH(ROWS($V$2:V473),$V$2:$V$1001,0),0), INDEX($AC$1004:$AS$1004,1,MATCH(COLUMNS($AC$1006:AJ1006),$AC$1006:$AS$1006,0)))),"Fix")))</f>
        <v xml:space="preserve"> </v>
      </c>
      <c r="J473" s="4" t="str">
        <f ca="1">IF(OR(INDEX($W$2:$W$1001,MATCH(ROWS($V$2:V473),$V$2:$V$1001,0),1)&gt;=100000,INDEX($AC$1005:$AS$1005,1,MATCH(COLUMNS($AC$1006:AK1006),$AC$1006:$AS$1006,0))&gt;=100000), " ",IF(INDEX($AC$2:$AS$1001,MATCH(ROWS($V$2:V473),$V$2:$V$1001,0),MATCH(COLUMNS($AC$1006:AK1006),$AC$1006:$AS$1006,0)), HYPERLINK("#",""), HYPERLINK(CONCATENATE("#metadata!", ADDRESS(INDEX($X$2:$X$1001,MATCH(ROWS($V$2:V473),$V$2:$V$1001,0),0), INDEX($AC$1004:$AS$1004,1,MATCH(COLUMNS($AC$1006:AK1006),$AC$1006:$AS$1006,0)))),"Fix")))</f>
        <v xml:space="preserve"> </v>
      </c>
      <c r="K473" s="4" t="str">
        <f ca="1">IF(OR(INDEX($W$2:$W$1001,MATCH(ROWS($V$2:V473),$V$2:$V$1001,0),1)&gt;=100000,INDEX($AC$1005:$AS$1005,1,MATCH(COLUMNS($AC$1006:AL1006),$AC$1006:$AS$1006,0))&gt;=100000), " ",IF(INDEX($AC$2:$AS$1001,MATCH(ROWS($V$2:V473),$V$2:$V$1001,0),MATCH(COLUMNS($AC$1006:AL1006),$AC$1006:$AS$1006,0)), HYPERLINK("#",""), HYPERLINK(CONCATENATE("#metadata!", ADDRESS(INDEX($X$2:$X$1001,MATCH(ROWS($V$2:V473),$V$2:$V$1001,0),0), INDEX($AC$1004:$AS$1004,1,MATCH(COLUMNS($AC$1006:AL1006),$AC$1006:$AS$1006,0)))),"Fix")))</f>
        <v xml:space="preserve"> </v>
      </c>
      <c r="L473" s="4" t="str">
        <f ca="1">IF(OR(INDEX($W$2:$W$1001,MATCH(ROWS($V$2:V473),$V$2:$V$1001,0),1)&gt;=100000,INDEX($AC$1005:$AS$1005,1,MATCH(COLUMNS($AC$1006:AM1006),$AC$1006:$AS$1006,0))&gt;=100000), " ",IF(INDEX($AC$2:$AS$1001,MATCH(ROWS($V$2:V473),$V$2:$V$1001,0),MATCH(COLUMNS($AC$1006:AM1006),$AC$1006:$AS$1006,0)), HYPERLINK("#",""), HYPERLINK(CONCATENATE("#metadata!", ADDRESS(INDEX($X$2:$X$1001,MATCH(ROWS($V$2:V473),$V$2:$V$1001,0),0), INDEX($AC$1004:$AS$1004,1,MATCH(COLUMNS($AC$1006:AM1006),$AC$1006:$AS$1006,0)))),"Fix")))</f>
        <v xml:space="preserve"> </v>
      </c>
      <c r="M473" s="4" t="str">
        <f ca="1">IF(OR(INDEX($W$2:$W$1001,MATCH(ROWS($V$2:V473),$V$2:$V$1001,0),1)&gt;=100000,INDEX($AC$1005:$AS$1005,1,MATCH(COLUMNS($AC$1006:AN1006),$AC$1006:$AS$1006,0))&gt;=100000), " ",IF(INDEX($AC$2:$AS$1001,MATCH(ROWS($V$2:V473),$V$2:$V$1001,0),MATCH(COLUMNS($AC$1006:AN1006),$AC$1006:$AS$1006,0)), HYPERLINK("#",""), HYPERLINK(CONCATENATE("#metadata!", ADDRESS(INDEX($X$2:$X$1001,MATCH(ROWS($V$2:V473),$V$2:$V$1001,0),0), INDEX($AC$1004:$AS$1004,1,MATCH(COLUMNS($AC$1006:AN1006),$AC$1006:$AS$1006,0)))),"Fix")))</f>
        <v xml:space="preserve"> </v>
      </c>
      <c r="N473" s="4" t="str">
        <f ca="1">IF(OR(INDEX($W$2:$W$1001,MATCH(ROWS($V$2:V473),$V$2:$V$1001,0),1)&gt;=100000,INDEX($AC$1005:$AS$1005,1,MATCH(COLUMNS($AC$1006:AO1006),$AC$1006:$AS$1006,0))&gt;=100000), " ",IF(INDEX($AC$2:$AS$1001,MATCH(ROWS($V$2:V473),$V$2:$V$1001,0),MATCH(COLUMNS($AC$1006:AO1006),$AC$1006:$AS$1006,0)), HYPERLINK("#",""), HYPERLINK(CONCATENATE("#metadata!", ADDRESS(INDEX($X$2:$X$1001,MATCH(ROWS($V$2:V473),$V$2:$V$1001,0),0), INDEX($AC$1004:$AS$1004,1,MATCH(COLUMNS($AC$1006:AO1006),$AC$1006:$AS$1006,0)))),"Fix")))</f>
        <v xml:space="preserve"> </v>
      </c>
      <c r="O473" s="4" t="str">
        <f ca="1">IF(OR(INDEX($W$2:$W$1001,MATCH(ROWS($V$2:V473),$V$2:$V$1001,0),1)&gt;=100000,INDEX($AC$1005:$AS$1005,1,MATCH(COLUMNS($AC$1006:AP1006),$AC$1006:$AS$1006,0))&gt;=100000), " ",IF(INDEX($AC$2:$AS$1001,MATCH(ROWS($V$2:V473),$V$2:$V$1001,0),MATCH(COLUMNS($AC$1006:AP1006),$AC$1006:$AS$1006,0)), HYPERLINK("#",""), HYPERLINK(CONCATENATE("#metadata!", ADDRESS(INDEX($X$2:$X$1001,MATCH(ROWS($V$2:V473),$V$2:$V$1001,0),0), INDEX($AC$1004:$AS$1004,1,MATCH(COLUMNS($AC$1006:AP1006),$AC$1006:$AS$1006,0)))),"Fix")))</f>
        <v xml:space="preserve"> </v>
      </c>
      <c r="P473" s="4" t="str">
        <f ca="1">IF(OR(INDEX($W$2:$W$1001,MATCH(ROWS($V$2:V473),$V$2:$V$1001,0),1)&gt;=100000,INDEX($AC$1005:$AS$1005,1,MATCH(COLUMNS($AC$1006:AQ1006),$AC$1006:$AS$1006,0))&gt;=100000), " ",IF(INDEX($AC$2:$AS$1001,MATCH(ROWS($V$2:V473),$V$2:$V$1001,0),MATCH(COLUMNS($AC$1006:AQ1006),$AC$1006:$AS$1006,0)), HYPERLINK("#",""), HYPERLINK(CONCATENATE("#metadata!", ADDRESS(INDEX($X$2:$X$1001,MATCH(ROWS($V$2:V473),$V$2:$V$1001,0),0), INDEX($AC$1004:$AS$1004,1,MATCH(COLUMNS($AC$1006:AQ1006),$AC$1006:$AS$1006,0)))),"Fix")))</f>
        <v xml:space="preserve"> </v>
      </c>
      <c r="Q473" s="4" t="str">
        <f ca="1">IF(OR(INDEX($W$2:$W$1001,MATCH(ROWS($V$2:V473),$V$2:$V$1001,0),1)&gt;=100000,INDEX($AC$1005:$AS$1005,1,MATCH(COLUMNS($AC$1006:AR1006),$AC$1006:$AS$1006,0))&gt;=100000), " ",IF(INDEX($AC$2:$AS$1001,MATCH(ROWS($V$2:V473),$V$2:$V$1001,0),MATCH(COLUMNS($AC$1006:AR1006),$AC$1006:$AS$1006,0)), HYPERLINK("#",""), HYPERLINK(CONCATENATE("#metadata!", ADDRESS(INDEX($X$2:$X$1001,MATCH(ROWS($V$2:V473),$V$2:$V$1001,0),0), INDEX($AC$1004:$AS$1004,1,MATCH(COLUMNS($AC$1006:AR1006),$AC$1006:$AS$1006,0)))),"Fix")))</f>
        <v xml:space="preserve"> </v>
      </c>
      <c r="R473" s="4" t="str">
        <f ca="1">IF(OR(INDEX($W$2:$W$1001,MATCH(ROWS($V$2:V473),$V$2:$V$1001,0),1)&gt;=100000,INDEX($AC$1005:$AS$1005,1,MATCH(COLUMNS($AC$1006:AS1006),$AC$1006:$AS$1006,0))&gt;=100000), " ",IF(INDEX($AC$2:$AS$1001,MATCH(ROWS($V$2:V473),$V$2:$V$1001,0),MATCH(COLUMNS($AC$1006:AS1006),$AC$1006:$AS$1006,0)), HYPERLINK("#",""), HYPERLINK(CONCATENATE("#metadata!", ADDRESS(INDEX($X$2:$X$1001,MATCH(ROWS($V$2:V473),$V$2:$V$1001,0),0), INDEX($AC$1004:$AS$1004,1,MATCH(COLUMNS($AC$1006:AS1006),$AC$1006:$AS$1006,0)))),"Fix")))</f>
        <v xml:space="preserve"> </v>
      </c>
      <c r="V473">
        <v>472</v>
      </c>
      <c r="W473">
        <v>100473</v>
      </c>
      <c r="X473">
        <v>473</v>
      </c>
      <c r="Y473" t="b">
        <f t="shared" si="7"/>
        <v>1</v>
      </c>
      <c r="Z473" t="b">
        <f>COUNTBLANK(metadata!B473:R473)=COLUMNS(metadata!B473:R473)</f>
        <v>1</v>
      </c>
      <c r="AA473" t="str">
        <v/>
      </c>
      <c r="AC473" t="b">
        <f ca="1"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AD473" t="b">
        <f>IF(metadata!C473="",FALSE,ISNUMBER(VALUE(metadata!C473)))</f>
        <v>0</v>
      </c>
      <c r="AE473" t="b">
        <f>AND(IF(metadata!D473="",FALSE,TRUE),EXACT(metadata!D473,"years"))</f>
        <v>0</v>
      </c>
      <c r="AF473" t="b">
        <f>OR(AND(IF(metadata!E473="",FALSE,TRUE),OR(EXACT(metadata!E473,"not applicable"),EXACT(metadata!E473,"missing: not collected"),EXACT(metadata!E473,"missing: not provided"),EXACT(metadata!E473,"missing: restricted access"))),AND(IF(metadata!E473="",FALSE,ISNUMBER(VALUE(metadata!E473))),metadata!E473&gt;0))</f>
        <v>0</v>
      </c>
      <c r="AG473" t="b">
        <f>AND(IF(metadata!F473="",FALSE,TRUE),EXACT(metadata!F473,"Not applicable"))</f>
        <v>0</v>
      </c>
      <c r="AH473" t="b">
        <f>AND(IF(metadata!G473="",FALSE,TRUE),EXACT(metadata!G473,"urban biome"))</f>
        <v>0</v>
      </c>
      <c r="AI473" t="b">
        <f>AND(IF(metadata!H473="",FALSE,TRUE),EXACT(metadata!H473,"human-associated habitat"))</f>
        <v>0</v>
      </c>
      <c r="AJ473" t="b">
        <f>AND(IF(metadata!I473="",FALSE,TRUE),OR(EXACT(metadata!I473,"human-associated"),EXACT(metadata!I473,"human-skin"),EXACT(metadata!I473,"human-oral"),EXACT(metadata!I473,"human-gut"),EXACT(metadata!I473,"human-vaginal")))</f>
        <v>0</v>
      </c>
      <c r="AK473" t="b">
        <f>IF(metadata!J473="",FALSE,ISNUMBER(VALUE(metadata!J473)))</f>
        <v>0</v>
      </c>
      <c r="AL473" t="b">
        <f>AND(IF(metadata!K473="",FALSE,TRUE),EXACT(metadata!K473,"cm"))</f>
        <v>0</v>
      </c>
      <c r="AM473" t="b">
        <f>AND(IF(metadata!L473="",FALSE,TRUE),EXACT(metadata!L473,"human"))</f>
        <v>0</v>
      </c>
      <c r="AN473" t="b">
        <f>AND(IF(metadata!M473="",FALSE,TRUE),EXACT(metadata!M473,"Homo sapiens"))</f>
        <v>0</v>
      </c>
      <c r="AO473" t="b">
        <f>AND(IF(metadata!N473="",FALSE,TRUE),EXACT(metadata!N473,"9606"))</f>
        <v>0</v>
      </c>
      <c r="AP473" t="b">
        <f>IF(metadata!O473="",FALSE,TRUE)</f>
        <v>0</v>
      </c>
      <c r="AQ473" t="b">
        <f>IF(metadata!P473="",FALSE,TRUE)</f>
        <v>0</v>
      </c>
      <c r="AR473" t="b">
        <f>IF(metadata!Q473="",FALSE,ISNUMBER(VALUE(metadata!Q473)))</f>
        <v>0</v>
      </c>
      <c r="AS473" t="b">
        <f>AND(IF(metadata!R473="",FALSE,TRUE),EXACT(metadata!R473,"kg"))</f>
        <v>0</v>
      </c>
    </row>
    <row r="474" spans="1:45" x14ac:dyDescent="0.2">
      <c r="A474" s="5" t="str">
        <f ca="1">IF(B474=" "," ",HYPERLINK(CONCATENATE("#metadata!",ADDRESS(INDEX($X$2:$X$1001,MATCH(ROWS($V$2:V474),$V$2:$V$1001,0),0),1)),INDEX($AA$2:$AA$1001,MATCH(ROWS($V$2:V474),$V$2:$V$1001,0),0)))</f>
        <v xml:space="preserve"> </v>
      </c>
      <c r="B474" s="4" t="str">
        <f ca="1">IF(OR(INDEX($W$2:$W$1001,MATCH(ROWS($V$2:V474),$V$2:$V$1001,0),1)&gt;=100000,INDEX($AC$1005:$AS$1005,1,MATCH(COLUMNS($AC$1006:AC1006),$AC$1006:$AS$1006,0))&gt;=100000), " ",IF(INDEX($AC$2:$AS$1001,MATCH(ROWS($V$2:V474),$V$2:$V$1001,0),MATCH(COLUMNS($AC$1006:AC1006),$AC$1006:$AS$1006,0)), HYPERLINK("#",""), HYPERLINK(CONCATENATE("#metadata!", ADDRESS(INDEX($X$2:$X$1001,MATCH(ROWS($V$2:V474),$V$2:$V$1001,0),0), INDEX($AC$1004:$AS$1004,1,MATCH(COLUMNS($AC$1006:AC1006),$AC$1006:$AS$1006,0)))),"Fix")))</f>
        <v xml:space="preserve"> </v>
      </c>
      <c r="C474" s="4" t="str">
        <f ca="1">IF(OR(INDEX($W$2:$W$1001,MATCH(ROWS($V$2:V474),$V$2:$V$1001,0),1)&gt;=100000,INDEX($AC$1005:$AS$1005,1,MATCH(COLUMNS($AC$1006:AD1006),$AC$1006:$AS$1006,0))&gt;=100000), " ",IF(INDEX($AC$2:$AS$1001,MATCH(ROWS($V$2:V474),$V$2:$V$1001,0),MATCH(COLUMNS($AC$1006:AD1006),$AC$1006:$AS$1006,0)), HYPERLINK("#",""), HYPERLINK(CONCATENATE("#metadata!", ADDRESS(INDEX($X$2:$X$1001,MATCH(ROWS($V$2:V474),$V$2:$V$1001,0),0), INDEX($AC$1004:$AS$1004,1,MATCH(COLUMNS($AC$1006:AD1006),$AC$1006:$AS$1006,0)))),"Fix")))</f>
        <v xml:space="preserve"> </v>
      </c>
      <c r="D474" s="4" t="str">
        <f ca="1">IF(OR(INDEX($W$2:$W$1001,MATCH(ROWS($V$2:V474),$V$2:$V$1001,0),1)&gt;=100000,INDEX($AC$1005:$AS$1005,1,MATCH(COLUMNS($AC$1006:AE1006),$AC$1006:$AS$1006,0))&gt;=100000), " ",IF(INDEX($AC$2:$AS$1001,MATCH(ROWS($V$2:V474),$V$2:$V$1001,0),MATCH(COLUMNS($AC$1006:AE1006),$AC$1006:$AS$1006,0)), HYPERLINK("#",""), HYPERLINK(CONCATENATE("#metadata!", ADDRESS(INDEX($X$2:$X$1001,MATCH(ROWS($V$2:V474),$V$2:$V$1001,0),0), INDEX($AC$1004:$AS$1004,1,MATCH(COLUMNS($AC$1006:AE1006),$AC$1006:$AS$1006,0)))),"Fix")))</f>
        <v xml:space="preserve"> </v>
      </c>
      <c r="E474" s="4" t="str">
        <f ca="1">IF(OR(INDEX($W$2:$W$1001,MATCH(ROWS($V$2:V474),$V$2:$V$1001,0),1)&gt;=100000,INDEX($AC$1005:$AS$1005,1,MATCH(COLUMNS($AC$1006:AF1006),$AC$1006:$AS$1006,0))&gt;=100000), " ",IF(INDEX($AC$2:$AS$1001,MATCH(ROWS($V$2:V474),$V$2:$V$1001,0),MATCH(COLUMNS($AC$1006:AF1006),$AC$1006:$AS$1006,0)), HYPERLINK("#",""), HYPERLINK(CONCATENATE("#metadata!", ADDRESS(INDEX($X$2:$X$1001,MATCH(ROWS($V$2:V474),$V$2:$V$1001,0),0), INDEX($AC$1004:$AS$1004,1,MATCH(COLUMNS($AC$1006:AF1006),$AC$1006:$AS$1006,0)))),"Fix")))</f>
        <v xml:space="preserve"> </v>
      </c>
      <c r="F474" s="4" t="str">
        <f ca="1">IF(OR(INDEX($W$2:$W$1001,MATCH(ROWS($V$2:V474),$V$2:$V$1001,0),1)&gt;=100000,INDEX($AC$1005:$AS$1005,1,MATCH(COLUMNS($AC$1006:AG1006),$AC$1006:$AS$1006,0))&gt;=100000), " ",IF(INDEX($AC$2:$AS$1001,MATCH(ROWS($V$2:V474),$V$2:$V$1001,0),MATCH(COLUMNS($AC$1006:AG1006),$AC$1006:$AS$1006,0)), HYPERLINK("#",""), HYPERLINK(CONCATENATE("#metadata!", ADDRESS(INDEX($X$2:$X$1001,MATCH(ROWS($V$2:V474),$V$2:$V$1001,0),0), INDEX($AC$1004:$AS$1004,1,MATCH(COLUMNS($AC$1006:AG1006),$AC$1006:$AS$1006,0)))),"Fix")))</f>
        <v xml:space="preserve"> </v>
      </c>
      <c r="G474" s="4" t="str">
        <f ca="1">IF(OR(INDEX($W$2:$W$1001,MATCH(ROWS($V$2:V474),$V$2:$V$1001,0),1)&gt;=100000,INDEX($AC$1005:$AS$1005,1,MATCH(COLUMNS($AC$1006:AH1006),$AC$1006:$AS$1006,0))&gt;=100000), " ",IF(INDEX($AC$2:$AS$1001,MATCH(ROWS($V$2:V474),$V$2:$V$1001,0),MATCH(COLUMNS($AC$1006:AH1006),$AC$1006:$AS$1006,0)), HYPERLINK("#",""), HYPERLINK(CONCATENATE("#metadata!", ADDRESS(INDEX($X$2:$X$1001,MATCH(ROWS($V$2:V474),$V$2:$V$1001,0),0), INDEX($AC$1004:$AS$1004,1,MATCH(COLUMNS($AC$1006:AH1006),$AC$1006:$AS$1006,0)))),"Fix")))</f>
        <v xml:space="preserve"> </v>
      </c>
      <c r="H474" s="4" t="str">
        <f ca="1">IF(OR(INDEX($W$2:$W$1001,MATCH(ROWS($V$2:V474),$V$2:$V$1001,0),1)&gt;=100000,INDEX($AC$1005:$AS$1005,1,MATCH(COLUMNS($AC$1006:AI1006),$AC$1006:$AS$1006,0))&gt;=100000), " ",IF(INDEX($AC$2:$AS$1001,MATCH(ROWS($V$2:V474),$V$2:$V$1001,0),MATCH(COLUMNS($AC$1006:AI1006),$AC$1006:$AS$1006,0)), HYPERLINK("#",""), HYPERLINK(CONCATENATE("#metadata!", ADDRESS(INDEX($X$2:$X$1001,MATCH(ROWS($V$2:V474),$V$2:$V$1001,0),0), INDEX($AC$1004:$AS$1004,1,MATCH(COLUMNS($AC$1006:AI1006),$AC$1006:$AS$1006,0)))),"Fix")))</f>
        <v xml:space="preserve"> </v>
      </c>
      <c r="I474" s="4" t="str">
        <f ca="1">IF(OR(INDEX($W$2:$W$1001,MATCH(ROWS($V$2:V474),$V$2:$V$1001,0),1)&gt;=100000,INDEX($AC$1005:$AS$1005,1,MATCH(COLUMNS($AC$1006:AJ1006),$AC$1006:$AS$1006,0))&gt;=100000), " ",IF(INDEX($AC$2:$AS$1001,MATCH(ROWS($V$2:V474),$V$2:$V$1001,0),MATCH(COLUMNS($AC$1006:AJ1006),$AC$1006:$AS$1006,0)), HYPERLINK("#",""), HYPERLINK(CONCATENATE("#metadata!", ADDRESS(INDEX($X$2:$X$1001,MATCH(ROWS($V$2:V474),$V$2:$V$1001,0),0), INDEX($AC$1004:$AS$1004,1,MATCH(COLUMNS($AC$1006:AJ1006),$AC$1006:$AS$1006,0)))),"Fix")))</f>
        <v xml:space="preserve"> </v>
      </c>
      <c r="J474" s="4" t="str">
        <f ca="1">IF(OR(INDEX($W$2:$W$1001,MATCH(ROWS($V$2:V474),$V$2:$V$1001,0),1)&gt;=100000,INDEX($AC$1005:$AS$1005,1,MATCH(COLUMNS($AC$1006:AK1006),$AC$1006:$AS$1006,0))&gt;=100000), " ",IF(INDEX($AC$2:$AS$1001,MATCH(ROWS($V$2:V474),$V$2:$V$1001,0),MATCH(COLUMNS($AC$1006:AK1006),$AC$1006:$AS$1006,0)), HYPERLINK("#",""), HYPERLINK(CONCATENATE("#metadata!", ADDRESS(INDEX($X$2:$X$1001,MATCH(ROWS($V$2:V474),$V$2:$V$1001,0),0), INDEX($AC$1004:$AS$1004,1,MATCH(COLUMNS($AC$1006:AK1006),$AC$1006:$AS$1006,0)))),"Fix")))</f>
        <v xml:space="preserve"> </v>
      </c>
      <c r="K474" s="4" t="str">
        <f ca="1">IF(OR(INDEX($W$2:$W$1001,MATCH(ROWS($V$2:V474),$V$2:$V$1001,0),1)&gt;=100000,INDEX($AC$1005:$AS$1005,1,MATCH(COLUMNS($AC$1006:AL1006),$AC$1006:$AS$1006,0))&gt;=100000), " ",IF(INDEX($AC$2:$AS$1001,MATCH(ROWS($V$2:V474),$V$2:$V$1001,0),MATCH(COLUMNS($AC$1006:AL1006),$AC$1006:$AS$1006,0)), HYPERLINK("#",""), HYPERLINK(CONCATENATE("#metadata!", ADDRESS(INDEX($X$2:$X$1001,MATCH(ROWS($V$2:V474),$V$2:$V$1001,0),0), INDEX($AC$1004:$AS$1004,1,MATCH(COLUMNS($AC$1006:AL1006),$AC$1006:$AS$1006,0)))),"Fix")))</f>
        <v xml:space="preserve"> </v>
      </c>
      <c r="L474" s="4" t="str">
        <f ca="1">IF(OR(INDEX($W$2:$W$1001,MATCH(ROWS($V$2:V474),$V$2:$V$1001,0),1)&gt;=100000,INDEX($AC$1005:$AS$1005,1,MATCH(COLUMNS($AC$1006:AM1006),$AC$1006:$AS$1006,0))&gt;=100000), " ",IF(INDEX($AC$2:$AS$1001,MATCH(ROWS($V$2:V474),$V$2:$V$1001,0),MATCH(COLUMNS($AC$1006:AM1006),$AC$1006:$AS$1006,0)), HYPERLINK("#",""), HYPERLINK(CONCATENATE("#metadata!", ADDRESS(INDEX($X$2:$X$1001,MATCH(ROWS($V$2:V474),$V$2:$V$1001,0),0), INDEX($AC$1004:$AS$1004,1,MATCH(COLUMNS($AC$1006:AM1006),$AC$1006:$AS$1006,0)))),"Fix")))</f>
        <v xml:space="preserve"> </v>
      </c>
      <c r="M474" s="4" t="str">
        <f ca="1">IF(OR(INDEX($W$2:$W$1001,MATCH(ROWS($V$2:V474),$V$2:$V$1001,0),1)&gt;=100000,INDEX($AC$1005:$AS$1005,1,MATCH(COLUMNS($AC$1006:AN1006),$AC$1006:$AS$1006,0))&gt;=100000), " ",IF(INDEX($AC$2:$AS$1001,MATCH(ROWS($V$2:V474),$V$2:$V$1001,0),MATCH(COLUMNS($AC$1006:AN1006),$AC$1006:$AS$1006,0)), HYPERLINK("#",""), HYPERLINK(CONCATENATE("#metadata!", ADDRESS(INDEX($X$2:$X$1001,MATCH(ROWS($V$2:V474),$V$2:$V$1001,0),0), INDEX($AC$1004:$AS$1004,1,MATCH(COLUMNS($AC$1006:AN1006),$AC$1006:$AS$1006,0)))),"Fix")))</f>
        <v xml:space="preserve"> </v>
      </c>
      <c r="N474" s="4" t="str">
        <f ca="1">IF(OR(INDEX($W$2:$W$1001,MATCH(ROWS($V$2:V474),$V$2:$V$1001,0),1)&gt;=100000,INDEX($AC$1005:$AS$1005,1,MATCH(COLUMNS($AC$1006:AO1006),$AC$1006:$AS$1006,0))&gt;=100000), " ",IF(INDEX($AC$2:$AS$1001,MATCH(ROWS($V$2:V474),$V$2:$V$1001,0),MATCH(COLUMNS($AC$1006:AO1006),$AC$1006:$AS$1006,0)), HYPERLINK("#",""), HYPERLINK(CONCATENATE("#metadata!", ADDRESS(INDEX($X$2:$X$1001,MATCH(ROWS($V$2:V474),$V$2:$V$1001,0),0), INDEX($AC$1004:$AS$1004,1,MATCH(COLUMNS($AC$1006:AO1006),$AC$1006:$AS$1006,0)))),"Fix")))</f>
        <v xml:space="preserve"> </v>
      </c>
      <c r="O474" s="4" t="str">
        <f ca="1">IF(OR(INDEX($W$2:$W$1001,MATCH(ROWS($V$2:V474),$V$2:$V$1001,0),1)&gt;=100000,INDEX($AC$1005:$AS$1005,1,MATCH(COLUMNS($AC$1006:AP1006),$AC$1006:$AS$1006,0))&gt;=100000), " ",IF(INDEX($AC$2:$AS$1001,MATCH(ROWS($V$2:V474),$V$2:$V$1001,0),MATCH(COLUMNS($AC$1006:AP1006),$AC$1006:$AS$1006,0)), HYPERLINK("#",""), HYPERLINK(CONCATENATE("#metadata!", ADDRESS(INDEX($X$2:$X$1001,MATCH(ROWS($V$2:V474),$V$2:$V$1001,0),0), INDEX($AC$1004:$AS$1004,1,MATCH(COLUMNS($AC$1006:AP1006),$AC$1006:$AS$1006,0)))),"Fix")))</f>
        <v xml:space="preserve"> </v>
      </c>
      <c r="P474" s="4" t="str">
        <f ca="1">IF(OR(INDEX($W$2:$W$1001,MATCH(ROWS($V$2:V474),$V$2:$V$1001,0),1)&gt;=100000,INDEX($AC$1005:$AS$1005,1,MATCH(COLUMNS($AC$1006:AQ1006),$AC$1006:$AS$1006,0))&gt;=100000), " ",IF(INDEX($AC$2:$AS$1001,MATCH(ROWS($V$2:V474),$V$2:$V$1001,0),MATCH(COLUMNS($AC$1006:AQ1006),$AC$1006:$AS$1006,0)), HYPERLINK("#",""), HYPERLINK(CONCATENATE("#metadata!", ADDRESS(INDEX($X$2:$X$1001,MATCH(ROWS($V$2:V474),$V$2:$V$1001,0),0), INDEX($AC$1004:$AS$1004,1,MATCH(COLUMNS($AC$1006:AQ1006),$AC$1006:$AS$1006,0)))),"Fix")))</f>
        <v xml:space="preserve"> </v>
      </c>
      <c r="Q474" s="4" t="str">
        <f ca="1">IF(OR(INDEX($W$2:$W$1001,MATCH(ROWS($V$2:V474),$V$2:$V$1001,0),1)&gt;=100000,INDEX($AC$1005:$AS$1005,1,MATCH(COLUMNS($AC$1006:AR1006),$AC$1006:$AS$1006,0))&gt;=100000), " ",IF(INDEX($AC$2:$AS$1001,MATCH(ROWS($V$2:V474),$V$2:$V$1001,0),MATCH(COLUMNS($AC$1006:AR1006),$AC$1006:$AS$1006,0)), HYPERLINK("#",""), HYPERLINK(CONCATENATE("#metadata!", ADDRESS(INDEX($X$2:$X$1001,MATCH(ROWS($V$2:V474),$V$2:$V$1001,0),0), INDEX($AC$1004:$AS$1004,1,MATCH(COLUMNS($AC$1006:AR1006),$AC$1006:$AS$1006,0)))),"Fix")))</f>
        <v xml:space="preserve"> </v>
      </c>
      <c r="R474" s="4" t="str">
        <f ca="1">IF(OR(INDEX($W$2:$W$1001,MATCH(ROWS($V$2:V474),$V$2:$V$1001,0),1)&gt;=100000,INDEX($AC$1005:$AS$1005,1,MATCH(COLUMNS($AC$1006:AS1006),$AC$1006:$AS$1006,0))&gt;=100000), " ",IF(INDEX($AC$2:$AS$1001,MATCH(ROWS($V$2:V474),$V$2:$V$1001,0),MATCH(COLUMNS($AC$1006:AS1006),$AC$1006:$AS$1006,0)), HYPERLINK("#",""), HYPERLINK(CONCATENATE("#metadata!", ADDRESS(INDEX($X$2:$X$1001,MATCH(ROWS($V$2:V474),$V$2:$V$1001,0),0), INDEX($AC$1004:$AS$1004,1,MATCH(COLUMNS($AC$1006:AS1006),$AC$1006:$AS$1006,0)))),"Fix")))</f>
        <v xml:space="preserve"> </v>
      </c>
      <c r="V474">
        <v>473</v>
      </c>
      <c r="W474">
        <v>100474</v>
      </c>
      <c r="X474">
        <v>474</v>
      </c>
      <c r="Y474" t="b">
        <f t="shared" si="7"/>
        <v>1</v>
      </c>
      <c r="Z474" t="b">
        <f>COUNTBLANK(metadata!B474:R474)=COLUMNS(metadata!B474:R474)</f>
        <v>1</v>
      </c>
      <c r="AA474" t="str">
        <v/>
      </c>
      <c r="AC474" t="b">
        <f ca="1"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AD474" t="b">
        <f>IF(metadata!C474="",FALSE,ISNUMBER(VALUE(metadata!C474)))</f>
        <v>0</v>
      </c>
      <c r="AE474" t="b">
        <f>AND(IF(metadata!D474="",FALSE,TRUE),EXACT(metadata!D474,"years"))</f>
        <v>0</v>
      </c>
      <c r="AF474" t="b">
        <f>OR(AND(IF(metadata!E474="",FALSE,TRUE),OR(EXACT(metadata!E474,"not applicable"),EXACT(metadata!E474,"missing: not collected"),EXACT(metadata!E474,"missing: not provided"),EXACT(metadata!E474,"missing: restricted access"))),AND(IF(metadata!E474="",FALSE,ISNUMBER(VALUE(metadata!E474))),metadata!E474&gt;0))</f>
        <v>0</v>
      </c>
      <c r="AG474" t="b">
        <f>AND(IF(metadata!F474="",FALSE,TRUE),EXACT(metadata!F474,"Not applicable"))</f>
        <v>0</v>
      </c>
      <c r="AH474" t="b">
        <f>AND(IF(metadata!G474="",FALSE,TRUE),EXACT(metadata!G474,"urban biome"))</f>
        <v>0</v>
      </c>
      <c r="AI474" t="b">
        <f>AND(IF(metadata!H474="",FALSE,TRUE),EXACT(metadata!H474,"human-associated habitat"))</f>
        <v>0</v>
      </c>
      <c r="AJ474" t="b">
        <f>AND(IF(metadata!I474="",FALSE,TRUE),OR(EXACT(metadata!I474,"human-associated"),EXACT(metadata!I474,"human-skin"),EXACT(metadata!I474,"human-oral"),EXACT(metadata!I474,"human-gut"),EXACT(metadata!I474,"human-vaginal")))</f>
        <v>0</v>
      </c>
      <c r="AK474" t="b">
        <f>IF(metadata!J474="",FALSE,ISNUMBER(VALUE(metadata!J474)))</f>
        <v>0</v>
      </c>
      <c r="AL474" t="b">
        <f>AND(IF(metadata!K474="",FALSE,TRUE),EXACT(metadata!K474,"cm"))</f>
        <v>0</v>
      </c>
      <c r="AM474" t="b">
        <f>AND(IF(metadata!L474="",FALSE,TRUE),EXACT(metadata!L474,"human"))</f>
        <v>0</v>
      </c>
      <c r="AN474" t="b">
        <f>AND(IF(metadata!M474="",FALSE,TRUE),EXACT(metadata!M474,"Homo sapiens"))</f>
        <v>0</v>
      </c>
      <c r="AO474" t="b">
        <f>AND(IF(metadata!N474="",FALSE,TRUE),EXACT(metadata!N474,"9606"))</f>
        <v>0</v>
      </c>
      <c r="AP474" t="b">
        <f>IF(metadata!O474="",FALSE,TRUE)</f>
        <v>0</v>
      </c>
      <c r="AQ474" t="b">
        <f>IF(metadata!P474="",FALSE,TRUE)</f>
        <v>0</v>
      </c>
      <c r="AR474" t="b">
        <f>IF(metadata!Q474="",FALSE,ISNUMBER(VALUE(metadata!Q474)))</f>
        <v>0</v>
      </c>
      <c r="AS474" t="b">
        <f>AND(IF(metadata!R474="",FALSE,TRUE),EXACT(metadata!R474,"kg"))</f>
        <v>0</v>
      </c>
    </row>
    <row r="475" spans="1:45" x14ac:dyDescent="0.2">
      <c r="A475" s="5" t="str">
        <f ca="1">IF(B475=" "," ",HYPERLINK(CONCATENATE("#metadata!",ADDRESS(INDEX($X$2:$X$1001,MATCH(ROWS($V$2:V475),$V$2:$V$1001,0),0),1)),INDEX($AA$2:$AA$1001,MATCH(ROWS($V$2:V475),$V$2:$V$1001,0),0)))</f>
        <v xml:space="preserve"> </v>
      </c>
      <c r="B475" s="4" t="str">
        <f ca="1">IF(OR(INDEX($W$2:$W$1001,MATCH(ROWS($V$2:V475),$V$2:$V$1001,0),1)&gt;=100000,INDEX($AC$1005:$AS$1005,1,MATCH(COLUMNS($AC$1006:AC1006),$AC$1006:$AS$1006,0))&gt;=100000), " ",IF(INDEX($AC$2:$AS$1001,MATCH(ROWS($V$2:V475),$V$2:$V$1001,0),MATCH(COLUMNS($AC$1006:AC1006),$AC$1006:$AS$1006,0)), HYPERLINK("#",""), HYPERLINK(CONCATENATE("#metadata!", ADDRESS(INDEX($X$2:$X$1001,MATCH(ROWS($V$2:V475),$V$2:$V$1001,0),0), INDEX($AC$1004:$AS$1004,1,MATCH(COLUMNS($AC$1006:AC1006),$AC$1006:$AS$1006,0)))),"Fix")))</f>
        <v xml:space="preserve"> </v>
      </c>
      <c r="C475" s="4" t="str">
        <f ca="1">IF(OR(INDEX($W$2:$W$1001,MATCH(ROWS($V$2:V475),$V$2:$V$1001,0),1)&gt;=100000,INDEX($AC$1005:$AS$1005,1,MATCH(COLUMNS($AC$1006:AD1006),$AC$1006:$AS$1006,0))&gt;=100000), " ",IF(INDEX($AC$2:$AS$1001,MATCH(ROWS($V$2:V475),$V$2:$V$1001,0),MATCH(COLUMNS($AC$1006:AD1006),$AC$1006:$AS$1006,0)), HYPERLINK("#",""), HYPERLINK(CONCATENATE("#metadata!", ADDRESS(INDEX($X$2:$X$1001,MATCH(ROWS($V$2:V475),$V$2:$V$1001,0),0), INDEX($AC$1004:$AS$1004,1,MATCH(COLUMNS($AC$1006:AD1006),$AC$1006:$AS$1006,0)))),"Fix")))</f>
        <v xml:space="preserve"> </v>
      </c>
      <c r="D475" s="4" t="str">
        <f ca="1">IF(OR(INDEX($W$2:$W$1001,MATCH(ROWS($V$2:V475),$V$2:$V$1001,0),1)&gt;=100000,INDEX($AC$1005:$AS$1005,1,MATCH(COLUMNS($AC$1006:AE1006),$AC$1006:$AS$1006,0))&gt;=100000), " ",IF(INDEX($AC$2:$AS$1001,MATCH(ROWS($V$2:V475),$V$2:$V$1001,0),MATCH(COLUMNS($AC$1006:AE1006),$AC$1006:$AS$1006,0)), HYPERLINK("#",""), HYPERLINK(CONCATENATE("#metadata!", ADDRESS(INDEX($X$2:$X$1001,MATCH(ROWS($V$2:V475),$V$2:$V$1001,0),0), INDEX($AC$1004:$AS$1004,1,MATCH(COLUMNS($AC$1006:AE1006),$AC$1006:$AS$1006,0)))),"Fix")))</f>
        <v xml:space="preserve"> </v>
      </c>
      <c r="E475" s="4" t="str">
        <f ca="1">IF(OR(INDEX($W$2:$W$1001,MATCH(ROWS($V$2:V475),$V$2:$V$1001,0),1)&gt;=100000,INDEX($AC$1005:$AS$1005,1,MATCH(COLUMNS($AC$1006:AF1006),$AC$1006:$AS$1006,0))&gt;=100000), " ",IF(INDEX($AC$2:$AS$1001,MATCH(ROWS($V$2:V475),$V$2:$V$1001,0),MATCH(COLUMNS($AC$1006:AF1006),$AC$1006:$AS$1006,0)), HYPERLINK("#",""), HYPERLINK(CONCATENATE("#metadata!", ADDRESS(INDEX($X$2:$X$1001,MATCH(ROWS($V$2:V475),$V$2:$V$1001,0),0), INDEX($AC$1004:$AS$1004,1,MATCH(COLUMNS($AC$1006:AF1006),$AC$1006:$AS$1006,0)))),"Fix")))</f>
        <v xml:space="preserve"> </v>
      </c>
      <c r="F475" s="4" t="str">
        <f ca="1">IF(OR(INDEX($W$2:$W$1001,MATCH(ROWS($V$2:V475),$V$2:$V$1001,0),1)&gt;=100000,INDEX($AC$1005:$AS$1005,1,MATCH(COLUMNS($AC$1006:AG1006),$AC$1006:$AS$1006,0))&gt;=100000), " ",IF(INDEX($AC$2:$AS$1001,MATCH(ROWS($V$2:V475),$V$2:$V$1001,0),MATCH(COLUMNS($AC$1006:AG1006),$AC$1006:$AS$1006,0)), HYPERLINK("#",""), HYPERLINK(CONCATENATE("#metadata!", ADDRESS(INDEX($X$2:$X$1001,MATCH(ROWS($V$2:V475),$V$2:$V$1001,0),0), INDEX($AC$1004:$AS$1004,1,MATCH(COLUMNS($AC$1006:AG1006),$AC$1006:$AS$1006,0)))),"Fix")))</f>
        <v xml:space="preserve"> </v>
      </c>
      <c r="G475" s="4" t="str">
        <f ca="1">IF(OR(INDEX($W$2:$W$1001,MATCH(ROWS($V$2:V475),$V$2:$V$1001,0),1)&gt;=100000,INDEX($AC$1005:$AS$1005,1,MATCH(COLUMNS($AC$1006:AH1006),$AC$1006:$AS$1006,0))&gt;=100000), " ",IF(INDEX($AC$2:$AS$1001,MATCH(ROWS($V$2:V475),$V$2:$V$1001,0),MATCH(COLUMNS($AC$1006:AH1006),$AC$1006:$AS$1006,0)), HYPERLINK("#",""), HYPERLINK(CONCATENATE("#metadata!", ADDRESS(INDEX($X$2:$X$1001,MATCH(ROWS($V$2:V475),$V$2:$V$1001,0),0), INDEX($AC$1004:$AS$1004,1,MATCH(COLUMNS($AC$1006:AH1006),$AC$1006:$AS$1006,0)))),"Fix")))</f>
        <v xml:space="preserve"> </v>
      </c>
      <c r="H475" s="4" t="str">
        <f ca="1">IF(OR(INDEX($W$2:$W$1001,MATCH(ROWS($V$2:V475),$V$2:$V$1001,0),1)&gt;=100000,INDEX($AC$1005:$AS$1005,1,MATCH(COLUMNS($AC$1006:AI1006),$AC$1006:$AS$1006,0))&gt;=100000), " ",IF(INDEX($AC$2:$AS$1001,MATCH(ROWS($V$2:V475),$V$2:$V$1001,0),MATCH(COLUMNS($AC$1006:AI1006),$AC$1006:$AS$1006,0)), HYPERLINK("#",""), HYPERLINK(CONCATENATE("#metadata!", ADDRESS(INDEX($X$2:$X$1001,MATCH(ROWS($V$2:V475),$V$2:$V$1001,0),0), INDEX($AC$1004:$AS$1004,1,MATCH(COLUMNS($AC$1006:AI1006),$AC$1006:$AS$1006,0)))),"Fix")))</f>
        <v xml:space="preserve"> </v>
      </c>
      <c r="I475" s="4" t="str">
        <f ca="1">IF(OR(INDEX($W$2:$W$1001,MATCH(ROWS($V$2:V475),$V$2:$V$1001,0),1)&gt;=100000,INDEX($AC$1005:$AS$1005,1,MATCH(COLUMNS($AC$1006:AJ1006),$AC$1006:$AS$1006,0))&gt;=100000), " ",IF(INDEX($AC$2:$AS$1001,MATCH(ROWS($V$2:V475),$V$2:$V$1001,0),MATCH(COLUMNS($AC$1006:AJ1006),$AC$1006:$AS$1006,0)), HYPERLINK("#",""), HYPERLINK(CONCATENATE("#metadata!", ADDRESS(INDEX($X$2:$X$1001,MATCH(ROWS($V$2:V475),$V$2:$V$1001,0),0), INDEX($AC$1004:$AS$1004,1,MATCH(COLUMNS($AC$1006:AJ1006),$AC$1006:$AS$1006,0)))),"Fix")))</f>
        <v xml:space="preserve"> </v>
      </c>
      <c r="J475" s="4" t="str">
        <f ca="1">IF(OR(INDEX($W$2:$W$1001,MATCH(ROWS($V$2:V475),$V$2:$V$1001,0),1)&gt;=100000,INDEX($AC$1005:$AS$1005,1,MATCH(COLUMNS($AC$1006:AK1006),$AC$1006:$AS$1006,0))&gt;=100000), " ",IF(INDEX($AC$2:$AS$1001,MATCH(ROWS($V$2:V475),$V$2:$V$1001,0),MATCH(COLUMNS($AC$1006:AK1006),$AC$1006:$AS$1006,0)), HYPERLINK("#",""), HYPERLINK(CONCATENATE("#metadata!", ADDRESS(INDEX($X$2:$X$1001,MATCH(ROWS($V$2:V475),$V$2:$V$1001,0),0), INDEX($AC$1004:$AS$1004,1,MATCH(COLUMNS($AC$1006:AK1006),$AC$1006:$AS$1006,0)))),"Fix")))</f>
        <v xml:space="preserve"> </v>
      </c>
      <c r="K475" s="4" t="str">
        <f ca="1">IF(OR(INDEX($W$2:$W$1001,MATCH(ROWS($V$2:V475),$V$2:$V$1001,0),1)&gt;=100000,INDEX($AC$1005:$AS$1005,1,MATCH(COLUMNS($AC$1006:AL1006),$AC$1006:$AS$1006,0))&gt;=100000), " ",IF(INDEX($AC$2:$AS$1001,MATCH(ROWS($V$2:V475),$V$2:$V$1001,0),MATCH(COLUMNS($AC$1006:AL1006),$AC$1006:$AS$1006,0)), HYPERLINK("#",""), HYPERLINK(CONCATENATE("#metadata!", ADDRESS(INDEX($X$2:$X$1001,MATCH(ROWS($V$2:V475),$V$2:$V$1001,0),0), INDEX($AC$1004:$AS$1004,1,MATCH(COLUMNS($AC$1006:AL1006),$AC$1006:$AS$1006,0)))),"Fix")))</f>
        <v xml:space="preserve"> </v>
      </c>
      <c r="L475" s="4" t="str">
        <f ca="1">IF(OR(INDEX($W$2:$W$1001,MATCH(ROWS($V$2:V475),$V$2:$V$1001,0),1)&gt;=100000,INDEX($AC$1005:$AS$1005,1,MATCH(COLUMNS($AC$1006:AM1006),$AC$1006:$AS$1006,0))&gt;=100000), " ",IF(INDEX($AC$2:$AS$1001,MATCH(ROWS($V$2:V475),$V$2:$V$1001,0),MATCH(COLUMNS($AC$1006:AM1006),$AC$1006:$AS$1006,0)), HYPERLINK("#",""), HYPERLINK(CONCATENATE("#metadata!", ADDRESS(INDEX($X$2:$X$1001,MATCH(ROWS($V$2:V475),$V$2:$V$1001,0),0), INDEX($AC$1004:$AS$1004,1,MATCH(COLUMNS($AC$1006:AM1006),$AC$1006:$AS$1006,0)))),"Fix")))</f>
        <v xml:space="preserve"> </v>
      </c>
      <c r="M475" s="4" t="str">
        <f ca="1">IF(OR(INDEX($W$2:$W$1001,MATCH(ROWS($V$2:V475),$V$2:$V$1001,0),1)&gt;=100000,INDEX($AC$1005:$AS$1005,1,MATCH(COLUMNS($AC$1006:AN1006),$AC$1006:$AS$1006,0))&gt;=100000), " ",IF(INDEX($AC$2:$AS$1001,MATCH(ROWS($V$2:V475),$V$2:$V$1001,0),MATCH(COLUMNS($AC$1006:AN1006),$AC$1006:$AS$1006,0)), HYPERLINK("#",""), HYPERLINK(CONCATENATE("#metadata!", ADDRESS(INDEX($X$2:$X$1001,MATCH(ROWS($V$2:V475),$V$2:$V$1001,0),0), INDEX($AC$1004:$AS$1004,1,MATCH(COLUMNS($AC$1006:AN1006),$AC$1006:$AS$1006,0)))),"Fix")))</f>
        <v xml:space="preserve"> </v>
      </c>
      <c r="N475" s="4" t="str">
        <f ca="1">IF(OR(INDEX($W$2:$W$1001,MATCH(ROWS($V$2:V475),$V$2:$V$1001,0),1)&gt;=100000,INDEX($AC$1005:$AS$1005,1,MATCH(COLUMNS($AC$1006:AO1006),$AC$1006:$AS$1006,0))&gt;=100000), " ",IF(INDEX($AC$2:$AS$1001,MATCH(ROWS($V$2:V475),$V$2:$V$1001,0),MATCH(COLUMNS($AC$1006:AO1006),$AC$1006:$AS$1006,0)), HYPERLINK("#",""), HYPERLINK(CONCATENATE("#metadata!", ADDRESS(INDEX($X$2:$X$1001,MATCH(ROWS($V$2:V475),$V$2:$V$1001,0),0), INDEX($AC$1004:$AS$1004,1,MATCH(COLUMNS($AC$1006:AO1006),$AC$1006:$AS$1006,0)))),"Fix")))</f>
        <v xml:space="preserve"> </v>
      </c>
      <c r="O475" s="4" t="str">
        <f ca="1">IF(OR(INDEX($W$2:$W$1001,MATCH(ROWS($V$2:V475),$V$2:$V$1001,0),1)&gt;=100000,INDEX($AC$1005:$AS$1005,1,MATCH(COLUMNS($AC$1006:AP1006),$AC$1006:$AS$1006,0))&gt;=100000), " ",IF(INDEX($AC$2:$AS$1001,MATCH(ROWS($V$2:V475),$V$2:$V$1001,0),MATCH(COLUMNS($AC$1006:AP1006),$AC$1006:$AS$1006,0)), HYPERLINK("#",""), HYPERLINK(CONCATENATE("#metadata!", ADDRESS(INDEX($X$2:$X$1001,MATCH(ROWS($V$2:V475),$V$2:$V$1001,0),0), INDEX($AC$1004:$AS$1004,1,MATCH(COLUMNS($AC$1006:AP1006),$AC$1006:$AS$1006,0)))),"Fix")))</f>
        <v xml:space="preserve"> </v>
      </c>
      <c r="P475" s="4" t="str">
        <f ca="1">IF(OR(INDEX($W$2:$W$1001,MATCH(ROWS($V$2:V475),$V$2:$V$1001,0),1)&gt;=100000,INDEX($AC$1005:$AS$1005,1,MATCH(COLUMNS($AC$1006:AQ1006),$AC$1006:$AS$1006,0))&gt;=100000), " ",IF(INDEX($AC$2:$AS$1001,MATCH(ROWS($V$2:V475),$V$2:$V$1001,0),MATCH(COLUMNS($AC$1006:AQ1006),$AC$1006:$AS$1006,0)), HYPERLINK("#",""), HYPERLINK(CONCATENATE("#metadata!", ADDRESS(INDEX($X$2:$X$1001,MATCH(ROWS($V$2:V475),$V$2:$V$1001,0),0), INDEX($AC$1004:$AS$1004,1,MATCH(COLUMNS($AC$1006:AQ1006),$AC$1006:$AS$1006,0)))),"Fix")))</f>
        <v xml:space="preserve"> </v>
      </c>
      <c r="Q475" s="4" t="str">
        <f ca="1">IF(OR(INDEX($W$2:$W$1001,MATCH(ROWS($V$2:V475),$V$2:$V$1001,0),1)&gt;=100000,INDEX($AC$1005:$AS$1005,1,MATCH(COLUMNS($AC$1006:AR1006),$AC$1006:$AS$1006,0))&gt;=100000), " ",IF(INDEX($AC$2:$AS$1001,MATCH(ROWS($V$2:V475),$V$2:$V$1001,0),MATCH(COLUMNS($AC$1006:AR1006),$AC$1006:$AS$1006,0)), HYPERLINK("#",""), HYPERLINK(CONCATENATE("#metadata!", ADDRESS(INDEX($X$2:$X$1001,MATCH(ROWS($V$2:V475),$V$2:$V$1001,0),0), INDEX($AC$1004:$AS$1004,1,MATCH(COLUMNS($AC$1006:AR1006),$AC$1006:$AS$1006,0)))),"Fix")))</f>
        <v xml:space="preserve"> </v>
      </c>
      <c r="R475" s="4" t="str">
        <f ca="1">IF(OR(INDEX($W$2:$W$1001,MATCH(ROWS($V$2:V475),$V$2:$V$1001,0),1)&gt;=100000,INDEX($AC$1005:$AS$1005,1,MATCH(COLUMNS($AC$1006:AS1006),$AC$1006:$AS$1006,0))&gt;=100000), " ",IF(INDEX($AC$2:$AS$1001,MATCH(ROWS($V$2:V475),$V$2:$V$1001,0),MATCH(COLUMNS($AC$1006:AS1006),$AC$1006:$AS$1006,0)), HYPERLINK("#",""), HYPERLINK(CONCATENATE("#metadata!", ADDRESS(INDEX($X$2:$X$1001,MATCH(ROWS($V$2:V475),$V$2:$V$1001,0),0), INDEX($AC$1004:$AS$1004,1,MATCH(COLUMNS($AC$1006:AS1006),$AC$1006:$AS$1006,0)))),"Fix")))</f>
        <v xml:space="preserve"> </v>
      </c>
      <c r="V475">
        <v>474</v>
      </c>
      <c r="W475">
        <v>100475</v>
      </c>
      <c r="X475">
        <v>475</v>
      </c>
      <c r="Y475" t="b">
        <f t="shared" si="7"/>
        <v>1</v>
      </c>
      <c r="Z475" t="b">
        <f>COUNTBLANK(metadata!B475:R475)=COLUMNS(metadata!B475:R475)</f>
        <v>1</v>
      </c>
      <c r="AA475" t="str">
        <v/>
      </c>
      <c r="AC475" t="b">
        <f ca="1"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AD475" t="b">
        <f>IF(metadata!C475="",FALSE,ISNUMBER(VALUE(metadata!C475)))</f>
        <v>0</v>
      </c>
      <c r="AE475" t="b">
        <f>AND(IF(metadata!D475="",FALSE,TRUE),EXACT(metadata!D475,"years"))</f>
        <v>0</v>
      </c>
      <c r="AF475" t="b">
        <f>OR(AND(IF(metadata!E475="",FALSE,TRUE),OR(EXACT(metadata!E475,"not applicable"),EXACT(metadata!E475,"missing: not collected"),EXACT(metadata!E475,"missing: not provided"),EXACT(metadata!E475,"missing: restricted access"))),AND(IF(metadata!E475="",FALSE,ISNUMBER(VALUE(metadata!E475))),metadata!E475&gt;0))</f>
        <v>0</v>
      </c>
      <c r="AG475" t="b">
        <f>AND(IF(metadata!F475="",FALSE,TRUE),EXACT(metadata!F475,"Not applicable"))</f>
        <v>0</v>
      </c>
      <c r="AH475" t="b">
        <f>AND(IF(metadata!G475="",FALSE,TRUE),EXACT(metadata!G475,"urban biome"))</f>
        <v>0</v>
      </c>
      <c r="AI475" t="b">
        <f>AND(IF(metadata!H475="",FALSE,TRUE),EXACT(metadata!H475,"human-associated habitat"))</f>
        <v>0</v>
      </c>
      <c r="AJ475" t="b">
        <f>AND(IF(metadata!I475="",FALSE,TRUE),OR(EXACT(metadata!I475,"human-associated"),EXACT(metadata!I475,"human-skin"),EXACT(metadata!I475,"human-oral"),EXACT(metadata!I475,"human-gut"),EXACT(metadata!I475,"human-vaginal")))</f>
        <v>0</v>
      </c>
      <c r="AK475" t="b">
        <f>IF(metadata!J475="",FALSE,ISNUMBER(VALUE(metadata!J475)))</f>
        <v>0</v>
      </c>
      <c r="AL475" t="b">
        <f>AND(IF(metadata!K475="",FALSE,TRUE),EXACT(metadata!K475,"cm"))</f>
        <v>0</v>
      </c>
      <c r="AM475" t="b">
        <f>AND(IF(metadata!L475="",FALSE,TRUE),EXACT(metadata!L475,"human"))</f>
        <v>0</v>
      </c>
      <c r="AN475" t="b">
        <f>AND(IF(metadata!M475="",FALSE,TRUE),EXACT(metadata!M475,"Homo sapiens"))</f>
        <v>0</v>
      </c>
      <c r="AO475" t="b">
        <f>AND(IF(metadata!N475="",FALSE,TRUE),EXACT(metadata!N475,"9606"))</f>
        <v>0</v>
      </c>
      <c r="AP475" t="b">
        <f>IF(metadata!O475="",FALSE,TRUE)</f>
        <v>0</v>
      </c>
      <c r="AQ475" t="b">
        <f>IF(metadata!P475="",FALSE,TRUE)</f>
        <v>0</v>
      </c>
      <c r="AR475" t="b">
        <f>IF(metadata!Q475="",FALSE,ISNUMBER(VALUE(metadata!Q475)))</f>
        <v>0</v>
      </c>
      <c r="AS475" t="b">
        <f>AND(IF(metadata!R475="",FALSE,TRUE),EXACT(metadata!R475,"kg"))</f>
        <v>0</v>
      </c>
    </row>
    <row r="476" spans="1:45" x14ac:dyDescent="0.2">
      <c r="A476" s="5" t="str">
        <f ca="1">IF(B476=" "," ",HYPERLINK(CONCATENATE("#metadata!",ADDRESS(INDEX($X$2:$X$1001,MATCH(ROWS($V$2:V476),$V$2:$V$1001,0),0),1)),INDEX($AA$2:$AA$1001,MATCH(ROWS($V$2:V476),$V$2:$V$1001,0),0)))</f>
        <v xml:space="preserve"> </v>
      </c>
      <c r="B476" s="4" t="str">
        <f ca="1">IF(OR(INDEX($W$2:$W$1001,MATCH(ROWS($V$2:V476),$V$2:$V$1001,0),1)&gt;=100000,INDEX($AC$1005:$AS$1005,1,MATCH(COLUMNS($AC$1006:AC1006),$AC$1006:$AS$1006,0))&gt;=100000), " ",IF(INDEX($AC$2:$AS$1001,MATCH(ROWS($V$2:V476),$V$2:$V$1001,0),MATCH(COLUMNS($AC$1006:AC1006),$AC$1006:$AS$1006,0)), HYPERLINK("#",""), HYPERLINK(CONCATENATE("#metadata!", ADDRESS(INDEX($X$2:$X$1001,MATCH(ROWS($V$2:V476),$V$2:$V$1001,0),0), INDEX($AC$1004:$AS$1004,1,MATCH(COLUMNS($AC$1006:AC1006),$AC$1006:$AS$1006,0)))),"Fix")))</f>
        <v xml:space="preserve"> </v>
      </c>
      <c r="C476" s="4" t="str">
        <f ca="1">IF(OR(INDEX($W$2:$W$1001,MATCH(ROWS($V$2:V476),$V$2:$V$1001,0),1)&gt;=100000,INDEX($AC$1005:$AS$1005,1,MATCH(COLUMNS($AC$1006:AD1006),$AC$1006:$AS$1006,0))&gt;=100000), " ",IF(INDEX($AC$2:$AS$1001,MATCH(ROWS($V$2:V476),$V$2:$V$1001,0),MATCH(COLUMNS($AC$1006:AD1006),$AC$1006:$AS$1006,0)), HYPERLINK("#",""), HYPERLINK(CONCATENATE("#metadata!", ADDRESS(INDEX($X$2:$X$1001,MATCH(ROWS($V$2:V476),$V$2:$V$1001,0),0), INDEX($AC$1004:$AS$1004,1,MATCH(COLUMNS($AC$1006:AD1006),$AC$1006:$AS$1006,0)))),"Fix")))</f>
        <v xml:space="preserve"> </v>
      </c>
      <c r="D476" s="4" t="str">
        <f ca="1">IF(OR(INDEX($W$2:$W$1001,MATCH(ROWS($V$2:V476),$V$2:$V$1001,0),1)&gt;=100000,INDEX($AC$1005:$AS$1005,1,MATCH(COLUMNS($AC$1006:AE1006),$AC$1006:$AS$1006,0))&gt;=100000), " ",IF(INDEX($AC$2:$AS$1001,MATCH(ROWS($V$2:V476),$V$2:$V$1001,0),MATCH(COLUMNS($AC$1006:AE1006),$AC$1006:$AS$1006,0)), HYPERLINK("#",""), HYPERLINK(CONCATENATE("#metadata!", ADDRESS(INDEX($X$2:$X$1001,MATCH(ROWS($V$2:V476),$V$2:$V$1001,0),0), INDEX($AC$1004:$AS$1004,1,MATCH(COLUMNS($AC$1006:AE1006),$AC$1006:$AS$1006,0)))),"Fix")))</f>
        <v xml:space="preserve"> </v>
      </c>
      <c r="E476" s="4" t="str">
        <f ca="1">IF(OR(INDEX($W$2:$W$1001,MATCH(ROWS($V$2:V476),$V$2:$V$1001,0),1)&gt;=100000,INDEX($AC$1005:$AS$1005,1,MATCH(COLUMNS($AC$1006:AF1006),$AC$1006:$AS$1006,0))&gt;=100000), " ",IF(INDEX($AC$2:$AS$1001,MATCH(ROWS($V$2:V476),$V$2:$V$1001,0),MATCH(COLUMNS($AC$1006:AF1006),$AC$1006:$AS$1006,0)), HYPERLINK("#",""), HYPERLINK(CONCATENATE("#metadata!", ADDRESS(INDEX($X$2:$X$1001,MATCH(ROWS($V$2:V476),$V$2:$V$1001,0),0), INDEX($AC$1004:$AS$1004,1,MATCH(COLUMNS($AC$1006:AF1006),$AC$1006:$AS$1006,0)))),"Fix")))</f>
        <v xml:space="preserve"> </v>
      </c>
      <c r="F476" s="4" t="str">
        <f ca="1">IF(OR(INDEX($W$2:$W$1001,MATCH(ROWS($V$2:V476),$V$2:$V$1001,0),1)&gt;=100000,INDEX($AC$1005:$AS$1005,1,MATCH(COLUMNS($AC$1006:AG1006),$AC$1006:$AS$1006,0))&gt;=100000), " ",IF(INDEX($AC$2:$AS$1001,MATCH(ROWS($V$2:V476),$V$2:$V$1001,0),MATCH(COLUMNS($AC$1006:AG1006),$AC$1006:$AS$1006,0)), HYPERLINK("#",""), HYPERLINK(CONCATENATE("#metadata!", ADDRESS(INDEX($X$2:$X$1001,MATCH(ROWS($V$2:V476),$V$2:$V$1001,0),0), INDEX($AC$1004:$AS$1004,1,MATCH(COLUMNS($AC$1006:AG1006),$AC$1006:$AS$1006,0)))),"Fix")))</f>
        <v xml:space="preserve"> </v>
      </c>
      <c r="G476" s="4" t="str">
        <f ca="1">IF(OR(INDEX($W$2:$W$1001,MATCH(ROWS($V$2:V476),$V$2:$V$1001,0),1)&gt;=100000,INDEX($AC$1005:$AS$1005,1,MATCH(COLUMNS($AC$1006:AH1006),$AC$1006:$AS$1006,0))&gt;=100000), " ",IF(INDEX($AC$2:$AS$1001,MATCH(ROWS($V$2:V476),$V$2:$V$1001,0),MATCH(COLUMNS($AC$1006:AH1006),$AC$1006:$AS$1006,0)), HYPERLINK("#",""), HYPERLINK(CONCATENATE("#metadata!", ADDRESS(INDEX($X$2:$X$1001,MATCH(ROWS($V$2:V476),$V$2:$V$1001,0),0), INDEX($AC$1004:$AS$1004,1,MATCH(COLUMNS($AC$1006:AH1006),$AC$1006:$AS$1006,0)))),"Fix")))</f>
        <v xml:space="preserve"> </v>
      </c>
      <c r="H476" s="4" t="str">
        <f ca="1">IF(OR(INDEX($W$2:$W$1001,MATCH(ROWS($V$2:V476),$V$2:$V$1001,0),1)&gt;=100000,INDEX($AC$1005:$AS$1005,1,MATCH(COLUMNS($AC$1006:AI1006),$AC$1006:$AS$1006,0))&gt;=100000), " ",IF(INDEX($AC$2:$AS$1001,MATCH(ROWS($V$2:V476),$V$2:$V$1001,0),MATCH(COLUMNS($AC$1006:AI1006),$AC$1006:$AS$1006,0)), HYPERLINK("#",""), HYPERLINK(CONCATENATE("#metadata!", ADDRESS(INDEX($X$2:$X$1001,MATCH(ROWS($V$2:V476),$V$2:$V$1001,0),0), INDEX($AC$1004:$AS$1004,1,MATCH(COLUMNS($AC$1006:AI1006),$AC$1006:$AS$1006,0)))),"Fix")))</f>
        <v xml:space="preserve"> </v>
      </c>
      <c r="I476" s="4" t="str">
        <f ca="1">IF(OR(INDEX($W$2:$W$1001,MATCH(ROWS($V$2:V476),$V$2:$V$1001,0),1)&gt;=100000,INDEX($AC$1005:$AS$1005,1,MATCH(COLUMNS($AC$1006:AJ1006),$AC$1006:$AS$1006,0))&gt;=100000), " ",IF(INDEX($AC$2:$AS$1001,MATCH(ROWS($V$2:V476),$V$2:$V$1001,0),MATCH(COLUMNS($AC$1006:AJ1006),$AC$1006:$AS$1006,0)), HYPERLINK("#",""), HYPERLINK(CONCATENATE("#metadata!", ADDRESS(INDEX($X$2:$X$1001,MATCH(ROWS($V$2:V476),$V$2:$V$1001,0),0), INDEX($AC$1004:$AS$1004,1,MATCH(COLUMNS($AC$1006:AJ1006),$AC$1006:$AS$1006,0)))),"Fix")))</f>
        <v xml:space="preserve"> </v>
      </c>
      <c r="J476" s="4" t="str">
        <f ca="1">IF(OR(INDEX($W$2:$W$1001,MATCH(ROWS($V$2:V476),$V$2:$V$1001,0),1)&gt;=100000,INDEX($AC$1005:$AS$1005,1,MATCH(COLUMNS($AC$1006:AK1006),$AC$1006:$AS$1006,0))&gt;=100000), " ",IF(INDEX($AC$2:$AS$1001,MATCH(ROWS($V$2:V476),$V$2:$V$1001,0),MATCH(COLUMNS($AC$1006:AK1006),$AC$1006:$AS$1006,0)), HYPERLINK("#",""), HYPERLINK(CONCATENATE("#metadata!", ADDRESS(INDEX($X$2:$X$1001,MATCH(ROWS($V$2:V476),$V$2:$V$1001,0),0), INDEX($AC$1004:$AS$1004,1,MATCH(COLUMNS($AC$1006:AK1006),$AC$1006:$AS$1006,0)))),"Fix")))</f>
        <v xml:space="preserve"> </v>
      </c>
      <c r="K476" s="4" t="str">
        <f ca="1">IF(OR(INDEX($W$2:$W$1001,MATCH(ROWS($V$2:V476),$V$2:$V$1001,0),1)&gt;=100000,INDEX($AC$1005:$AS$1005,1,MATCH(COLUMNS($AC$1006:AL1006),$AC$1006:$AS$1006,0))&gt;=100000), " ",IF(INDEX($AC$2:$AS$1001,MATCH(ROWS($V$2:V476),$V$2:$V$1001,0),MATCH(COLUMNS($AC$1006:AL1006),$AC$1006:$AS$1006,0)), HYPERLINK("#",""), HYPERLINK(CONCATENATE("#metadata!", ADDRESS(INDEX($X$2:$X$1001,MATCH(ROWS($V$2:V476),$V$2:$V$1001,0),0), INDEX($AC$1004:$AS$1004,1,MATCH(COLUMNS($AC$1006:AL1006),$AC$1006:$AS$1006,0)))),"Fix")))</f>
        <v xml:space="preserve"> </v>
      </c>
      <c r="L476" s="4" t="str">
        <f ca="1">IF(OR(INDEX($W$2:$W$1001,MATCH(ROWS($V$2:V476),$V$2:$V$1001,0),1)&gt;=100000,INDEX($AC$1005:$AS$1005,1,MATCH(COLUMNS($AC$1006:AM1006),$AC$1006:$AS$1006,0))&gt;=100000), " ",IF(INDEX($AC$2:$AS$1001,MATCH(ROWS($V$2:V476),$V$2:$V$1001,0),MATCH(COLUMNS($AC$1006:AM1006),$AC$1006:$AS$1006,0)), HYPERLINK("#",""), HYPERLINK(CONCATENATE("#metadata!", ADDRESS(INDEX($X$2:$X$1001,MATCH(ROWS($V$2:V476),$V$2:$V$1001,0),0), INDEX($AC$1004:$AS$1004,1,MATCH(COLUMNS($AC$1006:AM1006),$AC$1006:$AS$1006,0)))),"Fix")))</f>
        <v xml:space="preserve"> </v>
      </c>
      <c r="M476" s="4" t="str">
        <f ca="1">IF(OR(INDEX($W$2:$W$1001,MATCH(ROWS($V$2:V476),$V$2:$V$1001,0),1)&gt;=100000,INDEX($AC$1005:$AS$1005,1,MATCH(COLUMNS($AC$1006:AN1006),$AC$1006:$AS$1006,0))&gt;=100000), " ",IF(INDEX($AC$2:$AS$1001,MATCH(ROWS($V$2:V476),$V$2:$V$1001,0),MATCH(COLUMNS($AC$1006:AN1006),$AC$1006:$AS$1006,0)), HYPERLINK("#",""), HYPERLINK(CONCATENATE("#metadata!", ADDRESS(INDEX($X$2:$X$1001,MATCH(ROWS($V$2:V476),$V$2:$V$1001,0),0), INDEX($AC$1004:$AS$1004,1,MATCH(COLUMNS($AC$1006:AN1006),$AC$1006:$AS$1006,0)))),"Fix")))</f>
        <v xml:space="preserve"> </v>
      </c>
      <c r="N476" s="4" t="str">
        <f ca="1">IF(OR(INDEX($W$2:$W$1001,MATCH(ROWS($V$2:V476),$V$2:$V$1001,0),1)&gt;=100000,INDEX($AC$1005:$AS$1005,1,MATCH(COLUMNS($AC$1006:AO1006),$AC$1006:$AS$1006,0))&gt;=100000), " ",IF(INDEX($AC$2:$AS$1001,MATCH(ROWS($V$2:V476),$V$2:$V$1001,0),MATCH(COLUMNS($AC$1006:AO1006),$AC$1006:$AS$1006,0)), HYPERLINK("#",""), HYPERLINK(CONCATENATE("#metadata!", ADDRESS(INDEX($X$2:$X$1001,MATCH(ROWS($V$2:V476),$V$2:$V$1001,0),0), INDEX($AC$1004:$AS$1004,1,MATCH(COLUMNS($AC$1006:AO1006),$AC$1006:$AS$1006,0)))),"Fix")))</f>
        <v xml:space="preserve"> </v>
      </c>
      <c r="O476" s="4" t="str">
        <f ca="1">IF(OR(INDEX($W$2:$W$1001,MATCH(ROWS($V$2:V476),$V$2:$V$1001,0),1)&gt;=100000,INDEX($AC$1005:$AS$1005,1,MATCH(COLUMNS($AC$1006:AP1006),$AC$1006:$AS$1006,0))&gt;=100000), " ",IF(INDEX($AC$2:$AS$1001,MATCH(ROWS($V$2:V476),$V$2:$V$1001,0),MATCH(COLUMNS($AC$1006:AP1006),$AC$1006:$AS$1006,0)), HYPERLINK("#",""), HYPERLINK(CONCATENATE("#metadata!", ADDRESS(INDEX($X$2:$X$1001,MATCH(ROWS($V$2:V476),$V$2:$V$1001,0),0), INDEX($AC$1004:$AS$1004,1,MATCH(COLUMNS($AC$1006:AP1006),$AC$1006:$AS$1006,0)))),"Fix")))</f>
        <v xml:space="preserve"> </v>
      </c>
      <c r="P476" s="4" t="str">
        <f ca="1">IF(OR(INDEX($W$2:$W$1001,MATCH(ROWS($V$2:V476),$V$2:$V$1001,0),1)&gt;=100000,INDEX($AC$1005:$AS$1005,1,MATCH(COLUMNS($AC$1006:AQ1006),$AC$1006:$AS$1006,0))&gt;=100000), " ",IF(INDEX($AC$2:$AS$1001,MATCH(ROWS($V$2:V476),$V$2:$V$1001,0),MATCH(COLUMNS($AC$1006:AQ1006),$AC$1006:$AS$1006,0)), HYPERLINK("#",""), HYPERLINK(CONCATENATE("#metadata!", ADDRESS(INDEX($X$2:$X$1001,MATCH(ROWS($V$2:V476),$V$2:$V$1001,0),0), INDEX($AC$1004:$AS$1004,1,MATCH(COLUMNS($AC$1006:AQ1006),$AC$1006:$AS$1006,0)))),"Fix")))</f>
        <v xml:space="preserve"> </v>
      </c>
      <c r="Q476" s="4" t="str">
        <f ca="1">IF(OR(INDEX($W$2:$W$1001,MATCH(ROWS($V$2:V476),$V$2:$V$1001,0),1)&gt;=100000,INDEX($AC$1005:$AS$1005,1,MATCH(COLUMNS($AC$1006:AR1006),$AC$1006:$AS$1006,0))&gt;=100000), " ",IF(INDEX($AC$2:$AS$1001,MATCH(ROWS($V$2:V476),$V$2:$V$1001,0),MATCH(COLUMNS($AC$1006:AR1006),$AC$1006:$AS$1006,0)), HYPERLINK("#",""), HYPERLINK(CONCATENATE("#metadata!", ADDRESS(INDEX($X$2:$X$1001,MATCH(ROWS($V$2:V476),$V$2:$V$1001,0),0), INDEX($AC$1004:$AS$1004,1,MATCH(COLUMNS($AC$1006:AR1006),$AC$1006:$AS$1006,0)))),"Fix")))</f>
        <v xml:space="preserve"> </v>
      </c>
      <c r="R476" s="4" t="str">
        <f ca="1">IF(OR(INDEX($W$2:$W$1001,MATCH(ROWS($V$2:V476),$V$2:$V$1001,0),1)&gt;=100000,INDEX($AC$1005:$AS$1005,1,MATCH(COLUMNS($AC$1006:AS1006),$AC$1006:$AS$1006,0))&gt;=100000), " ",IF(INDEX($AC$2:$AS$1001,MATCH(ROWS($V$2:V476),$V$2:$V$1001,0),MATCH(COLUMNS($AC$1006:AS1006),$AC$1006:$AS$1006,0)), HYPERLINK("#",""), HYPERLINK(CONCATENATE("#metadata!", ADDRESS(INDEX($X$2:$X$1001,MATCH(ROWS($V$2:V476),$V$2:$V$1001,0),0), INDEX($AC$1004:$AS$1004,1,MATCH(COLUMNS($AC$1006:AS1006),$AC$1006:$AS$1006,0)))),"Fix")))</f>
        <v xml:space="preserve"> </v>
      </c>
      <c r="V476">
        <v>475</v>
      </c>
      <c r="W476">
        <v>100476</v>
      </c>
      <c r="X476">
        <v>476</v>
      </c>
      <c r="Y476" t="b">
        <f t="shared" si="7"/>
        <v>1</v>
      </c>
      <c r="Z476" t="b">
        <f>COUNTBLANK(metadata!B476:R476)=COLUMNS(metadata!B476:R476)</f>
        <v>1</v>
      </c>
      <c r="AA476" t="str">
        <v/>
      </c>
      <c r="AC476" t="b">
        <f ca="1"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AD476" t="b">
        <f>IF(metadata!C476="",FALSE,ISNUMBER(VALUE(metadata!C476)))</f>
        <v>0</v>
      </c>
      <c r="AE476" t="b">
        <f>AND(IF(metadata!D476="",FALSE,TRUE),EXACT(metadata!D476,"years"))</f>
        <v>0</v>
      </c>
      <c r="AF476" t="b">
        <f>OR(AND(IF(metadata!E476="",FALSE,TRUE),OR(EXACT(metadata!E476,"not applicable"),EXACT(metadata!E476,"missing: not collected"),EXACT(metadata!E476,"missing: not provided"),EXACT(metadata!E476,"missing: restricted access"))),AND(IF(metadata!E476="",FALSE,ISNUMBER(VALUE(metadata!E476))),metadata!E476&gt;0))</f>
        <v>0</v>
      </c>
      <c r="AG476" t="b">
        <f>AND(IF(metadata!F476="",FALSE,TRUE),EXACT(metadata!F476,"Not applicable"))</f>
        <v>0</v>
      </c>
      <c r="AH476" t="b">
        <f>AND(IF(metadata!G476="",FALSE,TRUE),EXACT(metadata!G476,"urban biome"))</f>
        <v>0</v>
      </c>
      <c r="AI476" t="b">
        <f>AND(IF(metadata!H476="",FALSE,TRUE),EXACT(metadata!H476,"human-associated habitat"))</f>
        <v>0</v>
      </c>
      <c r="AJ476" t="b">
        <f>AND(IF(metadata!I476="",FALSE,TRUE),OR(EXACT(metadata!I476,"human-associated"),EXACT(metadata!I476,"human-skin"),EXACT(metadata!I476,"human-oral"),EXACT(metadata!I476,"human-gut"),EXACT(metadata!I476,"human-vaginal")))</f>
        <v>0</v>
      </c>
      <c r="AK476" t="b">
        <f>IF(metadata!J476="",FALSE,ISNUMBER(VALUE(metadata!J476)))</f>
        <v>0</v>
      </c>
      <c r="AL476" t="b">
        <f>AND(IF(metadata!K476="",FALSE,TRUE),EXACT(metadata!K476,"cm"))</f>
        <v>0</v>
      </c>
      <c r="AM476" t="b">
        <f>AND(IF(metadata!L476="",FALSE,TRUE),EXACT(metadata!L476,"human"))</f>
        <v>0</v>
      </c>
      <c r="AN476" t="b">
        <f>AND(IF(metadata!M476="",FALSE,TRUE),EXACT(metadata!M476,"Homo sapiens"))</f>
        <v>0</v>
      </c>
      <c r="AO476" t="b">
        <f>AND(IF(metadata!N476="",FALSE,TRUE),EXACT(metadata!N476,"9606"))</f>
        <v>0</v>
      </c>
      <c r="AP476" t="b">
        <f>IF(metadata!O476="",FALSE,TRUE)</f>
        <v>0</v>
      </c>
      <c r="AQ476" t="b">
        <f>IF(metadata!P476="",FALSE,TRUE)</f>
        <v>0</v>
      </c>
      <c r="AR476" t="b">
        <f>IF(metadata!Q476="",FALSE,ISNUMBER(VALUE(metadata!Q476)))</f>
        <v>0</v>
      </c>
      <c r="AS476" t="b">
        <f>AND(IF(metadata!R476="",FALSE,TRUE),EXACT(metadata!R476,"kg"))</f>
        <v>0</v>
      </c>
    </row>
    <row r="477" spans="1:45" x14ac:dyDescent="0.2">
      <c r="A477" s="5" t="str">
        <f ca="1">IF(B477=" "," ",HYPERLINK(CONCATENATE("#metadata!",ADDRESS(INDEX($X$2:$X$1001,MATCH(ROWS($V$2:V477),$V$2:$V$1001,0),0),1)),INDEX($AA$2:$AA$1001,MATCH(ROWS($V$2:V477),$V$2:$V$1001,0),0)))</f>
        <v xml:space="preserve"> </v>
      </c>
      <c r="B477" s="4" t="str">
        <f ca="1">IF(OR(INDEX($W$2:$W$1001,MATCH(ROWS($V$2:V477),$V$2:$V$1001,0),1)&gt;=100000,INDEX($AC$1005:$AS$1005,1,MATCH(COLUMNS($AC$1006:AC1006),$AC$1006:$AS$1006,0))&gt;=100000), " ",IF(INDEX($AC$2:$AS$1001,MATCH(ROWS($V$2:V477),$V$2:$V$1001,0),MATCH(COLUMNS($AC$1006:AC1006),$AC$1006:$AS$1006,0)), HYPERLINK("#",""), HYPERLINK(CONCATENATE("#metadata!", ADDRESS(INDEX($X$2:$X$1001,MATCH(ROWS($V$2:V477),$V$2:$V$1001,0),0), INDEX($AC$1004:$AS$1004,1,MATCH(COLUMNS($AC$1006:AC1006),$AC$1006:$AS$1006,0)))),"Fix")))</f>
        <v xml:space="preserve"> </v>
      </c>
      <c r="C477" s="4" t="str">
        <f ca="1">IF(OR(INDEX($W$2:$W$1001,MATCH(ROWS($V$2:V477),$V$2:$V$1001,0),1)&gt;=100000,INDEX($AC$1005:$AS$1005,1,MATCH(COLUMNS($AC$1006:AD1006),$AC$1006:$AS$1006,0))&gt;=100000), " ",IF(INDEX($AC$2:$AS$1001,MATCH(ROWS($V$2:V477),$V$2:$V$1001,0),MATCH(COLUMNS($AC$1006:AD1006),$AC$1006:$AS$1006,0)), HYPERLINK("#",""), HYPERLINK(CONCATENATE("#metadata!", ADDRESS(INDEX($X$2:$X$1001,MATCH(ROWS($V$2:V477),$V$2:$V$1001,0),0), INDEX($AC$1004:$AS$1004,1,MATCH(COLUMNS($AC$1006:AD1006),$AC$1006:$AS$1006,0)))),"Fix")))</f>
        <v xml:space="preserve"> </v>
      </c>
      <c r="D477" s="4" t="str">
        <f ca="1">IF(OR(INDEX($W$2:$W$1001,MATCH(ROWS($V$2:V477),$V$2:$V$1001,0),1)&gt;=100000,INDEX($AC$1005:$AS$1005,1,MATCH(COLUMNS($AC$1006:AE1006),$AC$1006:$AS$1006,0))&gt;=100000), " ",IF(INDEX($AC$2:$AS$1001,MATCH(ROWS($V$2:V477),$V$2:$V$1001,0),MATCH(COLUMNS($AC$1006:AE1006),$AC$1006:$AS$1006,0)), HYPERLINK("#",""), HYPERLINK(CONCATENATE("#metadata!", ADDRESS(INDEX($X$2:$X$1001,MATCH(ROWS($V$2:V477),$V$2:$V$1001,0),0), INDEX($AC$1004:$AS$1004,1,MATCH(COLUMNS($AC$1006:AE1006),$AC$1006:$AS$1006,0)))),"Fix")))</f>
        <v xml:space="preserve"> </v>
      </c>
      <c r="E477" s="4" t="str">
        <f ca="1">IF(OR(INDEX($W$2:$W$1001,MATCH(ROWS($V$2:V477),$V$2:$V$1001,0),1)&gt;=100000,INDEX($AC$1005:$AS$1005,1,MATCH(COLUMNS($AC$1006:AF1006),$AC$1006:$AS$1006,0))&gt;=100000), " ",IF(INDEX($AC$2:$AS$1001,MATCH(ROWS($V$2:V477),$V$2:$V$1001,0),MATCH(COLUMNS($AC$1006:AF1006),$AC$1006:$AS$1006,0)), HYPERLINK("#",""), HYPERLINK(CONCATENATE("#metadata!", ADDRESS(INDEX($X$2:$X$1001,MATCH(ROWS($V$2:V477),$V$2:$V$1001,0),0), INDEX($AC$1004:$AS$1004,1,MATCH(COLUMNS($AC$1006:AF1006),$AC$1006:$AS$1006,0)))),"Fix")))</f>
        <v xml:space="preserve"> </v>
      </c>
      <c r="F477" s="4" t="str">
        <f ca="1">IF(OR(INDEX($W$2:$W$1001,MATCH(ROWS($V$2:V477),$V$2:$V$1001,0),1)&gt;=100000,INDEX($AC$1005:$AS$1005,1,MATCH(COLUMNS($AC$1006:AG1006),$AC$1006:$AS$1006,0))&gt;=100000), " ",IF(INDEX($AC$2:$AS$1001,MATCH(ROWS($V$2:V477),$V$2:$V$1001,0),MATCH(COLUMNS($AC$1006:AG1006),$AC$1006:$AS$1006,0)), HYPERLINK("#",""), HYPERLINK(CONCATENATE("#metadata!", ADDRESS(INDEX($X$2:$X$1001,MATCH(ROWS($V$2:V477),$V$2:$V$1001,0),0), INDEX($AC$1004:$AS$1004,1,MATCH(COLUMNS($AC$1006:AG1006),$AC$1006:$AS$1006,0)))),"Fix")))</f>
        <v xml:space="preserve"> </v>
      </c>
      <c r="G477" s="4" t="str">
        <f ca="1">IF(OR(INDEX($W$2:$W$1001,MATCH(ROWS($V$2:V477),$V$2:$V$1001,0),1)&gt;=100000,INDEX($AC$1005:$AS$1005,1,MATCH(COLUMNS($AC$1006:AH1006),$AC$1006:$AS$1006,0))&gt;=100000), " ",IF(INDEX($AC$2:$AS$1001,MATCH(ROWS($V$2:V477),$V$2:$V$1001,0),MATCH(COLUMNS($AC$1006:AH1006),$AC$1006:$AS$1006,0)), HYPERLINK("#",""), HYPERLINK(CONCATENATE("#metadata!", ADDRESS(INDEX($X$2:$X$1001,MATCH(ROWS($V$2:V477),$V$2:$V$1001,0),0), INDEX($AC$1004:$AS$1004,1,MATCH(COLUMNS($AC$1006:AH1006),$AC$1006:$AS$1006,0)))),"Fix")))</f>
        <v xml:space="preserve"> </v>
      </c>
      <c r="H477" s="4" t="str">
        <f ca="1">IF(OR(INDEX($W$2:$W$1001,MATCH(ROWS($V$2:V477),$V$2:$V$1001,0),1)&gt;=100000,INDEX($AC$1005:$AS$1005,1,MATCH(COLUMNS($AC$1006:AI1006),$AC$1006:$AS$1006,0))&gt;=100000), " ",IF(INDEX($AC$2:$AS$1001,MATCH(ROWS($V$2:V477),$V$2:$V$1001,0),MATCH(COLUMNS($AC$1006:AI1006),$AC$1006:$AS$1006,0)), HYPERLINK("#",""), HYPERLINK(CONCATENATE("#metadata!", ADDRESS(INDEX($X$2:$X$1001,MATCH(ROWS($V$2:V477),$V$2:$V$1001,0),0), INDEX($AC$1004:$AS$1004,1,MATCH(COLUMNS($AC$1006:AI1006),$AC$1006:$AS$1006,0)))),"Fix")))</f>
        <v xml:space="preserve"> </v>
      </c>
      <c r="I477" s="4" t="str">
        <f ca="1">IF(OR(INDEX($W$2:$W$1001,MATCH(ROWS($V$2:V477),$V$2:$V$1001,0),1)&gt;=100000,INDEX($AC$1005:$AS$1005,1,MATCH(COLUMNS($AC$1006:AJ1006),$AC$1006:$AS$1006,0))&gt;=100000), " ",IF(INDEX($AC$2:$AS$1001,MATCH(ROWS($V$2:V477),$V$2:$V$1001,0),MATCH(COLUMNS($AC$1006:AJ1006),$AC$1006:$AS$1006,0)), HYPERLINK("#",""), HYPERLINK(CONCATENATE("#metadata!", ADDRESS(INDEX($X$2:$X$1001,MATCH(ROWS($V$2:V477),$V$2:$V$1001,0),0), INDEX($AC$1004:$AS$1004,1,MATCH(COLUMNS($AC$1006:AJ1006),$AC$1006:$AS$1006,0)))),"Fix")))</f>
        <v xml:space="preserve"> </v>
      </c>
      <c r="J477" s="4" t="str">
        <f ca="1">IF(OR(INDEX($W$2:$W$1001,MATCH(ROWS($V$2:V477),$V$2:$V$1001,0),1)&gt;=100000,INDEX($AC$1005:$AS$1005,1,MATCH(COLUMNS($AC$1006:AK1006),$AC$1006:$AS$1006,0))&gt;=100000), " ",IF(INDEX($AC$2:$AS$1001,MATCH(ROWS($V$2:V477),$V$2:$V$1001,0),MATCH(COLUMNS($AC$1006:AK1006),$AC$1006:$AS$1006,0)), HYPERLINK("#",""), HYPERLINK(CONCATENATE("#metadata!", ADDRESS(INDEX($X$2:$X$1001,MATCH(ROWS($V$2:V477),$V$2:$V$1001,0),0), INDEX($AC$1004:$AS$1004,1,MATCH(COLUMNS($AC$1006:AK1006),$AC$1006:$AS$1006,0)))),"Fix")))</f>
        <v xml:space="preserve"> </v>
      </c>
      <c r="K477" s="4" t="str">
        <f ca="1">IF(OR(INDEX($W$2:$W$1001,MATCH(ROWS($V$2:V477),$V$2:$V$1001,0),1)&gt;=100000,INDEX($AC$1005:$AS$1005,1,MATCH(COLUMNS($AC$1006:AL1006),$AC$1006:$AS$1006,0))&gt;=100000), " ",IF(INDEX($AC$2:$AS$1001,MATCH(ROWS($V$2:V477),$V$2:$V$1001,0),MATCH(COLUMNS($AC$1006:AL1006),$AC$1006:$AS$1006,0)), HYPERLINK("#",""), HYPERLINK(CONCATENATE("#metadata!", ADDRESS(INDEX($X$2:$X$1001,MATCH(ROWS($V$2:V477),$V$2:$V$1001,0),0), INDEX($AC$1004:$AS$1004,1,MATCH(COLUMNS($AC$1006:AL1006),$AC$1006:$AS$1006,0)))),"Fix")))</f>
        <v xml:space="preserve"> </v>
      </c>
      <c r="L477" s="4" t="str">
        <f ca="1">IF(OR(INDEX($W$2:$W$1001,MATCH(ROWS($V$2:V477),$V$2:$V$1001,0),1)&gt;=100000,INDEX($AC$1005:$AS$1005,1,MATCH(COLUMNS($AC$1006:AM1006),$AC$1006:$AS$1006,0))&gt;=100000), " ",IF(INDEX($AC$2:$AS$1001,MATCH(ROWS($V$2:V477),$V$2:$V$1001,0),MATCH(COLUMNS($AC$1006:AM1006),$AC$1006:$AS$1006,0)), HYPERLINK("#",""), HYPERLINK(CONCATENATE("#metadata!", ADDRESS(INDEX($X$2:$X$1001,MATCH(ROWS($V$2:V477),$V$2:$V$1001,0),0), INDEX($AC$1004:$AS$1004,1,MATCH(COLUMNS($AC$1006:AM1006),$AC$1006:$AS$1006,0)))),"Fix")))</f>
        <v xml:space="preserve"> </v>
      </c>
      <c r="M477" s="4" t="str">
        <f ca="1">IF(OR(INDEX($W$2:$W$1001,MATCH(ROWS($V$2:V477),$V$2:$V$1001,0),1)&gt;=100000,INDEX($AC$1005:$AS$1005,1,MATCH(COLUMNS($AC$1006:AN1006),$AC$1006:$AS$1006,0))&gt;=100000), " ",IF(INDEX($AC$2:$AS$1001,MATCH(ROWS($V$2:V477),$V$2:$V$1001,0),MATCH(COLUMNS($AC$1006:AN1006),$AC$1006:$AS$1006,0)), HYPERLINK("#",""), HYPERLINK(CONCATENATE("#metadata!", ADDRESS(INDEX($X$2:$X$1001,MATCH(ROWS($V$2:V477),$V$2:$V$1001,0),0), INDEX($AC$1004:$AS$1004,1,MATCH(COLUMNS($AC$1006:AN1006),$AC$1006:$AS$1006,0)))),"Fix")))</f>
        <v xml:space="preserve"> </v>
      </c>
      <c r="N477" s="4" t="str">
        <f ca="1">IF(OR(INDEX($W$2:$W$1001,MATCH(ROWS($V$2:V477),$V$2:$V$1001,0),1)&gt;=100000,INDEX($AC$1005:$AS$1005,1,MATCH(COLUMNS($AC$1006:AO1006),$AC$1006:$AS$1006,0))&gt;=100000), " ",IF(INDEX($AC$2:$AS$1001,MATCH(ROWS($V$2:V477),$V$2:$V$1001,0),MATCH(COLUMNS($AC$1006:AO1006),$AC$1006:$AS$1006,0)), HYPERLINK("#",""), HYPERLINK(CONCATENATE("#metadata!", ADDRESS(INDEX($X$2:$X$1001,MATCH(ROWS($V$2:V477),$V$2:$V$1001,0),0), INDEX($AC$1004:$AS$1004,1,MATCH(COLUMNS($AC$1006:AO1006),$AC$1006:$AS$1006,0)))),"Fix")))</f>
        <v xml:space="preserve"> </v>
      </c>
      <c r="O477" s="4" t="str">
        <f ca="1">IF(OR(INDEX($W$2:$W$1001,MATCH(ROWS($V$2:V477),$V$2:$V$1001,0),1)&gt;=100000,INDEX($AC$1005:$AS$1005,1,MATCH(COLUMNS($AC$1006:AP1006),$AC$1006:$AS$1006,0))&gt;=100000), " ",IF(INDEX($AC$2:$AS$1001,MATCH(ROWS($V$2:V477),$V$2:$V$1001,0),MATCH(COLUMNS($AC$1006:AP1006),$AC$1006:$AS$1006,0)), HYPERLINK("#",""), HYPERLINK(CONCATENATE("#metadata!", ADDRESS(INDEX($X$2:$X$1001,MATCH(ROWS($V$2:V477),$V$2:$V$1001,0),0), INDEX($AC$1004:$AS$1004,1,MATCH(COLUMNS($AC$1006:AP1006),$AC$1006:$AS$1006,0)))),"Fix")))</f>
        <v xml:space="preserve"> </v>
      </c>
      <c r="P477" s="4" t="str">
        <f ca="1">IF(OR(INDEX($W$2:$W$1001,MATCH(ROWS($V$2:V477),$V$2:$V$1001,0),1)&gt;=100000,INDEX($AC$1005:$AS$1005,1,MATCH(COLUMNS($AC$1006:AQ1006),$AC$1006:$AS$1006,0))&gt;=100000), " ",IF(INDEX($AC$2:$AS$1001,MATCH(ROWS($V$2:V477),$V$2:$V$1001,0),MATCH(COLUMNS($AC$1006:AQ1006),$AC$1006:$AS$1006,0)), HYPERLINK("#",""), HYPERLINK(CONCATENATE("#metadata!", ADDRESS(INDEX($X$2:$X$1001,MATCH(ROWS($V$2:V477),$V$2:$V$1001,0),0), INDEX($AC$1004:$AS$1004,1,MATCH(COLUMNS($AC$1006:AQ1006),$AC$1006:$AS$1006,0)))),"Fix")))</f>
        <v xml:space="preserve"> </v>
      </c>
      <c r="Q477" s="4" t="str">
        <f ca="1">IF(OR(INDEX($W$2:$W$1001,MATCH(ROWS($V$2:V477),$V$2:$V$1001,0),1)&gt;=100000,INDEX($AC$1005:$AS$1005,1,MATCH(COLUMNS($AC$1006:AR1006),$AC$1006:$AS$1006,0))&gt;=100000), " ",IF(INDEX($AC$2:$AS$1001,MATCH(ROWS($V$2:V477),$V$2:$V$1001,0),MATCH(COLUMNS($AC$1006:AR1006),$AC$1006:$AS$1006,0)), HYPERLINK("#",""), HYPERLINK(CONCATENATE("#metadata!", ADDRESS(INDEX($X$2:$X$1001,MATCH(ROWS($V$2:V477),$V$2:$V$1001,0),0), INDEX($AC$1004:$AS$1004,1,MATCH(COLUMNS($AC$1006:AR1006),$AC$1006:$AS$1006,0)))),"Fix")))</f>
        <v xml:space="preserve"> </v>
      </c>
      <c r="R477" s="4" t="str">
        <f ca="1">IF(OR(INDEX($W$2:$W$1001,MATCH(ROWS($V$2:V477),$V$2:$V$1001,0),1)&gt;=100000,INDEX($AC$1005:$AS$1005,1,MATCH(COLUMNS($AC$1006:AS1006),$AC$1006:$AS$1006,0))&gt;=100000), " ",IF(INDEX($AC$2:$AS$1001,MATCH(ROWS($V$2:V477),$V$2:$V$1001,0),MATCH(COLUMNS($AC$1006:AS1006),$AC$1006:$AS$1006,0)), HYPERLINK("#",""), HYPERLINK(CONCATENATE("#metadata!", ADDRESS(INDEX($X$2:$X$1001,MATCH(ROWS($V$2:V477),$V$2:$V$1001,0),0), INDEX($AC$1004:$AS$1004,1,MATCH(COLUMNS($AC$1006:AS1006),$AC$1006:$AS$1006,0)))),"Fix")))</f>
        <v xml:space="preserve"> </v>
      </c>
      <c r="V477">
        <v>476</v>
      </c>
      <c r="W477">
        <v>100477</v>
      </c>
      <c r="X477">
        <v>477</v>
      </c>
      <c r="Y477" t="b">
        <f t="shared" si="7"/>
        <v>1</v>
      </c>
      <c r="Z477" t="b">
        <f>COUNTBLANK(metadata!B477:R477)=COLUMNS(metadata!B477:R477)</f>
        <v>1</v>
      </c>
      <c r="AA477" t="str">
        <v/>
      </c>
      <c r="AC477" t="b">
        <f ca="1"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AD477" t="b">
        <f>IF(metadata!C477="",FALSE,ISNUMBER(VALUE(metadata!C477)))</f>
        <v>0</v>
      </c>
      <c r="AE477" t="b">
        <f>AND(IF(metadata!D477="",FALSE,TRUE),EXACT(metadata!D477,"years"))</f>
        <v>0</v>
      </c>
      <c r="AF477" t="b">
        <f>OR(AND(IF(metadata!E477="",FALSE,TRUE),OR(EXACT(metadata!E477,"not applicable"),EXACT(metadata!E477,"missing: not collected"),EXACT(metadata!E477,"missing: not provided"),EXACT(metadata!E477,"missing: restricted access"))),AND(IF(metadata!E477="",FALSE,ISNUMBER(VALUE(metadata!E477))),metadata!E477&gt;0))</f>
        <v>0</v>
      </c>
      <c r="AG477" t="b">
        <f>AND(IF(metadata!F477="",FALSE,TRUE),EXACT(metadata!F477,"Not applicable"))</f>
        <v>0</v>
      </c>
      <c r="AH477" t="b">
        <f>AND(IF(metadata!G477="",FALSE,TRUE),EXACT(metadata!G477,"urban biome"))</f>
        <v>0</v>
      </c>
      <c r="AI477" t="b">
        <f>AND(IF(metadata!H477="",FALSE,TRUE),EXACT(metadata!H477,"human-associated habitat"))</f>
        <v>0</v>
      </c>
      <c r="AJ477" t="b">
        <f>AND(IF(metadata!I477="",FALSE,TRUE),OR(EXACT(metadata!I477,"human-associated"),EXACT(metadata!I477,"human-skin"),EXACT(metadata!I477,"human-oral"),EXACT(metadata!I477,"human-gut"),EXACT(metadata!I477,"human-vaginal")))</f>
        <v>0</v>
      </c>
      <c r="AK477" t="b">
        <f>IF(metadata!J477="",FALSE,ISNUMBER(VALUE(metadata!J477)))</f>
        <v>0</v>
      </c>
      <c r="AL477" t="b">
        <f>AND(IF(metadata!K477="",FALSE,TRUE),EXACT(metadata!K477,"cm"))</f>
        <v>0</v>
      </c>
      <c r="AM477" t="b">
        <f>AND(IF(metadata!L477="",FALSE,TRUE),EXACT(metadata!L477,"human"))</f>
        <v>0</v>
      </c>
      <c r="AN477" t="b">
        <f>AND(IF(metadata!M477="",FALSE,TRUE),EXACT(metadata!M477,"Homo sapiens"))</f>
        <v>0</v>
      </c>
      <c r="AO477" t="b">
        <f>AND(IF(metadata!N477="",FALSE,TRUE),EXACT(metadata!N477,"9606"))</f>
        <v>0</v>
      </c>
      <c r="AP477" t="b">
        <f>IF(metadata!O477="",FALSE,TRUE)</f>
        <v>0</v>
      </c>
      <c r="AQ477" t="b">
        <f>IF(metadata!P477="",FALSE,TRUE)</f>
        <v>0</v>
      </c>
      <c r="AR477" t="b">
        <f>IF(metadata!Q477="",FALSE,ISNUMBER(VALUE(metadata!Q477)))</f>
        <v>0</v>
      </c>
      <c r="AS477" t="b">
        <f>AND(IF(metadata!R477="",FALSE,TRUE),EXACT(metadata!R477,"kg"))</f>
        <v>0</v>
      </c>
    </row>
    <row r="478" spans="1:45" x14ac:dyDescent="0.2">
      <c r="A478" s="5" t="str">
        <f ca="1">IF(B478=" "," ",HYPERLINK(CONCATENATE("#metadata!",ADDRESS(INDEX($X$2:$X$1001,MATCH(ROWS($V$2:V478),$V$2:$V$1001,0),0),1)),INDEX($AA$2:$AA$1001,MATCH(ROWS($V$2:V478),$V$2:$V$1001,0),0)))</f>
        <v xml:space="preserve"> </v>
      </c>
      <c r="B478" s="4" t="str">
        <f ca="1">IF(OR(INDEX($W$2:$W$1001,MATCH(ROWS($V$2:V478),$V$2:$V$1001,0),1)&gt;=100000,INDEX($AC$1005:$AS$1005,1,MATCH(COLUMNS($AC$1006:AC1006),$AC$1006:$AS$1006,0))&gt;=100000), " ",IF(INDEX($AC$2:$AS$1001,MATCH(ROWS($V$2:V478),$V$2:$V$1001,0),MATCH(COLUMNS($AC$1006:AC1006),$AC$1006:$AS$1006,0)), HYPERLINK("#",""), HYPERLINK(CONCATENATE("#metadata!", ADDRESS(INDEX($X$2:$X$1001,MATCH(ROWS($V$2:V478),$V$2:$V$1001,0),0), INDEX($AC$1004:$AS$1004,1,MATCH(COLUMNS($AC$1006:AC1006),$AC$1006:$AS$1006,0)))),"Fix")))</f>
        <v xml:space="preserve"> </v>
      </c>
      <c r="C478" s="4" t="str">
        <f ca="1">IF(OR(INDEX($W$2:$W$1001,MATCH(ROWS($V$2:V478),$V$2:$V$1001,0),1)&gt;=100000,INDEX($AC$1005:$AS$1005,1,MATCH(COLUMNS($AC$1006:AD1006),$AC$1006:$AS$1006,0))&gt;=100000), " ",IF(INDEX($AC$2:$AS$1001,MATCH(ROWS($V$2:V478),$V$2:$V$1001,0),MATCH(COLUMNS($AC$1006:AD1006),$AC$1006:$AS$1006,0)), HYPERLINK("#",""), HYPERLINK(CONCATENATE("#metadata!", ADDRESS(INDEX($X$2:$X$1001,MATCH(ROWS($V$2:V478),$V$2:$V$1001,0),0), INDEX($AC$1004:$AS$1004,1,MATCH(COLUMNS($AC$1006:AD1006),$AC$1006:$AS$1006,0)))),"Fix")))</f>
        <v xml:space="preserve"> </v>
      </c>
      <c r="D478" s="4" t="str">
        <f ca="1">IF(OR(INDEX($W$2:$W$1001,MATCH(ROWS($V$2:V478),$V$2:$V$1001,0),1)&gt;=100000,INDEX($AC$1005:$AS$1005,1,MATCH(COLUMNS($AC$1006:AE1006),$AC$1006:$AS$1006,0))&gt;=100000), " ",IF(INDEX($AC$2:$AS$1001,MATCH(ROWS($V$2:V478),$V$2:$V$1001,0),MATCH(COLUMNS($AC$1006:AE1006),$AC$1006:$AS$1006,0)), HYPERLINK("#",""), HYPERLINK(CONCATENATE("#metadata!", ADDRESS(INDEX($X$2:$X$1001,MATCH(ROWS($V$2:V478),$V$2:$V$1001,0),0), INDEX($AC$1004:$AS$1004,1,MATCH(COLUMNS($AC$1006:AE1006),$AC$1006:$AS$1006,0)))),"Fix")))</f>
        <v xml:space="preserve"> </v>
      </c>
      <c r="E478" s="4" t="str">
        <f ca="1">IF(OR(INDEX($W$2:$W$1001,MATCH(ROWS($V$2:V478),$V$2:$V$1001,0),1)&gt;=100000,INDEX($AC$1005:$AS$1005,1,MATCH(COLUMNS($AC$1006:AF1006),$AC$1006:$AS$1006,0))&gt;=100000), " ",IF(INDEX($AC$2:$AS$1001,MATCH(ROWS($V$2:V478),$V$2:$V$1001,0),MATCH(COLUMNS($AC$1006:AF1006),$AC$1006:$AS$1006,0)), HYPERLINK("#",""), HYPERLINK(CONCATENATE("#metadata!", ADDRESS(INDEX($X$2:$X$1001,MATCH(ROWS($V$2:V478),$V$2:$V$1001,0),0), INDEX($AC$1004:$AS$1004,1,MATCH(COLUMNS($AC$1006:AF1006),$AC$1006:$AS$1006,0)))),"Fix")))</f>
        <v xml:space="preserve"> </v>
      </c>
      <c r="F478" s="4" t="str">
        <f ca="1">IF(OR(INDEX($W$2:$W$1001,MATCH(ROWS($V$2:V478),$V$2:$V$1001,0),1)&gt;=100000,INDEX($AC$1005:$AS$1005,1,MATCH(COLUMNS($AC$1006:AG1006),$AC$1006:$AS$1006,0))&gt;=100000), " ",IF(INDEX($AC$2:$AS$1001,MATCH(ROWS($V$2:V478),$V$2:$V$1001,0),MATCH(COLUMNS($AC$1006:AG1006),$AC$1006:$AS$1006,0)), HYPERLINK("#",""), HYPERLINK(CONCATENATE("#metadata!", ADDRESS(INDEX($X$2:$X$1001,MATCH(ROWS($V$2:V478),$V$2:$V$1001,0),0), INDEX($AC$1004:$AS$1004,1,MATCH(COLUMNS($AC$1006:AG1006),$AC$1006:$AS$1006,0)))),"Fix")))</f>
        <v xml:space="preserve"> </v>
      </c>
      <c r="G478" s="4" t="str">
        <f ca="1">IF(OR(INDEX($W$2:$W$1001,MATCH(ROWS($V$2:V478),$V$2:$V$1001,0),1)&gt;=100000,INDEX($AC$1005:$AS$1005,1,MATCH(COLUMNS($AC$1006:AH1006),$AC$1006:$AS$1006,0))&gt;=100000), " ",IF(INDEX($AC$2:$AS$1001,MATCH(ROWS($V$2:V478),$V$2:$V$1001,0),MATCH(COLUMNS($AC$1006:AH1006),$AC$1006:$AS$1006,0)), HYPERLINK("#",""), HYPERLINK(CONCATENATE("#metadata!", ADDRESS(INDEX($X$2:$X$1001,MATCH(ROWS($V$2:V478),$V$2:$V$1001,0),0), INDEX($AC$1004:$AS$1004,1,MATCH(COLUMNS($AC$1006:AH1006),$AC$1006:$AS$1006,0)))),"Fix")))</f>
        <v xml:space="preserve"> </v>
      </c>
      <c r="H478" s="4" t="str">
        <f ca="1">IF(OR(INDEX($W$2:$W$1001,MATCH(ROWS($V$2:V478),$V$2:$V$1001,0),1)&gt;=100000,INDEX($AC$1005:$AS$1005,1,MATCH(COLUMNS($AC$1006:AI1006),$AC$1006:$AS$1006,0))&gt;=100000), " ",IF(INDEX($AC$2:$AS$1001,MATCH(ROWS($V$2:V478),$V$2:$V$1001,0),MATCH(COLUMNS($AC$1006:AI1006),$AC$1006:$AS$1006,0)), HYPERLINK("#",""), HYPERLINK(CONCATENATE("#metadata!", ADDRESS(INDEX($X$2:$X$1001,MATCH(ROWS($V$2:V478),$V$2:$V$1001,0),0), INDEX($AC$1004:$AS$1004,1,MATCH(COLUMNS($AC$1006:AI1006),$AC$1006:$AS$1006,0)))),"Fix")))</f>
        <v xml:space="preserve"> </v>
      </c>
      <c r="I478" s="4" t="str">
        <f ca="1">IF(OR(INDEX($W$2:$W$1001,MATCH(ROWS($V$2:V478),$V$2:$V$1001,0),1)&gt;=100000,INDEX($AC$1005:$AS$1005,1,MATCH(COLUMNS($AC$1006:AJ1006),$AC$1006:$AS$1006,0))&gt;=100000), " ",IF(INDEX($AC$2:$AS$1001,MATCH(ROWS($V$2:V478),$V$2:$V$1001,0),MATCH(COLUMNS($AC$1006:AJ1006),$AC$1006:$AS$1006,0)), HYPERLINK("#",""), HYPERLINK(CONCATENATE("#metadata!", ADDRESS(INDEX($X$2:$X$1001,MATCH(ROWS($V$2:V478),$V$2:$V$1001,0),0), INDEX($AC$1004:$AS$1004,1,MATCH(COLUMNS($AC$1006:AJ1006),$AC$1006:$AS$1006,0)))),"Fix")))</f>
        <v xml:space="preserve"> </v>
      </c>
      <c r="J478" s="4" t="str">
        <f ca="1">IF(OR(INDEX($W$2:$W$1001,MATCH(ROWS($V$2:V478),$V$2:$V$1001,0),1)&gt;=100000,INDEX($AC$1005:$AS$1005,1,MATCH(COLUMNS($AC$1006:AK1006),$AC$1006:$AS$1006,0))&gt;=100000), " ",IF(INDEX($AC$2:$AS$1001,MATCH(ROWS($V$2:V478),$V$2:$V$1001,0),MATCH(COLUMNS($AC$1006:AK1006),$AC$1006:$AS$1006,0)), HYPERLINK("#",""), HYPERLINK(CONCATENATE("#metadata!", ADDRESS(INDEX($X$2:$X$1001,MATCH(ROWS($V$2:V478),$V$2:$V$1001,0),0), INDEX($AC$1004:$AS$1004,1,MATCH(COLUMNS($AC$1006:AK1006),$AC$1006:$AS$1006,0)))),"Fix")))</f>
        <v xml:space="preserve"> </v>
      </c>
      <c r="K478" s="4" t="str">
        <f ca="1">IF(OR(INDEX($W$2:$W$1001,MATCH(ROWS($V$2:V478),$V$2:$V$1001,0),1)&gt;=100000,INDEX($AC$1005:$AS$1005,1,MATCH(COLUMNS($AC$1006:AL1006),$AC$1006:$AS$1006,0))&gt;=100000), " ",IF(INDEX($AC$2:$AS$1001,MATCH(ROWS($V$2:V478),$V$2:$V$1001,0),MATCH(COLUMNS($AC$1006:AL1006),$AC$1006:$AS$1006,0)), HYPERLINK("#",""), HYPERLINK(CONCATENATE("#metadata!", ADDRESS(INDEX($X$2:$X$1001,MATCH(ROWS($V$2:V478),$V$2:$V$1001,0),0), INDEX($AC$1004:$AS$1004,1,MATCH(COLUMNS($AC$1006:AL1006),$AC$1006:$AS$1006,0)))),"Fix")))</f>
        <v xml:space="preserve"> </v>
      </c>
      <c r="L478" s="4" t="str">
        <f ca="1">IF(OR(INDEX($W$2:$W$1001,MATCH(ROWS($V$2:V478),$V$2:$V$1001,0),1)&gt;=100000,INDEX($AC$1005:$AS$1005,1,MATCH(COLUMNS($AC$1006:AM1006),$AC$1006:$AS$1006,0))&gt;=100000), " ",IF(INDEX($AC$2:$AS$1001,MATCH(ROWS($V$2:V478),$V$2:$V$1001,0),MATCH(COLUMNS($AC$1006:AM1006),$AC$1006:$AS$1006,0)), HYPERLINK("#",""), HYPERLINK(CONCATENATE("#metadata!", ADDRESS(INDEX($X$2:$X$1001,MATCH(ROWS($V$2:V478),$V$2:$V$1001,0),0), INDEX($AC$1004:$AS$1004,1,MATCH(COLUMNS($AC$1006:AM1006),$AC$1006:$AS$1006,0)))),"Fix")))</f>
        <v xml:space="preserve"> </v>
      </c>
      <c r="M478" s="4" t="str">
        <f ca="1">IF(OR(INDEX($W$2:$W$1001,MATCH(ROWS($V$2:V478),$V$2:$V$1001,0),1)&gt;=100000,INDEX($AC$1005:$AS$1005,1,MATCH(COLUMNS($AC$1006:AN1006),$AC$1006:$AS$1006,0))&gt;=100000), " ",IF(INDEX($AC$2:$AS$1001,MATCH(ROWS($V$2:V478),$V$2:$V$1001,0),MATCH(COLUMNS($AC$1006:AN1006),$AC$1006:$AS$1006,0)), HYPERLINK("#",""), HYPERLINK(CONCATENATE("#metadata!", ADDRESS(INDEX($X$2:$X$1001,MATCH(ROWS($V$2:V478),$V$2:$V$1001,0),0), INDEX($AC$1004:$AS$1004,1,MATCH(COLUMNS($AC$1006:AN1006),$AC$1006:$AS$1006,0)))),"Fix")))</f>
        <v xml:space="preserve"> </v>
      </c>
      <c r="N478" s="4" t="str">
        <f ca="1">IF(OR(INDEX($W$2:$W$1001,MATCH(ROWS($V$2:V478),$V$2:$V$1001,0),1)&gt;=100000,INDEX($AC$1005:$AS$1005,1,MATCH(COLUMNS($AC$1006:AO1006),$AC$1006:$AS$1006,0))&gt;=100000), " ",IF(INDEX($AC$2:$AS$1001,MATCH(ROWS($V$2:V478),$V$2:$V$1001,0),MATCH(COLUMNS($AC$1006:AO1006),$AC$1006:$AS$1006,0)), HYPERLINK("#",""), HYPERLINK(CONCATENATE("#metadata!", ADDRESS(INDEX($X$2:$X$1001,MATCH(ROWS($V$2:V478),$V$2:$V$1001,0),0), INDEX($AC$1004:$AS$1004,1,MATCH(COLUMNS($AC$1006:AO1006),$AC$1006:$AS$1006,0)))),"Fix")))</f>
        <v xml:space="preserve"> </v>
      </c>
      <c r="O478" s="4" t="str">
        <f ca="1">IF(OR(INDEX($W$2:$W$1001,MATCH(ROWS($V$2:V478),$V$2:$V$1001,0),1)&gt;=100000,INDEX($AC$1005:$AS$1005,1,MATCH(COLUMNS($AC$1006:AP1006),$AC$1006:$AS$1006,0))&gt;=100000), " ",IF(INDEX($AC$2:$AS$1001,MATCH(ROWS($V$2:V478),$V$2:$V$1001,0),MATCH(COLUMNS($AC$1006:AP1006),$AC$1006:$AS$1006,0)), HYPERLINK("#",""), HYPERLINK(CONCATENATE("#metadata!", ADDRESS(INDEX($X$2:$X$1001,MATCH(ROWS($V$2:V478),$V$2:$V$1001,0),0), INDEX($AC$1004:$AS$1004,1,MATCH(COLUMNS($AC$1006:AP1006),$AC$1006:$AS$1006,0)))),"Fix")))</f>
        <v xml:space="preserve"> </v>
      </c>
      <c r="P478" s="4" t="str">
        <f ca="1">IF(OR(INDEX($W$2:$W$1001,MATCH(ROWS($V$2:V478),$V$2:$V$1001,0),1)&gt;=100000,INDEX($AC$1005:$AS$1005,1,MATCH(COLUMNS($AC$1006:AQ1006),$AC$1006:$AS$1006,0))&gt;=100000), " ",IF(INDEX($AC$2:$AS$1001,MATCH(ROWS($V$2:V478),$V$2:$V$1001,0),MATCH(COLUMNS($AC$1006:AQ1006),$AC$1006:$AS$1006,0)), HYPERLINK("#",""), HYPERLINK(CONCATENATE("#metadata!", ADDRESS(INDEX($X$2:$X$1001,MATCH(ROWS($V$2:V478),$V$2:$V$1001,0),0), INDEX($AC$1004:$AS$1004,1,MATCH(COLUMNS($AC$1006:AQ1006),$AC$1006:$AS$1006,0)))),"Fix")))</f>
        <v xml:space="preserve"> </v>
      </c>
      <c r="Q478" s="4" t="str">
        <f ca="1">IF(OR(INDEX($W$2:$W$1001,MATCH(ROWS($V$2:V478),$V$2:$V$1001,0),1)&gt;=100000,INDEX($AC$1005:$AS$1005,1,MATCH(COLUMNS($AC$1006:AR1006),$AC$1006:$AS$1006,0))&gt;=100000), " ",IF(INDEX($AC$2:$AS$1001,MATCH(ROWS($V$2:V478),$V$2:$V$1001,0),MATCH(COLUMNS($AC$1006:AR1006),$AC$1006:$AS$1006,0)), HYPERLINK("#",""), HYPERLINK(CONCATENATE("#metadata!", ADDRESS(INDEX($X$2:$X$1001,MATCH(ROWS($V$2:V478),$V$2:$V$1001,0),0), INDEX($AC$1004:$AS$1004,1,MATCH(COLUMNS($AC$1006:AR1006),$AC$1006:$AS$1006,0)))),"Fix")))</f>
        <v xml:space="preserve"> </v>
      </c>
      <c r="R478" s="4" t="str">
        <f ca="1">IF(OR(INDEX($W$2:$W$1001,MATCH(ROWS($V$2:V478),$V$2:$V$1001,0),1)&gt;=100000,INDEX($AC$1005:$AS$1005,1,MATCH(COLUMNS($AC$1006:AS1006),$AC$1006:$AS$1006,0))&gt;=100000), " ",IF(INDEX($AC$2:$AS$1001,MATCH(ROWS($V$2:V478),$V$2:$V$1001,0),MATCH(COLUMNS($AC$1006:AS1006),$AC$1006:$AS$1006,0)), HYPERLINK("#",""), HYPERLINK(CONCATENATE("#metadata!", ADDRESS(INDEX($X$2:$X$1001,MATCH(ROWS($V$2:V478),$V$2:$V$1001,0),0), INDEX($AC$1004:$AS$1004,1,MATCH(COLUMNS($AC$1006:AS1006),$AC$1006:$AS$1006,0)))),"Fix")))</f>
        <v xml:space="preserve"> </v>
      </c>
      <c r="V478">
        <v>477</v>
      </c>
      <c r="W478">
        <v>100478</v>
      </c>
      <c r="X478">
        <v>478</v>
      </c>
      <c r="Y478" t="b">
        <f t="shared" si="7"/>
        <v>1</v>
      </c>
      <c r="Z478" t="b">
        <f>COUNTBLANK(metadata!B478:R478)=COLUMNS(metadata!B478:R478)</f>
        <v>1</v>
      </c>
      <c r="AA478" t="str">
        <v/>
      </c>
      <c r="AC478" t="b">
        <f ca="1"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AD478" t="b">
        <f>IF(metadata!C478="",FALSE,ISNUMBER(VALUE(metadata!C478)))</f>
        <v>0</v>
      </c>
      <c r="AE478" t="b">
        <f>AND(IF(metadata!D478="",FALSE,TRUE),EXACT(metadata!D478,"years"))</f>
        <v>0</v>
      </c>
      <c r="AF478" t="b">
        <f>OR(AND(IF(metadata!E478="",FALSE,TRUE),OR(EXACT(metadata!E478,"not applicable"),EXACT(metadata!E478,"missing: not collected"),EXACT(metadata!E478,"missing: not provided"),EXACT(metadata!E478,"missing: restricted access"))),AND(IF(metadata!E478="",FALSE,ISNUMBER(VALUE(metadata!E478))),metadata!E478&gt;0))</f>
        <v>0</v>
      </c>
      <c r="AG478" t="b">
        <f>AND(IF(metadata!F478="",FALSE,TRUE),EXACT(metadata!F478,"Not applicable"))</f>
        <v>0</v>
      </c>
      <c r="AH478" t="b">
        <f>AND(IF(metadata!G478="",FALSE,TRUE),EXACT(metadata!G478,"urban biome"))</f>
        <v>0</v>
      </c>
      <c r="AI478" t="b">
        <f>AND(IF(metadata!H478="",FALSE,TRUE),EXACT(metadata!H478,"human-associated habitat"))</f>
        <v>0</v>
      </c>
      <c r="AJ478" t="b">
        <f>AND(IF(metadata!I478="",FALSE,TRUE),OR(EXACT(metadata!I478,"human-associated"),EXACT(metadata!I478,"human-skin"),EXACT(metadata!I478,"human-oral"),EXACT(metadata!I478,"human-gut"),EXACT(metadata!I478,"human-vaginal")))</f>
        <v>0</v>
      </c>
      <c r="AK478" t="b">
        <f>IF(metadata!J478="",FALSE,ISNUMBER(VALUE(metadata!J478)))</f>
        <v>0</v>
      </c>
      <c r="AL478" t="b">
        <f>AND(IF(metadata!K478="",FALSE,TRUE),EXACT(metadata!K478,"cm"))</f>
        <v>0</v>
      </c>
      <c r="AM478" t="b">
        <f>AND(IF(metadata!L478="",FALSE,TRUE),EXACT(metadata!L478,"human"))</f>
        <v>0</v>
      </c>
      <c r="AN478" t="b">
        <f>AND(IF(metadata!M478="",FALSE,TRUE),EXACT(metadata!M478,"Homo sapiens"))</f>
        <v>0</v>
      </c>
      <c r="AO478" t="b">
        <f>AND(IF(metadata!N478="",FALSE,TRUE),EXACT(metadata!N478,"9606"))</f>
        <v>0</v>
      </c>
      <c r="AP478" t="b">
        <f>IF(metadata!O478="",FALSE,TRUE)</f>
        <v>0</v>
      </c>
      <c r="AQ478" t="b">
        <f>IF(metadata!P478="",FALSE,TRUE)</f>
        <v>0</v>
      </c>
      <c r="AR478" t="b">
        <f>IF(metadata!Q478="",FALSE,ISNUMBER(VALUE(metadata!Q478)))</f>
        <v>0</v>
      </c>
      <c r="AS478" t="b">
        <f>AND(IF(metadata!R478="",FALSE,TRUE),EXACT(metadata!R478,"kg"))</f>
        <v>0</v>
      </c>
    </row>
    <row r="479" spans="1:45" x14ac:dyDescent="0.2">
      <c r="A479" s="5" t="str">
        <f ca="1">IF(B479=" "," ",HYPERLINK(CONCATENATE("#metadata!",ADDRESS(INDEX($X$2:$X$1001,MATCH(ROWS($V$2:V479),$V$2:$V$1001,0),0),1)),INDEX($AA$2:$AA$1001,MATCH(ROWS($V$2:V479),$V$2:$V$1001,0),0)))</f>
        <v xml:space="preserve"> </v>
      </c>
      <c r="B479" s="4" t="str">
        <f ca="1">IF(OR(INDEX($W$2:$W$1001,MATCH(ROWS($V$2:V479),$V$2:$V$1001,0),1)&gt;=100000,INDEX($AC$1005:$AS$1005,1,MATCH(COLUMNS($AC$1006:AC1006),$AC$1006:$AS$1006,0))&gt;=100000), " ",IF(INDEX($AC$2:$AS$1001,MATCH(ROWS($V$2:V479),$V$2:$V$1001,0),MATCH(COLUMNS($AC$1006:AC1006),$AC$1006:$AS$1006,0)), HYPERLINK("#",""), HYPERLINK(CONCATENATE("#metadata!", ADDRESS(INDEX($X$2:$X$1001,MATCH(ROWS($V$2:V479),$V$2:$V$1001,0),0), INDEX($AC$1004:$AS$1004,1,MATCH(COLUMNS($AC$1006:AC1006),$AC$1006:$AS$1006,0)))),"Fix")))</f>
        <v xml:space="preserve"> </v>
      </c>
      <c r="C479" s="4" t="str">
        <f ca="1">IF(OR(INDEX($W$2:$W$1001,MATCH(ROWS($V$2:V479),$V$2:$V$1001,0),1)&gt;=100000,INDEX($AC$1005:$AS$1005,1,MATCH(COLUMNS($AC$1006:AD1006),$AC$1006:$AS$1006,0))&gt;=100000), " ",IF(INDEX($AC$2:$AS$1001,MATCH(ROWS($V$2:V479),$V$2:$V$1001,0),MATCH(COLUMNS($AC$1006:AD1006),$AC$1006:$AS$1006,0)), HYPERLINK("#",""), HYPERLINK(CONCATENATE("#metadata!", ADDRESS(INDEX($X$2:$X$1001,MATCH(ROWS($V$2:V479),$V$2:$V$1001,0),0), INDEX($AC$1004:$AS$1004,1,MATCH(COLUMNS($AC$1006:AD1006),$AC$1006:$AS$1006,0)))),"Fix")))</f>
        <v xml:space="preserve"> </v>
      </c>
      <c r="D479" s="4" t="str">
        <f ca="1">IF(OR(INDEX($W$2:$W$1001,MATCH(ROWS($V$2:V479),$V$2:$V$1001,0),1)&gt;=100000,INDEX($AC$1005:$AS$1005,1,MATCH(COLUMNS($AC$1006:AE1006),$AC$1006:$AS$1006,0))&gt;=100000), " ",IF(INDEX($AC$2:$AS$1001,MATCH(ROWS($V$2:V479),$V$2:$V$1001,0),MATCH(COLUMNS($AC$1006:AE1006),$AC$1006:$AS$1006,0)), HYPERLINK("#",""), HYPERLINK(CONCATENATE("#metadata!", ADDRESS(INDEX($X$2:$X$1001,MATCH(ROWS($V$2:V479),$V$2:$V$1001,0),0), INDEX($AC$1004:$AS$1004,1,MATCH(COLUMNS($AC$1006:AE1006),$AC$1006:$AS$1006,0)))),"Fix")))</f>
        <v xml:space="preserve"> </v>
      </c>
      <c r="E479" s="4" t="str">
        <f ca="1">IF(OR(INDEX($W$2:$W$1001,MATCH(ROWS($V$2:V479),$V$2:$V$1001,0),1)&gt;=100000,INDEX($AC$1005:$AS$1005,1,MATCH(COLUMNS($AC$1006:AF1006),$AC$1006:$AS$1006,0))&gt;=100000), " ",IF(INDEX($AC$2:$AS$1001,MATCH(ROWS($V$2:V479),$V$2:$V$1001,0),MATCH(COLUMNS($AC$1006:AF1006),$AC$1006:$AS$1006,0)), HYPERLINK("#",""), HYPERLINK(CONCATENATE("#metadata!", ADDRESS(INDEX($X$2:$X$1001,MATCH(ROWS($V$2:V479),$V$2:$V$1001,0),0), INDEX($AC$1004:$AS$1004,1,MATCH(COLUMNS($AC$1006:AF1006),$AC$1006:$AS$1006,0)))),"Fix")))</f>
        <v xml:space="preserve"> </v>
      </c>
      <c r="F479" s="4" t="str">
        <f ca="1">IF(OR(INDEX($W$2:$W$1001,MATCH(ROWS($V$2:V479),$V$2:$V$1001,0),1)&gt;=100000,INDEX($AC$1005:$AS$1005,1,MATCH(COLUMNS($AC$1006:AG1006),$AC$1006:$AS$1006,0))&gt;=100000), " ",IF(INDEX($AC$2:$AS$1001,MATCH(ROWS($V$2:V479),$V$2:$V$1001,0),MATCH(COLUMNS($AC$1006:AG1006),$AC$1006:$AS$1006,0)), HYPERLINK("#",""), HYPERLINK(CONCATENATE("#metadata!", ADDRESS(INDEX($X$2:$X$1001,MATCH(ROWS($V$2:V479),$V$2:$V$1001,0),0), INDEX($AC$1004:$AS$1004,1,MATCH(COLUMNS($AC$1006:AG1006),$AC$1006:$AS$1006,0)))),"Fix")))</f>
        <v xml:space="preserve"> </v>
      </c>
      <c r="G479" s="4" t="str">
        <f ca="1">IF(OR(INDEX($W$2:$W$1001,MATCH(ROWS($V$2:V479),$V$2:$V$1001,0),1)&gt;=100000,INDEX($AC$1005:$AS$1005,1,MATCH(COLUMNS($AC$1006:AH1006),$AC$1006:$AS$1006,0))&gt;=100000), " ",IF(INDEX($AC$2:$AS$1001,MATCH(ROWS($V$2:V479),$V$2:$V$1001,0),MATCH(COLUMNS($AC$1006:AH1006),$AC$1006:$AS$1006,0)), HYPERLINK("#",""), HYPERLINK(CONCATENATE("#metadata!", ADDRESS(INDEX($X$2:$X$1001,MATCH(ROWS($V$2:V479),$V$2:$V$1001,0),0), INDEX($AC$1004:$AS$1004,1,MATCH(COLUMNS($AC$1006:AH1006),$AC$1006:$AS$1006,0)))),"Fix")))</f>
        <v xml:space="preserve"> </v>
      </c>
      <c r="H479" s="4" t="str">
        <f ca="1">IF(OR(INDEX($W$2:$W$1001,MATCH(ROWS($V$2:V479),$V$2:$V$1001,0),1)&gt;=100000,INDEX($AC$1005:$AS$1005,1,MATCH(COLUMNS($AC$1006:AI1006),$AC$1006:$AS$1006,0))&gt;=100000), " ",IF(INDEX($AC$2:$AS$1001,MATCH(ROWS($V$2:V479),$V$2:$V$1001,0),MATCH(COLUMNS($AC$1006:AI1006),$AC$1006:$AS$1006,0)), HYPERLINK("#",""), HYPERLINK(CONCATENATE("#metadata!", ADDRESS(INDEX($X$2:$X$1001,MATCH(ROWS($V$2:V479),$V$2:$V$1001,0),0), INDEX($AC$1004:$AS$1004,1,MATCH(COLUMNS($AC$1006:AI1006),$AC$1006:$AS$1006,0)))),"Fix")))</f>
        <v xml:space="preserve"> </v>
      </c>
      <c r="I479" s="4" t="str">
        <f ca="1">IF(OR(INDEX($W$2:$W$1001,MATCH(ROWS($V$2:V479),$V$2:$V$1001,0),1)&gt;=100000,INDEX($AC$1005:$AS$1005,1,MATCH(COLUMNS($AC$1006:AJ1006),$AC$1006:$AS$1006,0))&gt;=100000), " ",IF(INDEX($AC$2:$AS$1001,MATCH(ROWS($V$2:V479),$V$2:$V$1001,0),MATCH(COLUMNS($AC$1006:AJ1006),$AC$1006:$AS$1006,0)), HYPERLINK("#",""), HYPERLINK(CONCATENATE("#metadata!", ADDRESS(INDEX($X$2:$X$1001,MATCH(ROWS($V$2:V479),$V$2:$V$1001,0),0), INDEX($AC$1004:$AS$1004,1,MATCH(COLUMNS($AC$1006:AJ1006),$AC$1006:$AS$1006,0)))),"Fix")))</f>
        <v xml:space="preserve"> </v>
      </c>
      <c r="J479" s="4" t="str">
        <f ca="1">IF(OR(INDEX($W$2:$W$1001,MATCH(ROWS($V$2:V479),$V$2:$V$1001,0),1)&gt;=100000,INDEX($AC$1005:$AS$1005,1,MATCH(COLUMNS($AC$1006:AK1006),$AC$1006:$AS$1006,0))&gt;=100000), " ",IF(INDEX($AC$2:$AS$1001,MATCH(ROWS($V$2:V479),$V$2:$V$1001,0),MATCH(COLUMNS($AC$1006:AK1006),$AC$1006:$AS$1006,0)), HYPERLINK("#",""), HYPERLINK(CONCATENATE("#metadata!", ADDRESS(INDEX($X$2:$X$1001,MATCH(ROWS($V$2:V479),$V$2:$V$1001,0),0), INDEX($AC$1004:$AS$1004,1,MATCH(COLUMNS($AC$1006:AK1006),$AC$1006:$AS$1006,0)))),"Fix")))</f>
        <v xml:space="preserve"> </v>
      </c>
      <c r="K479" s="4" t="str">
        <f ca="1">IF(OR(INDEX($W$2:$W$1001,MATCH(ROWS($V$2:V479),$V$2:$V$1001,0),1)&gt;=100000,INDEX($AC$1005:$AS$1005,1,MATCH(COLUMNS($AC$1006:AL1006),$AC$1006:$AS$1006,0))&gt;=100000), " ",IF(INDEX($AC$2:$AS$1001,MATCH(ROWS($V$2:V479),$V$2:$V$1001,0),MATCH(COLUMNS($AC$1006:AL1006),$AC$1006:$AS$1006,0)), HYPERLINK("#",""), HYPERLINK(CONCATENATE("#metadata!", ADDRESS(INDEX($X$2:$X$1001,MATCH(ROWS($V$2:V479),$V$2:$V$1001,0),0), INDEX($AC$1004:$AS$1004,1,MATCH(COLUMNS($AC$1006:AL1006),$AC$1006:$AS$1006,0)))),"Fix")))</f>
        <v xml:space="preserve"> </v>
      </c>
      <c r="L479" s="4" t="str">
        <f ca="1">IF(OR(INDEX($W$2:$W$1001,MATCH(ROWS($V$2:V479),$V$2:$V$1001,0),1)&gt;=100000,INDEX($AC$1005:$AS$1005,1,MATCH(COLUMNS($AC$1006:AM1006),$AC$1006:$AS$1006,0))&gt;=100000), " ",IF(INDEX($AC$2:$AS$1001,MATCH(ROWS($V$2:V479),$V$2:$V$1001,0),MATCH(COLUMNS($AC$1006:AM1006),$AC$1006:$AS$1006,0)), HYPERLINK("#",""), HYPERLINK(CONCATENATE("#metadata!", ADDRESS(INDEX($X$2:$X$1001,MATCH(ROWS($V$2:V479),$V$2:$V$1001,0),0), INDEX($AC$1004:$AS$1004,1,MATCH(COLUMNS($AC$1006:AM1006),$AC$1006:$AS$1006,0)))),"Fix")))</f>
        <v xml:space="preserve"> </v>
      </c>
      <c r="M479" s="4" t="str">
        <f ca="1">IF(OR(INDEX($W$2:$W$1001,MATCH(ROWS($V$2:V479),$V$2:$V$1001,0),1)&gt;=100000,INDEX($AC$1005:$AS$1005,1,MATCH(COLUMNS($AC$1006:AN1006),$AC$1006:$AS$1006,0))&gt;=100000), " ",IF(INDEX($AC$2:$AS$1001,MATCH(ROWS($V$2:V479),$V$2:$V$1001,0),MATCH(COLUMNS($AC$1006:AN1006),$AC$1006:$AS$1006,0)), HYPERLINK("#",""), HYPERLINK(CONCATENATE("#metadata!", ADDRESS(INDEX($X$2:$X$1001,MATCH(ROWS($V$2:V479),$V$2:$V$1001,0),0), INDEX($AC$1004:$AS$1004,1,MATCH(COLUMNS($AC$1006:AN1006),$AC$1006:$AS$1006,0)))),"Fix")))</f>
        <v xml:space="preserve"> </v>
      </c>
      <c r="N479" s="4" t="str">
        <f ca="1">IF(OR(INDEX($W$2:$W$1001,MATCH(ROWS($V$2:V479),$V$2:$V$1001,0),1)&gt;=100000,INDEX($AC$1005:$AS$1005,1,MATCH(COLUMNS($AC$1006:AO1006),$AC$1006:$AS$1006,0))&gt;=100000), " ",IF(INDEX($AC$2:$AS$1001,MATCH(ROWS($V$2:V479),$V$2:$V$1001,0),MATCH(COLUMNS($AC$1006:AO1006),$AC$1006:$AS$1006,0)), HYPERLINK("#",""), HYPERLINK(CONCATENATE("#metadata!", ADDRESS(INDEX($X$2:$X$1001,MATCH(ROWS($V$2:V479),$V$2:$V$1001,0),0), INDEX($AC$1004:$AS$1004,1,MATCH(COLUMNS($AC$1006:AO1006),$AC$1006:$AS$1006,0)))),"Fix")))</f>
        <v xml:space="preserve"> </v>
      </c>
      <c r="O479" s="4" t="str">
        <f ca="1">IF(OR(INDEX($W$2:$W$1001,MATCH(ROWS($V$2:V479),$V$2:$V$1001,0),1)&gt;=100000,INDEX($AC$1005:$AS$1005,1,MATCH(COLUMNS($AC$1006:AP1006),$AC$1006:$AS$1006,0))&gt;=100000), " ",IF(INDEX($AC$2:$AS$1001,MATCH(ROWS($V$2:V479),$V$2:$V$1001,0),MATCH(COLUMNS($AC$1006:AP1006),$AC$1006:$AS$1006,0)), HYPERLINK("#",""), HYPERLINK(CONCATENATE("#metadata!", ADDRESS(INDEX($X$2:$X$1001,MATCH(ROWS($V$2:V479),$V$2:$V$1001,0),0), INDEX($AC$1004:$AS$1004,1,MATCH(COLUMNS($AC$1006:AP1006),$AC$1006:$AS$1006,0)))),"Fix")))</f>
        <v xml:space="preserve"> </v>
      </c>
      <c r="P479" s="4" t="str">
        <f ca="1">IF(OR(INDEX($W$2:$W$1001,MATCH(ROWS($V$2:V479),$V$2:$V$1001,0),1)&gt;=100000,INDEX($AC$1005:$AS$1005,1,MATCH(COLUMNS($AC$1006:AQ1006),$AC$1006:$AS$1006,0))&gt;=100000), " ",IF(INDEX($AC$2:$AS$1001,MATCH(ROWS($V$2:V479),$V$2:$V$1001,0),MATCH(COLUMNS($AC$1006:AQ1006),$AC$1006:$AS$1006,0)), HYPERLINK("#",""), HYPERLINK(CONCATENATE("#metadata!", ADDRESS(INDEX($X$2:$X$1001,MATCH(ROWS($V$2:V479),$V$2:$V$1001,0),0), INDEX($AC$1004:$AS$1004,1,MATCH(COLUMNS($AC$1006:AQ1006),$AC$1006:$AS$1006,0)))),"Fix")))</f>
        <v xml:space="preserve"> </v>
      </c>
      <c r="Q479" s="4" t="str">
        <f ca="1">IF(OR(INDEX($W$2:$W$1001,MATCH(ROWS($V$2:V479),$V$2:$V$1001,0),1)&gt;=100000,INDEX($AC$1005:$AS$1005,1,MATCH(COLUMNS($AC$1006:AR1006),$AC$1006:$AS$1006,0))&gt;=100000), " ",IF(INDEX($AC$2:$AS$1001,MATCH(ROWS($V$2:V479),$V$2:$V$1001,0),MATCH(COLUMNS($AC$1006:AR1006),$AC$1006:$AS$1006,0)), HYPERLINK("#",""), HYPERLINK(CONCATENATE("#metadata!", ADDRESS(INDEX($X$2:$X$1001,MATCH(ROWS($V$2:V479),$V$2:$V$1001,0),0), INDEX($AC$1004:$AS$1004,1,MATCH(COLUMNS($AC$1006:AR1006),$AC$1006:$AS$1006,0)))),"Fix")))</f>
        <v xml:space="preserve"> </v>
      </c>
      <c r="R479" s="4" t="str">
        <f ca="1">IF(OR(INDEX($W$2:$W$1001,MATCH(ROWS($V$2:V479),$V$2:$V$1001,0),1)&gt;=100000,INDEX($AC$1005:$AS$1005,1,MATCH(COLUMNS($AC$1006:AS1006),$AC$1006:$AS$1006,0))&gt;=100000), " ",IF(INDEX($AC$2:$AS$1001,MATCH(ROWS($V$2:V479),$V$2:$V$1001,0),MATCH(COLUMNS($AC$1006:AS1006),$AC$1006:$AS$1006,0)), HYPERLINK("#",""), HYPERLINK(CONCATENATE("#metadata!", ADDRESS(INDEX($X$2:$X$1001,MATCH(ROWS($V$2:V479),$V$2:$V$1001,0),0), INDEX($AC$1004:$AS$1004,1,MATCH(COLUMNS($AC$1006:AS1006),$AC$1006:$AS$1006,0)))),"Fix")))</f>
        <v xml:space="preserve"> </v>
      </c>
      <c r="V479">
        <v>478</v>
      </c>
      <c r="W479">
        <v>100479</v>
      </c>
      <c r="X479">
        <v>479</v>
      </c>
      <c r="Y479" t="b">
        <f t="shared" si="7"/>
        <v>1</v>
      </c>
      <c r="Z479" t="b">
        <f>COUNTBLANK(metadata!B479:R479)=COLUMNS(metadata!B479:R479)</f>
        <v>1</v>
      </c>
      <c r="AA479" t="str">
        <v/>
      </c>
      <c r="AC479" t="b">
        <f ca="1"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AD479" t="b">
        <f>IF(metadata!C479="",FALSE,ISNUMBER(VALUE(metadata!C479)))</f>
        <v>0</v>
      </c>
      <c r="AE479" t="b">
        <f>AND(IF(metadata!D479="",FALSE,TRUE),EXACT(metadata!D479,"years"))</f>
        <v>0</v>
      </c>
      <c r="AF479" t="b">
        <f>OR(AND(IF(metadata!E479="",FALSE,TRUE),OR(EXACT(metadata!E479,"not applicable"),EXACT(metadata!E479,"missing: not collected"),EXACT(metadata!E479,"missing: not provided"),EXACT(metadata!E479,"missing: restricted access"))),AND(IF(metadata!E479="",FALSE,ISNUMBER(VALUE(metadata!E479))),metadata!E479&gt;0))</f>
        <v>0</v>
      </c>
      <c r="AG479" t="b">
        <f>AND(IF(metadata!F479="",FALSE,TRUE),EXACT(metadata!F479,"Not applicable"))</f>
        <v>0</v>
      </c>
      <c r="AH479" t="b">
        <f>AND(IF(metadata!G479="",FALSE,TRUE),EXACT(metadata!G479,"urban biome"))</f>
        <v>0</v>
      </c>
      <c r="AI479" t="b">
        <f>AND(IF(metadata!H479="",FALSE,TRUE),EXACT(metadata!H479,"human-associated habitat"))</f>
        <v>0</v>
      </c>
      <c r="AJ479" t="b">
        <f>AND(IF(metadata!I479="",FALSE,TRUE),OR(EXACT(metadata!I479,"human-associated"),EXACT(metadata!I479,"human-skin"),EXACT(metadata!I479,"human-oral"),EXACT(metadata!I479,"human-gut"),EXACT(metadata!I479,"human-vaginal")))</f>
        <v>0</v>
      </c>
      <c r="AK479" t="b">
        <f>IF(metadata!J479="",FALSE,ISNUMBER(VALUE(metadata!J479)))</f>
        <v>0</v>
      </c>
      <c r="AL479" t="b">
        <f>AND(IF(metadata!K479="",FALSE,TRUE),EXACT(metadata!K479,"cm"))</f>
        <v>0</v>
      </c>
      <c r="AM479" t="b">
        <f>AND(IF(metadata!L479="",FALSE,TRUE),EXACT(metadata!L479,"human"))</f>
        <v>0</v>
      </c>
      <c r="AN479" t="b">
        <f>AND(IF(metadata!M479="",FALSE,TRUE),EXACT(metadata!M479,"Homo sapiens"))</f>
        <v>0</v>
      </c>
      <c r="AO479" t="b">
        <f>AND(IF(metadata!N479="",FALSE,TRUE),EXACT(metadata!N479,"9606"))</f>
        <v>0</v>
      </c>
      <c r="AP479" t="b">
        <f>IF(metadata!O479="",FALSE,TRUE)</f>
        <v>0</v>
      </c>
      <c r="AQ479" t="b">
        <f>IF(metadata!P479="",FALSE,TRUE)</f>
        <v>0</v>
      </c>
      <c r="AR479" t="b">
        <f>IF(metadata!Q479="",FALSE,ISNUMBER(VALUE(metadata!Q479)))</f>
        <v>0</v>
      </c>
      <c r="AS479" t="b">
        <f>AND(IF(metadata!R479="",FALSE,TRUE),EXACT(metadata!R479,"kg"))</f>
        <v>0</v>
      </c>
    </row>
    <row r="480" spans="1:45" x14ac:dyDescent="0.2">
      <c r="A480" s="5" t="str">
        <f ca="1">IF(B480=" "," ",HYPERLINK(CONCATENATE("#metadata!",ADDRESS(INDEX($X$2:$X$1001,MATCH(ROWS($V$2:V480),$V$2:$V$1001,0),0),1)),INDEX($AA$2:$AA$1001,MATCH(ROWS($V$2:V480),$V$2:$V$1001,0),0)))</f>
        <v xml:space="preserve"> </v>
      </c>
      <c r="B480" s="4" t="str">
        <f ca="1">IF(OR(INDEX($W$2:$W$1001,MATCH(ROWS($V$2:V480),$V$2:$V$1001,0),1)&gt;=100000,INDEX($AC$1005:$AS$1005,1,MATCH(COLUMNS($AC$1006:AC1006),$AC$1006:$AS$1006,0))&gt;=100000), " ",IF(INDEX($AC$2:$AS$1001,MATCH(ROWS($V$2:V480),$V$2:$V$1001,0),MATCH(COLUMNS($AC$1006:AC1006),$AC$1006:$AS$1006,0)), HYPERLINK("#",""), HYPERLINK(CONCATENATE("#metadata!", ADDRESS(INDEX($X$2:$X$1001,MATCH(ROWS($V$2:V480),$V$2:$V$1001,0),0), INDEX($AC$1004:$AS$1004,1,MATCH(COLUMNS($AC$1006:AC1006),$AC$1006:$AS$1006,0)))),"Fix")))</f>
        <v xml:space="preserve"> </v>
      </c>
      <c r="C480" s="4" t="str">
        <f ca="1">IF(OR(INDEX($W$2:$W$1001,MATCH(ROWS($V$2:V480),$V$2:$V$1001,0),1)&gt;=100000,INDEX($AC$1005:$AS$1005,1,MATCH(COLUMNS($AC$1006:AD1006),$AC$1006:$AS$1006,0))&gt;=100000), " ",IF(INDEX($AC$2:$AS$1001,MATCH(ROWS($V$2:V480),$V$2:$V$1001,0),MATCH(COLUMNS($AC$1006:AD1006),$AC$1006:$AS$1006,0)), HYPERLINK("#",""), HYPERLINK(CONCATENATE("#metadata!", ADDRESS(INDEX($X$2:$X$1001,MATCH(ROWS($V$2:V480),$V$2:$V$1001,0),0), INDEX($AC$1004:$AS$1004,1,MATCH(COLUMNS($AC$1006:AD1006),$AC$1006:$AS$1006,0)))),"Fix")))</f>
        <v xml:space="preserve"> </v>
      </c>
      <c r="D480" s="4" t="str">
        <f ca="1">IF(OR(INDEX($W$2:$W$1001,MATCH(ROWS($V$2:V480),$V$2:$V$1001,0),1)&gt;=100000,INDEX($AC$1005:$AS$1005,1,MATCH(COLUMNS($AC$1006:AE1006),$AC$1006:$AS$1006,0))&gt;=100000), " ",IF(INDEX($AC$2:$AS$1001,MATCH(ROWS($V$2:V480),$V$2:$V$1001,0),MATCH(COLUMNS($AC$1006:AE1006),$AC$1006:$AS$1006,0)), HYPERLINK("#",""), HYPERLINK(CONCATENATE("#metadata!", ADDRESS(INDEX($X$2:$X$1001,MATCH(ROWS($V$2:V480),$V$2:$V$1001,0),0), INDEX($AC$1004:$AS$1004,1,MATCH(COLUMNS($AC$1006:AE1006),$AC$1006:$AS$1006,0)))),"Fix")))</f>
        <v xml:space="preserve"> </v>
      </c>
      <c r="E480" s="4" t="str">
        <f ca="1">IF(OR(INDEX($W$2:$W$1001,MATCH(ROWS($V$2:V480),$V$2:$V$1001,0),1)&gt;=100000,INDEX($AC$1005:$AS$1005,1,MATCH(COLUMNS($AC$1006:AF1006),$AC$1006:$AS$1006,0))&gt;=100000), " ",IF(INDEX($AC$2:$AS$1001,MATCH(ROWS($V$2:V480),$V$2:$V$1001,0),MATCH(COLUMNS($AC$1006:AF1006),$AC$1006:$AS$1006,0)), HYPERLINK("#",""), HYPERLINK(CONCATENATE("#metadata!", ADDRESS(INDEX($X$2:$X$1001,MATCH(ROWS($V$2:V480),$V$2:$V$1001,0),0), INDEX($AC$1004:$AS$1004,1,MATCH(COLUMNS($AC$1006:AF1006),$AC$1006:$AS$1006,0)))),"Fix")))</f>
        <v xml:space="preserve"> </v>
      </c>
      <c r="F480" s="4" t="str">
        <f ca="1">IF(OR(INDEX($W$2:$W$1001,MATCH(ROWS($V$2:V480),$V$2:$V$1001,0),1)&gt;=100000,INDEX($AC$1005:$AS$1005,1,MATCH(COLUMNS($AC$1006:AG1006),$AC$1006:$AS$1006,0))&gt;=100000), " ",IF(INDEX($AC$2:$AS$1001,MATCH(ROWS($V$2:V480),$V$2:$V$1001,0),MATCH(COLUMNS($AC$1006:AG1006),$AC$1006:$AS$1006,0)), HYPERLINK("#",""), HYPERLINK(CONCATENATE("#metadata!", ADDRESS(INDEX($X$2:$X$1001,MATCH(ROWS($V$2:V480),$V$2:$V$1001,0),0), INDEX($AC$1004:$AS$1004,1,MATCH(COLUMNS($AC$1006:AG1006),$AC$1006:$AS$1006,0)))),"Fix")))</f>
        <v xml:space="preserve"> </v>
      </c>
      <c r="G480" s="4" t="str">
        <f ca="1">IF(OR(INDEX($W$2:$W$1001,MATCH(ROWS($V$2:V480),$V$2:$V$1001,0),1)&gt;=100000,INDEX($AC$1005:$AS$1005,1,MATCH(COLUMNS($AC$1006:AH1006),$AC$1006:$AS$1006,0))&gt;=100000), " ",IF(INDEX($AC$2:$AS$1001,MATCH(ROWS($V$2:V480),$V$2:$V$1001,0),MATCH(COLUMNS($AC$1006:AH1006),$AC$1006:$AS$1006,0)), HYPERLINK("#",""), HYPERLINK(CONCATENATE("#metadata!", ADDRESS(INDEX($X$2:$X$1001,MATCH(ROWS($V$2:V480),$V$2:$V$1001,0),0), INDEX($AC$1004:$AS$1004,1,MATCH(COLUMNS($AC$1006:AH1006),$AC$1006:$AS$1006,0)))),"Fix")))</f>
        <v xml:space="preserve"> </v>
      </c>
      <c r="H480" s="4" t="str">
        <f ca="1">IF(OR(INDEX($W$2:$W$1001,MATCH(ROWS($V$2:V480),$V$2:$V$1001,0),1)&gt;=100000,INDEX($AC$1005:$AS$1005,1,MATCH(COLUMNS($AC$1006:AI1006),$AC$1006:$AS$1006,0))&gt;=100000), " ",IF(INDEX($AC$2:$AS$1001,MATCH(ROWS($V$2:V480),$V$2:$V$1001,0),MATCH(COLUMNS($AC$1006:AI1006),$AC$1006:$AS$1006,0)), HYPERLINK("#",""), HYPERLINK(CONCATENATE("#metadata!", ADDRESS(INDEX($X$2:$X$1001,MATCH(ROWS($V$2:V480),$V$2:$V$1001,0),0), INDEX($AC$1004:$AS$1004,1,MATCH(COLUMNS($AC$1006:AI1006),$AC$1006:$AS$1006,0)))),"Fix")))</f>
        <v xml:space="preserve"> </v>
      </c>
      <c r="I480" s="4" t="str">
        <f ca="1">IF(OR(INDEX($W$2:$W$1001,MATCH(ROWS($V$2:V480),$V$2:$V$1001,0),1)&gt;=100000,INDEX($AC$1005:$AS$1005,1,MATCH(COLUMNS($AC$1006:AJ1006),$AC$1006:$AS$1006,0))&gt;=100000), " ",IF(INDEX($AC$2:$AS$1001,MATCH(ROWS($V$2:V480),$V$2:$V$1001,0),MATCH(COLUMNS($AC$1006:AJ1006),$AC$1006:$AS$1006,0)), HYPERLINK("#",""), HYPERLINK(CONCATENATE("#metadata!", ADDRESS(INDEX($X$2:$X$1001,MATCH(ROWS($V$2:V480),$V$2:$V$1001,0),0), INDEX($AC$1004:$AS$1004,1,MATCH(COLUMNS($AC$1006:AJ1006),$AC$1006:$AS$1006,0)))),"Fix")))</f>
        <v xml:space="preserve"> </v>
      </c>
      <c r="J480" s="4" t="str">
        <f ca="1">IF(OR(INDEX($W$2:$W$1001,MATCH(ROWS($V$2:V480),$V$2:$V$1001,0),1)&gt;=100000,INDEX($AC$1005:$AS$1005,1,MATCH(COLUMNS($AC$1006:AK1006),$AC$1006:$AS$1006,0))&gt;=100000), " ",IF(INDEX($AC$2:$AS$1001,MATCH(ROWS($V$2:V480),$V$2:$V$1001,0),MATCH(COLUMNS($AC$1006:AK1006),$AC$1006:$AS$1006,0)), HYPERLINK("#",""), HYPERLINK(CONCATENATE("#metadata!", ADDRESS(INDEX($X$2:$X$1001,MATCH(ROWS($V$2:V480),$V$2:$V$1001,0),0), INDEX($AC$1004:$AS$1004,1,MATCH(COLUMNS($AC$1006:AK1006),$AC$1006:$AS$1006,0)))),"Fix")))</f>
        <v xml:space="preserve"> </v>
      </c>
      <c r="K480" s="4" t="str">
        <f ca="1">IF(OR(INDEX($W$2:$W$1001,MATCH(ROWS($V$2:V480),$V$2:$V$1001,0),1)&gt;=100000,INDEX($AC$1005:$AS$1005,1,MATCH(COLUMNS($AC$1006:AL1006),$AC$1006:$AS$1006,0))&gt;=100000), " ",IF(INDEX($AC$2:$AS$1001,MATCH(ROWS($V$2:V480),$V$2:$V$1001,0),MATCH(COLUMNS($AC$1006:AL1006),$AC$1006:$AS$1006,0)), HYPERLINK("#",""), HYPERLINK(CONCATENATE("#metadata!", ADDRESS(INDEX($X$2:$X$1001,MATCH(ROWS($V$2:V480),$V$2:$V$1001,0),0), INDEX($AC$1004:$AS$1004,1,MATCH(COLUMNS($AC$1006:AL1006),$AC$1006:$AS$1006,0)))),"Fix")))</f>
        <v xml:space="preserve"> </v>
      </c>
      <c r="L480" s="4" t="str">
        <f ca="1">IF(OR(INDEX($W$2:$W$1001,MATCH(ROWS($V$2:V480),$V$2:$V$1001,0),1)&gt;=100000,INDEX($AC$1005:$AS$1005,1,MATCH(COLUMNS($AC$1006:AM1006),$AC$1006:$AS$1006,0))&gt;=100000), " ",IF(INDEX($AC$2:$AS$1001,MATCH(ROWS($V$2:V480),$V$2:$V$1001,0),MATCH(COLUMNS($AC$1006:AM1006),$AC$1006:$AS$1006,0)), HYPERLINK("#",""), HYPERLINK(CONCATENATE("#metadata!", ADDRESS(INDEX($X$2:$X$1001,MATCH(ROWS($V$2:V480),$V$2:$V$1001,0),0), INDEX($AC$1004:$AS$1004,1,MATCH(COLUMNS($AC$1006:AM1006),$AC$1006:$AS$1006,0)))),"Fix")))</f>
        <v xml:space="preserve"> </v>
      </c>
      <c r="M480" s="4" t="str">
        <f ca="1">IF(OR(INDEX($W$2:$W$1001,MATCH(ROWS($V$2:V480),$V$2:$V$1001,0),1)&gt;=100000,INDEX($AC$1005:$AS$1005,1,MATCH(COLUMNS($AC$1006:AN1006),$AC$1006:$AS$1006,0))&gt;=100000), " ",IF(INDEX($AC$2:$AS$1001,MATCH(ROWS($V$2:V480),$V$2:$V$1001,0),MATCH(COLUMNS($AC$1006:AN1006),$AC$1006:$AS$1006,0)), HYPERLINK("#",""), HYPERLINK(CONCATENATE("#metadata!", ADDRESS(INDEX($X$2:$X$1001,MATCH(ROWS($V$2:V480),$V$2:$V$1001,0),0), INDEX($AC$1004:$AS$1004,1,MATCH(COLUMNS($AC$1006:AN1006),$AC$1006:$AS$1006,0)))),"Fix")))</f>
        <v xml:space="preserve"> </v>
      </c>
      <c r="N480" s="4" t="str">
        <f ca="1">IF(OR(INDEX($W$2:$W$1001,MATCH(ROWS($V$2:V480),$V$2:$V$1001,0),1)&gt;=100000,INDEX($AC$1005:$AS$1005,1,MATCH(COLUMNS($AC$1006:AO1006),$AC$1006:$AS$1006,0))&gt;=100000), " ",IF(INDEX($AC$2:$AS$1001,MATCH(ROWS($V$2:V480),$V$2:$V$1001,0),MATCH(COLUMNS($AC$1006:AO1006),$AC$1006:$AS$1006,0)), HYPERLINK("#",""), HYPERLINK(CONCATENATE("#metadata!", ADDRESS(INDEX($X$2:$X$1001,MATCH(ROWS($V$2:V480),$V$2:$V$1001,0),0), INDEX($AC$1004:$AS$1004,1,MATCH(COLUMNS($AC$1006:AO1006),$AC$1006:$AS$1006,0)))),"Fix")))</f>
        <v xml:space="preserve"> </v>
      </c>
      <c r="O480" s="4" t="str">
        <f ca="1">IF(OR(INDEX($W$2:$W$1001,MATCH(ROWS($V$2:V480),$V$2:$V$1001,0),1)&gt;=100000,INDEX($AC$1005:$AS$1005,1,MATCH(COLUMNS($AC$1006:AP1006),$AC$1006:$AS$1006,0))&gt;=100000), " ",IF(INDEX($AC$2:$AS$1001,MATCH(ROWS($V$2:V480),$V$2:$V$1001,0),MATCH(COLUMNS($AC$1006:AP1006),$AC$1006:$AS$1006,0)), HYPERLINK("#",""), HYPERLINK(CONCATENATE("#metadata!", ADDRESS(INDEX($X$2:$X$1001,MATCH(ROWS($V$2:V480),$V$2:$V$1001,0),0), INDEX($AC$1004:$AS$1004,1,MATCH(COLUMNS($AC$1006:AP1006),$AC$1006:$AS$1006,0)))),"Fix")))</f>
        <v xml:space="preserve"> </v>
      </c>
      <c r="P480" s="4" t="str">
        <f ca="1">IF(OR(INDEX($W$2:$W$1001,MATCH(ROWS($V$2:V480),$V$2:$V$1001,0),1)&gt;=100000,INDEX($AC$1005:$AS$1005,1,MATCH(COLUMNS($AC$1006:AQ1006),$AC$1006:$AS$1006,0))&gt;=100000), " ",IF(INDEX($AC$2:$AS$1001,MATCH(ROWS($V$2:V480),$V$2:$V$1001,0),MATCH(COLUMNS($AC$1006:AQ1006),$AC$1006:$AS$1006,0)), HYPERLINK("#",""), HYPERLINK(CONCATENATE("#metadata!", ADDRESS(INDEX($X$2:$X$1001,MATCH(ROWS($V$2:V480),$V$2:$V$1001,0),0), INDEX($AC$1004:$AS$1004,1,MATCH(COLUMNS($AC$1006:AQ1006),$AC$1006:$AS$1006,0)))),"Fix")))</f>
        <v xml:space="preserve"> </v>
      </c>
      <c r="Q480" s="4" t="str">
        <f ca="1">IF(OR(INDEX($W$2:$W$1001,MATCH(ROWS($V$2:V480),$V$2:$V$1001,0),1)&gt;=100000,INDEX($AC$1005:$AS$1005,1,MATCH(COLUMNS($AC$1006:AR1006),$AC$1006:$AS$1006,0))&gt;=100000), " ",IF(INDEX($AC$2:$AS$1001,MATCH(ROWS($V$2:V480),$V$2:$V$1001,0),MATCH(COLUMNS($AC$1006:AR1006),$AC$1006:$AS$1006,0)), HYPERLINK("#",""), HYPERLINK(CONCATENATE("#metadata!", ADDRESS(INDEX($X$2:$X$1001,MATCH(ROWS($V$2:V480),$V$2:$V$1001,0),0), INDEX($AC$1004:$AS$1004,1,MATCH(COLUMNS($AC$1006:AR1006),$AC$1006:$AS$1006,0)))),"Fix")))</f>
        <v xml:space="preserve"> </v>
      </c>
      <c r="R480" s="4" t="str">
        <f ca="1">IF(OR(INDEX($W$2:$W$1001,MATCH(ROWS($V$2:V480),$V$2:$V$1001,0),1)&gt;=100000,INDEX($AC$1005:$AS$1005,1,MATCH(COLUMNS($AC$1006:AS1006),$AC$1006:$AS$1006,0))&gt;=100000), " ",IF(INDEX($AC$2:$AS$1001,MATCH(ROWS($V$2:V480),$V$2:$V$1001,0),MATCH(COLUMNS($AC$1006:AS1006),$AC$1006:$AS$1006,0)), HYPERLINK("#",""), HYPERLINK(CONCATENATE("#metadata!", ADDRESS(INDEX($X$2:$X$1001,MATCH(ROWS($V$2:V480),$V$2:$V$1001,0),0), INDEX($AC$1004:$AS$1004,1,MATCH(COLUMNS($AC$1006:AS1006),$AC$1006:$AS$1006,0)))),"Fix")))</f>
        <v xml:space="preserve"> </v>
      </c>
      <c r="V480">
        <v>479</v>
      </c>
      <c r="W480">
        <v>100480</v>
      </c>
      <c r="X480">
        <v>480</v>
      </c>
      <c r="Y480" t="b">
        <f t="shared" si="7"/>
        <v>1</v>
      </c>
      <c r="Z480" t="b">
        <f>COUNTBLANK(metadata!B480:R480)=COLUMNS(metadata!B480:R480)</f>
        <v>1</v>
      </c>
      <c r="AA480" t="str">
        <v/>
      </c>
      <c r="AC480" t="b">
        <f ca="1"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AD480" t="b">
        <f>IF(metadata!C480="",FALSE,ISNUMBER(VALUE(metadata!C480)))</f>
        <v>0</v>
      </c>
      <c r="AE480" t="b">
        <f>AND(IF(metadata!D480="",FALSE,TRUE),EXACT(metadata!D480,"years"))</f>
        <v>0</v>
      </c>
      <c r="AF480" t="b">
        <f>OR(AND(IF(metadata!E480="",FALSE,TRUE),OR(EXACT(metadata!E480,"not applicable"),EXACT(metadata!E480,"missing: not collected"),EXACT(metadata!E480,"missing: not provided"),EXACT(metadata!E480,"missing: restricted access"))),AND(IF(metadata!E480="",FALSE,ISNUMBER(VALUE(metadata!E480))),metadata!E480&gt;0))</f>
        <v>0</v>
      </c>
      <c r="AG480" t="b">
        <f>AND(IF(metadata!F480="",FALSE,TRUE),EXACT(metadata!F480,"Not applicable"))</f>
        <v>0</v>
      </c>
      <c r="AH480" t="b">
        <f>AND(IF(metadata!G480="",FALSE,TRUE),EXACT(metadata!G480,"urban biome"))</f>
        <v>0</v>
      </c>
      <c r="AI480" t="b">
        <f>AND(IF(metadata!H480="",FALSE,TRUE),EXACT(metadata!H480,"human-associated habitat"))</f>
        <v>0</v>
      </c>
      <c r="AJ480" t="b">
        <f>AND(IF(metadata!I480="",FALSE,TRUE),OR(EXACT(metadata!I480,"human-associated"),EXACT(metadata!I480,"human-skin"),EXACT(metadata!I480,"human-oral"),EXACT(metadata!I480,"human-gut"),EXACT(metadata!I480,"human-vaginal")))</f>
        <v>0</v>
      </c>
      <c r="AK480" t="b">
        <f>IF(metadata!J480="",FALSE,ISNUMBER(VALUE(metadata!J480)))</f>
        <v>0</v>
      </c>
      <c r="AL480" t="b">
        <f>AND(IF(metadata!K480="",FALSE,TRUE),EXACT(metadata!K480,"cm"))</f>
        <v>0</v>
      </c>
      <c r="AM480" t="b">
        <f>AND(IF(metadata!L480="",FALSE,TRUE),EXACT(metadata!L480,"human"))</f>
        <v>0</v>
      </c>
      <c r="AN480" t="b">
        <f>AND(IF(metadata!M480="",FALSE,TRUE),EXACT(metadata!M480,"Homo sapiens"))</f>
        <v>0</v>
      </c>
      <c r="AO480" t="b">
        <f>AND(IF(metadata!N480="",FALSE,TRUE),EXACT(metadata!N480,"9606"))</f>
        <v>0</v>
      </c>
      <c r="AP480" t="b">
        <f>IF(metadata!O480="",FALSE,TRUE)</f>
        <v>0</v>
      </c>
      <c r="AQ480" t="b">
        <f>IF(metadata!P480="",FALSE,TRUE)</f>
        <v>0</v>
      </c>
      <c r="AR480" t="b">
        <f>IF(metadata!Q480="",FALSE,ISNUMBER(VALUE(metadata!Q480)))</f>
        <v>0</v>
      </c>
      <c r="AS480" t="b">
        <f>AND(IF(metadata!R480="",FALSE,TRUE),EXACT(metadata!R480,"kg"))</f>
        <v>0</v>
      </c>
    </row>
    <row r="481" spans="1:45" x14ac:dyDescent="0.2">
      <c r="A481" s="5" t="str">
        <f ca="1">IF(B481=" "," ",HYPERLINK(CONCATENATE("#metadata!",ADDRESS(INDEX($X$2:$X$1001,MATCH(ROWS($V$2:V481),$V$2:$V$1001,0),0),1)),INDEX($AA$2:$AA$1001,MATCH(ROWS($V$2:V481),$V$2:$V$1001,0),0)))</f>
        <v xml:space="preserve"> </v>
      </c>
      <c r="B481" s="4" t="str">
        <f ca="1">IF(OR(INDEX($W$2:$W$1001,MATCH(ROWS($V$2:V481),$V$2:$V$1001,0),1)&gt;=100000,INDEX($AC$1005:$AS$1005,1,MATCH(COLUMNS($AC$1006:AC1006),$AC$1006:$AS$1006,0))&gt;=100000), " ",IF(INDEX($AC$2:$AS$1001,MATCH(ROWS($V$2:V481),$V$2:$V$1001,0),MATCH(COLUMNS($AC$1006:AC1006),$AC$1006:$AS$1006,0)), HYPERLINK("#",""), HYPERLINK(CONCATENATE("#metadata!", ADDRESS(INDEX($X$2:$X$1001,MATCH(ROWS($V$2:V481),$V$2:$V$1001,0),0), INDEX($AC$1004:$AS$1004,1,MATCH(COLUMNS($AC$1006:AC1006),$AC$1006:$AS$1006,0)))),"Fix")))</f>
        <v xml:space="preserve"> </v>
      </c>
      <c r="C481" s="4" t="str">
        <f ca="1">IF(OR(INDEX($W$2:$W$1001,MATCH(ROWS($V$2:V481),$V$2:$V$1001,0),1)&gt;=100000,INDEX($AC$1005:$AS$1005,1,MATCH(COLUMNS($AC$1006:AD1006),$AC$1006:$AS$1006,0))&gt;=100000), " ",IF(INDEX($AC$2:$AS$1001,MATCH(ROWS($V$2:V481),$V$2:$V$1001,0),MATCH(COLUMNS($AC$1006:AD1006),$AC$1006:$AS$1006,0)), HYPERLINK("#",""), HYPERLINK(CONCATENATE("#metadata!", ADDRESS(INDEX($X$2:$X$1001,MATCH(ROWS($V$2:V481),$V$2:$V$1001,0),0), INDEX($AC$1004:$AS$1004,1,MATCH(COLUMNS($AC$1006:AD1006),$AC$1006:$AS$1006,0)))),"Fix")))</f>
        <v xml:space="preserve"> </v>
      </c>
      <c r="D481" s="4" t="str">
        <f ca="1">IF(OR(INDEX($W$2:$W$1001,MATCH(ROWS($V$2:V481),$V$2:$V$1001,0),1)&gt;=100000,INDEX($AC$1005:$AS$1005,1,MATCH(COLUMNS($AC$1006:AE1006),$AC$1006:$AS$1006,0))&gt;=100000), " ",IF(INDEX($AC$2:$AS$1001,MATCH(ROWS($V$2:V481),$V$2:$V$1001,0),MATCH(COLUMNS($AC$1006:AE1006),$AC$1006:$AS$1006,0)), HYPERLINK("#",""), HYPERLINK(CONCATENATE("#metadata!", ADDRESS(INDEX($X$2:$X$1001,MATCH(ROWS($V$2:V481),$V$2:$V$1001,0),0), INDEX($AC$1004:$AS$1004,1,MATCH(COLUMNS($AC$1006:AE1006),$AC$1006:$AS$1006,0)))),"Fix")))</f>
        <v xml:space="preserve"> </v>
      </c>
      <c r="E481" s="4" t="str">
        <f ca="1">IF(OR(INDEX($W$2:$W$1001,MATCH(ROWS($V$2:V481),$V$2:$V$1001,0),1)&gt;=100000,INDEX($AC$1005:$AS$1005,1,MATCH(COLUMNS($AC$1006:AF1006),$AC$1006:$AS$1006,0))&gt;=100000), " ",IF(INDEX($AC$2:$AS$1001,MATCH(ROWS($V$2:V481),$V$2:$V$1001,0),MATCH(COLUMNS($AC$1006:AF1006),$AC$1006:$AS$1006,0)), HYPERLINK("#",""), HYPERLINK(CONCATENATE("#metadata!", ADDRESS(INDEX($X$2:$X$1001,MATCH(ROWS($V$2:V481),$V$2:$V$1001,0),0), INDEX($AC$1004:$AS$1004,1,MATCH(COLUMNS($AC$1006:AF1006),$AC$1006:$AS$1006,0)))),"Fix")))</f>
        <v xml:space="preserve"> </v>
      </c>
      <c r="F481" s="4" t="str">
        <f ca="1">IF(OR(INDEX($W$2:$W$1001,MATCH(ROWS($V$2:V481),$V$2:$V$1001,0),1)&gt;=100000,INDEX($AC$1005:$AS$1005,1,MATCH(COLUMNS($AC$1006:AG1006),$AC$1006:$AS$1006,0))&gt;=100000), " ",IF(INDEX($AC$2:$AS$1001,MATCH(ROWS($V$2:V481),$V$2:$V$1001,0),MATCH(COLUMNS($AC$1006:AG1006),$AC$1006:$AS$1006,0)), HYPERLINK("#",""), HYPERLINK(CONCATENATE("#metadata!", ADDRESS(INDEX($X$2:$X$1001,MATCH(ROWS($V$2:V481),$V$2:$V$1001,0),0), INDEX($AC$1004:$AS$1004,1,MATCH(COLUMNS($AC$1006:AG1006),$AC$1006:$AS$1006,0)))),"Fix")))</f>
        <v xml:space="preserve"> </v>
      </c>
      <c r="G481" s="4" t="str">
        <f ca="1">IF(OR(INDEX($W$2:$W$1001,MATCH(ROWS($V$2:V481),$V$2:$V$1001,0),1)&gt;=100000,INDEX($AC$1005:$AS$1005,1,MATCH(COLUMNS($AC$1006:AH1006),$AC$1006:$AS$1006,0))&gt;=100000), " ",IF(INDEX($AC$2:$AS$1001,MATCH(ROWS($V$2:V481),$V$2:$V$1001,0),MATCH(COLUMNS($AC$1006:AH1006),$AC$1006:$AS$1006,0)), HYPERLINK("#",""), HYPERLINK(CONCATENATE("#metadata!", ADDRESS(INDEX($X$2:$X$1001,MATCH(ROWS($V$2:V481),$V$2:$V$1001,0),0), INDEX($AC$1004:$AS$1004,1,MATCH(COLUMNS($AC$1006:AH1006),$AC$1006:$AS$1006,0)))),"Fix")))</f>
        <v xml:space="preserve"> </v>
      </c>
      <c r="H481" s="4" t="str">
        <f ca="1">IF(OR(INDEX($W$2:$W$1001,MATCH(ROWS($V$2:V481),$V$2:$V$1001,0),1)&gt;=100000,INDEX($AC$1005:$AS$1005,1,MATCH(COLUMNS($AC$1006:AI1006),$AC$1006:$AS$1006,0))&gt;=100000), " ",IF(INDEX($AC$2:$AS$1001,MATCH(ROWS($V$2:V481),$V$2:$V$1001,0),MATCH(COLUMNS($AC$1006:AI1006),$AC$1006:$AS$1006,0)), HYPERLINK("#",""), HYPERLINK(CONCATENATE("#metadata!", ADDRESS(INDEX($X$2:$X$1001,MATCH(ROWS($V$2:V481),$V$2:$V$1001,0),0), INDEX($AC$1004:$AS$1004,1,MATCH(COLUMNS($AC$1006:AI1006),$AC$1006:$AS$1006,0)))),"Fix")))</f>
        <v xml:space="preserve"> </v>
      </c>
      <c r="I481" s="4" t="str">
        <f ca="1">IF(OR(INDEX($W$2:$W$1001,MATCH(ROWS($V$2:V481),$V$2:$V$1001,0),1)&gt;=100000,INDEX($AC$1005:$AS$1005,1,MATCH(COLUMNS($AC$1006:AJ1006),$AC$1006:$AS$1006,0))&gt;=100000), " ",IF(INDEX($AC$2:$AS$1001,MATCH(ROWS($V$2:V481),$V$2:$V$1001,0),MATCH(COLUMNS($AC$1006:AJ1006),$AC$1006:$AS$1006,0)), HYPERLINK("#",""), HYPERLINK(CONCATENATE("#metadata!", ADDRESS(INDEX($X$2:$X$1001,MATCH(ROWS($V$2:V481),$V$2:$V$1001,0),0), INDEX($AC$1004:$AS$1004,1,MATCH(COLUMNS($AC$1006:AJ1006),$AC$1006:$AS$1006,0)))),"Fix")))</f>
        <v xml:space="preserve"> </v>
      </c>
      <c r="J481" s="4" t="str">
        <f ca="1">IF(OR(INDEX($W$2:$W$1001,MATCH(ROWS($V$2:V481),$V$2:$V$1001,0),1)&gt;=100000,INDEX($AC$1005:$AS$1005,1,MATCH(COLUMNS($AC$1006:AK1006),$AC$1006:$AS$1006,0))&gt;=100000), " ",IF(INDEX($AC$2:$AS$1001,MATCH(ROWS($V$2:V481),$V$2:$V$1001,0),MATCH(COLUMNS($AC$1006:AK1006),$AC$1006:$AS$1006,0)), HYPERLINK("#",""), HYPERLINK(CONCATENATE("#metadata!", ADDRESS(INDEX($X$2:$X$1001,MATCH(ROWS($V$2:V481),$V$2:$V$1001,0),0), INDEX($AC$1004:$AS$1004,1,MATCH(COLUMNS($AC$1006:AK1006),$AC$1006:$AS$1006,0)))),"Fix")))</f>
        <v xml:space="preserve"> </v>
      </c>
      <c r="K481" s="4" t="str">
        <f ca="1">IF(OR(INDEX($W$2:$W$1001,MATCH(ROWS($V$2:V481),$V$2:$V$1001,0),1)&gt;=100000,INDEX($AC$1005:$AS$1005,1,MATCH(COLUMNS($AC$1006:AL1006),$AC$1006:$AS$1006,0))&gt;=100000), " ",IF(INDEX($AC$2:$AS$1001,MATCH(ROWS($V$2:V481),$V$2:$V$1001,0),MATCH(COLUMNS($AC$1006:AL1006),$AC$1006:$AS$1006,0)), HYPERLINK("#",""), HYPERLINK(CONCATENATE("#metadata!", ADDRESS(INDEX($X$2:$X$1001,MATCH(ROWS($V$2:V481),$V$2:$V$1001,0),0), INDEX($AC$1004:$AS$1004,1,MATCH(COLUMNS($AC$1006:AL1006),$AC$1006:$AS$1006,0)))),"Fix")))</f>
        <v xml:space="preserve"> </v>
      </c>
      <c r="L481" s="4" t="str">
        <f ca="1">IF(OR(INDEX($W$2:$W$1001,MATCH(ROWS($V$2:V481),$V$2:$V$1001,0),1)&gt;=100000,INDEX($AC$1005:$AS$1005,1,MATCH(COLUMNS($AC$1006:AM1006),$AC$1006:$AS$1006,0))&gt;=100000), " ",IF(INDEX($AC$2:$AS$1001,MATCH(ROWS($V$2:V481),$V$2:$V$1001,0),MATCH(COLUMNS($AC$1006:AM1006),$AC$1006:$AS$1006,0)), HYPERLINK("#",""), HYPERLINK(CONCATENATE("#metadata!", ADDRESS(INDEX($X$2:$X$1001,MATCH(ROWS($V$2:V481),$V$2:$V$1001,0),0), INDEX($AC$1004:$AS$1004,1,MATCH(COLUMNS($AC$1006:AM1006),$AC$1006:$AS$1006,0)))),"Fix")))</f>
        <v xml:space="preserve"> </v>
      </c>
      <c r="M481" s="4" t="str">
        <f ca="1">IF(OR(INDEX($W$2:$W$1001,MATCH(ROWS($V$2:V481),$V$2:$V$1001,0),1)&gt;=100000,INDEX($AC$1005:$AS$1005,1,MATCH(COLUMNS($AC$1006:AN1006),$AC$1006:$AS$1006,0))&gt;=100000), " ",IF(INDEX($AC$2:$AS$1001,MATCH(ROWS($V$2:V481),$V$2:$V$1001,0),MATCH(COLUMNS($AC$1006:AN1006),$AC$1006:$AS$1006,0)), HYPERLINK("#",""), HYPERLINK(CONCATENATE("#metadata!", ADDRESS(INDEX($X$2:$X$1001,MATCH(ROWS($V$2:V481),$V$2:$V$1001,0),0), INDEX($AC$1004:$AS$1004,1,MATCH(COLUMNS($AC$1006:AN1006),$AC$1006:$AS$1006,0)))),"Fix")))</f>
        <v xml:space="preserve"> </v>
      </c>
      <c r="N481" s="4" t="str">
        <f ca="1">IF(OR(INDEX($W$2:$W$1001,MATCH(ROWS($V$2:V481),$V$2:$V$1001,0),1)&gt;=100000,INDEX($AC$1005:$AS$1005,1,MATCH(COLUMNS($AC$1006:AO1006),$AC$1006:$AS$1006,0))&gt;=100000), " ",IF(INDEX($AC$2:$AS$1001,MATCH(ROWS($V$2:V481),$V$2:$V$1001,0),MATCH(COLUMNS($AC$1006:AO1006),$AC$1006:$AS$1006,0)), HYPERLINK("#",""), HYPERLINK(CONCATENATE("#metadata!", ADDRESS(INDEX($X$2:$X$1001,MATCH(ROWS($V$2:V481),$V$2:$V$1001,0),0), INDEX($AC$1004:$AS$1004,1,MATCH(COLUMNS($AC$1006:AO1006),$AC$1006:$AS$1006,0)))),"Fix")))</f>
        <v xml:space="preserve"> </v>
      </c>
      <c r="O481" s="4" t="str">
        <f ca="1">IF(OR(INDEX($W$2:$W$1001,MATCH(ROWS($V$2:V481),$V$2:$V$1001,0),1)&gt;=100000,INDEX($AC$1005:$AS$1005,1,MATCH(COLUMNS($AC$1006:AP1006),$AC$1006:$AS$1006,0))&gt;=100000), " ",IF(INDEX($AC$2:$AS$1001,MATCH(ROWS($V$2:V481),$V$2:$V$1001,0),MATCH(COLUMNS($AC$1006:AP1006),$AC$1006:$AS$1006,0)), HYPERLINK("#",""), HYPERLINK(CONCATENATE("#metadata!", ADDRESS(INDEX($X$2:$X$1001,MATCH(ROWS($V$2:V481),$V$2:$V$1001,0),0), INDEX($AC$1004:$AS$1004,1,MATCH(COLUMNS($AC$1006:AP1006),$AC$1006:$AS$1006,0)))),"Fix")))</f>
        <v xml:space="preserve"> </v>
      </c>
      <c r="P481" s="4" t="str">
        <f ca="1">IF(OR(INDEX($W$2:$W$1001,MATCH(ROWS($V$2:V481),$V$2:$V$1001,0),1)&gt;=100000,INDEX($AC$1005:$AS$1005,1,MATCH(COLUMNS($AC$1006:AQ1006),$AC$1006:$AS$1006,0))&gt;=100000), " ",IF(INDEX($AC$2:$AS$1001,MATCH(ROWS($V$2:V481),$V$2:$V$1001,0),MATCH(COLUMNS($AC$1006:AQ1006),$AC$1006:$AS$1006,0)), HYPERLINK("#",""), HYPERLINK(CONCATENATE("#metadata!", ADDRESS(INDEX($X$2:$X$1001,MATCH(ROWS($V$2:V481),$V$2:$V$1001,0),0), INDEX($AC$1004:$AS$1004,1,MATCH(COLUMNS($AC$1006:AQ1006),$AC$1006:$AS$1006,0)))),"Fix")))</f>
        <v xml:space="preserve"> </v>
      </c>
      <c r="Q481" s="4" t="str">
        <f ca="1">IF(OR(INDEX($W$2:$W$1001,MATCH(ROWS($V$2:V481),$V$2:$V$1001,0),1)&gt;=100000,INDEX($AC$1005:$AS$1005,1,MATCH(COLUMNS($AC$1006:AR1006),$AC$1006:$AS$1006,0))&gt;=100000), " ",IF(INDEX($AC$2:$AS$1001,MATCH(ROWS($V$2:V481),$V$2:$V$1001,0),MATCH(COLUMNS($AC$1006:AR1006),$AC$1006:$AS$1006,0)), HYPERLINK("#",""), HYPERLINK(CONCATENATE("#metadata!", ADDRESS(INDEX($X$2:$X$1001,MATCH(ROWS($V$2:V481),$V$2:$V$1001,0),0), INDEX($AC$1004:$AS$1004,1,MATCH(COLUMNS($AC$1006:AR1006),$AC$1006:$AS$1006,0)))),"Fix")))</f>
        <v xml:space="preserve"> </v>
      </c>
      <c r="R481" s="4" t="str">
        <f ca="1">IF(OR(INDEX($W$2:$W$1001,MATCH(ROWS($V$2:V481),$V$2:$V$1001,0),1)&gt;=100000,INDEX($AC$1005:$AS$1005,1,MATCH(COLUMNS($AC$1006:AS1006),$AC$1006:$AS$1006,0))&gt;=100000), " ",IF(INDEX($AC$2:$AS$1001,MATCH(ROWS($V$2:V481),$V$2:$V$1001,0),MATCH(COLUMNS($AC$1006:AS1006),$AC$1006:$AS$1006,0)), HYPERLINK("#",""), HYPERLINK(CONCATENATE("#metadata!", ADDRESS(INDEX($X$2:$X$1001,MATCH(ROWS($V$2:V481),$V$2:$V$1001,0),0), INDEX($AC$1004:$AS$1004,1,MATCH(COLUMNS($AC$1006:AS1006),$AC$1006:$AS$1006,0)))),"Fix")))</f>
        <v xml:space="preserve"> </v>
      </c>
      <c r="V481">
        <v>480</v>
      </c>
      <c r="W481">
        <v>100481</v>
      </c>
      <c r="X481">
        <v>481</v>
      </c>
      <c r="Y481" t="b">
        <f t="shared" si="7"/>
        <v>1</v>
      </c>
      <c r="Z481" t="b">
        <f>COUNTBLANK(metadata!B481:R481)=COLUMNS(metadata!B481:R481)</f>
        <v>1</v>
      </c>
      <c r="AA481" t="str">
        <v/>
      </c>
      <c r="AC481" t="b">
        <f ca="1"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AD481" t="b">
        <f>IF(metadata!C481="",FALSE,ISNUMBER(VALUE(metadata!C481)))</f>
        <v>0</v>
      </c>
      <c r="AE481" t="b">
        <f>AND(IF(metadata!D481="",FALSE,TRUE),EXACT(metadata!D481,"years"))</f>
        <v>0</v>
      </c>
      <c r="AF481" t="b">
        <f>OR(AND(IF(metadata!E481="",FALSE,TRUE),OR(EXACT(metadata!E481,"not applicable"),EXACT(metadata!E481,"missing: not collected"),EXACT(metadata!E481,"missing: not provided"),EXACT(metadata!E481,"missing: restricted access"))),AND(IF(metadata!E481="",FALSE,ISNUMBER(VALUE(metadata!E481))),metadata!E481&gt;0))</f>
        <v>0</v>
      </c>
      <c r="AG481" t="b">
        <f>AND(IF(metadata!F481="",FALSE,TRUE),EXACT(metadata!F481,"Not applicable"))</f>
        <v>0</v>
      </c>
      <c r="AH481" t="b">
        <f>AND(IF(metadata!G481="",FALSE,TRUE),EXACT(metadata!G481,"urban biome"))</f>
        <v>0</v>
      </c>
      <c r="AI481" t="b">
        <f>AND(IF(metadata!H481="",FALSE,TRUE),EXACT(metadata!H481,"human-associated habitat"))</f>
        <v>0</v>
      </c>
      <c r="AJ481" t="b">
        <f>AND(IF(metadata!I481="",FALSE,TRUE),OR(EXACT(metadata!I481,"human-associated"),EXACT(metadata!I481,"human-skin"),EXACT(metadata!I481,"human-oral"),EXACT(metadata!I481,"human-gut"),EXACT(metadata!I481,"human-vaginal")))</f>
        <v>0</v>
      </c>
      <c r="AK481" t="b">
        <f>IF(metadata!J481="",FALSE,ISNUMBER(VALUE(metadata!J481)))</f>
        <v>0</v>
      </c>
      <c r="AL481" t="b">
        <f>AND(IF(metadata!K481="",FALSE,TRUE),EXACT(metadata!K481,"cm"))</f>
        <v>0</v>
      </c>
      <c r="AM481" t="b">
        <f>AND(IF(metadata!L481="",FALSE,TRUE),EXACT(metadata!L481,"human"))</f>
        <v>0</v>
      </c>
      <c r="AN481" t="b">
        <f>AND(IF(metadata!M481="",FALSE,TRUE),EXACT(metadata!M481,"Homo sapiens"))</f>
        <v>0</v>
      </c>
      <c r="AO481" t="b">
        <f>AND(IF(metadata!N481="",FALSE,TRUE),EXACT(metadata!N481,"9606"))</f>
        <v>0</v>
      </c>
      <c r="AP481" t="b">
        <f>IF(metadata!O481="",FALSE,TRUE)</f>
        <v>0</v>
      </c>
      <c r="AQ481" t="b">
        <f>IF(metadata!P481="",FALSE,TRUE)</f>
        <v>0</v>
      </c>
      <c r="AR481" t="b">
        <f>IF(metadata!Q481="",FALSE,ISNUMBER(VALUE(metadata!Q481)))</f>
        <v>0</v>
      </c>
      <c r="AS481" t="b">
        <f>AND(IF(metadata!R481="",FALSE,TRUE),EXACT(metadata!R481,"kg"))</f>
        <v>0</v>
      </c>
    </row>
    <row r="482" spans="1:45" x14ac:dyDescent="0.2">
      <c r="A482" s="5" t="str">
        <f ca="1">IF(B482=" "," ",HYPERLINK(CONCATENATE("#metadata!",ADDRESS(INDEX($X$2:$X$1001,MATCH(ROWS($V$2:V482),$V$2:$V$1001,0),0),1)),INDEX($AA$2:$AA$1001,MATCH(ROWS($V$2:V482),$V$2:$V$1001,0),0)))</f>
        <v xml:space="preserve"> </v>
      </c>
      <c r="B482" s="4" t="str">
        <f ca="1">IF(OR(INDEX($W$2:$W$1001,MATCH(ROWS($V$2:V482),$V$2:$V$1001,0),1)&gt;=100000,INDEX($AC$1005:$AS$1005,1,MATCH(COLUMNS($AC$1006:AC1006),$AC$1006:$AS$1006,0))&gt;=100000), " ",IF(INDEX($AC$2:$AS$1001,MATCH(ROWS($V$2:V482),$V$2:$V$1001,0),MATCH(COLUMNS($AC$1006:AC1006),$AC$1006:$AS$1006,0)), HYPERLINK("#",""), HYPERLINK(CONCATENATE("#metadata!", ADDRESS(INDEX($X$2:$X$1001,MATCH(ROWS($V$2:V482),$V$2:$V$1001,0),0), INDEX($AC$1004:$AS$1004,1,MATCH(COLUMNS($AC$1006:AC1006),$AC$1006:$AS$1006,0)))),"Fix")))</f>
        <v xml:space="preserve"> </v>
      </c>
      <c r="C482" s="4" t="str">
        <f ca="1">IF(OR(INDEX($W$2:$W$1001,MATCH(ROWS($V$2:V482),$V$2:$V$1001,0),1)&gt;=100000,INDEX($AC$1005:$AS$1005,1,MATCH(COLUMNS($AC$1006:AD1006),$AC$1006:$AS$1006,0))&gt;=100000), " ",IF(INDEX($AC$2:$AS$1001,MATCH(ROWS($V$2:V482),$V$2:$V$1001,0),MATCH(COLUMNS($AC$1006:AD1006),$AC$1006:$AS$1006,0)), HYPERLINK("#",""), HYPERLINK(CONCATENATE("#metadata!", ADDRESS(INDEX($X$2:$X$1001,MATCH(ROWS($V$2:V482),$V$2:$V$1001,0),0), INDEX($AC$1004:$AS$1004,1,MATCH(COLUMNS($AC$1006:AD1006),$AC$1006:$AS$1006,0)))),"Fix")))</f>
        <v xml:space="preserve"> </v>
      </c>
      <c r="D482" s="4" t="str">
        <f ca="1">IF(OR(INDEX($W$2:$W$1001,MATCH(ROWS($V$2:V482),$V$2:$V$1001,0),1)&gt;=100000,INDEX($AC$1005:$AS$1005,1,MATCH(COLUMNS($AC$1006:AE1006),$AC$1006:$AS$1006,0))&gt;=100000), " ",IF(INDEX($AC$2:$AS$1001,MATCH(ROWS($V$2:V482),$V$2:$V$1001,0),MATCH(COLUMNS($AC$1006:AE1006),$AC$1006:$AS$1006,0)), HYPERLINK("#",""), HYPERLINK(CONCATENATE("#metadata!", ADDRESS(INDEX($X$2:$X$1001,MATCH(ROWS($V$2:V482),$V$2:$V$1001,0),0), INDEX($AC$1004:$AS$1004,1,MATCH(COLUMNS($AC$1006:AE1006),$AC$1006:$AS$1006,0)))),"Fix")))</f>
        <v xml:space="preserve"> </v>
      </c>
      <c r="E482" s="4" t="str">
        <f ca="1">IF(OR(INDEX($W$2:$W$1001,MATCH(ROWS($V$2:V482),$V$2:$V$1001,0),1)&gt;=100000,INDEX($AC$1005:$AS$1005,1,MATCH(COLUMNS($AC$1006:AF1006),$AC$1006:$AS$1006,0))&gt;=100000), " ",IF(INDEX($AC$2:$AS$1001,MATCH(ROWS($V$2:V482),$V$2:$V$1001,0),MATCH(COLUMNS($AC$1006:AF1006),$AC$1006:$AS$1006,0)), HYPERLINK("#",""), HYPERLINK(CONCATENATE("#metadata!", ADDRESS(INDEX($X$2:$X$1001,MATCH(ROWS($V$2:V482),$V$2:$V$1001,0),0), INDEX($AC$1004:$AS$1004,1,MATCH(COLUMNS($AC$1006:AF1006),$AC$1006:$AS$1006,0)))),"Fix")))</f>
        <v xml:space="preserve"> </v>
      </c>
      <c r="F482" s="4" t="str">
        <f ca="1">IF(OR(INDEX($W$2:$W$1001,MATCH(ROWS($V$2:V482),$V$2:$V$1001,0),1)&gt;=100000,INDEX($AC$1005:$AS$1005,1,MATCH(COLUMNS($AC$1006:AG1006),$AC$1006:$AS$1006,0))&gt;=100000), " ",IF(INDEX($AC$2:$AS$1001,MATCH(ROWS($V$2:V482),$V$2:$V$1001,0),MATCH(COLUMNS($AC$1006:AG1006),$AC$1006:$AS$1006,0)), HYPERLINK("#",""), HYPERLINK(CONCATENATE("#metadata!", ADDRESS(INDEX($X$2:$X$1001,MATCH(ROWS($V$2:V482),$V$2:$V$1001,0),0), INDEX($AC$1004:$AS$1004,1,MATCH(COLUMNS($AC$1006:AG1006),$AC$1006:$AS$1006,0)))),"Fix")))</f>
        <v xml:space="preserve"> </v>
      </c>
      <c r="G482" s="4" t="str">
        <f ca="1">IF(OR(INDEX($W$2:$W$1001,MATCH(ROWS($V$2:V482),$V$2:$V$1001,0),1)&gt;=100000,INDEX($AC$1005:$AS$1005,1,MATCH(COLUMNS($AC$1006:AH1006),$AC$1006:$AS$1006,0))&gt;=100000), " ",IF(INDEX($AC$2:$AS$1001,MATCH(ROWS($V$2:V482),$V$2:$V$1001,0),MATCH(COLUMNS($AC$1006:AH1006),$AC$1006:$AS$1006,0)), HYPERLINK("#",""), HYPERLINK(CONCATENATE("#metadata!", ADDRESS(INDEX($X$2:$X$1001,MATCH(ROWS($V$2:V482),$V$2:$V$1001,0),0), INDEX($AC$1004:$AS$1004,1,MATCH(COLUMNS($AC$1006:AH1006),$AC$1006:$AS$1006,0)))),"Fix")))</f>
        <v xml:space="preserve"> </v>
      </c>
      <c r="H482" s="4" t="str">
        <f ca="1">IF(OR(INDEX($W$2:$W$1001,MATCH(ROWS($V$2:V482),$V$2:$V$1001,0),1)&gt;=100000,INDEX($AC$1005:$AS$1005,1,MATCH(COLUMNS($AC$1006:AI1006),$AC$1006:$AS$1006,0))&gt;=100000), " ",IF(INDEX($AC$2:$AS$1001,MATCH(ROWS($V$2:V482),$V$2:$V$1001,0),MATCH(COLUMNS($AC$1006:AI1006),$AC$1006:$AS$1006,0)), HYPERLINK("#",""), HYPERLINK(CONCATENATE("#metadata!", ADDRESS(INDEX($X$2:$X$1001,MATCH(ROWS($V$2:V482),$V$2:$V$1001,0),0), INDEX($AC$1004:$AS$1004,1,MATCH(COLUMNS($AC$1006:AI1006),$AC$1006:$AS$1006,0)))),"Fix")))</f>
        <v xml:space="preserve"> </v>
      </c>
      <c r="I482" s="4" t="str">
        <f ca="1">IF(OR(INDEX($W$2:$W$1001,MATCH(ROWS($V$2:V482),$V$2:$V$1001,0),1)&gt;=100000,INDEX($AC$1005:$AS$1005,1,MATCH(COLUMNS($AC$1006:AJ1006),$AC$1006:$AS$1006,0))&gt;=100000), " ",IF(INDEX($AC$2:$AS$1001,MATCH(ROWS($V$2:V482),$V$2:$V$1001,0),MATCH(COLUMNS($AC$1006:AJ1006),$AC$1006:$AS$1006,0)), HYPERLINK("#",""), HYPERLINK(CONCATENATE("#metadata!", ADDRESS(INDEX($X$2:$X$1001,MATCH(ROWS($V$2:V482),$V$2:$V$1001,0),0), INDEX($AC$1004:$AS$1004,1,MATCH(COLUMNS($AC$1006:AJ1006),$AC$1006:$AS$1006,0)))),"Fix")))</f>
        <v xml:space="preserve"> </v>
      </c>
      <c r="J482" s="4" t="str">
        <f ca="1">IF(OR(INDEX($W$2:$W$1001,MATCH(ROWS($V$2:V482),$V$2:$V$1001,0),1)&gt;=100000,INDEX($AC$1005:$AS$1005,1,MATCH(COLUMNS($AC$1006:AK1006),$AC$1006:$AS$1006,0))&gt;=100000), " ",IF(INDEX($AC$2:$AS$1001,MATCH(ROWS($V$2:V482),$V$2:$V$1001,0),MATCH(COLUMNS($AC$1006:AK1006),$AC$1006:$AS$1006,0)), HYPERLINK("#",""), HYPERLINK(CONCATENATE("#metadata!", ADDRESS(INDEX($X$2:$X$1001,MATCH(ROWS($V$2:V482),$V$2:$V$1001,0),0), INDEX($AC$1004:$AS$1004,1,MATCH(COLUMNS($AC$1006:AK1006),$AC$1006:$AS$1006,0)))),"Fix")))</f>
        <v xml:space="preserve"> </v>
      </c>
      <c r="K482" s="4" t="str">
        <f ca="1">IF(OR(INDEX($W$2:$W$1001,MATCH(ROWS($V$2:V482),$V$2:$V$1001,0),1)&gt;=100000,INDEX($AC$1005:$AS$1005,1,MATCH(COLUMNS($AC$1006:AL1006),$AC$1006:$AS$1006,0))&gt;=100000), " ",IF(INDEX($AC$2:$AS$1001,MATCH(ROWS($V$2:V482),$V$2:$V$1001,0),MATCH(COLUMNS($AC$1006:AL1006),$AC$1006:$AS$1006,0)), HYPERLINK("#",""), HYPERLINK(CONCATENATE("#metadata!", ADDRESS(INDEX($X$2:$X$1001,MATCH(ROWS($V$2:V482),$V$2:$V$1001,0),0), INDEX($AC$1004:$AS$1004,1,MATCH(COLUMNS($AC$1006:AL1006),$AC$1006:$AS$1006,0)))),"Fix")))</f>
        <v xml:space="preserve"> </v>
      </c>
      <c r="L482" s="4" t="str">
        <f ca="1">IF(OR(INDEX($W$2:$W$1001,MATCH(ROWS($V$2:V482),$V$2:$V$1001,0),1)&gt;=100000,INDEX($AC$1005:$AS$1005,1,MATCH(COLUMNS($AC$1006:AM1006),$AC$1006:$AS$1006,0))&gt;=100000), " ",IF(INDEX($AC$2:$AS$1001,MATCH(ROWS($V$2:V482),$V$2:$V$1001,0),MATCH(COLUMNS($AC$1006:AM1006),$AC$1006:$AS$1006,0)), HYPERLINK("#",""), HYPERLINK(CONCATENATE("#metadata!", ADDRESS(INDEX($X$2:$X$1001,MATCH(ROWS($V$2:V482),$V$2:$V$1001,0),0), INDEX($AC$1004:$AS$1004,1,MATCH(COLUMNS($AC$1006:AM1006),$AC$1006:$AS$1006,0)))),"Fix")))</f>
        <v xml:space="preserve"> </v>
      </c>
      <c r="M482" s="4" t="str">
        <f ca="1">IF(OR(INDEX($W$2:$W$1001,MATCH(ROWS($V$2:V482),$V$2:$V$1001,0),1)&gt;=100000,INDEX($AC$1005:$AS$1005,1,MATCH(COLUMNS($AC$1006:AN1006),$AC$1006:$AS$1006,0))&gt;=100000), " ",IF(INDEX($AC$2:$AS$1001,MATCH(ROWS($V$2:V482),$V$2:$V$1001,0),MATCH(COLUMNS($AC$1006:AN1006),$AC$1006:$AS$1006,0)), HYPERLINK("#",""), HYPERLINK(CONCATENATE("#metadata!", ADDRESS(INDEX($X$2:$X$1001,MATCH(ROWS($V$2:V482),$V$2:$V$1001,0),0), INDEX($AC$1004:$AS$1004,1,MATCH(COLUMNS($AC$1006:AN1006),$AC$1006:$AS$1006,0)))),"Fix")))</f>
        <v xml:space="preserve"> </v>
      </c>
      <c r="N482" s="4" t="str">
        <f ca="1">IF(OR(INDEX($W$2:$W$1001,MATCH(ROWS($V$2:V482),$V$2:$V$1001,0),1)&gt;=100000,INDEX($AC$1005:$AS$1005,1,MATCH(COLUMNS($AC$1006:AO1006),$AC$1006:$AS$1006,0))&gt;=100000), " ",IF(INDEX($AC$2:$AS$1001,MATCH(ROWS($V$2:V482),$V$2:$V$1001,0),MATCH(COLUMNS($AC$1006:AO1006),$AC$1006:$AS$1006,0)), HYPERLINK("#",""), HYPERLINK(CONCATENATE("#metadata!", ADDRESS(INDEX($X$2:$X$1001,MATCH(ROWS($V$2:V482),$V$2:$V$1001,0),0), INDEX($AC$1004:$AS$1004,1,MATCH(COLUMNS($AC$1006:AO1006),$AC$1006:$AS$1006,0)))),"Fix")))</f>
        <v xml:space="preserve"> </v>
      </c>
      <c r="O482" s="4" t="str">
        <f ca="1">IF(OR(INDEX($W$2:$W$1001,MATCH(ROWS($V$2:V482),$V$2:$V$1001,0),1)&gt;=100000,INDEX($AC$1005:$AS$1005,1,MATCH(COLUMNS($AC$1006:AP1006),$AC$1006:$AS$1006,0))&gt;=100000), " ",IF(INDEX($AC$2:$AS$1001,MATCH(ROWS($V$2:V482),$V$2:$V$1001,0),MATCH(COLUMNS($AC$1006:AP1006),$AC$1006:$AS$1006,0)), HYPERLINK("#",""), HYPERLINK(CONCATENATE("#metadata!", ADDRESS(INDEX($X$2:$X$1001,MATCH(ROWS($V$2:V482),$V$2:$V$1001,0),0), INDEX($AC$1004:$AS$1004,1,MATCH(COLUMNS($AC$1006:AP1006),$AC$1006:$AS$1006,0)))),"Fix")))</f>
        <v xml:space="preserve"> </v>
      </c>
      <c r="P482" s="4" t="str">
        <f ca="1">IF(OR(INDEX($W$2:$W$1001,MATCH(ROWS($V$2:V482),$V$2:$V$1001,0),1)&gt;=100000,INDEX($AC$1005:$AS$1005,1,MATCH(COLUMNS($AC$1006:AQ1006),$AC$1006:$AS$1006,0))&gt;=100000), " ",IF(INDEX($AC$2:$AS$1001,MATCH(ROWS($V$2:V482),$V$2:$V$1001,0),MATCH(COLUMNS($AC$1006:AQ1006),$AC$1006:$AS$1006,0)), HYPERLINK("#",""), HYPERLINK(CONCATENATE("#metadata!", ADDRESS(INDEX($X$2:$X$1001,MATCH(ROWS($V$2:V482),$V$2:$V$1001,0),0), INDEX($AC$1004:$AS$1004,1,MATCH(COLUMNS($AC$1006:AQ1006),$AC$1006:$AS$1006,0)))),"Fix")))</f>
        <v xml:space="preserve"> </v>
      </c>
      <c r="Q482" s="4" t="str">
        <f ca="1">IF(OR(INDEX($W$2:$W$1001,MATCH(ROWS($V$2:V482),$V$2:$V$1001,0),1)&gt;=100000,INDEX($AC$1005:$AS$1005,1,MATCH(COLUMNS($AC$1006:AR1006),$AC$1006:$AS$1006,0))&gt;=100000), " ",IF(INDEX($AC$2:$AS$1001,MATCH(ROWS($V$2:V482),$V$2:$V$1001,0),MATCH(COLUMNS($AC$1006:AR1006),$AC$1006:$AS$1006,0)), HYPERLINK("#",""), HYPERLINK(CONCATENATE("#metadata!", ADDRESS(INDEX($X$2:$X$1001,MATCH(ROWS($V$2:V482),$V$2:$V$1001,0),0), INDEX($AC$1004:$AS$1004,1,MATCH(COLUMNS($AC$1006:AR1006),$AC$1006:$AS$1006,0)))),"Fix")))</f>
        <v xml:space="preserve"> </v>
      </c>
      <c r="R482" s="4" t="str">
        <f ca="1">IF(OR(INDEX($W$2:$W$1001,MATCH(ROWS($V$2:V482),$V$2:$V$1001,0),1)&gt;=100000,INDEX($AC$1005:$AS$1005,1,MATCH(COLUMNS($AC$1006:AS1006),$AC$1006:$AS$1006,0))&gt;=100000), " ",IF(INDEX($AC$2:$AS$1001,MATCH(ROWS($V$2:V482),$V$2:$V$1001,0),MATCH(COLUMNS($AC$1006:AS1006),$AC$1006:$AS$1006,0)), HYPERLINK("#",""), HYPERLINK(CONCATENATE("#metadata!", ADDRESS(INDEX($X$2:$X$1001,MATCH(ROWS($V$2:V482),$V$2:$V$1001,0),0), INDEX($AC$1004:$AS$1004,1,MATCH(COLUMNS($AC$1006:AS1006),$AC$1006:$AS$1006,0)))),"Fix")))</f>
        <v xml:space="preserve"> </v>
      </c>
      <c r="V482">
        <v>481</v>
      </c>
      <c r="W482">
        <v>100482</v>
      </c>
      <c r="X482">
        <v>482</v>
      </c>
      <c r="Y482" t="b">
        <f t="shared" si="7"/>
        <v>1</v>
      </c>
      <c r="Z482" t="b">
        <f>COUNTBLANK(metadata!B482:R482)=COLUMNS(metadata!B482:R482)</f>
        <v>1</v>
      </c>
      <c r="AA482" t="str">
        <v/>
      </c>
      <c r="AC482" t="b">
        <f ca="1"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AD482" t="b">
        <f>IF(metadata!C482="",FALSE,ISNUMBER(VALUE(metadata!C482)))</f>
        <v>0</v>
      </c>
      <c r="AE482" t="b">
        <f>AND(IF(metadata!D482="",FALSE,TRUE),EXACT(metadata!D482,"years"))</f>
        <v>0</v>
      </c>
      <c r="AF482" t="b">
        <f>OR(AND(IF(metadata!E482="",FALSE,TRUE),OR(EXACT(metadata!E482,"not applicable"),EXACT(metadata!E482,"missing: not collected"),EXACT(metadata!E482,"missing: not provided"),EXACT(metadata!E482,"missing: restricted access"))),AND(IF(metadata!E482="",FALSE,ISNUMBER(VALUE(metadata!E482))),metadata!E482&gt;0))</f>
        <v>0</v>
      </c>
      <c r="AG482" t="b">
        <f>AND(IF(metadata!F482="",FALSE,TRUE),EXACT(metadata!F482,"Not applicable"))</f>
        <v>0</v>
      </c>
      <c r="AH482" t="b">
        <f>AND(IF(metadata!G482="",FALSE,TRUE),EXACT(metadata!G482,"urban biome"))</f>
        <v>0</v>
      </c>
      <c r="AI482" t="b">
        <f>AND(IF(metadata!H482="",FALSE,TRUE),EXACT(metadata!H482,"human-associated habitat"))</f>
        <v>0</v>
      </c>
      <c r="AJ482" t="b">
        <f>AND(IF(metadata!I482="",FALSE,TRUE),OR(EXACT(metadata!I482,"human-associated"),EXACT(metadata!I482,"human-skin"),EXACT(metadata!I482,"human-oral"),EXACT(metadata!I482,"human-gut"),EXACT(metadata!I482,"human-vaginal")))</f>
        <v>0</v>
      </c>
      <c r="AK482" t="b">
        <f>IF(metadata!J482="",FALSE,ISNUMBER(VALUE(metadata!J482)))</f>
        <v>0</v>
      </c>
      <c r="AL482" t="b">
        <f>AND(IF(metadata!K482="",FALSE,TRUE),EXACT(metadata!K482,"cm"))</f>
        <v>0</v>
      </c>
      <c r="AM482" t="b">
        <f>AND(IF(metadata!L482="",FALSE,TRUE),EXACT(metadata!L482,"human"))</f>
        <v>0</v>
      </c>
      <c r="AN482" t="b">
        <f>AND(IF(metadata!M482="",FALSE,TRUE),EXACT(metadata!M482,"Homo sapiens"))</f>
        <v>0</v>
      </c>
      <c r="AO482" t="b">
        <f>AND(IF(metadata!N482="",FALSE,TRUE),EXACT(metadata!N482,"9606"))</f>
        <v>0</v>
      </c>
      <c r="AP482" t="b">
        <f>IF(metadata!O482="",FALSE,TRUE)</f>
        <v>0</v>
      </c>
      <c r="AQ482" t="b">
        <f>IF(metadata!P482="",FALSE,TRUE)</f>
        <v>0</v>
      </c>
      <c r="AR482" t="b">
        <f>IF(metadata!Q482="",FALSE,ISNUMBER(VALUE(metadata!Q482)))</f>
        <v>0</v>
      </c>
      <c r="AS482" t="b">
        <f>AND(IF(metadata!R482="",FALSE,TRUE),EXACT(metadata!R482,"kg"))</f>
        <v>0</v>
      </c>
    </row>
    <row r="483" spans="1:45" x14ac:dyDescent="0.2">
      <c r="A483" s="5" t="str">
        <f ca="1">IF(B483=" "," ",HYPERLINK(CONCATENATE("#metadata!",ADDRESS(INDEX($X$2:$X$1001,MATCH(ROWS($V$2:V483),$V$2:$V$1001,0),0),1)),INDEX($AA$2:$AA$1001,MATCH(ROWS($V$2:V483),$V$2:$V$1001,0),0)))</f>
        <v xml:space="preserve"> </v>
      </c>
      <c r="B483" s="4" t="str">
        <f ca="1">IF(OR(INDEX($W$2:$W$1001,MATCH(ROWS($V$2:V483),$V$2:$V$1001,0),1)&gt;=100000,INDEX($AC$1005:$AS$1005,1,MATCH(COLUMNS($AC$1006:AC1006),$AC$1006:$AS$1006,0))&gt;=100000), " ",IF(INDEX($AC$2:$AS$1001,MATCH(ROWS($V$2:V483),$V$2:$V$1001,0),MATCH(COLUMNS($AC$1006:AC1006),$AC$1006:$AS$1006,0)), HYPERLINK("#",""), HYPERLINK(CONCATENATE("#metadata!", ADDRESS(INDEX($X$2:$X$1001,MATCH(ROWS($V$2:V483),$V$2:$V$1001,0),0), INDEX($AC$1004:$AS$1004,1,MATCH(COLUMNS($AC$1006:AC1006),$AC$1006:$AS$1006,0)))),"Fix")))</f>
        <v xml:space="preserve"> </v>
      </c>
      <c r="C483" s="4" t="str">
        <f ca="1">IF(OR(INDEX($W$2:$W$1001,MATCH(ROWS($V$2:V483),$V$2:$V$1001,0),1)&gt;=100000,INDEX($AC$1005:$AS$1005,1,MATCH(COLUMNS($AC$1006:AD1006),$AC$1006:$AS$1006,0))&gt;=100000), " ",IF(INDEX($AC$2:$AS$1001,MATCH(ROWS($V$2:V483),$V$2:$V$1001,0),MATCH(COLUMNS($AC$1006:AD1006),$AC$1006:$AS$1006,0)), HYPERLINK("#",""), HYPERLINK(CONCATENATE("#metadata!", ADDRESS(INDEX($X$2:$X$1001,MATCH(ROWS($V$2:V483),$V$2:$V$1001,0),0), INDEX($AC$1004:$AS$1004,1,MATCH(COLUMNS($AC$1006:AD1006),$AC$1006:$AS$1006,0)))),"Fix")))</f>
        <v xml:space="preserve"> </v>
      </c>
      <c r="D483" s="4" t="str">
        <f ca="1">IF(OR(INDEX($W$2:$W$1001,MATCH(ROWS($V$2:V483),$V$2:$V$1001,0),1)&gt;=100000,INDEX($AC$1005:$AS$1005,1,MATCH(COLUMNS($AC$1006:AE1006),$AC$1006:$AS$1006,0))&gt;=100000), " ",IF(INDEX($AC$2:$AS$1001,MATCH(ROWS($V$2:V483),$V$2:$V$1001,0),MATCH(COLUMNS($AC$1006:AE1006),$AC$1006:$AS$1006,0)), HYPERLINK("#",""), HYPERLINK(CONCATENATE("#metadata!", ADDRESS(INDEX($X$2:$X$1001,MATCH(ROWS($V$2:V483),$V$2:$V$1001,0),0), INDEX($AC$1004:$AS$1004,1,MATCH(COLUMNS($AC$1006:AE1006),$AC$1006:$AS$1006,0)))),"Fix")))</f>
        <v xml:space="preserve"> </v>
      </c>
      <c r="E483" s="4" t="str">
        <f ca="1">IF(OR(INDEX($W$2:$W$1001,MATCH(ROWS($V$2:V483),$V$2:$V$1001,0),1)&gt;=100000,INDEX($AC$1005:$AS$1005,1,MATCH(COLUMNS($AC$1006:AF1006),$AC$1006:$AS$1006,0))&gt;=100000), " ",IF(INDEX($AC$2:$AS$1001,MATCH(ROWS($V$2:V483),$V$2:$V$1001,0),MATCH(COLUMNS($AC$1006:AF1006),$AC$1006:$AS$1006,0)), HYPERLINK("#",""), HYPERLINK(CONCATENATE("#metadata!", ADDRESS(INDEX($X$2:$X$1001,MATCH(ROWS($V$2:V483),$V$2:$V$1001,0),0), INDEX($AC$1004:$AS$1004,1,MATCH(COLUMNS($AC$1006:AF1006),$AC$1006:$AS$1006,0)))),"Fix")))</f>
        <v xml:space="preserve"> </v>
      </c>
      <c r="F483" s="4" t="str">
        <f ca="1">IF(OR(INDEX($W$2:$W$1001,MATCH(ROWS($V$2:V483),$V$2:$V$1001,0),1)&gt;=100000,INDEX($AC$1005:$AS$1005,1,MATCH(COLUMNS($AC$1006:AG1006),$AC$1006:$AS$1006,0))&gt;=100000), " ",IF(INDEX($AC$2:$AS$1001,MATCH(ROWS($V$2:V483),$V$2:$V$1001,0),MATCH(COLUMNS($AC$1006:AG1006),$AC$1006:$AS$1006,0)), HYPERLINK("#",""), HYPERLINK(CONCATENATE("#metadata!", ADDRESS(INDEX($X$2:$X$1001,MATCH(ROWS($V$2:V483),$V$2:$V$1001,0),0), INDEX($AC$1004:$AS$1004,1,MATCH(COLUMNS($AC$1006:AG1006),$AC$1006:$AS$1006,0)))),"Fix")))</f>
        <v xml:space="preserve"> </v>
      </c>
      <c r="G483" s="4" t="str">
        <f ca="1">IF(OR(INDEX($W$2:$W$1001,MATCH(ROWS($V$2:V483),$V$2:$V$1001,0),1)&gt;=100000,INDEX($AC$1005:$AS$1005,1,MATCH(COLUMNS($AC$1006:AH1006),$AC$1006:$AS$1006,0))&gt;=100000), " ",IF(INDEX($AC$2:$AS$1001,MATCH(ROWS($V$2:V483),$V$2:$V$1001,0),MATCH(COLUMNS($AC$1006:AH1006),$AC$1006:$AS$1006,0)), HYPERLINK("#",""), HYPERLINK(CONCATENATE("#metadata!", ADDRESS(INDEX($X$2:$X$1001,MATCH(ROWS($V$2:V483),$V$2:$V$1001,0),0), INDEX($AC$1004:$AS$1004,1,MATCH(COLUMNS($AC$1006:AH1006),$AC$1006:$AS$1006,0)))),"Fix")))</f>
        <v xml:space="preserve"> </v>
      </c>
      <c r="H483" s="4" t="str">
        <f ca="1">IF(OR(INDEX($W$2:$W$1001,MATCH(ROWS($V$2:V483),$V$2:$V$1001,0),1)&gt;=100000,INDEX($AC$1005:$AS$1005,1,MATCH(COLUMNS($AC$1006:AI1006),$AC$1006:$AS$1006,0))&gt;=100000), " ",IF(INDEX($AC$2:$AS$1001,MATCH(ROWS($V$2:V483),$V$2:$V$1001,0),MATCH(COLUMNS($AC$1006:AI1006),$AC$1006:$AS$1006,0)), HYPERLINK("#",""), HYPERLINK(CONCATENATE("#metadata!", ADDRESS(INDEX($X$2:$X$1001,MATCH(ROWS($V$2:V483),$V$2:$V$1001,0),0), INDEX($AC$1004:$AS$1004,1,MATCH(COLUMNS($AC$1006:AI1006),$AC$1006:$AS$1006,0)))),"Fix")))</f>
        <v xml:space="preserve"> </v>
      </c>
      <c r="I483" s="4" t="str">
        <f ca="1">IF(OR(INDEX($W$2:$W$1001,MATCH(ROWS($V$2:V483),$V$2:$V$1001,0),1)&gt;=100000,INDEX($AC$1005:$AS$1005,1,MATCH(COLUMNS($AC$1006:AJ1006),$AC$1006:$AS$1006,0))&gt;=100000), " ",IF(INDEX($AC$2:$AS$1001,MATCH(ROWS($V$2:V483),$V$2:$V$1001,0),MATCH(COLUMNS($AC$1006:AJ1006),$AC$1006:$AS$1006,0)), HYPERLINK("#",""), HYPERLINK(CONCATENATE("#metadata!", ADDRESS(INDEX($X$2:$X$1001,MATCH(ROWS($V$2:V483),$V$2:$V$1001,0),0), INDEX($AC$1004:$AS$1004,1,MATCH(COLUMNS($AC$1006:AJ1006),$AC$1006:$AS$1006,0)))),"Fix")))</f>
        <v xml:space="preserve"> </v>
      </c>
      <c r="J483" s="4" t="str">
        <f ca="1">IF(OR(INDEX($W$2:$W$1001,MATCH(ROWS($V$2:V483),$V$2:$V$1001,0),1)&gt;=100000,INDEX($AC$1005:$AS$1005,1,MATCH(COLUMNS($AC$1006:AK1006),$AC$1006:$AS$1006,0))&gt;=100000), " ",IF(INDEX($AC$2:$AS$1001,MATCH(ROWS($V$2:V483),$V$2:$V$1001,0),MATCH(COLUMNS($AC$1006:AK1006),$AC$1006:$AS$1006,0)), HYPERLINK("#",""), HYPERLINK(CONCATENATE("#metadata!", ADDRESS(INDEX($X$2:$X$1001,MATCH(ROWS($V$2:V483),$V$2:$V$1001,0),0), INDEX($AC$1004:$AS$1004,1,MATCH(COLUMNS($AC$1006:AK1006),$AC$1006:$AS$1006,0)))),"Fix")))</f>
        <v xml:space="preserve"> </v>
      </c>
      <c r="K483" s="4" t="str">
        <f ca="1">IF(OR(INDEX($W$2:$W$1001,MATCH(ROWS($V$2:V483),$V$2:$V$1001,0),1)&gt;=100000,INDEX($AC$1005:$AS$1005,1,MATCH(COLUMNS($AC$1006:AL1006),$AC$1006:$AS$1006,0))&gt;=100000), " ",IF(INDEX($AC$2:$AS$1001,MATCH(ROWS($V$2:V483),$V$2:$V$1001,0),MATCH(COLUMNS($AC$1006:AL1006),$AC$1006:$AS$1006,0)), HYPERLINK("#",""), HYPERLINK(CONCATENATE("#metadata!", ADDRESS(INDEX($X$2:$X$1001,MATCH(ROWS($V$2:V483),$V$2:$V$1001,0),0), INDEX($AC$1004:$AS$1004,1,MATCH(COLUMNS($AC$1006:AL1006),$AC$1006:$AS$1006,0)))),"Fix")))</f>
        <v xml:space="preserve"> </v>
      </c>
      <c r="L483" s="4" t="str">
        <f ca="1">IF(OR(INDEX($W$2:$W$1001,MATCH(ROWS($V$2:V483),$V$2:$V$1001,0),1)&gt;=100000,INDEX($AC$1005:$AS$1005,1,MATCH(COLUMNS($AC$1006:AM1006),$AC$1006:$AS$1006,0))&gt;=100000), " ",IF(INDEX($AC$2:$AS$1001,MATCH(ROWS($V$2:V483),$V$2:$V$1001,0),MATCH(COLUMNS($AC$1006:AM1006),$AC$1006:$AS$1006,0)), HYPERLINK("#",""), HYPERLINK(CONCATENATE("#metadata!", ADDRESS(INDEX($X$2:$X$1001,MATCH(ROWS($V$2:V483),$V$2:$V$1001,0),0), INDEX($AC$1004:$AS$1004,1,MATCH(COLUMNS($AC$1006:AM1006),$AC$1006:$AS$1006,0)))),"Fix")))</f>
        <v xml:space="preserve"> </v>
      </c>
      <c r="M483" s="4" t="str">
        <f ca="1">IF(OR(INDEX($W$2:$W$1001,MATCH(ROWS($V$2:V483),$V$2:$V$1001,0),1)&gt;=100000,INDEX($AC$1005:$AS$1005,1,MATCH(COLUMNS($AC$1006:AN1006),$AC$1006:$AS$1006,0))&gt;=100000), " ",IF(INDEX($AC$2:$AS$1001,MATCH(ROWS($V$2:V483),$V$2:$V$1001,0),MATCH(COLUMNS($AC$1006:AN1006),$AC$1006:$AS$1006,0)), HYPERLINK("#",""), HYPERLINK(CONCATENATE("#metadata!", ADDRESS(INDEX($X$2:$X$1001,MATCH(ROWS($V$2:V483),$V$2:$V$1001,0),0), INDEX($AC$1004:$AS$1004,1,MATCH(COLUMNS($AC$1006:AN1006),$AC$1006:$AS$1006,0)))),"Fix")))</f>
        <v xml:space="preserve"> </v>
      </c>
      <c r="N483" s="4" t="str">
        <f ca="1">IF(OR(INDEX($W$2:$W$1001,MATCH(ROWS($V$2:V483),$V$2:$V$1001,0),1)&gt;=100000,INDEX($AC$1005:$AS$1005,1,MATCH(COLUMNS($AC$1006:AO1006),$AC$1006:$AS$1006,0))&gt;=100000), " ",IF(INDEX($AC$2:$AS$1001,MATCH(ROWS($V$2:V483),$V$2:$V$1001,0),MATCH(COLUMNS($AC$1006:AO1006),$AC$1006:$AS$1006,0)), HYPERLINK("#",""), HYPERLINK(CONCATENATE("#metadata!", ADDRESS(INDEX($X$2:$X$1001,MATCH(ROWS($V$2:V483),$V$2:$V$1001,0),0), INDEX($AC$1004:$AS$1004,1,MATCH(COLUMNS($AC$1006:AO1006),$AC$1006:$AS$1006,0)))),"Fix")))</f>
        <v xml:space="preserve"> </v>
      </c>
      <c r="O483" s="4" t="str">
        <f ca="1">IF(OR(INDEX($W$2:$W$1001,MATCH(ROWS($V$2:V483),$V$2:$V$1001,0),1)&gt;=100000,INDEX($AC$1005:$AS$1005,1,MATCH(COLUMNS($AC$1006:AP1006),$AC$1006:$AS$1006,0))&gt;=100000), " ",IF(INDEX($AC$2:$AS$1001,MATCH(ROWS($V$2:V483),$V$2:$V$1001,0),MATCH(COLUMNS($AC$1006:AP1006),$AC$1006:$AS$1006,0)), HYPERLINK("#",""), HYPERLINK(CONCATENATE("#metadata!", ADDRESS(INDEX($X$2:$X$1001,MATCH(ROWS($V$2:V483),$V$2:$V$1001,0),0), INDEX($AC$1004:$AS$1004,1,MATCH(COLUMNS($AC$1006:AP1006),$AC$1006:$AS$1006,0)))),"Fix")))</f>
        <v xml:space="preserve"> </v>
      </c>
      <c r="P483" s="4" t="str">
        <f ca="1">IF(OR(INDEX($W$2:$W$1001,MATCH(ROWS($V$2:V483),$V$2:$V$1001,0),1)&gt;=100000,INDEX($AC$1005:$AS$1005,1,MATCH(COLUMNS($AC$1006:AQ1006),$AC$1006:$AS$1006,0))&gt;=100000), " ",IF(INDEX($AC$2:$AS$1001,MATCH(ROWS($V$2:V483),$V$2:$V$1001,0),MATCH(COLUMNS($AC$1006:AQ1006),$AC$1006:$AS$1006,0)), HYPERLINK("#",""), HYPERLINK(CONCATENATE("#metadata!", ADDRESS(INDEX($X$2:$X$1001,MATCH(ROWS($V$2:V483),$V$2:$V$1001,0),0), INDEX($AC$1004:$AS$1004,1,MATCH(COLUMNS($AC$1006:AQ1006),$AC$1006:$AS$1006,0)))),"Fix")))</f>
        <v xml:space="preserve"> </v>
      </c>
      <c r="Q483" s="4" t="str">
        <f ca="1">IF(OR(INDEX($W$2:$W$1001,MATCH(ROWS($V$2:V483),$V$2:$V$1001,0),1)&gt;=100000,INDEX($AC$1005:$AS$1005,1,MATCH(COLUMNS($AC$1006:AR1006),$AC$1006:$AS$1006,0))&gt;=100000), " ",IF(INDEX($AC$2:$AS$1001,MATCH(ROWS($V$2:V483),$V$2:$V$1001,0),MATCH(COLUMNS($AC$1006:AR1006),$AC$1006:$AS$1006,0)), HYPERLINK("#",""), HYPERLINK(CONCATENATE("#metadata!", ADDRESS(INDEX($X$2:$X$1001,MATCH(ROWS($V$2:V483),$V$2:$V$1001,0),0), INDEX($AC$1004:$AS$1004,1,MATCH(COLUMNS($AC$1006:AR1006),$AC$1006:$AS$1006,0)))),"Fix")))</f>
        <v xml:space="preserve"> </v>
      </c>
      <c r="R483" s="4" t="str">
        <f ca="1">IF(OR(INDEX($W$2:$W$1001,MATCH(ROWS($V$2:V483),$V$2:$V$1001,0),1)&gt;=100000,INDEX($AC$1005:$AS$1005,1,MATCH(COLUMNS($AC$1006:AS1006),$AC$1006:$AS$1006,0))&gt;=100000), " ",IF(INDEX($AC$2:$AS$1001,MATCH(ROWS($V$2:V483),$V$2:$V$1001,0),MATCH(COLUMNS($AC$1006:AS1006),$AC$1006:$AS$1006,0)), HYPERLINK("#",""), HYPERLINK(CONCATENATE("#metadata!", ADDRESS(INDEX($X$2:$X$1001,MATCH(ROWS($V$2:V483),$V$2:$V$1001,0),0), INDEX($AC$1004:$AS$1004,1,MATCH(COLUMNS($AC$1006:AS1006),$AC$1006:$AS$1006,0)))),"Fix")))</f>
        <v xml:space="preserve"> </v>
      </c>
      <c r="V483">
        <v>482</v>
      </c>
      <c r="W483">
        <v>100483</v>
      </c>
      <c r="X483">
        <v>483</v>
      </c>
      <c r="Y483" t="b">
        <f t="shared" si="7"/>
        <v>1</v>
      </c>
      <c r="Z483" t="b">
        <f>COUNTBLANK(metadata!B483:R483)=COLUMNS(metadata!B483:R483)</f>
        <v>1</v>
      </c>
      <c r="AA483" t="str">
        <v/>
      </c>
      <c r="AC483" t="b">
        <f ca="1"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AD483" t="b">
        <f>IF(metadata!C483="",FALSE,ISNUMBER(VALUE(metadata!C483)))</f>
        <v>0</v>
      </c>
      <c r="AE483" t="b">
        <f>AND(IF(metadata!D483="",FALSE,TRUE),EXACT(metadata!D483,"years"))</f>
        <v>0</v>
      </c>
      <c r="AF483" t="b">
        <f>OR(AND(IF(metadata!E483="",FALSE,TRUE),OR(EXACT(metadata!E483,"not applicable"),EXACT(metadata!E483,"missing: not collected"),EXACT(metadata!E483,"missing: not provided"),EXACT(metadata!E483,"missing: restricted access"))),AND(IF(metadata!E483="",FALSE,ISNUMBER(VALUE(metadata!E483))),metadata!E483&gt;0))</f>
        <v>0</v>
      </c>
      <c r="AG483" t="b">
        <f>AND(IF(metadata!F483="",FALSE,TRUE),EXACT(metadata!F483,"Not applicable"))</f>
        <v>0</v>
      </c>
      <c r="AH483" t="b">
        <f>AND(IF(metadata!G483="",FALSE,TRUE),EXACT(metadata!G483,"urban biome"))</f>
        <v>0</v>
      </c>
      <c r="AI483" t="b">
        <f>AND(IF(metadata!H483="",FALSE,TRUE),EXACT(metadata!H483,"human-associated habitat"))</f>
        <v>0</v>
      </c>
      <c r="AJ483" t="b">
        <f>AND(IF(metadata!I483="",FALSE,TRUE),OR(EXACT(metadata!I483,"human-associated"),EXACT(metadata!I483,"human-skin"),EXACT(metadata!I483,"human-oral"),EXACT(metadata!I483,"human-gut"),EXACT(metadata!I483,"human-vaginal")))</f>
        <v>0</v>
      </c>
      <c r="AK483" t="b">
        <f>IF(metadata!J483="",FALSE,ISNUMBER(VALUE(metadata!J483)))</f>
        <v>0</v>
      </c>
      <c r="AL483" t="b">
        <f>AND(IF(metadata!K483="",FALSE,TRUE),EXACT(metadata!K483,"cm"))</f>
        <v>0</v>
      </c>
      <c r="AM483" t="b">
        <f>AND(IF(metadata!L483="",FALSE,TRUE),EXACT(metadata!L483,"human"))</f>
        <v>0</v>
      </c>
      <c r="AN483" t="b">
        <f>AND(IF(metadata!M483="",FALSE,TRUE),EXACT(metadata!M483,"Homo sapiens"))</f>
        <v>0</v>
      </c>
      <c r="AO483" t="b">
        <f>AND(IF(metadata!N483="",FALSE,TRUE),EXACT(metadata!N483,"9606"))</f>
        <v>0</v>
      </c>
      <c r="AP483" t="b">
        <f>IF(metadata!O483="",FALSE,TRUE)</f>
        <v>0</v>
      </c>
      <c r="AQ483" t="b">
        <f>IF(metadata!P483="",FALSE,TRUE)</f>
        <v>0</v>
      </c>
      <c r="AR483" t="b">
        <f>IF(metadata!Q483="",FALSE,ISNUMBER(VALUE(metadata!Q483)))</f>
        <v>0</v>
      </c>
      <c r="AS483" t="b">
        <f>AND(IF(metadata!R483="",FALSE,TRUE),EXACT(metadata!R483,"kg"))</f>
        <v>0</v>
      </c>
    </row>
    <row r="484" spans="1:45" x14ac:dyDescent="0.2">
      <c r="A484" s="5" t="str">
        <f ca="1">IF(B484=" "," ",HYPERLINK(CONCATENATE("#metadata!",ADDRESS(INDEX($X$2:$X$1001,MATCH(ROWS($V$2:V484),$V$2:$V$1001,0),0),1)),INDEX($AA$2:$AA$1001,MATCH(ROWS($V$2:V484),$V$2:$V$1001,0),0)))</f>
        <v xml:space="preserve"> </v>
      </c>
      <c r="B484" s="4" t="str">
        <f ca="1">IF(OR(INDEX($W$2:$W$1001,MATCH(ROWS($V$2:V484),$V$2:$V$1001,0),1)&gt;=100000,INDEX($AC$1005:$AS$1005,1,MATCH(COLUMNS($AC$1006:AC1006),$AC$1006:$AS$1006,0))&gt;=100000), " ",IF(INDEX($AC$2:$AS$1001,MATCH(ROWS($V$2:V484),$V$2:$V$1001,0),MATCH(COLUMNS($AC$1006:AC1006),$AC$1006:$AS$1006,0)), HYPERLINK("#",""), HYPERLINK(CONCATENATE("#metadata!", ADDRESS(INDEX($X$2:$X$1001,MATCH(ROWS($V$2:V484),$V$2:$V$1001,0),0), INDEX($AC$1004:$AS$1004,1,MATCH(COLUMNS($AC$1006:AC1006),$AC$1006:$AS$1006,0)))),"Fix")))</f>
        <v xml:space="preserve"> </v>
      </c>
      <c r="C484" s="4" t="str">
        <f ca="1">IF(OR(INDEX($W$2:$W$1001,MATCH(ROWS($V$2:V484),$V$2:$V$1001,0),1)&gt;=100000,INDEX($AC$1005:$AS$1005,1,MATCH(COLUMNS($AC$1006:AD1006),$AC$1006:$AS$1006,0))&gt;=100000), " ",IF(INDEX($AC$2:$AS$1001,MATCH(ROWS($V$2:V484),$V$2:$V$1001,0),MATCH(COLUMNS($AC$1006:AD1006),$AC$1006:$AS$1006,0)), HYPERLINK("#",""), HYPERLINK(CONCATENATE("#metadata!", ADDRESS(INDEX($X$2:$X$1001,MATCH(ROWS($V$2:V484),$V$2:$V$1001,0),0), INDEX($AC$1004:$AS$1004,1,MATCH(COLUMNS($AC$1006:AD1006),$AC$1006:$AS$1006,0)))),"Fix")))</f>
        <v xml:space="preserve"> </v>
      </c>
      <c r="D484" s="4" t="str">
        <f ca="1">IF(OR(INDEX($W$2:$W$1001,MATCH(ROWS($V$2:V484),$V$2:$V$1001,0),1)&gt;=100000,INDEX($AC$1005:$AS$1005,1,MATCH(COLUMNS($AC$1006:AE1006),$AC$1006:$AS$1006,0))&gt;=100000), " ",IF(INDEX($AC$2:$AS$1001,MATCH(ROWS($V$2:V484),$V$2:$V$1001,0),MATCH(COLUMNS($AC$1006:AE1006),$AC$1006:$AS$1006,0)), HYPERLINK("#",""), HYPERLINK(CONCATENATE("#metadata!", ADDRESS(INDEX($X$2:$X$1001,MATCH(ROWS($V$2:V484),$V$2:$V$1001,0),0), INDEX($AC$1004:$AS$1004,1,MATCH(COLUMNS($AC$1006:AE1006),$AC$1006:$AS$1006,0)))),"Fix")))</f>
        <v xml:space="preserve"> </v>
      </c>
      <c r="E484" s="4" t="str">
        <f ca="1">IF(OR(INDEX($W$2:$W$1001,MATCH(ROWS($V$2:V484),$V$2:$V$1001,0),1)&gt;=100000,INDEX($AC$1005:$AS$1005,1,MATCH(COLUMNS($AC$1006:AF1006),$AC$1006:$AS$1006,0))&gt;=100000), " ",IF(INDEX($AC$2:$AS$1001,MATCH(ROWS($V$2:V484),$V$2:$V$1001,0),MATCH(COLUMNS($AC$1006:AF1006),$AC$1006:$AS$1006,0)), HYPERLINK("#",""), HYPERLINK(CONCATENATE("#metadata!", ADDRESS(INDEX($X$2:$X$1001,MATCH(ROWS($V$2:V484),$V$2:$V$1001,0),0), INDEX($AC$1004:$AS$1004,1,MATCH(COLUMNS($AC$1006:AF1006),$AC$1006:$AS$1006,0)))),"Fix")))</f>
        <v xml:space="preserve"> </v>
      </c>
      <c r="F484" s="4" t="str">
        <f ca="1">IF(OR(INDEX($W$2:$W$1001,MATCH(ROWS($V$2:V484),$V$2:$V$1001,0),1)&gt;=100000,INDEX($AC$1005:$AS$1005,1,MATCH(COLUMNS($AC$1006:AG1006),$AC$1006:$AS$1006,0))&gt;=100000), " ",IF(INDEX($AC$2:$AS$1001,MATCH(ROWS($V$2:V484),$V$2:$V$1001,0),MATCH(COLUMNS($AC$1006:AG1006),$AC$1006:$AS$1006,0)), HYPERLINK("#",""), HYPERLINK(CONCATENATE("#metadata!", ADDRESS(INDEX($X$2:$X$1001,MATCH(ROWS($V$2:V484),$V$2:$V$1001,0),0), INDEX($AC$1004:$AS$1004,1,MATCH(COLUMNS($AC$1006:AG1006),$AC$1006:$AS$1006,0)))),"Fix")))</f>
        <v xml:space="preserve"> </v>
      </c>
      <c r="G484" s="4" t="str">
        <f ca="1">IF(OR(INDEX($W$2:$W$1001,MATCH(ROWS($V$2:V484),$V$2:$V$1001,0),1)&gt;=100000,INDEX($AC$1005:$AS$1005,1,MATCH(COLUMNS($AC$1006:AH1006),$AC$1006:$AS$1006,0))&gt;=100000), " ",IF(INDEX($AC$2:$AS$1001,MATCH(ROWS($V$2:V484),$V$2:$V$1001,0),MATCH(COLUMNS($AC$1006:AH1006),$AC$1006:$AS$1006,0)), HYPERLINK("#",""), HYPERLINK(CONCATENATE("#metadata!", ADDRESS(INDEX($X$2:$X$1001,MATCH(ROWS($V$2:V484),$V$2:$V$1001,0),0), INDEX($AC$1004:$AS$1004,1,MATCH(COLUMNS($AC$1006:AH1006),$AC$1006:$AS$1006,0)))),"Fix")))</f>
        <v xml:space="preserve"> </v>
      </c>
      <c r="H484" s="4" t="str">
        <f ca="1">IF(OR(INDEX($W$2:$W$1001,MATCH(ROWS($V$2:V484),$V$2:$V$1001,0),1)&gt;=100000,INDEX($AC$1005:$AS$1005,1,MATCH(COLUMNS($AC$1006:AI1006),$AC$1006:$AS$1006,0))&gt;=100000), " ",IF(INDEX($AC$2:$AS$1001,MATCH(ROWS($V$2:V484),$V$2:$V$1001,0),MATCH(COLUMNS($AC$1006:AI1006),$AC$1006:$AS$1006,0)), HYPERLINK("#",""), HYPERLINK(CONCATENATE("#metadata!", ADDRESS(INDEX($X$2:$X$1001,MATCH(ROWS($V$2:V484),$V$2:$V$1001,0),0), INDEX($AC$1004:$AS$1004,1,MATCH(COLUMNS($AC$1006:AI1006),$AC$1006:$AS$1006,0)))),"Fix")))</f>
        <v xml:space="preserve"> </v>
      </c>
      <c r="I484" s="4" t="str">
        <f ca="1">IF(OR(INDEX($W$2:$W$1001,MATCH(ROWS($V$2:V484),$V$2:$V$1001,0),1)&gt;=100000,INDEX($AC$1005:$AS$1005,1,MATCH(COLUMNS($AC$1006:AJ1006),$AC$1006:$AS$1006,0))&gt;=100000), " ",IF(INDEX($AC$2:$AS$1001,MATCH(ROWS($V$2:V484),$V$2:$V$1001,0),MATCH(COLUMNS($AC$1006:AJ1006),$AC$1006:$AS$1006,0)), HYPERLINK("#",""), HYPERLINK(CONCATENATE("#metadata!", ADDRESS(INDEX($X$2:$X$1001,MATCH(ROWS($V$2:V484),$V$2:$V$1001,0),0), INDEX($AC$1004:$AS$1004,1,MATCH(COLUMNS($AC$1006:AJ1006),$AC$1006:$AS$1006,0)))),"Fix")))</f>
        <v xml:space="preserve"> </v>
      </c>
      <c r="J484" s="4" t="str">
        <f ca="1">IF(OR(INDEX($W$2:$W$1001,MATCH(ROWS($V$2:V484),$V$2:$V$1001,0),1)&gt;=100000,INDEX($AC$1005:$AS$1005,1,MATCH(COLUMNS($AC$1006:AK1006),$AC$1006:$AS$1006,0))&gt;=100000), " ",IF(INDEX($AC$2:$AS$1001,MATCH(ROWS($V$2:V484),$V$2:$V$1001,0),MATCH(COLUMNS($AC$1006:AK1006),$AC$1006:$AS$1006,0)), HYPERLINK("#",""), HYPERLINK(CONCATENATE("#metadata!", ADDRESS(INDEX($X$2:$X$1001,MATCH(ROWS($V$2:V484),$V$2:$V$1001,0),0), INDEX($AC$1004:$AS$1004,1,MATCH(COLUMNS($AC$1006:AK1006),$AC$1006:$AS$1006,0)))),"Fix")))</f>
        <v xml:space="preserve"> </v>
      </c>
      <c r="K484" s="4" t="str">
        <f ca="1">IF(OR(INDEX($W$2:$W$1001,MATCH(ROWS($V$2:V484),$V$2:$V$1001,0),1)&gt;=100000,INDEX($AC$1005:$AS$1005,1,MATCH(COLUMNS($AC$1006:AL1006),$AC$1006:$AS$1006,0))&gt;=100000), " ",IF(INDEX($AC$2:$AS$1001,MATCH(ROWS($V$2:V484),$V$2:$V$1001,0),MATCH(COLUMNS($AC$1006:AL1006),$AC$1006:$AS$1006,0)), HYPERLINK("#",""), HYPERLINK(CONCATENATE("#metadata!", ADDRESS(INDEX($X$2:$X$1001,MATCH(ROWS($V$2:V484),$V$2:$V$1001,0),0), INDEX($AC$1004:$AS$1004,1,MATCH(COLUMNS($AC$1006:AL1006),$AC$1006:$AS$1006,0)))),"Fix")))</f>
        <v xml:space="preserve"> </v>
      </c>
      <c r="L484" s="4" t="str">
        <f ca="1">IF(OR(INDEX($W$2:$W$1001,MATCH(ROWS($V$2:V484),$V$2:$V$1001,0),1)&gt;=100000,INDEX($AC$1005:$AS$1005,1,MATCH(COLUMNS($AC$1006:AM1006),$AC$1006:$AS$1006,0))&gt;=100000), " ",IF(INDEX($AC$2:$AS$1001,MATCH(ROWS($V$2:V484),$V$2:$V$1001,0),MATCH(COLUMNS($AC$1006:AM1006),$AC$1006:$AS$1006,0)), HYPERLINK("#",""), HYPERLINK(CONCATENATE("#metadata!", ADDRESS(INDEX($X$2:$X$1001,MATCH(ROWS($V$2:V484),$V$2:$V$1001,0),0), INDEX($AC$1004:$AS$1004,1,MATCH(COLUMNS($AC$1006:AM1006),$AC$1006:$AS$1006,0)))),"Fix")))</f>
        <v xml:space="preserve"> </v>
      </c>
      <c r="M484" s="4" t="str">
        <f ca="1">IF(OR(INDEX($W$2:$W$1001,MATCH(ROWS($V$2:V484),$V$2:$V$1001,0),1)&gt;=100000,INDEX($AC$1005:$AS$1005,1,MATCH(COLUMNS($AC$1006:AN1006),$AC$1006:$AS$1006,0))&gt;=100000), " ",IF(INDEX($AC$2:$AS$1001,MATCH(ROWS($V$2:V484),$V$2:$V$1001,0),MATCH(COLUMNS($AC$1006:AN1006),$AC$1006:$AS$1006,0)), HYPERLINK("#",""), HYPERLINK(CONCATENATE("#metadata!", ADDRESS(INDEX($X$2:$X$1001,MATCH(ROWS($V$2:V484),$V$2:$V$1001,0),0), INDEX($AC$1004:$AS$1004,1,MATCH(COLUMNS($AC$1006:AN1006),$AC$1006:$AS$1006,0)))),"Fix")))</f>
        <v xml:space="preserve"> </v>
      </c>
      <c r="N484" s="4" t="str">
        <f ca="1">IF(OR(INDEX($W$2:$W$1001,MATCH(ROWS($V$2:V484),$V$2:$V$1001,0),1)&gt;=100000,INDEX($AC$1005:$AS$1005,1,MATCH(COLUMNS($AC$1006:AO1006),$AC$1006:$AS$1006,0))&gt;=100000), " ",IF(INDEX($AC$2:$AS$1001,MATCH(ROWS($V$2:V484),$V$2:$V$1001,0),MATCH(COLUMNS($AC$1006:AO1006),$AC$1006:$AS$1006,0)), HYPERLINK("#",""), HYPERLINK(CONCATENATE("#metadata!", ADDRESS(INDEX($X$2:$X$1001,MATCH(ROWS($V$2:V484),$V$2:$V$1001,0),0), INDEX($AC$1004:$AS$1004,1,MATCH(COLUMNS($AC$1006:AO1006),$AC$1006:$AS$1006,0)))),"Fix")))</f>
        <v xml:space="preserve"> </v>
      </c>
      <c r="O484" s="4" t="str">
        <f ca="1">IF(OR(INDEX($W$2:$W$1001,MATCH(ROWS($V$2:V484),$V$2:$V$1001,0),1)&gt;=100000,INDEX($AC$1005:$AS$1005,1,MATCH(COLUMNS($AC$1006:AP1006),$AC$1006:$AS$1006,0))&gt;=100000), " ",IF(INDEX($AC$2:$AS$1001,MATCH(ROWS($V$2:V484),$V$2:$V$1001,0),MATCH(COLUMNS($AC$1006:AP1006),$AC$1006:$AS$1006,0)), HYPERLINK("#",""), HYPERLINK(CONCATENATE("#metadata!", ADDRESS(INDEX($X$2:$X$1001,MATCH(ROWS($V$2:V484),$V$2:$V$1001,0),0), INDEX($AC$1004:$AS$1004,1,MATCH(COLUMNS($AC$1006:AP1006),$AC$1006:$AS$1006,0)))),"Fix")))</f>
        <v xml:space="preserve"> </v>
      </c>
      <c r="P484" s="4" t="str">
        <f ca="1">IF(OR(INDEX($W$2:$W$1001,MATCH(ROWS($V$2:V484),$V$2:$V$1001,0),1)&gt;=100000,INDEX($AC$1005:$AS$1005,1,MATCH(COLUMNS($AC$1006:AQ1006),$AC$1006:$AS$1006,0))&gt;=100000), " ",IF(INDEX($AC$2:$AS$1001,MATCH(ROWS($V$2:V484),$V$2:$V$1001,0),MATCH(COLUMNS($AC$1006:AQ1006),$AC$1006:$AS$1006,0)), HYPERLINK("#",""), HYPERLINK(CONCATENATE("#metadata!", ADDRESS(INDEX($X$2:$X$1001,MATCH(ROWS($V$2:V484),$V$2:$V$1001,0),0), INDEX($AC$1004:$AS$1004,1,MATCH(COLUMNS($AC$1006:AQ1006),$AC$1006:$AS$1006,0)))),"Fix")))</f>
        <v xml:space="preserve"> </v>
      </c>
      <c r="Q484" s="4" t="str">
        <f ca="1">IF(OR(INDEX($W$2:$W$1001,MATCH(ROWS($V$2:V484),$V$2:$V$1001,0),1)&gt;=100000,INDEX($AC$1005:$AS$1005,1,MATCH(COLUMNS($AC$1006:AR1006),$AC$1006:$AS$1006,0))&gt;=100000), " ",IF(INDEX($AC$2:$AS$1001,MATCH(ROWS($V$2:V484),$V$2:$V$1001,0),MATCH(COLUMNS($AC$1006:AR1006),$AC$1006:$AS$1006,0)), HYPERLINK("#",""), HYPERLINK(CONCATENATE("#metadata!", ADDRESS(INDEX($X$2:$X$1001,MATCH(ROWS($V$2:V484),$V$2:$V$1001,0),0), INDEX($AC$1004:$AS$1004,1,MATCH(COLUMNS($AC$1006:AR1006),$AC$1006:$AS$1006,0)))),"Fix")))</f>
        <v xml:space="preserve"> </v>
      </c>
      <c r="R484" s="4" t="str">
        <f ca="1">IF(OR(INDEX($W$2:$W$1001,MATCH(ROWS($V$2:V484),$V$2:$V$1001,0),1)&gt;=100000,INDEX($AC$1005:$AS$1005,1,MATCH(COLUMNS($AC$1006:AS1006),$AC$1006:$AS$1006,0))&gt;=100000), " ",IF(INDEX($AC$2:$AS$1001,MATCH(ROWS($V$2:V484),$V$2:$V$1001,0),MATCH(COLUMNS($AC$1006:AS1006),$AC$1006:$AS$1006,0)), HYPERLINK("#",""), HYPERLINK(CONCATENATE("#metadata!", ADDRESS(INDEX($X$2:$X$1001,MATCH(ROWS($V$2:V484),$V$2:$V$1001,0),0), INDEX($AC$1004:$AS$1004,1,MATCH(COLUMNS($AC$1006:AS1006),$AC$1006:$AS$1006,0)))),"Fix")))</f>
        <v xml:space="preserve"> </v>
      </c>
      <c r="V484">
        <v>483</v>
      </c>
      <c r="W484">
        <v>100484</v>
      </c>
      <c r="X484">
        <v>484</v>
      </c>
      <c r="Y484" t="b">
        <f t="shared" si="7"/>
        <v>1</v>
      </c>
      <c r="Z484" t="b">
        <f>COUNTBLANK(metadata!B484:R484)=COLUMNS(metadata!B484:R484)</f>
        <v>1</v>
      </c>
      <c r="AA484" t="str">
        <v/>
      </c>
      <c r="AC484" t="b">
        <f ca="1"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AD484" t="b">
        <f>IF(metadata!C484="",FALSE,ISNUMBER(VALUE(metadata!C484)))</f>
        <v>0</v>
      </c>
      <c r="AE484" t="b">
        <f>AND(IF(metadata!D484="",FALSE,TRUE),EXACT(metadata!D484,"years"))</f>
        <v>0</v>
      </c>
      <c r="AF484" t="b">
        <f>OR(AND(IF(metadata!E484="",FALSE,TRUE),OR(EXACT(metadata!E484,"not applicable"),EXACT(metadata!E484,"missing: not collected"),EXACT(metadata!E484,"missing: not provided"),EXACT(metadata!E484,"missing: restricted access"))),AND(IF(metadata!E484="",FALSE,ISNUMBER(VALUE(metadata!E484))),metadata!E484&gt;0))</f>
        <v>0</v>
      </c>
      <c r="AG484" t="b">
        <f>AND(IF(metadata!F484="",FALSE,TRUE),EXACT(metadata!F484,"Not applicable"))</f>
        <v>0</v>
      </c>
      <c r="AH484" t="b">
        <f>AND(IF(metadata!G484="",FALSE,TRUE),EXACT(metadata!G484,"urban biome"))</f>
        <v>0</v>
      </c>
      <c r="AI484" t="b">
        <f>AND(IF(metadata!H484="",FALSE,TRUE),EXACT(metadata!H484,"human-associated habitat"))</f>
        <v>0</v>
      </c>
      <c r="AJ484" t="b">
        <f>AND(IF(metadata!I484="",FALSE,TRUE),OR(EXACT(metadata!I484,"human-associated"),EXACT(metadata!I484,"human-skin"),EXACT(metadata!I484,"human-oral"),EXACT(metadata!I484,"human-gut"),EXACT(metadata!I484,"human-vaginal")))</f>
        <v>0</v>
      </c>
      <c r="AK484" t="b">
        <f>IF(metadata!J484="",FALSE,ISNUMBER(VALUE(metadata!J484)))</f>
        <v>0</v>
      </c>
      <c r="AL484" t="b">
        <f>AND(IF(metadata!K484="",FALSE,TRUE),EXACT(metadata!K484,"cm"))</f>
        <v>0</v>
      </c>
      <c r="AM484" t="b">
        <f>AND(IF(metadata!L484="",FALSE,TRUE),EXACT(metadata!L484,"human"))</f>
        <v>0</v>
      </c>
      <c r="AN484" t="b">
        <f>AND(IF(metadata!M484="",FALSE,TRUE),EXACT(metadata!M484,"Homo sapiens"))</f>
        <v>0</v>
      </c>
      <c r="AO484" t="b">
        <f>AND(IF(metadata!N484="",FALSE,TRUE),EXACT(metadata!N484,"9606"))</f>
        <v>0</v>
      </c>
      <c r="AP484" t="b">
        <f>IF(metadata!O484="",FALSE,TRUE)</f>
        <v>0</v>
      </c>
      <c r="AQ484" t="b">
        <f>IF(metadata!P484="",FALSE,TRUE)</f>
        <v>0</v>
      </c>
      <c r="AR484" t="b">
        <f>IF(metadata!Q484="",FALSE,ISNUMBER(VALUE(metadata!Q484)))</f>
        <v>0</v>
      </c>
      <c r="AS484" t="b">
        <f>AND(IF(metadata!R484="",FALSE,TRUE),EXACT(metadata!R484,"kg"))</f>
        <v>0</v>
      </c>
    </row>
    <row r="485" spans="1:45" x14ac:dyDescent="0.2">
      <c r="A485" s="5" t="str">
        <f ca="1">IF(B485=" "," ",HYPERLINK(CONCATENATE("#metadata!",ADDRESS(INDEX($X$2:$X$1001,MATCH(ROWS($V$2:V485),$V$2:$V$1001,0),0),1)),INDEX($AA$2:$AA$1001,MATCH(ROWS($V$2:V485),$V$2:$V$1001,0),0)))</f>
        <v xml:space="preserve"> </v>
      </c>
      <c r="B485" s="4" t="str">
        <f ca="1">IF(OR(INDEX($W$2:$W$1001,MATCH(ROWS($V$2:V485),$V$2:$V$1001,0),1)&gt;=100000,INDEX($AC$1005:$AS$1005,1,MATCH(COLUMNS($AC$1006:AC1006),$AC$1006:$AS$1006,0))&gt;=100000), " ",IF(INDEX($AC$2:$AS$1001,MATCH(ROWS($V$2:V485),$V$2:$V$1001,0),MATCH(COLUMNS($AC$1006:AC1006),$AC$1006:$AS$1006,0)), HYPERLINK("#",""), HYPERLINK(CONCATENATE("#metadata!", ADDRESS(INDEX($X$2:$X$1001,MATCH(ROWS($V$2:V485),$V$2:$V$1001,0),0), INDEX($AC$1004:$AS$1004,1,MATCH(COLUMNS($AC$1006:AC1006),$AC$1006:$AS$1006,0)))),"Fix")))</f>
        <v xml:space="preserve"> </v>
      </c>
      <c r="C485" s="4" t="str">
        <f ca="1">IF(OR(INDEX($W$2:$W$1001,MATCH(ROWS($V$2:V485),$V$2:$V$1001,0),1)&gt;=100000,INDEX($AC$1005:$AS$1005,1,MATCH(COLUMNS($AC$1006:AD1006),$AC$1006:$AS$1006,0))&gt;=100000), " ",IF(INDEX($AC$2:$AS$1001,MATCH(ROWS($V$2:V485),$V$2:$V$1001,0),MATCH(COLUMNS($AC$1006:AD1006),$AC$1006:$AS$1006,0)), HYPERLINK("#",""), HYPERLINK(CONCATENATE("#metadata!", ADDRESS(INDEX($X$2:$X$1001,MATCH(ROWS($V$2:V485),$V$2:$V$1001,0),0), INDEX($AC$1004:$AS$1004,1,MATCH(COLUMNS($AC$1006:AD1006),$AC$1006:$AS$1006,0)))),"Fix")))</f>
        <v xml:space="preserve"> </v>
      </c>
      <c r="D485" s="4" t="str">
        <f ca="1">IF(OR(INDEX($W$2:$W$1001,MATCH(ROWS($V$2:V485),$V$2:$V$1001,0),1)&gt;=100000,INDEX($AC$1005:$AS$1005,1,MATCH(COLUMNS($AC$1006:AE1006),$AC$1006:$AS$1006,0))&gt;=100000), " ",IF(INDEX($AC$2:$AS$1001,MATCH(ROWS($V$2:V485),$V$2:$V$1001,0),MATCH(COLUMNS($AC$1006:AE1006),$AC$1006:$AS$1006,0)), HYPERLINK("#",""), HYPERLINK(CONCATENATE("#metadata!", ADDRESS(INDEX($X$2:$X$1001,MATCH(ROWS($V$2:V485),$V$2:$V$1001,0),0), INDEX($AC$1004:$AS$1004,1,MATCH(COLUMNS($AC$1006:AE1006),$AC$1006:$AS$1006,0)))),"Fix")))</f>
        <v xml:space="preserve"> </v>
      </c>
      <c r="E485" s="4" t="str">
        <f ca="1">IF(OR(INDEX($W$2:$W$1001,MATCH(ROWS($V$2:V485),$V$2:$V$1001,0),1)&gt;=100000,INDEX($AC$1005:$AS$1005,1,MATCH(COLUMNS($AC$1006:AF1006),$AC$1006:$AS$1006,0))&gt;=100000), " ",IF(INDEX($AC$2:$AS$1001,MATCH(ROWS($V$2:V485),$V$2:$V$1001,0),MATCH(COLUMNS($AC$1006:AF1006),$AC$1006:$AS$1006,0)), HYPERLINK("#",""), HYPERLINK(CONCATENATE("#metadata!", ADDRESS(INDEX($X$2:$X$1001,MATCH(ROWS($V$2:V485),$V$2:$V$1001,0),0), INDEX($AC$1004:$AS$1004,1,MATCH(COLUMNS($AC$1006:AF1006),$AC$1006:$AS$1006,0)))),"Fix")))</f>
        <v xml:space="preserve"> </v>
      </c>
      <c r="F485" s="4" t="str">
        <f ca="1">IF(OR(INDEX($W$2:$W$1001,MATCH(ROWS($V$2:V485),$V$2:$V$1001,0),1)&gt;=100000,INDEX($AC$1005:$AS$1005,1,MATCH(COLUMNS($AC$1006:AG1006),$AC$1006:$AS$1006,0))&gt;=100000), " ",IF(INDEX($AC$2:$AS$1001,MATCH(ROWS($V$2:V485),$V$2:$V$1001,0),MATCH(COLUMNS($AC$1006:AG1006),$AC$1006:$AS$1006,0)), HYPERLINK("#",""), HYPERLINK(CONCATENATE("#metadata!", ADDRESS(INDEX($X$2:$X$1001,MATCH(ROWS($V$2:V485),$V$2:$V$1001,0),0), INDEX($AC$1004:$AS$1004,1,MATCH(COLUMNS($AC$1006:AG1006),$AC$1006:$AS$1006,0)))),"Fix")))</f>
        <v xml:space="preserve"> </v>
      </c>
      <c r="G485" s="4" t="str">
        <f ca="1">IF(OR(INDEX($W$2:$W$1001,MATCH(ROWS($V$2:V485),$V$2:$V$1001,0),1)&gt;=100000,INDEX($AC$1005:$AS$1005,1,MATCH(COLUMNS($AC$1006:AH1006),$AC$1006:$AS$1006,0))&gt;=100000), " ",IF(INDEX($AC$2:$AS$1001,MATCH(ROWS($V$2:V485),$V$2:$V$1001,0),MATCH(COLUMNS($AC$1006:AH1006),$AC$1006:$AS$1006,0)), HYPERLINK("#",""), HYPERLINK(CONCATENATE("#metadata!", ADDRESS(INDEX($X$2:$X$1001,MATCH(ROWS($V$2:V485),$V$2:$V$1001,0),0), INDEX($AC$1004:$AS$1004,1,MATCH(COLUMNS($AC$1006:AH1006),$AC$1006:$AS$1006,0)))),"Fix")))</f>
        <v xml:space="preserve"> </v>
      </c>
      <c r="H485" s="4" t="str">
        <f ca="1">IF(OR(INDEX($W$2:$W$1001,MATCH(ROWS($V$2:V485),$V$2:$V$1001,0),1)&gt;=100000,INDEX($AC$1005:$AS$1005,1,MATCH(COLUMNS($AC$1006:AI1006),$AC$1006:$AS$1006,0))&gt;=100000), " ",IF(INDEX($AC$2:$AS$1001,MATCH(ROWS($V$2:V485),$V$2:$V$1001,0),MATCH(COLUMNS($AC$1006:AI1006),$AC$1006:$AS$1006,0)), HYPERLINK("#",""), HYPERLINK(CONCATENATE("#metadata!", ADDRESS(INDEX($X$2:$X$1001,MATCH(ROWS($V$2:V485),$V$2:$V$1001,0),0), INDEX($AC$1004:$AS$1004,1,MATCH(COLUMNS($AC$1006:AI1006),$AC$1006:$AS$1006,0)))),"Fix")))</f>
        <v xml:space="preserve"> </v>
      </c>
      <c r="I485" s="4" t="str">
        <f ca="1">IF(OR(INDEX($W$2:$W$1001,MATCH(ROWS($V$2:V485),$V$2:$V$1001,0),1)&gt;=100000,INDEX($AC$1005:$AS$1005,1,MATCH(COLUMNS($AC$1006:AJ1006),$AC$1006:$AS$1006,0))&gt;=100000), " ",IF(INDEX($AC$2:$AS$1001,MATCH(ROWS($V$2:V485),$V$2:$V$1001,0),MATCH(COLUMNS($AC$1006:AJ1006),$AC$1006:$AS$1006,0)), HYPERLINK("#",""), HYPERLINK(CONCATENATE("#metadata!", ADDRESS(INDEX($X$2:$X$1001,MATCH(ROWS($V$2:V485),$V$2:$V$1001,0),0), INDEX($AC$1004:$AS$1004,1,MATCH(COLUMNS($AC$1006:AJ1006),$AC$1006:$AS$1006,0)))),"Fix")))</f>
        <v xml:space="preserve"> </v>
      </c>
      <c r="J485" s="4" t="str">
        <f ca="1">IF(OR(INDEX($W$2:$W$1001,MATCH(ROWS($V$2:V485),$V$2:$V$1001,0),1)&gt;=100000,INDEX($AC$1005:$AS$1005,1,MATCH(COLUMNS($AC$1006:AK1006),$AC$1006:$AS$1006,0))&gt;=100000), " ",IF(INDEX($AC$2:$AS$1001,MATCH(ROWS($V$2:V485),$V$2:$V$1001,0),MATCH(COLUMNS($AC$1006:AK1006),$AC$1006:$AS$1006,0)), HYPERLINK("#",""), HYPERLINK(CONCATENATE("#metadata!", ADDRESS(INDEX($X$2:$X$1001,MATCH(ROWS($V$2:V485),$V$2:$V$1001,0),0), INDEX($AC$1004:$AS$1004,1,MATCH(COLUMNS($AC$1006:AK1006),$AC$1006:$AS$1006,0)))),"Fix")))</f>
        <v xml:space="preserve"> </v>
      </c>
      <c r="K485" s="4" t="str">
        <f ca="1">IF(OR(INDEX($W$2:$W$1001,MATCH(ROWS($V$2:V485),$V$2:$V$1001,0),1)&gt;=100000,INDEX($AC$1005:$AS$1005,1,MATCH(COLUMNS($AC$1006:AL1006),$AC$1006:$AS$1006,0))&gt;=100000), " ",IF(INDEX($AC$2:$AS$1001,MATCH(ROWS($V$2:V485),$V$2:$V$1001,0),MATCH(COLUMNS($AC$1006:AL1006),$AC$1006:$AS$1006,0)), HYPERLINK("#",""), HYPERLINK(CONCATENATE("#metadata!", ADDRESS(INDEX($X$2:$X$1001,MATCH(ROWS($V$2:V485),$V$2:$V$1001,0),0), INDEX($AC$1004:$AS$1004,1,MATCH(COLUMNS($AC$1006:AL1006),$AC$1006:$AS$1006,0)))),"Fix")))</f>
        <v xml:space="preserve"> </v>
      </c>
      <c r="L485" s="4" t="str">
        <f ca="1">IF(OR(INDEX($W$2:$W$1001,MATCH(ROWS($V$2:V485),$V$2:$V$1001,0),1)&gt;=100000,INDEX($AC$1005:$AS$1005,1,MATCH(COLUMNS($AC$1006:AM1006),$AC$1006:$AS$1006,0))&gt;=100000), " ",IF(INDEX($AC$2:$AS$1001,MATCH(ROWS($V$2:V485),$V$2:$V$1001,0),MATCH(COLUMNS($AC$1006:AM1006),$AC$1006:$AS$1006,0)), HYPERLINK("#",""), HYPERLINK(CONCATENATE("#metadata!", ADDRESS(INDEX($X$2:$X$1001,MATCH(ROWS($V$2:V485),$V$2:$V$1001,0),0), INDEX($AC$1004:$AS$1004,1,MATCH(COLUMNS($AC$1006:AM1006),$AC$1006:$AS$1006,0)))),"Fix")))</f>
        <v xml:space="preserve"> </v>
      </c>
      <c r="M485" s="4" t="str">
        <f ca="1">IF(OR(INDEX($W$2:$W$1001,MATCH(ROWS($V$2:V485),$V$2:$V$1001,0),1)&gt;=100000,INDEX($AC$1005:$AS$1005,1,MATCH(COLUMNS($AC$1006:AN1006),$AC$1006:$AS$1006,0))&gt;=100000), " ",IF(INDEX($AC$2:$AS$1001,MATCH(ROWS($V$2:V485),$V$2:$V$1001,0),MATCH(COLUMNS($AC$1006:AN1006),$AC$1006:$AS$1006,0)), HYPERLINK("#",""), HYPERLINK(CONCATENATE("#metadata!", ADDRESS(INDEX($X$2:$X$1001,MATCH(ROWS($V$2:V485),$V$2:$V$1001,0),0), INDEX($AC$1004:$AS$1004,1,MATCH(COLUMNS($AC$1006:AN1006),$AC$1006:$AS$1006,0)))),"Fix")))</f>
        <v xml:space="preserve"> </v>
      </c>
      <c r="N485" s="4" t="str">
        <f ca="1">IF(OR(INDEX($W$2:$W$1001,MATCH(ROWS($V$2:V485),$V$2:$V$1001,0),1)&gt;=100000,INDEX($AC$1005:$AS$1005,1,MATCH(COLUMNS($AC$1006:AO1006),$AC$1006:$AS$1006,0))&gt;=100000), " ",IF(INDEX($AC$2:$AS$1001,MATCH(ROWS($V$2:V485),$V$2:$V$1001,0),MATCH(COLUMNS($AC$1006:AO1006),$AC$1006:$AS$1006,0)), HYPERLINK("#",""), HYPERLINK(CONCATENATE("#metadata!", ADDRESS(INDEX($X$2:$X$1001,MATCH(ROWS($V$2:V485),$V$2:$V$1001,0),0), INDEX($AC$1004:$AS$1004,1,MATCH(COLUMNS($AC$1006:AO1006),$AC$1006:$AS$1006,0)))),"Fix")))</f>
        <v xml:space="preserve"> </v>
      </c>
      <c r="O485" s="4" t="str">
        <f ca="1">IF(OR(INDEX($W$2:$W$1001,MATCH(ROWS($V$2:V485),$V$2:$V$1001,0),1)&gt;=100000,INDEX($AC$1005:$AS$1005,1,MATCH(COLUMNS($AC$1006:AP1006),$AC$1006:$AS$1006,0))&gt;=100000), " ",IF(INDEX($AC$2:$AS$1001,MATCH(ROWS($V$2:V485),$V$2:$V$1001,0),MATCH(COLUMNS($AC$1006:AP1006),$AC$1006:$AS$1006,0)), HYPERLINK("#",""), HYPERLINK(CONCATENATE("#metadata!", ADDRESS(INDEX($X$2:$X$1001,MATCH(ROWS($V$2:V485),$V$2:$V$1001,0),0), INDEX($AC$1004:$AS$1004,1,MATCH(COLUMNS($AC$1006:AP1006),$AC$1006:$AS$1006,0)))),"Fix")))</f>
        <v xml:space="preserve"> </v>
      </c>
      <c r="P485" s="4" t="str">
        <f ca="1">IF(OR(INDEX($W$2:$W$1001,MATCH(ROWS($V$2:V485),$V$2:$V$1001,0),1)&gt;=100000,INDEX($AC$1005:$AS$1005,1,MATCH(COLUMNS($AC$1006:AQ1006),$AC$1006:$AS$1006,0))&gt;=100000), " ",IF(INDEX($AC$2:$AS$1001,MATCH(ROWS($V$2:V485),$V$2:$V$1001,0),MATCH(COLUMNS($AC$1006:AQ1006),$AC$1006:$AS$1006,0)), HYPERLINK("#",""), HYPERLINK(CONCATENATE("#metadata!", ADDRESS(INDEX($X$2:$X$1001,MATCH(ROWS($V$2:V485),$V$2:$V$1001,0),0), INDEX($AC$1004:$AS$1004,1,MATCH(COLUMNS($AC$1006:AQ1006),$AC$1006:$AS$1006,0)))),"Fix")))</f>
        <v xml:space="preserve"> </v>
      </c>
      <c r="Q485" s="4" t="str">
        <f ca="1">IF(OR(INDEX($W$2:$W$1001,MATCH(ROWS($V$2:V485),$V$2:$V$1001,0),1)&gt;=100000,INDEX($AC$1005:$AS$1005,1,MATCH(COLUMNS($AC$1006:AR1006),$AC$1006:$AS$1006,0))&gt;=100000), " ",IF(INDEX($AC$2:$AS$1001,MATCH(ROWS($V$2:V485),$V$2:$V$1001,0),MATCH(COLUMNS($AC$1006:AR1006),$AC$1006:$AS$1006,0)), HYPERLINK("#",""), HYPERLINK(CONCATENATE("#metadata!", ADDRESS(INDEX($X$2:$X$1001,MATCH(ROWS($V$2:V485),$V$2:$V$1001,0),0), INDEX($AC$1004:$AS$1004,1,MATCH(COLUMNS($AC$1006:AR1006),$AC$1006:$AS$1006,0)))),"Fix")))</f>
        <v xml:space="preserve"> </v>
      </c>
      <c r="R485" s="4" t="str">
        <f ca="1">IF(OR(INDEX($W$2:$W$1001,MATCH(ROWS($V$2:V485),$V$2:$V$1001,0),1)&gt;=100000,INDEX($AC$1005:$AS$1005,1,MATCH(COLUMNS($AC$1006:AS1006),$AC$1006:$AS$1006,0))&gt;=100000), " ",IF(INDEX($AC$2:$AS$1001,MATCH(ROWS($V$2:V485),$V$2:$V$1001,0),MATCH(COLUMNS($AC$1006:AS1006),$AC$1006:$AS$1006,0)), HYPERLINK("#",""), HYPERLINK(CONCATENATE("#metadata!", ADDRESS(INDEX($X$2:$X$1001,MATCH(ROWS($V$2:V485),$V$2:$V$1001,0),0), INDEX($AC$1004:$AS$1004,1,MATCH(COLUMNS($AC$1006:AS1006),$AC$1006:$AS$1006,0)))),"Fix")))</f>
        <v xml:space="preserve"> </v>
      </c>
      <c r="V485">
        <v>484</v>
      </c>
      <c r="W485">
        <v>100485</v>
      </c>
      <c r="X485">
        <v>485</v>
      </c>
      <c r="Y485" t="b">
        <f t="shared" si="7"/>
        <v>1</v>
      </c>
      <c r="Z485" t="b">
        <f>COUNTBLANK(metadata!B485:R485)=COLUMNS(metadata!B485:R485)</f>
        <v>1</v>
      </c>
      <c r="AA485" t="str">
        <v/>
      </c>
      <c r="AC485" t="b">
        <f ca="1"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AD485" t="b">
        <f>IF(metadata!C485="",FALSE,ISNUMBER(VALUE(metadata!C485)))</f>
        <v>0</v>
      </c>
      <c r="AE485" t="b">
        <f>AND(IF(metadata!D485="",FALSE,TRUE),EXACT(metadata!D485,"years"))</f>
        <v>0</v>
      </c>
      <c r="AF485" t="b">
        <f>OR(AND(IF(metadata!E485="",FALSE,TRUE),OR(EXACT(metadata!E485,"not applicable"),EXACT(metadata!E485,"missing: not collected"),EXACT(metadata!E485,"missing: not provided"),EXACT(metadata!E485,"missing: restricted access"))),AND(IF(metadata!E485="",FALSE,ISNUMBER(VALUE(metadata!E485))),metadata!E485&gt;0))</f>
        <v>0</v>
      </c>
      <c r="AG485" t="b">
        <f>AND(IF(metadata!F485="",FALSE,TRUE),EXACT(metadata!F485,"Not applicable"))</f>
        <v>0</v>
      </c>
      <c r="AH485" t="b">
        <f>AND(IF(metadata!G485="",FALSE,TRUE),EXACT(metadata!G485,"urban biome"))</f>
        <v>0</v>
      </c>
      <c r="AI485" t="b">
        <f>AND(IF(metadata!H485="",FALSE,TRUE),EXACT(metadata!H485,"human-associated habitat"))</f>
        <v>0</v>
      </c>
      <c r="AJ485" t="b">
        <f>AND(IF(metadata!I485="",FALSE,TRUE),OR(EXACT(metadata!I485,"human-associated"),EXACT(metadata!I485,"human-skin"),EXACT(metadata!I485,"human-oral"),EXACT(metadata!I485,"human-gut"),EXACT(metadata!I485,"human-vaginal")))</f>
        <v>0</v>
      </c>
      <c r="AK485" t="b">
        <f>IF(metadata!J485="",FALSE,ISNUMBER(VALUE(metadata!J485)))</f>
        <v>0</v>
      </c>
      <c r="AL485" t="b">
        <f>AND(IF(metadata!K485="",FALSE,TRUE),EXACT(metadata!K485,"cm"))</f>
        <v>0</v>
      </c>
      <c r="AM485" t="b">
        <f>AND(IF(metadata!L485="",FALSE,TRUE),EXACT(metadata!L485,"human"))</f>
        <v>0</v>
      </c>
      <c r="AN485" t="b">
        <f>AND(IF(metadata!M485="",FALSE,TRUE),EXACT(metadata!M485,"Homo sapiens"))</f>
        <v>0</v>
      </c>
      <c r="AO485" t="b">
        <f>AND(IF(metadata!N485="",FALSE,TRUE),EXACT(metadata!N485,"9606"))</f>
        <v>0</v>
      </c>
      <c r="AP485" t="b">
        <f>IF(metadata!O485="",FALSE,TRUE)</f>
        <v>0</v>
      </c>
      <c r="AQ485" t="b">
        <f>IF(metadata!P485="",FALSE,TRUE)</f>
        <v>0</v>
      </c>
      <c r="AR485" t="b">
        <f>IF(metadata!Q485="",FALSE,ISNUMBER(VALUE(metadata!Q485)))</f>
        <v>0</v>
      </c>
      <c r="AS485" t="b">
        <f>AND(IF(metadata!R485="",FALSE,TRUE),EXACT(metadata!R485,"kg"))</f>
        <v>0</v>
      </c>
    </row>
    <row r="486" spans="1:45" x14ac:dyDescent="0.2">
      <c r="A486" s="5" t="str">
        <f ca="1">IF(B486=" "," ",HYPERLINK(CONCATENATE("#metadata!",ADDRESS(INDEX($X$2:$X$1001,MATCH(ROWS($V$2:V486),$V$2:$V$1001,0),0),1)),INDEX($AA$2:$AA$1001,MATCH(ROWS($V$2:V486),$V$2:$V$1001,0),0)))</f>
        <v xml:space="preserve"> </v>
      </c>
      <c r="B486" s="4" t="str">
        <f ca="1">IF(OR(INDEX($W$2:$W$1001,MATCH(ROWS($V$2:V486),$V$2:$V$1001,0),1)&gt;=100000,INDEX($AC$1005:$AS$1005,1,MATCH(COLUMNS($AC$1006:AC1006),$AC$1006:$AS$1006,0))&gt;=100000), " ",IF(INDEX($AC$2:$AS$1001,MATCH(ROWS($V$2:V486),$V$2:$V$1001,0),MATCH(COLUMNS($AC$1006:AC1006),$AC$1006:$AS$1006,0)), HYPERLINK("#",""), HYPERLINK(CONCATENATE("#metadata!", ADDRESS(INDEX($X$2:$X$1001,MATCH(ROWS($V$2:V486),$V$2:$V$1001,0),0), INDEX($AC$1004:$AS$1004,1,MATCH(COLUMNS($AC$1006:AC1006),$AC$1006:$AS$1006,0)))),"Fix")))</f>
        <v xml:space="preserve"> </v>
      </c>
      <c r="C486" s="4" t="str">
        <f ca="1">IF(OR(INDEX($W$2:$W$1001,MATCH(ROWS($V$2:V486),$V$2:$V$1001,0),1)&gt;=100000,INDEX($AC$1005:$AS$1005,1,MATCH(COLUMNS($AC$1006:AD1006),$AC$1006:$AS$1006,0))&gt;=100000), " ",IF(INDEX($AC$2:$AS$1001,MATCH(ROWS($V$2:V486),$V$2:$V$1001,0),MATCH(COLUMNS($AC$1006:AD1006),$AC$1006:$AS$1006,0)), HYPERLINK("#",""), HYPERLINK(CONCATENATE("#metadata!", ADDRESS(INDEX($X$2:$X$1001,MATCH(ROWS($V$2:V486),$V$2:$V$1001,0),0), INDEX($AC$1004:$AS$1004,1,MATCH(COLUMNS($AC$1006:AD1006),$AC$1006:$AS$1006,0)))),"Fix")))</f>
        <v xml:space="preserve"> </v>
      </c>
      <c r="D486" s="4" t="str">
        <f ca="1">IF(OR(INDEX($W$2:$W$1001,MATCH(ROWS($V$2:V486),$V$2:$V$1001,0),1)&gt;=100000,INDEX($AC$1005:$AS$1005,1,MATCH(COLUMNS($AC$1006:AE1006),$AC$1006:$AS$1006,0))&gt;=100000), " ",IF(INDEX($AC$2:$AS$1001,MATCH(ROWS($V$2:V486),$V$2:$V$1001,0),MATCH(COLUMNS($AC$1006:AE1006),$AC$1006:$AS$1006,0)), HYPERLINK("#",""), HYPERLINK(CONCATENATE("#metadata!", ADDRESS(INDEX($X$2:$X$1001,MATCH(ROWS($V$2:V486),$V$2:$V$1001,0),0), INDEX($AC$1004:$AS$1004,1,MATCH(COLUMNS($AC$1006:AE1006),$AC$1006:$AS$1006,0)))),"Fix")))</f>
        <v xml:space="preserve"> </v>
      </c>
      <c r="E486" s="4" t="str">
        <f ca="1">IF(OR(INDEX($W$2:$W$1001,MATCH(ROWS($V$2:V486),$V$2:$V$1001,0),1)&gt;=100000,INDEX($AC$1005:$AS$1005,1,MATCH(COLUMNS($AC$1006:AF1006),$AC$1006:$AS$1006,0))&gt;=100000), " ",IF(INDEX($AC$2:$AS$1001,MATCH(ROWS($V$2:V486),$V$2:$V$1001,0),MATCH(COLUMNS($AC$1006:AF1006),$AC$1006:$AS$1006,0)), HYPERLINK("#",""), HYPERLINK(CONCATENATE("#metadata!", ADDRESS(INDEX($X$2:$X$1001,MATCH(ROWS($V$2:V486),$V$2:$V$1001,0),0), INDEX($AC$1004:$AS$1004,1,MATCH(COLUMNS($AC$1006:AF1006),$AC$1006:$AS$1006,0)))),"Fix")))</f>
        <v xml:space="preserve"> </v>
      </c>
      <c r="F486" s="4" t="str">
        <f ca="1">IF(OR(INDEX($W$2:$W$1001,MATCH(ROWS($V$2:V486),$V$2:$V$1001,0),1)&gt;=100000,INDEX($AC$1005:$AS$1005,1,MATCH(COLUMNS($AC$1006:AG1006),$AC$1006:$AS$1006,0))&gt;=100000), " ",IF(INDEX($AC$2:$AS$1001,MATCH(ROWS($V$2:V486),$V$2:$V$1001,0),MATCH(COLUMNS($AC$1006:AG1006),$AC$1006:$AS$1006,0)), HYPERLINK("#",""), HYPERLINK(CONCATENATE("#metadata!", ADDRESS(INDEX($X$2:$X$1001,MATCH(ROWS($V$2:V486),$V$2:$V$1001,0),0), INDEX($AC$1004:$AS$1004,1,MATCH(COLUMNS($AC$1006:AG1006),$AC$1006:$AS$1006,0)))),"Fix")))</f>
        <v xml:space="preserve"> </v>
      </c>
      <c r="G486" s="4" t="str">
        <f ca="1">IF(OR(INDEX($W$2:$W$1001,MATCH(ROWS($V$2:V486),$V$2:$V$1001,0),1)&gt;=100000,INDEX($AC$1005:$AS$1005,1,MATCH(COLUMNS($AC$1006:AH1006),$AC$1006:$AS$1006,0))&gt;=100000), " ",IF(INDEX($AC$2:$AS$1001,MATCH(ROWS($V$2:V486),$V$2:$V$1001,0),MATCH(COLUMNS($AC$1006:AH1006),$AC$1006:$AS$1006,0)), HYPERLINK("#",""), HYPERLINK(CONCATENATE("#metadata!", ADDRESS(INDEX($X$2:$X$1001,MATCH(ROWS($V$2:V486),$V$2:$V$1001,0),0), INDEX($AC$1004:$AS$1004,1,MATCH(COLUMNS($AC$1006:AH1006),$AC$1006:$AS$1006,0)))),"Fix")))</f>
        <v xml:space="preserve"> </v>
      </c>
      <c r="H486" s="4" t="str">
        <f ca="1">IF(OR(INDEX($W$2:$W$1001,MATCH(ROWS($V$2:V486),$V$2:$V$1001,0),1)&gt;=100000,INDEX($AC$1005:$AS$1005,1,MATCH(COLUMNS($AC$1006:AI1006),$AC$1006:$AS$1006,0))&gt;=100000), " ",IF(INDEX($AC$2:$AS$1001,MATCH(ROWS($V$2:V486),$V$2:$V$1001,0),MATCH(COLUMNS($AC$1006:AI1006),$AC$1006:$AS$1006,0)), HYPERLINK("#",""), HYPERLINK(CONCATENATE("#metadata!", ADDRESS(INDEX($X$2:$X$1001,MATCH(ROWS($V$2:V486),$V$2:$V$1001,0),0), INDEX($AC$1004:$AS$1004,1,MATCH(COLUMNS($AC$1006:AI1006),$AC$1006:$AS$1006,0)))),"Fix")))</f>
        <v xml:space="preserve"> </v>
      </c>
      <c r="I486" s="4" t="str">
        <f ca="1">IF(OR(INDEX($W$2:$W$1001,MATCH(ROWS($V$2:V486),$V$2:$V$1001,0),1)&gt;=100000,INDEX($AC$1005:$AS$1005,1,MATCH(COLUMNS($AC$1006:AJ1006),$AC$1006:$AS$1006,0))&gt;=100000), " ",IF(INDEX($AC$2:$AS$1001,MATCH(ROWS($V$2:V486),$V$2:$V$1001,0),MATCH(COLUMNS($AC$1006:AJ1006),$AC$1006:$AS$1006,0)), HYPERLINK("#",""), HYPERLINK(CONCATENATE("#metadata!", ADDRESS(INDEX($X$2:$X$1001,MATCH(ROWS($V$2:V486),$V$2:$V$1001,0),0), INDEX($AC$1004:$AS$1004,1,MATCH(COLUMNS($AC$1006:AJ1006),$AC$1006:$AS$1006,0)))),"Fix")))</f>
        <v xml:space="preserve"> </v>
      </c>
      <c r="J486" s="4" t="str">
        <f ca="1">IF(OR(INDEX($W$2:$W$1001,MATCH(ROWS($V$2:V486),$V$2:$V$1001,0),1)&gt;=100000,INDEX($AC$1005:$AS$1005,1,MATCH(COLUMNS($AC$1006:AK1006),$AC$1006:$AS$1006,0))&gt;=100000), " ",IF(INDEX($AC$2:$AS$1001,MATCH(ROWS($V$2:V486),$V$2:$V$1001,0),MATCH(COLUMNS($AC$1006:AK1006),$AC$1006:$AS$1006,0)), HYPERLINK("#",""), HYPERLINK(CONCATENATE("#metadata!", ADDRESS(INDEX($X$2:$X$1001,MATCH(ROWS($V$2:V486),$V$2:$V$1001,0),0), INDEX($AC$1004:$AS$1004,1,MATCH(COLUMNS($AC$1006:AK1006),$AC$1006:$AS$1006,0)))),"Fix")))</f>
        <v xml:space="preserve"> </v>
      </c>
      <c r="K486" s="4" t="str">
        <f ca="1">IF(OR(INDEX($W$2:$W$1001,MATCH(ROWS($V$2:V486),$V$2:$V$1001,0),1)&gt;=100000,INDEX($AC$1005:$AS$1005,1,MATCH(COLUMNS($AC$1006:AL1006),$AC$1006:$AS$1006,0))&gt;=100000), " ",IF(INDEX($AC$2:$AS$1001,MATCH(ROWS($V$2:V486),$V$2:$V$1001,0),MATCH(COLUMNS($AC$1006:AL1006),$AC$1006:$AS$1006,0)), HYPERLINK("#",""), HYPERLINK(CONCATENATE("#metadata!", ADDRESS(INDEX($X$2:$X$1001,MATCH(ROWS($V$2:V486),$V$2:$V$1001,0),0), INDEX($AC$1004:$AS$1004,1,MATCH(COLUMNS($AC$1006:AL1006),$AC$1006:$AS$1006,0)))),"Fix")))</f>
        <v xml:space="preserve"> </v>
      </c>
      <c r="L486" s="4" t="str">
        <f ca="1">IF(OR(INDEX($W$2:$W$1001,MATCH(ROWS($V$2:V486),$V$2:$V$1001,0),1)&gt;=100000,INDEX($AC$1005:$AS$1005,1,MATCH(COLUMNS($AC$1006:AM1006),$AC$1006:$AS$1006,0))&gt;=100000), " ",IF(INDEX($AC$2:$AS$1001,MATCH(ROWS($V$2:V486),$V$2:$V$1001,0),MATCH(COLUMNS($AC$1006:AM1006),$AC$1006:$AS$1006,0)), HYPERLINK("#",""), HYPERLINK(CONCATENATE("#metadata!", ADDRESS(INDEX($X$2:$X$1001,MATCH(ROWS($V$2:V486),$V$2:$V$1001,0),0), INDEX($AC$1004:$AS$1004,1,MATCH(COLUMNS($AC$1006:AM1006),$AC$1006:$AS$1006,0)))),"Fix")))</f>
        <v xml:space="preserve"> </v>
      </c>
      <c r="M486" s="4" t="str">
        <f ca="1">IF(OR(INDEX($W$2:$W$1001,MATCH(ROWS($V$2:V486),$V$2:$V$1001,0),1)&gt;=100000,INDEX($AC$1005:$AS$1005,1,MATCH(COLUMNS($AC$1006:AN1006),$AC$1006:$AS$1006,0))&gt;=100000), " ",IF(INDEX($AC$2:$AS$1001,MATCH(ROWS($V$2:V486),$V$2:$V$1001,0),MATCH(COLUMNS($AC$1006:AN1006),$AC$1006:$AS$1006,0)), HYPERLINK("#",""), HYPERLINK(CONCATENATE("#metadata!", ADDRESS(INDEX($X$2:$X$1001,MATCH(ROWS($V$2:V486),$V$2:$V$1001,0),0), INDEX($AC$1004:$AS$1004,1,MATCH(COLUMNS($AC$1006:AN1006),$AC$1006:$AS$1006,0)))),"Fix")))</f>
        <v xml:space="preserve"> </v>
      </c>
      <c r="N486" s="4" t="str">
        <f ca="1">IF(OR(INDEX($W$2:$W$1001,MATCH(ROWS($V$2:V486),$V$2:$V$1001,0),1)&gt;=100000,INDEX($AC$1005:$AS$1005,1,MATCH(COLUMNS($AC$1006:AO1006),$AC$1006:$AS$1006,0))&gt;=100000), " ",IF(INDEX($AC$2:$AS$1001,MATCH(ROWS($V$2:V486),$V$2:$V$1001,0),MATCH(COLUMNS($AC$1006:AO1006),$AC$1006:$AS$1006,0)), HYPERLINK("#",""), HYPERLINK(CONCATENATE("#metadata!", ADDRESS(INDEX($X$2:$X$1001,MATCH(ROWS($V$2:V486),$V$2:$V$1001,0),0), INDEX($AC$1004:$AS$1004,1,MATCH(COLUMNS($AC$1006:AO1006),$AC$1006:$AS$1006,0)))),"Fix")))</f>
        <v xml:space="preserve"> </v>
      </c>
      <c r="O486" s="4" t="str">
        <f ca="1">IF(OR(INDEX($W$2:$W$1001,MATCH(ROWS($V$2:V486),$V$2:$V$1001,0),1)&gt;=100000,INDEX($AC$1005:$AS$1005,1,MATCH(COLUMNS($AC$1006:AP1006),$AC$1006:$AS$1006,0))&gt;=100000), " ",IF(INDEX($AC$2:$AS$1001,MATCH(ROWS($V$2:V486),$V$2:$V$1001,0),MATCH(COLUMNS($AC$1006:AP1006),$AC$1006:$AS$1006,0)), HYPERLINK("#",""), HYPERLINK(CONCATENATE("#metadata!", ADDRESS(INDEX($X$2:$X$1001,MATCH(ROWS($V$2:V486),$V$2:$V$1001,0),0), INDEX($AC$1004:$AS$1004,1,MATCH(COLUMNS($AC$1006:AP1006),$AC$1006:$AS$1006,0)))),"Fix")))</f>
        <v xml:space="preserve"> </v>
      </c>
      <c r="P486" s="4" t="str">
        <f ca="1">IF(OR(INDEX($W$2:$W$1001,MATCH(ROWS($V$2:V486),$V$2:$V$1001,0),1)&gt;=100000,INDEX($AC$1005:$AS$1005,1,MATCH(COLUMNS($AC$1006:AQ1006),$AC$1006:$AS$1006,0))&gt;=100000), " ",IF(INDEX($AC$2:$AS$1001,MATCH(ROWS($V$2:V486),$V$2:$V$1001,0),MATCH(COLUMNS($AC$1006:AQ1006),$AC$1006:$AS$1006,0)), HYPERLINK("#",""), HYPERLINK(CONCATENATE("#metadata!", ADDRESS(INDEX($X$2:$X$1001,MATCH(ROWS($V$2:V486),$V$2:$V$1001,0),0), INDEX($AC$1004:$AS$1004,1,MATCH(COLUMNS($AC$1006:AQ1006),$AC$1006:$AS$1006,0)))),"Fix")))</f>
        <v xml:space="preserve"> </v>
      </c>
      <c r="Q486" s="4" t="str">
        <f ca="1">IF(OR(INDEX($W$2:$W$1001,MATCH(ROWS($V$2:V486),$V$2:$V$1001,0),1)&gt;=100000,INDEX($AC$1005:$AS$1005,1,MATCH(COLUMNS($AC$1006:AR1006),$AC$1006:$AS$1006,0))&gt;=100000), " ",IF(INDEX($AC$2:$AS$1001,MATCH(ROWS($V$2:V486),$V$2:$V$1001,0),MATCH(COLUMNS($AC$1006:AR1006),$AC$1006:$AS$1006,0)), HYPERLINK("#",""), HYPERLINK(CONCATENATE("#metadata!", ADDRESS(INDEX($X$2:$X$1001,MATCH(ROWS($V$2:V486),$V$2:$V$1001,0),0), INDEX($AC$1004:$AS$1004,1,MATCH(COLUMNS($AC$1006:AR1006),$AC$1006:$AS$1006,0)))),"Fix")))</f>
        <v xml:space="preserve"> </v>
      </c>
      <c r="R486" s="4" t="str">
        <f ca="1">IF(OR(INDEX($W$2:$W$1001,MATCH(ROWS($V$2:V486),$V$2:$V$1001,0),1)&gt;=100000,INDEX($AC$1005:$AS$1005,1,MATCH(COLUMNS($AC$1006:AS1006),$AC$1006:$AS$1006,0))&gt;=100000), " ",IF(INDEX($AC$2:$AS$1001,MATCH(ROWS($V$2:V486),$V$2:$V$1001,0),MATCH(COLUMNS($AC$1006:AS1006),$AC$1006:$AS$1006,0)), HYPERLINK("#",""), HYPERLINK(CONCATENATE("#metadata!", ADDRESS(INDEX($X$2:$X$1001,MATCH(ROWS($V$2:V486),$V$2:$V$1001,0),0), INDEX($AC$1004:$AS$1004,1,MATCH(COLUMNS($AC$1006:AS1006),$AC$1006:$AS$1006,0)))),"Fix")))</f>
        <v xml:space="preserve"> </v>
      </c>
      <c r="V486">
        <v>485</v>
      </c>
      <c r="W486">
        <v>100486</v>
      </c>
      <c r="X486">
        <v>486</v>
      </c>
      <c r="Y486" t="b">
        <f t="shared" si="7"/>
        <v>1</v>
      </c>
      <c r="Z486" t="b">
        <f>COUNTBLANK(metadata!B486:R486)=COLUMNS(metadata!B486:R486)</f>
        <v>1</v>
      </c>
      <c r="AA486" t="str">
        <v/>
      </c>
      <c r="AC486" t="b">
        <f ca="1"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AD486" t="b">
        <f>IF(metadata!C486="",FALSE,ISNUMBER(VALUE(metadata!C486)))</f>
        <v>0</v>
      </c>
      <c r="AE486" t="b">
        <f>AND(IF(metadata!D486="",FALSE,TRUE),EXACT(metadata!D486,"years"))</f>
        <v>0</v>
      </c>
      <c r="AF486" t="b">
        <f>OR(AND(IF(metadata!E486="",FALSE,TRUE),OR(EXACT(metadata!E486,"not applicable"),EXACT(metadata!E486,"missing: not collected"),EXACT(metadata!E486,"missing: not provided"),EXACT(metadata!E486,"missing: restricted access"))),AND(IF(metadata!E486="",FALSE,ISNUMBER(VALUE(metadata!E486))),metadata!E486&gt;0))</f>
        <v>0</v>
      </c>
      <c r="AG486" t="b">
        <f>AND(IF(metadata!F486="",FALSE,TRUE),EXACT(metadata!F486,"Not applicable"))</f>
        <v>0</v>
      </c>
      <c r="AH486" t="b">
        <f>AND(IF(metadata!G486="",FALSE,TRUE),EXACT(metadata!G486,"urban biome"))</f>
        <v>0</v>
      </c>
      <c r="AI486" t="b">
        <f>AND(IF(metadata!H486="",FALSE,TRUE),EXACT(metadata!H486,"human-associated habitat"))</f>
        <v>0</v>
      </c>
      <c r="AJ486" t="b">
        <f>AND(IF(metadata!I486="",FALSE,TRUE),OR(EXACT(metadata!I486,"human-associated"),EXACT(metadata!I486,"human-skin"),EXACT(metadata!I486,"human-oral"),EXACT(metadata!I486,"human-gut"),EXACT(metadata!I486,"human-vaginal")))</f>
        <v>0</v>
      </c>
      <c r="AK486" t="b">
        <f>IF(metadata!J486="",FALSE,ISNUMBER(VALUE(metadata!J486)))</f>
        <v>0</v>
      </c>
      <c r="AL486" t="b">
        <f>AND(IF(metadata!K486="",FALSE,TRUE),EXACT(metadata!K486,"cm"))</f>
        <v>0</v>
      </c>
      <c r="AM486" t="b">
        <f>AND(IF(metadata!L486="",FALSE,TRUE),EXACT(metadata!L486,"human"))</f>
        <v>0</v>
      </c>
      <c r="AN486" t="b">
        <f>AND(IF(metadata!M486="",FALSE,TRUE),EXACT(metadata!M486,"Homo sapiens"))</f>
        <v>0</v>
      </c>
      <c r="AO486" t="b">
        <f>AND(IF(metadata!N486="",FALSE,TRUE),EXACT(metadata!N486,"9606"))</f>
        <v>0</v>
      </c>
      <c r="AP486" t="b">
        <f>IF(metadata!O486="",FALSE,TRUE)</f>
        <v>0</v>
      </c>
      <c r="AQ486" t="b">
        <f>IF(metadata!P486="",FALSE,TRUE)</f>
        <v>0</v>
      </c>
      <c r="AR486" t="b">
        <f>IF(metadata!Q486="",FALSE,ISNUMBER(VALUE(metadata!Q486)))</f>
        <v>0</v>
      </c>
      <c r="AS486" t="b">
        <f>AND(IF(metadata!R486="",FALSE,TRUE),EXACT(metadata!R486,"kg"))</f>
        <v>0</v>
      </c>
    </row>
    <row r="487" spans="1:45" x14ac:dyDescent="0.2">
      <c r="A487" s="5" t="str">
        <f ca="1">IF(B487=" "," ",HYPERLINK(CONCATENATE("#metadata!",ADDRESS(INDEX($X$2:$X$1001,MATCH(ROWS($V$2:V487),$V$2:$V$1001,0),0),1)),INDEX($AA$2:$AA$1001,MATCH(ROWS($V$2:V487),$V$2:$V$1001,0),0)))</f>
        <v xml:space="preserve"> </v>
      </c>
      <c r="B487" s="4" t="str">
        <f ca="1">IF(OR(INDEX($W$2:$W$1001,MATCH(ROWS($V$2:V487),$V$2:$V$1001,0),1)&gt;=100000,INDEX($AC$1005:$AS$1005,1,MATCH(COLUMNS($AC$1006:AC1006),$AC$1006:$AS$1006,0))&gt;=100000), " ",IF(INDEX($AC$2:$AS$1001,MATCH(ROWS($V$2:V487),$V$2:$V$1001,0),MATCH(COLUMNS($AC$1006:AC1006),$AC$1006:$AS$1006,0)), HYPERLINK("#",""), HYPERLINK(CONCATENATE("#metadata!", ADDRESS(INDEX($X$2:$X$1001,MATCH(ROWS($V$2:V487),$V$2:$V$1001,0),0), INDEX($AC$1004:$AS$1004,1,MATCH(COLUMNS($AC$1006:AC1006),$AC$1006:$AS$1006,0)))),"Fix")))</f>
        <v xml:space="preserve"> </v>
      </c>
      <c r="C487" s="4" t="str">
        <f ca="1">IF(OR(INDEX($W$2:$W$1001,MATCH(ROWS($V$2:V487),$V$2:$V$1001,0),1)&gt;=100000,INDEX($AC$1005:$AS$1005,1,MATCH(COLUMNS($AC$1006:AD1006),$AC$1006:$AS$1006,0))&gt;=100000), " ",IF(INDEX($AC$2:$AS$1001,MATCH(ROWS($V$2:V487),$V$2:$V$1001,0),MATCH(COLUMNS($AC$1006:AD1006),$AC$1006:$AS$1006,0)), HYPERLINK("#",""), HYPERLINK(CONCATENATE("#metadata!", ADDRESS(INDEX($X$2:$X$1001,MATCH(ROWS($V$2:V487),$V$2:$V$1001,0),0), INDEX($AC$1004:$AS$1004,1,MATCH(COLUMNS($AC$1006:AD1006),$AC$1006:$AS$1006,0)))),"Fix")))</f>
        <v xml:space="preserve"> </v>
      </c>
      <c r="D487" s="4" t="str">
        <f ca="1">IF(OR(INDEX($W$2:$W$1001,MATCH(ROWS($V$2:V487),$V$2:$V$1001,0),1)&gt;=100000,INDEX($AC$1005:$AS$1005,1,MATCH(COLUMNS($AC$1006:AE1006),$AC$1006:$AS$1006,0))&gt;=100000), " ",IF(INDEX($AC$2:$AS$1001,MATCH(ROWS($V$2:V487),$V$2:$V$1001,0),MATCH(COLUMNS($AC$1006:AE1006),$AC$1006:$AS$1006,0)), HYPERLINK("#",""), HYPERLINK(CONCATENATE("#metadata!", ADDRESS(INDEX($X$2:$X$1001,MATCH(ROWS($V$2:V487),$V$2:$V$1001,0),0), INDEX($AC$1004:$AS$1004,1,MATCH(COLUMNS($AC$1006:AE1006),$AC$1006:$AS$1006,0)))),"Fix")))</f>
        <v xml:space="preserve"> </v>
      </c>
      <c r="E487" s="4" t="str">
        <f ca="1">IF(OR(INDEX($W$2:$W$1001,MATCH(ROWS($V$2:V487),$V$2:$V$1001,0),1)&gt;=100000,INDEX($AC$1005:$AS$1005,1,MATCH(COLUMNS($AC$1006:AF1006),$AC$1006:$AS$1006,0))&gt;=100000), " ",IF(INDEX($AC$2:$AS$1001,MATCH(ROWS($V$2:V487),$V$2:$V$1001,0),MATCH(COLUMNS($AC$1006:AF1006),$AC$1006:$AS$1006,0)), HYPERLINK("#",""), HYPERLINK(CONCATENATE("#metadata!", ADDRESS(INDEX($X$2:$X$1001,MATCH(ROWS($V$2:V487),$V$2:$V$1001,0),0), INDEX($AC$1004:$AS$1004,1,MATCH(COLUMNS($AC$1006:AF1006),$AC$1006:$AS$1006,0)))),"Fix")))</f>
        <v xml:space="preserve"> </v>
      </c>
      <c r="F487" s="4" t="str">
        <f ca="1">IF(OR(INDEX($W$2:$W$1001,MATCH(ROWS($V$2:V487),$V$2:$V$1001,0),1)&gt;=100000,INDEX($AC$1005:$AS$1005,1,MATCH(COLUMNS($AC$1006:AG1006),$AC$1006:$AS$1006,0))&gt;=100000), " ",IF(INDEX($AC$2:$AS$1001,MATCH(ROWS($V$2:V487),$V$2:$V$1001,0),MATCH(COLUMNS($AC$1006:AG1006),$AC$1006:$AS$1006,0)), HYPERLINK("#",""), HYPERLINK(CONCATENATE("#metadata!", ADDRESS(INDEX($X$2:$X$1001,MATCH(ROWS($V$2:V487),$V$2:$V$1001,0),0), INDEX($AC$1004:$AS$1004,1,MATCH(COLUMNS($AC$1006:AG1006),$AC$1006:$AS$1006,0)))),"Fix")))</f>
        <v xml:space="preserve"> </v>
      </c>
      <c r="G487" s="4" t="str">
        <f ca="1">IF(OR(INDEX($W$2:$W$1001,MATCH(ROWS($V$2:V487),$V$2:$V$1001,0),1)&gt;=100000,INDEX($AC$1005:$AS$1005,1,MATCH(COLUMNS($AC$1006:AH1006),$AC$1006:$AS$1006,0))&gt;=100000), " ",IF(INDEX($AC$2:$AS$1001,MATCH(ROWS($V$2:V487),$V$2:$V$1001,0),MATCH(COLUMNS($AC$1006:AH1006),$AC$1006:$AS$1006,0)), HYPERLINK("#",""), HYPERLINK(CONCATENATE("#metadata!", ADDRESS(INDEX($X$2:$X$1001,MATCH(ROWS($V$2:V487),$V$2:$V$1001,0),0), INDEX($AC$1004:$AS$1004,1,MATCH(COLUMNS($AC$1006:AH1006),$AC$1006:$AS$1006,0)))),"Fix")))</f>
        <v xml:space="preserve"> </v>
      </c>
      <c r="H487" s="4" t="str">
        <f ca="1">IF(OR(INDEX($W$2:$W$1001,MATCH(ROWS($V$2:V487),$V$2:$V$1001,0),1)&gt;=100000,INDEX($AC$1005:$AS$1005,1,MATCH(COLUMNS($AC$1006:AI1006),$AC$1006:$AS$1006,0))&gt;=100000), " ",IF(INDEX($AC$2:$AS$1001,MATCH(ROWS($V$2:V487),$V$2:$V$1001,0),MATCH(COLUMNS($AC$1006:AI1006),$AC$1006:$AS$1006,0)), HYPERLINK("#",""), HYPERLINK(CONCATENATE("#metadata!", ADDRESS(INDEX($X$2:$X$1001,MATCH(ROWS($V$2:V487),$V$2:$V$1001,0),0), INDEX($AC$1004:$AS$1004,1,MATCH(COLUMNS($AC$1006:AI1006),$AC$1006:$AS$1006,0)))),"Fix")))</f>
        <v xml:space="preserve"> </v>
      </c>
      <c r="I487" s="4" t="str">
        <f ca="1">IF(OR(INDEX($W$2:$W$1001,MATCH(ROWS($V$2:V487),$V$2:$V$1001,0),1)&gt;=100000,INDEX($AC$1005:$AS$1005,1,MATCH(COLUMNS($AC$1006:AJ1006),$AC$1006:$AS$1006,0))&gt;=100000), " ",IF(INDEX($AC$2:$AS$1001,MATCH(ROWS($V$2:V487),$V$2:$V$1001,0),MATCH(COLUMNS($AC$1006:AJ1006),$AC$1006:$AS$1006,0)), HYPERLINK("#",""), HYPERLINK(CONCATENATE("#metadata!", ADDRESS(INDEX($X$2:$X$1001,MATCH(ROWS($V$2:V487),$V$2:$V$1001,0),0), INDEX($AC$1004:$AS$1004,1,MATCH(COLUMNS($AC$1006:AJ1006),$AC$1006:$AS$1006,0)))),"Fix")))</f>
        <v xml:space="preserve"> </v>
      </c>
      <c r="J487" s="4" t="str">
        <f ca="1">IF(OR(INDEX($W$2:$W$1001,MATCH(ROWS($V$2:V487),$V$2:$V$1001,0),1)&gt;=100000,INDEX($AC$1005:$AS$1005,1,MATCH(COLUMNS($AC$1006:AK1006),$AC$1006:$AS$1006,0))&gt;=100000), " ",IF(INDEX($AC$2:$AS$1001,MATCH(ROWS($V$2:V487),$V$2:$V$1001,0),MATCH(COLUMNS($AC$1006:AK1006),$AC$1006:$AS$1006,0)), HYPERLINK("#",""), HYPERLINK(CONCATENATE("#metadata!", ADDRESS(INDEX($X$2:$X$1001,MATCH(ROWS($V$2:V487),$V$2:$V$1001,0),0), INDEX($AC$1004:$AS$1004,1,MATCH(COLUMNS($AC$1006:AK1006),$AC$1006:$AS$1006,0)))),"Fix")))</f>
        <v xml:space="preserve"> </v>
      </c>
      <c r="K487" s="4" t="str">
        <f ca="1">IF(OR(INDEX($W$2:$W$1001,MATCH(ROWS($V$2:V487),$V$2:$V$1001,0),1)&gt;=100000,INDEX($AC$1005:$AS$1005,1,MATCH(COLUMNS($AC$1006:AL1006),$AC$1006:$AS$1006,0))&gt;=100000), " ",IF(INDEX($AC$2:$AS$1001,MATCH(ROWS($V$2:V487),$V$2:$V$1001,0),MATCH(COLUMNS($AC$1006:AL1006),$AC$1006:$AS$1006,0)), HYPERLINK("#",""), HYPERLINK(CONCATENATE("#metadata!", ADDRESS(INDEX($X$2:$X$1001,MATCH(ROWS($V$2:V487),$V$2:$V$1001,0),0), INDEX($AC$1004:$AS$1004,1,MATCH(COLUMNS($AC$1006:AL1006),$AC$1006:$AS$1006,0)))),"Fix")))</f>
        <v xml:space="preserve"> </v>
      </c>
      <c r="L487" s="4" t="str">
        <f ca="1">IF(OR(INDEX($W$2:$W$1001,MATCH(ROWS($V$2:V487),$V$2:$V$1001,0),1)&gt;=100000,INDEX($AC$1005:$AS$1005,1,MATCH(COLUMNS($AC$1006:AM1006),$AC$1006:$AS$1006,0))&gt;=100000), " ",IF(INDEX($AC$2:$AS$1001,MATCH(ROWS($V$2:V487),$V$2:$V$1001,0),MATCH(COLUMNS($AC$1006:AM1006),$AC$1006:$AS$1006,0)), HYPERLINK("#",""), HYPERLINK(CONCATENATE("#metadata!", ADDRESS(INDEX($X$2:$X$1001,MATCH(ROWS($V$2:V487),$V$2:$V$1001,0),0), INDEX($AC$1004:$AS$1004,1,MATCH(COLUMNS($AC$1006:AM1006),$AC$1006:$AS$1006,0)))),"Fix")))</f>
        <v xml:space="preserve"> </v>
      </c>
      <c r="M487" s="4" t="str">
        <f ca="1">IF(OR(INDEX($W$2:$W$1001,MATCH(ROWS($V$2:V487),$V$2:$V$1001,0),1)&gt;=100000,INDEX($AC$1005:$AS$1005,1,MATCH(COLUMNS($AC$1006:AN1006),$AC$1006:$AS$1006,0))&gt;=100000), " ",IF(INDEX($AC$2:$AS$1001,MATCH(ROWS($V$2:V487),$V$2:$V$1001,0),MATCH(COLUMNS($AC$1006:AN1006),$AC$1006:$AS$1006,0)), HYPERLINK("#",""), HYPERLINK(CONCATENATE("#metadata!", ADDRESS(INDEX($X$2:$X$1001,MATCH(ROWS($V$2:V487),$V$2:$V$1001,0),0), INDEX($AC$1004:$AS$1004,1,MATCH(COLUMNS($AC$1006:AN1006),$AC$1006:$AS$1006,0)))),"Fix")))</f>
        <v xml:space="preserve"> </v>
      </c>
      <c r="N487" s="4" t="str">
        <f ca="1">IF(OR(INDEX($W$2:$W$1001,MATCH(ROWS($V$2:V487),$V$2:$V$1001,0),1)&gt;=100000,INDEX($AC$1005:$AS$1005,1,MATCH(COLUMNS($AC$1006:AO1006),$AC$1006:$AS$1006,0))&gt;=100000), " ",IF(INDEX($AC$2:$AS$1001,MATCH(ROWS($V$2:V487),$V$2:$V$1001,0),MATCH(COLUMNS($AC$1006:AO1006),$AC$1006:$AS$1006,0)), HYPERLINK("#",""), HYPERLINK(CONCATENATE("#metadata!", ADDRESS(INDEX($X$2:$X$1001,MATCH(ROWS($V$2:V487),$V$2:$V$1001,0),0), INDEX($AC$1004:$AS$1004,1,MATCH(COLUMNS($AC$1006:AO1006),$AC$1006:$AS$1006,0)))),"Fix")))</f>
        <v xml:space="preserve"> </v>
      </c>
      <c r="O487" s="4" t="str">
        <f ca="1">IF(OR(INDEX($W$2:$W$1001,MATCH(ROWS($V$2:V487),$V$2:$V$1001,0),1)&gt;=100000,INDEX($AC$1005:$AS$1005,1,MATCH(COLUMNS($AC$1006:AP1006),$AC$1006:$AS$1006,0))&gt;=100000), " ",IF(INDEX($AC$2:$AS$1001,MATCH(ROWS($V$2:V487),$V$2:$V$1001,0),MATCH(COLUMNS($AC$1006:AP1006),$AC$1006:$AS$1006,0)), HYPERLINK("#",""), HYPERLINK(CONCATENATE("#metadata!", ADDRESS(INDEX($X$2:$X$1001,MATCH(ROWS($V$2:V487),$V$2:$V$1001,0),0), INDEX($AC$1004:$AS$1004,1,MATCH(COLUMNS($AC$1006:AP1006),$AC$1006:$AS$1006,0)))),"Fix")))</f>
        <v xml:space="preserve"> </v>
      </c>
      <c r="P487" s="4" t="str">
        <f ca="1">IF(OR(INDEX($W$2:$W$1001,MATCH(ROWS($V$2:V487),$V$2:$V$1001,0),1)&gt;=100000,INDEX($AC$1005:$AS$1005,1,MATCH(COLUMNS($AC$1006:AQ1006),$AC$1006:$AS$1006,0))&gt;=100000), " ",IF(INDEX($AC$2:$AS$1001,MATCH(ROWS($V$2:V487),$V$2:$V$1001,0),MATCH(COLUMNS($AC$1006:AQ1006),$AC$1006:$AS$1006,0)), HYPERLINK("#",""), HYPERLINK(CONCATENATE("#metadata!", ADDRESS(INDEX($X$2:$X$1001,MATCH(ROWS($V$2:V487),$V$2:$V$1001,0),0), INDEX($AC$1004:$AS$1004,1,MATCH(COLUMNS($AC$1006:AQ1006),$AC$1006:$AS$1006,0)))),"Fix")))</f>
        <v xml:space="preserve"> </v>
      </c>
      <c r="Q487" s="4" t="str">
        <f ca="1">IF(OR(INDEX($W$2:$W$1001,MATCH(ROWS($V$2:V487),$V$2:$V$1001,0),1)&gt;=100000,INDEX($AC$1005:$AS$1005,1,MATCH(COLUMNS($AC$1006:AR1006),$AC$1006:$AS$1006,0))&gt;=100000), " ",IF(INDEX($AC$2:$AS$1001,MATCH(ROWS($V$2:V487),$V$2:$V$1001,0),MATCH(COLUMNS($AC$1006:AR1006),$AC$1006:$AS$1006,0)), HYPERLINK("#",""), HYPERLINK(CONCATENATE("#metadata!", ADDRESS(INDEX($X$2:$X$1001,MATCH(ROWS($V$2:V487),$V$2:$V$1001,0),0), INDEX($AC$1004:$AS$1004,1,MATCH(COLUMNS($AC$1006:AR1006),$AC$1006:$AS$1006,0)))),"Fix")))</f>
        <v xml:space="preserve"> </v>
      </c>
      <c r="R487" s="4" t="str">
        <f ca="1">IF(OR(INDEX($W$2:$W$1001,MATCH(ROWS($V$2:V487),$V$2:$V$1001,0),1)&gt;=100000,INDEX($AC$1005:$AS$1005,1,MATCH(COLUMNS($AC$1006:AS1006),$AC$1006:$AS$1006,0))&gt;=100000), " ",IF(INDEX($AC$2:$AS$1001,MATCH(ROWS($V$2:V487),$V$2:$V$1001,0),MATCH(COLUMNS($AC$1006:AS1006),$AC$1006:$AS$1006,0)), HYPERLINK("#",""), HYPERLINK(CONCATENATE("#metadata!", ADDRESS(INDEX($X$2:$X$1001,MATCH(ROWS($V$2:V487),$V$2:$V$1001,0),0), INDEX($AC$1004:$AS$1004,1,MATCH(COLUMNS($AC$1006:AS1006),$AC$1006:$AS$1006,0)))),"Fix")))</f>
        <v xml:space="preserve"> </v>
      </c>
      <c r="V487">
        <v>486</v>
      </c>
      <c r="W487">
        <v>100487</v>
      </c>
      <c r="X487">
        <v>487</v>
      </c>
      <c r="Y487" t="b">
        <f t="shared" si="7"/>
        <v>1</v>
      </c>
      <c r="Z487" t="b">
        <f>COUNTBLANK(metadata!B487:R487)=COLUMNS(metadata!B487:R487)</f>
        <v>1</v>
      </c>
      <c r="AA487" t="str">
        <v/>
      </c>
      <c r="AC487" t="b">
        <f ca="1"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AD487" t="b">
        <f>IF(metadata!C487="",FALSE,ISNUMBER(VALUE(metadata!C487)))</f>
        <v>0</v>
      </c>
      <c r="AE487" t="b">
        <f>AND(IF(metadata!D487="",FALSE,TRUE),EXACT(metadata!D487,"years"))</f>
        <v>0</v>
      </c>
      <c r="AF487" t="b">
        <f>OR(AND(IF(metadata!E487="",FALSE,TRUE),OR(EXACT(metadata!E487,"not applicable"),EXACT(metadata!E487,"missing: not collected"),EXACT(metadata!E487,"missing: not provided"),EXACT(metadata!E487,"missing: restricted access"))),AND(IF(metadata!E487="",FALSE,ISNUMBER(VALUE(metadata!E487))),metadata!E487&gt;0))</f>
        <v>0</v>
      </c>
      <c r="AG487" t="b">
        <f>AND(IF(metadata!F487="",FALSE,TRUE),EXACT(metadata!F487,"Not applicable"))</f>
        <v>0</v>
      </c>
      <c r="AH487" t="b">
        <f>AND(IF(metadata!G487="",FALSE,TRUE),EXACT(metadata!G487,"urban biome"))</f>
        <v>0</v>
      </c>
      <c r="AI487" t="b">
        <f>AND(IF(metadata!H487="",FALSE,TRUE),EXACT(metadata!H487,"human-associated habitat"))</f>
        <v>0</v>
      </c>
      <c r="AJ487" t="b">
        <f>AND(IF(metadata!I487="",FALSE,TRUE),OR(EXACT(metadata!I487,"human-associated"),EXACT(metadata!I487,"human-skin"),EXACT(metadata!I487,"human-oral"),EXACT(metadata!I487,"human-gut"),EXACT(metadata!I487,"human-vaginal")))</f>
        <v>0</v>
      </c>
      <c r="AK487" t="b">
        <f>IF(metadata!J487="",FALSE,ISNUMBER(VALUE(metadata!J487)))</f>
        <v>0</v>
      </c>
      <c r="AL487" t="b">
        <f>AND(IF(metadata!K487="",FALSE,TRUE),EXACT(metadata!K487,"cm"))</f>
        <v>0</v>
      </c>
      <c r="AM487" t="b">
        <f>AND(IF(metadata!L487="",FALSE,TRUE),EXACT(metadata!L487,"human"))</f>
        <v>0</v>
      </c>
      <c r="AN487" t="b">
        <f>AND(IF(metadata!M487="",FALSE,TRUE),EXACT(metadata!M487,"Homo sapiens"))</f>
        <v>0</v>
      </c>
      <c r="AO487" t="b">
        <f>AND(IF(metadata!N487="",FALSE,TRUE),EXACT(metadata!N487,"9606"))</f>
        <v>0</v>
      </c>
      <c r="AP487" t="b">
        <f>IF(metadata!O487="",FALSE,TRUE)</f>
        <v>0</v>
      </c>
      <c r="AQ487" t="b">
        <f>IF(metadata!P487="",FALSE,TRUE)</f>
        <v>0</v>
      </c>
      <c r="AR487" t="b">
        <f>IF(metadata!Q487="",FALSE,ISNUMBER(VALUE(metadata!Q487)))</f>
        <v>0</v>
      </c>
      <c r="AS487" t="b">
        <f>AND(IF(metadata!R487="",FALSE,TRUE),EXACT(metadata!R487,"kg"))</f>
        <v>0</v>
      </c>
    </row>
    <row r="488" spans="1:45" x14ac:dyDescent="0.2">
      <c r="A488" s="5" t="str">
        <f ca="1">IF(B488=" "," ",HYPERLINK(CONCATENATE("#metadata!",ADDRESS(INDEX($X$2:$X$1001,MATCH(ROWS($V$2:V488),$V$2:$V$1001,0),0),1)),INDEX($AA$2:$AA$1001,MATCH(ROWS($V$2:V488),$V$2:$V$1001,0),0)))</f>
        <v xml:space="preserve"> </v>
      </c>
      <c r="B488" s="4" t="str">
        <f ca="1">IF(OR(INDEX($W$2:$W$1001,MATCH(ROWS($V$2:V488),$V$2:$V$1001,0),1)&gt;=100000,INDEX($AC$1005:$AS$1005,1,MATCH(COLUMNS($AC$1006:AC1006),$AC$1006:$AS$1006,0))&gt;=100000), " ",IF(INDEX($AC$2:$AS$1001,MATCH(ROWS($V$2:V488),$V$2:$V$1001,0),MATCH(COLUMNS($AC$1006:AC1006),$AC$1006:$AS$1006,0)), HYPERLINK("#",""), HYPERLINK(CONCATENATE("#metadata!", ADDRESS(INDEX($X$2:$X$1001,MATCH(ROWS($V$2:V488),$V$2:$V$1001,0),0), INDEX($AC$1004:$AS$1004,1,MATCH(COLUMNS($AC$1006:AC1006),$AC$1006:$AS$1006,0)))),"Fix")))</f>
        <v xml:space="preserve"> </v>
      </c>
      <c r="C488" s="4" t="str">
        <f ca="1">IF(OR(INDEX($W$2:$W$1001,MATCH(ROWS($V$2:V488),$V$2:$V$1001,0),1)&gt;=100000,INDEX($AC$1005:$AS$1005,1,MATCH(COLUMNS($AC$1006:AD1006),$AC$1006:$AS$1006,0))&gt;=100000), " ",IF(INDEX($AC$2:$AS$1001,MATCH(ROWS($V$2:V488),$V$2:$V$1001,0),MATCH(COLUMNS($AC$1006:AD1006),$AC$1006:$AS$1006,0)), HYPERLINK("#",""), HYPERLINK(CONCATENATE("#metadata!", ADDRESS(INDEX($X$2:$X$1001,MATCH(ROWS($V$2:V488),$V$2:$V$1001,0),0), INDEX($AC$1004:$AS$1004,1,MATCH(COLUMNS($AC$1006:AD1006),$AC$1006:$AS$1006,0)))),"Fix")))</f>
        <v xml:space="preserve"> </v>
      </c>
      <c r="D488" s="4" t="str">
        <f ca="1">IF(OR(INDEX($W$2:$W$1001,MATCH(ROWS($V$2:V488),$V$2:$V$1001,0),1)&gt;=100000,INDEX($AC$1005:$AS$1005,1,MATCH(COLUMNS($AC$1006:AE1006),$AC$1006:$AS$1006,0))&gt;=100000), " ",IF(INDEX($AC$2:$AS$1001,MATCH(ROWS($V$2:V488),$V$2:$V$1001,0),MATCH(COLUMNS($AC$1006:AE1006),$AC$1006:$AS$1006,0)), HYPERLINK("#",""), HYPERLINK(CONCATENATE("#metadata!", ADDRESS(INDEX($X$2:$X$1001,MATCH(ROWS($V$2:V488),$V$2:$V$1001,0),0), INDEX($AC$1004:$AS$1004,1,MATCH(COLUMNS($AC$1006:AE1006),$AC$1006:$AS$1006,0)))),"Fix")))</f>
        <v xml:space="preserve"> </v>
      </c>
      <c r="E488" s="4" t="str">
        <f ca="1">IF(OR(INDEX($W$2:$W$1001,MATCH(ROWS($V$2:V488),$V$2:$V$1001,0),1)&gt;=100000,INDEX($AC$1005:$AS$1005,1,MATCH(COLUMNS($AC$1006:AF1006),$AC$1006:$AS$1006,0))&gt;=100000), " ",IF(INDEX($AC$2:$AS$1001,MATCH(ROWS($V$2:V488),$V$2:$V$1001,0),MATCH(COLUMNS($AC$1006:AF1006),$AC$1006:$AS$1006,0)), HYPERLINK("#",""), HYPERLINK(CONCATENATE("#metadata!", ADDRESS(INDEX($X$2:$X$1001,MATCH(ROWS($V$2:V488),$V$2:$V$1001,0),0), INDEX($AC$1004:$AS$1004,1,MATCH(COLUMNS($AC$1006:AF1006),$AC$1006:$AS$1006,0)))),"Fix")))</f>
        <v xml:space="preserve"> </v>
      </c>
      <c r="F488" s="4" t="str">
        <f ca="1">IF(OR(INDEX($W$2:$W$1001,MATCH(ROWS($V$2:V488),$V$2:$V$1001,0),1)&gt;=100000,INDEX($AC$1005:$AS$1005,1,MATCH(COLUMNS($AC$1006:AG1006),$AC$1006:$AS$1006,0))&gt;=100000), " ",IF(INDEX($AC$2:$AS$1001,MATCH(ROWS($V$2:V488),$V$2:$V$1001,0),MATCH(COLUMNS($AC$1006:AG1006),$AC$1006:$AS$1006,0)), HYPERLINK("#",""), HYPERLINK(CONCATENATE("#metadata!", ADDRESS(INDEX($X$2:$X$1001,MATCH(ROWS($V$2:V488),$V$2:$V$1001,0),0), INDEX($AC$1004:$AS$1004,1,MATCH(COLUMNS($AC$1006:AG1006),$AC$1006:$AS$1006,0)))),"Fix")))</f>
        <v xml:space="preserve"> </v>
      </c>
      <c r="G488" s="4" t="str">
        <f ca="1">IF(OR(INDEX($W$2:$W$1001,MATCH(ROWS($V$2:V488),$V$2:$V$1001,0),1)&gt;=100000,INDEX($AC$1005:$AS$1005,1,MATCH(COLUMNS($AC$1006:AH1006),$AC$1006:$AS$1006,0))&gt;=100000), " ",IF(INDEX($AC$2:$AS$1001,MATCH(ROWS($V$2:V488),$V$2:$V$1001,0),MATCH(COLUMNS($AC$1006:AH1006),$AC$1006:$AS$1006,0)), HYPERLINK("#",""), HYPERLINK(CONCATENATE("#metadata!", ADDRESS(INDEX($X$2:$X$1001,MATCH(ROWS($V$2:V488),$V$2:$V$1001,0),0), INDEX($AC$1004:$AS$1004,1,MATCH(COLUMNS($AC$1006:AH1006),$AC$1006:$AS$1006,0)))),"Fix")))</f>
        <v xml:space="preserve"> </v>
      </c>
      <c r="H488" s="4" t="str">
        <f ca="1">IF(OR(INDEX($W$2:$W$1001,MATCH(ROWS($V$2:V488),$V$2:$V$1001,0),1)&gt;=100000,INDEX($AC$1005:$AS$1005,1,MATCH(COLUMNS($AC$1006:AI1006),$AC$1006:$AS$1006,0))&gt;=100000), " ",IF(INDEX($AC$2:$AS$1001,MATCH(ROWS($V$2:V488),$V$2:$V$1001,0),MATCH(COLUMNS($AC$1006:AI1006),$AC$1006:$AS$1006,0)), HYPERLINK("#",""), HYPERLINK(CONCATENATE("#metadata!", ADDRESS(INDEX($X$2:$X$1001,MATCH(ROWS($V$2:V488),$V$2:$V$1001,0),0), INDEX($AC$1004:$AS$1004,1,MATCH(COLUMNS($AC$1006:AI1006),$AC$1006:$AS$1006,0)))),"Fix")))</f>
        <v xml:space="preserve"> </v>
      </c>
      <c r="I488" s="4" t="str">
        <f ca="1">IF(OR(INDEX($W$2:$W$1001,MATCH(ROWS($V$2:V488),$V$2:$V$1001,0),1)&gt;=100000,INDEX($AC$1005:$AS$1005,1,MATCH(COLUMNS($AC$1006:AJ1006),$AC$1006:$AS$1006,0))&gt;=100000), " ",IF(INDEX($AC$2:$AS$1001,MATCH(ROWS($V$2:V488),$V$2:$V$1001,0),MATCH(COLUMNS($AC$1006:AJ1006),$AC$1006:$AS$1006,0)), HYPERLINK("#",""), HYPERLINK(CONCATENATE("#metadata!", ADDRESS(INDEX($X$2:$X$1001,MATCH(ROWS($V$2:V488),$V$2:$V$1001,0),0), INDEX($AC$1004:$AS$1004,1,MATCH(COLUMNS($AC$1006:AJ1006),$AC$1006:$AS$1006,0)))),"Fix")))</f>
        <v xml:space="preserve"> </v>
      </c>
      <c r="J488" s="4" t="str">
        <f ca="1">IF(OR(INDEX($W$2:$W$1001,MATCH(ROWS($V$2:V488),$V$2:$V$1001,0),1)&gt;=100000,INDEX($AC$1005:$AS$1005,1,MATCH(COLUMNS($AC$1006:AK1006),$AC$1006:$AS$1006,0))&gt;=100000), " ",IF(INDEX($AC$2:$AS$1001,MATCH(ROWS($V$2:V488),$V$2:$V$1001,0),MATCH(COLUMNS($AC$1006:AK1006),$AC$1006:$AS$1006,0)), HYPERLINK("#",""), HYPERLINK(CONCATENATE("#metadata!", ADDRESS(INDEX($X$2:$X$1001,MATCH(ROWS($V$2:V488),$V$2:$V$1001,0),0), INDEX($AC$1004:$AS$1004,1,MATCH(COLUMNS($AC$1006:AK1006),$AC$1006:$AS$1006,0)))),"Fix")))</f>
        <v xml:space="preserve"> </v>
      </c>
      <c r="K488" s="4" t="str">
        <f ca="1">IF(OR(INDEX($W$2:$W$1001,MATCH(ROWS($V$2:V488),$V$2:$V$1001,0),1)&gt;=100000,INDEX($AC$1005:$AS$1005,1,MATCH(COLUMNS($AC$1006:AL1006),$AC$1006:$AS$1006,0))&gt;=100000), " ",IF(INDEX($AC$2:$AS$1001,MATCH(ROWS($V$2:V488),$V$2:$V$1001,0),MATCH(COLUMNS($AC$1006:AL1006),$AC$1006:$AS$1006,0)), HYPERLINK("#",""), HYPERLINK(CONCATENATE("#metadata!", ADDRESS(INDEX($X$2:$X$1001,MATCH(ROWS($V$2:V488),$V$2:$V$1001,0),0), INDEX($AC$1004:$AS$1004,1,MATCH(COLUMNS($AC$1006:AL1006),$AC$1006:$AS$1006,0)))),"Fix")))</f>
        <v xml:space="preserve"> </v>
      </c>
      <c r="L488" s="4" t="str">
        <f ca="1">IF(OR(INDEX($W$2:$W$1001,MATCH(ROWS($V$2:V488),$V$2:$V$1001,0),1)&gt;=100000,INDEX($AC$1005:$AS$1005,1,MATCH(COLUMNS($AC$1006:AM1006),$AC$1006:$AS$1006,0))&gt;=100000), " ",IF(INDEX($AC$2:$AS$1001,MATCH(ROWS($V$2:V488),$V$2:$V$1001,0),MATCH(COLUMNS($AC$1006:AM1006),$AC$1006:$AS$1006,0)), HYPERLINK("#",""), HYPERLINK(CONCATENATE("#metadata!", ADDRESS(INDEX($X$2:$X$1001,MATCH(ROWS($V$2:V488),$V$2:$V$1001,0),0), INDEX($AC$1004:$AS$1004,1,MATCH(COLUMNS($AC$1006:AM1006),$AC$1006:$AS$1006,0)))),"Fix")))</f>
        <v xml:space="preserve"> </v>
      </c>
      <c r="M488" s="4" t="str">
        <f ca="1">IF(OR(INDEX($W$2:$W$1001,MATCH(ROWS($V$2:V488),$V$2:$V$1001,0),1)&gt;=100000,INDEX($AC$1005:$AS$1005,1,MATCH(COLUMNS($AC$1006:AN1006),$AC$1006:$AS$1006,0))&gt;=100000), " ",IF(INDEX($AC$2:$AS$1001,MATCH(ROWS($V$2:V488),$V$2:$V$1001,0),MATCH(COLUMNS($AC$1006:AN1006),$AC$1006:$AS$1006,0)), HYPERLINK("#",""), HYPERLINK(CONCATENATE("#metadata!", ADDRESS(INDEX($X$2:$X$1001,MATCH(ROWS($V$2:V488),$V$2:$V$1001,0),0), INDEX($AC$1004:$AS$1004,1,MATCH(COLUMNS($AC$1006:AN1006),$AC$1006:$AS$1006,0)))),"Fix")))</f>
        <v xml:space="preserve"> </v>
      </c>
      <c r="N488" s="4" t="str">
        <f ca="1">IF(OR(INDEX($W$2:$W$1001,MATCH(ROWS($V$2:V488),$V$2:$V$1001,0),1)&gt;=100000,INDEX($AC$1005:$AS$1005,1,MATCH(COLUMNS($AC$1006:AO1006),$AC$1006:$AS$1006,0))&gt;=100000), " ",IF(INDEX($AC$2:$AS$1001,MATCH(ROWS($V$2:V488),$V$2:$V$1001,0),MATCH(COLUMNS($AC$1006:AO1006),$AC$1006:$AS$1006,0)), HYPERLINK("#",""), HYPERLINK(CONCATENATE("#metadata!", ADDRESS(INDEX($X$2:$X$1001,MATCH(ROWS($V$2:V488),$V$2:$V$1001,0),0), INDEX($AC$1004:$AS$1004,1,MATCH(COLUMNS($AC$1006:AO1006),$AC$1006:$AS$1006,0)))),"Fix")))</f>
        <v xml:space="preserve"> </v>
      </c>
      <c r="O488" s="4" t="str">
        <f ca="1">IF(OR(INDEX($W$2:$W$1001,MATCH(ROWS($V$2:V488),$V$2:$V$1001,0),1)&gt;=100000,INDEX($AC$1005:$AS$1005,1,MATCH(COLUMNS($AC$1006:AP1006),$AC$1006:$AS$1006,0))&gt;=100000), " ",IF(INDEX($AC$2:$AS$1001,MATCH(ROWS($V$2:V488),$V$2:$V$1001,0),MATCH(COLUMNS($AC$1006:AP1006),$AC$1006:$AS$1006,0)), HYPERLINK("#",""), HYPERLINK(CONCATENATE("#metadata!", ADDRESS(INDEX($X$2:$X$1001,MATCH(ROWS($V$2:V488),$V$2:$V$1001,0),0), INDEX($AC$1004:$AS$1004,1,MATCH(COLUMNS($AC$1006:AP1006),$AC$1006:$AS$1006,0)))),"Fix")))</f>
        <v xml:space="preserve"> </v>
      </c>
      <c r="P488" s="4" t="str">
        <f ca="1">IF(OR(INDEX($W$2:$W$1001,MATCH(ROWS($V$2:V488),$V$2:$V$1001,0),1)&gt;=100000,INDEX($AC$1005:$AS$1005,1,MATCH(COLUMNS($AC$1006:AQ1006),$AC$1006:$AS$1006,0))&gt;=100000), " ",IF(INDEX($AC$2:$AS$1001,MATCH(ROWS($V$2:V488),$V$2:$V$1001,0),MATCH(COLUMNS($AC$1006:AQ1006),$AC$1006:$AS$1006,0)), HYPERLINK("#",""), HYPERLINK(CONCATENATE("#metadata!", ADDRESS(INDEX($X$2:$X$1001,MATCH(ROWS($V$2:V488),$V$2:$V$1001,0),0), INDEX($AC$1004:$AS$1004,1,MATCH(COLUMNS($AC$1006:AQ1006),$AC$1006:$AS$1006,0)))),"Fix")))</f>
        <v xml:space="preserve"> </v>
      </c>
      <c r="Q488" s="4" t="str">
        <f ca="1">IF(OR(INDEX($W$2:$W$1001,MATCH(ROWS($V$2:V488),$V$2:$V$1001,0),1)&gt;=100000,INDEX($AC$1005:$AS$1005,1,MATCH(COLUMNS($AC$1006:AR1006),$AC$1006:$AS$1006,0))&gt;=100000), " ",IF(INDEX($AC$2:$AS$1001,MATCH(ROWS($V$2:V488),$V$2:$V$1001,0),MATCH(COLUMNS($AC$1006:AR1006),$AC$1006:$AS$1006,0)), HYPERLINK("#",""), HYPERLINK(CONCATENATE("#metadata!", ADDRESS(INDEX($X$2:$X$1001,MATCH(ROWS($V$2:V488),$V$2:$V$1001,0),0), INDEX($AC$1004:$AS$1004,1,MATCH(COLUMNS($AC$1006:AR1006),$AC$1006:$AS$1006,0)))),"Fix")))</f>
        <v xml:space="preserve"> </v>
      </c>
      <c r="R488" s="4" t="str">
        <f ca="1">IF(OR(INDEX($W$2:$W$1001,MATCH(ROWS($V$2:V488),$V$2:$V$1001,0),1)&gt;=100000,INDEX($AC$1005:$AS$1005,1,MATCH(COLUMNS($AC$1006:AS1006),$AC$1006:$AS$1006,0))&gt;=100000), " ",IF(INDEX($AC$2:$AS$1001,MATCH(ROWS($V$2:V488),$V$2:$V$1001,0),MATCH(COLUMNS($AC$1006:AS1006),$AC$1006:$AS$1006,0)), HYPERLINK("#",""), HYPERLINK(CONCATENATE("#metadata!", ADDRESS(INDEX($X$2:$X$1001,MATCH(ROWS($V$2:V488),$V$2:$V$1001,0),0), INDEX($AC$1004:$AS$1004,1,MATCH(COLUMNS($AC$1006:AS1006),$AC$1006:$AS$1006,0)))),"Fix")))</f>
        <v xml:space="preserve"> </v>
      </c>
      <c r="V488">
        <v>487</v>
      </c>
      <c r="W488">
        <v>100488</v>
      </c>
      <c r="X488">
        <v>488</v>
      </c>
      <c r="Y488" t="b">
        <f t="shared" si="7"/>
        <v>1</v>
      </c>
      <c r="Z488" t="b">
        <f>COUNTBLANK(metadata!B488:R488)=COLUMNS(metadata!B488:R488)</f>
        <v>1</v>
      </c>
      <c r="AA488" t="str">
        <v/>
      </c>
      <c r="AC488" t="b">
        <f ca="1"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AD488" t="b">
        <f>IF(metadata!C488="",FALSE,ISNUMBER(VALUE(metadata!C488)))</f>
        <v>0</v>
      </c>
      <c r="AE488" t="b">
        <f>AND(IF(metadata!D488="",FALSE,TRUE),EXACT(metadata!D488,"years"))</f>
        <v>0</v>
      </c>
      <c r="AF488" t="b">
        <f>OR(AND(IF(metadata!E488="",FALSE,TRUE),OR(EXACT(metadata!E488,"not applicable"),EXACT(metadata!E488,"missing: not collected"),EXACT(metadata!E488,"missing: not provided"),EXACT(metadata!E488,"missing: restricted access"))),AND(IF(metadata!E488="",FALSE,ISNUMBER(VALUE(metadata!E488))),metadata!E488&gt;0))</f>
        <v>0</v>
      </c>
      <c r="AG488" t="b">
        <f>AND(IF(metadata!F488="",FALSE,TRUE),EXACT(metadata!F488,"Not applicable"))</f>
        <v>0</v>
      </c>
      <c r="AH488" t="b">
        <f>AND(IF(metadata!G488="",FALSE,TRUE),EXACT(metadata!G488,"urban biome"))</f>
        <v>0</v>
      </c>
      <c r="AI488" t="b">
        <f>AND(IF(metadata!H488="",FALSE,TRUE),EXACT(metadata!H488,"human-associated habitat"))</f>
        <v>0</v>
      </c>
      <c r="AJ488" t="b">
        <f>AND(IF(metadata!I488="",FALSE,TRUE),OR(EXACT(metadata!I488,"human-associated"),EXACT(metadata!I488,"human-skin"),EXACT(metadata!I488,"human-oral"),EXACT(metadata!I488,"human-gut"),EXACT(metadata!I488,"human-vaginal")))</f>
        <v>0</v>
      </c>
      <c r="AK488" t="b">
        <f>IF(metadata!J488="",FALSE,ISNUMBER(VALUE(metadata!J488)))</f>
        <v>0</v>
      </c>
      <c r="AL488" t="b">
        <f>AND(IF(metadata!K488="",FALSE,TRUE),EXACT(metadata!K488,"cm"))</f>
        <v>0</v>
      </c>
      <c r="AM488" t="b">
        <f>AND(IF(metadata!L488="",FALSE,TRUE),EXACT(metadata!L488,"human"))</f>
        <v>0</v>
      </c>
      <c r="AN488" t="b">
        <f>AND(IF(metadata!M488="",FALSE,TRUE),EXACT(metadata!M488,"Homo sapiens"))</f>
        <v>0</v>
      </c>
      <c r="AO488" t="b">
        <f>AND(IF(metadata!N488="",FALSE,TRUE),EXACT(metadata!N488,"9606"))</f>
        <v>0</v>
      </c>
      <c r="AP488" t="b">
        <f>IF(metadata!O488="",FALSE,TRUE)</f>
        <v>0</v>
      </c>
      <c r="AQ488" t="b">
        <f>IF(metadata!P488="",FALSE,TRUE)</f>
        <v>0</v>
      </c>
      <c r="AR488" t="b">
        <f>IF(metadata!Q488="",FALSE,ISNUMBER(VALUE(metadata!Q488)))</f>
        <v>0</v>
      </c>
      <c r="AS488" t="b">
        <f>AND(IF(metadata!R488="",FALSE,TRUE),EXACT(metadata!R488,"kg"))</f>
        <v>0</v>
      </c>
    </row>
    <row r="489" spans="1:45" x14ac:dyDescent="0.2">
      <c r="A489" s="5" t="str">
        <f ca="1">IF(B489=" "," ",HYPERLINK(CONCATENATE("#metadata!",ADDRESS(INDEX($X$2:$X$1001,MATCH(ROWS($V$2:V489),$V$2:$V$1001,0),0),1)),INDEX($AA$2:$AA$1001,MATCH(ROWS($V$2:V489),$V$2:$V$1001,0),0)))</f>
        <v xml:space="preserve"> </v>
      </c>
      <c r="B489" s="4" t="str">
        <f ca="1">IF(OR(INDEX($W$2:$W$1001,MATCH(ROWS($V$2:V489),$V$2:$V$1001,0),1)&gt;=100000,INDEX($AC$1005:$AS$1005,1,MATCH(COLUMNS($AC$1006:AC1006),$AC$1006:$AS$1006,0))&gt;=100000), " ",IF(INDEX($AC$2:$AS$1001,MATCH(ROWS($V$2:V489),$V$2:$V$1001,0),MATCH(COLUMNS($AC$1006:AC1006),$AC$1006:$AS$1006,0)), HYPERLINK("#",""), HYPERLINK(CONCATENATE("#metadata!", ADDRESS(INDEX($X$2:$X$1001,MATCH(ROWS($V$2:V489),$V$2:$V$1001,0),0), INDEX($AC$1004:$AS$1004,1,MATCH(COLUMNS($AC$1006:AC1006),$AC$1006:$AS$1006,0)))),"Fix")))</f>
        <v xml:space="preserve"> </v>
      </c>
      <c r="C489" s="4" t="str">
        <f ca="1">IF(OR(INDEX($W$2:$W$1001,MATCH(ROWS($V$2:V489),$V$2:$V$1001,0),1)&gt;=100000,INDEX($AC$1005:$AS$1005,1,MATCH(COLUMNS($AC$1006:AD1006),$AC$1006:$AS$1006,0))&gt;=100000), " ",IF(INDEX($AC$2:$AS$1001,MATCH(ROWS($V$2:V489),$V$2:$V$1001,0),MATCH(COLUMNS($AC$1006:AD1006),$AC$1006:$AS$1006,0)), HYPERLINK("#",""), HYPERLINK(CONCATENATE("#metadata!", ADDRESS(INDEX($X$2:$X$1001,MATCH(ROWS($V$2:V489),$V$2:$V$1001,0),0), INDEX($AC$1004:$AS$1004,1,MATCH(COLUMNS($AC$1006:AD1006),$AC$1006:$AS$1006,0)))),"Fix")))</f>
        <v xml:space="preserve"> </v>
      </c>
      <c r="D489" s="4" t="str">
        <f ca="1">IF(OR(INDEX($W$2:$W$1001,MATCH(ROWS($V$2:V489),$V$2:$V$1001,0),1)&gt;=100000,INDEX($AC$1005:$AS$1005,1,MATCH(COLUMNS($AC$1006:AE1006),$AC$1006:$AS$1006,0))&gt;=100000), " ",IF(INDEX($AC$2:$AS$1001,MATCH(ROWS($V$2:V489),$V$2:$V$1001,0),MATCH(COLUMNS($AC$1006:AE1006),$AC$1006:$AS$1006,0)), HYPERLINK("#",""), HYPERLINK(CONCATENATE("#metadata!", ADDRESS(INDEX($X$2:$X$1001,MATCH(ROWS($V$2:V489),$V$2:$V$1001,0),0), INDEX($AC$1004:$AS$1004,1,MATCH(COLUMNS($AC$1006:AE1006),$AC$1006:$AS$1006,0)))),"Fix")))</f>
        <v xml:space="preserve"> </v>
      </c>
      <c r="E489" s="4" t="str">
        <f ca="1">IF(OR(INDEX($W$2:$W$1001,MATCH(ROWS($V$2:V489),$V$2:$V$1001,0),1)&gt;=100000,INDEX($AC$1005:$AS$1005,1,MATCH(COLUMNS($AC$1006:AF1006),$AC$1006:$AS$1006,0))&gt;=100000), " ",IF(INDEX($AC$2:$AS$1001,MATCH(ROWS($V$2:V489),$V$2:$V$1001,0),MATCH(COLUMNS($AC$1006:AF1006),$AC$1006:$AS$1006,0)), HYPERLINK("#",""), HYPERLINK(CONCATENATE("#metadata!", ADDRESS(INDEX($X$2:$X$1001,MATCH(ROWS($V$2:V489),$V$2:$V$1001,0),0), INDEX($AC$1004:$AS$1004,1,MATCH(COLUMNS($AC$1006:AF1006),$AC$1006:$AS$1006,0)))),"Fix")))</f>
        <v xml:space="preserve"> </v>
      </c>
      <c r="F489" s="4" t="str">
        <f ca="1">IF(OR(INDEX($W$2:$W$1001,MATCH(ROWS($V$2:V489),$V$2:$V$1001,0),1)&gt;=100000,INDEX($AC$1005:$AS$1005,1,MATCH(COLUMNS($AC$1006:AG1006),$AC$1006:$AS$1006,0))&gt;=100000), " ",IF(INDEX($AC$2:$AS$1001,MATCH(ROWS($V$2:V489),$V$2:$V$1001,0),MATCH(COLUMNS($AC$1006:AG1006),$AC$1006:$AS$1006,0)), HYPERLINK("#",""), HYPERLINK(CONCATENATE("#metadata!", ADDRESS(INDEX($X$2:$X$1001,MATCH(ROWS($V$2:V489),$V$2:$V$1001,0),0), INDEX($AC$1004:$AS$1004,1,MATCH(COLUMNS($AC$1006:AG1006),$AC$1006:$AS$1006,0)))),"Fix")))</f>
        <v xml:space="preserve"> </v>
      </c>
      <c r="G489" s="4" t="str">
        <f ca="1">IF(OR(INDEX($W$2:$W$1001,MATCH(ROWS($V$2:V489),$V$2:$V$1001,0),1)&gt;=100000,INDEX($AC$1005:$AS$1005,1,MATCH(COLUMNS($AC$1006:AH1006),$AC$1006:$AS$1006,0))&gt;=100000), " ",IF(INDEX($AC$2:$AS$1001,MATCH(ROWS($V$2:V489),$V$2:$V$1001,0),MATCH(COLUMNS($AC$1006:AH1006),$AC$1006:$AS$1006,0)), HYPERLINK("#",""), HYPERLINK(CONCATENATE("#metadata!", ADDRESS(INDEX($X$2:$X$1001,MATCH(ROWS($V$2:V489),$V$2:$V$1001,0),0), INDEX($AC$1004:$AS$1004,1,MATCH(COLUMNS($AC$1006:AH1006),$AC$1006:$AS$1006,0)))),"Fix")))</f>
        <v xml:space="preserve"> </v>
      </c>
      <c r="H489" s="4" t="str">
        <f ca="1">IF(OR(INDEX($W$2:$W$1001,MATCH(ROWS($V$2:V489),$V$2:$V$1001,0),1)&gt;=100000,INDEX($AC$1005:$AS$1005,1,MATCH(COLUMNS($AC$1006:AI1006),$AC$1006:$AS$1006,0))&gt;=100000), " ",IF(INDEX($AC$2:$AS$1001,MATCH(ROWS($V$2:V489),$V$2:$V$1001,0),MATCH(COLUMNS($AC$1006:AI1006),$AC$1006:$AS$1006,0)), HYPERLINK("#",""), HYPERLINK(CONCATENATE("#metadata!", ADDRESS(INDEX($X$2:$X$1001,MATCH(ROWS($V$2:V489),$V$2:$V$1001,0),0), INDEX($AC$1004:$AS$1004,1,MATCH(COLUMNS($AC$1006:AI1006),$AC$1006:$AS$1006,0)))),"Fix")))</f>
        <v xml:space="preserve"> </v>
      </c>
      <c r="I489" s="4" t="str">
        <f ca="1">IF(OR(INDEX($W$2:$W$1001,MATCH(ROWS($V$2:V489),$V$2:$V$1001,0),1)&gt;=100000,INDEX($AC$1005:$AS$1005,1,MATCH(COLUMNS($AC$1006:AJ1006),$AC$1006:$AS$1006,0))&gt;=100000), " ",IF(INDEX($AC$2:$AS$1001,MATCH(ROWS($V$2:V489),$V$2:$V$1001,0),MATCH(COLUMNS($AC$1006:AJ1006),$AC$1006:$AS$1006,0)), HYPERLINK("#",""), HYPERLINK(CONCATENATE("#metadata!", ADDRESS(INDEX($X$2:$X$1001,MATCH(ROWS($V$2:V489),$V$2:$V$1001,0),0), INDEX($AC$1004:$AS$1004,1,MATCH(COLUMNS($AC$1006:AJ1006),$AC$1006:$AS$1006,0)))),"Fix")))</f>
        <v xml:space="preserve"> </v>
      </c>
      <c r="J489" s="4" t="str">
        <f ca="1">IF(OR(INDEX($W$2:$W$1001,MATCH(ROWS($V$2:V489),$V$2:$V$1001,0),1)&gt;=100000,INDEX($AC$1005:$AS$1005,1,MATCH(COLUMNS($AC$1006:AK1006),$AC$1006:$AS$1006,0))&gt;=100000), " ",IF(INDEX($AC$2:$AS$1001,MATCH(ROWS($V$2:V489),$V$2:$V$1001,0),MATCH(COLUMNS($AC$1006:AK1006),$AC$1006:$AS$1006,0)), HYPERLINK("#",""), HYPERLINK(CONCATENATE("#metadata!", ADDRESS(INDEX($X$2:$X$1001,MATCH(ROWS($V$2:V489),$V$2:$V$1001,0),0), INDEX($AC$1004:$AS$1004,1,MATCH(COLUMNS($AC$1006:AK1006),$AC$1006:$AS$1006,0)))),"Fix")))</f>
        <v xml:space="preserve"> </v>
      </c>
      <c r="K489" s="4" t="str">
        <f ca="1">IF(OR(INDEX($W$2:$W$1001,MATCH(ROWS($V$2:V489),$V$2:$V$1001,0),1)&gt;=100000,INDEX($AC$1005:$AS$1005,1,MATCH(COLUMNS($AC$1006:AL1006),$AC$1006:$AS$1006,0))&gt;=100000), " ",IF(INDEX($AC$2:$AS$1001,MATCH(ROWS($V$2:V489),$V$2:$V$1001,0),MATCH(COLUMNS($AC$1006:AL1006),$AC$1006:$AS$1006,0)), HYPERLINK("#",""), HYPERLINK(CONCATENATE("#metadata!", ADDRESS(INDEX($X$2:$X$1001,MATCH(ROWS($V$2:V489),$V$2:$V$1001,0),0), INDEX($AC$1004:$AS$1004,1,MATCH(COLUMNS($AC$1006:AL1006),$AC$1006:$AS$1006,0)))),"Fix")))</f>
        <v xml:space="preserve"> </v>
      </c>
      <c r="L489" s="4" t="str">
        <f ca="1">IF(OR(INDEX($W$2:$W$1001,MATCH(ROWS($V$2:V489),$V$2:$V$1001,0),1)&gt;=100000,INDEX($AC$1005:$AS$1005,1,MATCH(COLUMNS($AC$1006:AM1006),$AC$1006:$AS$1006,0))&gt;=100000), " ",IF(INDEX($AC$2:$AS$1001,MATCH(ROWS($V$2:V489),$V$2:$V$1001,0),MATCH(COLUMNS($AC$1006:AM1006),$AC$1006:$AS$1006,0)), HYPERLINK("#",""), HYPERLINK(CONCATENATE("#metadata!", ADDRESS(INDEX($X$2:$X$1001,MATCH(ROWS($V$2:V489),$V$2:$V$1001,0),0), INDEX($AC$1004:$AS$1004,1,MATCH(COLUMNS($AC$1006:AM1006),$AC$1006:$AS$1006,0)))),"Fix")))</f>
        <v xml:space="preserve"> </v>
      </c>
      <c r="M489" s="4" t="str">
        <f ca="1">IF(OR(INDEX($W$2:$W$1001,MATCH(ROWS($V$2:V489),$V$2:$V$1001,0),1)&gt;=100000,INDEX($AC$1005:$AS$1005,1,MATCH(COLUMNS($AC$1006:AN1006),$AC$1006:$AS$1006,0))&gt;=100000), " ",IF(INDEX($AC$2:$AS$1001,MATCH(ROWS($V$2:V489),$V$2:$V$1001,0),MATCH(COLUMNS($AC$1006:AN1006),$AC$1006:$AS$1006,0)), HYPERLINK("#",""), HYPERLINK(CONCATENATE("#metadata!", ADDRESS(INDEX($X$2:$X$1001,MATCH(ROWS($V$2:V489),$V$2:$V$1001,0),0), INDEX($AC$1004:$AS$1004,1,MATCH(COLUMNS($AC$1006:AN1006),$AC$1006:$AS$1006,0)))),"Fix")))</f>
        <v xml:space="preserve"> </v>
      </c>
      <c r="N489" s="4" t="str">
        <f ca="1">IF(OR(INDEX($W$2:$W$1001,MATCH(ROWS($V$2:V489),$V$2:$V$1001,0),1)&gt;=100000,INDEX($AC$1005:$AS$1005,1,MATCH(COLUMNS($AC$1006:AO1006),$AC$1006:$AS$1006,0))&gt;=100000), " ",IF(INDEX($AC$2:$AS$1001,MATCH(ROWS($V$2:V489),$V$2:$V$1001,0),MATCH(COLUMNS($AC$1006:AO1006),$AC$1006:$AS$1006,0)), HYPERLINK("#",""), HYPERLINK(CONCATENATE("#metadata!", ADDRESS(INDEX($X$2:$X$1001,MATCH(ROWS($V$2:V489),$V$2:$V$1001,0),0), INDEX($AC$1004:$AS$1004,1,MATCH(COLUMNS($AC$1006:AO1006),$AC$1006:$AS$1006,0)))),"Fix")))</f>
        <v xml:space="preserve"> </v>
      </c>
      <c r="O489" s="4" t="str">
        <f ca="1">IF(OR(INDEX($W$2:$W$1001,MATCH(ROWS($V$2:V489),$V$2:$V$1001,0),1)&gt;=100000,INDEX($AC$1005:$AS$1005,1,MATCH(COLUMNS($AC$1006:AP1006),$AC$1006:$AS$1006,0))&gt;=100000), " ",IF(INDEX($AC$2:$AS$1001,MATCH(ROWS($V$2:V489),$V$2:$V$1001,0),MATCH(COLUMNS($AC$1006:AP1006),$AC$1006:$AS$1006,0)), HYPERLINK("#",""), HYPERLINK(CONCATENATE("#metadata!", ADDRESS(INDEX($X$2:$X$1001,MATCH(ROWS($V$2:V489),$V$2:$V$1001,0),0), INDEX($AC$1004:$AS$1004,1,MATCH(COLUMNS($AC$1006:AP1006),$AC$1006:$AS$1006,0)))),"Fix")))</f>
        <v xml:space="preserve"> </v>
      </c>
      <c r="P489" s="4" t="str">
        <f ca="1">IF(OR(INDEX($W$2:$W$1001,MATCH(ROWS($V$2:V489),$V$2:$V$1001,0),1)&gt;=100000,INDEX($AC$1005:$AS$1005,1,MATCH(COLUMNS($AC$1006:AQ1006),$AC$1006:$AS$1006,0))&gt;=100000), " ",IF(INDEX($AC$2:$AS$1001,MATCH(ROWS($V$2:V489),$V$2:$V$1001,0),MATCH(COLUMNS($AC$1006:AQ1006),$AC$1006:$AS$1006,0)), HYPERLINK("#",""), HYPERLINK(CONCATENATE("#metadata!", ADDRESS(INDEX($X$2:$X$1001,MATCH(ROWS($V$2:V489),$V$2:$V$1001,0),0), INDEX($AC$1004:$AS$1004,1,MATCH(COLUMNS($AC$1006:AQ1006),$AC$1006:$AS$1006,0)))),"Fix")))</f>
        <v xml:space="preserve"> </v>
      </c>
      <c r="Q489" s="4" t="str">
        <f ca="1">IF(OR(INDEX($W$2:$W$1001,MATCH(ROWS($V$2:V489),$V$2:$V$1001,0),1)&gt;=100000,INDEX($AC$1005:$AS$1005,1,MATCH(COLUMNS($AC$1006:AR1006),$AC$1006:$AS$1006,0))&gt;=100000), " ",IF(INDEX($AC$2:$AS$1001,MATCH(ROWS($V$2:V489),$V$2:$V$1001,0),MATCH(COLUMNS($AC$1006:AR1006),$AC$1006:$AS$1006,0)), HYPERLINK("#",""), HYPERLINK(CONCATENATE("#metadata!", ADDRESS(INDEX($X$2:$X$1001,MATCH(ROWS($V$2:V489),$V$2:$V$1001,0),0), INDEX($AC$1004:$AS$1004,1,MATCH(COLUMNS($AC$1006:AR1006),$AC$1006:$AS$1006,0)))),"Fix")))</f>
        <v xml:space="preserve"> </v>
      </c>
      <c r="R489" s="4" t="str">
        <f ca="1">IF(OR(INDEX($W$2:$W$1001,MATCH(ROWS($V$2:V489),$V$2:$V$1001,0),1)&gt;=100000,INDEX($AC$1005:$AS$1005,1,MATCH(COLUMNS($AC$1006:AS1006),$AC$1006:$AS$1006,0))&gt;=100000), " ",IF(INDEX($AC$2:$AS$1001,MATCH(ROWS($V$2:V489),$V$2:$V$1001,0),MATCH(COLUMNS($AC$1006:AS1006),$AC$1006:$AS$1006,0)), HYPERLINK("#",""), HYPERLINK(CONCATENATE("#metadata!", ADDRESS(INDEX($X$2:$X$1001,MATCH(ROWS($V$2:V489),$V$2:$V$1001,0),0), INDEX($AC$1004:$AS$1004,1,MATCH(COLUMNS($AC$1006:AS1006),$AC$1006:$AS$1006,0)))),"Fix")))</f>
        <v xml:space="preserve"> </v>
      </c>
      <c r="V489">
        <v>488</v>
      </c>
      <c r="W489">
        <v>100489</v>
      </c>
      <c r="X489">
        <v>489</v>
      </c>
      <c r="Y489" t="b">
        <f t="shared" si="7"/>
        <v>1</v>
      </c>
      <c r="Z489" t="b">
        <f>COUNTBLANK(metadata!B489:R489)=COLUMNS(metadata!B489:R489)</f>
        <v>1</v>
      </c>
      <c r="AA489" t="str">
        <v/>
      </c>
      <c r="AC489" t="b">
        <f ca="1"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AD489" t="b">
        <f>IF(metadata!C489="",FALSE,ISNUMBER(VALUE(metadata!C489)))</f>
        <v>0</v>
      </c>
      <c r="AE489" t="b">
        <f>AND(IF(metadata!D489="",FALSE,TRUE),EXACT(metadata!D489,"years"))</f>
        <v>0</v>
      </c>
      <c r="AF489" t="b">
        <f>OR(AND(IF(metadata!E489="",FALSE,TRUE),OR(EXACT(metadata!E489,"not applicable"),EXACT(metadata!E489,"missing: not collected"),EXACT(metadata!E489,"missing: not provided"),EXACT(metadata!E489,"missing: restricted access"))),AND(IF(metadata!E489="",FALSE,ISNUMBER(VALUE(metadata!E489))),metadata!E489&gt;0))</f>
        <v>0</v>
      </c>
      <c r="AG489" t="b">
        <f>AND(IF(metadata!F489="",FALSE,TRUE),EXACT(metadata!F489,"Not applicable"))</f>
        <v>0</v>
      </c>
      <c r="AH489" t="b">
        <f>AND(IF(metadata!G489="",FALSE,TRUE),EXACT(metadata!G489,"urban biome"))</f>
        <v>0</v>
      </c>
      <c r="AI489" t="b">
        <f>AND(IF(metadata!H489="",FALSE,TRUE),EXACT(metadata!H489,"human-associated habitat"))</f>
        <v>0</v>
      </c>
      <c r="AJ489" t="b">
        <f>AND(IF(metadata!I489="",FALSE,TRUE),OR(EXACT(metadata!I489,"human-associated"),EXACT(metadata!I489,"human-skin"),EXACT(metadata!I489,"human-oral"),EXACT(metadata!I489,"human-gut"),EXACT(metadata!I489,"human-vaginal")))</f>
        <v>0</v>
      </c>
      <c r="AK489" t="b">
        <f>IF(metadata!J489="",FALSE,ISNUMBER(VALUE(metadata!J489)))</f>
        <v>0</v>
      </c>
      <c r="AL489" t="b">
        <f>AND(IF(metadata!K489="",FALSE,TRUE),EXACT(metadata!K489,"cm"))</f>
        <v>0</v>
      </c>
      <c r="AM489" t="b">
        <f>AND(IF(metadata!L489="",FALSE,TRUE),EXACT(metadata!L489,"human"))</f>
        <v>0</v>
      </c>
      <c r="AN489" t="b">
        <f>AND(IF(metadata!M489="",FALSE,TRUE),EXACT(metadata!M489,"Homo sapiens"))</f>
        <v>0</v>
      </c>
      <c r="AO489" t="b">
        <f>AND(IF(metadata!N489="",FALSE,TRUE),EXACT(metadata!N489,"9606"))</f>
        <v>0</v>
      </c>
      <c r="AP489" t="b">
        <f>IF(metadata!O489="",FALSE,TRUE)</f>
        <v>0</v>
      </c>
      <c r="AQ489" t="b">
        <f>IF(metadata!P489="",FALSE,TRUE)</f>
        <v>0</v>
      </c>
      <c r="AR489" t="b">
        <f>IF(metadata!Q489="",FALSE,ISNUMBER(VALUE(metadata!Q489)))</f>
        <v>0</v>
      </c>
      <c r="AS489" t="b">
        <f>AND(IF(metadata!R489="",FALSE,TRUE),EXACT(metadata!R489,"kg"))</f>
        <v>0</v>
      </c>
    </row>
    <row r="490" spans="1:45" x14ac:dyDescent="0.2">
      <c r="A490" s="5" t="str">
        <f ca="1">IF(B490=" "," ",HYPERLINK(CONCATENATE("#metadata!",ADDRESS(INDEX($X$2:$X$1001,MATCH(ROWS($V$2:V490),$V$2:$V$1001,0),0),1)),INDEX($AA$2:$AA$1001,MATCH(ROWS($V$2:V490),$V$2:$V$1001,0),0)))</f>
        <v xml:space="preserve"> </v>
      </c>
      <c r="B490" s="4" t="str">
        <f ca="1">IF(OR(INDEX($W$2:$W$1001,MATCH(ROWS($V$2:V490),$V$2:$V$1001,0),1)&gt;=100000,INDEX($AC$1005:$AS$1005,1,MATCH(COLUMNS($AC$1006:AC1006),$AC$1006:$AS$1006,0))&gt;=100000), " ",IF(INDEX($AC$2:$AS$1001,MATCH(ROWS($V$2:V490),$V$2:$V$1001,0),MATCH(COLUMNS($AC$1006:AC1006),$AC$1006:$AS$1006,0)), HYPERLINK("#",""), HYPERLINK(CONCATENATE("#metadata!", ADDRESS(INDEX($X$2:$X$1001,MATCH(ROWS($V$2:V490),$V$2:$V$1001,0),0), INDEX($AC$1004:$AS$1004,1,MATCH(COLUMNS($AC$1006:AC1006),$AC$1006:$AS$1006,0)))),"Fix")))</f>
        <v xml:space="preserve"> </v>
      </c>
      <c r="C490" s="4" t="str">
        <f ca="1">IF(OR(INDEX($W$2:$W$1001,MATCH(ROWS($V$2:V490),$V$2:$V$1001,0),1)&gt;=100000,INDEX($AC$1005:$AS$1005,1,MATCH(COLUMNS($AC$1006:AD1006),$AC$1006:$AS$1006,0))&gt;=100000), " ",IF(INDEX($AC$2:$AS$1001,MATCH(ROWS($V$2:V490),$V$2:$V$1001,0),MATCH(COLUMNS($AC$1006:AD1006),$AC$1006:$AS$1006,0)), HYPERLINK("#",""), HYPERLINK(CONCATENATE("#metadata!", ADDRESS(INDEX($X$2:$X$1001,MATCH(ROWS($V$2:V490),$V$2:$V$1001,0),0), INDEX($AC$1004:$AS$1004,1,MATCH(COLUMNS($AC$1006:AD1006),$AC$1006:$AS$1006,0)))),"Fix")))</f>
        <v xml:space="preserve"> </v>
      </c>
      <c r="D490" s="4" t="str">
        <f ca="1">IF(OR(INDEX($W$2:$W$1001,MATCH(ROWS($V$2:V490),$V$2:$V$1001,0),1)&gt;=100000,INDEX($AC$1005:$AS$1005,1,MATCH(COLUMNS($AC$1006:AE1006),$AC$1006:$AS$1006,0))&gt;=100000), " ",IF(INDEX($AC$2:$AS$1001,MATCH(ROWS($V$2:V490),$V$2:$V$1001,0),MATCH(COLUMNS($AC$1006:AE1006),$AC$1006:$AS$1006,0)), HYPERLINK("#",""), HYPERLINK(CONCATENATE("#metadata!", ADDRESS(INDEX($X$2:$X$1001,MATCH(ROWS($V$2:V490),$V$2:$V$1001,0),0), INDEX($AC$1004:$AS$1004,1,MATCH(COLUMNS($AC$1006:AE1006),$AC$1006:$AS$1006,0)))),"Fix")))</f>
        <v xml:space="preserve"> </v>
      </c>
      <c r="E490" s="4" t="str">
        <f ca="1">IF(OR(INDEX($W$2:$W$1001,MATCH(ROWS($V$2:V490),$V$2:$V$1001,0),1)&gt;=100000,INDEX($AC$1005:$AS$1005,1,MATCH(COLUMNS($AC$1006:AF1006),$AC$1006:$AS$1006,0))&gt;=100000), " ",IF(INDEX($AC$2:$AS$1001,MATCH(ROWS($V$2:V490),$V$2:$V$1001,0),MATCH(COLUMNS($AC$1006:AF1006),$AC$1006:$AS$1006,0)), HYPERLINK("#",""), HYPERLINK(CONCATENATE("#metadata!", ADDRESS(INDEX($X$2:$X$1001,MATCH(ROWS($V$2:V490),$V$2:$V$1001,0),0), INDEX($AC$1004:$AS$1004,1,MATCH(COLUMNS($AC$1006:AF1006),$AC$1006:$AS$1006,0)))),"Fix")))</f>
        <v xml:space="preserve"> </v>
      </c>
      <c r="F490" s="4" t="str">
        <f ca="1">IF(OR(INDEX($W$2:$W$1001,MATCH(ROWS($V$2:V490),$V$2:$V$1001,0),1)&gt;=100000,INDEX($AC$1005:$AS$1005,1,MATCH(COLUMNS($AC$1006:AG1006),$AC$1006:$AS$1006,0))&gt;=100000), " ",IF(INDEX($AC$2:$AS$1001,MATCH(ROWS($V$2:V490),$V$2:$V$1001,0),MATCH(COLUMNS($AC$1006:AG1006),$AC$1006:$AS$1006,0)), HYPERLINK("#",""), HYPERLINK(CONCATENATE("#metadata!", ADDRESS(INDEX($X$2:$X$1001,MATCH(ROWS($V$2:V490),$V$2:$V$1001,0),0), INDEX($AC$1004:$AS$1004,1,MATCH(COLUMNS($AC$1006:AG1006),$AC$1006:$AS$1006,0)))),"Fix")))</f>
        <v xml:space="preserve"> </v>
      </c>
      <c r="G490" s="4" t="str">
        <f ca="1">IF(OR(INDEX($W$2:$W$1001,MATCH(ROWS($V$2:V490),$V$2:$V$1001,0),1)&gt;=100000,INDEX($AC$1005:$AS$1005,1,MATCH(COLUMNS($AC$1006:AH1006),$AC$1006:$AS$1006,0))&gt;=100000), " ",IF(INDEX($AC$2:$AS$1001,MATCH(ROWS($V$2:V490),$V$2:$V$1001,0),MATCH(COLUMNS($AC$1006:AH1006),$AC$1006:$AS$1006,0)), HYPERLINK("#",""), HYPERLINK(CONCATENATE("#metadata!", ADDRESS(INDEX($X$2:$X$1001,MATCH(ROWS($V$2:V490),$V$2:$V$1001,0),0), INDEX($AC$1004:$AS$1004,1,MATCH(COLUMNS($AC$1006:AH1006),$AC$1006:$AS$1006,0)))),"Fix")))</f>
        <v xml:space="preserve"> </v>
      </c>
      <c r="H490" s="4" t="str">
        <f ca="1">IF(OR(INDEX($W$2:$W$1001,MATCH(ROWS($V$2:V490),$V$2:$V$1001,0),1)&gt;=100000,INDEX($AC$1005:$AS$1005,1,MATCH(COLUMNS($AC$1006:AI1006),$AC$1006:$AS$1006,0))&gt;=100000), " ",IF(INDEX($AC$2:$AS$1001,MATCH(ROWS($V$2:V490),$V$2:$V$1001,0),MATCH(COLUMNS($AC$1006:AI1006),$AC$1006:$AS$1006,0)), HYPERLINK("#",""), HYPERLINK(CONCATENATE("#metadata!", ADDRESS(INDEX($X$2:$X$1001,MATCH(ROWS($V$2:V490),$V$2:$V$1001,0),0), INDEX($AC$1004:$AS$1004,1,MATCH(COLUMNS($AC$1006:AI1006),$AC$1006:$AS$1006,0)))),"Fix")))</f>
        <v xml:space="preserve"> </v>
      </c>
      <c r="I490" s="4" t="str">
        <f ca="1">IF(OR(INDEX($W$2:$W$1001,MATCH(ROWS($V$2:V490),$V$2:$V$1001,0),1)&gt;=100000,INDEX($AC$1005:$AS$1005,1,MATCH(COLUMNS($AC$1006:AJ1006),$AC$1006:$AS$1006,0))&gt;=100000), " ",IF(INDEX($AC$2:$AS$1001,MATCH(ROWS($V$2:V490),$V$2:$V$1001,0),MATCH(COLUMNS($AC$1006:AJ1006),$AC$1006:$AS$1006,0)), HYPERLINK("#",""), HYPERLINK(CONCATENATE("#metadata!", ADDRESS(INDEX($X$2:$X$1001,MATCH(ROWS($V$2:V490),$V$2:$V$1001,0),0), INDEX($AC$1004:$AS$1004,1,MATCH(COLUMNS($AC$1006:AJ1006),$AC$1006:$AS$1006,0)))),"Fix")))</f>
        <v xml:space="preserve"> </v>
      </c>
      <c r="J490" s="4" t="str">
        <f ca="1">IF(OR(INDEX($W$2:$W$1001,MATCH(ROWS($V$2:V490),$V$2:$V$1001,0),1)&gt;=100000,INDEX($AC$1005:$AS$1005,1,MATCH(COLUMNS($AC$1006:AK1006),$AC$1006:$AS$1006,0))&gt;=100000), " ",IF(INDEX($AC$2:$AS$1001,MATCH(ROWS($V$2:V490),$V$2:$V$1001,0),MATCH(COLUMNS($AC$1006:AK1006),$AC$1006:$AS$1006,0)), HYPERLINK("#",""), HYPERLINK(CONCATENATE("#metadata!", ADDRESS(INDEX($X$2:$X$1001,MATCH(ROWS($V$2:V490),$V$2:$V$1001,0),0), INDEX($AC$1004:$AS$1004,1,MATCH(COLUMNS($AC$1006:AK1006),$AC$1006:$AS$1006,0)))),"Fix")))</f>
        <v xml:space="preserve"> </v>
      </c>
      <c r="K490" s="4" t="str">
        <f ca="1">IF(OR(INDEX($W$2:$W$1001,MATCH(ROWS($V$2:V490),$V$2:$V$1001,0),1)&gt;=100000,INDEX($AC$1005:$AS$1005,1,MATCH(COLUMNS($AC$1006:AL1006),$AC$1006:$AS$1006,0))&gt;=100000), " ",IF(INDEX($AC$2:$AS$1001,MATCH(ROWS($V$2:V490),$V$2:$V$1001,0),MATCH(COLUMNS($AC$1006:AL1006),$AC$1006:$AS$1006,0)), HYPERLINK("#",""), HYPERLINK(CONCATENATE("#metadata!", ADDRESS(INDEX($X$2:$X$1001,MATCH(ROWS($V$2:V490),$V$2:$V$1001,0),0), INDEX($AC$1004:$AS$1004,1,MATCH(COLUMNS($AC$1006:AL1006),$AC$1006:$AS$1006,0)))),"Fix")))</f>
        <v xml:space="preserve"> </v>
      </c>
      <c r="L490" s="4" t="str">
        <f ca="1">IF(OR(INDEX($W$2:$W$1001,MATCH(ROWS($V$2:V490),$V$2:$V$1001,0),1)&gt;=100000,INDEX($AC$1005:$AS$1005,1,MATCH(COLUMNS($AC$1006:AM1006),$AC$1006:$AS$1006,0))&gt;=100000), " ",IF(INDEX($AC$2:$AS$1001,MATCH(ROWS($V$2:V490),$V$2:$V$1001,0),MATCH(COLUMNS($AC$1006:AM1006),$AC$1006:$AS$1006,0)), HYPERLINK("#",""), HYPERLINK(CONCATENATE("#metadata!", ADDRESS(INDEX($X$2:$X$1001,MATCH(ROWS($V$2:V490),$V$2:$V$1001,0),0), INDEX($AC$1004:$AS$1004,1,MATCH(COLUMNS($AC$1006:AM1006),$AC$1006:$AS$1006,0)))),"Fix")))</f>
        <v xml:space="preserve"> </v>
      </c>
      <c r="M490" s="4" t="str">
        <f ca="1">IF(OR(INDEX($W$2:$W$1001,MATCH(ROWS($V$2:V490),$V$2:$V$1001,0),1)&gt;=100000,INDEX($AC$1005:$AS$1005,1,MATCH(COLUMNS($AC$1006:AN1006),$AC$1006:$AS$1006,0))&gt;=100000), " ",IF(INDEX($AC$2:$AS$1001,MATCH(ROWS($V$2:V490),$V$2:$V$1001,0),MATCH(COLUMNS($AC$1006:AN1006),$AC$1006:$AS$1006,0)), HYPERLINK("#",""), HYPERLINK(CONCATENATE("#metadata!", ADDRESS(INDEX($X$2:$X$1001,MATCH(ROWS($V$2:V490),$V$2:$V$1001,0),0), INDEX($AC$1004:$AS$1004,1,MATCH(COLUMNS($AC$1006:AN1006),$AC$1006:$AS$1006,0)))),"Fix")))</f>
        <v xml:space="preserve"> </v>
      </c>
      <c r="N490" s="4" t="str">
        <f ca="1">IF(OR(INDEX($W$2:$W$1001,MATCH(ROWS($V$2:V490),$V$2:$V$1001,0),1)&gt;=100000,INDEX($AC$1005:$AS$1005,1,MATCH(COLUMNS($AC$1006:AO1006),$AC$1006:$AS$1006,0))&gt;=100000), " ",IF(INDEX($AC$2:$AS$1001,MATCH(ROWS($V$2:V490),$V$2:$V$1001,0),MATCH(COLUMNS($AC$1006:AO1006),$AC$1006:$AS$1006,0)), HYPERLINK("#",""), HYPERLINK(CONCATENATE("#metadata!", ADDRESS(INDEX($X$2:$X$1001,MATCH(ROWS($V$2:V490),$V$2:$V$1001,0),0), INDEX($AC$1004:$AS$1004,1,MATCH(COLUMNS($AC$1006:AO1006),$AC$1006:$AS$1006,0)))),"Fix")))</f>
        <v xml:space="preserve"> </v>
      </c>
      <c r="O490" s="4" t="str">
        <f ca="1">IF(OR(INDEX($W$2:$W$1001,MATCH(ROWS($V$2:V490),$V$2:$V$1001,0),1)&gt;=100000,INDEX($AC$1005:$AS$1005,1,MATCH(COLUMNS($AC$1006:AP1006),$AC$1006:$AS$1006,0))&gt;=100000), " ",IF(INDEX($AC$2:$AS$1001,MATCH(ROWS($V$2:V490),$V$2:$V$1001,0),MATCH(COLUMNS($AC$1006:AP1006),$AC$1006:$AS$1006,0)), HYPERLINK("#",""), HYPERLINK(CONCATENATE("#metadata!", ADDRESS(INDEX($X$2:$X$1001,MATCH(ROWS($V$2:V490),$V$2:$V$1001,0),0), INDEX($AC$1004:$AS$1004,1,MATCH(COLUMNS($AC$1006:AP1006),$AC$1006:$AS$1006,0)))),"Fix")))</f>
        <v xml:space="preserve"> </v>
      </c>
      <c r="P490" s="4" t="str">
        <f ca="1">IF(OR(INDEX($W$2:$W$1001,MATCH(ROWS($V$2:V490),$V$2:$V$1001,0),1)&gt;=100000,INDEX($AC$1005:$AS$1005,1,MATCH(COLUMNS($AC$1006:AQ1006),$AC$1006:$AS$1006,0))&gt;=100000), " ",IF(INDEX($AC$2:$AS$1001,MATCH(ROWS($V$2:V490),$V$2:$V$1001,0),MATCH(COLUMNS($AC$1006:AQ1006),$AC$1006:$AS$1006,0)), HYPERLINK("#",""), HYPERLINK(CONCATENATE("#metadata!", ADDRESS(INDEX($X$2:$X$1001,MATCH(ROWS($V$2:V490),$V$2:$V$1001,0),0), INDEX($AC$1004:$AS$1004,1,MATCH(COLUMNS($AC$1006:AQ1006),$AC$1006:$AS$1006,0)))),"Fix")))</f>
        <v xml:space="preserve"> </v>
      </c>
      <c r="Q490" s="4" t="str">
        <f ca="1">IF(OR(INDEX($W$2:$W$1001,MATCH(ROWS($V$2:V490),$V$2:$V$1001,0),1)&gt;=100000,INDEX($AC$1005:$AS$1005,1,MATCH(COLUMNS($AC$1006:AR1006),$AC$1006:$AS$1006,0))&gt;=100000), " ",IF(INDEX($AC$2:$AS$1001,MATCH(ROWS($V$2:V490),$V$2:$V$1001,0),MATCH(COLUMNS($AC$1006:AR1006),$AC$1006:$AS$1006,0)), HYPERLINK("#",""), HYPERLINK(CONCATENATE("#metadata!", ADDRESS(INDEX($X$2:$X$1001,MATCH(ROWS($V$2:V490),$V$2:$V$1001,0),0), INDEX($AC$1004:$AS$1004,1,MATCH(COLUMNS($AC$1006:AR1006),$AC$1006:$AS$1006,0)))),"Fix")))</f>
        <v xml:space="preserve"> </v>
      </c>
      <c r="R490" s="4" t="str">
        <f ca="1">IF(OR(INDEX($W$2:$W$1001,MATCH(ROWS($V$2:V490),$V$2:$V$1001,0),1)&gt;=100000,INDEX($AC$1005:$AS$1005,1,MATCH(COLUMNS($AC$1006:AS1006),$AC$1006:$AS$1006,0))&gt;=100000), " ",IF(INDEX($AC$2:$AS$1001,MATCH(ROWS($V$2:V490),$V$2:$V$1001,0),MATCH(COLUMNS($AC$1006:AS1006),$AC$1006:$AS$1006,0)), HYPERLINK("#",""), HYPERLINK(CONCATENATE("#metadata!", ADDRESS(INDEX($X$2:$X$1001,MATCH(ROWS($V$2:V490),$V$2:$V$1001,0),0), INDEX($AC$1004:$AS$1004,1,MATCH(COLUMNS($AC$1006:AS1006),$AC$1006:$AS$1006,0)))),"Fix")))</f>
        <v xml:space="preserve"> </v>
      </c>
      <c r="V490">
        <v>489</v>
      </c>
      <c r="W490">
        <v>100490</v>
      </c>
      <c r="X490">
        <v>490</v>
      </c>
      <c r="Y490" t="b">
        <f t="shared" si="7"/>
        <v>1</v>
      </c>
      <c r="Z490" t="b">
        <f>COUNTBLANK(metadata!B490:R490)=COLUMNS(metadata!B490:R490)</f>
        <v>1</v>
      </c>
      <c r="AA490" t="str">
        <v/>
      </c>
      <c r="AC490" t="b">
        <f ca="1"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AD490" t="b">
        <f>IF(metadata!C490="",FALSE,ISNUMBER(VALUE(metadata!C490)))</f>
        <v>0</v>
      </c>
      <c r="AE490" t="b">
        <f>AND(IF(metadata!D490="",FALSE,TRUE),EXACT(metadata!D490,"years"))</f>
        <v>0</v>
      </c>
      <c r="AF490" t="b">
        <f>OR(AND(IF(metadata!E490="",FALSE,TRUE),OR(EXACT(metadata!E490,"not applicable"),EXACT(metadata!E490,"missing: not collected"),EXACT(metadata!E490,"missing: not provided"),EXACT(metadata!E490,"missing: restricted access"))),AND(IF(metadata!E490="",FALSE,ISNUMBER(VALUE(metadata!E490))),metadata!E490&gt;0))</f>
        <v>0</v>
      </c>
      <c r="AG490" t="b">
        <f>AND(IF(metadata!F490="",FALSE,TRUE),EXACT(metadata!F490,"Not applicable"))</f>
        <v>0</v>
      </c>
      <c r="AH490" t="b">
        <f>AND(IF(metadata!G490="",FALSE,TRUE),EXACT(metadata!G490,"urban biome"))</f>
        <v>0</v>
      </c>
      <c r="AI490" t="b">
        <f>AND(IF(metadata!H490="",FALSE,TRUE),EXACT(metadata!H490,"human-associated habitat"))</f>
        <v>0</v>
      </c>
      <c r="AJ490" t="b">
        <f>AND(IF(metadata!I490="",FALSE,TRUE),OR(EXACT(metadata!I490,"human-associated"),EXACT(metadata!I490,"human-skin"),EXACT(metadata!I490,"human-oral"),EXACT(metadata!I490,"human-gut"),EXACT(metadata!I490,"human-vaginal")))</f>
        <v>0</v>
      </c>
      <c r="AK490" t="b">
        <f>IF(metadata!J490="",FALSE,ISNUMBER(VALUE(metadata!J490)))</f>
        <v>0</v>
      </c>
      <c r="AL490" t="b">
        <f>AND(IF(metadata!K490="",FALSE,TRUE),EXACT(metadata!K490,"cm"))</f>
        <v>0</v>
      </c>
      <c r="AM490" t="b">
        <f>AND(IF(metadata!L490="",FALSE,TRUE),EXACT(metadata!L490,"human"))</f>
        <v>0</v>
      </c>
      <c r="AN490" t="b">
        <f>AND(IF(metadata!M490="",FALSE,TRUE),EXACT(metadata!M490,"Homo sapiens"))</f>
        <v>0</v>
      </c>
      <c r="AO490" t="b">
        <f>AND(IF(metadata!N490="",FALSE,TRUE),EXACT(metadata!N490,"9606"))</f>
        <v>0</v>
      </c>
      <c r="AP490" t="b">
        <f>IF(metadata!O490="",FALSE,TRUE)</f>
        <v>0</v>
      </c>
      <c r="AQ490" t="b">
        <f>IF(metadata!P490="",FALSE,TRUE)</f>
        <v>0</v>
      </c>
      <c r="AR490" t="b">
        <f>IF(metadata!Q490="",FALSE,ISNUMBER(VALUE(metadata!Q490)))</f>
        <v>0</v>
      </c>
      <c r="AS490" t="b">
        <f>AND(IF(metadata!R490="",FALSE,TRUE),EXACT(metadata!R490,"kg"))</f>
        <v>0</v>
      </c>
    </row>
    <row r="491" spans="1:45" x14ac:dyDescent="0.2">
      <c r="A491" s="5" t="str">
        <f ca="1">IF(B491=" "," ",HYPERLINK(CONCATENATE("#metadata!",ADDRESS(INDEX($X$2:$X$1001,MATCH(ROWS($V$2:V491),$V$2:$V$1001,0),0),1)),INDEX($AA$2:$AA$1001,MATCH(ROWS($V$2:V491),$V$2:$V$1001,0),0)))</f>
        <v xml:space="preserve"> </v>
      </c>
      <c r="B491" s="4" t="str">
        <f ca="1">IF(OR(INDEX($W$2:$W$1001,MATCH(ROWS($V$2:V491),$V$2:$V$1001,0),1)&gt;=100000,INDEX($AC$1005:$AS$1005,1,MATCH(COLUMNS($AC$1006:AC1006),$AC$1006:$AS$1006,0))&gt;=100000), " ",IF(INDEX($AC$2:$AS$1001,MATCH(ROWS($V$2:V491),$V$2:$V$1001,0),MATCH(COLUMNS($AC$1006:AC1006),$AC$1006:$AS$1006,0)), HYPERLINK("#",""), HYPERLINK(CONCATENATE("#metadata!", ADDRESS(INDEX($X$2:$X$1001,MATCH(ROWS($V$2:V491),$V$2:$V$1001,0),0), INDEX($AC$1004:$AS$1004,1,MATCH(COLUMNS($AC$1006:AC1006),$AC$1006:$AS$1006,0)))),"Fix")))</f>
        <v xml:space="preserve"> </v>
      </c>
      <c r="C491" s="4" t="str">
        <f ca="1">IF(OR(INDEX($W$2:$W$1001,MATCH(ROWS($V$2:V491),$V$2:$V$1001,0),1)&gt;=100000,INDEX($AC$1005:$AS$1005,1,MATCH(COLUMNS($AC$1006:AD1006),$AC$1006:$AS$1006,0))&gt;=100000), " ",IF(INDEX($AC$2:$AS$1001,MATCH(ROWS($V$2:V491),$V$2:$V$1001,0),MATCH(COLUMNS($AC$1006:AD1006),$AC$1006:$AS$1006,0)), HYPERLINK("#",""), HYPERLINK(CONCATENATE("#metadata!", ADDRESS(INDEX($X$2:$X$1001,MATCH(ROWS($V$2:V491),$V$2:$V$1001,0),0), INDEX($AC$1004:$AS$1004,1,MATCH(COLUMNS($AC$1006:AD1006),$AC$1006:$AS$1006,0)))),"Fix")))</f>
        <v xml:space="preserve"> </v>
      </c>
      <c r="D491" s="4" t="str">
        <f ca="1">IF(OR(INDEX($W$2:$W$1001,MATCH(ROWS($V$2:V491),$V$2:$V$1001,0),1)&gt;=100000,INDEX($AC$1005:$AS$1005,1,MATCH(COLUMNS($AC$1006:AE1006),$AC$1006:$AS$1006,0))&gt;=100000), " ",IF(INDEX($AC$2:$AS$1001,MATCH(ROWS($V$2:V491),$V$2:$V$1001,0),MATCH(COLUMNS($AC$1006:AE1006),$AC$1006:$AS$1006,0)), HYPERLINK("#",""), HYPERLINK(CONCATENATE("#metadata!", ADDRESS(INDEX($X$2:$X$1001,MATCH(ROWS($V$2:V491),$V$2:$V$1001,0),0), INDEX($AC$1004:$AS$1004,1,MATCH(COLUMNS($AC$1006:AE1006),$AC$1006:$AS$1006,0)))),"Fix")))</f>
        <v xml:space="preserve"> </v>
      </c>
      <c r="E491" s="4" t="str">
        <f ca="1">IF(OR(INDEX($W$2:$W$1001,MATCH(ROWS($V$2:V491),$V$2:$V$1001,0),1)&gt;=100000,INDEX($AC$1005:$AS$1005,1,MATCH(COLUMNS($AC$1006:AF1006),$AC$1006:$AS$1006,0))&gt;=100000), " ",IF(INDEX($AC$2:$AS$1001,MATCH(ROWS($V$2:V491),$V$2:$V$1001,0),MATCH(COLUMNS($AC$1006:AF1006),$AC$1006:$AS$1006,0)), HYPERLINK("#",""), HYPERLINK(CONCATENATE("#metadata!", ADDRESS(INDEX($X$2:$X$1001,MATCH(ROWS($V$2:V491),$V$2:$V$1001,0),0), INDEX($AC$1004:$AS$1004,1,MATCH(COLUMNS($AC$1006:AF1006),$AC$1006:$AS$1006,0)))),"Fix")))</f>
        <v xml:space="preserve"> </v>
      </c>
      <c r="F491" s="4" t="str">
        <f ca="1">IF(OR(INDEX($W$2:$W$1001,MATCH(ROWS($V$2:V491),$V$2:$V$1001,0),1)&gt;=100000,INDEX($AC$1005:$AS$1005,1,MATCH(COLUMNS($AC$1006:AG1006),$AC$1006:$AS$1006,0))&gt;=100000), " ",IF(INDEX($AC$2:$AS$1001,MATCH(ROWS($V$2:V491),$V$2:$V$1001,0),MATCH(COLUMNS($AC$1006:AG1006),$AC$1006:$AS$1006,0)), HYPERLINK("#",""), HYPERLINK(CONCATENATE("#metadata!", ADDRESS(INDEX($X$2:$X$1001,MATCH(ROWS($V$2:V491),$V$2:$V$1001,0),0), INDEX($AC$1004:$AS$1004,1,MATCH(COLUMNS($AC$1006:AG1006),$AC$1006:$AS$1006,0)))),"Fix")))</f>
        <v xml:space="preserve"> </v>
      </c>
      <c r="G491" s="4" t="str">
        <f ca="1">IF(OR(INDEX($W$2:$W$1001,MATCH(ROWS($V$2:V491),$V$2:$V$1001,0),1)&gt;=100000,INDEX($AC$1005:$AS$1005,1,MATCH(COLUMNS($AC$1006:AH1006),$AC$1006:$AS$1006,0))&gt;=100000), " ",IF(INDEX($AC$2:$AS$1001,MATCH(ROWS($V$2:V491),$V$2:$V$1001,0),MATCH(COLUMNS($AC$1006:AH1006),$AC$1006:$AS$1006,0)), HYPERLINK("#",""), HYPERLINK(CONCATENATE("#metadata!", ADDRESS(INDEX($X$2:$X$1001,MATCH(ROWS($V$2:V491),$V$2:$V$1001,0),0), INDEX($AC$1004:$AS$1004,1,MATCH(COLUMNS($AC$1006:AH1006),$AC$1006:$AS$1006,0)))),"Fix")))</f>
        <v xml:space="preserve"> </v>
      </c>
      <c r="H491" s="4" t="str">
        <f ca="1">IF(OR(INDEX($W$2:$W$1001,MATCH(ROWS($V$2:V491),$V$2:$V$1001,0),1)&gt;=100000,INDEX($AC$1005:$AS$1005,1,MATCH(COLUMNS($AC$1006:AI1006),$AC$1006:$AS$1006,0))&gt;=100000), " ",IF(INDEX($AC$2:$AS$1001,MATCH(ROWS($V$2:V491),$V$2:$V$1001,0),MATCH(COLUMNS($AC$1006:AI1006),$AC$1006:$AS$1006,0)), HYPERLINK("#",""), HYPERLINK(CONCATENATE("#metadata!", ADDRESS(INDEX($X$2:$X$1001,MATCH(ROWS($V$2:V491),$V$2:$V$1001,0),0), INDEX($AC$1004:$AS$1004,1,MATCH(COLUMNS($AC$1006:AI1006),$AC$1006:$AS$1006,0)))),"Fix")))</f>
        <v xml:space="preserve"> </v>
      </c>
      <c r="I491" s="4" t="str">
        <f ca="1">IF(OR(INDEX($W$2:$W$1001,MATCH(ROWS($V$2:V491),$V$2:$V$1001,0),1)&gt;=100000,INDEX($AC$1005:$AS$1005,1,MATCH(COLUMNS($AC$1006:AJ1006),$AC$1006:$AS$1006,0))&gt;=100000), " ",IF(INDEX($AC$2:$AS$1001,MATCH(ROWS($V$2:V491),$V$2:$V$1001,0),MATCH(COLUMNS($AC$1006:AJ1006),$AC$1006:$AS$1006,0)), HYPERLINK("#",""), HYPERLINK(CONCATENATE("#metadata!", ADDRESS(INDEX($X$2:$X$1001,MATCH(ROWS($V$2:V491),$V$2:$V$1001,0),0), INDEX($AC$1004:$AS$1004,1,MATCH(COLUMNS($AC$1006:AJ1006),$AC$1006:$AS$1006,0)))),"Fix")))</f>
        <v xml:space="preserve"> </v>
      </c>
      <c r="J491" s="4" t="str">
        <f ca="1">IF(OR(INDEX($W$2:$W$1001,MATCH(ROWS($V$2:V491),$V$2:$V$1001,0),1)&gt;=100000,INDEX($AC$1005:$AS$1005,1,MATCH(COLUMNS($AC$1006:AK1006),$AC$1006:$AS$1006,0))&gt;=100000), " ",IF(INDEX($AC$2:$AS$1001,MATCH(ROWS($V$2:V491),$V$2:$V$1001,0),MATCH(COLUMNS($AC$1006:AK1006),$AC$1006:$AS$1006,0)), HYPERLINK("#",""), HYPERLINK(CONCATENATE("#metadata!", ADDRESS(INDEX($X$2:$X$1001,MATCH(ROWS($V$2:V491),$V$2:$V$1001,0),0), INDEX($AC$1004:$AS$1004,1,MATCH(COLUMNS($AC$1006:AK1006),$AC$1006:$AS$1006,0)))),"Fix")))</f>
        <v xml:space="preserve"> </v>
      </c>
      <c r="K491" s="4" t="str">
        <f ca="1">IF(OR(INDEX($W$2:$W$1001,MATCH(ROWS($V$2:V491),$V$2:$V$1001,0),1)&gt;=100000,INDEX($AC$1005:$AS$1005,1,MATCH(COLUMNS($AC$1006:AL1006),$AC$1006:$AS$1006,0))&gt;=100000), " ",IF(INDEX($AC$2:$AS$1001,MATCH(ROWS($V$2:V491),$V$2:$V$1001,0),MATCH(COLUMNS($AC$1006:AL1006),$AC$1006:$AS$1006,0)), HYPERLINK("#",""), HYPERLINK(CONCATENATE("#metadata!", ADDRESS(INDEX($X$2:$X$1001,MATCH(ROWS($V$2:V491),$V$2:$V$1001,0),0), INDEX($AC$1004:$AS$1004,1,MATCH(COLUMNS($AC$1006:AL1006),$AC$1006:$AS$1006,0)))),"Fix")))</f>
        <v xml:space="preserve"> </v>
      </c>
      <c r="L491" s="4" t="str">
        <f ca="1">IF(OR(INDEX($W$2:$W$1001,MATCH(ROWS($V$2:V491),$V$2:$V$1001,0),1)&gt;=100000,INDEX($AC$1005:$AS$1005,1,MATCH(COLUMNS($AC$1006:AM1006),$AC$1006:$AS$1006,0))&gt;=100000), " ",IF(INDEX($AC$2:$AS$1001,MATCH(ROWS($V$2:V491),$V$2:$V$1001,0),MATCH(COLUMNS($AC$1006:AM1006),$AC$1006:$AS$1006,0)), HYPERLINK("#",""), HYPERLINK(CONCATENATE("#metadata!", ADDRESS(INDEX($X$2:$X$1001,MATCH(ROWS($V$2:V491),$V$2:$V$1001,0),0), INDEX($AC$1004:$AS$1004,1,MATCH(COLUMNS($AC$1006:AM1006),$AC$1006:$AS$1006,0)))),"Fix")))</f>
        <v xml:space="preserve"> </v>
      </c>
      <c r="M491" s="4" t="str">
        <f ca="1">IF(OR(INDEX($W$2:$W$1001,MATCH(ROWS($V$2:V491),$V$2:$V$1001,0),1)&gt;=100000,INDEX($AC$1005:$AS$1005,1,MATCH(COLUMNS($AC$1006:AN1006),$AC$1006:$AS$1006,0))&gt;=100000), " ",IF(INDEX($AC$2:$AS$1001,MATCH(ROWS($V$2:V491),$V$2:$V$1001,0),MATCH(COLUMNS($AC$1006:AN1006),$AC$1006:$AS$1006,0)), HYPERLINK("#",""), HYPERLINK(CONCATENATE("#metadata!", ADDRESS(INDEX($X$2:$X$1001,MATCH(ROWS($V$2:V491),$V$2:$V$1001,0),0), INDEX($AC$1004:$AS$1004,1,MATCH(COLUMNS($AC$1006:AN1006),$AC$1006:$AS$1006,0)))),"Fix")))</f>
        <v xml:space="preserve"> </v>
      </c>
      <c r="N491" s="4" t="str">
        <f ca="1">IF(OR(INDEX($W$2:$W$1001,MATCH(ROWS($V$2:V491),$V$2:$V$1001,0),1)&gt;=100000,INDEX($AC$1005:$AS$1005,1,MATCH(COLUMNS($AC$1006:AO1006),$AC$1006:$AS$1006,0))&gt;=100000), " ",IF(INDEX($AC$2:$AS$1001,MATCH(ROWS($V$2:V491),$V$2:$V$1001,0),MATCH(COLUMNS($AC$1006:AO1006),$AC$1006:$AS$1006,0)), HYPERLINK("#",""), HYPERLINK(CONCATENATE("#metadata!", ADDRESS(INDEX($X$2:$X$1001,MATCH(ROWS($V$2:V491),$V$2:$V$1001,0),0), INDEX($AC$1004:$AS$1004,1,MATCH(COLUMNS($AC$1006:AO1006),$AC$1006:$AS$1006,0)))),"Fix")))</f>
        <v xml:space="preserve"> </v>
      </c>
      <c r="O491" s="4" t="str">
        <f ca="1">IF(OR(INDEX($W$2:$W$1001,MATCH(ROWS($V$2:V491),$V$2:$V$1001,0),1)&gt;=100000,INDEX($AC$1005:$AS$1005,1,MATCH(COLUMNS($AC$1006:AP1006),$AC$1006:$AS$1006,0))&gt;=100000), " ",IF(INDEX($AC$2:$AS$1001,MATCH(ROWS($V$2:V491),$V$2:$V$1001,0),MATCH(COLUMNS($AC$1006:AP1006),$AC$1006:$AS$1006,0)), HYPERLINK("#",""), HYPERLINK(CONCATENATE("#metadata!", ADDRESS(INDEX($X$2:$X$1001,MATCH(ROWS($V$2:V491),$V$2:$V$1001,0),0), INDEX($AC$1004:$AS$1004,1,MATCH(COLUMNS($AC$1006:AP1006),$AC$1006:$AS$1006,0)))),"Fix")))</f>
        <v xml:space="preserve"> </v>
      </c>
      <c r="P491" s="4" t="str">
        <f ca="1">IF(OR(INDEX($W$2:$W$1001,MATCH(ROWS($V$2:V491),$V$2:$V$1001,0),1)&gt;=100000,INDEX($AC$1005:$AS$1005,1,MATCH(COLUMNS($AC$1006:AQ1006),$AC$1006:$AS$1006,0))&gt;=100000), " ",IF(INDEX($AC$2:$AS$1001,MATCH(ROWS($V$2:V491),$V$2:$V$1001,0),MATCH(COLUMNS($AC$1006:AQ1006),$AC$1006:$AS$1006,0)), HYPERLINK("#",""), HYPERLINK(CONCATENATE("#metadata!", ADDRESS(INDEX($X$2:$X$1001,MATCH(ROWS($V$2:V491),$V$2:$V$1001,0),0), INDEX($AC$1004:$AS$1004,1,MATCH(COLUMNS($AC$1006:AQ1006),$AC$1006:$AS$1006,0)))),"Fix")))</f>
        <v xml:space="preserve"> </v>
      </c>
      <c r="Q491" s="4" t="str">
        <f ca="1">IF(OR(INDEX($W$2:$W$1001,MATCH(ROWS($V$2:V491),$V$2:$V$1001,0),1)&gt;=100000,INDEX($AC$1005:$AS$1005,1,MATCH(COLUMNS($AC$1006:AR1006),$AC$1006:$AS$1006,0))&gt;=100000), " ",IF(INDEX($AC$2:$AS$1001,MATCH(ROWS($V$2:V491),$V$2:$V$1001,0),MATCH(COLUMNS($AC$1006:AR1006),$AC$1006:$AS$1006,0)), HYPERLINK("#",""), HYPERLINK(CONCATENATE("#metadata!", ADDRESS(INDEX($X$2:$X$1001,MATCH(ROWS($V$2:V491),$V$2:$V$1001,0),0), INDEX($AC$1004:$AS$1004,1,MATCH(COLUMNS($AC$1006:AR1006),$AC$1006:$AS$1006,0)))),"Fix")))</f>
        <v xml:space="preserve"> </v>
      </c>
      <c r="R491" s="4" t="str">
        <f ca="1">IF(OR(INDEX($W$2:$W$1001,MATCH(ROWS($V$2:V491),$V$2:$V$1001,0),1)&gt;=100000,INDEX($AC$1005:$AS$1005,1,MATCH(COLUMNS($AC$1006:AS1006),$AC$1006:$AS$1006,0))&gt;=100000), " ",IF(INDEX($AC$2:$AS$1001,MATCH(ROWS($V$2:V491),$V$2:$V$1001,0),MATCH(COLUMNS($AC$1006:AS1006),$AC$1006:$AS$1006,0)), HYPERLINK("#",""), HYPERLINK(CONCATENATE("#metadata!", ADDRESS(INDEX($X$2:$X$1001,MATCH(ROWS($V$2:V491),$V$2:$V$1001,0),0), INDEX($AC$1004:$AS$1004,1,MATCH(COLUMNS($AC$1006:AS1006),$AC$1006:$AS$1006,0)))),"Fix")))</f>
        <v xml:space="preserve"> </v>
      </c>
      <c r="V491">
        <v>490</v>
      </c>
      <c r="W491">
        <v>100491</v>
      </c>
      <c r="X491">
        <v>491</v>
      </c>
      <c r="Y491" t="b">
        <f t="shared" si="7"/>
        <v>1</v>
      </c>
      <c r="Z491" t="b">
        <f>COUNTBLANK(metadata!B491:R491)=COLUMNS(metadata!B491:R491)</f>
        <v>1</v>
      </c>
      <c r="AA491" t="str">
        <v/>
      </c>
      <c r="AC491" t="b">
        <f ca="1"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AD491" t="b">
        <f>IF(metadata!C491="",FALSE,ISNUMBER(VALUE(metadata!C491)))</f>
        <v>0</v>
      </c>
      <c r="AE491" t="b">
        <f>AND(IF(metadata!D491="",FALSE,TRUE),EXACT(metadata!D491,"years"))</f>
        <v>0</v>
      </c>
      <c r="AF491" t="b">
        <f>OR(AND(IF(metadata!E491="",FALSE,TRUE),OR(EXACT(metadata!E491,"not applicable"),EXACT(metadata!E491,"missing: not collected"),EXACT(metadata!E491,"missing: not provided"),EXACT(metadata!E491,"missing: restricted access"))),AND(IF(metadata!E491="",FALSE,ISNUMBER(VALUE(metadata!E491))),metadata!E491&gt;0))</f>
        <v>0</v>
      </c>
      <c r="AG491" t="b">
        <f>AND(IF(metadata!F491="",FALSE,TRUE),EXACT(metadata!F491,"Not applicable"))</f>
        <v>0</v>
      </c>
      <c r="AH491" t="b">
        <f>AND(IF(metadata!G491="",FALSE,TRUE),EXACT(metadata!G491,"urban biome"))</f>
        <v>0</v>
      </c>
      <c r="AI491" t="b">
        <f>AND(IF(metadata!H491="",FALSE,TRUE),EXACT(metadata!H491,"human-associated habitat"))</f>
        <v>0</v>
      </c>
      <c r="AJ491" t="b">
        <f>AND(IF(metadata!I491="",FALSE,TRUE),OR(EXACT(metadata!I491,"human-associated"),EXACT(metadata!I491,"human-skin"),EXACT(metadata!I491,"human-oral"),EXACT(metadata!I491,"human-gut"),EXACT(metadata!I491,"human-vaginal")))</f>
        <v>0</v>
      </c>
      <c r="AK491" t="b">
        <f>IF(metadata!J491="",FALSE,ISNUMBER(VALUE(metadata!J491)))</f>
        <v>0</v>
      </c>
      <c r="AL491" t="b">
        <f>AND(IF(metadata!K491="",FALSE,TRUE),EXACT(metadata!K491,"cm"))</f>
        <v>0</v>
      </c>
      <c r="AM491" t="b">
        <f>AND(IF(metadata!L491="",FALSE,TRUE),EXACT(metadata!L491,"human"))</f>
        <v>0</v>
      </c>
      <c r="AN491" t="b">
        <f>AND(IF(metadata!M491="",FALSE,TRUE),EXACT(metadata!M491,"Homo sapiens"))</f>
        <v>0</v>
      </c>
      <c r="AO491" t="b">
        <f>AND(IF(metadata!N491="",FALSE,TRUE),EXACT(metadata!N491,"9606"))</f>
        <v>0</v>
      </c>
      <c r="AP491" t="b">
        <f>IF(metadata!O491="",FALSE,TRUE)</f>
        <v>0</v>
      </c>
      <c r="AQ491" t="b">
        <f>IF(metadata!P491="",FALSE,TRUE)</f>
        <v>0</v>
      </c>
      <c r="AR491" t="b">
        <f>IF(metadata!Q491="",FALSE,ISNUMBER(VALUE(metadata!Q491)))</f>
        <v>0</v>
      </c>
      <c r="AS491" t="b">
        <f>AND(IF(metadata!R491="",FALSE,TRUE),EXACT(metadata!R491,"kg"))</f>
        <v>0</v>
      </c>
    </row>
    <row r="492" spans="1:45" x14ac:dyDescent="0.2">
      <c r="A492" s="5" t="str">
        <f ca="1">IF(B492=" "," ",HYPERLINK(CONCATENATE("#metadata!",ADDRESS(INDEX($X$2:$X$1001,MATCH(ROWS($V$2:V492),$V$2:$V$1001,0),0),1)),INDEX($AA$2:$AA$1001,MATCH(ROWS($V$2:V492),$V$2:$V$1001,0),0)))</f>
        <v xml:space="preserve"> </v>
      </c>
      <c r="B492" s="4" t="str">
        <f ca="1">IF(OR(INDEX($W$2:$W$1001,MATCH(ROWS($V$2:V492),$V$2:$V$1001,0),1)&gt;=100000,INDEX($AC$1005:$AS$1005,1,MATCH(COLUMNS($AC$1006:AC1006),$AC$1006:$AS$1006,0))&gt;=100000), " ",IF(INDEX($AC$2:$AS$1001,MATCH(ROWS($V$2:V492),$V$2:$V$1001,0),MATCH(COLUMNS($AC$1006:AC1006),$AC$1006:$AS$1006,0)), HYPERLINK("#",""), HYPERLINK(CONCATENATE("#metadata!", ADDRESS(INDEX($X$2:$X$1001,MATCH(ROWS($V$2:V492),$V$2:$V$1001,0),0), INDEX($AC$1004:$AS$1004,1,MATCH(COLUMNS($AC$1006:AC1006),$AC$1006:$AS$1006,0)))),"Fix")))</f>
        <v xml:space="preserve"> </v>
      </c>
      <c r="C492" s="4" t="str">
        <f ca="1">IF(OR(INDEX($W$2:$W$1001,MATCH(ROWS($V$2:V492),$V$2:$V$1001,0),1)&gt;=100000,INDEX($AC$1005:$AS$1005,1,MATCH(COLUMNS($AC$1006:AD1006),$AC$1006:$AS$1006,0))&gt;=100000), " ",IF(INDEX($AC$2:$AS$1001,MATCH(ROWS($V$2:V492),$V$2:$V$1001,0),MATCH(COLUMNS($AC$1006:AD1006),$AC$1006:$AS$1006,0)), HYPERLINK("#",""), HYPERLINK(CONCATENATE("#metadata!", ADDRESS(INDEX($X$2:$X$1001,MATCH(ROWS($V$2:V492),$V$2:$V$1001,0),0), INDEX($AC$1004:$AS$1004,1,MATCH(COLUMNS($AC$1006:AD1006),$AC$1006:$AS$1006,0)))),"Fix")))</f>
        <v xml:space="preserve"> </v>
      </c>
      <c r="D492" s="4" t="str">
        <f ca="1">IF(OR(INDEX($W$2:$W$1001,MATCH(ROWS($V$2:V492),$V$2:$V$1001,0),1)&gt;=100000,INDEX($AC$1005:$AS$1005,1,MATCH(COLUMNS($AC$1006:AE1006),$AC$1006:$AS$1006,0))&gt;=100000), " ",IF(INDEX($AC$2:$AS$1001,MATCH(ROWS($V$2:V492),$V$2:$V$1001,0),MATCH(COLUMNS($AC$1006:AE1006),$AC$1006:$AS$1006,0)), HYPERLINK("#",""), HYPERLINK(CONCATENATE("#metadata!", ADDRESS(INDEX($X$2:$X$1001,MATCH(ROWS($V$2:V492),$V$2:$V$1001,0),0), INDEX($AC$1004:$AS$1004,1,MATCH(COLUMNS($AC$1006:AE1006),$AC$1006:$AS$1006,0)))),"Fix")))</f>
        <v xml:space="preserve"> </v>
      </c>
      <c r="E492" s="4" t="str">
        <f ca="1">IF(OR(INDEX($W$2:$W$1001,MATCH(ROWS($V$2:V492),$V$2:$V$1001,0),1)&gt;=100000,INDEX($AC$1005:$AS$1005,1,MATCH(COLUMNS($AC$1006:AF1006),$AC$1006:$AS$1006,0))&gt;=100000), " ",IF(INDEX($AC$2:$AS$1001,MATCH(ROWS($V$2:V492),$V$2:$V$1001,0),MATCH(COLUMNS($AC$1006:AF1006),$AC$1006:$AS$1006,0)), HYPERLINK("#",""), HYPERLINK(CONCATENATE("#metadata!", ADDRESS(INDEX($X$2:$X$1001,MATCH(ROWS($V$2:V492),$V$2:$V$1001,0),0), INDEX($AC$1004:$AS$1004,1,MATCH(COLUMNS($AC$1006:AF1006),$AC$1006:$AS$1006,0)))),"Fix")))</f>
        <v xml:space="preserve"> </v>
      </c>
      <c r="F492" s="4" t="str">
        <f ca="1">IF(OR(INDEX($W$2:$W$1001,MATCH(ROWS($V$2:V492),$V$2:$V$1001,0),1)&gt;=100000,INDEX($AC$1005:$AS$1005,1,MATCH(COLUMNS($AC$1006:AG1006),$AC$1006:$AS$1006,0))&gt;=100000), " ",IF(INDEX($AC$2:$AS$1001,MATCH(ROWS($V$2:V492),$V$2:$V$1001,0),MATCH(COLUMNS($AC$1006:AG1006),$AC$1006:$AS$1006,0)), HYPERLINK("#",""), HYPERLINK(CONCATENATE("#metadata!", ADDRESS(INDEX($X$2:$X$1001,MATCH(ROWS($V$2:V492),$V$2:$V$1001,0),0), INDEX($AC$1004:$AS$1004,1,MATCH(COLUMNS($AC$1006:AG1006),$AC$1006:$AS$1006,0)))),"Fix")))</f>
        <v xml:space="preserve"> </v>
      </c>
      <c r="G492" s="4" t="str">
        <f ca="1">IF(OR(INDEX($W$2:$W$1001,MATCH(ROWS($V$2:V492),$V$2:$V$1001,0),1)&gt;=100000,INDEX($AC$1005:$AS$1005,1,MATCH(COLUMNS($AC$1006:AH1006),$AC$1006:$AS$1006,0))&gt;=100000), " ",IF(INDEX($AC$2:$AS$1001,MATCH(ROWS($V$2:V492),$V$2:$V$1001,0),MATCH(COLUMNS($AC$1006:AH1006),$AC$1006:$AS$1006,0)), HYPERLINK("#",""), HYPERLINK(CONCATENATE("#metadata!", ADDRESS(INDEX($X$2:$X$1001,MATCH(ROWS($V$2:V492),$V$2:$V$1001,0),0), INDEX($AC$1004:$AS$1004,1,MATCH(COLUMNS($AC$1006:AH1006),$AC$1006:$AS$1006,0)))),"Fix")))</f>
        <v xml:space="preserve"> </v>
      </c>
      <c r="H492" s="4" t="str">
        <f ca="1">IF(OR(INDEX($W$2:$W$1001,MATCH(ROWS($V$2:V492),$V$2:$V$1001,0),1)&gt;=100000,INDEX($AC$1005:$AS$1005,1,MATCH(COLUMNS($AC$1006:AI1006),$AC$1006:$AS$1006,0))&gt;=100000), " ",IF(INDEX($AC$2:$AS$1001,MATCH(ROWS($V$2:V492),$V$2:$V$1001,0),MATCH(COLUMNS($AC$1006:AI1006),$AC$1006:$AS$1006,0)), HYPERLINK("#",""), HYPERLINK(CONCATENATE("#metadata!", ADDRESS(INDEX($X$2:$X$1001,MATCH(ROWS($V$2:V492),$V$2:$V$1001,0),0), INDEX($AC$1004:$AS$1004,1,MATCH(COLUMNS($AC$1006:AI1006),$AC$1006:$AS$1006,0)))),"Fix")))</f>
        <v xml:space="preserve"> </v>
      </c>
      <c r="I492" s="4" t="str">
        <f ca="1">IF(OR(INDEX($W$2:$W$1001,MATCH(ROWS($V$2:V492),$V$2:$V$1001,0),1)&gt;=100000,INDEX($AC$1005:$AS$1005,1,MATCH(COLUMNS($AC$1006:AJ1006),$AC$1006:$AS$1006,0))&gt;=100000), " ",IF(INDEX($AC$2:$AS$1001,MATCH(ROWS($V$2:V492),$V$2:$V$1001,0),MATCH(COLUMNS($AC$1006:AJ1006),$AC$1006:$AS$1006,0)), HYPERLINK("#",""), HYPERLINK(CONCATENATE("#metadata!", ADDRESS(INDEX($X$2:$X$1001,MATCH(ROWS($V$2:V492),$V$2:$V$1001,0),0), INDEX($AC$1004:$AS$1004,1,MATCH(COLUMNS($AC$1006:AJ1006),$AC$1006:$AS$1006,0)))),"Fix")))</f>
        <v xml:space="preserve"> </v>
      </c>
      <c r="J492" s="4" t="str">
        <f ca="1">IF(OR(INDEX($W$2:$W$1001,MATCH(ROWS($V$2:V492),$V$2:$V$1001,0),1)&gt;=100000,INDEX($AC$1005:$AS$1005,1,MATCH(COLUMNS($AC$1006:AK1006),$AC$1006:$AS$1006,0))&gt;=100000), " ",IF(INDEX($AC$2:$AS$1001,MATCH(ROWS($V$2:V492),$V$2:$V$1001,0),MATCH(COLUMNS($AC$1006:AK1006),$AC$1006:$AS$1006,0)), HYPERLINK("#",""), HYPERLINK(CONCATENATE("#metadata!", ADDRESS(INDEX($X$2:$X$1001,MATCH(ROWS($V$2:V492),$V$2:$V$1001,0),0), INDEX($AC$1004:$AS$1004,1,MATCH(COLUMNS($AC$1006:AK1006),$AC$1006:$AS$1006,0)))),"Fix")))</f>
        <v xml:space="preserve"> </v>
      </c>
      <c r="K492" s="4" t="str">
        <f ca="1">IF(OR(INDEX($W$2:$W$1001,MATCH(ROWS($V$2:V492),$V$2:$V$1001,0),1)&gt;=100000,INDEX($AC$1005:$AS$1005,1,MATCH(COLUMNS($AC$1006:AL1006),$AC$1006:$AS$1006,0))&gt;=100000), " ",IF(INDEX($AC$2:$AS$1001,MATCH(ROWS($V$2:V492),$V$2:$V$1001,0),MATCH(COLUMNS($AC$1006:AL1006),$AC$1006:$AS$1006,0)), HYPERLINK("#",""), HYPERLINK(CONCATENATE("#metadata!", ADDRESS(INDEX($X$2:$X$1001,MATCH(ROWS($V$2:V492),$V$2:$V$1001,0),0), INDEX($AC$1004:$AS$1004,1,MATCH(COLUMNS($AC$1006:AL1006),$AC$1006:$AS$1006,0)))),"Fix")))</f>
        <v xml:space="preserve"> </v>
      </c>
      <c r="L492" s="4" t="str">
        <f ca="1">IF(OR(INDEX($W$2:$W$1001,MATCH(ROWS($V$2:V492),$V$2:$V$1001,0),1)&gt;=100000,INDEX($AC$1005:$AS$1005,1,MATCH(COLUMNS($AC$1006:AM1006),$AC$1006:$AS$1006,0))&gt;=100000), " ",IF(INDEX($AC$2:$AS$1001,MATCH(ROWS($V$2:V492),$V$2:$V$1001,0),MATCH(COLUMNS($AC$1006:AM1006),$AC$1006:$AS$1006,0)), HYPERLINK("#",""), HYPERLINK(CONCATENATE("#metadata!", ADDRESS(INDEX($X$2:$X$1001,MATCH(ROWS($V$2:V492),$V$2:$V$1001,0),0), INDEX($AC$1004:$AS$1004,1,MATCH(COLUMNS($AC$1006:AM1006),$AC$1006:$AS$1006,0)))),"Fix")))</f>
        <v xml:space="preserve"> </v>
      </c>
      <c r="M492" s="4" t="str">
        <f ca="1">IF(OR(INDEX($W$2:$W$1001,MATCH(ROWS($V$2:V492),$V$2:$V$1001,0),1)&gt;=100000,INDEX($AC$1005:$AS$1005,1,MATCH(COLUMNS($AC$1006:AN1006),$AC$1006:$AS$1006,0))&gt;=100000), " ",IF(INDEX($AC$2:$AS$1001,MATCH(ROWS($V$2:V492),$V$2:$V$1001,0),MATCH(COLUMNS($AC$1006:AN1006),$AC$1006:$AS$1006,0)), HYPERLINK("#",""), HYPERLINK(CONCATENATE("#metadata!", ADDRESS(INDEX($X$2:$X$1001,MATCH(ROWS($V$2:V492),$V$2:$V$1001,0),0), INDEX($AC$1004:$AS$1004,1,MATCH(COLUMNS($AC$1006:AN1006),$AC$1006:$AS$1006,0)))),"Fix")))</f>
        <v xml:space="preserve"> </v>
      </c>
      <c r="N492" s="4" t="str">
        <f ca="1">IF(OR(INDEX($W$2:$W$1001,MATCH(ROWS($V$2:V492),$V$2:$V$1001,0),1)&gt;=100000,INDEX($AC$1005:$AS$1005,1,MATCH(COLUMNS($AC$1006:AO1006),$AC$1006:$AS$1006,0))&gt;=100000), " ",IF(INDEX($AC$2:$AS$1001,MATCH(ROWS($V$2:V492),$V$2:$V$1001,0),MATCH(COLUMNS($AC$1006:AO1006),$AC$1006:$AS$1006,0)), HYPERLINK("#",""), HYPERLINK(CONCATENATE("#metadata!", ADDRESS(INDEX($X$2:$X$1001,MATCH(ROWS($V$2:V492),$V$2:$V$1001,0),0), INDEX($AC$1004:$AS$1004,1,MATCH(COLUMNS($AC$1006:AO1006),$AC$1006:$AS$1006,0)))),"Fix")))</f>
        <v xml:space="preserve"> </v>
      </c>
      <c r="O492" s="4" t="str">
        <f ca="1">IF(OR(INDEX($W$2:$W$1001,MATCH(ROWS($V$2:V492),$V$2:$V$1001,0),1)&gt;=100000,INDEX($AC$1005:$AS$1005,1,MATCH(COLUMNS($AC$1006:AP1006),$AC$1006:$AS$1006,0))&gt;=100000), " ",IF(INDEX($AC$2:$AS$1001,MATCH(ROWS($V$2:V492),$V$2:$V$1001,0),MATCH(COLUMNS($AC$1006:AP1006),$AC$1006:$AS$1006,0)), HYPERLINK("#",""), HYPERLINK(CONCATENATE("#metadata!", ADDRESS(INDEX($X$2:$X$1001,MATCH(ROWS($V$2:V492),$V$2:$V$1001,0),0), INDEX($AC$1004:$AS$1004,1,MATCH(COLUMNS($AC$1006:AP1006),$AC$1006:$AS$1006,0)))),"Fix")))</f>
        <v xml:space="preserve"> </v>
      </c>
      <c r="P492" s="4" t="str">
        <f ca="1">IF(OR(INDEX($W$2:$W$1001,MATCH(ROWS($V$2:V492),$V$2:$V$1001,0),1)&gt;=100000,INDEX($AC$1005:$AS$1005,1,MATCH(COLUMNS($AC$1006:AQ1006),$AC$1006:$AS$1006,0))&gt;=100000), " ",IF(INDEX($AC$2:$AS$1001,MATCH(ROWS($V$2:V492),$V$2:$V$1001,0),MATCH(COLUMNS($AC$1006:AQ1006),$AC$1006:$AS$1006,0)), HYPERLINK("#",""), HYPERLINK(CONCATENATE("#metadata!", ADDRESS(INDEX($X$2:$X$1001,MATCH(ROWS($V$2:V492),$V$2:$V$1001,0),0), INDEX($AC$1004:$AS$1004,1,MATCH(COLUMNS($AC$1006:AQ1006),$AC$1006:$AS$1006,0)))),"Fix")))</f>
        <v xml:space="preserve"> </v>
      </c>
      <c r="Q492" s="4" t="str">
        <f ca="1">IF(OR(INDEX($W$2:$W$1001,MATCH(ROWS($V$2:V492),$V$2:$V$1001,0),1)&gt;=100000,INDEX($AC$1005:$AS$1005,1,MATCH(COLUMNS($AC$1006:AR1006),$AC$1006:$AS$1006,0))&gt;=100000), " ",IF(INDEX($AC$2:$AS$1001,MATCH(ROWS($V$2:V492),$V$2:$V$1001,0),MATCH(COLUMNS($AC$1006:AR1006),$AC$1006:$AS$1006,0)), HYPERLINK("#",""), HYPERLINK(CONCATENATE("#metadata!", ADDRESS(INDEX($X$2:$X$1001,MATCH(ROWS($V$2:V492),$V$2:$V$1001,0),0), INDEX($AC$1004:$AS$1004,1,MATCH(COLUMNS($AC$1006:AR1006),$AC$1006:$AS$1006,0)))),"Fix")))</f>
        <v xml:space="preserve"> </v>
      </c>
      <c r="R492" s="4" t="str">
        <f ca="1">IF(OR(INDEX($W$2:$W$1001,MATCH(ROWS($V$2:V492),$V$2:$V$1001,0),1)&gt;=100000,INDEX($AC$1005:$AS$1005,1,MATCH(COLUMNS($AC$1006:AS1006),$AC$1006:$AS$1006,0))&gt;=100000), " ",IF(INDEX($AC$2:$AS$1001,MATCH(ROWS($V$2:V492),$V$2:$V$1001,0),MATCH(COLUMNS($AC$1006:AS1006),$AC$1006:$AS$1006,0)), HYPERLINK("#",""), HYPERLINK(CONCATENATE("#metadata!", ADDRESS(INDEX($X$2:$X$1001,MATCH(ROWS($V$2:V492),$V$2:$V$1001,0),0), INDEX($AC$1004:$AS$1004,1,MATCH(COLUMNS($AC$1006:AS1006),$AC$1006:$AS$1006,0)))),"Fix")))</f>
        <v xml:space="preserve"> </v>
      </c>
      <c r="V492">
        <v>491</v>
      </c>
      <c r="W492">
        <v>100492</v>
      </c>
      <c r="X492">
        <v>492</v>
      </c>
      <c r="Y492" t="b">
        <f t="shared" si="7"/>
        <v>1</v>
      </c>
      <c r="Z492" t="b">
        <f>COUNTBLANK(metadata!B492:R492)=COLUMNS(metadata!B492:R492)</f>
        <v>1</v>
      </c>
      <c r="AA492" t="str">
        <v/>
      </c>
      <c r="AC492" t="b">
        <f ca="1"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AD492" t="b">
        <f>IF(metadata!C492="",FALSE,ISNUMBER(VALUE(metadata!C492)))</f>
        <v>0</v>
      </c>
      <c r="AE492" t="b">
        <f>AND(IF(metadata!D492="",FALSE,TRUE),EXACT(metadata!D492,"years"))</f>
        <v>0</v>
      </c>
      <c r="AF492" t="b">
        <f>OR(AND(IF(metadata!E492="",FALSE,TRUE),OR(EXACT(metadata!E492,"not applicable"),EXACT(metadata!E492,"missing: not collected"),EXACT(metadata!E492,"missing: not provided"),EXACT(metadata!E492,"missing: restricted access"))),AND(IF(metadata!E492="",FALSE,ISNUMBER(VALUE(metadata!E492))),metadata!E492&gt;0))</f>
        <v>0</v>
      </c>
      <c r="AG492" t="b">
        <f>AND(IF(metadata!F492="",FALSE,TRUE),EXACT(metadata!F492,"Not applicable"))</f>
        <v>0</v>
      </c>
      <c r="AH492" t="b">
        <f>AND(IF(metadata!G492="",FALSE,TRUE),EXACT(metadata!G492,"urban biome"))</f>
        <v>0</v>
      </c>
      <c r="AI492" t="b">
        <f>AND(IF(metadata!H492="",FALSE,TRUE),EXACT(metadata!H492,"human-associated habitat"))</f>
        <v>0</v>
      </c>
      <c r="AJ492" t="b">
        <f>AND(IF(metadata!I492="",FALSE,TRUE),OR(EXACT(metadata!I492,"human-associated"),EXACT(metadata!I492,"human-skin"),EXACT(metadata!I492,"human-oral"),EXACT(metadata!I492,"human-gut"),EXACT(metadata!I492,"human-vaginal")))</f>
        <v>0</v>
      </c>
      <c r="AK492" t="b">
        <f>IF(metadata!J492="",FALSE,ISNUMBER(VALUE(metadata!J492)))</f>
        <v>0</v>
      </c>
      <c r="AL492" t="b">
        <f>AND(IF(metadata!K492="",FALSE,TRUE),EXACT(metadata!K492,"cm"))</f>
        <v>0</v>
      </c>
      <c r="AM492" t="b">
        <f>AND(IF(metadata!L492="",FALSE,TRUE),EXACT(metadata!L492,"human"))</f>
        <v>0</v>
      </c>
      <c r="AN492" t="b">
        <f>AND(IF(metadata!M492="",FALSE,TRUE),EXACT(metadata!M492,"Homo sapiens"))</f>
        <v>0</v>
      </c>
      <c r="AO492" t="b">
        <f>AND(IF(metadata!N492="",FALSE,TRUE),EXACT(metadata!N492,"9606"))</f>
        <v>0</v>
      </c>
      <c r="AP492" t="b">
        <f>IF(metadata!O492="",FALSE,TRUE)</f>
        <v>0</v>
      </c>
      <c r="AQ492" t="b">
        <f>IF(metadata!P492="",FALSE,TRUE)</f>
        <v>0</v>
      </c>
      <c r="AR492" t="b">
        <f>IF(metadata!Q492="",FALSE,ISNUMBER(VALUE(metadata!Q492)))</f>
        <v>0</v>
      </c>
      <c r="AS492" t="b">
        <f>AND(IF(metadata!R492="",FALSE,TRUE),EXACT(metadata!R492,"kg"))</f>
        <v>0</v>
      </c>
    </row>
    <row r="493" spans="1:45" x14ac:dyDescent="0.2">
      <c r="A493" s="5" t="str">
        <f ca="1">IF(B493=" "," ",HYPERLINK(CONCATENATE("#metadata!",ADDRESS(INDEX($X$2:$X$1001,MATCH(ROWS($V$2:V493),$V$2:$V$1001,0),0),1)),INDEX($AA$2:$AA$1001,MATCH(ROWS($V$2:V493),$V$2:$V$1001,0),0)))</f>
        <v xml:space="preserve"> </v>
      </c>
      <c r="B493" s="4" t="str">
        <f ca="1">IF(OR(INDEX($W$2:$W$1001,MATCH(ROWS($V$2:V493),$V$2:$V$1001,0),1)&gt;=100000,INDEX($AC$1005:$AS$1005,1,MATCH(COLUMNS($AC$1006:AC1006),$AC$1006:$AS$1006,0))&gt;=100000), " ",IF(INDEX($AC$2:$AS$1001,MATCH(ROWS($V$2:V493),$V$2:$V$1001,0),MATCH(COLUMNS($AC$1006:AC1006),$AC$1006:$AS$1006,0)), HYPERLINK("#",""), HYPERLINK(CONCATENATE("#metadata!", ADDRESS(INDEX($X$2:$X$1001,MATCH(ROWS($V$2:V493),$V$2:$V$1001,0),0), INDEX($AC$1004:$AS$1004,1,MATCH(COLUMNS($AC$1006:AC1006),$AC$1006:$AS$1006,0)))),"Fix")))</f>
        <v xml:space="preserve"> </v>
      </c>
      <c r="C493" s="4" t="str">
        <f ca="1">IF(OR(INDEX($W$2:$W$1001,MATCH(ROWS($V$2:V493),$V$2:$V$1001,0),1)&gt;=100000,INDEX($AC$1005:$AS$1005,1,MATCH(COLUMNS($AC$1006:AD1006),$AC$1006:$AS$1006,0))&gt;=100000), " ",IF(INDEX($AC$2:$AS$1001,MATCH(ROWS($V$2:V493),$V$2:$V$1001,0),MATCH(COLUMNS($AC$1006:AD1006),$AC$1006:$AS$1006,0)), HYPERLINK("#",""), HYPERLINK(CONCATENATE("#metadata!", ADDRESS(INDEX($X$2:$X$1001,MATCH(ROWS($V$2:V493),$V$2:$V$1001,0),0), INDEX($AC$1004:$AS$1004,1,MATCH(COLUMNS($AC$1006:AD1006),$AC$1006:$AS$1006,0)))),"Fix")))</f>
        <v xml:space="preserve"> </v>
      </c>
      <c r="D493" s="4" t="str">
        <f ca="1">IF(OR(INDEX($W$2:$W$1001,MATCH(ROWS($V$2:V493),$V$2:$V$1001,0),1)&gt;=100000,INDEX($AC$1005:$AS$1005,1,MATCH(COLUMNS($AC$1006:AE1006),$AC$1006:$AS$1006,0))&gt;=100000), " ",IF(INDEX($AC$2:$AS$1001,MATCH(ROWS($V$2:V493),$V$2:$V$1001,0),MATCH(COLUMNS($AC$1006:AE1006),$AC$1006:$AS$1006,0)), HYPERLINK("#",""), HYPERLINK(CONCATENATE("#metadata!", ADDRESS(INDEX($X$2:$X$1001,MATCH(ROWS($V$2:V493),$V$2:$V$1001,0),0), INDEX($AC$1004:$AS$1004,1,MATCH(COLUMNS($AC$1006:AE1006),$AC$1006:$AS$1006,0)))),"Fix")))</f>
        <v xml:space="preserve"> </v>
      </c>
      <c r="E493" s="4" t="str">
        <f ca="1">IF(OR(INDEX($W$2:$W$1001,MATCH(ROWS($V$2:V493),$V$2:$V$1001,0),1)&gt;=100000,INDEX($AC$1005:$AS$1005,1,MATCH(COLUMNS($AC$1006:AF1006),$AC$1006:$AS$1006,0))&gt;=100000), " ",IF(INDEX($AC$2:$AS$1001,MATCH(ROWS($V$2:V493),$V$2:$V$1001,0),MATCH(COLUMNS($AC$1006:AF1006),$AC$1006:$AS$1006,0)), HYPERLINK("#",""), HYPERLINK(CONCATENATE("#metadata!", ADDRESS(INDEX($X$2:$X$1001,MATCH(ROWS($V$2:V493),$V$2:$V$1001,0),0), INDEX($AC$1004:$AS$1004,1,MATCH(COLUMNS($AC$1006:AF1006),$AC$1006:$AS$1006,0)))),"Fix")))</f>
        <v xml:space="preserve"> </v>
      </c>
      <c r="F493" s="4" t="str">
        <f ca="1">IF(OR(INDEX($W$2:$W$1001,MATCH(ROWS($V$2:V493),$V$2:$V$1001,0),1)&gt;=100000,INDEX($AC$1005:$AS$1005,1,MATCH(COLUMNS($AC$1006:AG1006),$AC$1006:$AS$1006,0))&gt;=100000), " ",IF(INDEX($AC$2:$AS$1001,MATCH(ROWS($V$2:V493),$V$2:$V$1001,0),MATCH(COLUMNS($AC$1006:AG1006),$AC$1006:$AS$1006,0)), HYPERLINK("#",""), HYPERLINK(CONCATENATE("#metadata!", ADDRESS(INDEX($X$2:$X$1001,MATCH(ROWS($V$2:V493),$V$2:$V$1001,0),0), INDEX($AC$1004:$AS$1004,1,MATCH(COLUMNS($AC$1006:AG1006),$AC$1006:$AS$1006,0)))),"Fix")))</f>
        <v xml:space="preserve"> </v>
      </c>
      <c r="G493" s="4" t="str">
        <f ca="1">IF(OR(INDEX($W$2:$W$1001,MATCH(ROWS($V$2:V493),$V$2:$V$1001,0),1)&gt;=100000,INDEX($AC$1005:$AS$1005,1,MATCH(COLUMNS($AC$1006:AH1006),$AC$1006:$AS$1006,0))&gt;=100000), " ",IF(INDEX($AC$2:$AS$1001,MATCH(ROWS($V$2:V493),$V$2:$V$1001,0),MATCH(COLUMNS($AC$1006:AH1006),$AC$1006:$AS$1006,0)), HYPERLINK("#",""), HYPERLINK(CONCATENATE("#metadata!", ADDRESS(INDEX($X$2:$X$1001,MATCH(ROWS($V$2:V493),$V$2:$V$1001,0),0), INDEX($AC$1004:$AS$1004,1,MATCH(COLUMNS($AC$1006:AH1006),$AC$1006:$AS$1006,0)))),"Fix")))</f>
        <v xml:space="preserve"> </v>
      </c>
      <c r="H493" s="4" t="str">
        <f ca="1">IF(OR(INDEX($W$2:$W$1001,MATCH(ROWS($V$2:V493),$V$2:$V$1001,0),1)&gt;=100000,INDEX($AC$1005:$AS$1005,1,MATCH(COLUMNS($AC$1006:AI1006),$AC$1006:$AS$1006,0))&gt;=100000), " ",IF(INDEX($AC$2:$AS$1001,MATCH(ROWS($V$2:V493),$V$2:$V$1001,0),MATCH(COLUMNS($AC$1006:AI1006),$AC$1006:$AS$1006,0)), HYPERLINK("#",""), HYPERLINK(CONCATENATE("#metadata!", ADDRESS(INDEX($X$2:$X$1001,MATCH(ROWS($V$2:V493),$V$2:$V$1001,0),0), INDEX($AC$1004:$AS$1004,1,MATCH(COLUMNS($AC$1006:AI1006),$AC$1006:$AS$1006,0)))),"Fix")))</f>
        <v xml:space="preserve"> </v>
      </c>
      <c r="I493" s="4" t="str">
        <f ca="1">IF(OR(INDEX($W$2:$W$1001,MATCH(ROWS($V$2:V493),$V$2:$V$1001,0),1)&gt;=100000,INDEX($AC$1005:$AS$1005,1,MATCH(COLUMNS($AC$1006:AJ1006),$AC$1006:$AS$1006,0))&gt;=100000), " ",IF(INDEX($AC$2:$AS$1001,MATCH(ROWS($V$2:V493),$V$2:$V$1001,0),MATCH(COLUMNS($AC$1006:AJ1006),$AC$1006:$AS$1006,0)), HYPERLINK("#",""), HYPERLINK(CONCATENATE("#metadata!", ADDRESS(INDEX($X$2:$X$1001,MATCH(ROWS($V$2:V493),$V$2:$V$1001,0),0), INDEX($AC$1004:$AS$1004,1,MATCH(COLUMNS($AC$1006:AJ1006),$AC$1006:$AS$1006,0)))),"Fix")))</f>
        <v xml:space="preserve"> </v>
      </c>
      <c r="J493" s="4" t="str">
        <f ca="1">IF(OR(INDEX($W$2:$W$1001,MATCH(ROWS($V$2:V493),$V$2:$V$1001,0),1)&gt;=100000,INDEX($AC$1005:$AS$1005,1,MATCH(COLUMNS($AC$1006:AK1006),$AC$1006:$AS$1006,0))&gt;=100000), " ",IF(INDEX($AC$2:$AS$1001,MATCH(ROWS($V$2:V493),$V$2:$V$1001,0),MATCH(COLUMNS($AC$1006:AK1006),$AC$1006:$AS$1006,0)), HYPERLINK("#",""), HYPERLINK(CONCATENATE("#metadata!", ADDRESS(INDEX($X$2:$X$1001,MATCH(ROWS($V$2:V493),$V$2:$V$1001,0),0), INDEX($AC$1004:$AS$1004,1,MATCH(COLUMNS($AC$1006:AK1006),$AC$1006:$AS$1006,0)))),"Fix")))</f>
        <v xml:space="preserve"> </v>
      </c>
      <c r="K493" s="4" t="str">
        <f ca="1">IF(OR(INDEX($W$2:$W$1001,MATCH(ROWS($V$2:V493),$V$2:$V$1001,0),1)&gt;=100000,INDEX($AC$1005:$AS$1005,1,MATCH(COLUMNS($AC$1006:AL1006),$AC$1006:$AS$1006,0))&gt;=100000), " ",IF(INDEX($AC$2:$AS$1001,MATCH(ROWS($V$2:V493),$V$2:$V$1001,0),MATCH(COLUMNS($AC$1006:AL1006),$AC$1006:$AS$1006,0)), HYPERLINK("#",""), HYPERLINK(CONCATENATE("#metadata!", ADDRESS(INDEX($X$2:$X$1001,MATCH(ROWS($V$2:V493),$V$2:$V$1001,0),0), INDEX($AC$1004:$AS$1004,1,MATCH(COLUMNS($AC$1006:AL1006),$AC$1006:$AS$1006,0)))),"Fix")))</f>
        <v xml:space="preserve"> </v>
      </c>
      <c r="L493" s="4" t="str">
        <f ca="1">IF(OR(INDEX($W$2:$W$1001,MATCH(ROWS($V$2:V493),$V$2:$V$1001,0),1)&gt;=100000,INDEX($AC$1005:$AS$1005,1,MATCH(COLUMNS($AC$1006:AM1006),$AC$1006:$AS$1006,0))&gt;=100000), " ",IF(INDEX($AC$2:$AS$1001,MATCH(ROWS($V$2:V493),$V$2:$V$1001,0),MATCH(COLUMNS($AC$1006:AM1006),$AC$1006:$AS$1006,0)), HYPERLINK("#",""), HYPERLINK(CONCATENATE("#metadata!", ADDRESS(INDEX($X$2:$X$1001,MATCH(ROWS($V$2:V493),$V$2:$V$1001,0),0), INDEX($AC$1004:$AS$1004,1,MATCH(COLUMNS($AC$1006:AM1006),$AC$1006:$AS$1006,0)))),"Fix")))</f>
        <v xml:space="preserve"> </v>
      </c>
      <c r="M493" s="4" t="str">
        <f ca="1">IF(OR(INDEX($W$2:$W$1001,MATCH(ROWS($V$2:V493),$V$2:$V$1001,0),1)&gt;=100000,INDEX($AC$1005:$AS$1005,1,MATCH(COLUMNS($AC$1006:AN1006),$AC$1006:$AS$1006,0))&gt;=100000), " ",IF(INDEX($AC$2:$AS$1001,MATCH(ROWS($V$2:V493),$V$2:$V$1001,0),MATCH(COLUMNS($AC$1006:AN1006),$AC$1006:$AS$1006,0)), HYPERLINK("#",""), HYPERLINK(CONCATENATE("#metadata!", ADDRESS(INDEX($X$2:$X$1001,MATCH(ROWS($V$2:V493),$V$2:$V$1001,0),0), INDEX($AC$1004:$AS$1004,1,MATCH(COLUMNS($AC$1006:AN1006),$AC$1006:$AS$1006,0)))),"Fix")))</f>
        <v xml:space="preserve"> </v>
      </c>
      <c r="N493" s="4" t="str">
        <f ca="1">IF(OR(INDEX($W$2:$W$1001,MATCH(ROWS($V$2:V493),$V$2:$V$1001,0),1)&gt;=100000,INDEX($AC$1005:$AS$1005,1,MATCH(COLUMNS($AC$1006:AO1006),$AC$1006:$AS$1006,0))&gt;=100000), " ",IF(INDEX($AC$2:$AS$1001,MATCH(ROWS($V$2:V493),$V$2:$V$1001,0),MATCH(COLUMNS($AC$1006:AO1006),$AC$1006:$AS$1006,0)), HYPERLINK("#",""), HYPERLINK(CONCATENATE("#metadata!", ADDRESS(INDEX($X$2:$X$1001,MATCH(ROWS($V$2:V493),$V$2:$V$1001,0),0), INDEX($AC$1004:$AS$1004,1,MATCH(COLUMNS($AC$1006:AO1006),$AC$1006:$AS$1006,0)))),"Fix")))</f>
        <v xml:space="preserve"> </v>
      </c>
      <c r="O493" s="4" t="str">
        <f ca="1">IF(OR(INDEX($W$2:$W$1001,MATCH(ROWS($V$2:V493),$V$2:$V$1001,0),1)&gt;=100000,INDEX($AC$1005:$AS$1005,1,MATCH(COLUMNS($AC$1006:AP1006),$AC$1006:$AS$1006,0))&gt;=100000), " ",IF(INDEX($AC$2:$AS$1001,MATCH(ROWS($V$2:V493),$V$2:$V$1001,0),MATCH(COLUMNS($AC$1006:AP1006),$AC$1006:$AS$1006,0)), HYPERLINK("#",""), HYPERLINK(CONCATENATE("#metadata!", ADDRESS(INDEX($X$2:$X$1001,MATCH(ROWS($V$2:V493),$V$2:$V$1001,0),0), INDEX($AC$1004:$AS$1004,1,MATCH(COLUMNS($AC$1006:AP1006),$AC$1006:$AS$1006,0)))),"Fix")))</f>
        <v xml:space="preserve"> </v>
      </c>
      <c r="P493" s="4" t="str">
        <f ca="1">IF(OR(INDEX($W$2:$W$1001,MATCH(ROWS($V$2:V493),$V$2:$V$1001,0),1)&gt;=100000,INDEX($AC$1005:$AS$1005,1,MATCH(COLUMNS($AC$1006:AQ1006),$AC$1006:$AS$1006,0))&gt;=100000), " ",IF(INDEX($AC$2:$AS$1001,MATCH(ROWS($V$2:V493),$V$2:$V$1001,0),MATCH(COLUMNS($AC$1006:AQ1006),$AC$1006:$AS$1006,0)), HYPERLINK("#",""), HYPERLINK(CONCATENATE("#metadata!", ADDRESS(INDEX($X$2:$X$1001,MATCH(ROWS($V$2:V493),$V$2:$V$1001,0),0), INDEX($AC$1004:$AS$1004,1,MATCH(COLUMNS($AC$1006:AQ1006),$AC$1006:$AS$1006,0)))),"Fix")))</f>
        <v xml:space="preserve"> </v>
      </c>
      <c r="Q493" s="4" t="str">
        <f ca="1">IF(OR(INDEX($W$2:$W$1001,MATCH(ROWS($V$2:V493),$V$2:$V$1001,0),1)&gt;=100000,INDEX($AC$1005:$AS$1005,1,MATCH(COLUMNS($AC$1006:AR1006),$AC$1006:$AS$1006,0))&gt;=100000), " ",IF(INDEX($AC$2:$AS$1001,MATCH(ROWS($V$2:V493),$V$2:$V$1001,0),MATCH(COLUMNS($AC$1006:AR1006),$AC$1006:$AS$1006,0)), HYPERLINK("#",""), HYPERLINK(CONCATENATE("#metadata!", ADDRESS(INDEX($X$2:$X$1001,MATCH(ROWS($V$2:V493),$V$2:$V$1001,0),0), INDEX($AC$1004:$AS$1004,1,MATCH(COLUMNS($AC$1006:AR1006),$AC$1006:$AS$1006,0)))),"Fix")))</f>
        <v xml:space="preserve"> </v>
      </c>
      <c r="R493" s="4" t="str">
        <f ca="1">IF(OR(INDEX($W$2:$W$1001,MATCH(ROWS($V$2:V493),$V$2:$V$1001,0),1)&gt;=100000,INDEX($AC$1005:$AS$1005,1,MATCH(COLUMNS($AC$1006:AS1006),$AC$1006:$AS$1006,0))&gt;=100000), " ",IF(INDEX($AC$2:$AS$1001,MATCH(ROWS($V$2:V493),$V$2:$V$1001,0),MATCH(COLUMNS($AC$1006:AS1006),$AC$1006:$AS$1006,0)), HYPERLINK("#",""), HYPERLINK(CONCATENATE("#metadata!", ADDRESS(INDEX($X$2:$X$1001,MATCH(ROWS($V$2:V493),$V$2:$V$1001,0),0), INDEX($AC$1004:$AS$1004,1,MATCH(COLUMNS($AC$1006:AS1006),$AC$1006:$AS$1006,0)))),"Fix")))</f>
        <v xml:space="preserve"> </v>
      </c>
      <c r="V493">
        <v>492</v>
      </c>
      <c r="W493">
        <v>100493</v>
      </c>
      <c r="X493">
        <v>493</v>
      </c>
      <c r="Y493" t="b">
        <f t="shared" si="7"/>
        <v>1</v>
      </c>
      <c r="Z493" t="b">
        <f>COUNTBLANK(metadata!B493:R493)=COLUMNS(metadata!B493:R493)</f>
        <v>1</v>
      </c>
      <c r="AA493" t="str">
        <v/>
      </c>
      <c r="AC493" t="b">
        <f ca="1"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AD493" t="b">
        <f>IF(metadata!C493="",FALSE,ISNUMBER(VALUE(metadata!C493)))</f>
        <v>0</v>
      </c>
      <c r="AE493" t="b">
        <f>AND(IF(metadata!D493="",FALSE,TRUE),EXACT(metadata!D493,"years"))</f>
        <v>0</v>
      </c>
      <c r="AF493" t="b">
        <f>OR(AND(IF(metadata!E493="",FALSE,TRUE),OR(EXACT(metadata!E493,"not applicable"),EXACT(metadata!E493,"missing: not collected"),EXACT(metadata!E493,"missing: not provided"),EXACT(metadata!E493,"missing: restricted access"))),AND(IF(metadata!E493="",FALSE,ISNUMBER(VALUE(metadata!E493))),metadata!E493&gt;0))</f>
        <v>0</v>
      </c>
      <c r="AG493" t="b">
        <f>AND(IF(metadata!F493="",FALSE,TRUE),EXACT(metadata!F493,"Not applicable"))</f>
        <v>0</v>
      </c>
      <c r="AH493" t="b">
        <f>AND(IF(metadata!G493="",FALSE,TRUE),EXACT(metadata!G493,"urban biome"))</f>
        <v>0</v>
      </c>
      <c r="AI493" t="b">
        <f>AND(IF(metadata!H493="",FALSE,TRUE),EXACT(metadata!H493,"human-associated habitat"))</f>
        <v>0</v>
      </c>
      <c r="AJ493" t="b">
        <f>AND(IF(metadata!I493="",FALSE,TRUE),OR(EXACT(metadata!I493,"human-associated"),EXACT(metadata!I493,"human-skin"),EXACT(metadata!I493,"human-oral"),EXACT(metadata!I493,"human-gut"),EXACT(metadata!I493,"human-vaginal")))</f>
        <v>0</v>
      </c>
      <c r="AK493" t="b">
        <f>IF(metadata!J493="",FALSE,ISNUMBER(VALUE(metadata!J493)))</f>
        <v>0</v>
      </c>
      <c r="AL493" t="b">
        <f>AND(IF(metadata!K493="",FALSE,TRUE),EXACT(metadata!K493,"cm"))</f>
        <v>0</v>
      </c>
      <c r="AM493" t="b">
        <f>AND(IF(metadata!L493="",FALSE,TRUE),EXACT(metadata!L493,"human"))</f>
        <v>0</v>
      </c>
      <c r="AN493" t="b">
        <f>AND(IF(metadata!M493="",FALSE,TRUE),EXACT(metadata!M493,"Homo sapiens"))</f>
        <v>0</v>
      </c>
      <c r="AO493" t="b">
        <f>AND(IF(metadata!N493="",FALSE,TRUE),EXACT(metadata!N493,"9606"))</f>
        <v>0</v>
      </c>
      <c r="AP493" t="b">
        <f>IF(metadata!O493="",FALSE,TRUE)</f>
        <v>0</v>
      </c>
      <c r="AQ493" t="b">
        <f>IF(metadata!P493="",FALSE,TRUE)</f>
        <v>0</v>
      </c>
      <c r="AR493" t="b">
        <f>IF(metadata!Q493="",FALSE,ISNUMBER(VALUE(metadata!Q493)))</f>
        <v>0</v>
      </c>
      <c r="AS493" t="b">
        <f>AND(IF(metadata!R493="",FALSE,TRUE),EXACT(metadata!R493,"kg"))</f>
        <v>0</v>
      </c>
    </row>
    <row r="494" spans="1:45" x14ac:dyDescent="0.2">
      <c r="A494" s="5" t="str">
        <f ca="1">IF(B494=" "," ",HYPERLINK(CONCATENATE("#metadata!",ADDRESS(INDEX($X$2:$X$1001,MATCH(ROWS($V$2:V494),$V$2:$V$1001,0),0),1)),INDEX($AA$2:$AA$1001,MATCH(ROWS($V$2:V494),$V$2:$V$1001,0),0)))</f>
        <v xml:space="preserve"> </v>
      </c>
      <c r="B494" s="4" t="str">
        <f ca="1">IF(OR(INDEX($W$2:$W$1001,MATCH(ROWS($V$2:V494),$V$2:$V$1001,0),1)&gt;=100000,INDEX($AC$1005:$AS$1005,1,MATCH(COLUMNS($AC$1006:AC1006),$AC$1006:$AS$1006,0))&gt;=100000), " ",IF(INDEX($AC$2:$AS$1001,MATCH(ROWS($V$2:V494),$V$2:$V$1001,0),MATCH(COLUMNS($AC$1006:AC1006),$AC$1006:$AS$1006,0)), HYPERLINK("#",""), HYPERLINK(CONCATENATE("#metadata!", ADDRESS(INDEX($X$2:$X$1001,MATCH(ROWS($V$2:V494),$V$2:$V$1001,0),0), INDEX($AC$1004:$AS$1004,1,MATCH(COLUMNS($AC$1006:AC1006),$AC$1006:$AS$1006,0)))),"Fix")))</f>
        <v xml:space="preserve"> </v>
      </c>
      <c r="C494" s="4" t="str">
        <f ca="1">IF(OR(INDEX($W$2:$W$1001,MATCH(ROWS($V$2:V494),$V$2:$V$1001,0),1)&gt;=100000,INDEX($AC$1005:$AS$1005,1,MATCH(COLUMNS($AC$1006:AD1006),$AC$1006:$AS$1006,0))&gt;=100000), " ",IF(INDEX($AC$2:$AS$1001,MATCH(ROWS($V$2:V494),$V$2:$V$1001,0),MATCH(COLUMNS($AC$1006:AD1006),$AC$1006:$AS$1006,0)), HYPERLINK("#",""), HYPERLINK(CONCATENATE("#metadata!", ADDRESS(INDEX($X$2:$X$1001,MATCH(ROWS($V$2:V494),$V$2:$V$1001,0),0), INDEX($AC$1004:$AS$1004,1,MATCH(COLUMNS($AC$1006:AD1006),$AC$1006:$AS$1006,0)))),"Fix")))</f>
        <v xml:space="preserve"> </v>
      </c>
      <c r="D494" s="4" t="str">
        <f ca="1">IF(OR(INDEX($W$2:$W$1001,MATCH(ROWS($V$2:V494),$V$2:$V$1001,0),1)&gt;=100000,INDEX($AC$1005:$AS$1005,1,MATCH(COLUMNS($AC$1006:AE1006),$AC$1006:$AS$1006,0))&gt;=100000), " ",IF(INDEX($AC$2:$AS$1001,MATCH(ROWS($V$2:V494),$V$2:$V$1001,0),MATCH(COLUMNS($AC$1006:AE1006),$AC$1006:$AS$1006,0)), HYPERLINK("#",""), HYPERLINK(CONCATENATE("#metadata!", ADDRESS(INDEX($X$2:$X$1001,MATCH(ROWS($V$2:V494),$V$2:$V$1001,0),0), INDEX($AC$1004:$AS$1004,1,MATCH(COLUMNS($AC$1006:AE1006),$AC$1006:$AS$1006,0)))),"Fix")))</f>
        <v xml:space="preserve"> </v>
      </c>
      <c r="E494" s="4" t="str">
        <f ca="1">IF(OR(INDEX($W$2:$W$1001,MATCH(ROWS($V$2:V494),$V$2:$V$1001,0),1)&gt;=100000,INDEX($AC$1005:$AS$1005,1,MATCH(COLUMNS($AC$1006:AF1006),$AC$1006:$AS$1006,0))&gt;=100000), " ",IF(INDEX($AC$2:$AS$1001,MATCH(ROWS($V$2:V494),$V$2:$V$1001,0),MATCH(COLUMNS($AC$1006:AF1006),$AC$1006:$AS$1006,0)), HYPERLINK("#",""), HYPERLINK(CONCATENATE("#metadata!", ADDRESS(INDEX($X$2:$X$1001,MATCH(ROWS($V$2:V494),$V$2:$V$1001,0),0), INDEX($AC$1004:$AS$1004,1,MATCH(COLUMNS($AC$1006:AF1006),$AC$1006:$AS$1006,0)))),"Fix")))</f>
        <v xml:space="preserve"> </v>
      </c>
      <c r="F494" s="4" t="str">
        <f ca="1">IF(OR(INDEX($W$2:$W$1001,MATCH(ROWS($V$2:V494),$V$2:$V$1001,0),1)&gt;=100000,INDEX($AC$1005:$AS$1005,1,MATCH(COLUMNS($AC$1006:AG1006),$AC$1006:$AS$1006,0))&gt;=100000), " ",IF(INDEX($AC$2:$AS$1001,MATCH(ROWS($V$2:V494),$V$2:$V$1001,0),MATCH(COLUMNS($AC$1006:AG1006),$AC$1006:$AS$1006,0)), HYPERLINK("#",""), HYPERLINK(CONCATENATE("#metadata!", ADDRESS(INDEX($X$2:$X$1001,MATCH(ROWS($V$2:V494),$V$2:$V$1001,0),0), INDEX($AC$1004:$AS$1004,1,MATCH(COLUMNS($AC$1006:AG1006),$AC$1006:$AS$1006,0)))),"Fix")))</f>
        <v xml:space="preserve"> </v>
      </c>
      <c r="G494" s="4" t="str">
        <f ca="1">IF(OR(INDEX($W$2:$W$1001,MATCH(ROWS($V$2:V494),$V$2:$V$1001,0),1)&gt;=100000,INDEX($AC$1005:$AS$1005,1,MATCH(COLUMNS($AC$1006:AH1006),$AC$1006:$AS$1006,0))&gt;=100000), " ",IF(INDEX($AC$2:$AS$1001,MATCH(ROWS($V$2:V494),$V$2:$V$1001,0),MATCH(COLUMNS($AC$1006:AH1006),$AC$1006:$AS$1006,0)), HYPERLINK("#",""), HYPERLINK(CONCATENATE("#metadata!", ADDRESS(INDEX($X$2:$X$1001,MATCH(ROWS($V$2:V494),$V$2:$V$1001,0),0), INDEX($AC$1004:$AS$1004,1,MATCH(COLUMNS($AC$1006:AH1006),$AC$1006:$AS$1006,0)))),"Fix")))</f>
        <v xml:space="preserve"> </v>
      </c>
      <c r="H494" s="4" t="str">
        <f ca="1">IF(OR(INDEX($W$2:$W$1001,MATCH(ROWS($V$2:V494),$V$2:$V$1001,0),1)&gt;=100000,INDEX($AC$1005:$AS$1005,1,MATCH(COLUMNS($AC$1006:AI1006),$AC$1006:$AS$1006,0))&gt;=100000), " ",IF(INDEX($AC$2:$AS$1001,MATCH(ROWS($V$2:V494),$V$2:$V$1001,0),MATCH(COLUMNS($AC$1006:AI1006),$AC$1006:$AS$1006,0)), HYPERLINK("#",""), HYPERLINK(CONCATENATE("#metadata!", ADDRESS(INDEX($X$2:$X$1001,MATCH(ROWS($V$2:V494),$V$2:$V$1001,0),0), INDEX($AC$1004:$AS$1004,1,MATCH(COLUMNS($AC$1006:AI1006),$AC$1006:$AS$1006,0)))),"Fix")))</f>
        <v xml:space="preserve"> </v>
      </c>
      <c r="I494" s="4" t="str">
        <f ca="1">IF(OR(INDEX($W$2:$W$1001,MATCH(ROWS($V$2:V494),$V$2:$V$1001,0),1)&gt;=100000,INDEX($AC$1005:$AS$1005,1,MATCH(COLUMNS($AC$1006:AJ1006),$AC$1006:$AS$1006,0))&gt;=100000), " ",IF(INDEX($AC$2:$AS$1001,MATCH(ROWS($V$2:V494),$V$2:$V$1001,0),MATCH(COLUMNS($AC$1006:AJ1006),$AC$1006:$AS$1006,0)), HYPERLINK("#",""), HYPERLINK(CONCATENATE("#metadata!", ADDRESS(INDEX($X$2:$X$1001,MATCH(ROWS($V$2:V494),$V$2:$V$1001,0),0), INDEX($AC$1004:$AS$1004,1,MATCH(COLUMNS($AC$1006:AJ1006),$AC$1006:$AS$1006,0)))),"Fix")))</f>
        <v xml:space="preserve"> </v>
      </c>
      <c r="J494" s="4" t="str">
        <f ca="1">IF(OR(INDEX($W$2:$W$1001,MATCH(ROWS($V$2:V494),$V$2:$V$1001,0),1)&gt;=100000,INDEX($AC$1005:$AS$1005,1,MATCH(COLUMNS($AC$1006:AK1006),$AC$1006:$AS$1006,0))&gt;=100000), " ",IF(INDEX($AC$2:$AS$1001,MATCH(ROWS($V$2:V494),$V$2:$V$1001,0),MATCH(COLUMNS($AC$1006:AK1006),$AC$1006:$AS$1006,0)), HYPERLINK("#",""), HYPERLINK(CONCATENATE("#metadata!", ADDRESS(INDEX($X$2:$X$1001,MATCH(ROWS($V$2:V494),$V$2:$V$1001,0),0), INDEX($AC$1004:$AS$1004,1,MATCH(COLUMNS($AC$1006:AK1006),$AC$1006:$AS$1006,0)))),"Fix")))</f>
        <v xml:space="preserve"> </v>
      </c>
      <c r="K494" s="4" t="str">
        <f ca="1">IF(OR(INDEX($W$2:$W$1001,MATCH(ROWS($V$2:V494),$V$2:$V$1001,0),1)&gt;=100000,INDEX($AC$1005:$AS$1005,1,MATCH(COLUMNS($AC$1006:AL1006),$AC$1006:$AS$1006,0))&gt;=100000), " ",IF(INDEX($AC$2:$AS$1001,MATCH(ROWS($V$2:V494),$V$2:$V$1001,0),MATCH(COLUMNS($AC$1006:AL1006),$AC$1006:$AS$1006,0)), HYPERLINK("#",""), HYPERLINK(CONCATENATE("#metadata!", ADDRESS(INDEX($X$2:$X$1001,MATCH(ROWS($V$2:V494),$V$2:$V$1001,0),0), INDEX($AC$1004:$AS$1004,1,MATCH(COLUMNS($AC$1006:AL1006),$AC$1006:$AS$1006,0)))),"Fix")))</f>
        <v xml:space="preserve"> </v>
      </c>
      <c r="L494" s="4" t="str">
        <f ca="1">IF(OR(INDEX($W$2:$W$1001,MATCH(ROWS($V$2:V494),$V$2:$V$1001,0),1)&gt;=100000,INDEX($AC$1005:$AS$1005,1,MATCH(COLUMNS($AC$1006:AM1006),$AC$1006:$AS$1006,0))&gt;=100000), " ",IF(INDEX($AC$2:$AS$1001,MATCH(ROWS($V$2:V494),$V$2:$V$1001,0),MATCH(COLUMNS($AC$1006:AM1006),$AC$1006:$AS$1006,0)), HYPERLINK("#",""), HYPERLINK(CONCATENATE("#metadata!", ADDRESS(INDEX($X$2:$X$1001,MATCH(ROWS($V$2:V494),$V$2:$V$1001,0),0), INDEX($AC$1004:$AS$1004,1,MATCH(COLUMNS($AC$1006:AM1006),$AC$1006:$AS$1006,0)))),"Fix")))</f>
        <v xml:space="preserve"> </v>
      </c>
      <c r="M494" s="4" t="str">
        <f ca="1">IF(OR(INDEX($W$2:$W$1001,MATCH(ROWS($V$2:V494),$V$2:$V$1001,0),1)&gt;=100000,INDEX($AC$1005:$AS$1005,1,MATCH(COLUMNS($AC$1006:AN1006),$AC$1006:$AS$1006,0))&gt;=100000), " ",IF(INDEX($AC$2:$AS$1001,MATCH(ROWS($V$2:V494),$V$2:$V$1001,0),MATCH(COLUMNS($AC$1006:AN1006),$AC$1006:$AS$1006,0)), HYPERLINK("#",""), HYPERLINK(CONCATENATE("#metadata!", ADDRESS(INDEX($X$2:$X$1001,MATCH(ROWS($V$2:V494),$V$2:$V$1001,0),0), INDEX($AC$1004:$AS$1004,1,MATCH(COLUMNS($AC$1006:AN1006),$AC$1006:$AS$1006,0)))),"Fix")))</f>
        <v xml:space="preserve"> </v>
      </c>
      <c r="N494" s="4" t="str">
        <f ca="1">IF(OR(INDEX($W$2:$W$1001,MATCH(ROWS($V$2:V494),$V$2:$V$1001,0),1)&gt;=100000,INDEX($AC$1005:$AS$1005,1,MATCH(COLUMNS($AC$1006:AO1006),$AC$1006:$AS$1006,0))&gt;=100000), " ",IF(INDEX($AC$2:$AS$1001,MATCH(ROWS($V$2:V494),$V$2:$V$1001,0),MATCH(COLUMNS($AC$1006:AO1006),$AC$1006:$AS$1006,0)), HYPERLINK("#",""), HYPERLINK(CONCATENATE("#metadata!", ADDRESS(INDEX($X$2:$X$1001,MATCH(ROWS($V$2:V494),$V$2:$V$1001,0),0), INDEX($AC$1004:$AS$1004,1,MATCH(COLUMNS($AC$1006:AO1006),$AC$1006:$AS$1006,0)))),"Fix")))</f>
        <v xml:space="preserve"> </v>
      </c>
      <c r="O494" s="4" t="str">
        <f ca="1">IF(OR(INDEX($W$2:$W$1001,MATCH(ROWS($V$2:V494),$V$2:$V$1001,0),1)&gt;=100000,INDEX($AC$1005:$AS$1005,1,MATCH(COLUMNS($AC$1006:AP1006),$AC$1006:$AS$1006,0))&gt;=100000), " ",IF(INDEX($AC$2:$AS$1001,MATCH(ROWS($V$2:V494),$V$2:$V$1001,0),MATCH(COLUMNS($AC$1006:AP1006),$AC$1006:$AS$1006,0)), HYPERLINK("#",""), HYPERLINK(CONCATENATE("#metadata!", ADDRESS(INDEX($X$2:$X$1001,MATCH(ROWS($V$2:V494),$V$2:$V$1001,0),0), INDEX($AC$1004:$AS$1004,1,MATCH(COLUMNS($AC$1006:AP1006),$AC$1006:$AS$1006,0)))),"Fix")))</f>
        <v xml:space="preserve"> </v>
      </c>
      <c r="P494" s="4" t="str">
        <f ca="1">IF(OR(INDEX($W$2:$W$1001,MATCH(ROWS($V$2:V494),$V$2:$V$1001,0),1)&gt;=100000,INDEX($AC$1005:$AS$1005,1,MATCH(COLUMNS($AC$1006:AQ1006),$AC$1006:$AS$1006,0))&gt;=100000), " ",IF(INDEX($AC$2:$AS$1001,MATCH(ROWS($V$2:V494),$V$2:$V$1001,0),MATCH(COLUMNS($AC$1006:AQ1006),$AC$1006:$AS$1006,0)), HYPERLINK("#",""), HYPERLINK(CONCATENATE("#metadata!", ADDRESS(INDEX($X$2:$X$1001,MATCH(ROWS($V$2:V494),$V$2:$V$1001,0),0), INDEX($AC$1004:$AS$1004,1,MATCH(COLUMNS($AC$1006:AQ1006),$AC$1006:$AS$1006,0)))),"Fix")))</f>
        <v xml:space="preserve"> </v>
      </c>
      <c r="Q494" s="4" t="str">
        <f ca="1">IF(OR(INDEX($W$2:$W$1001,MATCH(ROWS($V$2:V494),$V$2:$V$1001,0),1)&gt;=100000,INDEX($AC$1005:$AS$1005,1,MATCH(COLUMNS($AC$1006:AR1006),$AC$1006:$AS$1006,0))&gt;=100000), " ",IF(INDEX($AC$2:$AS$1001,MATCH(ROWS($V$2:V494),$V$2:$V$1001,0),MATCH(COLUMNS($AC$1006:AR1006),$AC$1006:$AS$1006,0)), HYPERLINK("#",""), HYPERLINK(CONCATENATE("#metadata!", ADDRESS(INDEX($X$2:$X$1001,MATCH(ROWS($V$2:V494),$V$2:$V$1001,0),0), INDEX($AC$1004:$AS$1004,1,MATCH(COLUMNS($AC$1006:AR1006),$AC$1006:$AS$1006,0)))),"Fix")))</f>
        <v xml:space="preserve"> </v>
      </c>
      <c r="R494" s="4" t="str">
        <f ca="1">IF(OR(INDEX($W$2:$W$1001,MATCH(ROWS($V$2:V494),$V$2:$V$1001,0),1)&gt;=100000,INDEX($AC$1005:$AS$1005,1,MATCH(COLUMNS($AC$1006:AS1006),$AC$1006:$AS$1006,0))&gt;=100000), " ",IF(INDEX($AC$2:$AS$1001,MATCH(ROWS($V$2:V494),$V$2:$V$1001,0),MATCH(COLUMNS($AC$1006:AS1006),$AC$1006:$AS$1006,0)), HYPERLINK("#",""), HYPERLINK(CONCATENATE("#metadata!", ADDRESS(INDEX($X$2:$X$1001,MATCH(ROWS($V$2:V494),$V$2:$V$1001,0),0), INDEX($AC$1004:$AS$1004,1,MATCH(COLUMNS($AC$1006:AS1006),$AC$1006:$AS$1006,0)))),"Fix")))</f>
        <v xml:space="preserve"> </v>
      </c>
      <c r="V494">
        <v>493</v>
      </c>
      <c r="W494">
        <v>100494</v>
      </c>
      <c r="X494">
        <v>494</v>
      </c>
      <c r="Y494" t="b">
        <f t="shared" si="7"/>
        <v>1</v>
      </c>
      <c r="Z494" t="b">
        <f>COUNTBLANK(metadata!B494:R494)=COLUMNS(metadata!B494:R494)</f>
        <v>1</v>
      </c>
      <c r="AA494" t="str">
        <v/>
      </c>
      <c r="AC494" t="b">
        <f ca="1"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AD494" t="b">
        <f>IF(metadata!C494="",FALSE,ISNUMBER(VALUE(metadata!C494)))</f>
        <v>0</v>
      </c>
      <c r="AE494" t="b">
        <f>AND(IF(metadata!D494="",FALSE,TRUE),EXACT(metadata!D494,"years"))</f>
        <v>0</v>
      </c>
      <c r="AF494" t="b">
        <f>OR(AND(IF(metadata!E494="",FALSE,TRUE),OR(EXACT(metadata!E494,"not applicable"),EXACT(metadata!E494,"missing: not collected"),EXACT(metadata!E494,"missing: not provided"),EXACT(metadata!E494,"missing: restricted access"))),AND(IF(metadata!E494="",FALSE,ISNUMBER(VALUE(metadata!E494))),metadata!E494&gt;0))</f>
        <v>0</v>
      </c>
      <c r="AG494" t="b">
        <f>AND(IF(metadata!F494="",FALSE,TRUE),EXACT(metadata!F494,"Not applicable"))</f>
        <v>0</v>
      </c>
      <c r="AH494" t="b">
        <f>AND(IF(metadata!G494="",FALSE,TRUE),EXACT(metadata!G494,"urban biome"))</f>
        <v>0</v>
      </c>
      <c r="AI494" t="b">
        <f>AND(IF(metadata!H494="",FALSE,TRUE),EXACT(metadata!H494,"human-associated habitat"))</f>
        <v>0</v>
      </c>
      <c r="AJ494" t="b">
        <f>AND(IF(metadata!I494="",FALSE,TRUE),OR(EXACT(metadata!I494,"human-associated"),EXACT(metadata!I494,"human-skin"),EXACT(metadata!I494,"human-oral"),EXACT(metadata!I494,"human-gut"),EXACT(metadata!I494,"human-vaginal")))</f>
        <v>0</v>
      </c>
      <c r="AK494" t="b">
        <f>IF(metadata!J494="",FALSE,ISNUMBER(VALUE(metadata!J494)))</f>
        <v>0</v>
      </c>
      <c r="AL494" t="b">
        <f>AND(IF(metadata!K494="",FALSE,TRUE),EXACT(metadata!K494,"cm"))</f>
        <v>0</v>
      </c>
      <c r="AM494" t="b">
        <f>AND(IF(metadata!L494="",FALSE,TRUE),EXACT(metadata!L494,"human"))</f>
        <v>0</v>
      </c>
      <c r="AN494" t="b">
        <f>AND(IF(metadata!M494="",FALSE,TRUE),EXACT(metadata!M494,"Homo sapiens"))</f>
        <v>0</v>
      </c>
      <c r="AO494" t="b">
        <f>AND(IF(metadata!N494="",FALSE,TRUE),EXACT(metadata!N494,"9606"))</f>
        <v>0</v>
      </c>
      <c r="AP494" t="b">
        <f>IF(metadata!O494="",FALSE,TRUE)</f>
        <v>0</v>
      </c>
      <c r="AQ494" t="b">
        <f>IF(metadata!P494="",FALSE,TRUE)</f>
        <v>0</v>
      </c>
      <c r="AR494" t="b">
        <f>IF(metadata!Q494="",FALSE,ISNUMBER(VALUE(metadata!Q494)))</f>
        <v>0</v>
      </c>
      <c r="AS494" t="b">
        <f>AND(IF(metadata!R494="",FALSE,TRUE),EXACT(metadata!R494,"kg"))</f>
        <v>0</v>
      </c>
    </row>
    <row r="495" spans="1:45" x14ac:dyDescent="0.2">
      <c r="A495" s="5" t="str">
        <f ca="1">IF(B495=" "," ",HYPERLINK(CONCATENATE("#metadata!",ADDRESS(INDEX($X$2:$X$1001,MATCH(ROWS($V$2:V495),$V$2:$V$1001,0),0),1)),INDEX($AA$2:$AA$1001,MATCH(ROWS($V$2:V495),$V$2:$V$1001,0),0)))</f>
        <v xml:space="preserve"> </v>
      </c>
      <c r="B495" s="4" t="str">
        <f ca="1">IF(OR(INDEX($W$2:$W$1001,MATCH(ROWS($V$2:V495),$V$2:$V$1001,0),1)&gt;=100000,INDEX($AC$1005:$AS$1005,1,MATCH(COLUMNS($AC$1006:AC1006),$AC$1006:$AS$1006,0))&gt;=100000), " ",IF(INDEX($AC$2:$AS$1001,MATCH(ROWS($V$2:V495),$V$2:$V$1001,0),MATCH(COLUMNS($AC$1006:AC1006),$AC$1006:$AS$1006,0)), HYPERLINK("#",""), HYPERLINK(CONCATENATE("#metadata!", ADDRESS(INDEX($X$2:$X$1001,MATCH(ROWS($V$2:V495),$V$2:$V$1001,0),0), INDEX($AC$1004:$AS$1004,1,MATCH(COLUMNS($AC$1006:AC1006),$AC$1006:$AS$1006,0)))),"Fix")))</f>
        <v xml:space="preserve"> </v>
      </c>
      <c r="C495" s="4" t="str">
        <f ca="1">IF(OR(INDEX($W$2:$W$1001,MATCH(ROWS($V$2:V495),$V$2:$V$1001,0),1)&gt;=100000,INDEX($AC$1005:$AS$1005,1,MATCH(COLUMNS($AC$1006:AD1006),$AC$1006:$AS$1006,0))&gt;=100000), " ",IF(INDEX($AC$2:$AS$1001,MATCH(ROWS($V$2:V495),$V$2:$V$1001,0),MATCH(COLUMNS($AC$1006:AD1006),$AC$1006:$AS$1006,0)), HYPERLINK("#",""), HYPERLINK(CONCATENATE("#metadata!", ADDRESS(INDEX($X$2:$X$1001,MATCH(ROWS($V$2:V495),$V$2:$V$1001,0),0), INDEX($AC$1004:$AS$1004,1,MATCH(COLUMNS($AC$1006:AD1006),$AC$1006:$AS$1006,0)))),"Fix")))</f>
        <v xml:space="preserve"> </v>
      </c>
      <c r="D495" s="4" t="str">
        <f ca="1">IF(OR(INDEX($W$2:$W$1001,MATCH(ROWS($V$2:V495),$V$2:$V$1001,0),1)&gt;=100000,INDEX($AC$1005:$AS$1005,1,MATCH(COLUMNS($AC$1006:AE1006),$AC$1006:$AS$1006,0))&gt;=100000), " ",IF(INDEX($AC$2:$AS$1001,MATCH(ROWS($V$2:V495),$V$2:$V$1001,0),MATCH(COLUMNS($AC$1006:AE1006),$AC$1006:$AS$1006,0)), HYPERLINK("#",""), HYPERLINK(CONCATENATE("#metadata!", ADDRESS(INDEX($X$2:$X$1001,MATCH(ROWS($V$2:V495),$V$2:$V$1001,0),0), INDEX($AC$1004:$AS$1004,1,MATCH(COLUMNS($AC$1006:AE1006),$AC$1006:$AS$1006,0)))),"Fix")))</f>
        <v xml:space="preserve"> </v>
      </c>
      <c r="E495" s="4" t="str">
        <f ca="1">IF(OR(INDEX($W$2:$W$1001,MATCH(ROWS($V$2:V495),$V$2:$V$1001,0),1)&gt;=100000,INDEX($AC$1005:$AS$1005,1,MATCH(COLUMNS($AC$1006:AF1006),$AC$1006:$AS$1006,0))&gt;=100000), " ",IF(INDEX($AC$2:$AS$1001,MATCH(ROWS($V$2:V495),$V$2:$V$1001,0),MATCH(COLUMNS($AC$1006:AF1006),$AC$1006:$AS$1006,0)), HYPERLINK("#",""), HYPERLINK(CONCATENATE("#metadata!", ADDRESS(INDEX($X$2:$X$1001,MATCH(ROWS($V$2:V495),$V$2:$V$1001,0),0), INDEX($AC$1004:$AS$1004,1,MATCH(COLUMNS($AC$1006:AF1006),$AC$1006:$AS$1006,0)))),"Fix")))</f>
        <v xml:space="preserve"> </v>
      </c>
      <c r="F495" s="4" t="str">
        <f ca="1">IF(OR(INDEX($W$2:$W$1001,MATCH(ROWS($V$2:V495),$V$2:$V$1001,0),1)&gt;=100000,INDEX($AC$1005:$AS$1005,1,MATCH(COLUMNS($AC$1006:AG1006),$AC$1006:$AS$1006,0))&gt;=100000), " ",IF(INDEX($AC$2:$AS$1001,MATCH(ROWS($V$2:V495),$V$2:$V$1001,0),MATCH(COLUMNS($AC$1006:AG1006),$AC$1006:$AS$1006,0)), HYPERLINK("#",""), HYPERLINK(CONCATENATE("#metadata!", ADDRESS(INDEX($X$2:$X$1001,MATCH(ROWS($V$2:V495),$V$2:$V$1001,0),0), INDEX($AC$1004:$AS$1004,1,MATCH(COLUMNS($AC$1006:AG1006),$AC$1006:$AS$1006,0)))),"Fix")))</f>
        <v xml:space="preserve"> </v>
      </c>
      <c r="G495" s="4" t="str">
        <f ca="1">IF(OR(INDEX($W$2:$W$1001,MATCH(ROWS($V$2:V495),$V$2:$V$1001,0),1)&gt;=100000,INDEX($AC$1005:$AS$1005,1,MATCH(COLUMNS($AC$1006:AH1006),$AC$1006:$AS$1006,0))&gt;=100000), " ",IF(INDEX($AC$2:$AS$1001,MATCH(ROWS($V$2:V495),$V$2:$V$1001,0),MATCH(COLUMNS($AC$1006:AH1006),$AC$1006:$AS$1006,0)), HYPERLINK("#",""), HYPERLINK(CONCATENATE("#metadata!", ADDRESS(INDEX($X$2:$X$1001,MATCH(ROWS($V$2:V495),$V$2:$V$1001,0),0), INDEX($AC$1004:$AS$1004,1,MATCH(COLUMNS($AC$1006:AH1006),$AC$1006:$AS$1006,0)))),"Fix")))</f>
        <v xml:space="preserve"> </v>
      </c>
      <c r="H495" s="4" t="str">
        <f ca="1">IF(OR(INDEX($W$2:$W$1001,MATCH(ROWS($V$2:V495),$V$2:$V$1001,0),1)&gt;=100000,INDEX($AC$1005:$AS$1005,1,MATCH(COLUMNS($AC$1006:AI1006),$AC$1006:$AS$1006,0))&gt;=100000), " ",IF(INDEX($AC$2:$AS$1001,MATCH(ROWS($V$2:V495),$V$2:$V$1001,0),MATCH(COLUMNS($AC$1006:AI1006),$AC$1006:$AS$1006,0)), HYPERLINK("#",""), HYPERLINK(CONCATENATE("#metadata!", ADDRESS(INDEX($X$2:$X$1001,MATCH(ROWS($V$2:V495),$V$2:$V$1001,0),0), INDEX($AC$1004:$AS$1004,1,MATCH(COLUMNS($AC$1006:AI1006),$AC$1006:$AS$1006,0)))),"Fix")))</f>
        <v xml:space="preserve"> </v>
      </c>
      <c r="I495" s="4" t="str">
        <f ca="1">IF(OR(INDEX($W$2:$W$1001,MATCH(ROWS($V$2:V495),$V$2:$V$1001,0),1)&gt;=100000,INDEX($AC$1005:$AS$1005,1,MATCH(COLUMNS($AC$1006:AJ1006),$AC$1006:$AS$1006,0))&gt;=100000), " ",IF(INDEX($AC$2:$AS$1001,MATCH(ROWS($V$2:V495),$V$2:$V$1001,0),MATCH(COLUMNS($AC$1006:AJ1006),$AC$1006:$AS$1006,0)), HYPERLINK("#",""), HYPERLINK(CONCATENATE("#metadata!", ADDRESS(INDEX($X$2:$X$1001,MATCH(ROWS($V$2:V495),$V$2:$V$1001,0),0), INDEX($AC$1004:$AS$1004,1,MATCH(COLUMNS($AC$1006:AJ1006),$AC$1006:$AS$1006,0)))),"Fix")))</f>
        <v xml:space="preserve"> </v>
      </c>
      <c r="J495" s="4" t="str">
        <f ca="1">IF(OR(INDEX($W$2:$W$1001,MATCH(ROWS($V$2:V495),$V$2:$V$1001,0),1)&gt;=100000,INDEX($AC$1005:$AS$1005,1,MATCH(COLUMNS($AC$1006:AK1006),$AC$1006:$AS$1006,0))&gt;=100000), " ",IF(INDEX($AC$2:$AS$1001,MATCH(ROWS($V$2:V495),$V$2:$V$1001,0),MATCH(COLUMNS($AC$1006:AK1006),$AC$1006:$AS$1006,0)), HYPERLINK("#",""), HYPERLINK(CONCATENATE("#metadata!", ADDRESS(INDEX($X$2:$X$1001,MATCH(ROWS($V$2:V495),$V$2:$V$1001,0),0), INDEX($AC$1004:$AS$1004,1,MATCH(COLUMNS($AC$1006:AK1006),$AC$1006:$AS$1006,0)))),"Fix")))</f>
        <v xml:space="preserve"> </v>
      </c>
      <c r="K495" s="4" t="str">
        <f ca="1">IF(OR(INDEX($W$2:$W$1001,MATCH(ROWS($V$2:V495),$V$2:$V$1001,0),1)&gt;=100000,INDEX($AC$1005:$AS$1005,1,MATCH(COLUMNS($AC$1006:AL1006),$AC$1006:$AS$1006,0))&gt;=100000), " ",IF(INDEX($AC$2:$AS$1001,MATCH(ROWS($V$2:V495),$V$2:$V$1001,0),MATCH(COLUMNS($AC$1006:AL1006),$AC$1006:$AS$1006,0)), HYPERLINK("#",""), HYPERLINK(CONCATENATE("#metadata!", ADDRESS(INDEX($X$2:$X$1001,MATCH(ROWS($V$2:V495),$V$2:$V$1001,0),0), INDEX($AC$1004:$AS$1004,1,MATCH(COLUMNS($AC$1006:AL1006),$AC$1006:$AS$1006,0)))),"Fix")))</f>
        <v xml:space="preserve"> </v>
      </c>
      <c r="L495" s="4" t="str">
        <f ca="1">IF(OR(INDEX($W$2:$W$1001,MATCH(ROWS($V$2:V495),$V$2:$V$1001,0),1)&gt;=100000,INDEX($AC$1005:$AS$1005,1,MATCH(COLUMNS($AC$1006:AM1006),$AC$1006:$AS$1006,0))&gt;=100000), " ",IF(INDEX($AC$2:$AS$1001,MATCH(ROWS($V$2:V495),$V$2:$V$1001,0),MATCH(COLUMNS($AC$1006:AM1006),$AC$1006:$AS$1006,0)), HYPERLINK("#",""), HYPERLINK(CONCATENATE("#metadata!", ADDRESS(INDEX($X$2:$X$1001,MATCH(ROWS($V$2:V495),$V$2:$V$1001,0),0), INDEX($AC$1004:$AS$1004,1,MATCH(COLUMNS($AC$1006:AM1006),$AC$1006:$AS$1006,0)))),"Fix")))</f>
        <v xml:space="preserve"> </v>
      </c>
      <c r="M495" s="4" t="str">
        <f ca="1">IF(OR(INDEX($W$2:$W$1001,MATCH(ROWS($V$2:V495),$V$2:$V$1001,0),1)&gt;=100000,INDEX($AC$1005:$AS$1005,1,MATCH(COLUMNS($AC$1006:AN1006),$AC$1006:$AS$1006,0))&gt;=100000), " ",IF(INDEX($AC$2:$AS$1001,MATCH(ROWS($V$2:V495),$V$2:$V$1001,0),MATCH(COLUMNS($AC$1006:AN1006),$AC$1006:$AS$1006,0)), HYPERLINK("#",""), HYPERLINK(CONCATENATE("#metadata!", ADDRESS(INDEX($X$2:$X$1001,MATCH(ROWS($V$2:V495),$V$2:$V$1001,0),0), INDEX($AC$1004:$AS$1004,1,MATCH(COLUMNS($AC$1006:AN1006),$AC$1006:$AS$1006,0)))),"Fix")))</f>
        <v xml:space="preserve"> </v>
      </c>
      <c r="N495" s="4" t="str">
        <f ca="1">IF(OR(INDEX($W$2:$W$1001,MATCH(ROWS($V$2:V495),$V$2:$V$1001,0),1)&gt;=100000,INDEX($AC$1005:$AS$1005,1,MATCH(COLUMNS($AC$1006:AO1006),$AC$1006:$AS$1006,0))&gt;=100000), " ",IF(INDEX($AC$2:$AS$1001,MATCH(ROWS($V$2:V495),$V$2:$V$1001,0),MATCH(COLUMNS($AC$1006:AO1006),$AC$1006:$AS$1006,0)), HYPERLINK("#",""), HYPERLINK(CONCATENATE("#metadata!", ADDRESS(INDEX($X$2:$X$1001,MATCH(ROWS($V$2:V495),$V$2:$V$1001,0),0), INDEX($AC$1004:$AS$1004,1,MATCH(COLUMNS($AC$1006:AO1006),$AC$1006:$AS$1006,0)))),"Fix")))</f>
        <v xml:space="preserve"> </v>
      </c>
      <c r="O495" s="4" t="str">
        <f ca="1">IF(OR(INDEX($W$2:$W$1001,MATCH(ROWS($V$2:V495),$V$2:$V$1001,0),1)&gt;=100000,INDEX($AC$1005:$AS$1005,1,MATCH(COLUMNS($AC$1006:AP1006),$AC$1006:$AS$1006,0))&gt;=100000), " ",IF(INDEX($AC$2:$AS$1001,MATCH(ROWS($V$2:V495),$V$2:$V$1001,0),MATCH(COLUMNS($AC$1006:AP1006),$AC$1006:$AS$1006,0)), HYPERLINK("#",""), HYPERLINK(CONCATENATE("#metadata!", ADDRESS(INDEX($X$2:$X$1001,MATCH(ROWS($V$2:V495),$V$2:$V$1001,0),0), INDEX($AC$1004:$AS$1004,1,MATCH(COLUMNS($AC$1006:AP1006),$AC$1006:$AS$1006,0)))),"Fix")))</f>
        <v xml:space="preserve"> </v>
      </c>
      <c r="P495" s="4" t="str">
        <f ca="1">IF(OR(INDEX($W$2:$W$1001,MATCH(ROWS($V$2:V495),$V$2:$V$1001,0),1)&gt;=100000,INDEX($AC$1005:$AS$1005,1,MATCH(COLUMNS($AC$1006:AQ1006),$AC$1006:$AS$1006,0))&gt;=100000), " ",IF(INDEX($AC$2:$AS$1001,MATCH(ROWS($V$2:V495),$V$2:$V$1001,0),MATCH(COLUMNS($AC$1006:AQ1006),$AC$1006:$AS$1006,0)), HYPERLINK("#",""), HYPERLINK(CONCATENATE("#metadata!", ADDRESS(INDEX($X$2:$X$1001,MATCH(ROWS($V$2:V495),$V$2:$V$1001,0),0), INDEX($AC$1004:$AS$1004,1,MATCH(COLUMNS($AC$1006:AQ1006),$AC$1006:$AS$1006,0)))),"Fix")))</f>
        <v xml:space="preserve"> </v>
      </c>
      <c r="Q495" s="4" t="str">
        <f ca="1">IF(OR(INDEX($W$2:$W$1001,MATCH(ROWS($V$2:V495),$V$2:$V$1001,0),1)&gt;=100000,INDEX($AC$1005:$AS$1005,1,MATCH(COLUMNS($AC$1006:AR1006),$AC$1006:$AS$1006,0))&gt;=100000), " ",IF(INDEX($AC$2:$AS$1001,MATCH(ROWS($V$2:V495),$V$2:$V$1001,0),MATCH(COLUMNS($AC$1006:AR1006),$AC$1006:$AS$1006,0)), HYPERLINK("#",""), HYPERLINK(CONCATENATE("#metadata!", ADDRESS(INDEX($X$2:$X$1001,MATCH(ROWS($V$2:V495),$V$2:$V$1001,0),0), INDEX($AC$1004:$AS$1004,1,MATCH(COLUMNS($AC$1006:AR1006),$AC$1006:$AS$1006,0)))),"Fix")))</f>
        <v xml:space="preserve"> </v>
      </c>
      <c r="R495" s="4" t="str">
        <f ca="1">IF(OR(INDEX($W$2:$W$1001,MATCH(ROWS($V$2:V495),$V$2:$V$1001,0),1)&gt;=100000,INDEX($AC$1005:$AS$1005,1,MATCH(COLUMNS($AC$1006:AS1006),$AC$1006:$AS$1006,0))&gt;=100000), " ",IF(INDEX($AC$2:$AS$1001,MATCH(ROWS($V$2:V495),$V$2:$V$1001,0),MATCH(COLUMNS($AC$1006:AS1006),$AC$1006:$AS$1006,0)), HYPERLINK("#",""), HYPERLINK(CONCATENATE("#metadata!", ADDRESS(INDEX($X$2:$X$1001,MATCH(ROWS($V$2:V495),$V$2:$V$1001,0),0), INDEX($AC$1004:$AS$1004,1,MATCH(COLUMNS($AC$1006:AS1006),$AC$1006:$AS$1006,0)))),"Fix")))</f>
        <v xml:space="preserve"> </v>
      </c>
      <c r="V495">
        <v>494</v>
      </c>
      <c r="W495">
        <v>100495</v>
      </c>
      <c r="X495">
        <v>495</v>
      </c>
      <c r="Y495" t="b">
        <f t="shared" si="7"/>
        <v>1</v>
      </c>
      <c r="Z495" t="b">
        <f>COUNTBLANK(metadata!B495:R495)=COLUMNS(metadata!B495:R495)</f>
        <v>1</v>
      </c>
      <c r="AA495" t="str">
        <v/>
      </c>
      <c r="AC495" t="b">
        <f ca="1"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AD495" t="b">
        <f>IF(metadata!C495="",FALSE,ISNUMBER(VALUE(metadata!C495)))</f>
        <v>0</v>
      </c>
      <c r="AE495" t="b">
        <f>AND(IF(metadata!D495="",FALSE,TRUE),EXACT(metadata!D495,"years"))</f>
        <v>0</v>
      </c>
      <c r="AF495" t="b">
        <f>OR(AND(IF(metadata!E495="",FALSE,TRUE),OR(EXACT(metadata!E495,"not applicable"),EXACT(metadata!E495,"missing: not collected"),EXACT(metadata!E495,"missing: not provided"),EXACT(metadata!E495,"missing: restricted access"))),AND(IF(metadata!E495="",FALSE,ISNUMBER(VALUE(metadata!E495))),metadata!E495&gt;0))</f>
        <v>0</v>
      </c>
      <c r="AG495" t="b">
        <f>AND(IF(metadata!F495="",FALSE,TRUE),EXACT(metadata!F495,"Not applicable"))</f>
        <v>0</v>
      </c>
      <c r="AH495" t="b">
        <f>AND(IF(metadata!G495="",FALSE,TRUE),EXACT(metadata!G495,"urban biome"))</f>
        <v>0</v>
      </c>
      <c r="AI495" t="b">
        <f>AND(IF(metadata!H495="",FALSE,TRUE),EXACT(metadata!H495,"human-associated habitat"))</f>
        <v>0</v>
      </c>
      <c r="AJ495" t="b">
        <f>AND(IF(metadata!I495="",FALSE,TRUE),OR(EXACT(metadata!I495,"human-associated"),EXACT(metadata!I495,"human-skin"),EXACT(metadata!I495,"human-oral"),EXACT(metadata!I495,"human-gut"),EXACT(metadata!I495,"human-vaginal")))</f>
        <v>0</v>
      </c>
      <c r="AK495" t="b">
        <f>IF(metadata!J495="",FALSE,ISNUMBER(VALUE(metadata!J495)))</f>
        <v>0</v>
      </c>
      <c r="AL495" t="b">
        <f>AND(IF(metadata!K495="",FALSE,TRUE),EXACT(metadata!K495,"cm"))</f>
        <v>0</v>
      </c>
      <c r="AM495" t="b">
        <f>AND(IF(metadata!L495="",FALSE,TRUE),EXACT(metadata!L495,"human"))</f>
        <v>0</v>
      </c>
      <c r="AN495" t="b">
        <f>AND(IF(metadata!M495="",FALSE,TRUE),EXACT(metadata!M495,"Homo sapiens"))</f>
        <v>0</v>
      </c>
      <c r="AO495" t="b">
        <f>AND(IF(metadata!N495="",FALSE,TRUE),EXACT(metadata!N495,"9606"))</f>
        <v>0</v>
      </c>
      <c r="AP495" t="b">
        <f>IF(metadata!O495="",FALSE,TRUE)</f>
        <v>0</v>
      </c>
      <c r="AQ495" t="b">
        <f>IF(metadata!P495="",FALSE,TRUE)</f>
        <v>0</v>
      </c>
      <c r="AR495" t="b">
        <f>IF(metadata!Q495="",FALSE,ISNUMBER(VALUE(metadata!Q495)))</f>
        <v>0</v>
      </c>
      <c r="AS495" t="b">
        <f>AND(IF(metadata!R495="",FALSE,TRUE),EXACT(metadata!R495,"kg"))</f>
        <v>0</v>
      </c>
    </row>
    <row r="496" spans="1:45" x14ac:dyDescent="0.2">
      <c r="A496" s="5" t="str">
        <f ca="1">IF(B496=" "," ",HYPERLINK(CONCATENATE("#metadata!",ADDRESS(INDEX($X$2:$X$1001,MATCH(ROWS($V$2:V496),$V$2:$V$1001,0),0),1)),INDEX($AA$2:$AA$1001,MATCH(ROWS($V$2:V496),$V$2:$V$1001,0),0)))</f>
        <v xml:space="preserve"> </v>
      </c>
      <c r="B496" s="4" t="str">
        <f ca="1">IF(OR(INDEX($W$2:$W$1001,MATCH(ROWS($V$2:V496),$V$2:$V$1001,0),1)&gt;=100000,INDEX($AC$1005:$AS$1005,1,MATCH(COLUMNS($AC$1006:AC1006),$AC$1006:$AS$1006,0))&gt;=100000), " ",IF(INDEX($AC$2:$AS$1001,MATCH(ROWS($V$2:V496),$V$2:$V$1001,0),MATCH(COLUMNS($AC$1006:AC1006),$AC$1006:$AS$1006,0)), HYPERLINK("#",""), HYPERLINK(CONCATENATE("#metadata!", ADDRESS(INDEX($X$2:$X$1001,MATCH(ROWS($V$2:V496),$V$2:$V$1001,0),0), INDEX($AC$1004:$AS$1004,1,MATCH(COLUMNS($AC$1006:AC1006),$AC$1006:$AS$1006,0)))),"Fix")))</f>
        <v xml:space="preserve"> </v>
      </c>
      <c r="C496" s="4" t="str">
        <f ca="1">IF(OR(INDEX($W$2:$W$1001,MATCH(ROWS($V$2:V496),$V$2:$V$1001,0),1)&gt;=100000,INDEX($AC$1005:$AS$1005,1,MATCH(COLUMNS($AC$1006:AD1006),$AC$1006:$AS$1006,0))&gt;=100000), " ",IF(INDEX($AC$2:$AS$1001,MATCH(ROWS($V$2:V496),$V$2:$V$1001,0),MATCH(COLUMNS($AC$1006:AD1006),$AC$1006:$AS$1006,0)), HYPERLINK("#",""), HYPERLINK(CONCATENATE("#metadata!", ADDRESS(INDEX($X$2:$X$1001,MATCH(ROWS($V$2:V496),$V$2:$V$1001,0),0), INDEX($AC$1004:$AS$1004,1,MATCH(COLUMNS($AC$1006:AD1006),$AC$1006:$AS$1006,0)))),"Fix")))</f>
        <v xml:space="preserve"> </v>
      </c>
      <c r="D496" s="4" t="str">
        <f ca="1">IF(OR(INDEX($W$2:$W$1001,MATCH(ROWS($V$2:V496),$V$2:$V$1001,0),1)&gt;=100000,INDEX($AC$1005:$AS$1005,1,MATCH(COLUMNS($AC$1006:AE1006),$AC$1006:$AS$1006,0))&gt;=100000), " ",IF(INDEX($AC$2:$AS$1001,MATCH(ROWS($V$2:V496),$V$2:$V$1001,0),MATCH(COLUMNS($AC$1006:AE1006),$AC$1006:$AS$1006,0)), HYPERLINK("#",""), HYPERLINK(CONCATENATE("#metadata!", ADDRESS(INDEX($X$2:$X$1001,MATCH(ROWS($V$2:V496),$V$2:$V$1001,0),0), INDEX($AC$1004:$AS$1004,1,MATCH(COLUMNS($AC$1006:AE1006),$AC$1006:$AS$1006,0)))),"Fix")))</f>
        <v xml:space="preserve"> </v>
      </c>
      <c r="E496" s="4" t="str">
        <f ca="1">IF(OR(INDEX($W$2:$W$1001,MATCH(ROWS($V$2:V496),$V$2:$V$1001,0),1)&gt;=100000,INDEX($AC$1005:$AS$1005,1,MATCH(COLUMNS($AC$1006:AF1006),$AC$1006:$AS$1006,0))&gt;=100000), " ",IF(INDEX($AC$2:$AS$1001,MATCH(ROWS($V$2:V496),$V$2:$V$1001,0),MATCH(COLUMNS($AC$1006:AF1006),$AC$1006:$AS$1006,0)), HYPERLINK("#",""), HYPERLINK(CONCATENATE("#metadata!", ADDRESS(INDEX($X$2:$X$1001,MATCH(ROWS($V$2:V496),$V$2:$V$1001,0),0), INDEX($AC$1004:$AS$1004,1,MATCH(COLUMNS($AC$1006:AF1006),$AC$1006:$AS$1006,0)))),"Fix")))</f>
        <v xml:space="preserve"> </v>
      </c>
      <c r="F496" s="4" t="str">
        <f ca="1">IF(OR(INDEX($W$2:$W$1001,MATCH(ROWS($V$2:V496),$V$2:$V$1001,0),1)&gt;=100000,INDEX($AC$1005:$AS$1005,1,MATCH(COLUMNS($AC$1006:AG1006),$AC$1006:$AS$1006,0))&gt;=100000), " ",IF(INDEX($AC$2:$AS$1001,MATCH(ROWS($V$2:V496),$V$2:$V$1001,0),MATCH(COLUMNS($AC$1006:AG1006),$AC$1006:$AS$1006,0)), HYPERLINK("#",""), HYPERLINK(CONCATENATE("#metadata!", ADDRESS(INDEX($X$2:$X$1001,MATCH(ROWS($V$2:V496),$V$2:$V$1001,0),0), INDEX($AC$1004:$AS$1004,1,MATCH(COLUMNS($AC$1006:AG1006),$AC$1006:$AS$1006,0)))),"Fix")))</f>
        <v xml:space="preserve"> </v>
      </c>
      <c r="G496" s="4" t="str">
        <f ca="1">IF(OR(INDEX($W$2:$W$1001,MATCH(ROWS($V$2:V496),$V$2:$V$1001,0),1)&gt;=100000,INDEX($AC$1005:$AS$1005,1,MATCH(COLUMNS($AC$1006:AH1006),$AC$1006:$AS$1006,0))&gt;=100000), " ",IF(INDEX($AC$2:$AS$1001,MATCH(ROWS($V$2:V496),$V$2:$V$1001,0),MATCH(COLUMNS($AC$1006:AH1006),$AC$1006:$AS$1006,0)), HYPERLINK("#",""), HYPERLINK(CONCATENATE("#metadata!", ADDRESS(INDEX($X$2:$X$1001,MATCH(ROWS($V$2:V496),$V$2:$V$1001,0),0), INDEX($AC$1004:$AS$1004,1,MATCH(COLUMNS($AC$1006:AH1006),$AC$1006:$AS$1006,0)))),"Fix")))</f>
        <v xml:space="preserve"> </v>
      </c>
      <c r="H496" s="4" t="str">
        <f ca="1">IF(OR(INDEX($W$2:$W$1001,MATCH(ROWS($V$2:V496),$V$2:$V$1001,0),1)&gt;=100000,INDEX($AC$1005:$AS$1005,1,MATCH(COLUMNS($AC$1006:AI1006),$AC$1006:$AS$1006,0))&gt;=100000), " ",IF(INDEX($AC$2:$AS$1001,MATCH(ROWS($V$2:V496),$V$2:$V$1001,0),MATCH(COLUMNS($AC$1006:AI1006),$AC$1006:$AS$1006,0)), HYPERLINK("#",""), HYPERLINK(CONCATENATE("#metadata!", ADDRESS(INDEX($X$2:$X$1001,MATCH(ROWS($V$2:V496),$V$2:$V$1001,0),0), INDEX($AC$1004:$AS$1004,1,MATCH(COLUMNS($AC$1006:AI1006),$AC$1006:$AS$1006,0)))),"Fix")))</f>
        <v xml:space="preserve"> </v>
      </c>
      <c r="I496" s="4" t="str">
        <f ca="1">IF(OR(INDEX($W$2:$W$1001,MATCH(ROWS($V$2:V496),$V$2:$V$1001,0),1)&gt;=100000,INDEX($AC$1005:$AS$1005,1,MATCH(COLUMNS($AC$1006:AJ1006),$AC$1006:$AS$1006,0))&gt;=100000), " ",IF(INDEX($AC$2:$AS$1001,MATCH(ROWS($V$2:V496),$V$2:$V$1001,0),MATCH(COLUMNS($AC$1006:AJ1006),$AC$1006:$AS$1006,0)), HYPERLINK("#",""), HYPERLINK(CONCATENATE("#metadata!", ADDRESS(INDEX($X$2:$X$1001,MATCH(ROWS($V$2:V496),$V$2:$V$1001,0),0), INDEX($AC$1004:$AS$1004,1,MATCH(COLUMNS($AC$1006:AJ1006),$AC$1006:$AS$1006,0)))),"Fix")))</f>
        <v xml:space="preserve"> </v>
      </c>
      <c r="J496" s="4" t="str">
        <f ca="1">IF(OR(INDEX($W$2:$W$1001,MATCH(ROWS($V$2:V496),$V$2:$V$1001,0),1)&gt;=100000,INDEX($AC$1005:$AS$1005,1,MATCH(COLUMNS($AC$1006:AK1006),$AC$1006:$AS$1006,0))&gt;=100000), " ",IF(INDEX($AC$2:$AS$1001,MATCH(ROWS($V$2:V496),$V$2:$V$1001,0),MATCH(COLUMNS($AC$1006:AK1006),$AC$1006:$AS$1006,0)), HYPERLINK("#",""), HYPERLINK(CONCATENATE("#metadata!", ADDRESS(INDEX($X$2:$X$1001,MATCH(ROWS($V$2:V496),$V$2:$V$1001,0),0), INDEX($AC$1004:$AS$1004,1,MATCH(COLUMNS($AC$1006:AK1006),$AC$1006:$AS$1006,0)))),"Fix")))</f>
        <v xml:space="preserve"> </v>
      </c>
      <c r="K496" s="4" t="str">
        <f ca="1">IF(OR(INDEX($W$2:$W$1001,MATCH(ROWS($V$2:V496),$V$2:$V$1001,0),1)&gt;=100000,INDEX($AC$1005:$AS$1005,1,MATCH(COLUMNS($AC$1006:AL1006),$AC$1006:$AS$1006,0))&gt;=100000), " ",IF(INDEX($AC$2:$AS$1001,MATCH(ROWS($V$2:V496),$V$2:$V$1001,0),MATCH(COLUMNS($AC$1006:AL1006),$AC$1006:$AS$1006,0)), HYPERLINK("#",""), HYPERLINK(CONCATENATE("#metadata!", ADDRESS(INDEX($X$2:$X$1001,MATCH(ROWS($V$2:V496),$V$2:$V$1001,0),0), INDEX($AC$1004:$AS$1004,1,MATCH(COLUMNS($AC$1006:AL1006),$AC$1006:$AS$1006,0)))),"Fix")))</f>
        <v xml:space="preserve"> </v>
      </c>
      <c r="L496" s="4" t="str">
        <f ca="1">IF(OR(INDEX($W$2:$W$1001,MATCH(ROWS($V$2:V496),$V$2:$V$1001,0),1)&gt;=100000,INDEX($AC$1005:$AS$1005,1,MATCH(COLUMNS($AC$1006:AM1006),$AC$1006:$AS$1006,0))&gt;=100000), " ",IF(INDEX($AC$2:$AS$1001,MATCH(ROWS($V$2:V496),$V$2:$V$1001,0),MATCH(COLUMNS($AC$1006:AM1006),$AC$1006:$AS$1006,0)), HYPERLINK("#",""), HYPERLINK(CONCATENATE("#metadata!", ADDRESS(INDEX($X$2:$X$1001,MATCH(ROWS($V$2:V496),$V$2:$V$1001,0),0), INDEX($AC$1004:$AS$1004,1,MATCH(COLUMNS($AC$1006:AM1006),$AC$1006:$AS$1006,0)))),"Fix")))</f>
        <v xml:space="preserve"> </v>
      </c>
      <c r="M496" s="4" t="str">
        <f ca="1">IF(OR(INDEX($W$2:$W$1001,MATCH(ROWS($V$2:V496),$V$2:$V$1001,0),1)&gt;=100000,INDEX($AC$1005:$AS$1005,1,MATCH(COLUMNS($AC$1006:AN1006),$AC$1006:$AS$1006,0))&gt;=100000), " ",IF(INDEX($AC$2:$AS$1001,MATCH(ROWS($V$2:V496),$V$2:$V$1001,0),MATCH(COLUMNS($AC$1006:AN1006),$AC$1006:$AS$1006,0)), HYPERLINK("#",""), HYPERLINK(CONCATENATE("#metadata!", ADDRESS(INDEX($X$2:$X$1001,MATCH(ROWS($V$2:V496),$V$2:$V$1001,0),0), INDEX($AC$1004:$AS$1004,1,MATCH(COLUMNS($AC$1006:AN1006),$AC$1006:$AS$1006,0)))),"Fix")))</f>
        <v xml:space="preserve"> </v>
      </c>
      <c r="N496" s="4" t="str">
        <f ca="1">IF(OR(INDEX($W$2:$W$1001,MATCH(ROWS($V$2:V496),$V$2:$V$1001,0),1)&gt;=100000,INDEX($AC$1005:$AS$1005,1,MATCH(COLUMNS($AC$1006:AO1006),$AC$1006:$AS$1006,0))&gt;=100000), " ",IF(INDEX($AC$2:$AS$1001,MATCH(ROWS($V$2:V496),$V$2:$V$1001,0),MATCH(COLUMNS($AC$1006:AO1006),$AC$1006:$AS$1006,0)), HYPERLINK("#",""), HYPERLINK(CONCATENATE("#metadata!", ADDRESS(INDEX($X$2:$X$1001,MATCH(ROWS($V$2:V496),$V$2:$V$1001,0),0), INDEX($AC$1004:$AS$1004,1,MATCH(COLUMNS($AC$1006:AO1006),$AC$1006:$AS$1006,0)))),"Fix")))</f>
        <v xml:space="preserve"> </v>
      </c>
      <c r="O496" s="4" t="str">
        <f ca="1">IF(OR(INDEX($W$2:$W$1001,MATCH(ROWS($V$2:V496),$V$2:$V$1001,0),1)&gt;=100000,INDEX($AC$1005:$AS$1005,1,MATCH(COLUMNS($AC$1006:AP1006),$AC$1006:$AS$1006,0))&gt;=100000), " ",IF(INDEX($AC$2:$AS$1001,MATCH(ROWS($V$2:V496),$V$2:$V$1001,0),MATCH(COLUMNS($AC$1006:AP1006),$AC$1006:$AS$1006,0)), HYPERLINK("#",""), HYPERLINK(CONCATENATE("#metadata!", ADDRESS(INDEX($X$2:$X$1001,MATCH(ROWS($V$2:V496),$V$2:$V$1001,0),0), INDEX($AC$1004:$AS$1004,1,MATCH(COLUMNS($AC$1006:AP1006),$AC$1006:$AS$1006,0)))),"Fix")))</f>
        <v xml:space="preserve"> </v>
      </c>
      <c r="P496" s="4" t="str">
        <f ca="1">IF(OR(INDEX($W$2:$W$1001,MATCH(ROWS($V$2:V496),$V$2:$V$1001,0),1)&gt;=100000,INDEX($AC$1005:$AS$1005,1,MATCH(COLUMNS($AC$1006:AQ1006),$AC$1006:$AS$1006,0))&gt;=100000), " ",IF(INDEX($AC$2:$AS$1001,MATCH(ROWS($V$2:V496),$V$2:$V$1001,0),MATCH(COLUMNS($AC$1006:AQ1006),$AC$1006:$AS$1006,0)), HYPERLINK("#",""), HYPERLINK(CONCATENATE("#metadata!", ADDRESS(INDEX($X$2:$X$1001,MATCH(ROWS($V$2:V496),$V$2:$V$1001,0),0), INDEX($AC$1004:$AS$1004,1,MATCH(COLUMNS($AC$1006:AQ1006),$AC$1006:$AS$1006,0)))),"Fix")))</f>
        <v xml:space="preserve"> </v>
      </c>
      <c r="Q496" s="4" t="str">
        <f ca="1">IF(OR(INDEX($W$2:$W$1001,MATCH(ROWS($V$2:V496),$V$2:$V$1001,0),1)&gt;=100000,INDEX($AC$1005:$AS$1005,1,MATCH(COLUMNS($AC$1006:AR1006),$AC$1006:$AS$1006,0))&gt;=100000), " ",IF(INDEX($AC$2:$AS$1001,MATCH(ROWS($V$2:V496),$V$2:$V$1001,0),MATCH(COLUMNS($AC$1006:AR1006),$AC$1006:$AS$1006,0)), HYPERLINK("#",""), HYPERLINK(CONCATENATE("#metadata!", ADDRESS(INDEX($X$2:$X$1001,MATCH(ROWS($V$2:V496),$V$2:$V$1001,0),0), INDEX($AC$1004:$AS$1004,1,MATCH(COLUMNS($AC$1006:AR1006),$AC$1006:$AS$1006,0)))),"Fix")))</f>
        <v xml:space="preserve"> </v>
      </c>
      <c r="R496" s="4" t="str">
        <f ca="1">IF(OR(INDEX($W$2:$W$1001,MATCH(ROWS($V$2:V496),$V$2:$V$1001,0),1)&gt;=100000,INDEX($AC$1005:$AS$1005,1,MATCH(COLUMNS($AC$1006:AS1006),$AC$1006:$AS$1006,0))&gt;=100000), " ",IF(INDEX($AC$2:$AS$1001,MATCH(ROWS($V$2:V496),$V$2:$V$1001,0),MATCH(COLUMNS($AC$1006:AS1006),$AC$1006:$AS$1006,0)), HYPERLINK("#",""), HYPERLINK(CONCATENATE("#metadata!", ADDRESS(INDEX($X$2:$X$1001,MATCH(ROWS($V$2:V496),$V$2:$V$1001,0),0), INDEX($AC$1004:$AS$1004,1,MATCH(COLUMNS($AC$1006:AS1006),$AC$1006:$AS$1006,0)))),"Fix")))</f>
        <v xml:space="preserve"> </v>
      </c>
      <c r="V496">
        <v>495</v>
      </c>
      <c r="W496">
        <v>100496</v>
      </c>
      <c r="X496">
        <v>496</v>
      </c>
      <c r="Y496" t="b">
        <f t="shared" si="7"/>
        <v>1</v>
      </c>
      <c r="Z496" t="b">
        <f>COUNTBLANK(metadata!B496:R496)=COLUMNS(metadata!B496:R496)</f>
        <v>1</v>
      </c>
      <c r="AA496" t="str">
        <v/>
      </c>
      <c r="AC496" t="b">
        <f ca="1"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AD496" t="b">
        <f>IF(metadata!C496="",FALSE,ISNUMBER(VALUE(metadata!C496)))</f>
        <v>0</v>
      </c>
      <c r="AE496" t="b">
        <f>AND(IF(metadata!D496="",FALSE,TRUE),EXACT(metadata!D496,"years"))</f>
        <v>0</v>
      </c>
      <c r="AF496" t="b">
        <f>OR(AND(IF(metadata!E496="",FALSE,TRUE),OR(EXACT(metadata!E496,"not applicable"),EXACT(metadata!E496,"missing: not collected"),EXACT(metadata!E496,"missing: not provided"),EXACT(metadata!E496,"missing: restricted access"))),AND(IF(metadata!E496="",FALSE,ISNUMBER(VALUE(metadata!E496))),metadata!E496&gt;0))</f>
        <v>0</v>
      </c>
      <c r="AG496" t="b">
        <f>AND(IF(metadata!F496="",FALSE,TRUE),EXACT(metadata!F496,"Not applicable"))</f>
        <v>0</v>
      </c>
      <c r="AH496" t="b">
        <f>AND(IF(metadata!G496="",FALSE,TRUE),EXACT(metadata!G496,"urban biome"))</f>
        <v>0</v>
      </c>
      <c r="AI496" t="b">
        <f>AND(IF(metadata!H496="",FALSE,TRUE),EXACT(metadata!H496,"human-associated habitat"))</f>
        <v>0</v>
      </c>
      <c r="AJ496" t="b">
        <f>AND(IF(metadata!I496="",FALSE,TRUE),OR(EXACT(metadata!I496,"human-associated"),EXACT(metadata!I496,"human-skin"),EXACT(metadata!I496,"human-oral"),EXACT(metadata!I496,"human-gut"),EXACT(metadata!I496,"human-vaginal")))</f>
        <v>0</v>
      </c>
      <c r="AK496" t="b">
        <f>IF(metadata!J496="",FALSE,ISNUMBER(VALUE(metadata!J496)))</f>
        <v>0</v>
      </c>
      <c r="AL496" t="b">
        <f>AND(IF(metadata!K496="",FALSE,TRUE),EXACT(metadata!K496,"cm"))</f>
        <v>0</v>
      </c>
      <c r="AM496" t="b">
        <f>AND(IF(metadata!L496="",FALSE,TRUE),EXACT(metadata!L496,"human"))</f>
        <v>0</v>
      </c>
      <c r="AN496" t="b">
        <f>AND(IF(metadata!M496="",FALSE,TRUE),EXACT(metadata!M496,"Homo sapiens"))</f>
        <v>0</v>
      </c>
      <c r="AO496" t="b">
        <f>AND(IF(metadata!N496="",FALSE,TRUE),EXACT(metadata!N496,"9606"))</f>
        <v>0</v>
      </c>
      <c r="AP496" t="b">
        <f>IF(metadata!O496="",FALSE,TRUE)</f>
        <v>0</v>
      </c>
      <c r="AQ496" t="b">
        <f>IF(metadata!P496="",FALSE,TRUE)</f>
        <v>0</v>
      </c>
      <c r="AR496" t="b">
        <f>IF(metadata!Q496="",FALSE,ISNUMBER(VALUE(metadata!Q496)))</f>
        <v>0</v>
      </c>
      <c r="AS496" t="b">
        <f>AND(IF(metadata!R496="",FALSE,TRUE),EXACT(metadata!R496,"kg"))</f>
        <v>0</v>
      </c>
    </row>
    <row r="497" spans="1:45" x14ac:dyDescent="0.2">
      <c r="A497" s="5" t="str">
        <f ca="1">IF(B497=" "," ",HYPERLINK(CONCATENATE("#metadata!",ADDRESS(INDEX($X$2:$X$1001,MATCH(ROWS($V$2:V497),$V$2:$V$1001,0),0),1)),INDEX($AA$2:$AA$1001,MATCH(ROWS($V$2:V497),$V$2:$V$1001,0),0)))</f>
        <v xml:space="preserve"> </v>
      </c>
      <c r="B497" s="4" t="str">
        <f ca="1">IF(OR(INDEX($W$2:$W$1001,MATCH(ROWS($V$2:V497),$V$2:$V$1001,0),1)&gt;=100000,INDEX($AC$1005:$AS$1005,1,MATCH(COLUMNS($AC$1006:AC1006),$AC$1006:$AS$1006,0))&gt;=100000), " ",IF(INDEX($AC$2:$AS$1001,MATCH(ROWS($V$2:V497),$V$2:$V$1001,0),MATCH(COLUMNS($AC$1006:AC1006),$AC$1006:$AS$1006,0)), HYPERLINK("#",""), HYPERLINK(CONCATENATE("#metadata!", ADDRESS(INDEX($X$2:$X$1001,MATCH(ROWS($V$2:V497),$V$2:$V$1001,0),0), INDEX($AC$1004:$AS$1004,1,MATCH(COLUMNS($AC$1006:AC1006),$AC$1006:$AS$1006,0)))),"Fix")))</f>
        <v xml:space="preserve"> </v>
      </c>
      <c r="C497" s="4" t="str">
        <f ca="1">IF(OR(INDEX($W$2:$W$1001,MATCH(ROWS($V$2:V497),$V$2:$V$1001,0),1)&gt;=100000,INDEX($AC$1005:$AS$1005,1,MATCH(COLUMNS($AC$1006:AD1006),$AC$1006:$AS$1006,0))&gt;=100000), " ",IF(INDEX($AC$2:$AS$1001,MATCH(ROWS($V$2:V497),$V$2:$V$1001,0),MATCH(COLUMNS($AC$1006:AD1006),$AC$1006:$AS$1006,0)), HYPERLINK("#",""), HYPERLINK(CONCATENATE("#metadata!", ADDRESS(INDEX($X$2:$X$1001,MATCH(ROWS($V$2:V497),$V$2:$V$1001,0),0), INDEX($AC$1004:$AS$1004,1,MATCH(COLUMNS($AC$1006:AD1006),$AC$1006:$AS$1006,0)))),"Fix")))</f>
        <v xml:space="preserve"> </v>
      </c>
      <c r="D497" s="4" t="str">
        <f ca="1">IF(OR(INDEX($W$2:$W$1001,MATCH(ROWS($V$2:V497),$V$2:$V$1001,0),1)&gt;=100000,INDEX($AC$1005:$AS$1005,1,MATCH(COLUMNS($AC$1006:AE1006),$AC$1006:$AS$1006,0))&gt;=100000), " ",IF(INDEX($AC$2:$AS$1001,MATCH(ROWS($V$2:V497),$V$2:$V$1001,0),MATCH(COLUMNS($AC$1006:AE1006),$AC$1006:$AS$1006,0)), HYPERLINK("#",""), HYPERLINK(CONCATENATE("#metadata!", ADDRESS(INDEX($X$2:$X$1001,MATCH(ROWS($V$2:V497),$V$2:$V$1001,0),0), INDEX($AC$1004:$AS$1004,1,MATCH(COLUMNS($AC$1006:AE1006),$AC$1006:$AS$1006,0)))),"Fix")))</f>
        <v xml:space="preserve"> </v>
      </c>
      <c r="E497" s="4" t="str">
        <f ca="1">IF(OR(INDEX($W$2:$W$1001,MATCH(ROWS($V$2:V497),$V$2:$V$1001,0),1)&gt;=100000,INDEX($AC$1005:$AS$1005,1,MATCH(COLUMNS($AC$1006:AF1006),$AC$1006:$AS$1006,0))&gt;=100000), " ",IF(INDEX($AC$2:$AS$1001,MATCH(ROWS($V$2:V497),$V$2:$V$1001,0),MATCH(COLUMNS($AC$1006:AF1006),$AC$1006:$AS$1006,0)), HYPERLINK("#",""), HYPERLINK(CONCATENATE("#metadata!", ADDRESS(INDEX($X$2:$X$1001,MATCH(ROWS($V$2:V497),$V$2:$V$1001,0),0), INDEX($AC$1004:$AS$1004,1,MATCH(COLUMNS($AC$1006:AF1006),$AC$1006:$AS$1006,0)))),"Fix")))</f>
        <v xml:space="preserve"> </v>
      </c>
      <c r="F497" s="4" t="str">
        <f ca="1">IF(OR(INDEX($W$2:$W$1001,MATCH(ROWS($V$2:V497),$V$2:$V$1001,0),1)&gt;=100000,INDEX($AC$1005:$AS$1005,1,MATCH(COLUMNS($AC$1006:AG1006),$AC$1006:$AS$1006,0))&gt;=100000), " ",IF(INDEX($AC$2:$AS$1001,MATCH(ROWS($V$2:V497),$V$2:$V$1001,0),MATCH(COLUMNS($AC$1006:AG1006),$AC$1006:$AS$1006,0)), HYPERLINK("#",""), HYPERLINK(CONCATENATE("#metadata!", ADDRESS(INDEX($X$2:$X$1001,MATCH(ROWS($V$2:V497),$V$2:$V$1001,0),0), INDEX($AC$1004:$AS$1004,1,MATCH(COLUMNS($AC$1006:AG1006),$AC$1006:$AS$1006,0)))),"Fix")))</f>
        <v xml:space="preserve"> </v>
      </c>
      <c r="G497" s="4" t="str">
        <f ca="1">IF(OR(INDEX($W$2:$W$1001,MATCH(ROWS($V$2:V497),$V$2:$V$1001,0),1)&gt;=100000,INDEX($AC$1005:$AS$1005,1,MATCH(COLUMNS($AC$1006:AH1006),$AC$1006:$AS$1006,0))&gt;=100000), " ",IF(INDEX($AC$2:$AS$1001,MATCH(ROWS($V$2:V497),$V$2:$V$1001,0),MATCH(COLUMNS($AC$1006:AH1006),$AC$1006:$AS$1006,0)), HYPERLINK("#",""), HYPERLINK(CONCATENATE("#metadata!", ADDRESS(INDEX($X$2:$X$1001,MATCH(ROWS($V$2:V497),$V$2:$V$1001,0),0), INDEX($AC$1004:$AS$1004,1,MATCH(COLUMNS($AC$1006:AH1006),$AC$1006:$AS$1006,0)))),"Fix")))</f>
        <v xml:space="preserve"> </v>
      </c>
      <c r="H497" s="4" t="str">
        <f ca="1">IF(OR(INDEX($W$2:$W$1001,MATCH(ROWS($V$2:V497),$V$2:$V$1001,0),1)&gt;=100000,INDEX($AC$1005:$AS$1005,1,MATCH(COLUMNS($AC$1006:AI1006),$AC$1006:$AS$1006,0))&gt;=100000), " ",IF(INDEX($AC$2:$AS$1001,MATCH(ROWS($V$2:V497),$V$2:$V$1001,0),MATCH(COLUMNS($AC$1006:AI1006),$AC$1006:$AS$1006,0)), HYPERLINK("#",""), HYPERLINK(CONCATENATE("#metadata!", ADDRESS(INDEX($X$2:$X$1001,MATCH(ROWS($V$2:V497),$V$2:$V$1001,0),0), INDEX($AC$1004:$AS$1004,1,MATCH(COLUMNS($AC$1006:AI1006),$AC$1006:$AS$1006,0)))),"Fix")))</f>
        <v xml:space="preserve"> </v>
      </c>
      <c r="I497" s="4" t="str">
        <f ca="1">IF(OR(INDEX($W$2:$W$1001,MATCH(ROWS($V$2:V497),$V$2:$V$1001,0),1)&gt;=100000,INDEX($AC$1005:$AS$1005,1,MATCH(COLUMNS($AC$1006:AJ1006),$AC$1006:$AS$1006,0))&gt;=100000), " ",IF(INDEX($AC$2:$AS$1001,MATCH(ROWS($V$2:V497),$V$2:$V$1001,0),MATCH(COLUMNS($AC$1006:AJ1006),$AC$1006:$AS$1006,0)), HYPERLINK("#",""), HYPERLINK(CONCATENATE("#metadata!", ADDRESS(INDEX($X$2:$X$1001,MATCH(ROWS($V$2:V497),$V$2:$V$1001,0),0), INDEX($AC$1004:$AS$1004,1,MATCH(COLUMNS($AC$1006:AJ1006),$AC$1006:$AS$1006,0)))),"Fix")))</f>
        <v xml:space="preserve"> </v>
      </c>
      <c r="J497" s="4" t="str">
        <f ca="1">IF(OR(INDEX($W$2:$W$1001,MATCH(ROWS($V$2:V497),$V$2:$V$1001,0),1)&gt;=100000,INDEX($AC$1005:$AS$1005,1,MATCH(COLUMNS($AC$1006:AK1006),$AC$1006:$AS$1006,0))&gt;=100000), " ",IF(INDEX($AC$2:$AS$1001,MATCH(ROWS($V$2:V497),$V$2:$V$1001,0),MATCH(COLUMNS($AC$1006:AK1006),$AC$1006:$AS$1006,0)), HYPERLINK("#",""), HYPERLINK(CONCATENATE("#metadata!", ADDRESS(INDEX($X$2:$X$1001,MATCH(ROWS($V$2:V497),$V$2:$V$1001,0),0), INDEX($AC$1004:$AS$1004,1,MATCH(COLUMNS($AC$1006:AK1006),$AC$1006:$AS$1006,0)))),"Fix")))</f>
        <v xml:space="preserve"> </v>
      </c>
      <c r="K497" s="4" t="str">
        <f ca="1">IF(OR(INDEX($W$2:$W$1001,MATCH(ROWS($V$2:V497),$V$2:$V$1001,0),1)&gt;=100000,INDEX($AC$1005:$AS$1005,1,MATCH(COLUMNS($AC$1006:AL1006),$AC$1006:$AS$1006,0))&gt;=100000), " ",IF(INDEX($AC$2:$AS$1001,MATCH(ROWS($V$2:V497),$V$2:$V$1001,0),MATCH(COLUMNS($AC$1006:AL1006),$AC$1006:$AS$1006,0)), HYPERLINK("#",""), HYPERLINK(CONCATENATE("#metadata!", ADDRESS(INDEX($X$2:$X$1001,MATCH(ROWS($V$2:V497),$V$2:$V$1001,0),0), INDEX($AC$1004:$AS$1004,1,MATCH(COLUMNS($AC$1006:AL1006),$AC$1006:$AS$1006,0)))),"Fix")))</f>
        <v xml:space="preserve"> </v>
      </c>
      <c r="L497" s="4" t="str">
        <f ca="1">IF(OR(INDEX($W$2:$W$1001,MATCH(ROWS($V$2:V497),$V$2:$V$1001,0),1)&gt;=100000,INDEX($AC$1005:$AS$1005,1,MATCH(COLUMNS($AC$1006:AM1006),$AC$1006:$AS$1006,0))&gt;=100000), " ",IF(INDEX($AC$2:$AS$1001,MATCH(ROWS($V$2:V497),$V$2:$V$1001,0),MATCH(COLUMNS($AC$1006:AM1006),$AC$1006:$AS$1006,0)), HYPERLINK("#",""), HYPERLINK(CONCATENATE("#metadata!", ADDRESS(INDEX($X$2:$X$1001,MATCH(ROWS($V$2:V497),$V$2:$V$1001,0),0), INDEX($AC$1004:$AS$1004,1,MATCH(COLUMNS($AC$1006:AM1006),$AC$1006:$AS$1006,0)))),"Fix")))</f>
        <v xml:space="preserve"> </v>
      </c>
      <c r="M497" s="4" t="str">
        <f ca="1">IF(OR(INDEX($W$2:$W$1001,MATCH(ROWS($V$2:V497),$V$2:$V$1001,0),1)&gt;=100000,INDEX($AC$1005:$AS$1005,1,MATCH(COLUMNS($AC$1006:AN1006),$AC$1006:$AS$1006,0))&gt;=100000), " ",IF(INDEX($AC$2:$AS$1001,MATCH(ROWS($V$2:V497),$V$2:$V$1001,0),MATCH(COLUMNS($AC$1006:AN1006),$AC$1006:$AS$1006,0)), HYPERLINK("#",""), HYPERLINK(CONCATENATE("#metadata!", ADDRESS(INDEX($X$2:$X$1001,MATCH(ROWS($V$2:V497),$V$2:$V$1001,0),0), INDEX($AC$1004:$AS$1004,1,MATCH(COLUMNS($AC$1006:AN1006),$AC$1006:$AS$1006,0)))),"Fix")))</f>
        <v xml:space="preserve"> </v>
      </c>
      <c r="N497" s="4" t="str">
        <f ca="1">IF(OR(INDEX($W$2:$W$1001,MATCH(ROWS($V$2:V497),$V$2:$V$1001,0),1)&gt;=100000,INDEX($AC$1005:$AS$1005,1,MATCH(COLUMNS($AC$1006:AO1006),$AC$1006:$AS$1006,0))&gt;=100000), " ",IF(INDEX($AC$2:$AS$1001,MATCH(ROWS($V$2:V497),$V$2:$V$1001,0),MATCH(COLUMNS($AC$1006:AO1006),$AC$1006:$AS$1006,0)), HYPERLINK("#",""), HYPERLINK(CONCATENATE("#metadata!", ADDRESS(INDEX($X$2:$X$1001,MATCH(ROWS($V$2:V497),$V$2:$V$1001,0),0), INDEX($AC$1004:$AS$1004,1,MATCH(COLUMNS($AC$1006:AO1006),$AC$1006:$AS$1006,0)))),"Fix")))</f>
        <v xml:space="preserve"> </v>
      </c>
      <c r="O497" s="4" t="str">
        <f ca="1">IF(OR(INDEX($W$2:$W$1001,MATCH(ROWS($V$2:V497),$V$2:$V$1001,0),1)&gt;=100000,INDEX($AC$1005:$AS$1005,1,MATCH(COLUMNS($AC$1006:AP1006),$AC$1006:$AS$1006,0))&gt;=100000), " ",IF(INDEX($AC$2:$AS$1001,MATCH(ROWS($V$2:V497),$V$2:$V$1001,0),MATCH(COLUMNS($AC$1006:AP1006),$AC$1006:$AS$1006,0)), HYPERLINK("#",""), HYPERLINK(CONCATENATE("#metadata!", ADDRESS(INDEX($X$2:$X$1001,MATCH(ROWS($V$2:V497),$V$2:$V$1001,0),0), INDEX($AC$1004:$AS$1004,1,MATCH(COLUMNS($AC$1006:AP1006),$AC$1006:$AS$1006,0)))),"Fix")))</f>
        <v xml:space="preserve"> </v>
      </c>
      <c r="P497" s="4" t="str">
        <f ca="1">IF(OR(INDEX($W$2:$W$1001,MATCH(ROWS($V$2:V497),$V$2:$V$1001,0),1)&gt;=100000,INDEX($AC$1005:$AS$1005,1,MATCH(COLUMNS($AC$1006:AQ1006),$AC$1006:$AS$1006,0))&gt;=100000), " ",IF(INDEX($AC$2:$AS$1001,MATCH(ROWS($V$2:V497),$V$2:$V$1001,0),MATCH(COLUMNS($AC$1006:AQ1006),$AC$1006:$AS$1006,0)), HYPERLINK("#",""), HYPERLINK(CONCATENATE("#metadata!", ADDRESS(INDEX($X$2:$X$1001,MATCH(ROWS($V$2:V497),$V$2:$V$1001,0),0), INDEX($AC$1004:$AS$1004,1,MATCH(COLUMNS($AC$1006:AQ1006),$AC$1006:$AS$1006,0)))),"Fix")))</f>
        <v xml:space="preserve"> </v>
      </c>
      <c r="Q497" s="4" t="str">
        <f ca="1">IF(OR(INDEX($W$2:$W$1001,MATCH(ROWS($V$2:V497),$V$2:$V$1001,0),1)&gt;=100000,INDEX($AC$1005:$AS$1005,1,MATCH(COLUMNS($AC$1006:AR1006),$AC$1006:$AS$1006,0))&gt;=100000), " ",IF(INDEX($AC$2:$AS$1001,MATCH(ROWS($V$2:V497),$V$2:$V$1001,0),MATCH(COLUMNS($AC$1006:AR1006),$AC$1006:$AS$1006,0)), HYPERLINK("#",""), HYPERLINK(CONCATENATE("#metadata!", ADDRESS(INDEX($X$2:$X$1001,MATCH(ROWS($V$2:V497),$V$2:$V$1001,0),0), INDEX($AC$1004:$AS$1004,1,MATCH(COLUMNS($AC$1006:AR1006),$AC$1006:$AS$1006,0)))),"Fix")))</f>
        <v xml:space="preserve"> </v>
      </c>
      <c r="R497" s="4" t="str">
        <f ca="1">IF(OR(INDEX($W$2:$W$1001,MATCH(ROWS($V$2:V497),$V$2:$V$1001,0),1)&gt;=100000,INDEX($AC$1005:$AS$1005,1,MATCH(COLUMNS($AC$1006:AS1006),$AC$1006:$AS$1006,0))&gt;=100000), " ",IF(INDEX($AC$2:$AS$1001,MATCH(ROWS($V$2:V497),$V$2:$V$1001,0),MATCH(COLUMNS($AC$1006:AS1006),$AC$1006:$AS$1006,0)), HYPERLINK("#",""), HYPERLINK(CONCATENATE("#metadata!", ADDRESS(INDEX($X$2:$X$1001,MATCH(ROWS($V$2:V497),$V$2:$V$1001,0),0), INDEX($AC$1004:$AS$1004,1,MATCH(COLUMNS($AC$1006:AS1006),$AC$1006:$AS$1006,0)))),"Fix")))</f>
        <v xml:space="preserve"> </v>
      </c>
      <c r="V497">
        <v>496</v>
      </c>
      <c r="W497">
        <v>100497</v>
      </c>
      <c r="X497">
        <v>497</v>
      </c>
      <c r="Y497" t="b">
        <f t="shared" si="7"/>
        <v>1</v>
      </c>
      <c r="Z497" t="b">
        <f>COUNTBLANK(metadata!B497:R497)=COLUMNS(metadata!B497:R497)</f>
        <v>1</v>
      </c>
      <c r="AA497" t="str">
        <v/>
      </c>
      <c r="AC497" t="b">
        <f ca="1"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AD497" t="b">
        <f>IF(metadata!C497="",FALSE,ISNUMBER(VALUE(metadata!C497)))</f>
        <v>0</v>
      </c>
      <c r="AE497" t="b">
        <f>AND(IF(metadata!D497="",FALSE,TRUE),EXACT(metadata!D497,"years"))</f>
        <v>0</v>
      </c>
      <c r="AF497" t="b">
        <f>OR(AND(IF(metadata!E497="",FALSE,TRUE),OR(EXACT(metadata!E497,"not applicable"),EXACT(metadata!E497,"missing: not collected"),EXACT(metadata!E497,"missing: not provided"),EXACT(metadata!E497,"missing: restricted access"))),AND(IF(metadata!E497="",FALSE,ISNUMBER(VALUE(metadata!E497))),metadata!E497&gt;0))</f>
        <v>0</v>
      </c>
      <c r="AG497" t="b">
        <f>AND(IF(metadata!F497="",FALSE,TRUE),EXACT(metadata!F497,"Not applicable"))</f>
        <v>0</v>
      </c>
      <c r="AH497" t="b">
        <f>AND(IF(metadata!G497="",FALSE,TRUE),EXACT(metadata!G497,"urban biome"))</f>
        <v>0</v>
      </c>
      <c r="AI497" t="b">
        <f>AND(IF(metadata!H497="",FALSE,TRUE),EXACT(metadata!H497,"human-associated habitat"))</f>
        <v>0</v>
      </c>
      <c r="AJ497" t="b">
        <f>AND(IF(metadata!I497="",FALSE,TRUE),OR(EXACT(metadata!I497,"human-associated"),EXACT(metadata!I497,"human-skin"),EXACT(metadata!I497,"human-oral"),EXACT(metadata!I497,"human-gut"),EXACT(metadata!I497,"human-vaginal")))</f>
        <v>0</v>
      </c>
      <c r="AK497" t="b">
        <f>IF(metadata!J497="",FALSE,ISNUMBER(VALUE(metadata!J497)))</f>
        <v>0</v>
      </c>
      <c r="AL497" t="b">
        <f>AND(IF(metadata!K497="",FALSE,TRUE),EXACT(metadata!K497,"cm"))</f>
        <v>0</v>
      </c>
      <c r="AM497" t="b">
        <f>AND(IF(metadata!L497="",FALSE,TRUE),EXACT(metadata!L497,"human"))</f>
        <v>0</v>
      </c>
      <c r="AN497" t="b">
        <f>AND(IF(metadata!M497="",FALSE,TRUE),EXACT(metadata!M497,"Homo sapiens"))</f>
        <v>0</v>
      </c>
      <c r="AO497" t="b">
        <f>AND(IF(metadata!N497="",FALSE,TRUE),EXACT(metadata!N497,"9606"))</f>
        <v>0</v>
      </c>
      <c r="AP497" t="b">
        <f>IF(metadata!O497="",FALSE,TRUE)</f>
        <v>0</v>
      </c>
      <c r="AQ497" t="b">
        <f>IF(metadata!P497="",FALSE,TRUE)</f>
        <v>0</v>
      </c>
      <c r="AR497" t="b">
        <f>IF(metadata!Q497="",FALSE,ISNUMBER(VALUE(metadata!Q497)))</f>
        <v>0</v>
      </c>
      <c r="AS497" t="b">
        <f>AND(IF(metadata!R497="",FALSE,TRUE),EXACT(metadata!R497,"kg"))</f>
        <v>0</v>
      </c>
    </row>
    <row r="498" spans="1:45" x14ac:dyDescent="0.2">
      <c r="A498" s="5" t="str">
        <f ca="1">IF(B498=" "," ",HYPERLINK(CONCATENATE("#metadata!",ADDRESS(INDEX($X$2:$X$1001,MATCH(ROWS($V$2:V498),$V$2:$V$1001,0),0),1)),INDEX($AA$2:$AA$1001,MATCH(ROWS($V$2:V498),$V$2:$V$1001,0),0)))</f>
        <v xml:space="preserve"> </v>
      </c>
      <c r="B498" s="4" t="str">
        <f ca="1">IF(OR(INDEX($W$2:$W$1001,MATCH(ROWS($V$2:V498),$V$2:$V$1001,0),1)&gt;=100000,INDEX($AC$1005:$AS$1005,1,MATCH(COLUMNS($AC$1006:AC1006),$AC$1006:$AS$1006,0))&gt;=100000), " ",IF(INDEX($AC$2:$AS$1001,MATCH(ROWS($V$2:V498),$V$2:$V$1001,0),MATCH(COLUMNS($AC$1006:AC1006),$AC$1006:$AS$1006,0)), HYPERLINK("#",""), HYPERLINK(CONCATENATE("#metadata!", ADDRESS(INDEX($X$2:$X$1001,MATCH(ROWS($V$2:V498),$V$2:$V$1001,0),0), INDEX($AC$1004:$AS$1004,1,MATCH(COLUMNS($AC$1006:AC1006),$AC$1006:$AS$1006,0)))),"Fix")))</f>
        <v xml:space="preserve"> </v>
      </c>
      <c r="C498" s="4" t="str">
        <f ca="1">IF(OR(INDEX($W$2:$W$1001,MATCH(ROWS($V$2:V498),$V$2:$V$1001,0),1)&gt;=100000,INDEX($AC$1005:$AS$1005,1,MATCH(COLUMNS($AC$1006:AD1006),$AC$1006:$AS$1006,0))&gt;=100000), " ",IF(INDEX($AC$2:$AS$1001,MATCH(ROWS($V$2:V498),$V$2:$V$1001,0),MATCH(COLUMNS($AC$1006:AD1006),$AC$1006:$AS$1006,0)), HYPERLINK("#",""), HYPERLINK(CONCATENATE("#metadata!", ADDRESS(INDEX($X$2:$X$1001,MATCH(ROWS($V$2:V498),$V$2:$V$1001,0),0), INDEX($AC$1004:$AS$1004,1,MATCH(COLUMNS($AC$1006:AD1006),$AC$1006:$AS$1006,0)))),"Fix")))</f>
        <v xml:space="preserve"> </v>
      </c>
      <c r="D498" s="4" t="str">
        <f ca="1">IF(OR(INDEX($W$2:$W$1001,MATCH(ROWS($V$2:V498),$V$2:$V$1001,0),1)&gt;=100000,INDEX($AC$1005:$AS$1005,1,MATCH(COLUMNS($AC$1006:AE1006),$AC$1006:$AS$1006,0))&gt;=100000), " ",IF(INDEX($AC$2:$AS$1001,MATCH(ROWS($V$2:V498),$V$2:$V$1001,0),MATCH(COLUMNS($AC$1006:AE1006),$AC$1006:$AS$1006,0)), HYPERLINK("#",""), HYPERLINK(CONCATENATE("#metadata!", ADDRESS(INDEX($X$2:$X$1001,MATCH(ROWS($V$2:V498),$V$2:$V$1001,0),0), INDEX($AC$1004:$AS$1004,1,MATCH(COLUMNS($AC$1006:AE1006),$AC$1006:$AS$1006,0)))),"Fix")))</f>
        <v xml:space="preserve"> </v>
      </c>
      <c r="E498" s="4" t="str">
        <f ca="1">IF(OR(INDEX($W$2:$W$1001,MATCH(ROWS($V$2:V498),$V$2:$V$1001,0),1)&gt;=100000,INDEX($AC$1005:$AS$1005,1,MATCH(COLUMNS($AC$1006:AF1006),$AC$1006:$AS$1006,0))&gt;=100000), " ",IF(INDEX($AC$2:$AS$1001,MATCH(ROWS($V$2:V498),$V$2:$V$1001,0),MATCH(COLUMNS($AC$1006:AF1006),$AC$1006:$AS$1006,0)), HYPERLINK("#",""), HYPERLINK(CONCATENATE("#metadata!", ADDRESS(INDEX($X$2:$X$1001,MATCH(ROWS($V$2:V498),$V$2:$V$1001,0),0), INDEX($AC$1004:$AS$1004,1,MATCH(COLUMNS($AC$1006:AF1006),$AC$1006:$AS$1006,0)))),"Fix")))</f>
        <v xml:space="preserve"> </v>
      </c>
      <c r="F498" s="4" t="str">
        <f ca="1">IF(OR(INDEX($W$2:$W$1001,MATCH(ROWS($V$2:V498),$V$2:$V$1001,0),1)&gt;=100000,INDEX($AC$1005:$AS$1005,1,MATCH(COLUMNS($AC$1006:AG1006),$AC$1006:$AS$1006,0))&gt;=100000), " ",IF(INDEX($AC$2:$AS$1001,MATCH(ROWS($V$2:V498),$V$2:$V$1001,0),MATCH(COLUMNS($AC$1006:AG1006),$AC$1006:$AS$1006,0)), HYPERLINK("#",""), HYPERLINK(CONCATENATE("#metadata!", ADDRESS(INDEX($X$2:$X$1001,MATCH(ROWS($V$2:V498),$V$2:$V$1001,0),0), INDEX($AC$1004:$AS$1004,1,MATCH(COLUMNS($AC$1006:AG1006),$AC$1006:$AS$1006,0)))),"Fix")))</f>
        <v xml:space="preserve"> </v>
      </c>
      <c r="G498" s="4" t="str">
        <f ca="1">IF(OR(INDEX($W$2:$W$1001,MATCH(ROWS($V$2:V498),$V$2:$V$1001,0),1)&gt;=100000,INDEX($AC$1005:$AS$1005,1,MATCH(COLUMNS($AC$1006:AH1006),$AC$1006:$AS$1006,0))&gt;=100000), " ",IF(INDEX($AC$2:$AS$1001,MATCH(ROWS($V$2:V498),$V$2:$V$1001,0),MATCH(COLUMNS($AC$1006:AH1006),$AC$1006:$AS$1006,0)), HYPERLINK("#",""), HYPERLINK(CONCATENATE("#metadata!", ADDRESS(INDEX($X$2:$X$1001,MATCH(ROWS($V$2:V498),$V$2:$V$1001,0),0), INDEX($AC$1004:$AS$1004,1,MATCH(COLUMNS($AC$1006:AH1006),$AC$1006:$AS$1006,0)))),"Fix")))</f>
        <v xml:space="preserve"> </v>
      </c>
      <c r="H498" s="4" t="str">
        <f ca="1">IF(OR(INDEX($W$2:$W$1001,MATCH(ROWS($V$2:V498),$V$2:$V$1001,0),1)&gt;=100000,INDEX($AC$1005:$AS$1005,1,MATCH(COLUMNS($AC$1006:AI1006),$AC$1006:$AS$1006,0))&gt;=100000), " ",IF(INDEX($AC$2:$AS$1001,MATCH(ROWS($V$2:V498),$V$2:$V$1001,0),MATCH(COLUMNS($AC$1006:AI1006),$AC$1006:$AS$1006,0)), HYPERLINK("#",""), HYPERLINK(CONCATENATE("#metadata!", ADDRESS(INDEX($X$2:$X$1001,MATCH(ROWS($V$2:V498),$V$2:$V$1001,0),0), INDEX($AC$1004:$AS$1004,1,MATCH(COLUMNS($AC$1006:AI1006),$AC$1006:$AS$1006,0)))),"Fix")))</f>
        <v xml:space="preserve"> </v>
      </c>
      <c r="I498" s="4" t="str">
        <f ca="1">IF(OR(INDEX($W$2:$W$1001,MATCH(ROWS($V$2:V498),$V$2:$V$1001,0),1)&gt;=100000,INDEX($AC$1005:$AS$1005,1,MATCH(COLUMNS($AC$1006:AJ1006),$AC$1006:$AS$1006,0))&gt;=100000), " ",IF(INDEX($AC$2:$AS$1001,MATCH(ROWS($V$2:V498),$V$2:$V$1001,0),MATCH(COLUMNS($AC$1006:AJ1006),$AC$1006:$AS$1006,0)), HYPERLINK("#",""), HYPERLINK(CONCATENATE("#metadata!", ADDRESS(INDEX($X$2:$X$1001,MATCH(ROWS($V$2:V498),$V$2:$V$1001,0),0), INDEX($AC$1004:$AS$1004,1,MATCH(COLUMNS($AC$1006:AJ1006),$AC$1006:$AS$1006,0)))),"Fix")))</f>
        <v xml:space="preserve"> </v>
      </c>
      <c r="J498" s="4" t="str">
        <f ca="1">IF(OR(INDEX($W$2:$W$1001,MATCH(ROWS($V$2:V498),$V$2:$V$1001,0),1)&gt;=100000,INDEX($AC$1005:$AS$1005,1,MATCH(COLUMNS($AC$1006:AK1006),$AC$1006:$AS$1006,0))&gt;=100000), " ",IF(INDEX($AC$2:$AS$1001,MATCH(ROWS($V$2:V498),$V$2:$V$1001,0),MATCH(COLUMNS($AC$1006:AK1006),$AC$1006:$AS$1006,0)), HYPERLINK("#",""), HYPERLINK(CONCATENATE("#metadata!", ADDRESS(INDEX($X$2:$X$1001,MATCH(ROWS($V$2:V498),$V$2:$V$1001,0),0), INDEX($AC$1004:$AS$1004,1,MATCH(COLUMNS($AC$1006:AK1006),$AC$1006:$AS$1006,0)))),"Fix")))</f>
        <v xml:space="preserve"> </v>
      </c>
      <c r="K498" s="4" t="str">
        <f ca="1">IF(OR(INDEX($W$2:$W$1001,MATCH(ROWS($V$2:V498),$V$2:$V$1001,0),1)&gt;=100000,INDEX($AC$1005:$AS$1005,1,MATCH(COLUMNS($AC$1006:AL1006),$AC$1006:$AS$1006,0))&gt;=100000), " ",IF(INDEX($AC$2:$AS$1001,MATCH(ROWS($V$2:V498),$V$2:$V$1001,0),MATCH(COLUMNS($AC$1006:AL1006),$AC$1006:$AS$1006,0)), HYPERLINK("#",""), HYPERLINK(CONCATENATE("#metadata!", ADDRESS(INDEX($X$2:$X$1001,MATCH(ROWS($V$2:V498),$V$2:$V$1001,0),0), INDEX($AC$1004:$AS$1004,1,MATCH(COLUMNS($AC$1006:AL1006),$AC$1006:$AS$1006,0)))),"Fix")))</f>
        <v xml:space="preserve"> </v>
      </c>
      <c r="L498" s="4" t="str">
        <f ca="1">IF(OR(INDEX($W$2:$W$1001,MATCH(ROWS($V$2:V498),$V$2:$V$1001,0),1)&gt;=100000,INDEX($AC$1005:$AS$1005,1,MATCH(COLUMNS($AC$1006:AM1006),$AC$1006:$AS$1006,0))&gt;=100000), " ",IF(INDEX($AC$2:$AS$1001,MATCH(ROWS($V$2:V498),$V$2:$V$1001,0),MATCH(COLUMNS($AC$1006:AM1006),$AC$1006:$AS$1006,0)), HYPERLINK("#",""), HYPERLINK(CONCATENATE("#metadata!", ADDRESS(INDEX($X$2:$X$1001,MATCH(ROWS($V$2:V498),$V$2:$V$1001,0),0), INDEX($AC$1004:$AS$1004,1,MATCH(COLUMNS($AC$1006:AM1006),$AC$1006:$AS$1006,0)))),"Fix")))</f>
        <v xml:space="preserve"> </v>
      </c>
      <c r="M498" s="4" t="str">
        <f ca="1">IF(OR(INDEX($W$2:$W$1001,MATCH(ROWS($V$2:V498),$V$2:$V$1001,0),1)&gt;=100000,INDEX($AC$1005:$AS$1005,1,MATCH(COLUMNS($AC$1006:AN1006),$AC$1006:$AS$1006,0))&gt;=100000), " ",IF(INDEX($AC$2:$AS$1001,MATCH(ROWS($V$2:V498),$V$2:$V$1001,0),MATCH(COLUMNS($AC$1006:AN1006),$AC$1006:$AS$1006,0)), HYPERLINK("#",""), HYPERLINK(CONCATENATE("#metadata!", ADDRESS(INDEX($X$2:$X$1001,MATCH(ROWS($V$2:V498),$V$2:$V$1001,0),0), INDEX($AC$1004:$AS$1004,1,MATCH(COLUMNS($AC$1006:AN1006),$AC$1006:$AS$1006,0)))),"Fix")))</f>
        <v xml:space="preserve"> </v>
      </c>
      <c r="N498" s="4" t="str">
        <f ca="1">IF(OR(INDEX($W$2:$W$1001,MATCH(ROWS($V$2:V498),$V$2:$V$1001,0),1)&gt;=100000,INDEX($AC$1005:$AS$1005,1,MATCH(COLUMNS($AC$1006:AO1006),$AC$1006:$AS$1006,0))&gt;=100000), " ",IF(INDEX($AC$2:$AS$1001,MATCH(ROWS($V$2:V498),$V$2:$V$1001,0),MATCH(COLUMNS($AC$1006:AO1006),$AC$1006:$AS$1006,0)), HYPERLINK("#",""), HYPERLINK(CONCATENATE("#metadata!", ADDRESS(INDEX($X$2:$X$1001,MATCH(ROWS($V$2:V498),$V$2:$V$1001,0),0), INDEX($AC$1004:$AS$1004,1,MATCH(COLUMNS($AC$1006:AO1006),$AC$1006:$AS$1006,0)))),"Fix")))</f>
        <v xml:space="preserve"> </v>
      </c>
      <c r="O498" s="4" t="str">
        <f ca="1">IF(OR(INDEX($W$2:$W$1001,MATCH(ROWS($V$2:V498),$V$2:$V$1001,0),1)&gt;=100000,INDEX($AC$1005:$AS$1005,1,MATCH(COLUMNS($AC$1006:AP1006),$AC$1006:$AS$1006,0))&gt;=100000), " ",IF(INDEX($AC$2:$AS$1001,MATCH(ROWS($V$2:V498),$V$2:$V$1001,0),MATCH(COLUMNS($AC$1006:AP1006),$AC$1006:$AS$1006,0)), HYPERLINK("#",""), HYPERLINK(CONCATENATE("#metadata!", ADDRESS(INDEX($X$2:$X$1001,MATCH(ROWS($V$2:V498),$V$2:$V$1001,0),0), INDEX($AC$1004:$AS$1004,1,MATCH(COLUMNS($AC$1006:AP1006),$AC$1006:$AS$1006,0)))),"Fix")))</f>
        <v xml:space="preserve"> </v>
      </c>
      <c r="P498" s="4" t="str">
        <f ca="1">IF(OR(INDEX($W$2:$W$1001,MATCH(ROWS($V$2:V498),$V$2:$V$1001,0),1)&gt;=100000,INDEX($AC$1005:$AS$1005,1,MATCH(COLUMNS($AC$1006:AQ1006),$AC$1006:$AS$1006,0))&gt;=100000), " ",IF(INDEX($AC$2:$AS$1001,MATCH(ROWS($V$2:V498),$V$2:$V$1001,0),MATCH(COLUMNS($AC$1006:AQ1006),$AC$1006:$AS$1006,0)), HYPERLINK("#",""), HYPERLINK(CONCATENATE("#metadata!", ADDRESS(INDEX($X$2:$X$1001,MATCH(ROWS($V$2:V498),$V$2:$V$1001,0),0), INDEX($AC$1004:$AS$1004,1,MATCH(COLUMNS($AC$1006:AQ1006),$AC$1006:$AS$1006,0)))),"Fix")))</f>
        <v xml:space="preserve"> </v>
      </c>
      <c r="Q498" s="4" t="str">
        <f ca="1">IF(OR(INDEX($W$2:$W$1001,MATCH(ROWS($V$2:V498),$V$2:$V$1001,0),1)&gt;=100000,INDEX($AC$1005:$AS$1005,1,MATCH(COLUMNS($AC$1006:AR1006),$AC$1006:$AS$1006,0))&gt;=100000), " ",IF(INDEX($AC$2:$AS$1001,MATCH(ROWS($V$2:V498),$V$2:$V$1001,0),MATCH(COLUMNS($AC$1006:AR1006),$AC$1006:$AS$1006,0)), HYPERLINK("#",""), HYPERLINK(CONCATENATE("#metadata!", ADDRESS(INDEX($X$2:$X$1001,MATCH(ROWS($V$2:V498),$V$2:$V$1001,0),0), INDEX($AC$1004:$AS$1004,1,MATCH(COLUMNS($AC$1006:AR1006),$AC$1006:$AS$1006,0)))),"Fix")))</f>
        <v xml:space="preserve"> </v>
      </c>
      <c r="R498" s="4" t="str">
        <f ca="1">IF(OR(INDEX($W$2:$W$1001,MATCH(ROWS($V$2:V498),$V$2:$V$1001,0),1)&gt;=100000,INDEX($AC$1005:$AS$1005,1,MATCH(COLUMNS($AC$1006:AS1006),$AC$1006:$AS$1006,0))&gt;=100000), " ",IF(INDEX($AC$2:$AS$1001,MATCH(ROWS($V$2:V498),$V$2:$V$1001,0),MATCH(COLUMNS($AC$1006:AS1006),$AC$1006:$AS$1006,0)), HYPERLINK("#",""), HYPERLINK(CONCATENATE("#metadata!", ADDRESS(INDEX($X$2:$X$1001,MATCH(ROWS($V$2:V498),$V$2:$V$1001,0),0), INDEX($AC$1004:$AS$1004,1,MATCH(COLUMNS($AC$1006:AS1006),$AC$1006:$AS$1006,0)))),"Fix")))</f>
        <v xml:space="preserve"> </v>
      </c>
      <c r="V498">
        <v>497</v>
      </c>
      <c r="W498">
        <v>100498</v>
      </c>
      <c r="X498">
        <v>498</v>
      </c>
      <c r="Y498" t="b">
        <f t="shared" si="7"/>
        <v>1</v>
      </c>
      <c r="Z498" t="b">
        <f>COUNTBLANK(metadata!B498:R498)=COLUMNS(metadata!B498:R498)</f>
        <v>1</v>
      </c>
      <c r="AA498" t="str">
        <v/>
      </c>
      <c r="AC498" t="b">
        <f ca="1"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AD498" t="b">
        <f>IF(metadata!C498="",FALSE,ISNUMBER(VALUE(metadata!C498)))</f>
        <v>0</v>
      </c>
      <c r="AE498" t="b">
        <f>AND(IF(metadata!D498="",FALSE,TRUE),EXACT(metadata!D498,"years"))</f>
        <v>0</v>
      </c>
      <c r="AF498" t="b">
        <f>OR(AND(IF(metadata!E498="",FALSE,TRUE),OR(EXACT(metadata!E498,"not applicable"),EXACT(metadata!E498,"missing: not collected"),EXACT(metadata!E498,"missing: not provided"),EXACT(metadata!E498,"missing: restricted access"))),AND(IF(metadata!E498="",FALSE,ISNUMBER(VALUE(metadata!E498))),metadata!E498&gt;0))</f>
        <v>0</v>
      </c>
      <c r="AG498" t="b">
        <f>AND(IF(metadata!F498="",FALSE,TRUE),EXACT(metadata!F498,"Not applicable"))</f>
        <v>0</v>
      </c>
      <c r="AH498" t="b">
        <f>AND(IF(metadata!G498="",FALSE,TRUE),EXACT(metadata!G498,"urban biome"))</f>
        <v>0</v>
      </c>
      <c r="AI498" t="b">
        <f>AND(IF(metadata!H498="",FALSE,TRUE),EXACT(metadata!H498,"human-associated habitat"))</f>
        <v>0</v>
      </c>
      <c r="AJ498" t="b">
        <f>AND(IF(metadata!I498="",FALSE,TRUE),OR(EXACT(metadata!I498,"human-associated"),EXACT(metadata!I498,"human-skin"),EXACT(metadata!I498,"human-oral"),EXACT(metadata!I498,"human-gut"),EXACT(metadata!I498,"human-vaginal")))</f>
        <v>0</v>
      </c>
      <c r="AK498" t="b">
        <f>IF(metadata!J498="",FALSE,ISNUMBER(VALUE(metadata!J498)))</f>
        <v>0</v>
      </c>
      <c r="AL498" t="b">
        <f>AND(IF(metadata!K498="",FALSE,TRUE),EXACT(metadata!K498,"cm"))</f>
        <v>0</v>
      </c>
      <c r="AM498" t="b">
        <f>AND(IF(metadata!L498="",FALSE,TRUE),EXACT(metadata!L498,"human"))</f>
        <v>0</v>
      </c>
      <c r="AN498" t="b">
        <f>AND(IF(metadata!M498="",FALSE,TRUE),EXACT(metadata!M498,"Homo sapiens"))</f>
        <v>0</v>
      </c>
      <c r="AO498" t="b">
        <f>AND(IF(metadata!N498="",FALSE,TRUE),EXACT(metadata!N498,"9606"))</f>
        <v>0</v>
      </c>
      <c r="AP498" t="b">
        <f>IF(metadata!O498="",FALSE,TRUE)</f>
        <v>0</v>
      </c>
      <c r="AQ498" t="b">
        <f>IF(metadata!P498="",FALSE,TRUE)</f>
        <v>0</v>
      </c>
      <c r="AR498" t="b">
        <f>IF(metadata!Q498="",FALSE,ISNUMBER(VALUE(metadata!Q498)))</f>
        <v>0</v>
      </c>
      <c r="AS498" t="b">
        <f>AND(IF(metadata!R498="",FALSE,TRUE),EXACT(metadata!R498,"kg"))</f>
        <v>0</v>
      </c>
    </row>
    <row r="499" spans="1:45" x14ac:dyDescent="0.2">
      <c r="A499" s="5" t="str">
        <f ca="1">IF(B499=" "," ",HYPERLINK(CONCATENATE("#metadata!",ADDRESS(INDEX($X$2:$X$1001,MATCH(ROWS($V$2:V499),$V$2:$V$1001,0),0),1)),INDEX($AA$2:$AA$1001,MATCH(ROWS($V$2:V499),$V$2:$V$1001,0),0)))</f>
        <v xml:space="preserve"> </v>
      </c>
      <c r="B499" s="4" t="str">
        <f ca="1">IF(OR(INDEX($W$2:$W$1001,MATCH(ROWS($V$2:V499),$V$2:$V$1001,0),1)&gt;=100000,INDEX($AC$1005:$AS$1005,1,MATCH(COLUMNS($AC$1006:AC1006),$AC$1006:$AS$1006,0))&gt;=100000), " ",IF(INDEX($AC$2:$AS$1001,MATCH(ROWS($V$2:V499),$V$2:$V$1001,0),MATCH(COLUMNS($AC$1006:AC1006),$AC$1006:$AS$1006,0)), HYPERLINK("#",""), HYPERLINK(CONCATENATE("#metadata!", ADDRESS(INDEX($X$2:$X$1001,MATCH(ROWS($V$2:V499),$V$2:$V$1001,0),0), INDEX($AC$1004:$AS$1004,1,MATCH(COLUMNS($AC$1006:AC1006),$AC$1006:$AS$1006,0)))),"Fix")))</f>
        <v xml:space="preserve"> </v>
      </c>
      <c r="C499" s="4" t="str">
        <f ca="1">IF(OR(INDEX($W$2:$W$1001,MATCH(ROWS($V$2:V499),$V$2:$V$1001,0),1)&gt;=100000,INDEX($AC$1005:$AS$1005,1,MATCH(COLUMNS($AC$1006:AD1006),$AC$1006:$AS$1006,0))&gt;=100000), " ",IF(INDEX($AC$2:$AS$1001,MATCH(ROWS($V$2:V499),$V$2:$V$1001,0),MATCH(COLUMNS($AC$1006:AD1006),$AC$1006:$AS$1006,0)), HYPERLINK("#",""), HYPERLINK(CONCATENATE("#metadata!", ADDRESS(INDEX($X$2:$X$1001,MATCH(ROWS($V$2:V499),$V$2:$V$1001,0),0), INDEX($AC$1004:$AS$1004,1,MATCH(COLUMNS($AC$1006:AD1006),$AC$1006:$AS$1006,0)))),"Fix")))</f>
        <v xml:space="preserve"> </v>
      </c>
      <c r="D499" s="4" t="str">
        <f ca="1">IF(OR(INDEX($W$2:$W$1001,MATCH(ROWS($V$2:V499),$V$2:$V$1001,0),1)&gt;=100000,INDEX($AC$1005:$AS$1005,1,MATCH(COLUMNS($AC$1006:AE1006),$AC$1006:$AS$1006,0))&gt;=100000), " ",IF(INDEX($AC$2:$AS$1001,MATCH(ROWS($V$2:V499),$V$2:$V$1001,0),MATCH(COLUMNS($AC$1006:AE1006),$AC$1006:$AS$1006,0)), HYPERLINK("#",""), HYPERLINK(CONCATENATE("#metadata!", ADDRESS(INDEX($X$2:$X$1001,MATCH(ROWS($V$2:V499),$V$2:$V$1001,0),0), INDEX($AC$1004:$AS$1004,1,MATCH(COLUMNS($AC$1006:AE1006),$AC$1006:$AS$1006,0)))),"Fix")))</f>
        <v xml:space="preserve"> </v>
      </c>
      <c r="E499" s="4" t="str">
        <f ca="1">IF(OR(INDEX($W$2:$W$1001,MATCH(ROWS($V$2:V499),$V$2:$V$1001,0),1)&gt;=100000,INDEX($AC$1005:$AS$1005,1,MATCH(COLUMNS($AC$1006:AF1006),$AC$1006:$AS$1006,0))&gt;=100000), " ",IF(INDEX($AC$2:$AS$1001,MATCH(ROWS($V$2:V499),$V$2:$V$1001,0),MATCH(COLUMNS($AC$1006:AF1006),$AC$1006:$AS$1006,0)), HYPERLINK("#",""), HYPERLINK(CONCATENATE("#metadata!", ADDRESS(INDEX($X$2:$X$1001,MATCH(ROWS($V$2:V499),$V$2:$V$1001,0),0), INDEX($AC$1004:$AS$1004,1,MATCH(COLUMNS($AC$1006:AF1006),$AC$1006:$AS$1006,0)))),"Fix")))</f>
        <v xml:space="preserve"> </v>
      </c>
      <c r="F499" s="4" t="str">
        <f ca="1">IF(OR(INDEX($W$2:$W$1001,MATCH(ROWS($V$2:V499),$V$2:$V$1001,0),1)&gt;=100000,INDEX($AC$1005:$AS$1005,1,MATCH(COLUMNS($AC$1006:AG1006),$AC$1006:$AS$1006,0))&gt;=100000), " ",IF(INDEX($AC$2:$AS$1001,MATCH(ROWS($V$2:V499),$V$2:$V$1001,0),MATCH(COLUMNS($AC$1006:AG1006),$AC$1006:$AS$1006,0)), HYPERLINK("#",""), HYPERLINK(CONCATENATE("#metadata!", ADDRESS(INDEX($X$2:$X$1001,MATCH(ROWS($V$2:V499),$V$2:$V$1001,0),0), INDEX($AC$1004:$AS$1004,1,MATCH(COLUMNS($AC$1006:AG1006),$AC$1006:$AS$1006,0)))),"Fix")))</f>
        <v xml:space="preserve"> </v>
      </c>
      <c r="G499" s="4" t="str">
        <f ca="1">IF(OR(INDEX($W$2:$W$1001,MATCH(ROWS($V$2:V499),$V$2:$V$1001,0),1)&gt;=100000,INDEX($AC$1005:$AS$1005,1,MATCH(COLUMNS($AC$1006:AH1006),$AC$1006:$AS$1006,0))&gt;=100000), " ",IF(INDEX($AC$2:$AS$1001,MATCH(ROWS($V$2:V499),$V$2:$V$1001,0),MATCH(COLUMNS($AC$1006:AH1006),$AC$1006:$AS$1006,0)), HYPERLINK("#",""), HYPERLINK(CONCATENATE("#metadata!", ADDRESS(INDEX($X$2:$X$1001,MATCH(ROWS($V$2:V499),$V$2:$V$1001,0),0), INDEX($AC$1004:$AS$1004,1,MATCH(COLUMNS($AC$1006:AH1006),$AC$1006:$AS$1006,0)))),"Fix")))</f>
        <v xml:space="preserve"> </v>
      </c>
      <c r="H499" s="4" t="str">
        <f ca="1">IF(OR(INDEX($W$2:$W$1001,MATCH(ROWS($V$2:V499),$V$2:$V$1001,0),1)&gt;=100000,INDEX($AC$1005:$AS$1005,1,MATCH(COLUMNS($AC$1006:AI1006),$AC$1006:$AS$1006,0))&gt;=100000), " ",IF(INDEX($AC$2:$AS$1001,MATCH(ROWS($V$2:V499),$V$2:$V$1001,0),MATCH(COLUMNS($AC$1006:AI1006),$AC$1006:$AS$1006,0)), HYPERLINK("#",""), HYPERLINK(CONCATENATE("#metadata!", ADDRESS(INDEX($X$2:$X$1001,MATCH(ROWS($V$2:V499),$V$2:$V$1001,0),0), INDEX($AC$1004:$AS$1004,1,MATCH(COLUMNS($AC$1006:AI1006),$AC$1006:$AS$1006,0)))),"Fix")))</f>
        <v xml:space="preserve"> </v>
      </c>
      <c r="I499" s="4" t="str">
        <f ca="1">IF(OR(INDEX($W$2:$W$1001,MATCH(ROWS($V$2:V499),$V$2:$V$1001,0),1)&gt;=100000,INDEX($AC$1005:$AS$1005,1,MATCH(COLUMNS($AC$1006:AJ1006),$AC$1006:$AS$1006,0))&gt;=100000), " ",IF(INDEX($AC$2:$AS$1001,MATCH(ROWS($V$2:V499),$V$2:$V$1001,0),MATCH(COLUMNS($AC$1006:AJ1006),$AC$1006:$AS$1006,0)), HYPERLINK("#",""), HYPERLINK(CONCATENATE("#metadata!", ADDRESS(INDEX($X$2:$X$1001,MATCH(ROWS($V$2:V499),$V$2:$V$1001,0),0), INDEX($AC$1004:$AS$1004,1,MATCH(COLUMNS($AC$1006:AJ1006),$AC$1006:$AS$1006,0)))),"Fix")))</f>
        <v xml:space="preserve"> </v>
      </c>
      <c r="J499" s="4" t="str">
        <f ca="1">IF(OR(INDEX($W$2:$W$1001,MATCH(ROWS($V$2:V499),$V$2:$V$1001,0),1)&gt;=100000,INDEX($AC$1005:$AS$1005,1,MATCH(COLUMNS($AC$1006:AK1006),$AC$1006:$AS$1006,0))&gt;=100000), " ",IF(INDEX($AC$2:$AS$1001,MATCH(ROWS($V$2:V499),$V$2:$V$1001,0),MATCH(COLUMNS($AC$1006:AK1006),$AC$1006:$AS$1006,0)), HYPERLINK("#",""), HYPERLINK(CONCATENATE("#metadata!", ADDRESS(INDEX($X$2:$X$1001,MATCH(ROWS($V$2:V499),$V$2:$V$1001,0),0), INDEX($AC$1004:$AS$1004,1,MATCH(COLUMNS($AC$1006:AK1006),$AC$1006:$AS$1006,0)))),"Fix")))</f>
        <v xml:space="preserve"> </v>
      </c>
      <c r="K499" s="4" t="str">
        <f ca="1">IF(OR(INDEX($W$2:$W$1001,MATCH(ROWS($V$2:V499),$V$2:$V$1001,0),1)&gt;=100000,INDEX($AC$1005:$AS$1005,1,MATCH(COLUMNS($AC$1006:AL1006),$AC$1006:$AS$1006,0))&gt;=100000), " ",IF(INDEX($AC$2:$AS$1001,MATCH(ROWS($V$2:V499),$V$2:$V$1001,0),MATCH(COLUMNS($AC$1006:AL1006),$AC$1006:$AS$1006,0)), HYPERLINK("#",""), HYPERLINK(CONCATENATE("#metadata!", ADDRESS(INDEX($X$2:$X$1001,MATCH(ROWS($V$2:V499),$V$2:$V$1001,0),0), INDEX($AC$1004:$AS$1004,1,MATCH(COLUMNS($AC$1006:AL1006),$AC$1006:$AS$1006,0)))),"Fix")))</f>
        <v xml:space="preserve"> </v>
      </c>
      <c r="L499" s="4" t="str">
        <f ca="1">IF(OR(INDEX($W$2:$W$1001,MATCH(ROWS($V$2:V499),$V$2:$V$1001,0),1)&gt;=100000,INDEX($AC$1005:$AS$1005,1,MATCH(COLUMNS($AC$1006:AM1006),$AC$1006:$AS$1006,0))&gt;=100000), " ",IF(INDEX($AC$2:$AS$1001,MATCH(ROWS($V$2:V499),$V$2:$V$1001,0),MATCH(COLUMNS($AC$1006:AM1006),$AC$1006:$AS$1006,0)), HYPERLINK("#",""), HYPERLINK(CONCATENATE("#metadata!", ADDRESS(INDEX($X$2:$X$1001,MATCH(ROWS($V$2:V499),$V$2:$V$1001,0),0), INDEX($AC$1004:$AS$1004,1,MATCH(COLUMNS($AC$1006:AM1006),$AC$1006:$AS$1006,0)))),"Fix")))</f>
        <v xml:space="preserve"> </v>
      </c>
      <c r="M499" s="4" t="str">
        <f ca="1">IF(OR(INDEX($W$2:$W$1001,MATCH(ROWS($V$2:V499),$V$2:$V$1001,0),1)&gt;=100000,INDEX($AC$1005:$AS$1005,1,MATCH(COLUMNS($AC$1006:AN1006),$AC$1006:$AS$1006,0))&gt;=100000), " ",IF(INDEX($AC$2:$AS$1001,MATCH(ROWS($V$2:V499),$V$2:$V$1001,0),MATCH(COLUMNS($AC$1006:AN1006),$AC$1006:$AS$1006,0)), HYPERLINK("#",""), HYPERLINK(CONCATENATE("#metadata!", ADDRESS(INDEX($X$2:$X$1001,MATCH(ROWS($V$2:V499),$V$2:$V$1001,0),0), INDEX($AC$1004:$AS$1004,1,MATCH(COLUMNS($AC$1006:AN1006),$AC$1006:$AS$1006,0)))),"Fix")))</f>
        <v xml:space="preserve"> </v>
      </c>
      <c r="N499" s="4" t="str">
        <f ca="1">IF(OR(INDEX($W$2:$W$1001,MATCH(ROWS($V$2:V499),$V$2:$V$1001,0),1)&gt;=100000,INDEX($AC$1005:$AS$1005,1,MATCH(COLUMNS($AC$1006:AO1006),$AC$1006:$AS$1006,0))&gt;=100000), " ",IF(INDEX($AC$2:$AS$1001,MATCH(ROWS($V$2:V499),$V$2:$V$1001,0),MATCH(COLUMNS($AC$1006:AO1006),$AC$1006:$AS$1006,0)), HYPERLINK("#",""), HYPERLINK(CONCATENATE("#metadata!", ADDRESS(INDEX($X$2:$X$1001,MATCH(ROWS($V$2:V499),$V$2:$V$1001,0),0), INDEX($AC$1004:$AS$1004,1,MATCH(COLUMNS($AC$1006:AO1006),$AC$1006:$AS$1006,0)))),"Fix")))</f>
        <v xml:space="preserve"> </v>
      </c>
      <c r="O499" s="4" t="str">
        <f ca="1">IF(OR(INDEX($W$2:$W$1001,MATCH(ROWS($V$2:V499),$V$2:$V$1001,0),1)&gt;=100000,INDEX($AC$1005:$AS$1005,1,MATCH(COLUMNS($AC$1006:AP1006),$AC$1006:$AS$1006,0))&gt;=100000), " ",IF(INDEX($AC$2:$AS$1001,MATCH(ROWS($V$2:V499),$V$2:$V$1001,0),MATCH(COLUMNS($AC$1006:AP1006),$AC$1006:$AS$1006,0)), HYPERLINK("#",""), HYPERLINK(CONCATENATE("#metadata!", ADDRESS(INDEX($X$2:$X$1001,MATCH(ROWS($V$2:V499),$V$2:$V$1001,0),0), INDEX($AC$1004:$AS$1004,1,MATCH(COLUMNS($AC$1006:AP1006),$AC$1006:$AS$1006,0)))),"Fix")))</f>
        <v xml:space="preserve"> </v>
      </c>
      <c r="P499" s="4" t="str">
        <f ca="1">IF(OR(INDEX($W$2:$W$1001,MATCH(ROWS($V$2:V499),$V$2:$V$1001,0),1)&gt;=100000,INDEX($AC$1005:$AS$1005,1,MATCH(COLUMNS($AC$1006:AQ1006),$AC$1006:$AS$1006,0))&gt;=100000), " ",IF(INDEX($AC$2:$AS$1001,MATCH(ROWS($V$2:V499),$V$2:$V$1001,0),MATCH(COLUMNS($AC$1006:AQ1006),$AC$1006:$AS$1006,0)), HYPERLINK("#",""), HYPERLINK(CONCATENATE("#metadata!", ADDRESS(INDEX($X$2:$X$1001,MATCH(ROWS($V$2:V499),$V$2:$V$1001,0),0), INDEX($AC$1004:$AS$1004,1,MATCH(COLUMNS($AC$1006:AQ1006),$AC$1006:$AS$1006,0)))),"Fix")))</f>
        <v xml:space="preserve"> </v>
      </c>
      <c r="Q499" s="4" t="str">
        <f ca="1">IF(OR(INDEX($W$2:$W$1001,MATCH(ROWS($V$2:V499),$V$2:$V$1001,0),1)&gt;=100000,INDEX($AC$1005:$AS$1005,1,MATCH(COLUMNS($AC$1006:AR1006),$AC$1006:$AS$1006,0))&gt;=100000), " ",IF(INDEX($AC$2:$AS$1001,MATCH(ROWS($V$2:V499),$V$2:$V$1001,0),MATCH(COLUMNS($AC$1006:AR1006),$AC$1006:$AS$1006,0)), HYPERLINK("#",""), HYPERLINK(CONCATENATE("#metadata!", ADDRESS(INDEX($X$2:$X$1001,MATCH(ROWS($V$2:V499),$V$2:$V$1001,0),0), INDEX($AC$1004:$AS$1004,1,MATCH(COLUMNS($AC$1006:AR1006),$AC$1006:$AS$1006,0)))),"Fix")))</f>
        <v xml:space="preserve"> </v>
      </c>
      <c r="R499" s="4" t="str">
        <f ca="1">IF(OR(INDEX($W$2:$W$1001,MATCH(ROWS($V$2:V499),$V$2:$V$1001,0),1)&gt;=100000,INDEX($AC$1005:$AS$1005,1,MATCH(COLUMNS($AC$1006:AS1006),$AC$1006:$AS$1006,0))&gt;=100000), " ",IF(INDEX($AC$2:$AS$1001,MATCH(ROWS($V$2:V499),$V$2:$V$1001,0),MATCH(COLUMNS($AC$1006:AS1006),$AC$1006:$AS$1006,0)), HYPERLINK("#",""), HYPERLINK(CONCATENATE("#metadata!", ADDRESS(INDEX($X$2:$X$1001,MATCH(ROWS($V$2:V499),$V$2:$V$1001,0),0), INDEX($AC$1004:$AS$1004,1,MATCH(COLUMNS($AC$1006:AS1006),$AC$1006:$AS$1006,0)))),"Fix")))</f>
        <v xml:space="preserve"> </v>
      </c>
      <c r="V499">
        <v>498</v>
      </c>
      <c r="W499">
        <v>100499</v>
      </c>
      <c r="X499">
        <v>499</v>
      </c>
      <c r="Y499" t="b">
        <f t="shared" si="7"/>
        <v>1</v>
      </c>
      <c r="Z499" t="b">
        <f>COUNTBLANK(metadata!B499:R499)=COLUMNS(metadata!B499:R499)</f>
        <v>1</v>
      </c>
      <c r="AA499" t="str">
        <v/>
      </c>
      <c r="AC499" t="b">
        <f ca="1"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AD499" t="b">
        <f>IF(metadata!C499="",FALSE,ISNUMBER(VALUE(metadata!C499)))</f>
        <v>0</v>
      </c>
      <c r="AE499" t="b">
        <f>AND(IF(metadata!D499="",FALSE,TRUE),EXACT(metadata!D499,"years"))</f>
        <v>0</v>
      </c>
      <c r="AF499" t="b">
        <f>OR(AND(IF(metadata!E499="",FALSE,TRUE),OR(EXACT(metadata!E499,"not applicable"),EXACT(metadata!E499,"missing: not collected"),EXACT(metadata!E499,"missing: not provided"),EXACT(metadata!E499,"missing: restricted access"))),AND(IF(metadata!E499="",FALSE,ISNUMBER(VALUE(metadata!E499))),metadata!E499&gt;0))</f>
        <v>0</v>
      </c>
      <c r="AG499" t="b">
        <f>AND(IF(metadata!F499="",FALSE,TRUE),EXACT(metadata!F499,"Not applicable"))</f>
        <v>0</v>
      </c>
      <c r="AH499" t="b">
        <f>AND(IF(metadata!G499="",FALSE,TRUE),EXACT(metadata!G499,"urban biome"))</f>
        <v>0</v>
      </c>
      <c r="AI499" t="b">
        <f>AND(IF(metadata!H499="",FALSE,TRUE),EXACT(metadata!H499,"human-associated habitat"))</f>
        <v>0</v>
      </c>
      <c r="AJ499" t="b">
        <f>AND(IF(metadata!I499="",FALSE,TRUE),OR(EXACT(metadata!I499,"human-associated"),EXACT(metadata!I499,"human-skin"),EXACT(metadata!I499,"human-oral"),EXACT(metadata!I499,"human-gut"),EXACT(metadata!I499,"human-vaginal")))</f>
        <v>0</v>
      </c>
      <c r="AK499" t="b">
        <f>IF(metadata!J499="",FALSE,ISNUMBER(VALUE(metadata!J499)))</f>
        <v>0</v>
      </c>
      <c r="AL499" t="b">
        <f>AND(IF(metadata!K499="",FALSE,TRUE),EXACT(metadata!K499,"cm"))</f>
        <v>0</v>
      </c>
      <c r="AM499" t="b">
        <f>AND(IF(metadata!L499="",FALSE,TRUE),EXACT(metadata!L499,"human"))</f>
        <v>0</v>
      </c>
      <c r="AN499" t="b">
        <f>AND(IF(metadata!M499="",FALSE,TRUE),EXACT(metadata!M499,"Homo sapiens"))</f>
        <v>0</v>
      </c>
      <c r="AO499" t="b">
        <f>AND(IF(metadata!N499="",FALSE,TRUE),EXACT(metadata!N499,"9606"))</f>
        <v>0</v>
      </c>
      <c r="AP499" t="b">
        <f>IF(metadata!O499="",FALSE,TRUE)</f>
        <v>0</v>
      </c>
      <c r="AQ499" t="b">
        <f>IF(metadata!P499="",FALSE,TRUE)</f>
        <v>0</v>
      </c>
      <c r="AR499" t="b">
        <f>IF(metadata!Q499="",FALSE,ISNUMBER(VALUE(metadata!Q499)))</f>
        <v>0</v>
      </c>
      <c r="AS499" t="b">
        <f>AND(IF(metadata!R499="",FALSE,TRUE),EXACT(metadata!R499,"kg"))</f>
        <v>0</v>
      </c>
    </row>
    <row r="500" spans="1:45" x14ac:dyDescent="0.2">
      <c r="A500" s="5" t="str">
        <f ca="1">IF(B500=" "," ",HYPERLINK(CONCATENATE("#metadata!",ADDRESS(INDEX($X$2:$X$1001,MATCH(ROWS($V$2:V500),$V$2:$V$1001,0),0),1)),INDEX($AA$2:$AA$1001,MATCH(ROWS($V$2:V500),$V$2:$V$1001,0),0)))</f>
        <v xml:space="preserve"> </v>
      </c>
      <c r="B500" s="4" t="str">
        <f ca="1">IF(OR(INDEX($W$2:$W$1001,MATCH(ROWS($V$2:V500),$V$2:$V$1001,0),1)&gt;=100000,INDEX($AC$1005:$AS$1005,1,MATCH(COLUMNS($AC$1006:AC1006),$AC$1006:$AS$1006,0))&gt;=100000), " ",IF(INDEX($AC$2:$AS$1001,MATCH(ROWS($V$2:V500),$V$2:$V$1001,0),MATCH(COLUMNS($AC$1006:AC1006),$AC$1006:$AS$1006,0)), HYPERLINK("#",""), HYPERLINK(CONCATENATE("#metadata!", ADDRESS(INDEX($X$2:$X$1001,MATCH(ROWS($V$2:V500),$V$2:$V$1001,0),0), INDEX($AC$1004:$AS$1004,1,MATCH(COLUMNS($AC$1006:AC1006),$AC$1006:$AS$1006,0)))),"Fix")))</f>
        <v xml:space="preserve"> </v>
      </c>
      <c r="C500" s="4" t="str">
        <f ca="1">IF(OR(INDEX($W$2:$W$1001,MATCH(ROWS($V$2:V500),$V$2:$V$1001,0),1)&gt;=100000,INDEX($AC$1005:$AS$1005,1,MATCH(COLUMNS($AC$1006:AD1006),$AC$1006:$AS$1006,0))&gt;=100000), " ",IF(INDEX($AC$2:$AS$1001,MATCH(ROWS($V$2:V500),$V$2:$V$1001,0),MATCH(COLUMNS($AC$1006:AD1006),$AC$1006:$AS$1006,0)), HYPERLINK("#",""), HYPERLINK(CONCATENATE("#metadata!", ADDRESS(INDEX($X$2:$X$1001,MATCH(ROWS($V$2:V500),$V$2:$V$1001,0),0), INDEX($AC$1004:$AS$1004,1,MATCH(COLUMNS($AC$1006:AD1006),$AC$1006:$AS$1006,0)))),"Fix")))</f>
        <v xml:space="preserve"> </v>
      </c>
      <c r="D500" s="4" t="str">
        <f ca="1">IF(OR(INDEX($W$2:$W$1001,MATCH(ROWS($V$2:V500),$V$2:$V$1001,0),1)&gt;=100000,INDEX($AC$1005:$AS$1005,1,MATCH(COLUMNS($AC$1006:AE1006),$AC$1006:$AS$1006,0))&gt;=100000), " ",IF(INDEX($AC$2:$AS$1001,MATCH(ROWS($V$2:V500),$V$2:$V$1001,0),MATCH(COLUMNS($AC$1006:AE1006),$AC$1006:$AS$1006,0)), HYPERLINK("#",""), HYPERLINK(CONCATENATE("#metadata!", ADDRESS(INDEX($X$2:$X$1001,MATCH(ROWS($V$2:V500),$V$2:$V$1001,0),0), INDEX($AC$1004:$AS$1004,1,MATCH(COLUMNS($AC$1006:AE1006),$AC$1006:$AS$1006,0)))),"Fix")))</f>
        <v xml:space="preserve"> </v>
      </c>
      <c r="E500" s="4" t="str">
        <f ca="1">IF(OR(INDEX($W$2:$W$1001,MATCH(ROWS($V$2:V500),$V$2:$V$1001,0),1)&gt;=100000,INDEX($AC$1005:$AS$1005,1,MATCH(COLUMNS($AC$1006:AF1006),$AC$1006:$AS$1006,0))&gt;=100000), " ",IF(INDEX($AC$2:$AS$1001,MATCH(ROWS($V$2:V500),$V$2:$V$1001,0),MATCH(COLUMNS($AC$1006:AF1006),$AC$1006:$AS$1006,0)), HYPERLINK("#",""), HYPERLINK(CONCATENATE("#metadata!", ADDRESS(INDEX($X$2:$X$1001,MATCH(ROWS($V$2:V500),$V$2:$V$1001,0),0), INDEX($AC$1004:$AS$1004,1,MATCH(COLUMNS($AC$1006:AF1006),$AC$1006:$AS$1006,0)))),"Fix")))</f>
        <v xml:space="preserve"> </v>
      </c>
      <c r="F500" s="4" t="str">
        <f ca="1">IF(OR(INDEX($W$2:$W$1001,MATCH(ROWS($V$2:V500),$V$2:$V$1001,0),1)&gt;=100000,INDEX($AC$1005:$AS$1005,1,MATCH(COLUMNS($AC$1006:AG1006),$AC$1006:$AS$1006,0))&gt;=100000), " ",IF(INDEX($AC$2:$AS$1001,MATCH(ROWS($V$2:V500),$V$2:$V$1001,0),MATCH(COLUMNS($AC$1006:AG1006),$AC$1006:$AS$1006,0)), HYPERLINK("#",""), HYPERLINK(CONCATENATE("#metadata!", ADDRESS(INDEX($X$2:$X$1001,MATCH(ROWS($V$2:V500),$V$2:$V$1001,0),0), INDEX($AC$1004:$AS$1004,1,MATCH(COLUMNS($AC$1006:AG1006),$AC$1006:$AS$1006,0)))),"Fix")))</f>
        <v xml:space="preserve"> </v>
      </c>
      <c r="G500" s="4" t="str">
        <f ca="1">IF(OR(INDEX($W$2:$W$1001,MATCH(ROWS($V$2:V500),$V$2:$V$1001,0),1)&gt;=100000,INDEX($AC$1005:$AS$1005,1,MATCH(COLUMNS($AC$1006:AH1006),$AC$1006:$AS$1006,0))&gt;=100000), " ",IF(INDEX($AC$2:$AS$1001,MATCH(ROWS($V$2:V500),$V$2:$V$1001,0),MATCH(COLUMNS($AC$1006:AH1006),$AC$1006:$AS$1006,0)), HYPERLINK("#",""), HYPERLINK(CONCATENATE("#metadata!", ADDRESS(INDEX($X$2:$X$1001,MATCH(ROWS($V$2:V500),$V$2:$V$1001,0),0), INDEX($AC$1004:$AS$1004,1,MATCH(COLUMNS($AC$1006:AH1006),$AC$1006:$AS$1006,0)))),"Fix")))</f>
        <v xml:space="preserve"> </v>
      </c>
      <c r="H500" s="4" t="str">
        <f ca="1">IF(OR(INDEX($W$2:$W$1001,MATCH(ROWS($V$2:V500),$V$2:$V$1001,0),1)&gt;=100000,INDEX($AC$1005:$AS$1005,1,MATCH(COLUMNS($AC$1006:AI1006),$AC$1006:$AS$1006,0))&gt;=100000), " ",IF(INDEX($AC$2:$AS$1001,MATCH(ROWS($V$2:V500),$V$2:$V$1001,0),MATCH(COLUMNS($AC$1006:AI1006),$AC$1006:$AS$1006,0)), HYPERLINK("#",""), HYPERLINK(CONCATENATE("#metadata!", ADDRESS(INDEX($X$2:$X$1001,MATCH(ROWS($V$2:V500),$V$2:$V$1001,0),0), INDEX($AC$1004:$AS$1004,1,MATCH(COLUMNS($AC$1006:AI1006),$AC$1006:$AS$1006,0)))),"Fix")))</f>
        <v xml:space="preserve"> </v>
      </c>
      <c r="I500" s="4" t="str">
        <f ca="1">IF(OR(INDEX($W$2:$W$1001,MATCH(ROWS($V$2:V500),$V$2:$V$1001,0),1)&gt;=100000,INDEX($AC$1005:$AS$1005,1,MATCH(COLUMNS($AC$1006:AJ1006),$AC$1006:$AS$1006,0))&gt;=100000), " ",IF(INDEX($AC$2:$AS$1001,MATCH(ROWS($V$2:V500),$V$2:$V$1001,0),MATCH(COLUMNS($AC$1006:AJ1006),$AC$1006:$AS$1006,0)), HYPERLINK("#",""), HYPERLINK(CONCATENATE("#metadata!", ADDRESS(INDEX($X$2:$X$1001,MATCH(ROWS($V$2:V500),$V$2:$V$1001,0),0), INDEX($AC$1004:$AS$1004,1,MATCH(COLUMNS($AC$1006:AJ1006),$AC$1006:$AS$1006,0)))),"Fix")))</f>
        <v xml:space="preserve"> </v>
      </c>
      <c r="J500" s="4" t="str">
        <f ca="1">IF(OR(INDEX($W$2:$W$1001,MATCH(ROWS($V$2:V500),$V$2:$V$1001,0),1)&gt;=100000,INDEX($AC$1005:$AS$1005,1,MATCH(COLUMNS($AC$1006:AK1006),$AC$1006:$AS$1006,0))&gt;=100000), " ",IF(INDEX($AC$2:$AS$1001,MATCH(ROWS($V$2:V500),$V$2:$V$1001,0),MATCH(COLUMNS($AC$1006:AK1006),$AC$1006:$AS$1006,0)), HYPERLINK("#",""), HYPERLINK(CONCATENATE("#metadata!", ADDRESS(INDEX($X$2:$X$1001,MATCH(ROWS($V$2:V500),$V$2:$V$1001,0),0), INDEX($AC$1004:$AS$1004,1,MATCH(COLUMNS($AC$1006:AK1006),$AC$1006:$AS$1006,0)))),"Fix")))</f>
        <v xml:space="preserve"> </v>
      </c>
      <c r="K500" s="4" t="str">
        <f ca="1">IF(OR(INDEX($W$2:$W$1001,MATCH(ROWS($V$2:V500),$V$2:$V$1001,0),1)&gt;=100000,INDEX($AC$1005:$AS$1005,1,MATCH(COLUMNS($AC$1006:AL1006),$AC$1006:$AS$1006,0))&gt;=100000), " ",IF(INDEX($AC$2:$AS$1001,MATCH(ROWS($V$2:V500),$V$2:$V$1001,0),MATCH(COLUMNS($AC$1006:AL1006),$AC$1006:$AS$1006,0)), HYPERLINK("#",""), HYPERLINK(CONCATENATE("#metadata!", ADDRESS(INDEX($X$2:$X$1001,MATCH(ROWS($V$2:V500),$V$2:$V$1001,0),0), INDEX($AC$1004:$AS$1004,1,MATCH(COLUMNS($AC$1006:AL1006),$AC$1006:$AS$1006,0)))),"Fix")))</f>
        <v xml:space="preserve"> </v>
      </c>
      <c r="L500" s="4" t="str">
        <f ca="1">IF(OR(INDEX($W$2:$W$1001,MATCH(ROWS($V$2:V500),$V$2:$V$1001,0),1)&gt;=100000,INDEX($AC$1005:$AS$1005,1,MATCH(COLUMNS($AC$1006:AM1006),$AC$1006:$AS$1006,0))&gt;=100000), " ",IF(INDEX($AC$2:$AS$1001,MATCH(ROWS($V$2:V500),$V$2:$V$1001,0),MATCH(COLUMNS($AC$1006:AM1006),$AC$1006:$AS$1006,0)), HYPERLINK("#",""), HYPERLINK(CONCATENATE("#metadata!", ADDRESS(INDEX($X$2:$X$1001,MATCH(ROWS($V$2:V500),$V$2:$V$1001,0),0), INDEX($AC$1004:$AS$1004,1,MATCH(COLUMNS($AC$1006:AM1006),$AC$1006:$AS$1006,0)))),"Fix")))</f>
        <v xml:space="preserve"> </v>
      </c>
      <c r="M500" s="4" t="str">
        <f ca="1">IF(OR(INDEX($W$2:$W$1001,MATCH(ROWS($V$2:V500),$V$2:$V$1001,0),1)&gt;=100000,INDEX($AC$1005:$AS$1005,1,MATCH(COLUMNS($AC$1006:AN1006),$AC$1006:$AS$1006,0))&gt;=100000), " ",IF(INDEX($AC$2:$AS$1001,MATCH(ROWS($V$2:V500),$V$2:$V$1001,0),MATCH(COLUMNS($AC$1006:AN1006),$AC$1006:$AS$1006,0)), HYPERLINK("#",""), HYPERLINK(CONCATENATE("#metadata!", ADDRESS(INDEX($X$2:$X$1001,MATCH(ROWS($V$2:V500),$V$2:$V$1001,0),0), INDEX($AC$1004:$AS$1004,1,MATCH(COLUMNS($AC$1006:AN1006),$AC$1006:$AS$1006,0)))),"Fix")))</f>
        <v xml:space="preserve"> </v>
      </c>
      <c r="N500" s="4" t="str">
        <f ca="1">IF(OR(INDEX($W$2:$W$1001,MATCH(ROWS($V$2:V500),$V$2:$V$1001,0),1)&gt;=100000,INDEX($AC$1005:$AS$1005,1,MATCH(COLUMNS($AC$1006:AO1006),$AC$1006:$AS$1006,0))&gt;=100000), " ",IF(INDEX($AC$2:$AS$1001,MATCH(ROWS($V$2:V500),$V$2:$V$1001,0),MATCH(COLUMNS($AC$1006:AO1006),$AC$1006:$AS$1006,0)), HYPERLINK("#",""), HYPERLINK(CONCATENATE("#metadata!", ADDRESS(INDEX($X$2:$X$1001,MATCH(ROWS($V$2:V500),$V$2:$V$1001,0),0), INDEX($AC$1004:$AS$1004,1,MATCH(COLUMNS($AC$1006:AO1006),$AC$1006:$AS$1006,0)))),"Fix")))</f>
        <v xml:space="preserve"> </v>
      </c>
      <c r="O500" s="4" t="str">
        <f ca="1">IF(OR(INDEX($W$2:$W$1001,MATCH(ROWS($V$2:V500),$V$2:$V$1001,0),1)&gt;=100000,INDEX($AC$1005:$AS$1005,1,MATCH(COLUMNS($AC$1006:AP1006),$AC$1006:$AS$1006,0))&gt;=100000), " ",IF(INDEX($AC$2:$AS$1001,MATCH(ROWS($V$2:V500),$V$2:$V$1001,0),MATCH(COLUMNS($AC$1006:AP1006),$AC$1006:$AS$1006,0)), HYPERLINK("#",""), HYPERLINK(CONCATENATE("#metadata!", ADDRESS(INDEX($X$2:$X$1001,MATCH(ROWS($V$2:V500),$V$2:$V$1001,0),0), INDEX($AC$1004:$AS$1004,1,MATCH(COLUMNS($AC$1006:AP1006),$AC$1006:$AS$1006,0)))),"Fix")))</f>
        <v xml:space="preserve"> </v>
      </c>
      <c r="P500" s="4" t="str">
        <f ca="1">IF(OR(INDEX($W$2:$W$1001,MATCH(ROWS($V$2:V500),$V$2:$V$1001,0),1)&gt;=100000,INDEX($AC$1005:$AS$1005,1,MATCH(COLUMNS($AC$1006:AQ1006),$AC$1006:$AS$1006,0))&gt;=100000), " ",IF(INDEX($AC$2:$AS$1001,MATCH(ROWS($V$2:V500),$V$2:$V$1001,0),MATCH(COLUMNS($AC$1006:AQ1006),$AC$1006:$AS$1006,0)), HYPERLINK("#",""), HYPERLINK(CONCATENATE("#metadata!", ADDRESS(INDEX($X$2:$X$1001,MATCH(ROWS($V$2:V500),$V$2:$V$1001,0),0), INDEX($AC$1004:$AS$1004,1,MATCH(COLUMNS($AC$1006:AQ1006),$AC$1006:$AS$1006,0)))),"Fix")))</f>
        <v xml:space="preserve"> </v>
      </c>
      <c r="Q500" s="4" t="str">
        <f ca="1">IF(OR(INDEX($W$2:$W$1001,MATCH(ROWS($V$2:V500),$V$2:$V$1001,0),1)&gt;=100000,INDEX($AC$1005:$AS$1005,1,MATCH(COLUMNS($AC$1006:AR1006),$AC$1006:$AS$1006,0))&gt;=100000), " ",IF(INDEX($AC$2:$AS$1001,MATCH(ROWS($V$2:V500),$V$2:$V$1001,0),MATCH(COLUMNS($AC$1006:AR1006),$AC$1006:$AS$1006,0)), HYPERLINK("#",""), HYPERLINK(CONCATENATE("#metadata!", ADDRESS(INDEX($X$2:$X$1001,MATCH(ROWS($V$2:V500),$V$2:$V$1001,0),0), INDEX($AC$1004:$AS$1004,1,MATCH(COLUMNS($AC$1006:AR1006),$AC$1006:$AS$1006,0)))),"Fix")))</f>
        <v xml:space="preserve"> </v>
      </c>
      <c r="R500" s="4" t="str">
        <f ca="1">IF(OR(INDEX($W$2:$W$1001,MATCH(ROWS($V$2:V500),$V$2:$V$1001,0),1)&gt;=100000,INDEX($AC$1005:$AS$1005,1,MATCH(COLUMNS($AC$1006:AS1006),$AC$1006:$AS$1006,0))&gt;=100000), " ",IF(INDEX($AC$2:$AS$1001,MATCH(ROWS($V$2:V500),$V$2:$V$1001,0),MATCH(COLUMNS($AC$1006:AS1006),$AC$1006:$AS$1006,0)), HYPERLINK("#",""), HYPERLINK(CONCATENATE("#metadata!", ADDRESS(INDEX($X$2:$X$1001,MATCH(ROWS($V$2:V500),$V$2:$V$1001,0),0), INDEX($AC$1004:$AS$1004,1,MATCH(COLUMNS($AC$1006:AS1006),$AC$1006:$AS$1006,0)))),"Fix")))</f>
        <v xml:space="preserve"> </v>
      </c>
      <c r="V500">
        <v>499</v>
      </c>
      <c r="W500">
        <v>100500</v>
      </c>
      <c r="X500">
        <v>500</v>
      </c>
      <c r="Y500" t="b">
        <f t="shared" si="7"/>
        <v>1</v>
      </c>
      <c r="Z500" t="b">
        <f>COUNTBLANK(metadata!B500:R500)=COLUMNS(metadata!B500:R500)</f>
        <v>1</v>
      </c>
      <c r="AA500" t="str">
        <v/>
      </c>
      <c r="AC500" t="b">
        <f ca="1"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AD500" t="b">
        <f>IF(metadata!C500="",FALSE,ISNUMBER(VALUE(metadata!C500)))</f>
        <v>0</v>
      </c>
      <c r="AE500" t="b">
        <f>AND(IF(metadata!D500="",FALSE,TRUE),EXACT(metadata!D500,"years"))</f>
        <v>0</v>
      </c>
      <c r="AF500" t="b">
        <f>OR(AND(IF(metadata!E500="",FALSE,TRUE),OR(EXACT(metadata!E500,"not applicable"),EXACT(metadata!E500,"missing: not collected"),EXACT(metadata!E500,"missing: not provided"),EXACT(metadata!E500,"missing: restricted access"))),AND(IF(metadata!E500="",FALSE,ISNUMBER(VALUE(metadata!E500))),metadata!E500&gt;0))</f>
        <v>0</v>
      </c>
      <c r="AG500" t="b">
        <f>AND(IF(metadata!F500="",FALSE,TRUE),EXACT(metadata!F500,"Not applicable"))</f>
        <v>0</v>
      </c>
      <c r="AH500" t="b">
        <f>AND(IF(metadata!G500="",FALSE,TRUE),EXACT(metadata!G500,"urban biome"))</f>
        <v>0</v>
      </c>
      <c r="AI500" t="b">
        <f>AND(IF(metadata!H500="",FALSE,TRUE),EXACT(metadata!H500,"human-associated habitat"))</f>
        <v>0</v>
      </c>
      <c r="AJ500" t="b">
        <f>AND(IF(metadata!I500="",FALSE,TRUE),OR(EXACT(metadata!I500,"human-associated"),EXACT(metadata!I500,"human-skin"),EXACT(metadata!I500,"human-oral"),EXACT(metadata!I500,"human-gut"),EXACT(metadata!I500,"human-vaginal")))</f>
        <v>0</v>
      </c>
      <c r="AK500" t="b">
        <f>IF(metadata!J500="",FALSE,ISNUMBER(VALUE(metadata!J500)))</f>
        <v>0</v>
      </c>
      <c r="AL500" t="b">
        <f>AND(IF(metadata!K500="",FALSE,TRUE),EXACT(metadata!K500,"cm"))</f>
        <v>0</v>
      </c>
      <c r="AM500" t="b">
        <f>AND(IF(metadata!L500="",FALSE,TRUE),EXACT(metadata!L500,"human"))</f>
        <v>0</v>
      </c>
      <c r="AN500" t="b">
        <f>AND(IF(metadata!M500="",FALSE,TRUE),EXACT(metadata!M500,"Homo sapiens"))</f>
        <v>0</v>
      </c>
      <c r="AO500" t="b">
        <f>AND(IF(metadata!N500="",FALSE,TRUE),EXACT(metadata!N500,"9606"))</f>
        <v>0</v>
      </c>
      <c r="AP500" t="b">
        <f>IF(metadata!O500="",FALSE,TRUE)</f>
        <v>0</v>
      </c>
      <c r="AQ500" t="b">
        <f>IF(metadata!P500="",FALSE,TRUE)</f>
        <v>0</v>
      </c>
      <c r="AR500" t="b">
        <f>IF(metadata!Q500="",FALSE,ISNUMBER(VALUE(metadata!Q500)))</f>
        <v>0</v>
      </c>
      <c r="AS500" t="b">
        <f>AND(IF(metadata!R500="",FALSE,TRUE),EXACT(metadata!R500,"kg"))</f>
        <v>0</v>
      </c>
    </row>
    <row r="501" spans="1:45" x14ac:dyDescent="0.2">
      <c r="A501" s="5" t="str">
        <f ca="1">IF(B501=" "," ",HYPERLINK(CONCATENATE("#metadata!",ADDRESS(INDEX($X$2:$X$1001,MATCH(ROWS($V$2:V501),$V$2:$V$1001,0),0),1)),INDEX($AA$2:$AA$1001,MATCH(ROWS($V$2:V501),$V$2:$V$1001,0),0)))</f>
        <v xml:space="preserve"> </v>
      </c>
      <c r="B501" s="4" t="str">
        <f ca="1">IF(OR(INDEX($W$2:$W$1001,MATCH(ROWS($V$2:V501),$V$2:$V$1001,0),1)&gt;=100000,INDEX($AC$1005:$AS$1005,1,MATCH(COLUMNS($AC$1006:AC1006),$AC$1006:$AS$1006,0))&gt;=100000), " ",IF(INDEX($AC$2:$AS$1001,MATCH(ROWS($V$2:V501),$V$2:$V$1001,0),MATCH(COLUMNS($AC$1006:AC1006),$AC$1006:$AS$1006,0)), HYPERLINK("#",""), HYPERLINK(CONCATENATE("#metadata!", ADDRESS(INDEX($X$2:$X$1001,MATCH(ROWS($V$2:V501),$V$2:$V$1001,0),0), INDEX($AC$1004:$AS$1004,1,MATCH(COLUMNS($AC$1006:AC1006),$AC$1006:$AS$1006,0)))),"Fix")))</f>
        <v xml:space="preserve"> </v>
      </c>
      <c r="C501" s="4" t="str">
        <f ca="1">IF(OR(INDEX($W$2:$W$1001,MATCH(ROWS($V$2:V501),$V$2:$V$1001,0),1)&gt;=100000,INDEX($AC$1005:$AS$1005,1,MATCH(COLUMNS($AC$1006:AD1006),$AC$1006:$AS$1006,0))&gt;=100000), " ",IF(INDEX($AC$2:$AS$1001,MATCH(ROWS($V$2:V501),$V$2:$V$1001,0),MATCH(COLUMNS($AC$1006:AD1006),$AC$1006:$AS$1006,0)), HYPERLINK("#",""), HYPERLINK(CONCATENATE("#metadata!", ADDRESS(INDEX($X$2:$X$1001,MATCH(ROWS($V$2:V501),$V$2:$V$1001,0),0), INDEX($AC$1004:$AS$1004,1,MATCH(COLUMNS($AC$1006:AD1006),$AC$1006:$AS$1006,0)))),"Fix")))</f>
        <v xml:space="preserve"> </v>
      </c>
      <c r="D501" s="4" t="str">
        <f ca="1">IF(OR(INDEX($W$2:$W$1001,MATCH(ROWS($V$2:V501),$V$2:$V$1001,0),1)&gt;=100000,INDEX($AC$1005:$AS$1005,1,MATCH(COLUMNS($AC$1006:AE1006),$AC$1006:$AS$1006,0))&gt;=100000), " ",IF(INDEX($AC$2:$AS$1001,MATCH(ROWS($V$2:V501),$V$2:$V$1001,0),MATCH(COLUMNS($AC$1006:AE1006),$AC$1006:$AS$1006,0)), HYPERLINK("#",""), HYPERLINK(CONCATENATE("#metadata!", ADDRESS(INDEX($X$2:$X$1001,MATCH(ROWS($V$2:V501),$V$2:$V$1001,0),0), INDEX($AC$1004:$AS$1004,1,MATCH(COLUMNS($AC$1006:AE1006),$AC$1006:$AS$1006,0)))),"Fix")))</f>
        <v xml:space="preserve"> </v>
      </c>
      <c r="E501" s="4" t="str">
        <f ca="1">IF(OR(INDEX($W$2:$W$1001,MATCH(ROWS($V$2:V501),$V$2:$V$1001,0),1)&gt;=100000,INDEX($AC$1005:$AS$1005,1,MATCH(COLUMNS($AC$1006:AF1006),$AC$1006:$AS$1006,0))&gt;=100000), " ",IF(INDEX($AC$2:$AS$1001,MATCH(ROWS($V$2:V501),$V$2:$V$1001,0),MATCH(COLUMNS($AC$1006:AF1006),$AC$1006:$AS$1006,0)), HYPERLINK("#",""), HYPERLINK(CONCATENATE("#metadata!", ADDRESS(INDEX($X$2:$X$1001,MATCH(ROWS($V$2:V501),$V$2:$V$1001,0),0), INDEX($AC$1004:$AS$1004,1,MATCH(COLUMNS($AC$1006:AF1006),$AC$1006:$AS$1006,0)))),"Fix")))</f>
        <v xml:space="preserve"> </v>
      </c>
      <c r="F501" s="4" t="str">
        <f ca="1">IF(OR(INDEX($W$2:$W$1001,MATCH(ROWS($V$2:V501),$V$2:$V$1001,0),1)&gt;=100000,INDEX($AC$1005:$AS$1005,1,MATCH(COLUMNS($AC$1006:AG1006),$AC$1006:$AS$1006,0))&gt;=100000), " ",IF(INDEX($AC$2:$AS$1001,MATCH(ROWS($V$2:V501),$V$2:$V$1001,0),MATCH(COLUMNS($AC$1006:AG1006),$AC$1006:$AS$1006,0)), HYPERLINK("#",""), HYPERLINK(CONCATENATE("#metadata!", ADDRESS(INDEX($X$2:$X$1001,MATCH(ROWS($V$2:V501),$V$2:$V$1001,0),0), INDEX($AC$1004:$AS$1004,1,MATCH(COLUMNS($AC$1006:AG1006),$AC$1006:$AS$1006,0)))),"Fix")))</f>
        <v xml:space="preserve"> </v>
      </c>
      <c r="G501" s="4" t="str">
        <f ca="1">IF(OR(INDEX($W$2:$W$1001,MATCH(ROWS($V$2:V501),$V$2:$V$1001,0),1)&gt;=100000,INDEX($AC$1005:$AS$1005,1,MATCH(COLUMNS($AC$1006:AH1006),$AC$1006:$AS$1006,0))&gt;=100000), " ",IF(INDEX($AC$2:$AS$1001,MATCH(ROWS($V$2:V501),$V$2:$V$1001,0),MATCH(COLUMNS($AC$1006:AH1006),$AC$1006:$AS$1006,0)), HYPERLINK("#",""), HYPERLINK(CONCATENATE("#metadata!", ADDRESS(INDEX($X$2:$X$1001,MATCH(ROWS($V$2:V501),$V$2:$V$1001,0),0), INDEX($AC$1004:$AS$1004,1,MATCH(COLUMNS($AC$1006:AH1006),$AC$1006:$AS$1006,0)))),"Fix")))</f>
        <v xml:space="preserve"> </v>
      </c>
      <c r="H501" s="4" t="str">
        <f ca="1">IF(OR(INDEX($W$2:$W$1001,MATCH(ROWS($V$2:V501),$V$2:$V$1001,0),1)&gt;=100000,INDEX($AC$1005:$AS$1005,1,MATCH(COLUMNS($AC$1006:AI1006),$AC$1006:$AS$1006,0))&gt;=100000), " ",IF(INDEX($AC$2:$AS$1001,MATCH(ROWS($V$2:V501),$V$2:$V$1001,0),MATCH(COLUMNS($AC$1006:AI1006),$AC$1006:$AS$1006,0)), HYPERLINK("#",""), HYPERLINK(CONCATENATE("#metadata!", ADDRESS(INDEX($X$2:$X$1001,MATCH(ROWS($V$2:V501),$V$2:$V$1001,0),0), INDEX($AC$1004:$AS$1004,1,MATCH(COLUMNS($AC$1006:AI1006),$AC$1006:$AS$1006,0)))),"Fix")))</f>
        <v xml:space="preserve"> </v>
      </c>
      <c r="I501" s="4" t="str">
        <f ca="1">IF(OR(INDEX($W$2:$W$1001,MATCH(ROWS($V$2:V501),$V$2:$V$1001,0),1)&gt;=100000,INDEX($AC$1005:$AS$1005,1,MATCH(COLUMNS($AC$1006:AJ1006),$AC$1006:$AS$1006,0))&gt;=100000), " ",IF(INDEX($AC$2:$AS$1001,MATCH(ROWS($V$2:V501),$V$2:$V$1001,0),MATCH(COLUMNS($AC$1006:AJ1006),$AC$1006:$AS$1006,0)), HYPERLINK("#",""), HYPERLINK(CONCATENATE("#metadata!", ADDRESS(INDEX($X$2:$X$1001,MATCH(ROWS($V$2:V501),$V$2:$V$1001,0),0), INDEX($AC$1004:$AS$1004,1,MATCH(COLUMNS($AC$1006:AJ1006),$AC$1006:$AS$1006,0)))),"Fix")))</f>
        <v xml:space="preserve"> </v>
      </c>
      <c r="J501" s="4" t="str">
        <f ca="1">IF(OR(INDEX($W$2:$W$1001,MATCH(ROWS($V$2:V501),$V$2:$V$1001,0),1)&gt;=100000,INDEX($AC$1005:$AS$1005,1,MATCH(COLUMNS($AC$1006:AK1006),$AC$1006:$AS$1006,0))&gt;=100000), " ",IF(INDEX($AC$2:$AS$1001,MATCH(ROWS($V$2:V501),$V$2:$V$1001,0),MATCH(COLUMNS($AC$1006:AK1006),$AC$1006:$AS$1006,0)), HYPERLINK("#",""), HYPERLINK(CONCATENATE("#metadata!", ADDRESS(INDEX($X$2:$X$1001,MATCH(ROWS($V$2:V501),$V$2:$V$1001,0),0), INDEX($AC$1004:$AS$1004,1,MATCH(COLUMNS($AC$1006:AK1006),$AC$1006:$AS$1006,0)))),"Fix")))</f>
        <v xml:space="preserve"> </v>
      </c>
      <c r="K501" s="4" t="str">
        <f ca="1">IF(OR(INDEX($W$2:$W$1001,MATCH(ROWS($V$2:V501),$V$2:$V$1001,0),1)&gt;=100000,INDEX($AC$1005:$AS$1005,1,MATCH(COLUMNS($AC$1006:AL1006),$AC$1006:$AS$1006,0))&gt;=100000), " ",IF(INDEX($AC$2:$AS$1001,MATCH(ROWS($V$2:V501),$V$2:$V$1001,0),MATCH(COLUMNS($AC$1006:AL1006),$AC$1006:$AS$1006,0)), HYPERLINK("#",""), HYPERLINK(CONCATENATE("#metadata!", ADDRESS(INDEX($X$2:$X$1001,MATCH(ROWS($V$2:V501),$V$2:$V$1001,0),0), INDEX($AC$1004:$AS$1004,1,MATCH(COLUMNS($AC$1006:AL1006),$AC$1006:$AS$1006,0)))),"Fix")))</f>
        <v xml:space="preserve"> </v>
      </c>
      <c r="L501" s="4" t="str">
        <f ca="1">IF(OR(INDEX($W$2:$W$1001,MATCH(ROWS($V$2:V501),$V$2:$V$1001,0),1)&gt;=100000,INDEX($AC$1005:$AS$1005,1,MATCH(COLUMNS($AC$1006:AM1006),$AC$1006:$AS$1006,0))&gt;=100000), " ",IF(INDEX($AC$2:$AS$1001,MATCH(ROWS($V$2:V501),$V$2:$V$1001,0),MATCH(COLUMNS($AC$1006:AM1006),$AC$1006:$AS$1006,0)), HYPERLINK("#",""), HYPERLINK(CONCATENATE("#metadata!", ADDRESS(INDEX($X$2:$X$1001,MATCH(ROWS($V$2:V501),$V$2:$V$1001,0),0), INDEX($AC$1004:$AS$1004,1,MATCH(COLUMNS($AC$1006:AM1006),$AC$1006:$AS$1006,0)))),"Fix")))</f>
        <v xml:space="preserve"> </v>
      </c>
      <c r="M501" s="4" t="str">
        <f ca="1">IF(OR(INDEX($W$2:$W$1001,MATCH(ROWS($V$2:V501),$V$2:$V$1001,0),1)&gt;=100000,INDEX($AC$1005:$AS$1005,1,MATCH(COLUMNS($AC$1006:AN1006),$AC$1006:$AS$1006,0))&gt;=100000), " ",IF(INDEX($AC$2:$AS$1001,MATCH(ROWS($V$2:V501),$V$2:$V$1001,0),MATCH(COLUMNS($AC$1006:AN1006),$AC$1006:$AS$1006,0)), HYPERLINK("#",""), HYPERLINK(CONCATENATE("#metadata!", ADDRESS(INDEX($X$2:$X$1001,MATCH(ROWS($V$2:V501),$V$2:$V$1001,0),0), INDEX($AC$1004:$AS$1004,1,MATCH(COLUMNS($AC$1006:AN1006),$AC$1006:$AS$1006,0)))),"Fix")))</f>
        <v xml:space="preserve"> </v>
      </c>
      <c r="N501" s="4" t="str">
        <f ca="1">IF(OR(INDEX($W$2:$W$1001,MATCH(ROWS($V$2:V501),$V$2:$V$1001,0),1)&gt;=100000,INDEX($AC$1005:$AS$1005,1,MATCH(COLUMNS($AC$1006:AO1006),$AC$1006:$AS$1006,0))&gt;=100000), " ",IF(INDEX($AC$2:$AS$1001,MATCH(ROWS($V$2:V501),$V$2:$V$1001,0),MATCH(COLUMNS($AC$1006:AO1006),$AC$1006:$AS$1006,0)), HYPERLINK("#",""), HYPERLINK(CONCATENATE("#metadata!", ADDRESS(INDEX($X$2:$X$1001,MATCH(ROWS($V$2:V501),$V$2:$V$1001,0),0), INDEX($AC$1004:$AS$1004,1,MATCH(COLUMNS($AC$1006:AO1006),$AC$1006:$AS$1006,0)))),"Fix")))</f>
        <v xml:space="preserve"> </v>
      </c>
      <c r="O501" s="4" t="str">
        <f ca="1">IF(OR(INDEX($W$2:$W$1001,MATCH(ROWS($V$2:V501),$V$2:$V$1001,0),1)&gt;=100000,INDEX($AC$1005:$AS$1005,1,MATCH(COLUMNS($AC$1006:AP1006),$AC$1006:$AS$1006,0))&gt;=100000), " ",IF(INDEX($AC$2:$AS$1001,MATCH(ROWS($V$2:V501),$V$2:$V$1001,0),MATCH(COLUMNS($AC$1006:AP1006),$AC$1006:$AS$1006,0)), HYPERLINK("#",""), HYPERLINK(CONCATENATE("#metadata!", ADDRESS(INDEX($X$2:$X$1001,MATCH(ROWS($V$2:V501),$V$2:$V$1001,0),0), INDEX($AC$1004:$AS$1004,1,MATCH(COLUMNS($AC$1006:AP1006),$AC$1006:$AS$1006,0)))),"Fix")))</f>
        <v xml:space="preserve"> </v>
      </c>
      <c r="P501" s="4" t="str">
        <f ca="1">IF(OR(INDEX($W$2:$W$1001,MATCH(ROWS($V$2:V501),$V$2:$V$1001,0),1)&gt;=100000,INDEX($AC$1005:$AS$1005,1,MATCH(COLUMNS($AC$1006:AQ1006),$AC$1006:$AS$1006,0))&gt;=100000), " ",IF(INDEX($AC$2:$AS$1001,MATCH(ROWS($V$2:V501),$V$2:$V$1001,0),MATCH(COLUMNS($AC$1006:AQ1006),$AC$1006:$AS$1006,0)), HYPERLINK("#",""), HYPERLINK(CONCATENATE("#metadata!", ADDRESS(INDEX($X$2:$X$1001,MATCH(ROWS($V$2:V501),$V$2:$V$1001,0),0), INDEX($AC$1004:$AS$1004,1,MATCH(COLUMNS($AC$1006:AQ1006),$AC$1006:$AS$1006,0)))),"Fix")))</f>
        <v xml:space="preserve"> </v>
      </c>
      <c r="Q501" s="4" t="str">
        <f ca="1">IF(OR(INDEX($W$2:$W$1001,MATCH(ROWS($V$2:V501),$V$2:$V$1001,0),1)&gt;=100000,INDEX($AC$1005:$AS$1005,1,MATCH(COLUMNS($AC$1006:AR1006),$AC$1006:$AS$1006,0))&gt;=100000), " ",IF(INDEX($AC$2:$AS$1001,MATCH(ROWS($V$2:V501),$V$2:$V$1001,0),MATCH(COLUMNS($AC$1006:AR1006),$AC$1006:$AS$1006,0)), HYPERLINK("#",""), HYPERLINK(CONCATENATE("#metadata!", ADDRESS(INDEX($X$2:$X$1001,MATCH(ROWS($V$2:V501),$V$2:$V$1001,0),0), INDEX($AC$1004:$AS$1004,1,MATCH(COLUMNS($AC$1006:AR1006),$AC$1006:$AS$1006,0)))),"Fix")))</f>
        <v xml:space="preserve"> </v>
      </c>
      <c r="R501" s="4" t="str">
        <f ca="1">IF(OR(INDEX($W$2:$W$1001,MATCH(ROWS($V$2:V501),$V$2:$V$1001,0),1)&gt;=100000,INDEX($AC$1005:$AS$1005,1,MATCH(COLUMNS($AC$1006:AS1006),$AC$1006:$AS$1006,0))&gt;=100000), " ",IF(INDEX($AC$2:$AS$1001,MATCH(ROWS($V$2:V501),$V$2:$V$1001,0),MATCH(COLUMNS($AC$1006:AS1006),$AC$1006:$AS$1006,0)), HYPERLINK("#",""), HYPERLINK(CONCATENATE("#metadata!", ADDRESS(INDEX($X$2:$X$1001,MATCH(ROWS($V$2:V501),$V$2:$V$1001,0),0), INDEX($AC$1004:$AS$1004,1,MATCH(COLUMNS($AC$1006:AS1006),$AC$1006:$AS$1006,0)))),"Fix")))</f>
        <v xml:space="preserve"> </v>
      </c>
      <c r="V501">
        <v>500</v>
      </c>
      <c r="W501">
        <v>100501</v>
      </c>
      <c r="X501">
        <v>501</v>
      </c>
      <c r="Y501" t="b">
        <f t="shared" si="7"/>
        <v>1</v>
      </c>
      <c r="Z501" t="b">
        <f>COUNTBLANK(metadata!B501:R501)=COLUMNS(metadata!B501:R501)</f>
        <v>1</v>
      </c>
      <c r="AA501" t="str">
        <v/>
      </c>
      <c r="AC501" t="b">
        <f ca="1"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AD501" t="b">
        <f>IF(metadata!C501="",FALSE,ISNUMBER(VALUE(metadata!C501)))</f>
        <v>0</v>
      </c>
      <c r="AE501" t="b">
        <f>AND(IF(metadata!D501="",FALSE,TRUE),EXACT(metadata!D501,"years"))</f>
        <v>0</v>
      </c>
      <c r="AF501" t="b">
        <f>OR(AND(IF(metadata!E501="",FALSE,TRUE),OR(EXACT(metadata!E501,"not applicable"),EXACT(metadata!E501,"missing: not collected"),EXACT(metadata!E501,"missing: not provided"),EXACT(metadata!E501,"missing: restricted access"))),AND(IF(metadata!E501="",FALSE,ISNUMBER(VALUE(metadata!E501))),metadata!E501&gt;0))</f>
        <v>0</v>
      </c>
      <c r="AG501" t="b">
        <f>AND(IF(metadata!F501="",FALSE,TRUE),EXACT(metadata!F501,"Not applicable"))</f>
        <v>0</v>
      </c>
      <c r="AH501" t="b">
        <f>AND(IF(metadata!G501="",FALSE,TRUE),EXACT(metadata!G501,"urban biome"))</f>
        <v>0</v>
      </c>
      <c r="AI501" t="b">
        <f>AND(IF(metadata!H501="",FALSE,TRUE),EXACT(metadata!H501,"human-associated habitat"))</f>
        <v>0</v>
      </c>
      <c r="AJ501" t="b">
        <f>AND(IF(metadata!I501="",FALSE,TRUE),OR(EXACT(metadata!I501,"human-associated"),EXACT(metadata!I501,"human-skin"),EXACT(metadata!I501,"human-oral"),EXACT(metadata!I501,"human-gut"),EXACT(metadata!I501,"human-vaginal")))</f>
        <v>0</v>
      </c>
      <c r="AK501" t="b">
        <f>IF(metadata!J501="",FALSE,ISNUMBER(VALUE(metadata!J501)))</f>
        <v>0</v>
      </c>
      <c r="AL501" t="b">
        <f>AND(IF(metadata!K501="",FALSE,TRUE),EXACT(metadata!K501,"cm"))</f>
        <v>0</v>
      </c>
      <c r="AM501" t="b">
        <f>AND(IF(metadata!L501="",FALSE,TRUE),EXACT(metadata!L501,"human"))</f>
        <v>0</v>
      </c>
      <c r="AN501" t="b">
        <f>AND(IF(metadata!M501="",FALSE,TRUE),EXACT(metadata!M501,"Homo sapiens"))</f>
        <v>0</v>
      </c>
      <c r="AO501" t="b">
        <f>AND(IF(metadata!N501="",FALSE,TRUE),EXACT(metadata!N501,"9606"))</f>
        <v>0</v>
      </c>
      <c r="AP501" t="b">
        <f>IF(metadata!O501="",FALSE,TRUE)</f>
        <v>0</v>
      </c>
      <c r="AQ501" t="b">
        <f>IF(metadata!P501="",FALSE,TRUE)</f>
        <v>0</v>
      </c>
      <c r="AR501" t="b">
        <f>IF(metadata!Q501="",FALSE,ISNUMBER(VALUE(metadata!Q501)))</f>
        <v>0</v>
      </c>
      <c r="AS501" t="b">
        <f>AND(IF(metadata!R501="",FALSE,TRUE),EXACT(metadata!R501,"kg"))</f>
        <v>0</v>
      </c>
    </row>
    <row r="502" spans="1:45" x14ac:dyDescent="0.2">
      <c r="A502" s="5" t="str">
        <f ca="1">IF(B502=" "," ",HYPERLINK(CONCATENATE("#metadata!",ADDRESS(INDEX($X$2:$X$1001,MATCH(ROWS($V$2:V502),$V$2:$V$1001,0),0),1)),INDEX($AA$2:$AA$1001,MATCH(ROWS($V$2:V502),$V$2:$V$1001,0),0)))</f>
        <v xml:space="preserve"> </v>
      </c>
      <c r="B502" s="4" t="str">
        <f ca="1">IF(OR(INDEX($W$2:$W$1001,MATCH(ROWS($V$2:V502),$V$2:$V$1001,0),1)&gt;=100000,INDEX($AC$1005:$AS$1005,1,MATCH(COLUMNS($AC$1006:AC1006),$AC$1006:$AS$1006,0))&gt;=100000), " ",IF(INDEX($AC$2:$AS$1001,MATCH(ROWS($V$2:V502),$V$2:$V$1001,0),MATCH(COLUMNS($AC$1006:AC1006),$AC$1006:$AS$1006,0)), HYPERLINK("#",""), HYPERLINK(CONCATENATE("#metadata!", ADDRESS(INDEX($X$2:$X$1001,MATCH(ROWS($V$2:V502),$V$2:$V$1001,0),0), INDEX($AC$1004:$AS$1004,1,MATCH(COLUMNS($AC$1006:AC1006),$AC$1006:$AS$1006,0)))),"Fix")))</f>
        <v xml:space="preserve"> </v>
      </c>
      <c r="C502" s="4" t="str">
        <f ca="1">IF(OR(INDEX($W$2:$W$1001,MATCH(ROWS($V$2:V502),$V$2:$V$1001,0),1)&gt;=100000,INDEX($AC$1005:$AS$1005,1,MATCH(COLUMNS($AC$1006:AD1006),$AC$1006:$AS$1006,0))&gt;=100000), " ",IF(INDEX($AC$2:$AS$1001,MATCH(ROWS($V$2:V502),$V$2:$V$1001,0),MATCH(COLUMNS($AC$1006:AD1006),$AC$1006:$AS$1006,0)), HYPERLINK("#",""), HYPERLINK(CONCATENATE("#metadata!", ADDRESS(INDEX($X$2:$X$1001,MATCH(ROWS($V$2:V502),$V$2:$V$1001,0),0), INDEX($AC$1004:$AS$1004,1,MATCH(COLUMNS($AC$1006:AD1006),$AC$1006:$AS$1006,0)))),"Fix")))</f>
        <v xml:space="preserve"> </v>
      </c>
      <c r="D502" s="4" t="str">
        <f ca="1">IF(OR(INDEX($W$2:$W$1001,MATCH(ROWS($V$2:V502),$V$2:$V$1001,0),1)&gt;=100000,INDEX($AC$1005:$AS$1005,1,MATCH(COLUMNS($AC$1006:AE1006),$AC$1006:$AS$1006,0))&gt;=100000), " ",IF(INDEX($AC$2:$AS$1001,MATCH(ROWS($V$2:V502),$V$2:$V$1001,0),MATCH(COLUMNS($AC$1006:AE1006),$AC$1006:$AS$1006,0)), HYPERLINK("#",""), HYPERLINK(CONCATENATE("#metadata!", ADDRESS(INDEX($X$2:$X$1001,MATCH(ROWS($V$2:V502),$V$2:$V$1001,0),0), INDEX($AC$1004:$AS$1004,1,MATCH(COLUMNS($AC$1006:AE1006),$AC$1006:$AS$1006,0)))),"Fix")))</f>
        <v xml:space="preserve"> </v>
      </c>
      <c r="E502" s="4" t="str">
        <f ca="1">IF(OR(INDEX($W$2:$W$1001,MATCH(ROWS($V$2:V502),$V$2:$V$1001,0),1)&gt;=100000,INDEX($AC$1005:$AS$1005,1,MATCH(COLUMNS($AC$1006:AF1006),$AC$1006:$AS$1006,0))&gt;=100000), " ",IF(INDEX($AC$2:$AS$1001,MATCH(ROWS($V$2:V502),$V$2:$V$1001,0),MATCH(COLUMNS($AC$1006:AF1006),$AC$1006:$AS$1006,0)), HYPERLINK("#",""), HYPERLINK(CONCATENATE("#metadata!", ADDRESS(INDEX($X$2:$X$1001,MATCH(ROWS($V$2:V502),$V$2:$V$1001,0),0), INDEX($AC$1004:$AS$1004,1,MATCH(COLUMNS($AC$1006:AF1006),$AC$1006:$AS$1006,0)))),"Fix")))</f>
        <v xml:space="preserve"> </v>
      </c>
      <c r="F502" s="4" t="str">
        <f ca="1">IF(OR(INDEX($W$2:$W$1001,MATCH(ROWS($V$2:V502),$V$2:$V$1001,0),1)&gt;=100000,INDEX($AC$1005:$AS$1005,1,MATCH(COLUMNS($AC$1006:AG1006),$AC$1006:$AS$1006,0))&gt;=100000), " ",IF(INDEX($AC$2:$AS$1001,MATCH(ROWS($V$2:V502),$V$2:$V$1001,0),MATCH(COLUMNS($AC$1006:AG1006),$AC$1006:$AS$1006,0)), HYPERLINK("#",""), HYPERLINK(CONCATENATE("#metadata!", ADDRESS(INDEX($X$2:$X$1001,MATCH(ROWS($V$2:V502),$V$2:$V$1001,0),0), INDEX($AC$1004:$AS$1004,1,MATCH(COLUMNS($AC$1006:AG1006),$AC$1006:$AS$1006,0)))),"Fix")))</f>
        <v xml:space="preserve"> </v>
      </c>
      <c r="G502" s="4" t="str">
        <f ca="1">IF(OR(INDEX($W$2:$W$1001,MATCH(ROWS($V$2:V502),$V$2:$V$1001,0),1)&gt;=100000,INDEX($AC$1005:$AS$1005,1,MATCH(COLUMNS($AC$1006:AH1006),$AC$1006:$AS$1006,0))&gt;=100000), " ",IF(INDEX($AC$2:$AS$1001,MATCH(ROWS($V$2:V502),$V$2:$V$1001,0),MATCH(COLUMNS($AC$1006:AH1006),$AC$1006:$AS$1006,0)), HYPERLINK("#",""), HYPERLINK(CONCATENATE("#metadata!", ADDRESS(INDEX($X$2:$X$1001,MATCH(ROWS($V$2:V502),$V$2:$V$1001,0),0), INDEX($AC$1004:$AS$1004,1,MATCH(COLUMNS($AC$1006:AH1006),$AC$1006:$AS$1006,0)))),"Fix")))</f>
        <v xml:space="preserve"> </v>
      </c>
      <c r="H502" s="4" t="str">
        <f ca="1">IF(OR(INDEX($W$2:$W$1001,MATCH(ROWS($V$2:V502),$V$2:$V$1001,0),1)&gt;=100000,INDEX($AC$1005:$AS$1005,1,MATCH(COLUMNS($AC$1006:AI1006),$AC$1006:$AS$1006,0))&gt;=100000), " ",IF(INDEX($AC$2:$AS$1001,MATCH(ROWS($V$2:V502),$V$2:$V$1001,0),MATCH(COLUMNS($AC$1006:AI1006),$AC$1006:$AS$1006,0)), HYPERLINK("#",""), HYPERLINK(CONCATENATE("#metadata!", ADDRESS(INDEX($X$2:$X$1001,MATCH(ROWS($V$2:V502),$V$2:$V$1001,0),0), INDEX($AC$1004:$AS$1004,1,MATCH(COLUMNS($AC$1006:AI1006),$AC$1006:$AS$1006,0)))),"Fix")))</f>
        <v xml:space="preserve"> </v>
      </c>
      <c r="I502" s="4" t="str">
        <f ca="1">IF(OR(INDEX($W$2:$W$1001,MATCH(ROWS($V$2:V502),$V$2:$V$1001,0),1)&gt;=100000,INDEX($AC$1005:$AS$1005,1,MATCH(COLUMNS($AC$1006:AJ1006),$AC$1006:$AS$1006,0))&gt;=100000), " ",IF(INDEX($AC$2:$AS$1001,MATCH(ROWS($V$2:V502),$V$2:$V$1001,0),MATCH(COLUMNS($AC$1006:AJ1006),$AC$1006:$AS$1006,0)), HYPERLINK("#",""), HYPERLINK(CONCATENATE("#metadata!", ADDRESS(INDEX($X$2:$X$1001,MATCH(ROWS($V$2:V502),$V$2:$V$1001,0),0), INDEX($AC$1004:$AS$1004,1,MATCH(COLUMNS($AC$1006:AJ1006),$AC$1006:$AS$1006,0)))),"Fix")))</f>
        <v xml:space="preserve"> </v>
      </c>
      <c r="J502" s="4" t="str">
        <f ca="1">IF(OR(INDEX($W$2:$W$1001,MATCH(ROWS($V$2:V502),$V$2:$V$1001,0),1)&gt;=100000,INDEX($AC$1005:$AS$1005,1,MATCH(COLUMNS($AC$1006:AK1006),$AC$1006:$AS$1006,0))&gt;=100000), " ",IF(INDEX($AC$2:$AS$1001,MATCH(ROWS($V$2:V502),$V$2:$V$1001,0),MATCH(COLUMNS($AC$1006:AK1006),$AC$1006:$AS$1006,0)), HYPERLINK("#",""), HYPERLINK(CONCATENATE("#metadata!", ADDRESS(INDEX($X$2:$X$1001,MATCH(ROWS($V$2:V502),$V$2:$V$1001,0),0), INDEX($AC$1004:$AS$1004,1,MATCH(COLUMNS($AC$1006:AK1006),$AC$1006:$AS$1006,0)))),"Fix")))</f>
        <v xml:space="preserve"> </v>
      </c>
      <c r="K502" s="4" t="str">
        <f ca="1">IF(OR(INDEX($W$2:$W$1001,MATCH(ROWS($V$2:V502),$V$2:$V$1001,0),1)&gt;=100000,INDEX($AC$1005:$AS$1005,1,MATCH(COLUMNS($AC$1006:AL1006),$AC$1006:$AS$1006,0))&gt;=100000), " ",IF(INDEX($AC$2:$AS$1001,MATCH(ROWS($V$2:V502),$V$2:$V$1001,0),MATCH(COLUMNS($AC$1006:AL1006),$AC$1006:$AS$1006,0)), HYPERLINK("#",""), HYPERLINK(CONCATENATE("#metadata!", ADDRESS(INDEX($X$2:$X$1001,MATCH(ROWS($V$2:V502),$V$2:$V$1001,0),0), INDEX($AC$1004:$AS$1004,1,MATCH(COLUMNS($AC$1006:AL1006),$AC$1006:$AS$1006,0)))),"Fix")))</f>
        <v xml:space="preserve"> </v>
      </c>
      <c r="L502" s="4" t="str">
        <f ca="1">IF(OR(INDEX($W$2:$W$1001,MATCH(ROWS($V$2:V502),$V$2:$V$1001,0),1)&gt;=100000,INDEX($AC$1005:$AS$1005,1,MATCH(COLUMNS($AC$1006:AM1006),$AC$1006:$AS$1006,0))&gt;=100000), " ",IF(INDEX($AC$2:$AS$1001,MATCH(ROWS($V$2:V502),$V$2:$V$1001,0),MATCH(COLUMNS($AC$1006:AM1006),$AC$1006:$AS$1006,0)), HYPERLINK("#",""), HYPERLINK(CONCATENATE("#metadata!", ADDRESS(INDEX($X$2:$X$1001,MATCH(ROWS($V$2:V502),$V$2:$V$1001,0),0), INDEX($AC$1004:$AS$1004,1,MATCH(COLUMNS($AC$1006:AM1006),$AC$1006:$AS$1006,0)))),"Fix")))</f>
        <v xml:space="preserve"> </v>
      </c>
      <c r="M502" s="4" t="str">
        <f ca="1">IF(OR(INDEX($W$2:$W$1001,MATCH(ROWS($V$2:V502),$V$2:$V$1001,0),1)&gt;=100000,INDEX($AC$1005:$AS$1005,1,MATCH(COLUMNS($AC$1006:AN1006),$AC$1006:$AS$1006,0))&gt;=100000), " ",IF(INDEX($AC$2:$AS$1001,MATCH(ROWS($V$2:V502),$V$2:$V$1001,0),MATCH(COLUMNS($AC$1006:AN1006),$AC$1006:$AS$1006,0)), HYPERLINK("#",""), HYPERLINK(CONCATENATE("#metadata!", ADDRESS(INDEX($X$2:$X$1001,MATCH(ROWS($V$2:V502),$V$2:$V$1001,0),0), INDEX($AC$1004:$AS$1004,1,MATCH(COLUMNS($AC$1006:AN1006),$AC$1006:$AS$1006,0)))),"Fix")))</f>
        <v xml:space="preserve"> </v>
      </c>
      <c r="N502" s="4" t="str">
        <f ca="1">IF(OR(INDEX($W$2:$W$1001,MATCH(ROWS($V$2:V502),$V$2:$V$1001,0),1)&gt;=100000,INDEX($AC$1005:$AS$1005,1,MATCH(COLUMNS($AC$1006:AO1006),$AC$1006:$AS$1006,0))&gt;=100000), " ",IF(INDEX($AC$2:$AS$1001,MATCH(ROWS($V$2:V502),$V$2:$V$1001,0),MATCH(COLUMNS($AC$1006:AO1006),$AC$1006:$AS$1006,0)), HYPERLINK("#",""), HYPERLINK(CONCATENATE("#metadata!", ADDRESS(INDEX($X$2:$X$1001,MATCH(ROWS($V$2:V502),$V$2:$V$1001,0),0), INDEX($AC$1004:$AS$1004,1,MATCH(COLUMNS($AC$1006:AO1006),$AC$1006:$AS$1006,0)))),"Fix")))</f>
        <v xml:space="preserve"> </v>
      </c>
      <c r="O502" s="4" t="str">
        <f ca="1">IF(OR(INDEX($W$2:$W$1001,MATCH(ROWS($V$2:V502),$V$2:$V$1001,0),1)&gt;=100000,INDEX($AC$1005:$AS$1005,1,MATCH(COLUMNS($AC$1006:AP1006),$AC$1006:$AS$1006,0))&gt;=100000), " ",IF(INDEX($AC$2:$AS$1001,MATCH(ROWS($V$2:V502),$V$2:$V$1001,0),MATCH(COLUMNS($AC$1006:AP1006),$AC$1006:$AS$1006,0)), HYPERLINK("#",""), HYPERLINK(CONCATENATE("#metadata!", ADDRESS(INDEX($X$2:$X$1001,MATCH(ROWS($V$2:V502),$V$2:$V$1001,0),0), INDEX($AC$1004:$AS$1004,1,MATCH(COLUMNS($AC$1006:AP1006),$AC$1006:$AS$1006,0)))),"Fix")))</f>
        <v xml:space="preserve"> </v>
      </c>
      <c r="P502" s="4" t="str">
        <f ca="1">IF(OR(INDEX($W$2:$W$1001,MATCH(ROWS($V$2:V502),$V$2:$V$1001,0),1)&gt;=100000,INDEX($AC$1005:$AS$1005,1,MATCH(COLUMNS($AC$1006:AQ1006),$AC$1006:$AS$1006,0))&gt;=100000), " ",IF(INDEX($AC$2:$AS$1001,MATCH(ROWS($V$2:V502),$V$2:$V$1001,0),MATCH(COLUMNS($AC$1006:AQ1006),$AC$1006:$AS$1006,0)), HYPERLINK("#",""), HYPERLINK(CONCATENATE("#metadata!", ADDRESS(INDEX($X$2:$X$1001,MATCH(ROWS($V$2:V502),$V$2:$V$1001,0),0), INDEX($AC$1004:$AS$1004,1,MATCH(COLUMNS($AC$1006:AQ1006),$AC$1006:$AS$1006,0)))),"Fix")))</f>
        <v xml:space="preserve"> </v>
      </c>
      <c r="Q502" s="4" t="str">
        <f ca="1">IF(OR(INDEX($W$2:$W$1001,MATCH(ROWS($V$2:V502),$V$2:$V$1001,0),1)&gt;=100000,INDEX($AC$1005:$AS$1005,1,MATCH(COLUMNS($AC$1006:AR1006),$AC$1006:$AS$1006,0))&gt;=100000), " ",IF(INDEX($AC$2:$AS$1001,MATCH(ROWS($V$2:V502),$V$2:$V$1001,0),MATCH(COLUMNS($AC$1006:AR1006),$AC$1006:$AS$1006,0)), HYPERLINK("#",""), HYPERLINK(CONCATENATE("#metadata!", ADDRESS(INDEX($X$2:$X$1001,MATCH(ROWS($V$2:V502),$V$2:$V$1001,0),0), INDEX($AC$1004:$AS$1004,1,MATCH(COLUMNS($AC$1006:AR1006),$AC$1006:$AS$1006,0)))),"Fix")))</f>
        <v xml:space="preserve"> </v>
      </c>
      <c r="R502" s="4" t="str">
        <f ca="1">IF(OR(INDEX($W$2:$W$1001,MATCH(ROWS($V$2:V502),$V$2:$V$1001,0),1)&gt;=100000,INDEX($AC$1005:$AS$1005,1,MATCH(COLUMNS($AC$1006:AS1006),$AC$1006:$AS$1006,0))&gt;=100000), " ",IF(INDEX($AC$2:$AS$1001,MATCH(ROWS($V$2:V502),$V$2:$V$1001,0),MATCH(COLUMNS($AC$1006:AS1006),$AC$1006:$AS$1006,0)), HYPERLINK("#",""), HYPERLINK(CONCATENATE("#metadata!", ADDRESS(INDEX($X$2:$X$1001,MATCH(ROWS($V$2:V502),$V$2:$V$1001,0),0), INDEX($AC$1004:$AS$1004,1,MATCH(COLUMNS($AC$1006:AS1006),$AC$1006:$AS$1006,0)))),"Fix")))</f>
        <v xml:space="preserve"> </v>
      </c>
      <c r="V502">
        <v>501</v>
      </c>
      <c r="W502">
        <v>100502</v>
      </c>
      <c r="X502">
        <v>502</v>
      </c>
      <c r="Y502" t="b">
        <f t="shared" si="7"/>
        <v>1</v>
      </c>
      <c r="Z502" t="b">
        <f>COUNTBLANK(metadata!B502:R502)=COLUMNS(metadata!B502:R502)</f>
        <v>1</v>
      </c>
      <c r="AA502" t="str">
        <v/>
      </c>
      <c r="AC502" t="b">
        <f ca="1"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AD502" t="b">
        <f>IF(metadata!C502="",FALSE,ISNUMBER(VALUE(metadata!C502)))</f>
        <v>0</v>
      </c>
      <c r="AE502" t="b">
        <f>AND(IF(metadata!D502="",FALSE,TRUE),EXACT(metadata!D502,"years"))</f>
        <v>0</v>
      </c>
      <c r="AF502" t="b">
        <f>OR(AND(IF(metadata!E502="",FALSE,TRUE),OR(EXACT(metadata!E502,"not applicable"),EXACT(metadata!E502,"missing: not collected"),EXACT(metadata!E502,"missing: not provided"),EXACT(metadata!E502,"missing: restricted access"))),AND(IF(metadata!E502="",FALSE,ISNUMBER(VALUE(metadata!E502))),metadata!E502&gt;0))</f>
        <v>0</v>
      </c>
      <c r="AG502" t="b">
        <f>AND(IF(metadata!F502="",FALSE,TRUE),EXACT(metadata!F502,"Not applicable"))</f>
        <v>0</v>
      </c>
      <c r="AH502" t="b">
        <f>AND(IF(metadata!G502="",FALSE,TRUE),EXACT(metadata!G502,"urban biome"))</f>
        <v>0</v>
      </c>
      <c r="AI502" t="b">
        <f>AND(IF(metadata!H502="",FALSE,TRUE),EXACT(metadata!H502,"human-associated habitat"))</f>
        <v>0</v>
      </c>
      <c r="AJ502" t="b">
        <f>AND(IF(metadata!I502="",FALSE,TRUE),OR(EXACT(metadata!I502,"human-associated"),EXACT(metadata!I502,"human-skin"),EXACT(metadata!I502,"human-oral"),EXACT(metadata!I502,"human-gut"),EXACT(metadata!I502,"human-vaginal")))</f>
        <v>0</v>
      </c>
      <c r="AK502" t="b">
        <f>IF(metadata!J502="",FALSE,ISNUMBER(VALUE(metadata!J502)))</f>
        <v>0</v>
      </c>
      <c r="AL502" t="b">
        <f>AND(IF(metadata!K502="",FALSE,TRUE),EXACT(metadata!K502,"cm"))</f>
        <v>0</v>
      </c>
      <c r="AM502" t="b">
        <f>AND(IF(metadata!L502="",FALSE,TRUE),EXACT(metadata!L502,"human"))</f>
        <v>0</v>
      </c>
      <c r="AN502" t="b">
        <f>AND(IF(metadata!M502="",FALSE,TRUE),EXACT(metadata!M502,"Homo sapiens"))</f>
        <v>0</v>
      </c>
      <c r="AO502" t="b">
        <f>AND(IF(metadata!N502="",FALSE,TRUE),EXACT(metadata!N502,"9606"))</f>
        <v>0</v>
      </c>
      <c r="AP502" t="b">
        <f>IF(metadata!O502="",FALSE,TRUE)</f>
        <v>0</v>
      </c>
      <c r="AQ502" t="b">
        <f>IF(metadata!P502="",FALSE,TRUE)</f>
        <v>0</v>
      </c>
      <c r="AR502" t="b">
        <f>IF(metadata!Q502="",FALSE,ISNUMBER(VALUE(metadata!Q502)))</f>
        <v>0</v>
      </c>
      <c r="AS502" t="b">
        <f>AND(IF(metadata!R502="",FALSE,TRUE),EXACT(metadata!R502,"kg"))</f>
        <v>0</v>
      </c>
    </row>
    <row r="503" spans="1:45" x14ac:dyDescent="0.2">
      <c r="A503" s="5" t="str">
        <f ca="1">IF(B503=" "," ",HYPERLINK(CONCATENATE("#metadata!",ADDRESS(INDEX($X$2:$X$1001,MATCH(ROWS($V$2:V503),$V$2:$V$1001,0),0),1)),INDEX($AA$2:$AA$1001,MATCH(ROWS($V$2:V503),$V$2:$V$1001,0),0)))</f>
        <v xml:space="preserve"> </v>
      </c>
      <c r="B503" s="4" t="str">
        <f ca="1">IF(OR(INDEX($W$2:$W$1001,MATCH(ROWS($V$2:V503),$V$2:$V$1001,0),1)&gt;=100000,INDEX($AC$1005:$AS$1005,1,MATCH(COLUMNS($AC$1006:AC1006),$AC$1006:$AS$1006,0))&gt;=100000), " ",IF(INDEX($AC$2:$AS$1001,MATCH(ROWS($V$2:V503),$V$2:$V$1001,0),MATCH(COLUMNS($AC$1006:AC1006),$AC$1006:$AS$1006,0)), HYPERLINK("#",""), HYPERLINK(CONCATENATE("#metadata!", ADDRESS(INDEX($X$2:$X$1001,MATCH(ROWS($V$2:V503),$V$2:$V$1001,0),0), INDEX($AC$1004:$AS$1004,1,MATCH(COLUMNS($AC$1006:AC1006),$AC$1006:$AS$1006,0)))),"Fix")))</f>
        <v xml:space="preserve"> </v>
      </c>
      <c r="C503" s="4" t="str">
        <f ca="1">IF(OR(INDEX($W$2:$W$1001,MATCH(ROWS($V$2:V503),$V$2:$V$1001,0),1)&gt;=100000,INDEX($AC$1005:$AS$1005,1,MATCH(COLUMNS($AC$1006:AD1006),$AC$1006:$AS$1006,0))&gt;=100000), " ",IF(INDEX($AC$2:$AS$1001,MATCH(ROWS($V$2:V503),$V$2:$V$1001,0),MATCH(COLUMNS($AC$1006:AD1006),$AC$1006:$AS$1006,0)), HYPERLINK("#",""), HYPERLINK(CONCATENATE("#metadata!", ADDRESS(INDEX($X$2:$X$1001,MATCH(ROWS($V$2:V503),$V$2:$V$1001,0),0), INDEX($AC$1004:$AS$1004,1,MATCH(COLUMNS($AC$1006:AD1006),$AC$1006:$AS$1006,0)))),"Fix")))</f>
        <v xml:space="preserve"> </v>
      </c>
      <c r="D503" s="4" t="str">
        <f ca="1">IF(OR(INDEX($W$2:$W$1001,MATCH(ROWS($V$2:V503),$V$2:$V$1001,0),1)&gt;=100000,INDEX($AC$1005:$AS$1005,1,MATCH(COLUMNS($AC$1006:AE1006),$AC$1006:$AS$1006,0))&gt;=100000), " ",IF(INDEX($AC$2:$AS$1001,MATCH(ROWS($V$2:V503),$V$2:$V$1001,0),MATCH(COLUMNS($AC$1006:AE1006),$AC$1006:$AS$1006,0)), HYPERLINK("#",""), HYPERLINK(CONCATENATE("#metadata!", ADDRESS(INDEX($X$2:$X$1001,MATCH(ROWS($V$2:V503),$V$2:$V$1001,0),0), INDEX($AC$1004:$AS$1004,1,MATCH(COLUMNS($AC$1006:AE1006),$AC$1006:$AS$1006,0)))),"Fix")))</f>
        <v xml:space="preserve"> </v>
      </c>
      <c r="E503" s="4" t="str">
        <f ca="1">IF(OR(INDEX($W$2:$W$1001,MATCH(ROWS($V$2:V503),$V$2:$V$1001,0),1)&gt;=100000,INDEX($AC$1005:$AS$1005,1,MATCH(COLUMNS($AC$1006:AF1006),$AC$1006:$AS$1006,0))&gt;=100000), " ",IF(INDEX($AC$2:$AS$1001,MATCH(ROWS($V$2:V503),$V$2:$V$1001,0),MATCH(COLUMNS($AC$1006:AF1006),$AC$1006:$AS$1006,0)), HYPERLINK("#",""), HYPERLINK(CONCATENATE("#metadata!", ADDRESS(INDEX($X$2:$X$1001,MATCH(ROWS($V$2:V503),$V$2:$V$1001,0),0), INDEX($AC$1004:$AS$1004,1,MATCH(COLUMNS($AC$1006:AF1006),$AC$1006:$AS$1006,0)))),"Fix")))</f>
        <v xml:space="preserve"> </v>
      </c>
      <c r="F503" s="4" t="str">
        <f ca="1">IF(OR(INDEX($W$2:$W$1001,MATCH(ROWS($V$2:V503),$V$2:$V$1001,0),1)&gt;=100000,INDEX($AC$1005:$AS$1005,1,MATCH(COLUMNS($AC$1006:AG1006),$AC$1006:$AS$1006,0))&gt;=100000), " ",IF(INDEX($AC$2:$AS$1001,MATCH(ROWS($V$2:V503),$V$2:$V$1001,0),MATCH(COLUMNS($AC$1006:AG1006),$AC$1006:$AS$1006,0)), HYPERLINK("#",""), HYPERLINK(CONCATENATE("#metadata!", ADDRESS(INDEX($X$2:$X$1001,MATCH(ROWS($V$2:V503),$V$2:$V$1001,0),0), INDEX($AC$1004:$AS$1004,1,MATCH(COLUMNS($AC$1006:AG1006),$AC$1006:$AS$1006,0)))),"Fix")))</f>
        <v xml:space="preserve"> </v>
      </c>
      <c r="G503" s="4" t="str">
        <f ca="1">IF(OR(INDEX($W$2:$W$1001,MATCH(ROWS($V$2:V503),$V$2:$V$1001,0),1)&gt;=100000,INDEX($AC$1005:$AS$1005,1,MATCH(COLUMNS($AC$1006:AH1006),$AC$1006:$AS$1006,0))&gt;=100000), " ",IF(INDEX($AC$2:$AS$1001,MATCH(ROWS($V$2:V503),$V$2:$V$1001,0),MATCH(COLUMNS($AC$1006:AH1006),$AC$1006:$AS$1006,0)), HYPERLINK("#",""), HYPERLINK(CONCATENATE("#metadata!", ADDRESS(INDEX($X$2:$X$1001,MATCH(ROWS($V$2:V503),$V$2:$V$1001,0),0), INDEX($AC$1004:$AS$1004,1,MATCH(COLUMNS($AC$1006:AH1006),$AC$1006:$AS$1006,0)))),"Fix")))</f>
        <v xml:space="preserve"> </v>
      </c>
      <c r="H503" s="4" t="str">
        <f ca="1">IF(OR(INDEX($W$2:$W$1001,MATCH(ROWS($V$2:V503),$V$2:$V$1001,0),1)&gt;=100000,INDEX($AC$1005:$AS$1005,1,MATCH(COLUMNS($AC$1006:AI1006),$AC$1006:$AS$1006,0))&gt;=100000), " ",IF(INDEX($AC$2:$AS$1001,MATCH(ROWS($V$2:V503),$V$2:$V$1001,0),MATCH(COLUMNS($AC$1006:AI1006),$AC$1006:$AS$1006,0)), HYPERLINK("#",""), HYPERLINK(CONCATENATE("#metadata!", ADDRESS(INDEX($X$2:$X$1001,MATCH(ROWS($V$2:V503),$V$2:$V$1001,0),0), INDEX($AC$1004:$AS$1004,1,MATCH(COLUMNS($AC$1006:AI1006),$AC$1006:$AS$1006,0)))),"Fix")))</f>
        <v xml:space="preserve"> </v>
      </c>
      <c r="I503" s="4" t="str">
        <f ca="1">IF(OR(INDEX($W$2:$W$1001,MATCH(ROWS($V$2:V503),$V$2:$V$1001,0),1)&gt;=100000,INDEX($AC$1005:$AS$1005,1,MATCH(COLUMNS($AC$1006:AJ1006),$AC$1006:$AS$1006,0))&gt;=100000), " ",IF(INDEX($AC$2:$AS$1001,MATCH(ROWS($V$2:V503),$V$2:$V$1001,0),MATCH(COLUMNS($AC$1006:AJ1006),$AC$1006:$AS$1006,0)), HYPERLINK("#",""), HYPERLINK(CONCATENATE("#metadata!", ADDRESS(INDEX($X$2:$X$1001,MATCH(ROWS($V$2:V503),$V$2:$V$1001,0),0), INDEX($AC$1004:$AS$1004,1,MATCH(COLUMNS($AC$1006:AJ1006),$AC$1006:$AS$1006,0)))),"Fix")))</f>
        <v xml:space="preserve"> </v>
      </c>
      <c r="J503" s="4" t="str">
        <f ca="1">IF(OR(INDEX($W$2:$W$1001,MATCH(ROWS($V$2:V503),$V$2:$V$1001,0),1)&gt;=100000,INDEX($AC$1005:$AS$1005,1,MATCH(COLUMNS($AC$1006:AK1006),$AC$1006:$AS$1006,0))&gt;=100000), " ",IF(INDEX($AC$2:$AS$1001,MATCH(ROWS($V$2:V503),$V$2:$V$1001,0),MATCH(COLUMNS($AC$1006:AK1006),$AC$1006:$AS$1006,0)), HYPERLINK("#",""), HYPERLINK(CONCATENATE("#metadata!", ADDRESS(INDEX($X$2:$X$1001,MATCH(ROWS($V$2:V503),$V$2:$V$1001,0),0), INDEX($AC$1004:$AS$1004,1,MATCH(COLUMNS($AC$1006:AK1006),$AC$1006:$AS$1006,0)))),"Fix")))</f>
        <v xml:space="preserve"> </v>
      </c>
      <c r="K503" s="4" t="str">
        <f ca="1">IF(OR(INDEX($W$2:$W$1001,MATCH(ROWS($V$2:V503),$V$2:$V$1001,0),1)&gt;=100000,INDEX($AC$1005:$AS$1005,1,MATCH(COLUMNS($AC$1006:AL1006),$AC$1006:$AS$1006,0))&gt;=100000), " ",IF(INDEX($AC$2:$AS$1001,MATCH(ROWS($V$2:V503),$V$2:$V$1001,0),MATCH(COLUMNS($AC$1006:AL1006),$AC$1006:$AS$1006,0)), HYPERLINK("#",""), HYPERLINK(CONCATENATE("#metadata!", ADDRESS(INDEX($X$2:$X$1001,MATCH(ROWS($V$2:V503),$V$2:$V$1001,0),0), INDEX($AC$1004:$AS$1004,1,MATCH(COLUMNS($AC$1006:AL1006),$AC$1006:$AS$1006,0)))),"Fix")))</f>
        <v xml:space="preserve"> </v>
      </c>
      <c r="L503" s="4" t="str">
        <f ca="1">IF(OR(INDEX($W$2:$W$1001,MATCH(ROWS($V$2:V503),$V$2:$V$1001,0),1)&gt;=100000,INDEX($AC$1005:$AS$1005,1,MATCH(COLUMNS($AC$1006:AM1006),$AC$1006:$AS$1006,0))&gt;=100000), " ",IF(INDEX($AC$2:$AS$1001,MATCH(ROWS($V$2:V503),$V$2:$V$1001,0),MATCH(COLUMNS($AC$1006:AM1006),$AC$1006:$AS$1006,0)), HYPERLINK("#",""), HYPERLINK(CONCATENATE("#metadata!", ADDRESS(INDEX($X$2:$X$1001,MATCH(ROWS($V$2:V503),$V$2:$V$1001,0),0), INDEX($AC$1004:$AS$1004,1,MATCH(COLUMNS($AC$1006:AM1006),$AC$1006:$AS$1006,0)))),"Fix")))</f>
        <v xml:space="preserve"> </v>
      </c>
      <c r="M503" s="4" t="str">
        <f ca="1">IF(OR(INDEX($W$2:$W$1001,MATCH(ROWS($V$2:V503),$V$2:$V$1001,0),1)&gt;=100000,INDEX($AC$1005:$AS$1005,1,MATCH(COLUMNS($AC$1006:AN1006),$AC$1006:$AS$1006,0))&gt;=100000), " ",IF(INDEX($AC$2:$AS$1001,MATCH(ROWS($V$2:V503),$V$2:$V$1001,0),MATCH(COLUMNS($AC$1006:AN1006),$AC$1006:$AS$1006,0)), HYPERLINK("#",""), HYPERLINK(CONCATENATE("#metadata!", ADDRESS(INDEX($X$2:$X$1001,MATCH(ROWS($V$2:V503),$V$2:$V$1001,0),0), INDEX($AC$1004:$AS$1004,1,MATCH(COLUMNS($AC$1006:AN1006),$AC$1006:$AS$1006,0)))),"Fix")))</f>
        <v xml:space="preserve"> </v>
      </c>
      <c r="N503" s="4" t="str">
        <f ca="1">IF(OR(INDEX($W$2:$W$1001,MATCH(ROWS($V$2:V503),$V$2:$V$1001,0),1)&gt;=100000,INDEX($AC$1005:$AS$1005,1,MATCH(COLUMNS($AC$1006:AO1006),$AC$1006:$AS$1006,0))&gt;=100000), " ",IF(INDEX($AC$2:$AS$1001,MATCH(ROWS($V$2:V503),$V$2:$V$1001,0),MATCH(COLUMNS($AC$1006:AO1006),$AC$1006:$AS$1006,0)), HYPERLINK("#",""), HYPERLINK(CONCATENATE("#metadata!", ADDRESS(INDEX($X$2:$X$1001,MATCH(ROWS($V$2:V503),$V$2:$V$1001,0),0), INDEX($AC$1004:$AS$1004,1,MATCH(COLUMNS($AC$1006:AO1006),$AC$1006:$AS$1006,0)))),"Fix")))</f>
        <v xml:space="preserve"> </v>
      </c>
      <c r="O503" s="4" t="str">
        <f ca="1">IF(OR(INDEX($W$2:$W$1001,MATCH(ROWS($V$2:V503),$V$2:$V$1001,0),1)&gt;=100000,INDEX($AC$1005:$AS$1005,1,MATCH(COLUMNS($AC$1006:AP1006),$AC$1006:$AS$1006,0))&gt;=100000), " ",IF(INDEX($AC$2:$AS$1001,MATCH(ROWS($V$2:V503),$V$2:$V$1001,0),MATCH(COLUMNS($AC$1006:AP1006),$AC$1006:$AS$1006,0)), HYPERLINK("#",""), HYPERLINK(CONCATENATE("#metadata!", ADDRESS(INDEX($X$2:$X$1001,MATCH(ROWS($V$2:V503),$V$2:$V$1001,0),0), INDEX($AC$1004:$AS$1004,1,MATCH(COLUMNS($AC$1006:AP1006),$AC$1006:$AS$1006,0)))),"Fix")))</f>
        <v xml:space="preserve"> </v>
      </c>
      <c r="P503" s="4" t="str">
        <f ca="1">IF(OR(INDEX($W$2:$W$1001,MATCH(ROWS($V$2:V503),$V$2:$V$1001,0),1)&gt;=100000,INDEX($AC$1005:$AS$1005,1,MATCH(COLUMNS($AC$1006:AQ1006),$AC$1006:$AS$1006,0))&gt;=100000), " ",IF(INDEX($AC$2:$AS$1001,MATCH(ROWS($V$2:V503),$V$2:$V$1001,0),MATCH(COLUMNS($AC$1006:AQ1006),$AC$1006:$AS$1006,0)), HYPERLINK("#",""), HYPERLINK(CONCATENATE("#metadata!", ADDRESS(INDEX($X$2:$X$1001,MATCH(ROWS($V$2:V503),$V$2:$V$1001,0),0), INDEX($AC$1004:$AS$1004,1,MATCH(COLUMNS($AC$1006:AQ1006),$AC$1006:$AS$1006,0)))),"Fix")))</f>
        <v xml:space="preserve"> </v>
      </c>
      <c r="Q503" s="4" t="str">
        <f ca="1">IF(OR(INDEX($W$2:$W$1001,MATCH(ROWS($V$2:V503),$V$2:$V$1001,0),1)&gt;=100000,INDEX($AC$1005:$AS$1005,1,MATCH(COLUMNS($AC$1006:AR1006),$AC$1006:$AS$1006,0))&gt;=100000), " ",IF(INDEX($AC$2:$AS$1001,MATCH(ROWS($V$2:V503),$V$2:$V$1001,0),MATCH(COLUMNS($AC$1006:AR1006),$AC$1006:$AS$1006,0)), HYPERLINK("#",""), HYPERLINK(CONCATENATE("#metadata!", ADDRESS(INDEX($X$2:$X$1001,MATCH(ROWS($V$2:V503),$V$2:$V$1001,0),0), INDEX($AC$1004:$AS$1004,1,MATCH(COLUMNS($AC$1006:AR1006),$AC$1006:$AS$1006,0)))),"Fix")))</f>
        <v xml:space="preserve"> </v>
      </c>
      <c r="R503" s="4" t="str">
        <f ca="1">IF(OR(INDEX($W$2:$W$1001,MATCH(ROWS($V$2:V503),$V$2:$V$1001,0),1)&gt;=100000,INDEX($AC$1005:$AS$1005,1,MATCH(COLUMNS($AC$1006:AS1006),$AC$1006:$AS$1006,0))&gt;=100000), " ",IF(INDEX($AC$2:$AS$1001,MATCH(ROWS($V$2:V503),$V$2:$V$1001,0),MATCH(COLUMNS($AC$1006:AS1006),$AC$1006:$AS$1006,0)), HYPERLINK("#",""), HYPERLINK(CONCATENATE("#metadata!", ADDRESS(INDEX($X$2:$X$1001,MATCH(ROWS($V$2:V503),$V$2:$V$1001,0),0), INDEX($AC$1004:$AS$1004,1,MATCH(COLUMNS($AC$1006:AS1006),$AC$1006:$AS$1006,0)))),"Fix")))</f>
        <v xml:space="preserve"> </v>
      </c>
      <c r="V503">
        <v>502</v>
      </c>
      <c r="W503">
        <v>100503</v>
      </c>
      <c r="X503">
        <v>503</v>
      </c>
      <c r="Y503" t="b">
        <f t="shared" si="7"/>
        <v>1</v>
      </c>
      <c r="Z503" t="b">
        <f>COUNTBLANK(metadata!B503:R503)=COLUMNS(metadata!B503:R503)</f>
        <v>1</v>
      </c>
      <c r="AA503" t="str">
        <v/>
      </c>
      <c r="AC503" t="b">
        <f ca="1"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AD503" t="b">
        <f>IF(metadata!C503="",FALSE,ISNUMBER(VALUE(metadata!C503)))</f>
        <v>0</v>
      </c>
      <c r="AE503" t="b">
        <f>AND(IF(metadata!D503="",FALSE,TRUE),EXACT(metadata!D503,"years"))</f>
        <v>0</v>
      </c>
      <c r="AF503" t="b">
        <f>OR(AND(IF(metadata!E503="",FALSE,TRUE),OR(EXACT(metadata!E503,"not applicable"),EXACT(metadata!E503,"missing: not collected"),EXACT(metadata!E503,"missing: not provided"),EXACT(metadata!E503,"missing: restricted access"))),AND(IF(metadata!E503="",FALSE,ISNUMBER(VALUE(metadata!E503))),metadata!E503&gt;0))</f>
        <v>0</v>
      </c>
      <c r="AG503" t="b">
        <f>AND(IF(metadata!F503="",FALSE,TRUE),EXACT(metadata!F503,"Not applicable"))</f>
        <v>0</v>
      </c>
      <c r="AH503" t="b">
        <f>AND(IF(metadata!G503="",FALSE,TRUE),EXACT(metadata!G503,"urban biome"))</f>
        <v>0</v>
      </c>
      <c r="AI503" t="b">
        <f>AND(IF(metadata!H503="",FALSE,TRUE),EXACT(metadata!H503,"human-associated habitat"))</f>
        <v>0</v>
      </c>
      <c r="AJ503" t="b">
        <f>AND(IF(metadata!I503="",FALSE,TRUE),OR(EXACT(metadata!I503,"human-associated"),EXACT(metadata!I503,"human-skin"),EXACT(metadata!I503,"human-oral"),EXACT(metadata!I503,"human-gut"),EXACT(metadata!I503,"human-vaginal")))</f>
        <v>0</v>
      </c>
      <c r="AK503" t="b">
        <f>IF(metadata!J503="",FALSE,ISNUMBER(VALUE(metadata!J503)))</f>
        <v>0</v>
      </c>
      <c r="AL503" t="b">
        <f>AND(IF(metadata!K503="",FALSE,TRUE),EXACT(metadata!K503,"cm"))</f>
        <v>0</v>
      </c>
      <c r="AM503" t="b">
        <f>AND(IF(metadata!L503="",FALSE,TRUE),EXACT(metadata!L503,"human"))</f>
        <v>0</v>
      </c>
      <c r="AN503" t="b">
        <f>AND(IF(metadata!M503="",FALSE,TRUE),EXACT(metadata!M503,"Homo sapiens"))</f>
        <v>0</v>
      </c>
      <c r="AO503" t="b">
        <f>AND(IF(metadata!N503="",FALSE,TRUE),EXACT(metadata!N503,"9606"))</f>
        <v>0</v>
      </c>
      <c r="AP503" t="b">
        <f>IF(metadata!O503="",FALSE,TRUE)</f>
        <v>0</v>
      </c>
      <c r="AQ503" t="b">
        <f>IF(metadata!P503="",FALSE,TRUE)</f>
        <v>0</v>
      </c>
      <c r="AR503" t="b">
        <f>IF(metadata!Q503="",FALSE,ISNUMBER(VALUE(metadata!Q503)))</f>
        <v>0</v>
      </c>
      <c r="AS503" t="b">
        <f>AND(IF(metadata!R503="",FALSE,TRUE),EXACT(metadata!R503,"kg"))</f>
        <v>0</v>
      </c>
    </row>
    <row r="504" spans="1:45" x14ac:dyDescent="0.2">
      <c r="A504" s="5" t="str">
        <f ca="1">IF(B504=" "," ",HYPERLINK(CONCATENATE("#metadata!",ADDRESS(INDEX($X$2:$X$1001,MATCH(ROWS($V$2:V504),$V$2:$V$1001,0),0),1)),INDEX($AA$2:$AA$1001,MATCH(ROWS($V$2:V504),$V$2:$V$1001,0),0)))</f>
        <v xml:space="preserve"> </v>
      </c>
      <c r="B504" s="4" t="str">
        <f ca="1">IF(OR(INDEX($W$2:$W$1001,MATCH(ROWS($V$2:V504),$V$2:$V$1001,0),1)&gt;=100000,INDEX($AC$1005:$AS$1005,1,MATCH(COLUMNS($AC$1006:AC1006),$AC$1006:$AS$1006,0))&gt;=100000), " ",IF(INDEX($AC$2:$AS$1001,MATCH(ROWS($V$2:V504),$V$2:$V$1001,0),MATCH(COLUMNS($AC$1006:AC1006),$AC$1006:$AS$1006,0)), HYPERLINK("#",""), HYPERLINK(CONCATENATE("#metadata!", ADDRESS(INDEX($X$2:$X$1001,MATCH(ROWS($V$2:V504),$V$2:$V$1001,0),0), INDEX($AC$1004:$AS$1004,1,MATCH(COLUMNS($AC$1006:AC1006),$AC$1006:$AS$1006,0)))),"Fix")))</f>
        <v xml:space="preserve"> </v>
      </c>
      <c r="C504" s="4" t="str">
        <f ca="1">IF(OR(INDEX($W$2:$W$1001,MATCH(ROWS($V$2:V504),$V$2:$V$1001,0),1)&gt;=100000,INDEX($AC$1005:$AS$1005,1,MATCH(COLUMNS($AC$1006:AD1006),$AC$1006:$AS$1006,0))&gt;=100000), " ",IF(INDEX($AC$2:$AS$1001,MATCH(ROWS($V$2:V504),$V$2:$V$1001,0),MATCH(COLUMNS($AC$1006:AD1006),$AC$1006:$AS$1006,0)), HYPERLINK("#",""), HYPERLINK(CONCATENATE("#metadata!", ADDRESS(INDEX($X$2:$X$1001,MATCH(ROWS($V$2:V504),$V$2:$V$1001,0),0), INDEX($AC$1004:$AS$1004,1,MATCH(COLUMNS($AC$1006:AD1006),$AC$1006:$AS$1006,0)))),"Fix")))</f>
        <v xml:space="preserve"> </v>
      </c>
      <c r="D504" s="4" t="str">
        <f ca="1">IF(OR(INDEX($W$2:$W$1001,MATCH(ROWS($V$2:V504),$V$2:$V$1001,0),1)&gt;=100000,INDEX($AC$1005:$AS$1005,1,MATCH(COLUMNS($AC$1006:AE1006),$AC$1006:$AS$1006,0))&gt;=100000), " ",IF(INDEX($AC$2:$AS$1001,MATCH(ROWS($V$2:V504),$V$2:$V$1001,0),MATCH(COLUMNS($AC$1006:AE1006),$AC$1006:$AS$1006,0)), HYPERLINK("#",""), HYPERLINK(CONCATENATE("#metadata!", ADDRESS(INDEX($X$2:$X$1001,MATCH(ROWS($V$2:V504),$V$2:$V$1001,0),0), INDEX($AC$1004:$AS$1004,1,MATCH(COLUMNS($AC$1006:AE1006),$AC$1006:$AS$1006,0)))),"Fix")))</f>
        <v xml:space="preserve"> </v>
      </c>
      <c r="E504" s="4" t="str">
        <f ca="1">IF(OR(INDEX($W$2:$W$1001,MATCH(ROWS($V$2:V504),$V$2:$V$1001,0),1)&gt;=100000,INDEX($AC$1005:$AS$1005,1,MATCH(COLUMNS($AC$1006:AF1006),$AC$1006:$AS$1006,0))&gt;=100000), " ",IF(INDEX($AC$2:$AS$1001,MATCH(ROWS($V$2:V504),$V$2:$V$1001,0),MATCH(COLUMNS($AC$1006:AF1006),$AC$1006:$AS$1006,0)), HYPERLINK("#",""), HYPERLINK(CONCATENATE("#metadata!", ADDRESS(INDEX($X$2:$X$1001,MATCH(ROWS($V$2:V504),$V$2:$V$1001,0),0), INDEX($AC$1004:$AS$1004,1,MATCH(COLUMNS($AC$1006:AF1006),$AC$1006:$AS$1006,0)))),"Fix")))</f>
        <v xml:space="preserve"> </v>
      </c>
      <c r="F504" s="4" t="str">
        <f ca="1">IF(OR(INDEX($W$2:$W$1001,MATCH(ROWS($V$2:V504),$V$2:$V$1001,0),1)&gt;=100000,INDEX($AC$1005:$AS$1005,1,MATCH(COLUMNS($AC$1006:AG1006),$AC$1006:$AS$1006,0))&gt;=100000), " ",IF(INDEX($AC$2:$AS$1001,MATCH(ROWS($V$2:V504),$V$2:$V$1001,0),MATCH(COLUMNS($AC$1006:AG1006),$AC$1006:$AS$1006,0)), HYPERLINK("#",""), HYPERLINK(CONCATENATE("#metadata!", ADDRESS(INDEX($X$2:$X$1001,MATCH(ROWS($V$2:V504),$V$2:$V$1001,0),0), INDEX($AC$1004:$AS$1004,1,MATCH(COLUMNS($AC$1006:AG1006),$AC$1006:$AS$1006,0)))),"Fix")))</f>
        <v xml:space="preserve"> </v>
      </c>
      <c r="G504" s="4" t="str">
        <f ca="1">IF(OR(INDEX($W$2:$W$1001,MATCH(ROWS($V$2:V504),$V$2:$V$1001,0),1)&gt;=100000,INDEX($AC$1005:$AS$1005,1,MATCH(COLUMNS($AC$1006:AH1006),$AC$1006:$AS$1006,0))&gt;=100000), " ",IF(INDEX($AC$2:$AS$1001,MATCH(ROWS($V$2:V504),$V$2:$V$1001,0),MATCH(COLUMNS($AC$1006:AH1006),$AC$1006:$AS$1006,0)), HYPERLINK("#",""), HYPERLINK(CONCATENATE("#metadata!", ADDRESS(INDEX($X$2:$X$1001,MATCH(ROWS($V$2:V504),$V$2:$V$1001,0),0), INDEX($AC$1004:$AS$1004,1,MATCH(COLUMNS($AC$1006:AH1006),$AC$1006:$AS$1006,0)))),"Fix")))</f>
        <v xml:space="preserve"> </v>
      </c>
      <c r="H504" s="4" t="str">
        <f ca="1">IF(OR(INDEX($W$2:$W$1001,MATCH(ROWS($V$2:V504),$V$2:$V$1001,0),1)&gt;=100000,INDEX($AC$1005:$AS$1005,1,MATCH(COLUMNS($AC$1006:AI1006),$AC$1006:$AS$1006,0))&gt;=100000), " ",IF(INDEX($AC$2:$AS$1001,MATCH(ROWS($V$2:V504),$V$2:$V$1001,0),MATCH(COLUMNS($AC$1006:AI1006),$AC$1006:$AS$1006,0)), HYPERLINK("#",""), HYPERLINK(CONCATENATE("#metadata!", ADDRESS(INDEX($X$2:$X$1001,MATCH(ROWS($V$2:V504),$V$2:$V$1001,0),0), INDEX($AC$1004:$AS$1004,1,MATCH(COLUMNS($AC$1006:AI1006),$AC$1006:$AS$1006,0)))),"Fix")))</f>
        <v xml:space="preserve"> </v>
      </c>
      <c r="I504" s="4" t="str">
        <f ca="1">IF(OR(INDEX($W$2:$W$1001,MATCH(ROWS($V$2:V504),$V$2:$V$1001,0),1)&gt;=100000,INDEX($AC$1005:$AS$1005,1,MATCH(COLUMNS($AC$1006:AJ1006),$AC$1006:$AS$1006,0))&gt;=100000), " ",IF(INDEX($AC$2:$AS$1001,MATCH(ROWS($V$2:V504),$V$2:$V$1001,0),MATCH(COLUMNS($AC$1006:AJ1006),$AC$1006:$AS$1006,0)), HYPERLINK("#",""), HYPERLINK(CONCATENATE("#metadata!", ADDRESS(INDEX($X$2:$X$1001,MATCH(ROWS($V$2:V504),$V$2:$V$1001,0),0), INDEX($AC$1004:$AS$1004,1,MATCH(COLUMNS($AC$1006:AJ1006),$AC$1006:$AS$1006,0)))),"Fix")))</f>
        <v xml:space="preserve"> </v>
      </c>
      <c r="J504" s="4" t="str">
        <f ca="1">IF(OR(INDEX($W$2:$W$1001,MATCH(ROWS($V$2:V504),$V$2:$V$1001,0),1)&gt;=100000,INDEX($AC$1005:$AS$1005,1,MATCH(COLUMNS($AC$1006:AK1006),$AC$1006:$AS$1006,0))&gt;=100000), " ",IF(INDEX($AC$2:$AS$1001,MATCH(ROWS($V$2:V504),$V$2:$V$1001,0),MATCH(COLUMNS($AC$1006:AK1006),$AC$1006:$AS$1006,0)), HYPERLINK("#",""), HYPERLINK(CONCATENATE("#metadata!", ADDRESS(INDEX($X$2:$X$1001,MATCH(ROWS($V$2:V504),$V$2:$V$1001,0),0), INDEX($AC$1004:$AS$1004,1,MATCH(COLUMNS($AC$1006:AK1006),$AC$1006:$AS$1006,0)))),"Fix")))</f>
        <v xml:space="preserve"> </v>
      </c>
      <c r="K504" s="4" t="str">
        <f ca="1">IF(OR(INDEX($W$2:$W$1001,MATCH(ROWS($V$2:V504),$V$2:$V$1001,0),1)&gt;=100000,INDEX($AC$1005:$AS$1005,1,MATCH(COLUMNS($AC$1006:AL1006),$AC$1006:$AS$1006,0))&gt;=100000), " ",IF(INDEX($AC$2:$AS$1001,MATCH(ROWS($V$2:V504),$V$2:$V$1001,0),MATCH(COLUMNS($AC$1006:AL1006),$AC$1006:$AS$1006,0)), HYPERLINK("#",""), HYPERLINK(CONCATENATE("#metadata!", ADDRESS(INDEX($X$2:$X$1001,MATCH(ROWS($V$2:V504),$V$2:$V$1001,0),0), INDEX($AC$1004:$AS$1004,1,MATCH(COLUMNS($AC$1006:AL1006),$AC$1006:$AS$1006,0)))),"Fix")))</f>
        <v xml:space="preserve"> </v>
      </c>
      <c r="L504" s="4" t="str">
        <f ca="1">IF(OR(INDEX($W$2:$W$1001,MATCH(ROWS($V$2:V504),$V$2:$V$1001,0),1)&gt;=100000,INDEX($AC$1005:$AS$1005,1,MATCH(COLUMNS($AC$1006:AM1006),$AC$1006:$AS$1006,0))&gt;=100000), " ",IF(INDEX($AC$2:$AS$1001,MATCH(ROWS($V$2:V504),$V$2:$V$1001,0),MATCH(COLUMNS($AC$1006:AM1006),$AC$1006:$AS$1006,0)), HYPERLINK("#",""), HYPERLINK(CONCATENATE("#metadata!", ADDRESS(INDEX($X$2:$X$1001,MATCH(ROWS($V$2:V504),$V$2:$V$1001,0),0), INDEX($AC$1004:$AS$1004,1,MATCH(COLUMNS($AC$1006:AM1006),$AC$1006:$AS$1006,0)))),"Fix")))</f>
        <v xml:space="preserve"> </v>
      </c>
      <c r="M504" s="4" t="str">
        <f ca="1">IF(OR(INDEX($W$2:$W$1001,MATCH(ROWS($V$2:V504),$V$2:$V$1001,0),1)&gt;=100000,INDEX($AC$1005:$AS$1005,1,MATCH(COLUMNS($AC$1006:AN1006),$AC$1006:$AS$1006,0))&gt;=100000), " ",IF(INDEX($AC$2:$AS$1001,MATCH(ROWS($V$2:V504),$V$2:$V$1001,0),MATCH(COLUMNS($AC$1006:AN1006),$AC$1006:$AS$1006,0)), HYPERLINK("#",""), HYPERLINK(CONCATENATE("#metadata!", ADDRESS(INDEX($X$2:$X$1001,MATCH(ROWS($V$2:V504),$V$2:$V$1001,0),0), INDEX($AC$1004:$AS$1004,1,MATCH(COLUMNS($AC$1006:AN1006),$AC$1006:$AS$1006,0)))),"Fix")))</f>
        <v xml:space="preserve"> </v>
      </c>
      <c r="N504" s="4" t="str">
        <f ca="1">IF(OR(INDEX($W$2:$W$1001,MATCH(ROWS($V$2:V504),$V$2:$V$1001,0),1)&gt;=100000,INDEX($AC$1005:$AS$1005,1,MATCH(COLUMNS($AC$1006:AO1006),$AC$1006:$AS$1006,0))&gt;=100000), " ",IF(INDEX($AC$2:$AS$1001,MATCH(ROWS($V$2:V504),$V$2:$V$1001,0),MATCH(COLUMNS($AC$1006:AO1006),$AC$1006:$AS$1006,0)), HYPERLINK("#",""), HYPERLINK(CONCATENATE("#metadata!", ADDRESS(INDEX($X$2:$X$1001,MATCH(ROWS($V$2:V504),$V$2:$V$1001,0),0), INDEX($AC$1004:$AS$1004,1,MATCH(COLUMNS($AC$1006:AO1006),$AC$1006:$AS$1006,0)))),"Fix")))</f>
        <v xml:space="preserve"> </v>
      </c>
      <c r="O504" s="4" t="str">
        <f ca="1">IF(OR(INDEX($W$2:$W$1001,MATCH(ROWS($V$2:V504),$V$2:$V$1001,0),1)&gt;=100000,INDEX($AC$1005:$AS$1005,1,MATCH(COLUMNS($AC$1006:AP1006),$AC$1006:$AS$1006,0))&gt;=100000), " ",IF(INDEX($AC$2:$AS$1001,MATCH(ROWS($V$2:V504),$V$2:$V$1001,0),MATCH(COLUMNS($AC$1006:AP1006),$AC$1006:$AS$1006,0)), HYPERLINK("#",""), HYPERLINK(CONCATENATE("#metadata!", ADDRESS(INDEX($X$2:$X$1001,MATCH(ROWS($V$2:V504),$V$2:$V$1001,0),0), INDEX($AC$1004:$AS$1004,1,MATCH(COLUMNS($AC$1006:AP1006),$AC$1006:$AS$1006,0)))),"Fix")))</f>
        <v xml:space="preserve"> </v>
      </c>
      <c r="P504" s="4" t="str">
        <f ca="1">IF(OR(INDEX($W$2:$W$1001,MATCH(ROWS($V$2:V504),$V$2:$V$1001,0),1)&gt;=100000,INDEX($AC$1005:$AS$1005,1,MATCH(COLUMNS($AC$1006:AQ1006),$AC$1006:$AS$1006,0))&gt;=100000), " ",IF(INDEX($AC$2:$AS$1001,MATCH(ROWS($V$2:V504),$V$2:$V$1001,0),MATCH(COLUMNS($AC$1006:AQ1006),$AC$1006:$AS$1006,0)), HYPERLINK("#",""), HYPERLINK(CONCATENATE("#metadata!", ADDRESS(INDEX($X$2:$X$1001,MATCH(ROWS($V$2:V504),$V$2:$V$1001,0),0), INDEX($AC$1004:$AS$1004,1,MATCH(COLUMNS($AC$1006:AQ1006),$AC$1006:$AS$1006,0)))),"Fix")))</f>
        <v xml:space="preserve"> </v>
      </c>
      <c r="Q504" s="4" t="str">
        <f ca="1">IF(OR(INDEX($W$2:$W$1001,MATCH(ROWS($V$2:V504),$V$2:$V$1001,0),1)&gt;=100000,INDEX($AC$1005:$AS$1005,1,MATCH(COLUMNS($AC$1006:AR1006),$AC$1006:$AS$1006,0))&gt;=100000), " ",IF(INDEX($AC$2:$AS$1001,MATCH(ROWS($V$2:V504),$V$2:$V$1001,0),MATCH(COLUMNS($AC$1006:AR1006),$AC$1006:$AS$1006,0)), HYPERLINK("#",""), HYPERLINK(CONCATENATE("#metadata!", ADDRESS(INDEX($X$2:$X$1001,MATCH(ROWS($V$2:V504),$V$2:$V$1001,0),0), INDEX($AC$1004:$AS$1004,1,MATCH(COLUMNS($AC$1006:AR1006),$AC$1006:$AS$1006,0)))),"Fix")))</f>
        <v xml:space="preserve"> </v>
      </c>
      <c r="R504" s="4" t="str">
        <f ca="1">IF(OR(INDEX($W$2:$W$1001,MATCH(ROWS($V$2:V504),$V$2:$V$1001,0),1)&gt;=100000,INDEX($AC$1005:$AS$1005,1,MATCH(COLUMNS($AC$1006:AS1006),$AC$1006:$AS$1006,0))&gt;=100000), " ",IF(INDEX($AC$2:$AS$1001,MATCH(ROWS($V$2:V504),$V$2:$V$1001,0),MATCH(COLUMNS($AC$1006:AS1006),$AC$1006:$AS$1006,0)), HYPERLINK("#",""), HYPERLINK(CONCATENATE("#metadata!", ADDRESS(INDEX($X$2:$X$1001,MATCH(ROWS($V$2:V504),$V$2:$V$1001,0),0), INDEX($AC$1004:$AS$1004,1,MATCH(COLUMNS($AC$1006:AS1006),$AC$1006:$AS$1006,0)))),"Fix")))</f>
        <v xml:space="preserve"> </v>
      </c>
      <c r="V504">
        <v>503</v>
      </c>
      <c r="W504">
        <v>100504</v>
      </c>
      <c r="X504">
        <v>504</v>
      </c>
      <c r="Y504" t="b">
        <f t="shared" si="7"/>
        <v>1</v>
      </c>
      <c r="Z504" t="b">
        <f>COUNTBLANK(metadata!B504:R504)=COLUMNS(metadata!B504:R504)</f>
        <v>1</v>
      </c>
      <c r="AA504" t="str">
        <v/>
      </c>
      <c r="AC504" t="b">
        <f ca="1"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AD504" t="b">
        <f>IF(metadata!C504="",FALSE,ISNUMBER(VALUE(metadata!C504)))</f>
        <v>0</v>
      </c>
      <c r="AE504" t="b">
        <f>AND(IF(metadata!D504="",FALSE,TRUE),EXACT(metadata!D504,"years"))</f>
        <v>0</v>
      </c>
      <c r="AF504" t="b">
        <f>OR(AND(IF(metadata!E504="",FALSE,TRUE),OR(EXACT(metadata!E504,"not applicable"),EXACT(metadata!E504,"missing: not collected"),EXACT(metadata!E504,"missing: not provided"),EXACT(metadata!E504,"missing: restricted access"))),AND(IF(metadata!E504="",FALSE,ISNUMBER(VALUE(metadata!E504))),metadata!E504&gt;0))</f>
        <v>0</v>
      </c>
      <c r="AG504" t="b">
        <f>AND(IF(metadata!F504="",FALSE,TRUE),EXACT(metadata!F504,"Not applicable"))</f>
        <v>0</v>
      </c>
      <c r="AH504" t="b">
        <f>AND(IF(metadata!G504="",FALSE,TRUE),EXACT(metadata!G504,"urban biome"))</f>
        <v>0</v>
      </c>
      <c r="AI504" t="b">
        <f>AND(IF(metadata!H504="",FALSE,TRUE),EXACT(metadata!H504,"human-associated habitat"))</f>
        <v>0</v>
      </c>
      <c r="AJ504" t="b">
        <f>AND(IF(metadata!I504="",FALSE,TRUE),OR(EXACT(metadata!I504,"human-associated"),EXACT(metadata!I504,"human-skin"),EXACT(metadata!I504,"human-oral"),EXACT(metadata!I504,"human-gut"),EXACT(metadata!I504,"human-vaginal")))</f>
        <v>0</v>
      </c>
      <c r="AK504" t="b">
        <f>IF(metadata!J504="",FALSE,ISNUMBER(VALUE(metadata!J504)))</f>
        <v>0</v>
      </c>
      <c r="AL504" t="b">
        <f>AND(IF(metadata!K504="",FALSE,TRUE),EXACT(metadata!K504,"cm"))</f>
        <v>0</v>
      </c>
      <c r="AM504" t="b">
        <f>AND(IF(metadata!L504="",FALSE,TRUE),EXACT(metadata!L504,"human"))</f>
        <v>0</v>
      </c>
      <c r="AN504" t="b">
        <f>AND(IF(metadata!M504="",FALSE,TRUE),EXACT(metadata!M504,"Homo sapiens"))</f>
        <v>0</v>
      </c>
      <c r="AO504" t="b">
        <f>AND(IF(metadata!N504="",FALSE,TRUE),EXACT(metadata!N504,"9606"))</f>
        <v>0</v>
      </c>
      <c r="AP504" t="b">
        <f>IF(metadata!O504="",FALSE,TRUE)</f>
        <v>0</v>
      </c>
      <c r="AQ504" t="b">
        <f>IF(metadata!P504="",FALSE,TRUE)</f>
        <v>0</v>
      </c>
      <c r="AR504" t="b">
        <f>IF(metadata!Q504="",FALSE,ISNUMBER(VALUE(metadata!Q504)))</f>
        <v>0</v>
      </c>
      <c r="AS504" t="b">
        <f>AND(IF(metadata!R504="",FALSE,TRUE),EXACT(metadata!R504,"kg"))</f>
        <v>0</v>
      </c>
    </row>
    <row r="505" spans="1:45" x14ac:dyDescent="0.2">
      <c r="A505" s="5" t="str">
        <f ca="1">IF(B505=" "," ",HYPERLINK(CONCATENATE("#metadata!",ADDRESS(INDEX($X$2:$X$1001,MATCH(ROWS($V$2:V505),$V$2:$V$1001,0),0),1)),INDEX($AA$2:$AA$1001,MATCH(ROWS($V$2:V505),$V$2:$V$1001,0),0)))</f>
        <v xml:space="preserve"> </v>
      </c>
      <c r="B505" s="4" t="str">
        <f ca="1">IF(OR(INDEX($W$2:$W$1001,MATCH(ROWS($V$2:V505),$V$2:$V$1001,0),1)&gt;=100000,INDEX($AC$1005:$AS$1005,1,MATCH(COLUMNS($AC$1006:AC1006),$AC$1006:$AS$1006,0))&gt;=100000), " ",IF(INDEX($AC$2:$AS$1001,MATCH(ROWS($V$2:V505),$V$2:$V$1001,0),MATCH(COLUMNS($AC$1006:AC1006),$AC$1006:$AS$1006,0)), HYPERLINK("#",""), HYPERLINK(CONCATENATE("#metadata!", ADDRESS(INDEX($X$2:$X$1001,MATCH(ROWS($V$2:V505),$V$2:$V$1001,0),0), INDEX($AC$1004:$AS$1004,1,MATCH(COLUMNS($AC$1006:AC1006),$AC$1006:$AS$1006,0)))),"Fix")))</f>
        <v xml:space="preserve"> </v>
      </c>
      <c r="C505" s="4" t="str">
        <f ca="1">IF(OR(INDEX($W$2:$W$1001,MATCH(ROWS($V$2:V505),$V$2:$V$1001,0),1)&gt;=100000,INDEX($AC$1005:$AS$1005,1,MATCH(COLUMNS($AC$1006:AD1006),$AC$1006:$AS$1006,0))&gt;=100000), " ",IF(INDEX($AC$2:$AS$1001,MATCH(ROWS($V$2:V505),$V$2:$V$1001,0),MATCH(COLUMNS($AC$1006:AD1006),$AC$1006:$AS$1006,0)), HYPERLINK("#",""), HYPERLINK(CONCATENATE("#metadata!", ADDRESS(INDEX($X$2:$X$1001,MATCH(ROWS($V$2:V505),$V$2:$V$1001,0),0), INDEX($AC$1004:$AS$1004,1,MATCH(COLUMNS($AC$1006:AD1006),$AC$1006:$AS$1006,0)))),"Fix")))</f>
        <v xml:space="preserve"> </v>
      </c>
      <c r="D505" s="4" t="str">
        <f ca="1">IF(OR(INDEX($W$2:$W$1001,MATCH(ROWS($V$2:V505),$V$2:$V$1001,0),1)&gt;=100000,INDEX($AC$1005:$AS$1005,1,MATCH(COLUMNS($AC$1006:AE1006),$AC$1006:$AS$1006,0))&gt;=100000), " ",IF(INDEX($AC$2:$AS$1001,MATCH(ROWS($V$2:V505),$V$2:$V$1001,0),MATCH(COLUMNS($AC$1006:AE1006),$AC$1006:$AS$1006,0)), HYPERLINK("#",""), HYPERLINK(CONCATENATE("#metadata!", ADDRESS(INDEX($X$2:$X$1001,MATCH(ROWS($V$2:V505),$V$2:$V$1001,0),0), INDEX($AC$1004:$AS$1004,1,MATCH(COLUMNS($AC$1006:AE1006),$AC$1006:$AS$1006,0)))),"Fix")))</f>
        <v xml:space="preserve"> </v>
      </c>
      <c r="E505" s="4" t="str">
        <f ca="1">IF(OR(INDEX($W$2:$W$1001,MATCH(ROWS($V$2:V505),$V$2:$V$1001,0),1)&gt;=100000,INDEX($AC$1005:$AS$1005,1,MATCH(COLUMNS($AC$1006:AF1006),$AC$1006:$AS$1006,0))&gt;=100000), " ",IF(INDEX($AC$2:$AS$1001,MATCH(ROWS($V$2:V505),$V$2:$V$1001,0),MATCH(COLUMNS($AC$1006:AF1006),$AC$1006:$AS$1006,0)), HYPERLINK("#",""), HYPERLINK(CONCATENATE("#metadata!", ADDRESS(INDEX($X$2:$X$1001,MATCH(ROWS($V$2:V505),$V$2:$V$1001,0),0), INDEX($AC$1004:$AS$1004,1,MATCH(COLUMNS($AC$1006:AF1006),$AC$1006:$AS$1006,0)))),"Fix")))</f>
        <v xml:space="preserve"> </v>
      </c>
      <c r="F505" s="4" t="str">
        <f ca="1">IF(OR(INDEX($W$2:$W$1001,MATCH(ROWS($V$2:V505),$V$2:$V$1001,0),1)&gt;=100000,INDEX($AC$1005:$AS$1005,1,MATCH(COLUMNS($AC$1006:AG1006),$AC$1006:$AS$1006,0))&gt;=100000), " ",IF(INDEX($AC$2:$AS$1001,MATCH(ROWS($V$2:V505),$V$2:$V$1001,0),MATCH(COLUMNS($AC$1006:AG1006),$AC$1006:$AS$1006,0)), HYPERLINK("#",""), HYPERLINK(CONCATENATE("#metadata!", ADDRESS(INDEX($X$2:$X$1001,MATCH(ROWS($V$2:V505),$V$2:$V$1001,0),0), INDEX($AC$1004:$AS$1004,1,MATCH(COLUMNS($AC$1006:AG1006),$AC$1006:$AS$1006,0)))),"Fix")))</f>
        <v xml:space="preserve"> </v>
      </c>
      <c r="G505" s="4" t="str">
        <f ca="1">IF(OR(INDEX($W$2:$W$1001,MATCH(ROWS($V$2:V505),$V$2:$V$1001,0),1)&gt;=100000,INDEX($AC$1005:$AS$1005,1,MATCH(COLUMNS($AC$1006:AH1006),$AC$1006:$AS$1006,0))&gt;=100000), " ",IF(INDEX($AC$2:$AS$1001,MATCH(ROWS($V$2:V505),$V$2:$V$1001,0),MATCH(COLUMNS($AC$1006:AH1006),$AC$1006:$AS$1006,0)), HYPERLINK("#",""), HYPERLINK(CONCATENATE("#metadata!", ADDRESS(INDEX($X$2:$X$1001,MATCH(ROWS($V$2:V505),$V$2:$V$1001,0),0), INDEX($AC$1004:$AS$1004,1,MATCH(COLUMNS($AC$1006:AH1006),$AC$1006:$AS$1006,0)))),"Fix")))</f>
        <v xml:space="preserve"> </v>
      </c>
      <c r="H505" s="4" t="str">
        <f ca="1">IF(OR(INDEX($W$2:$W$1001,MATCH(ROWS($V$2:V505),$V$2:$V$1001,0),1)&gt;=100000,INDEX($AC$1005:$AS$1005,1,MATCH(COLUMNS($AC$1006:AI1006),$AC$1006:$AS$1006,0))&gt;=100000), " ",IF(INDEX($AC$2:$AS$1001,MATCH(ROWS($V$2:V505),$V$2:$V$1001,0),MATCH(COLUMNS($AC$1006:AI1006),$AC$1006:$AS$1006,0)), HYPERLINK("#",""), HYPERLINK(CONCATENATE("#metadata!", ADDRESS(INDEX($X$2:$X$1001,MATCH(ROWS($V$2:V505),$V$2:$V$1001,0),0), INDEX($AC$1004:$AS$1004,1,MATCH(COLUMNS($AC$1006:AI1006),$AC$1006:$AS$1006,0)))),"Fix")))</f>
        <v xml:space="preserve"> </v>
      </c>
      <c r="I505" s="4" t="str">
        <f ca="1">IF(OR(INDEX($W$2:$W$1001,MATCH(ROWS($V$2:V505),$V$2:$V$1001,0),1)&gt;=100000,INDEX($AC$1005:$AS$1005,1,MATCH(COLUMNS($AC$1006:AJ1006),$AC$1006:$AS$1006,0))&gt;=100000), " ",IF(INDEX($AC$2:$AS$1001,MATCH(ROWS($V$2:V505),$V$2:$V$1001,0),MATCH(COLUMNS($AC$1006:AJ1006),$AC$1006:$AS$1006,0)), HYPERLINK("#",""), HYPERLINK(CONCATENATE("#metadata!", ADDRESS(INDEX($X$2:$X$1001,MATCH(ROWS($V$2:V505),$V$2:$V$1001,0),0), INDEX($AC$1004:$AS$1004,1,MATCH(COLUMNS($AC$1006:AJ1006),$AC$1006:$AS$1006,0)))),"Fix")))</f>
        <v xml:space="preserve"> </v>
      </c>
      <c r="J505" s="4" t="str">
        <f ca="1">IF(OR(INDEX($W$2:$W$1001,MATCH(ROWS($V$2:V505),$V$2:$V$1001,0),1)&gt;=100000,INDEX($AC$1005:$AS$1005,1,MATCH(COLUMNS($AC$1006:AK1006),$AC$1006:$AS$1006,0))&gt;=100000), " ",IF(INDEX($AC$2:$AS$1001,MATCH(ROWS($V$2:V505),$V$2:$V$1001,0),MATCH(COLUMNS($AC$1006:AK1006),$AC$1006:$AS$1006,0)), HYPERLINK("#",""), HYPERLINK(CONCATENATE("#metadata!", ADDRESS(INDEX($X$2:$X$1001,MATCH(ROWS($V$2:V505),$V$2:$V$1001,0),0), INDEX($AC$1004:$AS$1004,1,MATCH(COLUMNS($AC$1006:AK1006),$AC$1006:$AS$1006,0)))),"Fix")))</f>
        <v xml:space="preserve"> </v>
      </c>
      <c r="K505" s="4" t="str">
        <f ca="1">IF(OR(INDEX($W$2:$W$1001,MATCH(ROWS($V$2:V505),$V$2:$V$1001,0),1)&gt;=100000,INDEX($AC$1005:$AS$1005,1,MATCH(COLUMNS($AC$1006:AL1006),$AC$1006:$AS$1006,0))&gt;=100000), " ",IF(INDEX($AC$2:$AS$1001,MATCH(ROWS($V$2:V505),$V$2:$V$1001,0),MATCH(COLUMNS($AC$1006:AL1006),$AC$1006:$AS$1006,0)), HYPERLINK("#",""), HYPERLINK(CONCATENATE("#metadata!", ADDRESS(INDEX($X$2:$X$1001,MATCH(ROWS($V$2:V505),$V$2:$V$1001,0),0), INDEX($AC$1004:$AS$1004,1,MATCH(COLUMNS($AC$1006:AL1006),$AC$1006:$AS$1006,0)))),"Fix")))</f>
        <v xml:space="preserve"> </v>
      </c>
      <c r="L505" s="4" t="str">
        <f ca="1">IF(OR(INDEX($W$2:$W$1001,MATCH(ROWS($V$2:V505),$V$2:$V$1001,0),1)&gt;=100000,INDEX($AC$1005:$AS$1005,1,MATCH(COLUMNS($AC$1006:AM1006),$AC$1006:$AS$1006,0))&gt;=100000), " ",IF(INDEX($AC$2:$AS$1001,MATCH(ROWS($V$2:V505),$V$2:$V$1001,0),MATCH(COLUMNS($AC$1006:AM1006),$AC$1006:$AS$1006,0)), HYPERLINK("#",""), HYPERLINK(CONCATENATE("#metadata!", ADDRESS(INDEX($X$2:$X$1001,MATCH(ROWS($V$2:V505),$V$2:$V$1001,0),0), INDEX($AC$1004:$AS$1004,1,MATCH(COLUMNS($AC$1006:AM1006),$AC$1006:$AS$1006,0)))),"Fix")))</f>
        <v xml:space="preserve"> </v>
      </c>
      <c r="M505" s="4" t="str">
        <f ca="1">IF(OR(INDEX($W$2:$W$1001,MATCH(ROWS($V$2:V505),$V$2:$V$1001,0),1)&gt;=100000,INDEX($AC$1005:$AS$1005,1,MATCH(COLUMNS($AC$1006:AN1006),$AC$1006:$AS$1006,0))&gt;=100000), " ",IF(INDEX($AC$2:$AS$1001,MATCH(ROWS($V$2:V505),$V$2:$V$1001,0),MATCH(COLUMNS($AC$1006:AN1006),$AC$1006:$AS$1006,0)), HYPERLINK("#",""), HYPERLINK(CONCATENATE("#metadata!", ADDRESS(INDEX($X$2:$X$1001,MATCH(ROWS($V$2:V505),$V$2:$V$1001,0),0), INDEX($AC$1004:$AS$1004,1,MATCH(COLUMNS($AC$1006:AN1006),$AC$1006:$AS$1006,0)))),"Fix")))</f>
        <v xml:space="preserve"> </v>
      </c>
      <c r="N505" s="4" t="str">
        <f ca="1">IF(OR(INDEX($W$2:$W$1001,MATCH(ROWS($V$2:V505),$V$2:$V$1001,0),1)&gt;=100000,INDEX($AC$1005:$AS$1005,1,MATCH(COLUMNS($AC$1006:AO1006),$AC$1006:$AS$1006,0))&gt;=100000), " ",IF(INDEX($AC$2:$AS$1001,MATCH(ROWS($V$2:V505),$V$2:$V$1001,0),MATCH(COLUMNS($AC$1006:AO1006),$AC$1006:$AS$1006,0)), HYPERLINK("#",""), HYPERLINK(CONCATENATE("#metadata!", ADDRESS(INDEX($X$2:$X$1001,MATCH(ROWS($V$2:V505),$V$2:$V$1001,0),0), INDEX($AC$1004:$AS$1004,1,MATCH(COLUMNS($AC$1006:AO1006),$AC$1006:$AS$1006,0)))),"Fix")))</f>
        <v xml:space="preserve"> </v>
      </c>
      <c r="O505" s="4" t="str">
        <f ca="1">IF(OR(INDEX($W$2:$W$1001,MATCH(ROWS($V$2:V505),$V$2:$V$1001,0),1)&gt;=100000,INDEX($AC$1005:$AS$1005,1,MATCH(COLUMNS($AC$1006:AP1006),$AC$1006:$AS$1006,0))&gt;=100000), " ",IF(INDEX($AC$2:$AS$1001,MATCH(ROWS($V$2:V505),$V$2:$V$1001,0),MATCH(COLUMNS($AC$1006:AP1006),$AC$1006:$AS$1006,0)), HYPERLINK("#",""), HYPERLINK(CONCATENATE("#metadata!", ADDRESS(INDEX($X$2:$X$1001,MATCH(ROWS($V$2:V505),$V$2:$V$1001,0),0), INDEX($AC$1004:$AS$1004,1,MATCH(COLUMNS($AC$1006:AP1006),$AC$1006:$AS$1006,0)))),"Fix")))</f>
        <v xml:space="preserve"> </v>
      </c>
      <c r="P505" s="4" t="str">
        <f ca="1">IF(OR(INDEX($W$2:$W$1001,MATCH(ROWS($V$2:V505),$V$2:$V$1001,0),1)&gt;=100000,INDEX($AC$1005:$AS$1005,1,MATCH(COLUMNS($AC$1006:AQ1006),$AC$1006:$AS$1006,0))&gt;=100000), " ",IF(INDEX($AC$2:$AS$1001,MATCH(ROWS($V$2:V505),$V$2:$V$1001,0),MATCH(COLUMNS($AC$1006:AQ1006),$AC$1006:$AS$1006,0)), HYPERLINK("#",""), HYPERLINK(CONCATENATE("#metadata!", ADDRESS(INDEX($X$2:$X$1001,MATCH(ROWS($V$2:V505),$V$2:$V$1001,0),0), INDEX($AC$1004:$AS$1004,1,MATCH(COLUMNS($AC$1006:AQ1006),$AC$1006:$AS$1006,0)))),"Fix")))</f>
        <v xml:space="preserve"> </v>
      </c>
      <c r="Q505" s="4" t="str">
        <f ca="1">IF(OR(INDEX($W$2:$W$1001,MATCH(ROWS($V$2:V505),$V$2:$V$1001,0),1)&gt;=100000,INDEX($AC$1005:$AS$1005,1,MATCH(COLUMNS($AC$1006:AR1006),$AC$1006:$AS$1006,0))&gt;=100000), " ",IF(INDEX($AC$2:$AS$1001,MATCH(ROWS($V$2:V505),$V$2:$V$1001,0),MATCH(COLUMNS($AC$1006:AR1006),$AC$1006:$AS$1006,0)), HYPERLINK("#",""), HYPERLINK(CONCATENATE("#metadata!", ADDRESS(INDEX($X$2:$X$1001,MATCH(ROWS($V$2:V505),$V$2:$V$1001,0),0), INDEX($AC$1004:$AS$1004,1,MATCH(COLUMNS($AC$1006:AR1006),$AC$1006:$AS$1006,0)))),"Fix")))</f>
        <v xml:space="preserve"> </v>
      </c>
      <c r="R505" s="4" t="str">
        <f ca="1">IF(OR(INDEX($W$2:$W$1001,MATCH(ROWS($V$2:V505),$V$2:$V$1001,0),1)&gt;=100000,INDEX($AC$1005:$AS$1005,1,MATCH(COLUMNS($AC$1006:AS1006),$AC$1006:$AS$1006,0))&gt;=100000), " ",IF(INDEX($AC$2:$AS$1001,MATCH(ROWS($V$2:V505),$V$2:$V$1001,0),MATCH(COLUMNS($AC$1006:AS1006),$AC$1006:$AS$1006,0)), HYPERLINK("#",""), HYPERLINK(CONCATENATE("#metadata!", ADDRESS(INDEX($X$2:$X$1001,MATCH(ROWS($V$2:V505),$V$2:$V$1001,0),0), INDEX($AC$1004:$AS$1004,1,MATCH(COLUMNS($AC$1006:AS1006),$AC$1006:$AS$1006,0)))),"Fix")))</f>
        <v xml:space="preserve"> </v>
      </c>
      <c r="V505">
        <v>504</v>
      </c>
      <c r="W505">
        <v>100505</v>
      </c>
      <c r="X505">
        <v>505</v>
      </c>
      <c r="Y505" t="b">
        <f t="shared" si="7"/>
        <v>1</v>
      </c>
      <c r="Z505" t="b">
        <f>COUNTBLANK(metadata!B505:R505)=COLUMNS(metadata!B505:R505)</f>
        <v>1</v>
      </c>
      <c r="AA505" t="str">
        <v/>
      </c>
      <c r="AC505" t="b">
        <f ca="1"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AD505" t="b">
        <f>IF(metadata!C505="",FALSE,ISNUMBER(VALUE(metadata!C505)))</f>
        <v>0</v>
      </c>
      <c r="AE505" t="b">
        <f>AND(IF(metadata!D505="",FALSE,TRUE),EXACT(metadata!D505,"years"))</f>
        <v>0</v>
      </c>
      <c r="AF505" t="b">
        <f>OR(AND(IF(metadata!E505="",FALSE,TRUE),OR(EXACT(metadata!E505,"not applicable"),EXACT(metadata!E505,"missing: not collected"),EXACT(metadata!E505,"missing: not provided"),EXACT(metadata!E505,"missing: restricted access"))),AND(IF(metadata!E505="",FALSE,ISNUMBER(VALUE(metadata!E505))),metadata!E505&gt;0))</f>
        <v>0</v>
      </c>
      <c r="AG505" t="b">
        <f>AND(IF(metadata!F505="",FALSE,TRUE),EXACT(metadata!F505,"Not applicable"))</f>
        <v>0</v>
      </c>
      <c r="AH505" t="b">
        <f>AND(IF(metadata!G505="",FALSE,TRUE),EXACT(metadata!G505,"urban biome"))</f>
        <v>0</v>
      </c>
      <c r="AI505" t="b">
        <f>AND(IF(metadata!H505="",FALSE,TRUE),EXACT(metadata!H505,"human-associated habitat"))</f>
        <v>0</v>
      </c>
      <c r="AJ505" t="b">
        <f>AND(IF(metadata!I505="",FALSE,TRUE),OR(EXACT(metadata!I505,"human-associated"),EXACT(metadata!I505,"human-skin"),EXACT(metadata!I505,"human-oral"),EXACT(metadata!I505,"human-gut"),EXACT(metadata!I505,"human-vaginal")))</f>
        <v>0</v>
      </c>
      <c r="AK505" t="b">
        <f>IF(metadata!J505="",FALSE,ISNUMBER(VALUE(metadata!J505)))</f>
        <v>0</v>
      </c>
      <c r="AL505" t="b">
        <f>AND(IF(metadata!K505="",FALSE,TRUE),EXACT(metadata!K505,"cm"))</f>
        <v>0</v>
      </c>
      <c r="AM505" t="b">
        <f>AND(IF(metadata!L505="",FALSE,TRUE),EXACT(metadata!L505,"human"))</f>
        <v>0</v>
      </c>
      <c r="AN505" t="b">
        <f>AND(IF(metadata!M505="",FALSE,TRUE),EXACT(metadata!M505,"Homo sapiens"))</f>
        <v>0</v>
      </c>
      <c r="AO505" t="b">
        <f>AND(IF(metadata!N505="",FALSE,TRUE),EXACT(metadata!N505,"9606"))</f>
        <v>0</v>
      </c>
      <c r="AP505" t="b">
        <f>IF(metadata!O505="",FALSE,TRUE)</f>
        <v>0</v>
      </c>
      <c r="AQ505" t="b">
        <f>IF(metadata!P505="",FALSE,TRUE)</f>
        <v>0</v>
      </c>
      <c r="AR505" t="b">
        <f>IF(metadata!Q505="",FALSE,ISNUMBER(VALUE(metadata!Q505)))</f>
        <v>0</v>
      </c>
      <c r="AS505" t="b">
        <f>AND(IF(metadata!R505="",FALSE,TRUE),EXACT(metadata!R505,"kg"))</f>
        <v>0</v>
      </c>
    </row>
    <row r="506" spans="1:45" x14ac:dyDescent="0.2">
      <c r="A506" s="5" t="str">
        <f ca="1">IF(B506=" "," ",HYPERLINK(CONCATENATE("#metadata!",ADDRESS(INDEX($X$2:$X$1001,MATCH(ROWS($V$2:V506),$V$2:$V$1001,0),0),1)),INDEX($AA$2:$AA$1001,MATCH(ROWS($V$2:V506),$V$2:$V$1001,0),0)))</f>
        <v xml:space="preserve"> </v>
      </c>
      <c r="B506" s="4" t="str">
        <f ca="1">IF(OR(INDEX($W$2:$W$1001,MATCH(ROWS($V$2:V506),$V$2:$V$1001,0),1)&gt;=100000,INDEX($AC$1005:$AS$1005,1,MATCH(COLUMNS($AC$1006:AC1006),$AC$1006:$AS$1006,0))&gt;=100000), " ",IF(INDEX($AC$2:$AS$1001,MATCH(ROWS($V$2:V506),$V$2:$V$1001,0),MATCH(COLUMNS($AC$1006:AC1006),$AC$1006:$AS$1006,0)), HYPERLINK("#",""), HYPERLINK(CONCATENATE("#metadata!", ADDRESS(INDEX($X$2:$X$1001,MATCH(ROWS($V$2:V506),$V$2:$V$1001,0),0), INDEX($AC$1004:$AS$1004,1,MATCH(COLUMNS($AC$1006:AC1006),$AC$1006:$AS$1006,0)))),"Fix")))</f>
        <v xml:space="preserve"> </v>
      </c>
      <c r="C506" s="4" t="str">
        <f ca="1">IF(OR(INDEX($W$2:$W$1001,MATCH(ROWS($V$2:V506),$V$2:$V$1001,0),1)&gt;=100000,INDEX($AC$1005:$AS$1005,1,MATCH(COLUMNS($AC$1006:AD1006),$AC$1006:$AS$1006,0))&gt;=100000), " ",IF(INDEX($AC$2:$AS$1001,MATCH(ROWS($V$2:V506),$V$2:$V$1001,0),MATCH(COLUMNS($AC$1006:AD1006),$AC$1006:$AS$1006,0)), HYPERLINK("#",""), HYPERLINK(CONCATENATE("#metadata!", ADDRESS(INDEX($X$2:$X$1001,MATCH(ROWS($V$2:V506),$V$2:$V$1001,0),0), INDEX($AC$1004:$AS$1004,1,MATCH(COLUMNS($AC$1006:AD1006),$AC$1006:$AS$1006,0)))),"Fix")))</f>
        <v xml:space="preserve"> </v>
      </c>
      <c r="D506" s="4" t="str">
        <f ca="1">IF(OR(INDEX($W$2:$W$1001,MATCH(ROWS($V$2:V506),$V$2:$V$1001,0),1)&gt;=100000,INDEX($AC$1005:$AS$1005,1,MATCH(COLUMNS($AC$1006:AE1006),$AC$1006:$AS$1006,0))&gt;=100000), " ",IF(INDEX($AC$2:$AS$1001,MATCH(ROWS($V$2:V506),$V$2:$V$1001,0),MATCH(COLUMNS($AC$1006:AE1006),$AC$1006:$AS$1006,0)), HYPERLINK("#",""), HYPERLINK(CONCATENATE("#metadata!", ADDRESS(INDEX($X$2:$X$1001,MATCH(ROWS($V$2:V506),$V$2:$V$1001,0),0), INDEX($AC$1004:$AS$1004,1,MATCH(COLUMNS($AC$1006:AE1006),$AC$1006:$AS$1006,0)))),"Fix")))</f>
        <v xml:space="preserve"> </v>
      </c>
      <c r="E506" s="4" t="str">
        <f ca="1">IF(OR(INDEX($W$2:$W$1001,MATCH(ROWS($V$2:V506),$V$2:$V$1001,0),1)&gt;=100000,INDEX($AC$1005:$AS$1005,1,MATCH(COLUMNS($AC$1006:AF1006),$AC$1006:$AS$1006,0))&gt;=100000), " ",IF(INDEX($AC$2:$AS$1001,MATCH(ROWS($V$2:V506),$V$2:$V$1001,0),MATCH(COLUMNS($AC$1006:AF1006),$AC$1006:$AS$1006,0)), HYPERLINK("#",""), HYPERLINK(CONCATENATE("#metadata!", ADDRESS(INDEX($X$2:$X$1001,MATCH(ROWS($V$2:V506),$V$2:$V$1001,0),0), INDEX($AC$1004:$AS$1004,1,MATCH(COLUMNS($AC$1006:AF1006),$AC$1006:$AS$1006,0)))),"Fix")))</f>
        <v xml:space="preserve"> </v>
      </c>
      <c r="F506" s="4" t="str">
        <f ca="1">IF(OR(INDEX($W$2:$W$1001,MATCH(ROWS($V$2:V506),$V$2:$V$1001,0),1)&gt;=100000,INDEX($AC$1005:$AS$1005,1,MATCH(COLUMNS($AC$1006:AG1006),$AC$1006:$AS$1006,0))&gt;=100000), " ",IF(INDEX($AC$2:$AS$1001,MATCH(ROWS($V$2:V506),$V$2:$V$1001,0),MATCH(COLUMNS($AC$1006:AG1006),$AC$1006:$AS$1006,0)), HYPERLINK("#",""), HYPERLINK(CONCATENATE("#metadata!", ADDRESS(INDEX($X$2:$X$1001,MATCH(ROWS($V$2:V506),$V$2:$V$1001,0),0), INDEX($AC$1004:$AS$1004,1,MATCH(COLUMNS($AC$1006:AG1006),$AC$1006:$AS$1006,0)))),"Fix")))</f>
        <v xml:space="preserve"> </v>
      </c>
      <c r="G506" s="4" t="str">
        <f ca="1">IF(OR(INDEX($W$2:$W$1001,MATCH(ROWS($V$2:V506),$V$2:$V$1001,0),1)&gt;=100000,INDEX($AC$1005:$AS$1005,1,MATCH(COLUMNS($AC$1006:AH1006),$AC$1006:$AS$1006,0))&gt;=100000), " ",IF(INDEX($AC$2:$AS$1001,MATCH(ROWS($V$2:V506),$V$2:$V$1001,0),MATCH(COLUMNS($AC$1006:AH1006),$AC$1006:$AS$1006,0)), HYPERLINK("#",""), HYPERLINK(CONCATENATE("#metadata!", ADDRESS(INDEX($X$2:$X$1001,MATCH(ROWS($V$2:V506),$V$2:$V$1001,0),0), INDEX($AC$1004:$AS$1004,1,MATCH(COLUMNS($AC$1006:AH1006),$AC$1006:$AS$1006,0)))),"Fix")))</f>
        <v xml:space="preserve"> </v>
      </c>
      <c r="H506" s="4" t="str">
        <f ca="1">IF(OR(INDEX($W$2:$W$1001,MATCH(ROWS($V$2:V506),$V$2:$V$1001,0),1)&gt;=100000,INDEX($AC$1005:$AS$1005,1,MATCH(COLUMNS($AC$1006:AI1006),$AC$1006:$AS$1006,0))&gt;=100000), " ",IF(INDEX($AC$2:$AS$1001,MATCH(ROWS($V$2:V506),$V$2:$V$1001,0),MATCH(COLUMNS($AC$1006:AI1006),$AC$1006:$AS$1006,0)), HYPERLINK("#",""), HYPERLINK(CONCATENATE("#metadata!", ADDRESS(INDEX($X$2:$X$1001,MATCH(ROWS($V$2:V506),$V$2:$V$1001,0),0), INDEX($AC$1004:$AS$1004,1,MATCH(COLUMNS($AC$1006:AI1006),$AC$1006:$AS$1006,0)))),"Fix")))</f>
        <v xml:space="preserve"> </v>
      </c>
      <c r="I506" s="4" t="str">
        <f ca="1">IF(OR(INDEX($W$2:$W$1001,MATCH(ROWS($V$2:V506),$V$2:$V$1001,0),1)&gt;=100000,INDEX($AC$1005:$AS$1005,1,MATCH(COLUMNS($AC$1006:AJ1006),$AC$1006:$AS$1006,0))&gt;=100000), " ",IF(INDEX($AC$2:$AS$1001,MATCH(ROWS($V$2:V506),$V$2:$V$1001,0),MATCH(COLUMNS($AC$1006:AJ1006),$AC$1006:$AS$1006,0)), HYPERLINK("#",""), HYPERLINK(CONCATENATE("#metadata!", ADDRESS(INDEX($X$2:$X$1001,MATCH(ROWS($V$2:V506),$V$2:$V$1001,0),0), INDEX($AC$1004:$AS$1004,1,MATCH(COLUMNS($AC$1006:AJ1006),$AC$1006:$AS$1006,0)))),"Fix")))</f>
        <v xml:space="preserve"> </v>
      </c>
      <c r="J506" s="4" t="str">
        <f ca="1">IF(OR(INDEX($W$2:$W$1001,MATCH(ROWS($V$2:V506),$V$2:$V$1001,0),1)&gt;=100000,INDEX($AC$1005:$AS$1005,1,MATCH(COLUMNS($AC$1006:AK1006),$AC$1006:$AS$1006,0))&gt;=100000), " ",IF(INDEX($AC$2:$AS$1001,MATCH(ROWS($V$2:V506),$V$2:$V$1001,0),MATCH(COLUMNS($AC$1006:AK1006),$AC$1006:$AS$1006,0)), HYPERLINK("#",""), HYPERLINK(CONCATENATE("#metadata!", ADDRESS(INDEX($X$2:$X$1001,MATCH(ROWS($V$2:V506),$V$2:$V$1001,0),0), INDEX($AC$1004:$AS$1004,1,MATCH(COLUMNS($AC$1006:AK1006),$AC$1006:$AS$1006,0)))),"Fix")))</f>
        <v xml:space="preserve"> </v>
      </c>
      <c r="K506" s="4" t="str">
        <f ca="1">IF(OR(INDEX($W$2:$W$1001,MATCH(ROWS($V$2:V506),$V$2:$V$1001,0),1)&gt;=100000,INDEX($AC$1005:$AS$1005,1,MATCH(COLUMNS($AC$1006:AL1006),$AC$1006:$AS$1006,0))&gt;=100000), " ",IF(INDEX($AC$2:$AS$1001,MATCH(ROWS($V$2:V506),$V$2:$V$1001,0),MATCH(COLUMNS($AC$1006:AL1006),$AC$1006:$AS$1006,0)), HYPERLINK("#",""), HYPERLINK(CONCATENATE("#metadata!", ADDRESS(INDEX($X$2:$X$1001,MATCH(ROWS($V$2:V506),$V$2:$V$1001,0),0), INDEX($AC$1004:$AS$1004,1,MATCH(COLUMNS($AC$1006:AL1006),$AC$1006:$AS$1006,0)))),"Fix")))</f>
        <v xml:space="preserve"> </v>
      </c>
      <c r="L506" s="4" t="str">
        <f ca="1">IF(OR(INDEX($W$2:$W$1001,MATCH(ROWS($V$2:V506),$V$2:$V$1001,0),1)&gt;=100000,INDEX($AC$1005:$AS$1005,1,MATCH(COLUMNS($AC$1006:AM1006),$AC$1006:$AS$1006,0))&gt;=100000), " ",IF(INDEX($AC$2:$AS$1001,MATCH(ROWS($V$2:V506),$V$2:$V$1001,0),MATCH(COLUMNS($AC$1006:AM1006),$AC$1006:$AS$1006,0)), HYPERLINK("#",""), HYPERLINK(CONCATENATE("#metadata!", ADDRESS(INDEX($X$2:$X$1001,MATCH(ROWS($V$2:V506),$V$2:$V$1001,0),0), INDEX($AC$1004:$AS$1004,1,MATCH(COLUMNS($AC$1006:AM1006),$AC$1006:$AS$1006,0)))),"Fix")))</f>
        <v xml:space="preserve"> </v>
      </c>
      <c r="M506" s="4" t="str">
        <f ca="1">IF(OR(INDEX($W$2:$W$1001,MATCH(ROWS($V$2:V506),$V$2:$V$1001,0),1)&gt;=100000,INDEX($AC$1005:$AS$1005,1,MATCH(COLUMNS($AC$1006:AN1006),$AC$1006:$AS$1006,0))&gt;=100000), " ",IF(INDEX($AC$2:$AS$1001,MATCH(ROWS($V$2:V506),$V$2:$V$1001,0),MATCH(COLUMNS($AC$1006:AN1006),$AC$1006:$AS$1006,0)), HYPERLINK("#",""), HYPERLINK(CONCATENATE("#metadata!", ADDRESS(INDEX($X$2:$X$1001,MATCH(ROWS($V$2:V506),$V$2:$V$1001,0),0), INDEX($AC$1004:$AS$1004,1,MATCH(COLUMNS($AC$1006:AN1006),$AC$1006:$AS$1006,0)))),"Fix")))</f>
        <v xml:space="preserve"> </v>
      </c>
      <c r="N506" s="4" t="str">
        <f ca="1">IF(OR(INDEX($W$2:$W$1001,MATCH(ROWS($V$2:V506),$V$2:$V$1001,0),1)&gt;=100000,INDEX($AC$1005:$AS$1005,1,MATCH(COLUMNS($AC$1006:AO1006),$AC$1006:$AS$1006,0))&gt;=100000), " ",IF(INDEX($AC$2:$AS$1001,MATCH(ROWS($V$2:V506),$V$2:$V$1001,0),MATCH(COLUMNS($AC$1006:AO1006),$AC$1006:$AS$1006,0)), HYPERLINK("#",""), HYPERLINK(CONCATENATE("#metadata!", ADDRESS(INDEX($X$2:$X$1001,MATCH(ROWS($V$2:V506),$V$2:$V$1001,0),0), INDEX($AC$1004:$AS$1004,1,MATCH(COLUMNS($AC$1006:AO1006),$AC$1006:$AS$1006,0)))),"Fix")))</f>
        <v xml:space="preserve"> </v>
      </c>
      <c r="O506" s="4" t="str">
        <f ca="1">IF(OR(INDEX($W$2:$W$1001,MATCH(ROWS($V$2:V506),$V$2:$V$1001,0),1)&gt;=100000,INDEX($AC$1005:$AS$1005,1,MATCH(COLUMNS($AC$1006:AP1006),$AC$1006:$AS$1006,0))&gt;=100000), " ",IF(INDEX($AC$2:$AS$1001,MATCH(ROWS($V$2:V506),$V$2:$V$1001,0),MATCH(COLUMNS($AC$1006:AP1006),$AC$1006:$AS$1006,0)), HYPERLINK("#",""), HYPERLINK(CONCATENATE("#metadata!", ADDRESS(INDEX($X$2:$X$1001,MATCH(ROWS($V$2:V506),$V$2:$V$1001,0),0), INDEX($AC$1004:$AS$1004,1,MATCH(COLUMNS($AC$1006:AP1006),$AC$1006:$AS$1006,0)))),"Fix")))</f>
        <v xml:space="preserve"> </v>
      </c>
      <c r="P506" s="4" t="str">
        <f ca="1">IF(OR(INDEX($W$2:$W$1001,MATCH(ROWS($V$2:V506),$V$2:$V$1001,0),1)&gt;=100000,INDEX($AC$1005:$AS$1005,1,MATCH(COLUMNS($AC$1006:AQ1006),$AC$1006:$AS$1006,0))&gt;=100000), " ",IF(INDEX($AC$2:$AS$1001,MATCH(ROWS($V$2:V506),$V$2:$V$1001,0),MATCH(COLUMNS($AC$1006:AQ1006),$AC$1006:$AS$1006,0)), HYPERLINK("#",""), HYPERLINK(CONCATENATE("#metadata!", ADDRESS(INDEX($X$2:$X$1001,MATCH(ROWS($V$2:V506),$V$2:$V$1001,0),0), INDEX($AC$1004:$AS$1004,1,MATCH(COLUMNS($AC$1006:AQ1006),$AC$1006:$AS$1006,0)))),"Fix")))</f>
        <v xml:space="preserve"> </v>
      </c>
      <c r="Q506" s="4" t="str">
        <f ca="1">IF(OR(INDEX($W$2:$W$1001,MATCH(ROWS($V$2:V506),$V$2:$V$1001,0),1)&gt;=100000,INDEX($AC$1005:$AS$1005,1,MATCH(COLUMNS($AC$1006:AR1006),$AC$1006:$AS$1006,0))&gt;=100000), " ",IF(INDEX($AC$2:$AS$1001,MATCH(ROWS($V$2:V506),$V$2:$V$1001,0),MATCH(COLUMNS($AC$1006:AR1006),$AC$1006:$AS$1006,0)), HYPERLINK("#",""), HYPERLINK(CONCATENATE("#metadata!", ADDRESS(INDEX($X$2:$X$1001,MATCH(ROWS($V$2:V506),$V$2:$V$1001,0),0), INDEX($AC$1004:$AS$1004,1,MATCH(COLUMNS($AC$1006:AR1006),$AC$1006:$AS$1006,0)))),"Fix")))</f>
        <v xml:space="preserve"> </v>
      </c>
      <c r="R506" s="4" t="str">
        <f ca="1">IF(OR(INDEX($W$2:$W$1001,MATCH(ROWS($V$2:V506),$V$2:$V$1001,0),1)&gt;=100000,INDEX($AC$1005:$AS$1005,1,MATCH(COLUMNS($AC$1006:AS1006),$AC$1006:$AS$1006,0))&gt;=100000), " ",IF(INDEX($AC$2:$AS$1001,MATCH(ROWS($V$2:V506),$V$2:$V$1001,0),MATCH(COLUMNS($AC$1006:AS1006),$AC$1006:$AS$1006,0)), HYPERLINK("#",""), HYPERLINK(CONCATENATE("#metadata!", ADDRESS(INDEX($X$2:$X$1001,MATCH(ROWS($V$2:V506),$V$2:$V$1001,0),0), INDEX($AC$1004:$AS$1004,1,MATCH(COLUMNS($AC$1006:AS1006),$AC$1006:$AS$1006,0)))),"Fix")))</f>
        <v xml:space="preserve"> </v>
      </c>
      <c r="V506">
        <v>505</v>
      </c>
      <c r="W506">
        <v>100506</v>
      </c>
      <c r="X506">
        <v>506</v>
      </c>
      <c r="Y506" t="b">
        <f t="shared" si="7"/>
        <v>1</v>
      </c>
      <c r="Z506" t="b">
        <f>COUNTBLANK(metadata!B506:R506)=COLUMNS(metadata!B506:R506)</f>
        <v>1</v>
      </c>
      <c r="AA506" t="str">
        <v/>
      </c>
      <c r="AC506" t="b">
        <f ca="1"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AD506" t="b">
        <f>IF(metadata!C506="",FALSE,ISNUMBER(VALUE(metadata!C506)))</f>
        <v>0</v>
      </c>
      <c r="AE506" t="b">
        <f>AND(IF(metadata!D506="",FALSE,TRUE),EXACT(metadata!D506,"years"))</f>
        <v>0</v>
      </c>
      <c r="AF506" t="b">
        <f>OR(AND(IF(metadata!E506="",FALSE,TRUE),OR(EXACT(metadata!E506,"not applicable"),EXACT(metadata!E506,"missing: not collected"),EXACT(metadata!E506,"missing: not provided"),EXACT(metadata!E506,"missing: restricted access"))),AND(IF(metadata!E506="",FALSE,ISNUMBER(VALUE(metadata!E506))),metadata!E506&gt;0))</f>
        <v>0</v>
      </c>
      <c r="AG506" t="b">
        <f>AND(IF(metadata!F506="",FALSE,TRUE),EXACT(metadata!F506,"Not applicable"))</f>
        <v>0</v>
      </c>
      <c r="AH506" t="b">
        <f>AND(IF(metadata!G506="",FALSE,TRUE),EXACT(metadata!G506,"urban biome"))</f>
        <v>0</v>
      </c>
      <c r="AI506" t="b">
        <f>AND(IF(metadata!H506="",FALSE,TRUE),EXACT(metadata!H506,"human-associated habitat"))</f>
        <v>0</v>
      </c>
      <c r="AJ506" t="b">
        <f>AND(IF(metadata!I506="",FALSE,TRUE),OR(EXACT(metadata!I506,"human-associated"),EXACT(metadata!I506,"human-skin"),EXACT(metadata!I506,"human-oral"),EXACT(metadata!I506,"human-gut"),EXACT(metadata!I506,"human-vaginal")))</f>
        <v>0</v>
      </c>
      <c r="AK506" t="b">
        <f>IF(metadata!J506="",FALSE,ISNUMBER(VALUE(metadata!J506)))</f>
        <v>0</v>
      </c>
      <c r="AL506" t="b">
        <f>AND(IF(metadata!K506="",FALSE,TRUE),EXACT(metadata!K506,"cm"))</f>
        <v>0</v>
      </c>
      <c r="AM506" t="b">
        <f>AND(IF(metadata!L506="",FALSE,TRUE),EXACT(metadata!L506,"human"))</f>
        <v>0</v>
      </c>
      <c r="AN506" t="b">
        <f>AND(IF(metadata!M506="",FALSE,TRUE),EXACT(metadata!M506,"Homo sapiens"))</f>
        <v>0</v>
      </c>
      <c r="AO506" t="b">
        <f>AND(IF(metadata!N506="",FALSE,TRUE),EXACT(metadata!N506,"9606"))</f>
        <v>0</v>
      </c>
      <c r="AP506" t="b">
        <f>IF(metadata!O506="",FALSE,TRUE)</f>
        <v>0</v>
      </c>
      <c r="AQ506" t="b">
        <f>IF(metadata!P506="",FALSE,TRUE)</f>
        <v>0</v>
      </c>
      <c r="AR506" t="b">
        <f>IF(metadata!Q506="",FALSE,ISNUMBER(VALUE(metadata!Q506)))</f>
        <v>0</v>
      </c>
      <c r="AS506" t="b">
        <f>AND(IF(metadata!R506="",FALSE,TRUE),EXACT(metadata!R506,"kg"))</f>
        <v>0</v>
      </c>
    </row>
    <row r="507" spans="1:45" x14ac:dyDescent="0.2">
      <c r="A507" s="5" t="str">
        <f ca="1">IF(B507=" "," ",HYPERLINK(CONCATENATE("#metadata!",ADDRESS(INDEX($X$2:$X$1001,MATCH(ROWS($V$2:V507),$V$2:$V$1001,0),0),1)),INDEX($AA$2:$AA$1001,MATCH(ROWS($V$2:V507),$V$2:$V$1001,0),0)))</f>
        <v xml:space="preserve"> </v>
      </c>
      <c r="B507" s="4" t="str">
        <f ca="1">IF(OR(INDEX($W$2:$W$1001,MATCH(ROWS($V$2:V507),$V$2:$V$1001,0),1)&gt;=100000,INDEX($AC$1005:$AS$1005,1,MATCH(COLUMNS($AC$1006:AC1006),$AC$1006:$AS$1006,0))&gt;=100000), " ",IF(INDEX($AC$2:$AS$1001,MATCH(ROWS($V$2:V507),$V$2:$V$1001,0),MATCH(COLUMNS($AC$1006:AC1006),$AC$1006:$AS$1006,0)), HYPERLINK("#",""), HYPERLINK(CONCATENATE("#metadata!", ADDRESS(INDEX($X$2:$X$1001,MATCH(ROWS($V$2:V507),$V$2:$V$1001,0),0), INDEX($AC$1004:$AS$1004,1,MATCH(COLUMNS($AC$1006:AC1006),$AC$1006:$AS$1006,0)))),"Fix")))</f>
        <v xml:space="preserve"> </v>
      </c>
      <c r="C507" s="4" t="str">
        <f ca="1">IF(OR(INDEX($W$2:$W$1001,MATCH(ROWS($V$2:V507),$V$2:$V$1001,0),1)&gt;=100000,INDEX($AC$1005:$AS$1005,1,MATCH(COLUMNS($AC$1006:AD1006),$AC$1006:$AS$1006,0))&gt;=100000), " ",IF(INDEX($AC$2:$AS$1001,MATCH(ROWS($V$2:V507),$V$2:$V$1001,0),MATCH(COLUMNS($AC$1006:AD1006),$AC$1006:$AS$1006,0)), HYPERLINK("#",""), HYPERLINK(CONCATENATE("#metadata!", ADDRESS(INDEX($X$2:$X$1001,MATCH(ROWS($V$2:V507),$V$2:$V$1001,0),0), INDEX($AC$1004:$AS$1004,1,MATCH(COLUMNS($AC$1006:AD1006),$AC$1006:$AS$1006,0)))),"Fix")))</f>
        <v xml:space="preserve"> </v>
      </c>
      <c r="D507" s="4" t="str">
        <f ca="1">IF(OR(INDEX($W$2:$W$1001,MATCH(ROWS($V$2:V507),$V$2:$V$1001,0),1)&gt;=100000,INDEX($AC$1005:$AS$1005,1,MATCH(COLUMNS($AC$1006:AE1006),$AC$1006:$AS$1006,0))&gt;=100000), " ",IF(INDEX($AC$2:$AS$1001,MATCH(ROWS($V$2:V507),$V$2:$V$1001,0),MATCH(COLUMNS($AC$1006:AE1006),$AC$1006:$AS$1006,0)), HYPERLINK("#",""), HYPERLINK(CONCATENATE("#metadata!", ADDRESS(INDEX($X$2:$X$1001,MATCH(ROWS($V$2:V507),$V$2:$V$1001,0),0), INDEX($AC$1004:$AS$1004,1,MATCH(COLUMNS($AC$1006:AE1006),$AC$1006:$AS$1006,0)))),"Fix")))</f>
        <v xml:space="preserve"> </v>
      </c>
      <c r="E507" s="4" t="str">
        <f ca="1">IF(OR(INDEX($W$2:$W$1001,MATCH(ROWS($V$2:V507),$V$2:$V$1001,0),1)&gt;=100000,INDEX($AC$1005:$AS$1005,1,MATCH(COLUMNS($AC$1006:AF1006),$AC$1006:$AS$1006,0))&gt;=100000), " ",IF(INDEX($AC$2:$AS$1001,MATCH(ROWS($V$2:V507),$V$2:$V$1001,0),MATCH(COLUMNS($AC$1006:AF1006),$AC$1006:$AS$1006,0)), HYPERLINK("#",""), HYPERLINK(CONCATENATE("#metadata!", ADDRESS(INDEX($X$2:$X$1001,MATCH(ROWS($V$2:V507),$V$2:$V$1001,0),0), INDEX($AC$1004:$AS$1004,1,MATCH(COLUMNS($AC$1006:AF1006),$AC$1006:$AS$1006,0)))),"Fix")))</f>
        <v xml:space="preserve"> </v>
      </c>
      <c r="F507" s="4" t="str">
        <f ca="1">IF(OR(INDEX($W$2:$W$1001,MATCH(ROWS($V$2:V507),$V$2:$V$1001,0),1)&gt;=100000,INDEX($AC$1005:$AS$1005,1,MATCH(COLUMNS($AC$1006:AG1006),$AC$1006:$AS$1006,0))&gt;=100000), " ",IF(INDEX($AC$2:$AS$1001,MATCH(ROWS($V$2:V507),$V$2:$V$1001,0),MATCH(COLUMNS($AC$1006:AG1006),$AC$1006:$AS$1006,0)), HYPERLINK("#",""), HYPERLINK(CONCATENATE("#metadata!", ADDRESS(INDEX($X$2:$X$1001,MATCH(ROWS($V$2:V507),$V$2:$V$1001,0),0), INDEX($AC$1004:$AS$1004,1,MATCH(COLUMNS($AC$1006:AG1006),$AC$1006:$AS$1006,0)))),"Fix")))</f>
        <v xml:space="preserve"> </v>
      </c>
      <c r="G507" s="4" t="str">
        <f ca="1">IF(OR(INDEX($W$2:$W$1001,MATCH(ROWS($V$2:V507),$V$2:$V$1001,0),1)&gt;=100000,INDEX($AC$1005:$AS$1005,1,MATCH(COLUMNS($AC$1006:AH1006),$AC$1006:$AS$1006,0))&gt;=100000), " ",IF(INDEX($AC$2:$AS$1001,MATCH(ROWS($V$2:V507),$V$2:$V$1001,0),MATCH(COLUMNS($AC$1006:AH1006),$AC$1006:$AS$1006,0)), HYPERLINK("#",""), HYPERLINK(CONCATENATE("#metadata!", ADDRESS(INDEX($X$2:$X$1001,MATCH(ROWS($V$2:V507),$V$2:$V$1001,0),0), INDEX($AC$1004:$AS$1004,1,MATCH(COLUMNS($AC$1006:AH1006),$AC$1006:$AS$1006,0)))),"Fix")))</f>
        <v xml:space="preserve"> </v>
      </c>
      <c r="H507" s="4" t="str">
        <f ca="1">IF(OR(INDEX($W$2:$W$1001,MATCH(ROWS($V$2:V507),$V$2:$V$1001,0),1)&gt;=100000,INDEX($AC$1005:$AS$1005,1,MATCH(COLUMNS($AC$1006:AI1006),$AC$1006:$AS$1006,0))&gt;=100000), " ",IF(INDEX($AC$2:$AS$1001,MATCH(ROWS($V$2:V507),$V$2:$V$1001,0),MATCH(COLUMNS($AC$1006:AI1006),$AC$1006:$AS$1006,0)), HYPERLINK("#",""), HYPERLINK(CONCATENATE("#metadata!", ADDRESS(INDEX($X$2:$X$1001,MATCH(ROWS($V$2:V507),$V$2:$V$1001,0),0), INDEX($AC$1004:$AS$1004,1,MATCH(COLUMNS($AC$1006:AI1006),$AC$1006:$AS$1006,0)))),"Fix")))</f>
        <v xml:space="preserve"> </v>
      </c>
      <c r="I507" s="4" t="str">
        <f ca="1">IF(OR(INDEX($W$2:$W$1001,MATCH(ROWS($V$2:V507),$V$2:$V$1001,0),1)&gt;=100000,INDEX($AC$1005:$AS$1005,1,MATCH(COLUMNS($AC$1006:AJ1006),$AC$1006:$AS$1006,0))&gt;=100000), " ",IF(INDEX($AC$2:$AS$1001,MATCH(ROWS($V$2:V507),$V$2:$V$1001,0),MATCH(COLUMNS($AC$1006:AJ1006),$AC$1006:$AS$1006,0)), HYPERLINK("#",""), HYPERLINK(CONCATENATE("#metadata!", ADDRESS(INDEX($X$2:$X$1001,MATCH(ROWS($V$2:V507),$V$2:$V$1001,0),0), INDEX($AC$1004:$AS$1004,1,MATCH(COLUMNS($AC$1006:AJ1006),$AC$1006:$AS$1006,0)))),"Fix")))</f>
        <v xml:space="preserve"> </v>
      </c>
      <c r="J507" s="4" t="str">
        <f ca="1">IF(OR(INDEX($W$2:$W$1001,MATCH(ROWS($V$2:V507),$V$2:$V$1001,0),1)&gt;=100000,INDEX($AC$1005:$AS$1005,1,MATCH(COLUMNS($AC$1006:AK1006),$AC$1006:$AS$1006,0))&gt;=100000), " ",IF(INDEX($AC$2:$AS$1001,MATCH(ROWS($V$2:V507),$V$2:$V$1001,0),MATCH(COLUMNS($AC$1006:AK1006),$AC$1006:$AS$1006,0)), HYPERLINK("#",""), HYPERLINK(CONCATENATE("#metadata!", ADDRESS(INDEX($X$2:$X$1001,MATCH(ROWS($V$2:V507),$V$2:$V$1001,0),0), INDEX($AC$1004:$AS$1004,1,MATCH(COLUMNS($AC$1006:AK1006),$AC$1006:$AS$1006,0)))),"Fix")))</f>
        <v xml:space="preserve"> </v>
      </c>
      <c r="K507" s="4" t="str">
        <f ca="1">IF(OR(INDEX($W$2:$W$1001,MATCH(ROWS($V$2:V507),$V$2:$V$1001,0),1)&gt;=100000,INDEX($AC$1005:$AS$1005,1,MATCH(COLUMNS($AC$1006:AL1006),$AC$1006:$AS$1006,0))&gt;=100000), " ",IF(INDEX($AC$2:$AS$1001,MATCH(ROWS($V$2:V507),$V$2:$V$1001,0),MATCH(COLUMNS($AC$1006:AL1006),$AC$1006:$AS$1006,0)), HYPERLINK("#",""), HYPERLINK(CONCATENATE("#metadata!", ADDRESS(INDEX($X$2:$X$1001,MATCH(ROWS($V$2:V507),$V$2:$V$1001,0),0), INDEX($AC$1004:$AS$1004,1,MATCH(COLUMNS($AC$1006:AL1006),$AC$1006:$AS$1006,0)))),"Fix")))</f>
        <v xml:space="preserve"> </v>
      </c>
      <c r="L507" s="4" t="str">
        <f ca="1">IF(OR(INDEX($W$2:$W$1001,MATCH(ROWS($V$2:V507),$V$2:$V$1001,0),1)&gt;=100000,INDEX($AC$1005:$AS$1005,1,MATCH(COLUMNS($AC$1006:AM1006),$AC$1006:$AS$1006,0))&gt;=100000), " ",IF(INDEX($AC$2:$AS$1001,MATCH(ROWS($V$2:V507),$V$2:$V$1001,0),MATCH(COLUMNS($AC$1006:AM1006),$AC$1006:$AS$1006,0)), HYPERLINK("#",""), HYPERLINK(CONCATENATE("#metadata!", ADDRESS(INDEX($X$2:$X$1001,MATCH(ROWS($V$2:V507),$V$2:$V$1001,0),0), INDEX($AC$1004:$AS$1004,1,MATCH(COLUMNS($AC$1006:AM1006),$AC$1006:$AS$1006,0)))),"Fix")))</f>
        <v xml:space="preserve"> </v>
      </c>
      <c r="M507" s="4" t="str">
        <f ca="1">IF(OR(INDEX($W$2:$W$1001,MATCH(ROWS($V$2:V507),$V$2:$V$1001,0),1)&gt;=100000,INDEX($AC$1005:$AS$1005,1,MATCH(COLUMNS($AC$1006:AN1006),$AC$1006:$AS$1006,0))&gt;=100000), " ",IF(INDEX($AC$2:$AS$1001,MATCH(ROWS($V$2:V507),$V$2:$V$1001,0),MATCH(COLUMNS($AC$1006:AN1006),$AC$1006:$AS$1006,0)), HYPERLINK("#",""), HYPERLINK(CONCATENATE("#metadata!", ADDRESS(INDEX($X$2:$X$1001,MATCH(ROWS($V$2:V507),$V$2:$V$1001,0),0), INDEX($AC$1004:$AS$1004,1,MATCH(COLUMNS($AC$1006:AN1006),$AC$1006:$AS$1006,0)))),"Fix")))</f>
        <v xml:space="preserve"> </v>
      </c>
      <c r="N507" s="4" t="str">
        <f ca="1">IF(OR(INDEX($W$2:$W$1001,MATCH(ROWS($V$2:V507),$V$2:$V$1001,0),1)&gt;=100000,INDEX($AC$1005:$AS$1005,1,MATCH(COLUMNS($AC$1006:AO1006),$AC$1006:$AS$1006,0))&gt;=100000), " ",IF(INDEX($AC$2:$AS$1001,MATCH(ROWS($V$2:V507),$V$2:$V$1001,0),MATCH(COLUMNS($AC$1006:AO1006),$AC$1006:$AS$1006,0)), HYPERLINK("#",""), HYPERLINK(CONCATENATE("#metadata!", ADDRESS(INDEX($X$2:$X$1001,MATCH(ROWS($V$2:V507),$V$2:$V$1001,0),0), INDEX($AC$1004:$AS$1004,1,MATCH(COLUMNS($AC$1006:AO1006),$AC$1006:$AS$1006,0)))),"Fix")))</f>
        <v xml:space="preserve"> </v>
      </c>
      <c r="O507" s="4" t="str">
        <f ca="1">IF(OR(INDEX($W$2:$W$1001,MATCH(ROWS($V$2:V507),$V$2:$V$1001,0),1)&gt;=100000,INDEX($AC$1005:$AS$1005,1,MATCH(COLUMNS($AC$1006:AP1006),$AC$1006:$AS$1006,0))&gt;=100000), " ",IF(INDEX($AC$2:$AS$1001,MATCH(ROWS($V$2:V507),$V$2:$V$1001,0),MATCH(COLUMNS($AC$1006:AP1006),$AC$1006:$AS$1006,0)), HYPERLINK("#",""), HYPERLINK(CONCATENATE("#metadata!", ADDRESS(INDEX($X$2:$X$1001,MATCH(ROWS($V$2:V507),$V$2:$V$1001,0),0), INDEX($AC$1004:$AS$1004,1,MATCH(COLUMNS($AC$1006:AP1006),$AC$1006:$AS$1006,0)))),"Fix")))</f>
        <v xml:space="preserve"> </v>
      </c>
      <c r="P507" s="4" t="str">
        <f ca="1">IF(OR(INDEX($W$2:$W$1001,MATCH(ROWS($V$2:V507),$V$2:$V$1001,0),1)&gt;=100000,INDEX($AC$1005:$AS$1005,1,MATCH(COLUMNS($AC$1006:AQ1006),$AC$1006:$AS$1006,0))&gt;=100000), " ",IF(INDEX($AC$2:$AS$1001,MATCH(ROWS($V$2:V507),$V$2:$V$1001,0),MATCH(COLUMNS($AC$1006:AQ1006),$AC$1006:$AS$1006,0)), HYPERLINK("#",""), HYPERLINK(CONCATENATE("#metadata!", ADDRESS(INDEX($X$2:$X$1001,MATCH(ROWS($V$2:V507),$V$2:$V$1001,0),0), INDEX($AC$1004:$AS$1004,1,MATCH(COLUMNS($AC$1006:AQ1006),$AC$1006:$AS$1006,0)))),"Fix")))</f>
        <v xml:space="preserve"> </v>
      </c>
      <c r="Q507" s="4" t="str">
        <f ca="1">IF(OR(INDEX($W$2:$W$1001,MATCH(ROWS($V$2:V507),$V$2:$V$1001,0),1)&gt;=100000,INDEX($AC$1005:$AS$1005,1,MATCH(COLUMNS($AC$1006:AR1006),$AC$1006:$AS$1006,0))&gt;=100000), " ",IF(INDEX($AC$2:$AS$1001,MATCH(ROWS($V$2:V507),$V$2:$V$1001,0),MATCH(COLUMNS($AC$1006:AR1006),$AC$1006:$AS$1006,0)), HYPERLINK("#",""), HYPERLINK(CONCATENATE("#metadata!", ADDRESS(INDEX($X$2:$X$1001,MATCH(ROWS($V$2:V507),$V$2:$V$1001,0),0), INDEX($AC$1004:$AS$1004,1,MATCH(COLUMNS($AC$1006:AR1006),$AC$1006:$AS$1006,0)))),"Fix")))</f>
        <v xml:space="preserve"> </v>
      </c>
      <c r="R507" s="4" t="str">
        <f ca="1">IF(OR(INDEX($W$2:$W$1001,MATCH(ROWS($V$2:V507),$V$2:$V$1001,0),1)&gt;=100000,INDEX($AC$1005:$AS$1005,1,MATCH(COLUMNS($AC$1006:AS1006),$AC$1006:$AS$1006,0))&gt;=100000), " ",IF(INDEX($AC$2:$AS$1001,MATCH(ROWS($V$2:V507),$V$2:$V$1001,0),MATCH(COLUMNS($AC$1006:AS1006),$AC$1006:$AS$1006,0)), HYPERLINK("#",""), HYPERLINK(CONCATENATE("#metadata!", ADDRESS(INDEX($X$2:$X$1001,MATCH(ROWS($V$2:V507),$V$2:$V$1001,0),0), INDEX($AC$1004:$AS$1004,1,MATCH(COLUMNS($AC$1006:AS1006),$AC$1006:$AS$1006,0)))),"Fix")))</f>
        <v xml:space="preserve"> </v>
      </c>
      <c r="V507">
        <v>506</v>
      </c>
      <c r="W507">
        <v>100507</v>
      </c>
      <c r="X507">
        <v>507</v>
      </c>
      <c r="Y507" t="b">
        <f t="shared" si="7"/>
        <v>1</v>
      </c>
      <c r="Z507" t="b">
        <f>COUNTBLANK(metadata!B507:R507)=COLUMNS(metadata!B507:R507)</f>
        <v>1</v>
      </c>
      <c r="AA507" t="str">
        <v/>
      </c>
      <c r="AC507" t="b">
        <f ca="1"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AD507" t="b">
        <f>IF(metadata!C507="",FALSE,ISNUMBER(VALUE(metadata!C507)))</f>
        <v>0</v>
      </c>
      <c r="AE507" t="b">
        <f>AND(IF(metadata!D507="",FALSE,TRUE),EXACT(metadata!D507,"years"))</f>
        <v>0</v>
      </c>
      <c r="AF507" t="b">
        <f>OR(AND(IF(metadata!E507="",FALSE,TRUE),OR(EXACT(metadata!E507,"not applicable"),EXACT(metadata!E507,"missing: not collected"),EXACT(metadata!E507,"missing: not provided"),EXACT(metadata!E507,"missing: restricted access"))),AND(IF(metadata!E507="",FALSE,ISNUMBER(VALUE(metadata!E507))),metadata!E507&gt;0))</f>
        <v>0</v>
      </c>
      <c r="AG507" t="b">
        <f>AND(IF(metadata!F507="",FALSE,TRUE),EXACT(metadata!F507,"Not applicable"))</f>
        <v>0</v>
      </c>
      <c r="AH507" t="b">
        <f>AND(IF(metadata!G507="",FALSE,TRUE),EXACT(metadata!G507,"urban biome"))</f>
        <v>0</v>
      </c>
      <c r="AI507" t="b">
        <f>AND(IF(metadata!H507="",FALSE,TRUE),EXACT(metadata!H507,"human-associated habitat"))</f>
        <v>0</v>
      </c>
      <c r="AJ507" t="b">
        <f>AND(IF(metadata!I507="",FALSE,TRUE),OR(EXACT(metadata!I507,"human-associated"),EXACT(metadata!I507,"human-skin"),EXACT(metadata!I507,"human-oral"),EXACT(metadata!I507,"human-gut"),EXACT(metadata!I507,"human-vaginal")))</f>
        <v>0</v>
      </c>
      <c r="AK507" t="b">
        <f>IF(metadata!J507="",FALSE,ISNUMBER(VALUE(metadata!J507)))</f>
        <v>0</v>
      </c>
      <c r="AL507" t="b">
        <f>AND(IF(metadata!K507="",FALSE,TRUE),EXACT(metadata!K507,"cm"))</f>
        <v>0</v>
      </c>
      <c r="AM507" t="b">
        <f>AND(IF(metadata!L507="",FALSE,TRUE),EXACT(metadata!L507,"human"))</f>
        <v>0</v>
      </c>
      <c r="AN507" t="b">
        <f>AND(IF(metadata!M507="",FALSE,TRUE),EXACT(metadata!M507,"Homo sapiens"))</f>
        <v>0</v>
      </c>
      <c r="AO507" t="b">
        <f>AND(IF(metadata!N507="",FALSE,TRUE),EXACT(metadata!N507,"9606"))</f>
        <v>0</v>
      </c>
      <c r="AP507" t="b">
        <f>IF(metadata!O507="",FALSE,TRUE)</f>
        <v>0</v>
      </c>
      <c r="AQ507" t="b">
        <f>IF(metadata!P507="",FALSE,TRUE)</f>
        <v>0</v>
      </c>
      <c r="AR507" t="b">
        <f>IF(metadata!Q507="",FALSE,ISNUMBER(VALUE(metadata!Q507)))</f>
        <v>0</v>
      </c>
      <c r="AS507" t="b">
        <f>AND(IF(metadata!R507="",FALSE,TRUE),EXACT(metadata!R507,"kg"))</f>
        <v>0</v>
      </c>
    </row>
    <row r="508" spans="1:45" x14ac:dyDescent="0.2">
      <c r="A508" s="5" t="str">
        <f ca="1">IF(B508=" "," ",HYPERLINK(CONCATENATE("#metadata!",ADDRESS(INDEX($X$2:$X$1001,MATCH(ROWS($V$2:V508),$V$2:$V$1001,0),0),1)),INDEX($AA$2:$AA$1001,MATCH(ROWS($V$2:V508),$V$2:$V$1001,0),0)))</f>
        <v xml:space="preserve"> </v>
      </c>
      <c r="B508" s="4" t="str">
        <f ca="1">IF(OR(INDEX($W$2:$W$1001,MATCH(ROWS($V$2:V508),$V$2:$V$1001,0),1)&gt;=100000,INDEX($AC$1005:$AS$1005,1,MATCH(COLUMNS($AC$1006:AC1006),$AC$1006:$AS$1006,0))&gt;=100000), " ",IF(INDEX($AC$2:$AS$1001,MATCH(ROWS($V$2:V508),$V$2:$V$1001,0),MATCH(COLUMNS($AC$1006:AC1006),$AC$1006:$AS$1006,0)), HYPERLINK("#",""), HYPERLINK(CONCATENATE("#metadata!", ADDRESS(INDEX($X$2:$X$1001,MATCH(ROWS($V$2:V508),$V$2:$V$1001,0),0), INDEX($AC$1004:$AS$1004,1,MATCH(COLUMNS($AC$1006:AC1006),$AC$1006:$AS$1006,0)))),"Fix")))</f>
        <v xml:space="preserve"> </v>
      </c>
      <c r="C508" s="4" t="str">
        <f ca="1">IF(OR(INDEX($W$2:$W$1001,MATCH(ROWS($V$2:V508),$V$2:$V$1001,0),1)&gt;=100000,INDEX($AC$1005:$AS$1005,1,MATCH(COLUMNS($AC$1006:AD1006),$AC$1006:$AS$1006,0))&gt;=100000), " ",IF(INDEX($AC$2:$AS$1001,MATCH(ROWS($V$2:V508),$V$2:$V$1001,0),MATCH(COLUMNS($AC$1006:AD1006),$AC$1006:$AS$1006,0)), HYPERLINK("#",""), HYPERLINK(CONCATENATE("#metadata!", ADDRESS(INDEX($X$2:$X$1001,MATCH(ROWS($V$2:V508),$V$2:$V$1001,0),0), INDEX($AC$1004:$AS$1004,1,MATCH(COLUMNS($AC$1006:AD1006),$AC$1006:$AS$1006,0)))),"Fix")))</f>
        <v xml:space="preserve"> </v>
      </c>
      <c r="D508" s="4" t="str">
        <f ca="1">IF(OR(INDEX($W$2:$W$1001,MATCH(ROWS($V$2:V508),$V$2:$V$1001,0),1)&gt;=100000,INDEX($AC$1005:$AS$1005,1,MATCH(COLUMNS($AC$1006:AE1006),$AC$1006:$AS$1006,0))&gt;=100000), " ",IF(INDEX($AC$2:$AS$1001,MATCH(ROWS($V$2:V508),$V$2:$V$1001,0),MATCH(COLUMNS($AC$1006:AE1006),$AC$1006:$AS$1006,0)), HYPERLINK("#",""), HYPERLINK(CONCATENATE("#metadata!", ADDRESS(INDEX($X$2:$X$1001,MATCH(ROWS($V$2:V508),$V$2:$V$1001,0),0), INDEX($AC$1004:$AS$1004,1,MATCH(COLUMNS($AC$1006:AE1006),$AC$1006:$AS$1006,0)))),"Fix")))</f>
        <v xml:space="preserve"> </v>
      </c>
      <c r="E508" s="4" t="str">
        <f ca="1">IF(OR(INDEX($W$2:$W$1001,MATCH(ROWS($V$2:V508),$V$2:$V$1001,0),1)&gt;=100000,INDEX($AC$1005:$AS$1005,1,MATCH(COLUMNS($AC$1006:AF1006),$AC$1006:$AS$1006,0))&gt;=100000), " ",IF(INDEX($AC$2:$AS$1001,MATCH(ROWS($V$2:V508),$V$2:$V$1001,0),MATCH(COLUMNS($AC$1006:AF1006),$AC$1006:$AS$1006,0)), HYPERLINK("#",""), HYPERLINK(CONCATENATE("#metadata!", ADDRESS(INDEX($X$2:$X$1001,MATCH(ROWS($V$2:V508),$V$2:$V$1001,0),0), INDEX($AC$1004:$AS$1004,1,MATCH(COLUMNS($AC$1006:AF1006),$AC$1006:$AS$1006,0)))),"Fix")))</f>
        <v xml:space="preserve"> </v>
      </c>
      <c r="F508" s="4" t="str">
        <f ca="1">IF(OR(INDEX($W$2:$W$1001,MATCH(ROWS($V$2:V508),$V$2:$V$1001,0),1)&gt;=100000,INDEX($AC$1005:$AS$1005,1,MATCH(COLUMNS($AC$1006:AG1006),$AC$1006:$AS$1006,0))&gt;=100000), " ",IF(INDEX($AC$2:$AS$1001,MATCH(ROWS($V$2:V508),$V$2:$V$1001,0),MATCH(COLUMNS($AC$1006:AG1006),$AC$1006:$AS$1006,0)), HYPERLINK("#",""), HYPERLINK(CONCATENATE("#metadata!", ADDRESS(INDEX($X$2:$X$1001,MATCH(ROWS($V$2:V508),$V$2:$V$1001,0),0), INDEX($AC$1004:$AS$1004,1,MATCH(COLUMNS($AC$1006:AG1006),$AC$1006:$AS$1006,0)))),"Fix")))</f>
        <v xml:space="preserve"> </v>
      </c>
      <c r="G508" s="4" t="str">
        <f ca="1">IF(OR(INDEX($W$2:$W$1001,MATCH(ROWS($V$2:V508),$V$2:$V$1001,0),1)&gt;=100000,INDEX($AC$1005:$AS$1005,1,MATCH(COLUMNS($AC$1006:AH1006),$AC$1006:$AS$1006,0))&gt;=100000), " ",IF(INDEX($AC$2:$AS$1001,MATCH(ROWS($V$2:V508),$V$2:$V$1001,0),MATCH(COLUMNS($AC$1006:AH1006),$AC$1006:$AS$1006,0)), HYPERLINK("#",""), HYPERLINK(CONCATENATE("#metadata!", ADDRESS(INDEX($X$2:$X$1001,MATCH(ROWS($V$2:V508),$V$2:$V$1001,0),0), INDEX($AC$1004:$AS$1004,1,MATCH(COLUMNS($AC$1006:AH1006),$AC$1006:$AS$1006,0)))),"Fix")))</f>
        <v xml:space="preserve"> </v>
      </c>
      <c r="H508" s="4" t="str">
        <f ca="1">IF(OR(INDEX($W$2:$W$1001,MATCH(ROWS($V$2:V508),$V$2:$V$1001,0),1)&gt;=100000,INDEX($AC$1005:$AS$1005,1,MATCH(COLUMNS($AC$1006:AI1006),$AC$1006:$AS$1006,0))&gt;=100000), " ",IF(INDEX($AC$2:$AS$1001,MATCH(ROWS($V$2:V508),$V$2:$V$1001,0),MATCH(COLUMNS($AC$1006:AI1006),$AC$1006:$AS$1006,0)), HYPERLINK("#",""), HYPERLINK(CONCATENATE("#metadata!", ADDRESS(INDEX($X$2:$X$1001,MATCH(ROWS($V$2:V508),$V$2:$V$1001,0),0), INDEX($AC$1004:$AS$1004,1,MATCH(COLUMNS($AC$1006:AI1006),$AC$1006:$AS$1006,0)))),"Fix")))</f>
        <v xml:space="preserve"> </v>
      </c>
      <c r="I508" s="4" t="str">
        <f ca="1">IF(OR(INDEX($W$2:$W$1001,MATCH(ROWS($V$2:V508),$V$2:$V$1001,0),1)&gt;=100000,INDEX($AC$1005:$AS$1005,1,MATCH(COLUMNS($AC$1006:AJ1006),$AC$1006:$AS$1006,0))&gt;=100000), " ",IF(INDEX($AC$2:$AS$1001,MATCH(ROWS($V$2:V508),$V$2:$V$1001,0),MATCH(COLUMNS($AC$1006:AJ1006),$AC$1006:$AS$1006,0)), HYPERLINK("#",""), HYPERLINK(CONCATENATE("#metadata!", ADDRESS(INDEX($X$2:$X$1001,MATCH(ROWS($V$2:V508),$V$2:$V$1001,0),0), INDEX($AC$1004:$AS$1004,1,MATCH(COLUMNS($AC$1006:AJ1006),$AC$1006:$AS$1006,0)))),"Fix")))</f>
        <v xml:space="preserve"> </v>
      </c>
      <c r="J508" s="4" t="str">
        <f ca="1">IF(OR(INDEX($W$2:$W$1001,MATCH(ROWS($V$2:V508),$V$2:$V$1001,0),1)&gt;=100000,INDEX($AC$1005:$AS$1005,1,MATCH(COLUMNS($AC$1006:AK1006),$AC$1006:$AS$1006,0))&gt;=100000), " ",IF(INDEX($AC$2:$AS$1001,MATCH(ROWS($V$2:V508),$V$2:$V$1001,0),MATCH(COLUMNS($AC$1006:AK1006),$AC$1006:$AS$1006,0)), HYPERLINK("#",""), HYPERLINK(CONCATENATE("#metadata!", ADDRESS(INDEX($X$2:$X$1001,MATCH(ROWS($V$2:V508),$V$2:$V$1001,0),0), INDEX($AC$1004:$AS$1004,1,MATCH(COLUMNS($AC$1006:AK1006),$AC$1006:$AS$1006,0)))),"Fix")))</f>
        <v xml:space="preserve"> </v>
      </c>
      <c r="K508" s="4" t="str">
        <f ca="1">IF(OR(INDEX($W$2:$W$1001,MATCH(ROWS($V$2:V508),$V$2:$V$1001,0),1)&gt;=100000,INDEX($AC$1005:$AS$1005,1,MATCH(COLUMNS($AC$1006:AL1006),$AC$1006:$AS$1006,0))&gt;=100000), " ",IF(INDEX($AC$2:$AS$1001,MATCH(ROWS($V$2:V508),$V$2:$V$1001,0),MATCH(COLUMNS($AC$1006:AL1006),$AC$1006:$AS$1006,0)), HYPERLINK("#",""), HYPERLINK(CONCATENATE("#metadata!", ADDRESS(INDEX($X$2:$X$1001,MATCH(ROWS($V$2:V508),$V$2:$V$1001,0),0), INDEX($AC$1004:$AS$1004,1,MATCH(COLUMNS($AC$1006:AL1006),$AC$1006:$AS$1006,0)))),"Fix")))</f>
        <v xml:space="preserve"> </v>
      </c>
      <c r="L508" s="4" t="str">
        <f ca="1">IF(OR(INDEX($W$2:$W$1001,MATCH(ROWS($V$2:V508),$V$2:$V$1001,0),1)&gt;=100000,INDEX($AC$1005:$AS$1005,1,MATCH(COLUMNS($AC$1006:AM1006),$AC$1006:$AS$1006,0))&gt;=100000), " ",IF(INDEX($AC$2:$AS$1001,MATCH(ROWS($V$2:V508),$V$2:$V$1001,0),MATCH(COLUMNS($AC$1006:AM1006),$AC$1006:$AS$1006,0)), HYPERLINK("#",""), HYPERLINK(CONCATENATE("#metadata!", ADDRESS(INDEX($X$2:$X$1001,MATCH(ROWS($V$2:V508),$V$2:$V$1001,0),0), INDEX($AC$1004:$AS$1004,1,MATCH(COLUMNS($AC$1006:AM1006),$AC$1006:$AS$1006,0)))),"Fix")))</f>
        <v xml:space="preserve"> </v>
      </c>
      <c r="M508" s="4" t="str">
        <f ca="1">IF(OR(INDEX($W$2:$W$1001,MATCH(ROWS($V$2:V508),$V$2:$V$1001,0),1)&gt;=100000,INDEX($AC$1005:$AS$1005,1,MATCH(COLUMNS($AC$1006:AN1006),$AC$1006:$AS$1006,0))&gt;=100000), " ",IF(INDEX($AC$2:$AS$1001,MATCH(ROWS($V$2:V508),$V$2:$V$1001,0),MATCH(COLUMNS($AC$1006:AN1006),$AC$1006:$AS$1006,0)), HYPERLINK("#",""), HYPERLINK(CONCATENATE("#metadata!", ADDRESS(INDEX($X$2:$X$1001,MATCH(ROWS($V$2:V508),$V$2:$V$1001,0),0), INDEX($AC$1004:$AS$1004,1,MATCH(COLUMNS($AC$1006:AN1006),$AC$1006:$AS$1006,0)))),"Fix")))</f>
        <v xml:space="preserve"> </v>
      </c>
      <c r="N508" s="4" t="str">
        <f ca="1">IF(OR(INDEX($W$2:$W$1001,MATCH(ROWS($V$2:V508),$V$2:$V$1001,0),1)&gt;=100000,INDEX($AC$1005:$AS$1005,1,MATCH(COLUMNS($AC$1006:AO1006),$AC$1006:$AS$1006,0))&gt;=100000), " ",IF(INDEX($AC$2:$AS$1001,MATCH(ROWS($V$2:V508),$V$2:$V$1001,0),MATCH(COLUMNS($AC$1006:AO1006),$AC$1006:$AS$1006,0)), HYPERLINK("#",""), HYPERLINK(CONCATENATE("#metadata!", ADDRESS(INDEX($X$2:$X$1001,MATCH(ROWS($V$2:V508),$V$2:$V$1001,0),0), INDEX($AC$1004:$AS$1004,1,MATCH(COLUMNS($AC$1006:AO1006),$AC$1006:$AS$1006,0)))),"Fix")))</f>
        <v xml:space="preserve"> </v>
      </c>
      <c r="O508" s="4" t="str">
        <f ca="1">IF(OR(INDEX($W$2:$W$1001,MATCH(ROWS($V$2:V508),$V$2:$V$1001,0),1)&gt;=100000,INDEX($AC$1005:$AS$1005,1,MATCH(COLUMNS($AC$1006:AP1006),$AC$1006:$AS$1006,0))&gt;=100000), " ",IF(INDEX($AC$2:$AS$1001,MATCH(ROWS($V$2:V508),$V$2:$V$1001,0),MATCH(COLUMNS($AC$1006:AP1006),$AC$1006:$AS$1006,0)), HYPERLINK("#",""), HYPERLINK(CONCATENATE("#metadata!", ADDRESS(INDEX($X$2:$X$1001,MATCH(ROWS($V$2:V508),$V$2:$V$1001,0),0), INDEX($AC$1004:$AS$1004,1,MATCH(COLUMNS($AC$1006:AP1006),$AC$1006:$AS$1006,0)))),"Fix")))</f>
        <v xml:space="preserve"> </v>
      </c>
      <c r="P508" s="4" t="str">
        <f ca="1">IF(OR(INDEX($W$2:$W$1001,MATCH(ROWS($V$2:V508),$V$2:$V$1001,0),1)&gt;=100000,INDEX($AC$1005:$AS$1005,1,MATCH(COLUMNS($AC$1006:AQ1006),$AC$1006:$AS$1006,0))&gt;=100000), " ",IF(INDEX($AC$2:$AS$1001,MATCH(ROWS($V$2:V508),$V$2:$V$1001,0),MATCH(COLUMNS($AC$1006:AQ1006),$AC$1006:$AS$1006,0)), HYPERLINK("#",""), HYPERLINK(CONCATENATE("#metadata!", ADDRESS(INDEX($X$2:$X$1001,MATCH(ROWS($V$2:V508),$V$2:$V$1001,0),0), INDEX($AC$1004:$AS$1004,1,MATCH(COLUMNS($AC$1006:AQ1006),$AC$1006:$AS$1006,0)))),"Fix")))</f>
        <v xml:space="preserve"> </v>
      </c>
      <c r="Q508" s="4" t="str">
        <f ca="1">IF(OR(INDEX($W$2:$W$1001,MATCH(ROWS($V$2:V508),$V$2:$V$1001,0),1)&gt;=100000,INDEX($AC$1005:$AS$1005,1,MATCH(COLUMNS($AC$1006:AR1006),$AC$1006:$AS$1006,0))&gt;=100000), " ",IF(INDEX($AC$2:$AS$1001,MATCH(ROWS($V$2:V508),$V$2:$V$1001,0),MATCH(COLUMNS($AC$1006:AR1006),$AC$1006:$AS$1006,0)), HYPERLINK("#",""), HYPERLINK(CONCATENATE("#metadata!", ADDRESS(INDEX($X$2:$X$1001,MATCH(ROWS($V$2:V508),$V$2:$V$1001,0),0), INDEX($AC$1004:$AS$1004,1,MATCH(COLUMNS($AC$1006:AR1006),$AC$1006:$AS$1006,0)))),"Fix")))</f>
        <v xml:space="preserve"> </v>
      </c>
      <c r="R508" s="4" t="str">
        <f ca="1">IF(OR(INDEX($W$2:$W$1001,MATCH(ROWS($V$2:V508),$V$2:$V$1001,0),1)&gt;=100000,INDEX($AC$1005:$AS$1005,1,MATCH(COLUMNS($AC$1006:AS1006),$AC$1006:$AS$1006,0))&gt;=100000), " ",IF(INDEX($AC$2:$AS$1001,MATCH(ROWS($V$2:V508),$V$2:$V$1001,0),MATCH(COLUMNS($AC$1006:AS1006),$AC$1006:$AS$1006,0)), HYPERLINK("#",""), HYPERLINK(CONCATENATE("#metadata!", ADDRESS(INDEX($X$2:$X$1001,MATCH(ROWS($V$2:V508),$V$2:$V$1001,0),0), INDEX($AC$1004:$AS$1004,1,MATCH(COLUMNS($AC$1006:AS1006),$AC$1006:$AS$1006,0)))),"Fix")))</f>
        <v xml:space="preserve"> </v>
      </c>
      <c r="V508">
        <v>507</v>
      </c>
      <c r="W508">
        <v>100508</v>
      </c>
      <c r="X508">
        <v>508</v>
      </c>
      <c r="Y508" t="b">
        <f t="shared" si="7"/>
        <v>1</v>
      </c>
      <c r="Z508" t="b">
        <f>COUNTBLANK(metadata!B508:R508)=COLUMNS(metadata!B508:R508)</f>
        <v>1</v>
      </c>
      <c r="AA508" t="str">
        <v/>
      </c>
      <c r="AC508" t="b">
        <f ca="1"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AD508" t="b">
        <f>IF(metadata!C508="",FALSE,ISNUMBER(VALUE(metadata!C508)))</f>
        <v>0</v>
      </c>
      <c r="AE508" t="b">
        <f>AND(IF(metadata!D508="",FALSE,TRUE),EXACT(metadata!D508,"years"))</f>
        <v>0</v>
      </c>
      <c r="AF508" t="b">
        <f>OR(AND(IF(metadata!E508="",FALSE,TRUE),OR(EXACT(metadata!E508,"not applicable"),EXACT(metadata!E508,"missing: not collected"),EXACT(metadata!E508,"missing: not provided"),EXACT(metadata!E508,"missing: restricted access"))),AND(IF(metadata!E508="",FALSE,ISNUMBER(VALUE(metadata!E508))),metadata!E508&gt;0))</f>
        <v>0</v>
      </c>
      <c r="AG508" t="b">
        <f>AND(IF(metadata!F508="",FALSE,TRUE),EXACT(metadata!F508,"Not applicable"))</f>
        <v>0</v>
      </c>
      <c r="AH508" t="b">
        <f>AND(IF(metadata!G508="",FALSE,TRUE),EXACT(metadata!G508,"urban biome"))</f>
        <v>0</v>
      </c>
      <c r="AI508" t="b">
        <f>AND(IF(metadata!H508="",FALSE,TRUE),EXACT(metadata!H508,"human-associated habitat"))</f>
        <v>0</v>
      </c>
      <c r="AJ508" t="b">
        <f>AND(IF(metadata!I508="",FALSE,TRUE),OR(EXACT(metadata!I508,"human-associated"),EXACT(metadata!I508,"human-skin"),EXACT(metadata!I508,"human-oral"),EXACT(metadata!I508,"human-gut"),EXACT(metadata!I508,"human-vaginal")))</f>
        <v>0</v>
      </c>
      <c r="AK508" t="b">
        <f>IF(metadata!J508="",FALSE,ISNUMBER(VALUE(metadata!J508)))</f>
        <v>0</v>
      </c>
      <c r="AL508" t="b">
        <f>AND(IF(metadata!K508="",FALSE,TRUE),EXACT(metadata!K508,"cm"))</f>
        <v>0</v>
      </c>
      <c r="AM508" t="b">
        <f>AND(IF(metadata!L508="",FALSE,TRUE),EXACT(metadata!L508,"human"))</f>
        <v>0</v>
      </c>
      <c r="AN508" t="b">
        <f>AND(IF(metadata!M508="",FALSE,TRUE),EXACT(metadata!M508,"Homo sapiens"))</f>
        <v>0</v>
      </c>
      <c r="AO508" t="b">
        <f>AND(IF(metadata!N508="",FALSE,TRUE),EXACT(metadata!N508,"9606"))</f>
        <v>0</v>
      </c>
      <c r="AP508" t="b">
        <f>IF(metadata!O508="",FALSE,TRUE)</f>
        <v>0</v>
      </c>
      <c r="AQ508" t="b">
        <f>IF(metadata!P508="",FALSE,TRUE)</f>
        <v>0</v>
      </c>
      <c r="AR508" t="b">
        <f>IF(metadata!Q508="",FALSE,ISNUMBER(VALUE(metadata!Q508)))</f>
        <v>0</v>
      </c>
      <c r="AS508" t="b">
        <f>AND(IF(metadata!R508="",FALSE,TRUE),EXACT(metadata!R508,"kg"))</f>
        <v>0</v>
      </c>
    </row>
    <row r="509" spans="1:45" x14ac:dyDescent="0.2">
      <c r="A509" s="5" t="str">
        <f ca="1">IF(B509=" "," ",HYPERLINK(CONCATENATE("#metadata!",ADDRESS(INDEX($X$2:$X$1001,MATCH(ROWS($V$2:V509),$V$2:$V$1001,0),0),1)),INDEX($AA$2:$AA$1001,MATCH(ROWS($V$2:V509),$V$2:$V$1001,0),0)))</f>
        <v xml:space="preserve"> </v>
      </c>
      <c r="B509" s="4" t="str">
        <f ca="1">IF(OR(INDEX($W$2:$W$1001,MATCH(ROWS($V$2:V509),$V$2:$V$1001,0),1)&gt;=100000,INDEX($AC$1005:$AS$1005,1,MATCH(COLUMNS($AC$1006:AC1006),$AC$1006:$AS$1006,0))&gt;=100000), " ",IF(INDEX($AC$2:$AS$1001,MATCH(ROWS($V$2:V509),$V$2:$V$1001,0),MATCH(COLUMNS($AC$1006:AC1006),$AC$1006:$AS$1006,0)), HYPERLINK("#",""), HYPERLINK(CONCATENATE("#metadata!", ADDRESS(INDEX($X$2:$X$1001,MATCH(ROWS($V$2:V509),$V$2:$V$1001,0),0), INDEX($AC$1004:$AS$1004,1,MATCH(COLUMNS($AC$1006:AC1006),$AC$1006:$AS$1006,0)))),"Fix")))</f>
        <v xml:space="preserve"> </v>
      </c>
      <c r="C509" s="4" t="str">
        <f ca="1">IF(OR(INDEX($W$2:$W$1001,MATCH(ROWS($V$2:V509),$V$2:$V$1001,0),1)&gt;=100000,INDEX($AC$1005:$AS$1005,1,MATCH(COLUMNS($AC$1006:AD1006),$AC$1006:$AS$1006,0))&gt;=100000), " ",IF(INDEX($AC$2:$AS$1001,MATCH(ROWS($V$2:V509),$V$2:$V$1001,0),MATCH(COLUMNS($AC$1006:AD1006),$AC$1006:$AS$1006,0)), HYPERLINK("#",""), HYPERLINK(CONCATENATE("#metadata!", ADDRESS(INDEX($X$2:$X$1001,MATCH(ROWS($V$2:V509),$V$2:$V$1001,0),0), INDEX($AC$1004:$AS$1004,1,MATCH(COLUMNS($AC$1006:AD1006),$AC$1006:$AS$1006,0)))),"Fix")))</f>
        <v xml:space="preserve"> </v>
      </c>
      <c r="D509" s="4" t="str">
        <f ca="1">IF(OR(INDEX($W$2:$W$1001,MATCH(ROWS($V$2:V509),$V$2:$V$1001,0),1)&gt;=100000,INDEX($AC$1005:$AS$1005,1,MATCH(COLUMNS($AC$1006:AE1006),$AC$1006:$AS$1006,0))&gt;=100000), " ",IF(INDEX($AC$2:$AS$1001,MATCH(ROWS($V$2:V509),$V$2:$V$1001,0),MATCH(COLUMNS($AC$1006:AE1006),$AC$1006:$AS$1006,0)), HYPERLINK("#",""), HYPERLINK(CONCATENATE("#metadata!", ADDRESS(INDEX($X$2:$X$1001,MATCH(ROWS($V$2:V509),$V$2:$V$1001,0),0), INDEX($AC$1004:$AS$1004,1,MATCH(COLUMNS($AC$1006:AE1006),$AC$1006:$AS$1006,0)))),"Fix")))</f>
        <v xml:space="preserve"> </v>
      </c>
      <c r="E509" s="4" t="str">
        <f ca="1">IF(OR(INDEX($W$2:$W$1001,MATCH(ROWS($V$2:V509),$V$2:$V$1001,0),1)&gt;=100000,INDEX($AC$1005:$AS$1005,1,MATCH(COLUMNS($AC$1006:AF1006),$AC$1006:$AS$1006,0))&gt;=100000), " ",IF(INDEX($AC$2:$AS$1001,MATCH(ROWS($V$2:V509),$V$2:$V$1001,0),MATCH(COLUMNS($AC$1006:AF1006),$AC$1006:$AS$1006,0)), HYPERLINK("#",""), HYPERLINK(CONCATENATE("#metadata!", ADDRESS(INDEX($X$2:$X$1001,MATCH(ROWS($V$2:V509),$V$2:$V$1001,0),0), INDEX($AC$1004:$AS$1004,1,MATCH(COLUMNS($AC$1006:AF1006),$AC$1006:$AS$1006,0)))),"Fix")))</f>
        <v xml:space="preserve"> </v>
      </c>
      <c r="F509" s="4" t="str">
        <f ca="1">IF(OR(INDEX($W$2:$W$1001,MATCH(ROWS($V$2:V509),$V$2:$V$1001,0),1)&gt;=100000,INDEX($AC$1005:$AS$1005,1,MATCH(COLUMNS($AC$1006:AG1006),$AC$1006:$AS$1006,0))&gt;=100000), " ",IF(INDEX($AC$2:$AS$1001,MATCH(ROWS($V$2:V509),$V$2:$V$1001,0),MATCH(COLUMNS($AC$1006:AG1006),$AC$1006:$AS$1006,0)), HYPERLINK("#",""), HYPERLINK(CONCATENATE("#metadata!", ADDRESS(INDEX($X$2:$X$1001,MATCH(ROWS($V$2:V509),$V$2:$V$1001,0),0), INDEX($AC$1004:$AS$1004,1,MATCH(COLUMNS($AC$1006:AG1006),$AC$1006:$AS$1006,0)))),"Fix")))</f>
        <v xml:space="preserve"> </v>
      </c>
      <c r="G509" s="4" t="str">
        <f ca="1">IF(OR(INDEX($W$2:$W$1001,MATCH(ROWS($V$2:V509),$V$2:$V$1001,0),1)&gt;=100000,INDEX($AC$1005:$AS$1005,1,MATCH(COLUMNS($AC$1006:AH1006),$AC$1006:$AS$1006,0))&gt;=100000), " ",IF(INDEX($AC$2:$AS$1001,MATCH(ROWS($V$2:V509),$V$2:$V$1001,0),MATCH(COLUMNS($AC$1006:AH1006),$AC$1006:$AS$1006,0)), HYPERLINK("#",""), HYPERLINK(CONCATENATE("#metadata!", ADDRESS(INDEX($X$2:$X$1001,MATCH(ROWS($V$2:V509),$V$2:$V$1001,0),0), INDEX($AC$1004:$AS$1004,1,MATCH(COLUMNS($AC$1006:AH1006),$AC$1006:$AS$1006,0)))),"Fix")))</f>
        <v xml:space="preserve"> </v>
      </c>
      <c r="H509" s="4" t="str">
        <f ca="1">IF(OR(INDEX($W$2:$W$1001,MATCH(ROWS($V$2:V509),$V$2:$V$1001,0),1)&gt;=100000,INDEX($AC$1005:$AS$1005,1,MATCH(COLUMNS($AC$1006:AI1006),$AC$1006:$AS$1006,0))&gt;=100000), " ",IF(INDEX($AC$2:$AS$1001,MATCH(ROWS($V$2:V509),$V$2:$V$1001,0),MATCH(COLUMNS($AC$1006:AI1006),$AC$1006:$AS$1006,0)), HYPERLINK("#",""), HYPERLINK(CONCATENATE("#metadata!", ADDRESS(INDEX($X$2:$X$1001,MATCH(ROWS($V$2:V509),$V$2:$V$1001,0),0), INDEX($AC$1004:$AS$1004,1,MATCH(COLUMNS($AC$1006:AI1006),$AC$1006:$AS$1006,0)))),"Fix")))</f>
        <v xml:space="preserve"> </v>
      </c>
      <c r="I509" s="4" t="str">
        <f ca="1">IF(OR(INDEX($W$2:$W$1001,MATCH(ROWS($V$2:V509),$V$2:$V$1001,0),1)&gt;=100000,INDEX($AC$1005:$AS$1005,1,MATCH(COLUMNS($AC$1006:AJ1006),$AC$1006:$AS$1006,0))&gt;=100000), " ",IF(INDEX($AC$2:$AS$1001,MATCH(ROWS($V$2:V509),$V$2:$V$1001,0),MATCH(COLUMNS($AC$1006:AJ1006),$AC$1006:$AS$1006,0)), HYPERLINK("#",""), HYPERLINK(CONCATENATE("#metadata!", ADDRESS(INDEX($X$2:$X$1001,MATCH(ROWS($V$2:V509),$V$2:$V$1001,0),0), INDEX($AC$1004:$AS$1004,1,MATCH(COLUMNS($AC$1006:AJ1006),$AC$1006:$AS$1006,0)))),"Fix")))</f>
        <v xml:space="preserve"> </v>
      </c>
      <c r="J509" s="4" t="str">
        <f ca="1">IF(OR(INDEX($W$2:$W$1001,MATCH(ROWS($V$2:V509),$V$2:$V$1001,0),1)&gt;=100000,INDEX($AC$1005:$AS$1005,1,MATCH(COLUMNS($AC$1006:AK1006),$AC$1006:$AS$1006,0))&gt;=100000), " ",IF(INDEX($AC$2:$AS$1001,MATCH(ROWS($V$2:V509),$V$2:$V$1001,0),MATCH(COLUMNS($AC$1006:AK1006),$AC$1006:$AS$1006,0)), HYPERLINK("#",""), HYPERLINK(CONCATENATE("#metadata!", ADDRESS(INDEX($X$2:$X$1001,MATCH(ROWS($V$2:V509),$V$2:$V$1001,0),0), INDEX($AC$1004:$AS$1004,1,MATCH(COLUMNS($AC$1006:AK1006),$AC$1006:$AS$1006,0)))),"Fix")))</f>
        <v xml:space="preserve"> </v>
      </c>
      <c r="K509" s="4" t="str">
        <f ca="1">IF(OR(INDEX($W$2:$W$1001,MATCH(ROWS($V$2:V509),$V$2:$V$1001,0),1)&gt;=100000,INDEX($AC$1005:$AS$1005,1,MATCH(COLUMNS($AC$1006:AL1006),$AC$1006:$AS$1006,0))&gt;=100000), " ",IF(INDEX($AC$2:$AS$1001,MATCH(ROWS($V$2:V509),$V$2:$V$1001,0),MATCH(COLUMNS($AC$1006:AL1006),$AC$1006:$AS$1006,0)), HYPERLINK("#",""), HYPERLINK(CONCATENATE("#metadata!", ADDRESS(INDEX($X$2:$X$1001,MATCH(ROWS($V$2:V509),$V$2:$V$1001,0),0), INDEX($AC$1004:$AS$1004,1,MATCH(COLUMNS($AC$1006:AL1006),$AC$1006:$AS$1006,0)))),"Fix")))</f>
        <v xml:space="preserve"> </v>
      </c>
      <c r="L509" s="4" t="str">
        <f ca="1">IF(OR(INDEX($W$2:$W$1001,MATCH(ROWS($V$2:V509),$V$2:$V$1001,0),1)&gt;=100000,INDEX($AC$1005:$AS$1005,1,MATCH(COLUMNS($AC$1006:AM1006),$AC$1006:$AS$1006,0))&gt;=100000), " ",IF(INDEX($AC$2:$AS$1001,MATCH(ROWS($V$2:V509),$V$2:$V$1001,0),MATCH(COLUMNS($AC$1006:AM1006),$AC$1006:$AS$1006,0)), HYPERLINK("#",""), HYPERLINK(CONCATENATE("#metadata!", ADDRESS(INDEX($X$2:$X$1001,MATCH(ROWS($V$2:V509),$V$2:$V$1001,0),0), INDEX($AC$1004:$AS$1004,1,MATCH(COLUMNS($AC$1006:AM1006),$AC$1006:$AS$1006,0)))),"Fix")))</f>
        <v xml:space="preserve"> </v>
      </c>
      <c r="M509" s="4" t="str">
        <f ca="1">IF(OR(INDEX($W$2:$W$1001,MATCH(ROWS($V$2:V509),$V$2:$V$1001,0),1)&gt;=100000,INDEX($AC$1005:$AS$1005,1,MATCH(COLUMNS($AC$1006:AN1006),$AC$1006:$AS$1006,0))&gt;=100000), " ",IF(INDEX($AC$2:$AS$1001,MATCH(ROWS($V$2:V509),$V$2:$V$1001,0),MATCH(COLUMNS($AC$1006:AN1006),$AC$1006:$AS$1006,0)), HYPERLINK("#",""), HYPERLINK(CONCATENATE("#metadata!", ADDRESS(INDEX($X$2:$X$1001,MATCH(ROWS($V$2:V509),$V$2:$V$1001,0),0), INDEX($AC$1004:$AS$1004,1,MATCH(COLUMNS($AC$1006:AN1006),$AC$1006:$AS$1006,0)))),"Fix")))</f>
        <v xml:space="preserve"> </v>
      </c>
      <c r="N509" s="4" t="str">
        <f ca="1">IF(OR(INDEX($W$2:$W$1001,MATCH(ROWS($V$2:V509),$V$2:$V$1001,0),1)&gt;=100000,INDEX($AC$1005:$AS$1005,1,MATCH(COLUMNS($AC$1006:AO1006),$AC$1006:$AS$1006,0))&gt;=100000), " ",IF(INDEX($AC$2:$AS$1001,MATCH(ROWS($V$2:V509),$V$2:$V$1001,0),MATCH(COLUMNS($AC$1006:AO1006),$AC$1006:$AS$1006,0)), HYPERLINK("#",""), HYPERLINK(CONCATENATE("#metadata!", ADDRESS(INDEX($X$2:$X$1001,MATCH(ROWS($V$2:V509),$V$2:$V$1001,0),0), INDEX($AC$1004:$AS$1004,1,MATCH(COLUMNS($AC$1006:AO1006),$AC$1006:$AS$1006,0)))),"Fix")))</f>
        <v xml:space="preserve"> </v>
      </c>
      <c r="O509" s="4" t="str">
        <f ca="1">IF(OR(INDEX($W$2:$W$1001,MATCH(ROWS($V$2:V509),$V$2:$V$1001,0),1)&gt;=100000,INDEX($AC$1005:$AS$1005,1,MATCH(COLUMNS($AC$1006:AP1006),$AC$1006:$AS$1006,0))&gt;=100000), " ",IF(INDEX($AC$2:$AS$1001,MATCH(ROWS($V$2:V509),$V$2:$V$1001,0),MATCH(COLUMNS($AC$1006:AP1006),$AC$1006:$AS$1006,0)), HYPERLINK("#",""), HYPERLINK(CONCATENATE("#metadata!", ADDRESS(INDEX($X$2:$X$1001,MATCH(ROWS($V$2:V509),$V$2:$V$1001,0),0), INDEX($AC$1004:$AS$1004,1,MATCH(COLUMNS($AC$1006:AP1006),$AC$1006:$AS$1006,0)))),"Fix")))</f>
        <v xml:space="preserve"> </v>
      </c>
      <c r="P509" s="4" t="str">
        <f ca="1">IF(OR(INDEX($W$2:$W$1001,MATCH(ROWS($V$2:V509),$V$2:$V$1001,0),1)&gt;=100000,INDEX($AC$1005:$AS$1005,1,MATCH(COLUMNS($AC$1006:AQ1006),$AC$1006:$AS$1006,0))&gt;=100000), " ",IF(INDEX($AC$2:$AS$1001,MATCH(ROWS($V$2:V509),$V$2:$V$1001,0),MATCH(COLUMNS($AC$1006:AQ1006),$AC$1006:$AS$1006,0)), HYPERLINK("#",""), HYPERLINK(CONCATENATE("#metadata!", ADDRESS(INDEX($X$2:$X$1001,MATCH(ROWS($V$2:V509),$V$2:$V$1001,0),0), INDEX($AC$1004:$AS$1004,1,MATCH(COLUMNS($AC$1006:AQ1006),$AC$1006:$AS$1006,0)))),"Fix")))</f>
        <v xml:space="preserve"> </v>
      </c>
      <c r="Q509" s="4" t="str">
        <f ca="1">IF(OR(INDEX($W$2:$W$1001,MATCH(ROWS($V$2:V509),$V$2:$V$1001,0),1)&gt;=100000,INDEX($AC$1005:$AS$1005,1,MATCH(COLUMNS($AC$1006:AR1006),$AC$1006:$AS$1006,0))&gt;=100000), " ",IF(INDEX($AC$2:$AS$1001,MATCH(ROWS($V$2:V509),$V$2:$V$1001,0),MATCH(COLUMNS($AC$1006:AR1006),$AC$1006:$AS$1006,0)), HYPERLINK("#",""), HYPERLINK(CONCATENATE("#metadata!", ADDRESS(INDEX($X$2:$X$1001,MATCH(ROWS($V$2:V509),$V$2:$V$1001,0),0), INDEX($AC$1004:$AS$1004,1,MATCH(COLUMNS($AC$1006:AR1006),$AC$1006:$AS$1006,0)))),"Fix")))</f>
        <v xml:space="preserve"> </v>
      </c>
      <c r="R509" s="4" t="str">
        <f ca="1">IF(OR(INDEX($W$2:$W$1001,MATCH(ROWS($V$2:V509),$V$2:$V$1001,0),1)&gt;=100000,INDEX($AC$1005:$AS$1005,1,MATCH(COLUMNS($AC$1006:AS1006),$AC$1006:$AS$1006,0))&gt;=100000), " ",IF(INDEX($AC$2:$AS$1001,MATCH(ROWS($V$2:V509),$V$2:$V$1001,0),MATCH(COLUMNS($AC$1006:AS1006),$AC$1006:$AS$1006,0)), HYPERLINK("#",""), HYPERLINK(CONCATENATE("#metadata!", ADDRESS(INDEX($X$2:$X$1001,MATCH(ROWS($V$2:V509),$V$2:$V$1001,0),0), INDEX($AC$1004:$AS$1004,1,MATCH(COLUMNS($AC$1006:AS1006),$AC$1006:$AS$1006,0)))),"Fix")))</f>
        <v xml:space="preserve"> </v>
      </c>
      <c r="V509">
        <v>508</v>
      </c>
      <c r="W509">
        <v>100509</v>
      </c>
      <c r="X509">
        <v>509</v>
      </c>
      <c r="Y509" t="b">
        <f t="shared" si="7"/>
        <v>1</v>
      </c>
      <c r="Z509" t="b">
        <f>COUNTBLANK(metadata!B509:R509)=COLUMNS(metadata!B509:R509)</f>
        <v>1</v>
      </c>
      <c r="AA509" t="str">
        <v/>
      </c>
      <c r="AC509" t="b">
        <f ca="1"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AD509" t="b">
        <f>IF(metadata!C509="",FALSE,ISNUMBER(VALUE(metadata!C509)))</f>
        <v>0</v>
      </c>
      <c r="AE509" t="b">
        <f>AND(IF(metadata!D509="",FALSE,TRUE),EXACT(metadata!D509,"years"))</f>
        <v>0</v>
      </c>
      <c r="AF509" t="b">
        <f>OR(AND(IF(metadata!E509="",FALSE,TRUE),OR(EXACT(metadata!E509,"not applicable"),EXACT(metadata!E509,"missing: not collected"),EXACT(metadata!E509,"missing: not provided"),EXACT(metadata!E509,"missing: restricted access"))),AND(IF(metadata!E509="",FALSE,ISNUMBER(VALUE(metadata!E509))),metadata!E509&gt;0))</f>
        <v>0</v>
      </c>
      <c r="AG509" t="b">
        <f>AND(IF(metadata!F509="",FALSE,TRUE),EXACT(metadata!F509,"Not applicable"))</f>
        <v>0</v>
      </c>
      <c r="AH509" t="b">
        <f>AND(IF(metadata!G509="",FALSE,TRUE),EXACT(metadata!G509,"urban biome"))</f>
        <v>0</v>
      </c>
      <c r="AI509" t="b">
        <f>AND(IF(metadata!H509="",FALSE,TRUE),EXACT(metadata!H509,"human-associated habitat"))</f>
        <v>0</v>
      </c>
      <c r="AJ509" t="b">
        <f>AND(IF(metadata!I509="",FALSE,TRUE),OR(EXACT(metadata!I509,"human-associated"),EXACT(metadata!I509,"human-skin"),EXACT(metadata!I509,"human-oral"),EXACT(metadata!I509,"human-gut"),EXACT(metadata!I509,"human-vaginal")))</f>
        <v>0</v>
      </c>
      <c r="AK509" t="b">
        <f>IF(metadata!J509="",FALSE,ISNUMBER(VALUE(metadata!J509)))</f>
        <v>0</v>
      </c>
      <c r="AL509" t="b">
        <f>AND(IF(metadata!K509="",FALSE,TRUE),EXACT(metadata!K509,"cm"))</f>
        <v>0</v>
      </c>
      <c r="AM509" t="b">
        <f>AND(IF(metadata!L509="",FALSE,TRUE),EXACT(metadata!L509,"human"))</f>
        <v>0</v>
      </c>
      <c r="AN509" t="b">
        <f>AND(IF(metadata!M509="",FALSE,TRUE),EXACT(metadata!M509,"Homo sapiens"))</f>
        <v>0</v>
      </c>
      <c r="AO509" t="b">
        <f>AND(IF(metadata!N509="",FALSE,TRUE),EXACT(metadata!N509,"9606"))</f>
        <v>0</v>
      </c>
      <c r="AP509" t="b">
        <f>IF(metadata!O509="",FALSE,TRUE)</f>
        <v>0</v>
      </c>
      <c r="AQ509" t="b">
        <f>IF(metadata!P509="",FALSE,TRUE)</f>
        <v>0</v>
      </c>
      <c r="AR509" t="b">
        <f>IF(metadata!Q509="",FALSE,ISNUMBER(VALUE(metadata!Q509)))</f>
        <v>0</v>
      </c>
      <c r="AS509" t="b">
        <f>AND(IF(metadata!R509="",FALSE,TRUE),EXACT(metadata!R509,"kg"))</f>
        <v>0</v>
      </c>
    </row>
    <row r="510" spans="1:45" x14ac:dyDescent="0.2">
      <c r="A510" s="5" t="str">
        <f ca="1">IF(B510=" "," ",HYPERLINK(CONCATENATE("#metadata!",ADDRESS(INDEX($X$2:$X$1001,MATCH(ROWS($V$2:V510),$V$2:$V$1001,0),0),1)),INDEX($AA$2:$AA$1001,MATCH(ROWS($V$2:V510),$V$2:$V$1001,0),0)))</f>
        <v xml:space="preserve"> </v>
      </c>
      <c r="B510" s="4" t="str">
        <f ca="1">IF(OR(INDEX($W$2:$W$1001,MATCH(ROWS($V$2:V510),$V$2:$V$1001,0),1)&gt;=100000,INDEX($AC$1005:$AS$1005,1,MATCH(COLUMNS($AC$1006:AC1006),$AC$1006:$AS$1006,0))&gt;=100000), " ",IF(INDEX($AC$2:$AS$1001,MATCH(ROWS($V$2:V510),$V$2:$V$1001,0),MATCH(COLUMNS($AC$1006:AC1006),$AC$1006:$AS$1006,0)), HYPERLINK("#",""), HYPERLINK(CONCATENATE("#metadata!", ADDRESS(INDEX($X$2:$X$1001,MATCH(ROWS($V$2:V510),$V$2:$V$1001,0),0), INDEX($AC$1004:$AS$1004,1,MATCH(COLUMNS($AC$1006:AC1006),$AC$1006:$AS$1006,0)))),"Fix")))</f>
        <v xml:space="preserve"> </v>
      </c>
      <c r="C510" s="4" t="str">
        <f ca="1">IF(OR(INDEX($W$2:$W$1001,MATCH(ROWS($V$2:V510),$V$2:$V$1001,0),1)&gt;=100000,INDEX($AC$1005:$AS$1005,1,MATCH(COLUMNS($AC$1006:AD1006),$AC$1006:$AS$1006,0))&gt;=100000), " ",IF(INDEX($AC$2:$AS$1001,MATCH(ROWS($V$2:V510),$V$2:$V$1001,0),MATCH(COLUMNS($AC$1006:AD1006),$AC$1006:$AS$1006,0)), HYPERLINK("#",""), HYPERLINK(CONCATENATE("#metadata!", ADDRESS(INDEX($X$2:$X$1001,MATCH(ROWS($V$2:V510),$V$2:$V$1001,0),0), INDEX($AC$1004:$AS$1004,1,MATCH(COLUMNS($AC$1006:AD1006),$AC$1006:$AS$1006,0)))),"Fix")))</f>
        <v xml:space="preserve"> </v>
      </c>
      <c r="D510" s="4" t="str">
        <f ca="1">IF(OR(INDEX($W$2:$W$1001,MATCH(ROWS($V$2:V510),$V$2:$V$1001,0),1)&gt;=100000,INDEX($AC$1005:$AS$1005,1,MATCH(COLUMNS($AC$1006:AE1006),$AC$1006:$AS$1006,0))&gt;=100000), " ",IF(INDEX($AC$2:$AS$1001,MATCH(ROWS($V$2:V510),$V$2:$V$1001,0),MATCH(COLUMNS($AC$1006:AE1006),$AC$1006:$AS$1006,0)), HYPERLINK("#",""), HYPERLINK(CONCATENATE("#metadata!", ADDRESS(INDEX($X$2:$X$1001,MATCH(ROWS($V$2:V510),$V$2:$V$1001,0),0), INDEX($AC$1004:$AS$1004,1,MATCH(COLUMNS($AC$1006:AE1006),$AC$1006:$AS$1006,0)))),"Fix")))</f>
        <v xml:space="preserve"> </v>
      </c>
      <c r="E510" s="4" t="str">
        <f ca="1">IF(OR(INDEX($W$2:$W$1001,MATCH(ROWS($V$2:V510),$V$2:$V$1001,0),1)&gt;=100000,INDEX($AC$1005:$AS$1005,1,MATCH(COLUMNS($AC$1006:AF1006),$AC$1006:$AS$1006,0))&gt;=100000), " ",IF(INDEX($AC$2:$AS$1001,MATCH(ROWS($V$2:V510),$V$2:$V$1001,0),MATCH(COLUMNS($AC$1006:AF1006),$AC$1006:$AS$1006,0)), HYPERLINK("#",""), HYPERLINK(CONCATENATE("#metadata!", ADDRESS(INDEX($X$2:$X$1001,MATCH(ROWS($V$2:V510),$V$2:$V$1001,0),0), INDEX($AC$1004:$AS$1004,1,MATCH(COLUMNS($AC$1006:AF1006),$AC$1006:$AS$1006,0)))),"Fix")))</f>
        <v xml:space="preserve"> </v>
      </c>
      <c r="F510" s="4" t="str">
        <f ca="1">IF(OR(INDEX($W$2:$W$1001,MATCH(ROWS($V$2:V510),$V$2:$V$1001,0),1)&gt;=100000,INDEX($AC$1005:$AS$1005,1,MATCH(COLUMNS($AC$1006:AG1006),$AC$1006:$AS$1006,0))&gt;=100000), " ",IF(INDEX($AC$2:$AS$1001,MATCH(ROWS($V$2:V510),$V$2:$V$1001,0),MATCH(COLUMNS($AC$1006:AG1006),$AC$1006:$AS$1006,0)), HYPERLINK("#",""), HYPERLINK(CONCATENATE("#metadata!", ADDRESS(INDEX($X$2:$X$1001,MATCH(ROWS($V$2:V510),$V$2:$V$1001,0),0), INDEX($AC$1004:$AS$1004,1,MATCH(COLUMNS($AC$1006:AG1006),$AC$1006:$AS$1006,0)))),"Fix")))</f>
        <v xml:space="preserve"> </v>
      </c>
      <c r="G510" s="4" t="str">
        <f ca="1">IF(OR(INDEX($W$2:$W$1001,MATCH(ROWS($V$2:V510),$V$2:$V$1001,0),1)&gt;=100000,INDEX($AC$1005:$AS$1005,1,MATCH(COLUMNS($AC$1006:AH1006),$AC$1006:$AS$1006,0))&gt;=100000), " ",IF(INDEX($AC$2:$AS$1001,MATCH(ROWS($V$2:V510),$V$2:$V$1001,0),MATCH(COLUMNS($AC$1006:AH1006),$AC$1006:$AS$1006,0)), HYPERLINK("#",""), HYPERLINK(CONCATENATE("#metadata!", ADDRESS(INDEX($X$2:$X$1001,MATCH(ROWS($V$2:V510),$V$2:$V$1001,0),0), INDEX($AC$1004:$AS$1004,1,MATCH(COLUMNS($AC$1006:AH1006),$AC$1006:$AS$1006,0)))),"Fix")))</f>
        <v xml:space="preserve"> </v>
      </c>
      <c r="H510" s="4" t="str">
        <f ca="1">IF(OR(INDEX($W$2:$W$1001,MATCH(ROWS($V$2:V510),$V$2:$V$1001,0),1)&gt;=100000,INDEX($AC$1005:$AS$1005,1,MATCH(COLUMNS($AC$1006:AI1006),$AC$1006:$AS$1006,0))&gt;=100000), " ",IF(INDEX($AC$2:$AS$1001,MATCH(ROWS($V$2:V510),$V$2:$V$1001,0),MATCH(COLUMNS($AC$1006:AI1006),$AC$1006:$AS$1006,0)), HYPERLINK("#",""), HYPERLINK(CONCATENATE("#metadata!", ADDRESS(INDEX($X$2:$X$1001,MATCH(ROWS($V$2:V510),$V$2:$V$1001,0),0), INDEX($AC$1004:$AS$1004,1,MATCH(COLUMNS($AC$1006:AI1006),$AC$1006:$AS$1006,0)))),"Fix")))</f>
        <v xml:space="preserve"> </v>
      </c>
      <c r="I510" s="4" t="str">
        <f ca="1">IF(OR(INDEX($W$2:$W$1001,MATCH(ROWS($V$2:V510),$V$2:$V$1001,0),1)&gt;=100000,INDEX($AC$1005:$AS$1005,1,MATCH(COLUMNS($AC$1006:AJ1006),$AC$1006:$AS$1006,0))&gt;=100000), " ",IF(INDEX($AC$2:$AS$1001,MATCH(ROWS($V$2:V510),$V$2:$V$1001,0),MATCH(COLUMNS($AC$1006:AJ1006),$AC$1006:$AS$1006,0)), HYPERLINK("#",""), HYPERLINK(CONCATENATE("#metadata!", ADDRESS(INDEX($X$2:$X$1001,MATCH(ROWS($V$2:V510),$V$2:$V$1001,0),0), INDEX($AC$1004:$AS$1004,1,MATCH(COLUMNS($AC$1006:AJ1006),$AC$1006:$AS$1006,0)))),"Fix")))</f>
        <v xml:space="preserve"> </v>
      </c>
      <c r="J510" s="4" t="str">
        <f ca="1">IF(OR(INDEX($W$2:$W$1001,MATCH(ROWS($V$2:V510),$V$2:$V$1001,0),1)&gt;=100000,INDEX($AC$1005:$AS$1005,1,MATCH(COLUMNS($AC$1006:AK1006),$AC$1006:$AS$1006,0))&gt;=100000), " ",IF(INDEX($AC$2:$AS$1001,MATCH(ROWS($V$2:V510),$V$2:$V$1001,0),MATCH(COLUMNS($AC$1006:AK1006),$AC$1006:$AS$1006,0)), HYPERLINK("#",""), HYPERLINK(CONCATENATE("#metadata!", ADDRESS(INDEX($X$2:$X$1001,MATCH(ROWS($V$2:V510),$V$2:$V$1001,0),0), INDEX($AC$1004:$AS$1004,1,MATCH(COLUMNS($AC$1006:AK1006),$AC$1006:$AS$1006,0)))),"Fix")))</f>
        <v xml:space="preserve"> </v>
      </c>
      <c r="K510" s="4" t="str">
        <f ca="1">IF(OR(INDEX($W$2:$W$1001,MATCH(ROWS($V$2:V510),$V$2:$V$1001,0),1)&gt;=100000,INDEX($AC$1005:$AS$1005,1,MATCH(COLUMNS($AC$1006:AL1006),$AC$1006:$AS$1006,0))&gt;=100000), " ",IF(INDEX($AC$2:$AS$1001,MATCH(ROWS($V$2:V510),$V$2:$V$1001,0),MATCH(COLUMNS($AC$1006:AL1006),$AC$1006:$AS$1006,0)), HYPERLINK("#",""), HYPERLINK(CONCATENATE("#metadata!", ADDRESS(INDEX($X$2:$X$1001,MATCH(ROWS($V$2:V510),$V$2:$V$1001,0),0), INDEX($AC$1004:$AS$1004,1,MATCH(COLUMNS($AC$1006:AL1006),$AC$1006:$AS$1006,0)))),"Fix")))</f>
        <v xml:space="preserve"> </v>
      </c>
      <c r="L510" s="4" t="str">
        <f ca="1">IF(OR(INDEX($W$2:$W$1001,MATCH(ROWS($V$2:V510),$V$2:$V$1001,0),1)&gt;=100000,INDEX($AC$1005:$AS$1005,1,MATCH(COLUMNS($AC$1006:AM1006),$AC$1006:$AS$1006,0))&gt;=100000), " ",IF(INDEX($AC$2:$AS$1001,MATCH(ROWS($V$2:V510),$V$2:$V$1001,0),MATCH(COLUMNS($AC$1006:AM1006),$AC$1006:$AS$1006,0)), HYPERLINK("#",""), HYPERLINK(CONCATENATE("#metadata!", ADDRESS(INDEX($X$2:$X$1001,MATCH(ROWS($V$2:V510),$V$2:$V$1001,0),0), INDEX($AC$1004:$AS$1004,1,MATCH(COLUMNS($AC$1006:AM1006),$AC$1006:$AS$1006,0)))),"Fix")))</f>
        <v xml:space="preserve"> </v>
      </c>
      <c r="M510" s="4" t="str">
        <f ca="1">IF(OR(INDEX($W$2:$W$1001,MATCH(ROWS($V$2:V510),$V$2:$V$1001,0),1)&gt;=100000,INDEX($AC$1005:$AS$1005,1,MATCH(COLUMNS($AC$1006:AN1006),$AC$1006:$AS$1006,0))&gt;=100000), " ",IF(INDEX($AC$2:$AS$1001,MATCH(ROWS($V$2:V510),$V$2:$V$1001,0),MATCH(COLUMNS($AC$1006:AN1006),$AC$1006:$AS$1006,0)), HYPERLINK("#",""), HYPERLINK(CONCATENATE("#metadata!", ADDRESS(INDEX($X$2:$X$1001,MATCH(ROWS($V$2:V510),$V$2:$V$1001,0),0), INDEX($AC$1004:$AS$1004,1,MATCH(COLUMNS($AC$1006:AN1006),$AC$1006:$AS$1006,0)))),"Fix")))</f>
        <v xml:space="preserve"> </v>
      </c>
      <c r="N510" s="4" t="str">
        <f ca="1">IF(OR(INDEX($W$2:$W$1001,MATCH(ROWS($V$2:V510),$V$2:$V$1001,0),1)&gt;=100000,INDEX($AC$1005:$AS$1005,1,MATCH(COLUMNS($AC$1006:AO1006),$AC$1006:$AS$1006,0))&gt;=100000), " ",IF(INDEX($AC$2:$AS$1001,MATCH(ROWS($V$2:V510),$V$2:$V$1001,0),MATCH(COLUMNS($AC$1006:AO1006),$AC$1006:$AS$1006,0)), HYPERLINK("#",""), HYPERLINK(CONCATENATE("#metadata!", ADDRESS(INDEX($X$2:$X$1001,MATCH(ROWS($V$2:V510),$V$2:$V$1001,0),0), INDEX($AC$1004:$AS$1004,1,MATCH(COLUMNS($AC$1006:AO1006),$AC$1006:$AS$1006,0)))),"Fix")))</f>
        <v xml:space="preserve"> </v>
      </c>
      <c r="O510" s="4" t="str">
        <f ca="1">IF(OR(INDEX($W$2:$W$1001,MATCH(ROWS($V$2:V510),$V$2:$V$1001,0),1)&gt;=100000,INDEX($AC$1005:$AS$1005,1,MATCH(COLUMNS($AC$1006:AP1006),$AC$1006:$AS$1006,0))&gt;=100000), " ",IF(INDEX($AC$2:$AS$1001,MATCH(ROWS($V$2:V510),$V$2:$V$1001,0),MATCH(COLUMNS($AC$1006:AP1006),$AC$1006:$AS$1006,0)), HYPERLINK("#",""), HYPERLINK(CONCATENATE("#metadata!", ADDRESS(INDEX($X$2:$X$1001,MATCH(ROWS($V$2:V510),$V$2:$V$1001,0),0), INDEX($AC$1004:$AS$1004,1,MATCH(COLUMNS($AC$1006:AP1006),$AC$1006:$AS$1006,0)))),"Fix")))</f>
        <v xml:space="preserve"> </v>
      </c>
      <c r="P510" s="4" t="str">
        <f ca="1">IF(OR(INDEX($W$2:$W$1001,MATCH(ROWS($V$2:V510),$V$2:$V$1001,0),1)&gt;=100000,INDEX($AC$1005:$AS$1005,1,MATCH(COLUMNS($AC$1006:AQ1006),$AC$1006:$AS$1006,0))&gt;=100000), " ",IF(INDEX($AC$2:$AS$1001,MATCH(ROWS($V$2:V510),$V$2:$V$1001,0),MATCH(COLUMNS($AC$1006:AQ1006),$AC$1006:$AS$1006,0)), HYPERLINK("#",""), HYPERLINK(CONCATENATE("#metadata!", ADDRESS(INDEX($X$2:$X$1001,MATCH(ROWS($V$2:V510),$V$2:$V$1001,0),0), INDEX($AC$1004:$AS$1004,1,MATCH(COLUMNS($AC$1006:AQ1006),$AC$1006:$AS$1006,0)))),"Fix")))</f>
        <v xml:space="preserve"> </v>
      </c>
      <c r="Q510" s="4" t="str">
        <f ca="1">IF(OR(INDEX($W$2:$W$1001,MATCH(ROWS($V$2:V510),$V$2:$V$1001,0),1)&gt;=100000,INDEX($AC$1005:$AS$1005,1,MATCH(COLUMNS($AC$1006:AR1006),$AC$1006:$AS$1006,0))&gt;=100000), " ",IF(INDEX($AC$2:$AS$1001,MATCH(ROWS($V$2:V510),$V$2:$V$1001,0),MATCH(COLUMNS($AC$1006:AR1006),$AC$1006:$AS$1006,0)), HYPERLINK("#",""), HYPERLINK(CONCATENATE("#metadata!", ADDRESS(INDEX($X$2:$X$1001,MATCH(ROWS($V$2:V510),$V$2:$V$1001,0),0), INDEX($AC$1004:$AS$1004,1,MATCH(COLUMNS($AC$1006:AR1006),$AC$1006:$AS$1006,0)))),"Fix")))</f>
        <v xml:space="preserve"> </v>
      </c>
      <c r="R510" s="4" t="str">
        <f ca="1">IF(OR(INDEX($W$2:$W$1001,MATCH(ROWS($V$2:V510),$V$2:$V$1001,0),1)&gt;=100000,INDEX($AC$1005:$AS$1005,1,MATCH(COLUMNS($AC$1006:AS1006),$AC$1006:$AS$1006,0))&gt;=100000), " ",IF(INDEX($AC$2:$AS$1001,MATCH(ROWS($V$2:V510),$V$2:$V$1001,0),MATCH(COLUMNS($AC$1006:AS1006),$AC$1006:$AS$1006,0)), HYPERLINK("#",""), HYPERLINK(CONCATENATE("#metadata!", ADDRESS(INDEX($X$2:$X$1001,MATCH(ROWS($V$2:V510),$V$2:$V$1001,0),0), INDEX($AC$1004:$AS$1004,1,MATCH(COLUMNS($AC$1006:AS1006),$AC$1006:$AS$1006,0)))),"Fix")))</f>
        <v xml:space="preserve"> </v>
      </c>
      <c r="V510">
        <v>509</v>
      </c>
      <c r="W510">
        <v>100510</v>
      </c>
      <c r="X510">
        <v>510</v>
      </c>
      <c r="Y510" t="b">
        <f t="shared" si="7"/>
        <v>1</v>
      </c>
      <c r="Z510" t="b">
        <f>COUNTBLANK(metadata!B510:R510)=COLUMNS(metadata!B510:R510)</f>
        <v>1</v>
      </c>
      <c r="AA510" t="str">
        <v/>
      </c>
      <c r="AC510" t="b">
        <f ca="1"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AD510" t="b">
        <f>IF(metadata!C510="",FALSE,ISNUMBER(VALUE(metadata!C510)))</f>
        <v>0</v>
      </c>
      <c r="AE510" t="b">
        <f>AND(IF(metadata!D510="",FALSE,TRUE),EXACT(metadata!D510,"years"))</f>
        <v>0</v>
      </c>
      <c r="AF510" t="b">
        <f>OR(AND(IF(metadata!E510="",FALSE,TRUE),OR(EXACT(metadata!E510,"not applicable"),EXACT(metadata!E510,"missing: not collected"),EXACT(metadata!E510,"missing: not provided"),EXACT(metadata!E510,"missing: restricted access"))),AND(IF(metadata!E510="",FALSE,ISNUMBER(VALUE(metadata!E510))),metadata!E510&gt;0))</f>
        <v>0</v>
      </c>
      <c r="AG510" t="b">
        <f>AND(IF(metadata!F510="",FALSE,TRUE),EXACT(metadata!F510,"Not applicable"))</f>
        <v>0</v>
      </c>
      <c r="AH510" t="b">
        <f>AND(IF(metadata!G510="",FALSE,TRUE),EXACT(metadata!G510,"urban biome"))</f>
        <v>0</v>
      </c>
      <c r="AI510" t="b">
        <f>AND(IF(metadata!H510="",FALSE,TRUE),EXACT(metadata!H510,"human-associated habitat"))</f>
        <v>0</v>
      </c>
      <c r="AJ510" t="b">
        <f>AND(IF(metadata!I510="",FALSE,TRUE),OR(EXACT(metadata!I510,"human-associated"),EXACT(metadata!I510,"human-skin"),EXACT(metadata!I510,"human-oral"),EXACT(metadata!I510,"human-gut"),EXACT(metadata!I510,"human-vaginal")))</f>
        <v>0</v>
      </c>
      <c r="AK510" t="b">
        <f>IF(metadata!J510="",FALSE,ISNUMBER(VALUE(metadata!J510)))</f>
        <v>0</v>
      </c>
      <c r="AL510" t="b">
        <f>AND(IF(metadata!K510="",FALSE,TRUE),EXACT(metadata!K510,"cm"))</f>
        <v>0</v>
      </c>
      <c r="AM510" t="b">
        <f>AND(IF(metadata!L510="",FALSE,TRUE),EXACT(metadata!L510,"human"))</f>
        <v>0</v>
      </c>
      <c r="AN510" t="b">
        <f>AND(IF(metadata!M510="",FALSE,TRUE),EXACT(metadata!M510,"Homo sapiens"))</f>
        <v>0</v>
      </c>
      <c r="AO510" t="b">
        <f>AND(IF(metadata!N510="",FALSE,TRUE),EXACT(metadata!N510,"9606"))</f>
        <v>0</v>
      </c>
      <c r="AP510" t="b">
        <f>IF(metadata!O510="",FALSE,TRUE)</f>
        <v>0</v>
      </c>
      <c r="AQ510" t="b">
        <f>IF(metadata!P510="",FALSE,TRUE)</f>
        <v>0</v>
      </c>
      <c r="AR510" t="b">
        <f>IF(metadata!Q510="",FALSE,ISNUMBER(VALUE(metadata!Q510)))</f>
        <v>0</v>
      </c>
      <c r="AS510" t="b">
        <f>AND(IF(metadata!R510="",FALSE,TRUE),EXACT(metadata!R510,"kg"))</f>
        <v>0</v>
      </c>
    </row>
    <row r="511" spans="1:45" x14ac:dyDescent="0.2">
      <c r="A511" s="5" t="str">
        <f ca="1">IF(B511=" "," ",HYPERLINK(CONCATENATE("#metadata!",ADDRESS(INDEX($X$2:$X$1001,MATCH(ROWS($V$2:V511),$V$2:$V$1001,0),0),1)),INDEX($AA$2:$AA$1001,MATCH(ROWS($V$2:V511),$V$2:$V$1001,0),0)))</f>
        <v xml:space="preserve"> </v>
      </c>
      <c r="B511" s="4" t="str">
        <f ca="1">IF(OR(INDEX($W$2:$W$1001,MATCH(ROWS($V$2:V511),$V$2:$V$1001,0),1)&gt;=100000,INDEX($AC$1005:$AS$1005,1,MATCH(COLUMNS($AC$1006:AC1006),$AC$1006:$AS$1006,0))&gt;=100000), " ",IF(INDEX($AC$2:$AS$1001,MATCH(ROWS($V$2:V511),$V$2:$V$1001,0),MATCH(COLUMNS($AC$1006:AC1006),$AC$1006:$AS$1006,0)), HYPERLINK("#",""), HYPERLINK(CONCATENATE("#metadata!", ADDRESS(INDEX($X$2:$X$1001,MATCH(ROWS($V$2:V511),$V$2:$V$1001,0),0), INDEX($AC$1004:$AS$1004,1,MATCH(COLUMNS($AC$1006:AC1006),$AC$1006:$AS$1006,0)))),"Fix")))</f>
        <v xml:space="preserve"> </v>
      </c>
      <c r="C511" s="4" t="str">
        <f ca="1">IF(OR(INDEX($W$2:$W$1001,MATCH(ROWS($V$2:V511),$V$2:$V$1001,0),1)&gt;=100000,INDEX($AC$1005:$AS$1005,1,MATCH(COLUMNS($AC$1006:AD1006),$AC$1006:$AS$1006,0))&gt;=100000), " ",IF(INDEX($AC$2:$AS$1001,MATCH(ROWS($V$2:V511),$V$2:$V$1001,0),MATCH(COLUMNS($AC$1006:AD1006),$AC$1006:$AS$1006,0)), HYPERLINK("#",""), HYPERLINK(CONCATENATE("#metadata!", ADDRESS(INDEX($X$2:$X$1001,MATCH(ROWS($V$2:V511),$V$2:$V$1001,0),0), INDEX($AC$1004:$AS$1004,1,MATCH(COLUMNS($AC$1006:AD1006),$AC$1006:$AS$1006,0)))),"Fix")))</f>
        <v xml:space="preserve"> </v>
      </c>
      <c r="D511" s="4" t="str">
        <f ca="1">IF(OR(INDEX($W$2:$W$1001,MATCH(ROWS($V$2:V511),$V$2:$V$1001,0),1)&gt;=100000,INDEX($AC$1005:$AS$1005,1,MATCH(COLUMNS($AC$1006:AE1006),$AC$1006:$AS$1006,0))&gt;=100000), " ",IF(INDEX($AC$2:$AS$1001,MATCH(ROWS($V$2:V511),$V$2:$V$1001,0),MATCH(COLUMNS($AC$1006:AE1006),$AC$1006:$AS$1006,0)), HYPERLINK("#",""), HYPERLINK(CONCATENATE("#metadata!", ADDRESS(INDEX($X$2:$X$1001,MATCH(ROWS($V$2:V511),$V$2:$V$1001,0),0), INDEX($AC$1004:$AS$1004,1,MATCH(COLUMNS($AC$1006:AE1006),$AC$1006:$AS$1006,0)))),"Fix")))</f>
        <v xml:space="preserve"> </v>
      </c>
      <c r="E511" s="4" t="str">
        <f ca="1">IF(OR(INDEX($W$2:$W$1001,MATCH(ROWS($V$2:V511),$V$2:$V$1001,0),1)&gt;=100000,INDEX($AC$1005:$AS$1005,1,MATCH(COLUMNS($AC$1006:AF1006),$AC$1006:$AS$1006,0))&gt;=100000), " ",IF(INDEX($AC$2:$AS$1001,MATCH(ROWS($V$2:V511),$V$2:$V$1001,0),MATCH(COLUMNS($AC$1006:AF1006),$AC$1006:$AS$1006,0)), HYPERLINK("#",""), HYPERLINK(CONCATENATE("#metadata!", ADDRESS(INDEX($X$2:$X$1001,MATCH(ROWS($V$2:V511),$V$2:$V$1001,0),0), INDEX($AC$1004:$AS$1004,1,MATCH(COLUMNS($AC$1006:AF1006),$AC$1006:$AS$1006,0)))),"Fix")))</f>
        <v xml:space="preserve"> </v>
      </c>
      <c r="F511" s="4" t="str">
        <f ca="1">IF(OR(INDEX($W$2:$W$1001,MATCH(ROWS($V$2:V511),$V$2:$V$1001,0),1)&gt;=100000,INDEX($AC$1005:$AS$1005,1,MATCH(COLUMNS($AC$1006:AG1006),$AC$1006:$AS$1006,0))&gt;=100000), " ",IF(INDEX($AC$2:$AS$1001,MATCH(ROWS($V$2:V511),$V$2:$V$1001,0),MATCH(COLUMNS($AC$1006:AG1006),$AC$1006:$AS$1006,0)), HYPERLINK("#",""), HYPERLINK(CONCATENATE("#metadata!", ADDRESS(INDEX($X$2:$X$1001,MATCH(ROWS($V$2:V511),$V$2:$V$1001,0),0), INDEX($AC$1004:$AS$1004,1,MATCH(COLUMNS($AC$1006:AG1006),$AC$1006:$AS$1006,0)))),"Fix")))</f>
        <v xml:space="preserve"> </v>
      </c>
      <c r="G511" s="4" t="str">
        <f ca="1">IF(OR(INDEX($W$2:$W$1001,MATCH(ROWS($V$2:V511),$V$2:$V$1001,0),1)&gt;=100000,INDEX($AC$1005:$AS$1005,1,MATCH(COLUMNS($AC$1006:AH1006),$AC$1006:$AS$1006,0))&gt;=100000), " ",IF(INDEX($AC$2:$AS$1001,MATCH(ROWS($V$2:V511),$V$2:$V$1001,0),MATCH(COLUMNS($AC$1006:AH1006),$AC$1006:$AS$1006,0)), HYPERLINK("#",""), HYPERLINK(CONCATENATE("#metadata!", ADDRESS(INDEX($X$2:$X$1001,MATCH(ROWS($V$2:V511),$V$2:$V$1001,0),0), INDEX($AC$1004:$AS$1004,1,MATCH(COLUMNS($AC$1006:AH1006),$AC$1006:$AS$1006,0)))),"Fix")))</f>
        <v xml:space="preserve"> </v>
      </c>
      <c r="H511" s="4" t="str">
        <f ca="1">IF(OR(INDEX($W$2:$W$1001,MATCH(ROWS($V$2:V511),$V$2:$V$1001,0),1)&gt;=100000,INDEX($AC$1005:$AS$1005,1,MATCH(COLUMNS($AC$1006:AI1006),$AC$1006:$AS$1006,0))&gt;=100000), " ",IF(INDEX($AC$2:$AS$1001,MATCH(ROWS($V$2:V511),$V$2:$V$1001,0),MATCH(COLUMNS($AC$1006:AI1006),$AC$1006:$AS$1006,0)), HYPERLINK("#",""), HYPERLINK(CONCATENATE("#metadata!", ADDRESS(INDEX($X$2:$X$1001,MATCH(ROWS($V$2:V511),$V$2:$V$1001,0),0), INDEX($AC$1004:$AS$1004,1,MATCH(COLUMNS($AC$1006:AI1006),$AC$1006:$AS$1006,0)))),"Fix")))</f>
        <v xml:space="preserve"> </v>
      </c>
      <c r="I511" s="4" t="str">
        <f ca="1">IF(OR(INDEX($W$2:$W$1001,MATCH(ROWS($V$2:V511),$V$2:$V$1001,0),1)&gt;=100000,INDEX($AC$1005:$AS$1005,1,MATCH(COLUMNS($AC$1006:AJ1006),$AC$1006:$AS$1006,0))&gt;=100000), " ",IF(INDEX($AC$2:$AS$1001,MATCH(ROWS($V$2:V511),$V$2:$V$1001,0),MATCH(COLUMNS($AC$1006:AJ1006),$AC$1006:$AS$1006,0)), HYPERLINK("#",""), HYPERLINK(CONCATENATE("#metadata!", ADDRESS(INDEX($X$2:$X$1001,MATCH(ROWS($V$2:V511),$V$2:$V$1001,0),0), INDEX($AC$1004:$AS$1004,1,MATCH(COLUMNS($AC$1006:AJ1006),$AC$1006:$AS$1006,0)))),"Fix")))</f>
        <v xml:space="preserve"> </v>
      </c>
      <c r="J511" s="4" t="str">
        <f ca="1">IF(OR(INDEX($W$2:$W$1001,MATCH(ROWS($V$2:V511),$V$2:$V$1001,0),1)&gt;=100000,INDEX($AC$1005:$AS$1005,1,MATCH(COLUMNS($AC$1006:AK1006),$AC$1006:$AS$1006,0))&gt;=100000), " ",IF(INDEX($AC$2:$AS$1001,MATCH(ROWS($V$2:V511),$V$2:$V$1001,0),MATCH(COLUMNS($AC$1006:AK1006),$AC$1006:$AS$1006,0)), HYPERLINK("#",""), HYPERLINK(CONCATENATE("#metadata!", ADDRESS(INDEX($X$2:$X$1001,MATCH(ROWS($V$2:V511),$V$2:$V$1001,0),0), INDEX($AC$1004:$AS$1004,1,MATCH(COLUMNS($AC$1006:AK1006),$AC$1006:$AS$1006,0)))),"Fix")))</f>
        <v xml:space="preserve"> </v>
      </c>
      <c r="K511" s="4" t="str">
        <f ca="1">IF(OR(INDEX($W$2:$W$1001,MATCH(ROWS($V$2:V511),$V$2:$V$1001,0),1)&gt;=100000,INDEX($AC$1005:$AS$1005,1,MATCH(COLUMNS($AC$1006:AL1006),$AC$1006:$AS$1006,0))&gt;=100000), " ",IF(INDEX($AC$2:$AS$1001,MATCH(ROWS($V$2:V511),$V$2:$V$1001,0),MATCH(COLUMNS($AC$1006:AL1006),$AC$1006:$AS$1006,0)), HYPERLINK("#",""), HYPERLINK(CONCATENATE("#metadata!", ADDRESS(INDEX($X$2:$X$1001,MATCH(ROWS($V$2:V511),$V$2:$V$1001,0),0), INDEX($AC$1004:$AS$1004,1,MATCH(COLUMNS($AC$1006:AL1006),$AC$1006:$AS$1006,0)))),"Fix")))</f>
        <v xml:space="preserve"> </v>
      </c>
      <c r="L511" s="4" t="str">
        <f ca="1">IF(OR(INDEX($W$2:$W$1001,MATCH(ROWS($V$2:V511),$V$2:$V$1001,0),1)&gt;=100000,INDEX($AC$1005:$AS$1005,1,MATCH(COLUMNS($AC$1006:AM1006),$AC$1006:$AS$1006,0))&gt;=100000), " ",IF(INDEX($AC$2:$AS$1001,MATCH(ROWS($V$2:V511),$V$2:$V$1001,0),MATCH(COLUMNS($AC$1006:AM1006),$AC$1006:$AS$1006,0)), HYPERLINK("#",""), HYPERLINK(CONCATENATE("#metadata!", ADDRESS(INDEX($X$2:$X$1001,MATCH(ROWS($V$2:V511),$V$2:$V$1001,0),0), INDEX($AC$1004:$AS$1004,1,MATCH(COLUMNS($AC$1006:AM1006),$AC$1006:$AS$1006,0)))),"Fix")))</f>
        <v xml:space="preserve"> </v>
      </c>
      <c r="M511" s="4" t="str">
        <f ca="1">IF(OR(INDEX($W$2:$W$1001,MATCH(ROWS($V$2:V511),$V$2:$V$1001,0),1)&gt;=100000,INDEX($AC$1005:$AS$1005,1,MATCH(COLUMNS($AC$1006:AN1006),$AC$1006:$AS$1006,0))&gt;=100000), " ",IF(INDEX($AC$2:$AS$1001,MATCH(ROWS($V$2:V511),$V$2:$V$1001,0),MATCH(COLUMNS($AC$1006:AN1006),$AC$1006:$AS$1006,0)), HYPERLINK("#",""), HYPERLINK(CONCATENATE("#metadata!", ADDRESS(INDEX($X$2:$X$1001,MATCH(ROWS($V$2:V511),$V$2:$V$1001,0),0), INDEX($AC$1004:$AS$1004,1,MATCH(COLUMNS($AC$1006:AN1006),$AC$1006:$AS$1006,0)))),"Fix")))</f>
        <v xml:space="preserve"> </v>
      </c>
      <c r="N511" s="4" t="str">
        <f ca="1">IF(OR(INDEX($W$2:$W$1001,MATCH(ROWS($V$2:V511),$V$2:$V$1001,0),1)&gt;=100000,INDEX($AC$1005:$AS$1005,1,MATCH(COLUMNS($AC$1006:AO1006),$AC$1006:$AS$1006,0))&gt;=100000), " ",IF(INDEX($AC$2:$AS$1001,MATCH(ROWS($V$2:V511),$V$2:$V$1001,0),MATCH(COLUMNS($AC$1006:AO1006),$AC$1006:$AS$1006,0)), HYPERLINK("#",""), HYPERLINK(CONCATENATE("#metadata!", ADDRESS(INDEX($X$2:$X$1001,MATCH(ROWS($V$2:V511),$V$2:$V$1001,0),0), INDEX($AC$1004:$AS$1004,1,MATCH(COLUMNS($AC$1006:AO1006),$AC$1006:$AS$1006,0)))),"Fix")))</f>
        <v xml:space="preserve"> </v>
      </c>
      <c r="O511" s="4" t="str">
        <f ca="1">IF(OR(INDEX($W$2:$W$1001,MATCH(ROWS($V$2:V511),$V$2:$V$1001,0),1)&gt;=100000,INDEX($AC$1005:$AS$1005,1,MATCH(COLUMNS($AC$1006:AP1006),$AC$1006:$AS$1006,0))&gt;=100000), " ",IF(INDEX($AC$2:$AS$1001,MATCH(ROWS($V$2:V511),$V$2:$V$1001,0),MATCH(COLUMNS($AC$1006:AP1006),$AC$1006:$AS$1006,0)), HYPERLINK("#",""), HYPERLINK(CONCATENATE("#metadata!", ADDRESS(INDEX($X$2:$X$1001,MATCH(ROWS($V$2:V511),$V$2:$V$1001,0),0), INDEX($AC$1004:$AS$1004,1,MATCH(COLUMNS($AC$1006:AP1006),$AC$1006:$AS$1006,0)))),"Fix")))</f>
        <v xml:space="preserve"> </v>
      </c>
      <c r="P511" s="4" t="str">
        <f ca="1">IF(OR(INDEX($W$2:$W$1001,MATCH(ROWS($V$2:V511),$V$2:$V$1001,0),1)&gt;=100000,INDEX($AC$1005:$AS$1005,1,MATCH(COLUMNS($AC$1006:AQ1006),$AC$1006:$AS$1006,0))&gt;=100000), " ",IF(INDEX($AC$2:$AS$1001,MATCH(ROWS($V$2:V511),$V$2:$V$1001,0),MATCH(COLUMNS($AC$1006:AQ1006),$AC$1006:$AS$1006,0)), HYPERLINK("#",""), HYPERLINK(CONCATENATE("#metadata!", ADDRESS(INDEX($X$2:$X$1001,MATCH(ROWS($V$2:V511),$V$2:$V$1001,0),0), INDEX($AC$1004:$AS$1004,1,MATCH(COLUMNS($AC$1006:AQ1006),$AC$1006:$AS$1006,0)))),"Fix")))</f>
        <v xml:space="preserve"> </v>
      </c>
      <c r="Q511" s="4" t="str">
        <f ca="1">IF(OR(INDEX($W$2:$W$1001,MATCH(ROWS($V$2:V511),$V$2:$V$1001,0),1)&gt;=100000,INDEX($AC$1005:$AS$1005,1,MATCH(COLUMNS($AC$1006:AR1006),$AC$1006:$AS$1006,0))&gt;=100000), " ",IF(INDEX($AC$2:$AS$1001,MATCH(ROWS($V$2:V511),$V$2:$V$1001,0),MATCH(COLUMNS($AC$1006:AR1006),$AC$1006:$AS$1006,0)), HYPERLINK("#",""), HYPERLINK(CONCATENATE("#metadata!", ADDRESS(INDEX($X$2:$X$1001,MATCH(ROWS($V$2:V511),$V$2:$V$1001,0),0), INDEX($AC$1004:$AS$1004,1,MATCH(COLUMNS($AC$1006:AR1006),$AC$1006:$AS$1006,0)))),"Fix")))</f>
        <v xml:space="preserve"> </v>
      </c>
      <c r="R511" s="4" t="str">
        <f ca="1">IF(OR(INDEX($W$2:$W$1001,MATCH(ROWS($V$2:V511),$V$2:$V$1001,0),1)&gt;=100000,INDEX($AC$1005:$AS$1005,1,MATCH(COLUMNS($AC$1006:AS1006),$AC$1006:$AS$1006,0))&gt;=100000), " ",IF(INDEX($AC$2:$AS$1001,MATCH(ROWS($V$2:V511),$V$2:$V$1001,0),MATCH(COLUMNS($AC$1006:AS1006),$AC$1006:$AS$1006,0)), HYPERLINK("#",""), HYPERLINK(CONCATENATE("#metadata!", ADDRESS(INDEX($X$2:$X$1001,MATCH(ROWS($V$2:V511),$V$2:$V$1001,0),0), INDEX($AC$1004:$AS$1004,1,MATCH(COLUMNS($AC$1006:AS1006),$AC$1006:$AS$1006,0)))),"Fix")))</f>
        <v xml:space="preserve"> </v>
      </c>
      <c r="V511">
        <v>510</v>
      </c>
      <c r="W511">
        <v>100511</v>
      </c>
      <c r="X511">
        <v>511</v>
      </c>
      <c r="Y511" t="b">
        <f t="shared" si="7"/>
        <v>1</v>
      </c>
      <c r="Z511" t="b">
        <f>COUNTBLANK(metadata!B511:R511)=COLUMNS(metadata!B511:R511)</f>
        <v>1</v>
      </c>
      <c r="AA511" t="str">
        <v/>
      </c>
      <c r="AC511" t="b">
        <f ca="1"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AD511" t="b">
        <f>IF(metadata!C511="",FALSE,ISNUMBER(VALUE(metadata!C511)))</f>
        <v>0</v>
      </c>
      <c r="AE511" t="b">
        <f>AND(IF(metadata!D511="",FALSE,TRUE),EXACT(metadata!D511,"years"))</f>
        <v>0</v>
      </c>
      <c r="AF511" t="b">
        <f>OR(AND(IF(metadata!E511="",FALSE,TRUE),OR(EXACT(metadata!E511,"not applicable"),EXACT(metadata!E511,"missing: not collected"),EXACT(metadata!E511,"missing: not provided"),EXACT(metadata!E511,"missing: restricted access"))),AND(IF(metadata!E511="",FALSE,ISNUMBER(VALUE(metadata!E511))),metadata!E511&gt;0))</f>
        <v>0</v>
      </c>
      <c r="AG511" t="b">
        <f>AND(IF(metadata!F511="",FALSE,TRUE),EXACT(metadata!F511,"Not applicable"))</f>
        <v>0</v>
      </c>
      <c r="AH511" t="b">
        <f>AND(IF(metadata!G511="",FALSE,TRUE),EXACT(metadata!G511,"urban biome"))</f>
        <v>0</v>
      </c>
      <c r="AI511" t="b">
        <f>AND(IF(metadata!H511="",FALSE,TRUE),EXACT(metadata!H511,"human-associated habitat"))</f>
        <v>0</v>
      </c>
      <c r="AJ511" t="b">
        <f>AND(IF(metadata!I511="",FALSE,TRUE),OR(EXACT(metadata!I511,"human-associated"),EXACT(metadata!I511,"human-skin"),EXACT(metadata!I511,"human-oral"),EXACT(metadata!I511,"human-gut"),EXACT(metadata!I511,"human-vaginal")))</f>
        <v>0</v>
      </c>
      <c r="AK511" t="b">
        <f>IF(metadata!J511="",FALSE,ISNUMBER(VALUE(metadata!J511)))</f>
        <v>0</v>
      </c>
      <c r="AL511" t="b">
        <f>AND(IF(metadata!K511="",FALSE,TRUE),EXACT(metadata!K511,"cm"))</f>
        <v>0</v>
      </c>
      <c r="AM511" t="b">
        <f>AND(IF(metadata!L511="",FALSE,TRUE),EXACT(metadata!L511,"human"))</f>
        <v>0</v>
      </c>
      <c r="AN511" t="b">
        <f>AND(IF(metadata!M511="",FALSE,TRUE),EXACT(metadata!M511,"Homo sapiens"))</f>
        <v>0</v>
      </c>
      <c r="AO511" t="b">
        <f>AND(IF(metadata!N511="",FALSE,TRUE),EXACT(metadata!N511,"9606"))</f>
        <v>0</v>
      </c>
      <c r="AP511" t="b">
        <f>IF(metadata!O511="",FALSE,TRUE)</f>
        <v>0</v>
      </c>
      <c r="AQ511" t="b">
        <f>IF(metadata!P511="",FALSE,TRUE)</f>
        <v>0</v>
      </c>
      <c r="AR511" t="b">
        <f>IF(metadata!Q511="",FALSE,ISNUMBER(VALUE(metadata!Q511)))</f>
        <v>0</v>
      </c>
      <c r="AS511" t="b">
        <f>AND(IF(metadata!R511="",FALSE,TRUE),EXACT(metadata!R511,"kg"))</f>
        <v>0</v>
      </c>
    </row>
    <row r="512" spans="1:45" x14ac:dyDescent="0.2">
      <c r="A512" s="5" t="str">
        <f ca="1">IF(B512=" "," ",HYPERLINK(CONCATENATE("#metadata!",ADDRESS(INDEX($X$2:$X$1001,MATCH(ROWS($V$2:V512),$V$2:$V$1001,0),0),1)),INDEX($AA$2:$AA$1001,MATCH(ROWS($V$2:V512),$V$2:$V$1001,0),0)))</f>
        <v xml:space="preserve"> </v>
      </c>
      <c r="B512" s="4" t="str">
        <f ca="1">IF(OR(INDEX($W$2:$W$1001,MATCH(ROWS($V$2:V512),$V$2:$V$1001,0),1)&gt;=100000,INDEX($AC$1005:$AS$1005,1,MATCH(COLUMNS($AC$1006:AC1006),$AC$1006:$AS$1006,0))&gt;=100000), " ",IF(INDEX($AC$2:$AS$1001,MATCH(ROWS($V$2:V512),$V$2:$V$1001,0),MATCH(COLUMNS($AC$1006:AC1006),$AC$1006:$AS$1006,0)), HYPERLINK("#",""), HYPERLINK(CONCATENATE("#metadata!", ADDRESS(INDEX($X$2:$X$1001,MATCH(ROWS($V$2:V512),$V$2:$V$1001,0),0), INDEX($AC$1004:$AS$1004,1,MATCH(COLUMNS($AC$1006:AC1006),$AC$1006:$AS$1006,0)))),"Fix")))</f>
        <v xml:space="preserve"> </v>
      </c>
      <c r="C512" s="4" t="str">
        <f ca="1">IF(OR(INDEX($W$2:$W$1001,MATCH(ROWS($V$2:V512),$V$2:$V$1001,0),1)&gt;=100000,INDEX($AC$1005:$AS$1005,1,MATCH(COLUMNS($AC$1006:AD1006),$AC$1006:$AS$1006,0))&gt;=100000), " ",IF(INDEX($AC$2:$AS$1001,MATCH(ROWS($V$2:V512),$V$2:$V$1001,0),MATCH(COLUMNS($AC$1006:AD1006),$AC$1006:$AS$1006,0)), HYPERLINK("#",""), HYPERLINK(CONCATENATE("#metadata!", ADDRESS(INDEX($X$2:$X$1001,MATCH(ROWS($V$2:V512),$V$2:$V$1001,0),0), INDEX($AC$1004:$AS$1004,1,MATCH(COLUMNS($AC$1006:AD1006),$AC$1006:$AS$1006,0)))),"Fix")))</f>
        <v xml:space="preserve"> </v>
      </c>
      <c r="D512" s="4" t="str">
        <f ca="1">IF(OR(INDEX($W$2:$W$1001,MATCH(ROWS($V$2:V512),$V$2:$V$1001,0),1)&gt;=100000,INDEX($AC$1005:$AS$1005,1,MATCH(COLUMNS($AC$1006:AE1006),$AC$1006:$AS$1006,0))&gt;=100000), " ",IF(INDEX($AC$2:$AS$1001,MATCH(ROWS($V$2:V512),$V$2:$V$1001,0),MATCH(COLUMNS($AC$1006:AE1006),$AC$1006:$AS$1006,0)), HYPERLINK("#",""), HYPERLINK(CONCATENATE("#metadata!", ADDRESS(INDEX($X$2:$X$1001,MATCH(ROWS($V$2:V512),$V$2:$V$1001,0),0), INDEX($AC$1004:$AS$1004,1,MATCH(COLUMNS($AC$1006:AE1006),$AC$1006:$AS$1006,0)))),"Fix")))</f>
        <v xml:space="preserve"> </v>
      </c>
      <c r="E512" s="4" t="str">
        <f ca="1">IF(OR(INDEX($W$2:$W$1001,MATCH(ROWS($V$2:V512),$V$2:$V$1001,0),1)&gt;=100000,INDEX($AC$1005:$AS$1005,1,MATCH(COLUMNS($AC$1006:AF1006),$AC$1006:$AS$1006,0))&gt;=100000), " ",IF(INDEX($AC$2:$AS$1001,MATCH(ROWS($V$2:V512),$V$2:$V$1001,0),MATCH(COLUMNS($AC$1006:AF1006),$AC$1006:$AS$1006,0)), HYPERLINK("#",""), HYPERLINK(CONCATENATE("#metadata!", ADDRESS(INDEX($X$2:$X$1001,MATCH(ROWS($V$2:V512),$V$2:$V$1001,0),0), INDEX($AC$1004:$AS$1004,1,MATCH(COLUMNS($AC$1006:AF1006),$AC$1006:$AS$1006,0)))),"Fix")))</f>
        <v xml:space="preserve"> </v>
      </c>
      <c r="F512" s="4" t="str">
        <f ca="1">IF(OR(INDEX($W$2:$W$1001,MATCH(ROWS($V$2:V512),$V$2:$V$1001,0),1)&gt;=100000,INDEX($AC$1005:$AS$1005,1,MATCH(COLUMNS($AC$1006:AG1006),$AC$1006:$AS$1006,0))&gt;=100000), " ",IF(INDEX($AC$2:$AS$1001,MATCH(ROWS($V$2:V512),$V$2:$V$1001,0),MATCH(COLUMNS($AC$1006:AG1006),$AC$1006:$AS$1006,0)), HYPERLINK("#",""), HYPERLINK(CONCATENATE("#metadata!", ADDRESS(INDEX($X$2:$X$1001,MATCH(ROWS($V$2:V512),$V$2:$V$1001,0),0), INDEX($AC$1004:$AS$1004,1,MATCH(COLUMNS($AC$1006:AG1006),$AC$1006:$AS$1006,0)))),"Fix")))</f>
        <v xml:space="preserve"> </v>
      </c>
      <c r="G512" s="4" t="str">
        <f ca="1">IF(OR(INDEX($W$2:$W$1001,MATCH(ROWS($V$2:V512),$V$2:$V$1001,0),1)&gt;=100000,INDEX($AC$1005:$AS$1005,1,MATCH(COLUMNS($AC$1006:AH1006),$AC$1006:$AS$1006,0))&gt;=100000), " ",IF(INDEX($AC$2:$AS$1001,MATCH(ROWS($V$2:V512),$V$2:$V$1001,0),MATCH(COLUMNS($AC$1006:AH1006),$AC$1006:$AS$1006,0)), HYPERLINK("#",""), HYPERLINK(CONCATENATE("#metadata!", ADDRESS(INDEX($X$2:$X$1001,MATCH(ROWS($V$2:V512),$V$2:$V$1001,0),0), INDEX($AC$1004:$AS$1004,1,MATCH(COLUMNS($AC$1006:AH1006),$AC$1006:$AS$1006,0)))),"Fix")))</f>
        <v xml:space="preserve"> </v>
      </c>
      <c r="H512" s="4" t="str">
        <f ca="1">IF(OR(INDEX($W$2:$W$1001,MATCH(ROWS($V$2:V512),$V$2:$V$1001,0),1)&gt;=100000,INDEX($AC$1005:$AS$1005,1,MATCH(COLUMNS($AC$1006:AI1006),$AC$1006:$AS$1006,0))&gt;=100000), " ",IF(INDEX($AC$2:$AS$1001,MATCH(ROWS($V$2:V512),$V$2:$V$1001,0),MATCH(COLUMNS($AC$1006:AI1006),$AC$1006:$AS$1006,0)), HYPERLINK("#",""), HYPERLINK(CONCATENATE("#metadata!", ADDRESS(INDEX($X$2:$X$1001,MATCH(ROWS($V$2:V512),$V$2:$V$1001,0),0), INDEX($AC$1004:$AS$1004,1,MATCH(COLUMNS($AC$1006:AI1006),$AC$1006:$AS$1006,0)))),"Fix")))</f>
        <v xml:space="preserve"> </v>
      </c>
      <c r="I512" s="4" t="str">
        <f ca="1">IF(OR(INDEX($W$2:$W$1001,MATCH(ROWS($V$2:V512),$V$2:$V$1001,0),1)&gt;=100000,INDEX($AC$1005:$AS$1005,1,MATCH(COLUMNS($AC$1006:AJ1006),$AC$1006:$AS$1006,0))&gt;=100000), " ",IF(INDEX($AC$2:$AS$1001,MATCH(ROWS($V$2:V512),$V$2:$V$1001,0),MATCH(COLUMNS($AC$1006:AJ1006),$AC$1006:$AS$1006,0)), HYPERLINK("#",""), HYPERLINK(CONCATENATE("#metadata!", ADDRESS(INDEX($X$2:$X$1001,MATCH(ROWS($V$2:V512),$V$2:$V$1001,0),0), INDEX($AC$1004:$AS$1004,1,MATCH(COLUMNS($AC$1006:AJ1006),$AC$1006:$AS$1006,0)))),"Fix")))</f>
        <v xml:space="preserve"> </v>
      </c>
      <c r="J512" s="4" t="str">
        <f ca="1">IF(OR(INDEX($W$2:$W$1001,MATCH(ROWS($V$2:V512),$V$2:$V$1001,0),1)&gt;=100000,INDEX($AC$1005:$AS$1005,1,MATCH(COLUMNS($AC$1006:AK1006),$AC$1006:$AS$1006,0))&gt;=100000), " ",IF(INDEX($AC$2:$AS$1001,MATCH(ROWS($V$2:V512),$V$2:$V$1001,0),MATCH(COLUMNS($AC$1006:AK1006),$AC$1006:$AS$1006,0)), HYPERLINK("#",""), HYPERLINK(CONCATENATE("#metadata!", ADDRESS(INDEX($X$2:$X$1001,MATCH(ROWS($V$2:V512),$V$2:$V$1001,0),0), INDEX($AC$1004:$AS$1004,1,MATCH(COLUMNS($AC$1006:AK1006),$AC$1006:$AS$1006,0)))),"Fix")))</f>
        <v xml:space="preserve"> </v>
      </c>
      <c r="K512" s="4" t="str">
        <f ca="1">IF(OR(INDEX($W$2:$W$1001,MATCH(ROWS($V$2:V512),$V$2:$V$1001,0),1)&gt;=100000,INDEX($AC$1005:$AS$1005,1,MATCH(COLUMNS($AC$1006:AL1006),$AC$1006:$AS$1006,0))&gt;=100000), " ",IF(INDEX($AC$2:$AS$1001,MATCH(ROWS($V$2:V512),$V$2:$V$1001,0),MATCH(COLUMNS($AC$1006:AL1006),$AC$1006:$AS$1006,0)), HYPERLINK("#",""), HYPERLINK(CONCATENATE("#metadata!", ADDRESS(INDEX($X$2:$X$1001,MATCH(ROWS($V$2:V512),$V$2:$V$1001,0),0), INDEX($AC$1004:$AS$1004,1,MATCH(COLUMNS($AC$1006:AL1006),$AC$1006:$AS$1006,0)))),"Fix")))</f>
        <v xml:space="preserve"> </v>
      </c>
      <c r="L512" s="4" t="str">
        <f ca="1">IF(OR(INDEX($W$2:$W$1001,MATCH(ROWS($V$2:V512),$V$2:$V$1001,0),1)&gt;=100000,INDEX($AC$1005:$AS$1005,1,MATCH(COLUMNS($AC$1006:AM1006),$AC$1006:$AS$1006,0))&gt;=100000), " ",IF(INDEX($AC$2:$AS$1001,MATCH(ROWS($V$2:V512),$V$2:$V$1001,0),MATCH(COLUMNS($AC$1006:AM1006),$AC$1006:$AS$1006,0)), HYPERLINK("#",""), HYPERLINK(CONCATENATE("#metadata!", ADDRESS(INDEX($X$2:$X$1001,MATCH(ROWS($V$2:V512),$V$2:$V$1001,0),0), INDEX($AC$1004:$AS$1004,1,MATCH(COLUMNS($AC$1006:AM1006),$AC$1006:$AS$1006,0)))),"Fix")))</f>
        <v xml:space="preserve"> </v>
      </c>
      <c r="M512" s="4" t="str">
        <f ca="1">IF(OR(INDEX($W$2:$W$1001,MATCH(ROWS($V$2:V512),$V$2:$V$1001,0),1)&gt;=100000,INDEX($AC$1005:$AS$1005,1,MATCH(COLUMNS($AC$1006:AN1006),$AC$1006:$AS$1006,0))&gt;=100000), " ",IF(INDEX($AC$2:$AS$1001,MATCH(ROWS($V$2:V512),$V$2:$V$1001,0),MATCH(COLUMNS($AC$1006:AN1006),$AC$1006:$AS$1006,0)), HYPERLINK("#",""), HYPERLINK(CONCATENATE("#metadata!", ADDRESS(INDEX($X$2:$X$1001,MATCH(ROWS($V$2:V512),$V$2:$V$1001,0),0), INDEX($AC$1004:$AS$1004,1,MATCH(COLUMNS($AC$1006:AN1006),$AC$1006:$AS$1006,0)))),"Fix")))</f>
        <v xml:space="preserve"> </v>
      </c>
      <c r="N512" s="4" t="str">
        <f ca="1">IF(OR(INDEX($W$2:$W$1001,MATCH(ROWS($V$2:V512),$V$2:$V$1001,0),1)&gt;=100000,INDEX($AC$1005:$AS$1005,1,MATCH(COLUMNS($AC$1006:AO1006),$AC$1006:$AS$1006,0))&gt;=100000), " ",IF(INDEX($AC$2:$AS$1001,MATCH(ROWS($V$2:V512),$V$2:$V$1001,0),MATCH(COLUMNS($AC$1006:AO1006),$AC$1006:$AS$1006,0)), HYPERLINK("#",""), HYPERLINK(CONCATENATE("#metadata!", ADDRESS(INDEX($X$2:$X$1001,MATCH(ROWS($V$2:V512),$V$2:$V$1001,0),0), INDEX($AC$1004:$AS$1004,1,MATCH(COLUMNS($AC$1006:AO1006),$AC$1006:$AS$1006,0)))),"Fix")))</f>
        <v xml:space="preserve"> </v>
      </c>
      <c r="O512" s="4" t="str">
        <f ca="1">IF(OR(INDEX($W$2:$W$1001,MATCH(ROWS($V$2:V512),$V$2:$V$1001,0),1)&gt;=100000,INDEX($AC$1005:$AS$1005,1,MATCH(COLUMNS($AC$1006:AP1006),$AC$1006:$AS$1006,0))&gt;=100000), " ",IF(INDEX($AC$2:$AS$1001,MATCH(ROWS($V$2:V512),$V$2:$V$1001,0),MATCH(COLUMNS($AC$1006:AP1006),$AC$1006:$AS$1006,0)), HYPERLINK("#",""), HYPERLINK(CONCATENATE("#metadata!", ADDRESS(INDEX($X$2:$X$1001,MATCH(ROWS($V$2:V512),$V$2:$V$1001,0),0), INDEX($AC$1004:$AS$1004,1,MATCH(COLUMNS($AC$1006:AP1006),$AC$1006:$AS$1006,0)))),"Fix")))</f>
        <v xml:space="preserve"> </v>
      </c>
      <c r="P512" s="4" t="str">
        <f ca="1">IF(OR(INDEX($W$2:$W$1001,MATCH(ROWS($V$2:V512),$V$2:$V$1001,0),1)&gt;=100000,INDEX($AC$1005:$AS$1005,1,MATCH(COLUMNS($AC$1006:AQ1006),$AC$1006:$AS$1006,0))&gt;=100000), " ",IF(INDEX($AC$2:$AS$1001,MATCH(ROWS($V$2:V512),$V$2:$V$1001,0),MATCH(COLUMNS($AC$1006:AQ1006),$AC$1006:$AS$1006,0)), HYPERLINK("#",""), HYPERLINK(CONCATENATE("#metadata!", ADDRESS(INDEX($X$2:$X$1001,MATCH(ROWS($V$2:V512),$V$2:$V$1001,0),0), INDEX($AC$1004:$AS$1004,1,MATCH(COLUMNS($AC$1006:AQ1006),$AC$1006:$AS$1006,0)))),"Fix")))</f>
        <v xml:space="preserve"> </v>
      </c>
      <c r="Q512" s="4" t="str">
        <f ca="1">IF(OR(INDEX($W$2:$W$1001,MATCH(ROWS($V$2:V512),$V$2:$V$1001,0),1)&gt;=100000,INDEX($AC$1005:$AS$1005,1,MATCH(COLUMNS($AC$1006:AR1006),$AC$1006:$AS$1006,0))&gt;=100000), " ",IF(INDEX($AC$2:$AS$1001,MATCH(ROWS($V$2:V512),$V$2:$V$1001,0),MATCH(COLUMNS($AC$1006:AR1006),$AC$1006:$AS$1006,0)), HYPERLINK("#",""), HYPERLINK(CONCATENATE("#metadata!", ADDRESS(INDEX($X$2:$X$1001,MATCH(ROWS($V$2:V512),$V$2:$V$1001,0),0), INDEX($AC$1004:$AS$1004,1,MATCH(COLUMNS($AC$1006:AR1006),$AC$1006:$AS$1006,0)))),"Fix")))</f>
        <v xml:space="preserve"> </v>
      </c>
      <c r="R512" s="4" t="str">
        <f ca="1">IF(OR(INDEX($W$2:$W$1001,MATCH(ROWS($V$2:V512),$V$2:$V$1001,0),1)&gt;=100000,INDEX($AC$1005:$AS$1005,1,MATCH(COLUMNS($AC$1006:AS1006),$AC$1006:$AS$1006,0))&gt;=100000), " ",IF(INDEX($AC$2:$AS$1001,MATCH(ROWS($V$2:V512),$V$2:$V$1001,0),MATCH(COLUMNS($AC$1006:AS1006),$AC$1006:$AS$1006,0)), HYPERLINK("#",""), HYPERLINK(CONCATENATE("#metadata!", ADDRESS(INDEX($X$2:$X$1001,MATCH(ROWS($V$2:V512),$V$2:$V$1001,0),0), INDEX($AC$1004:$AS$1004,1,MATCH(COLUMNS($AC$1006:AS1006),$AC$1006:$AS$1006,0)))),"Fix")))</f>
        <v xml:space="preserve"> </v>
      </c>
      <c r="V512">
        <v>511</v>
      </c>
      <c r="W512">
        <v>100512</v>
      </c>
      <c r="X512">
        <v>512</v>
      </c>
      <c r="Y512" t="b">
        <f t="shared" si="7"/>
        <v>1</v>
      </c>
      <c r="Z512" t="b">
        <f>COUNTBLANK(metadata!B512:R512)=COLUMNS(metadata!B512:R512)</f>
        <v>1</v>
      </c>
      <c r="AA512" t="str">
        <v/>
      </c>
      <c r="AC512" t="b">
        <f ca="1"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AD512" t="b">
        <f>IF(metadata!C512="",FALSE,ISNUMBER(VALUE(metadata!C512)))</f>
        <v>0</v>
      </c>
      <c r="AE512" t="b">
        <f>AND(IF(metadata!D512="",FALSE,TRUE),EXACT(metadata!D512,"years"))</f>
        <v>0</v>
      </c>
      <c r="AF512" t="b">
        <f>OR(AND(IF(metadata!E512="",FALSE,TRUE),OR(EXACT(metadata!E512,"not applicable"),EXACT(metadata!E512,"missing: not collected"),EXACT(metadata!E512,"missing: not provided"),EXACT(metadata!E512,"missing: restricted access"))),AND(IF(metadata!E512="",FALSE,ISNUMBER(VALUE(metadata!E512))),metadata!E512&gt;0))</f>
        <v>0</v>
      </c>
      <c r="AG512" t="b">
        <f>AND(IF(metadata!F512="",FALSE,TRUE),EXACT(metadata!F512,"Not applicable"))</f>
        <v>0</v>
      </c>
      <c r="AH512" t="b">
        <f>AND(IF(metadata!G512="",FALSE,TRUE),EXACT(metadata!G512,"urban biome"))</f>
        <v>0</v>
      </c>
      <c r="AI512" t="b">
        <f>AND(IF(metadata!H512="",FALSE,TRUE),EXACT(metadata!H512,"human-associated habitat"))</f>
        <v>0</v>
      </c>
      <c r="AJ512" t="b">
        <f>AND(IF(metadata!I512="",FALSE,TRUE),OR(EXACT(metadata!I512,"human-associated"),EXACT(metadata!I512,"human-skin"),EXACT(metadata!I512,"human-oral"),EXACT(metadata!I512,"human-gut"),EXACT(metadata!I512,"human-vaginal")))</f>
        <v>0</v>
      </c>
      <c r="AK512" t="b">
        <f>IF(metadata!J512="",FALSE,ISNUMBER(VALUE(metadata!J512)))</f>
        <v>0</v>
      </c>
      <c r="AL512" t="b">
        <f>AND(IF(metadata!K512="",FALSE,TRUE),EXACT(metadata!K512,"cm"))</f>
        <v>0</v>
      </c>
      <c r="AM512" t="b">
        <f>AND(IF(metadata!L512="",FALSE,TRUE),EXACT(metadata!L512,"human"))</f>
        <v>0</v>
      </c>
      <c r="AN512" t="b">
        <f>AND(IF(metadata!M512="",FALSE,TRUE),EXACT(metadata!M512,"Homo sapiens"))</f>
        <v>0</v>
      </c>
      <c r="AO512" t="b">
        <f>AND(IF(metadata!N512="",FALSE,TRUE),EXACT(metadata!N512,"9606"))</f>
        <v>0</v>
      </c>
      <c r="AP512" t="b">
        <f>IF(metadata!O512="",FALSE,TRUE)</f>
        <v>0</v>
      </c>
      <c r="AQ512" t="b">
        <f>IF(metadata!P512="",FALSE,TRUE)</f>
        <v>0</v>
      </c>
      <c r="AR512" t="b">
        <f>IF(metadata!Q512="",FALSE,ISNUMBER(VALUE(metadata!Q512)))</f>
        <v>0</v>
      </c>
      <c r="AS512" t="b">
        <f>AND(IF(metadata!R512="",FALSE,TRUE),EXACT(metadata!R512,"kg"))</f>
        <v>0</v>
      </c>
    </row>
    <row r="513" spans="1:45" x14ac:dyDescent="0.2">
      <c r="A513" s="5" t="str">
        <f ca="1">IF(B513=" "," ",HYPERLINK(CONCATENATE("#metadata!",ADDRESS(INDEX($X$2:$X$1001,MATCH(ROWS($V$2:V513),$V$2:$V$1001,0),0),1)),INDEX($AA$2:$AA$1001,MATCH(ROWS($V$2:V513),$V$2:$V$1001,0),0)))</f>
        <v xml:space="preserve"> </v>
      </c>
      <c r="B513" s="4" t="str">
        <f ca="1">IF(OR(INDEX($W$2:$W$1001,MATCH(ROWS($V$2:V513),$V$2:$V$1001,0),1)&gt;=100000,INDEX($AC$1005:$AS$1005,1,MATCH(COLUMNS($AC$1006:AC1006),$AC$1006:$AS$1006,0))&gt;=100000), " ",IF(INDEX($AC$2:$AS$1001,MATCH(ROWS($V$2:V513),$V$2:$V$1001,0),MATCH(COLUMNS($AC$1006:AC1006),$AC$1006:$AS$1006,0)), HYPERLINK("#",""), HYPERLINK(CONCATENATE("#metadata!", ADDRESS(INDEX($X$2:$X$1001,MATCH(ROWS($V$2:V513),$V$2:$V$1001,0),0), INDEX($AC$1004:$AS$1004,1,MATCH(COLUMNS($AC$1006:AC1006),$AC$1006:$AS$1006,0)))),"Fix")))</f>
        <v xml:space="preserve"> </v>
      </c>
      <c r="C513" s="4" t="str">
        <f ca="1">IF(OR(INDEX($W$2:$W$1001,MATCH(ROWS($V$2:V513),$V$2:$V$1001,0),1)&gt;=100000,INDEX($AC$1005:$AS$1005,1,MATCH(COLUMNS($AC$1006:AD1006),$AC$1006:$AS$1006,0))&gt;=100000), " ",IF(INDEX($AC$2:$AS$1001,MATCH(ROWS($V$2:V513),$V$2:$V$1001,0),MATCH(COLUMNS($AC$1006:AD1006),$AC$1006:$AS$1006,0)), HYPERLINK("#",""), HYPERLINK(CONCATENATE("#metadata!", ADDRESS(INDEX($X$2:$X$1001,MATCH(ROWS($V$2:V513),$V$2:$V$1001,0),0), INDEX($AC$1004:$AS$1004,1,MATCH(COLUMNS($AC$1006:AD1006),$AC$1006:$AS$1006,0)))),"Fix")))</f>
        <v xml:space="preserve"> </v>
      </c>
      <c r="D513" s="4" t="str">
        <f ca="1">IF(OR(INDEX($W$2:$W$1001,MATCH(ROWS($V$2:V513),$V$2:$V$1001,0),1)&gt;=100000,INDEX($AC$1005:$AS$1005,1,MATCH(COLUMNS($AC$1006:AE1006),$AC$1006:$AS$1006,0))&gt;=100000), " ",IF(INDEX($AC$2:$AS$1001,MATCH(ROWS($V$2:V513),$V$2:$V$1001,0),MATCH(COLUMNS($AC$1006:AE1006),$AC$1006:$AS$1006,0)), HYPERLINK("#",""), HYPERLINK(CONCATENATE("#metadata!", ADDRESS(INDEX($X$2:$X$1001,MATCH(ROWS($V$2:V513),$V$2:$V$1001,0),0), INDEX($AC$1004:$AS$1004,1,MATCH(COLUMNS($AC$1006:AE1006),$AC$1006:$AS$1006,0)))),"Fix")))</f>
        <v xml:space="preserve"> </v>
      </c>
      <c r="E513" s="4" t="str">
        <f ca="1">IF(OR(INDEX($W$2:$W$1001,MATCH(ROWS($V$2:V513),$V$2:$V$1001,0),1)&gt;=100000,INDEX($AC$1005:$AS$1005,1,MATCH(COLUMNS($AC$1006:AF1006),$AC$1006:$AS$1006,0))&gt;=100000), " ",IF(INDEX($AC$2:$AS$1001,MATCH(ROWS($V$2:V513),$V$2:$V$1001,0),MATCH(COLUMNS($AC$1006:AF1006),$AC$1006:$AS$1006,0)), HYPERLINK("#",""), HYPERLINK(CONCATENATE("#metadata!", ADDRESS(INDEX($X$2:$X$1001,MATCH(ROWS($V$2:V513),$V$2:$V$1001,0),0), INDEX($AC$1004:$AS$1004,1,MATCH(COLUMNS($AC$1006:AF1006),$AC$1006:$AS$1006,0)))),"Fix")))</f>
        <v xml:space="preserve"> </v>
      </c>
      <c r="F513" s="4" t="str">
        <f ca="1">IF(OR(INDEX($W$2:$W$1001,MATCH(ROWS($V$2:V513),$V$2:$V$1001,0),1)&gt;=100000,INDEX($AC$1005:$AS$1005,1,MATCH(COLUMNS($AC$1006:AG1006),$AC$1006:$AS$1006,0))&gt;=100000), " ",IF(INDEX($AC$2:$AS$1001,MATCH(ROWS($V$2:V513),$V$2:$V$1001,0),MATCH(COLUMNS($AC$1006:AG1006),$AC$1006:$AS$1006,0)), HYPERLINK("#",""), HYPERLINK(CONCATENATE("#metadata!", ADDRESS(INDEX($X$2:$X$1001,MATCH(ROWS($V$2:V513),$V$2:$V$1001,0),0), INDEX($AC$1004:$AS$1004,1,MATCH(COLUMNS($AC$1006:AG1006),$AC$1006:$AS$1006,0)))),"Fix")))</f>
        <v xml:space="preserve"> </v>
      </c>
      <c r="G513" s="4" t="str">
        <f ca="1">IF(OR(INDEX($W$2:$W$1001,MATCH(ROWS($V$2:V513),$V$2:$V$1001,0),1)&gt;=100000,INDEX($AC$1005:$AS$1005,1,MATCH(COLUMNS($AC$1006:AH1006),$AC$1006:$AS$1006,0))&gt;=100000), " ",IF(INDEX($AC$2:$AS$1001,MATCH(ROWS($V$2:V513),$V$2:$V$1001,0),MATCH(COLUMNS($AC$1006:AH1006),$AC$1006:$AS$1006,0)), HYPERLINK("#",""), HYPERLINK(CONCATENATE("#metadata!", ADDRESS(INDEX($X$2:$X$1001,MATCH(ROWS($V$2:V513),$V$2:$V$1001,0),0), INDEX($AC$1004:$AS$1004,1,MATCH(COLUMNS($AC$1006:AH1006),$AC$1006:$AS$1006,0)))),"Fix")))</f>
        <v xml:space="preserve"> </v>
      </c>
      <c r="H513" s="4" t="str">
        <f ca="1">IF(OR(INDEX($W$2:$W$1001,MATCH(ROWS($V$2:V513),$V$2:$V$1001,0),1)&gt;=100000,INDEX($AC$1005:$AS$1005,1,MATCH(COLUMNS($AC$1006:AI1006),$AC$1006:$AS$1006,0))&gt;=100000), " ",IF(INDEX($AC$2:$AS$1001,MATCH(ROWS($V$2:V513),$V$2:$V$1001,0),MATCH(COLUMNS($AC$1006:AI1006),$AC$1006:$AS$1006,0)), HYPERLINK("#",""), HYPERLINK(CONCATENATE("#metadata!", ADDRESS(INDEX($X$2:$X$1001,MATCH(ROWS($V$2:V513),$V$2:$V$1001,0),0), INDEX($AC$1004:$AS$1004,1,MATCH(COLUMNS($AC$1006:AI1006),$AC$1006:$AS$1006,0)))),"Fix")))</f>
        <v xml:space="preserve"> </v>
      </c>
      <c r="I513" s="4" t="str">
        <f ca="1">IF(OR(INDEX($W$2:$W$1001,MATCH(ROWS($V$2:V513),$V$2:$V$1001,0),1)&gt;=100000,INDEX($AC$1005:$AS$1005,1,MATCH(COLUMNS($AC$1006:AJ1006),$AC$1006:$AS$1006,0))&gt;=100000), " ",IF(INDEX($AC$2:$AS$1001,MATCH(ROWS($V$2:V513),$V$2:$V$1001,0),MATCH(COLUMNS($AC$1006:AJ1006),$AC$1006:$AS$1006,0)), HYPERLINK("#",""), HYPERLINK(CONCATENATE("#metadata!", ADDRESS(INDEX($X$2:$X$1001,MATCH(ROWS($V$2:V513),$V$2:$V$1001,0),0), INDEX($AC$1004:$AS$1004,1,MATCH(COLUMNS($AC$1006:AJ1006),$AC$1006:$AS$1006,0)))),"Fix")))</f>
        <v xml:space="preserve"> </v>
      </c>
      <c r="J513" s="4" t="str">
        <f ca="1">IF(OR(INDEX($W$2:$W$1001,MATCH(ROWS($V$2:V513),$V$2:$V$1001,0),1)&gt;=100000,INDEX($AC$1005:$AS$1005,1,MATCH(COLUMNS($AC$1006:AK1006),$AC$1006:$AS$1006,0))&gt;=100000), " ",IF(INDEX($AC$2:$AS$1001,MATCH(ROWS($V$2:V513),$V$2:$V$1001,0),MATCH(COLUMNS($AC$1006:AK1006),$AC$1006:$AS$1006,0)), HYPERLINK("#",""), HYPERLINK(CONCATENATE("#metadata!", ADDRESS(INDEX($X$2:$X$1001,MATCH(ROWS($V$2:V513),$V$2:$V$1001,0),0), INDEX($AC$1004:$AS$1004,1,MATCH(COLUMNS($AC$1006:AK1006),$AC$1006:$AS$1006,0)))),"Fix")))</f>
        <v xml:space="preserve"> </v>
      </c>
      <c r="K513" s="4" t="str">
        <f ca="1">IF(OR(INDEX($W$2:$W$1001,MATCH(ROWS($V$2:V513),$V$2:$V$1001,0),1)&gt;=100000,INDEX($AC$1005:$AS$1005,1,MATCH(COLUMNS($AC$1006:AL1006),$AC$1006:$AS$1006,0))&gt;=100000), " ",IF(INDEX($AC$2:$AS$1001,MATCH(ROWS($V$2:V513),$V$2:$V$1001,0),MATCH(COLUMNS($AC$1006:AL1006),$AC$1006:$AS$1006,0)), HYPERLINK("#",""), HYPERLINK(CONCATENATE("#metadata!", ADDRESS(INDEX($X$2:$X$1001,MATCH(ROWS($V$2:V513),$V$2:$V$1001,0),0), INDEX($AC$1004:$AS$1004,1,MATCH(COLUMNS($AC$1006:AL1006),$AC$1006:$AS$1006,0)))),"Fix")))</f>
        <v xml:space="preserve"> </v>
      </c>
      <c r="L513" s="4" t="str">
        <f ca="1">IF(OR(INDEX($W$2:$W$1001,MATCH(ROWS($V$2:V513),$V$2:$V$1001,0),1)&gt;=100000,INDEX($AC$1005:$AS$1005,1,MATCH(COLUMNS($AC$1006:AM1006),$AC$1006:$AS$1006,0))&gt;=100000), " ",IF(INDEX($AC$2:$AS$1001,MATCH(ROWS($V$2:V513),$V$2:$V$1001,0),MATCH(COLUMNS($AC$1006:AM1006),$AC$1006:$AS$1006,0)), HYPERLINK("#",""), HYPERLINK(CONCATENATE("#metadata!", ADDRESS(INDEX($X$2:$X$1001,MATCH(ROWS($V$2:V513),$V$2:$V$1001,0),0), INDEX($AC$1004:$AS$1004,1,MATCH(COLUMNS($AC$1006:AM1006),$AC$1006:$AS$1006,0)))),"Fix")))</f>
        <v xml:space="preserve"> </v>
      </c>
      <c r="M513" s="4" t="str">
        <f ca="1">IF(OR(INDEX($W$2:$W$1001,MATCH(ROWS($V$2:V513),$V$2:$V$1001,0),1)&gt;=100000,INDEX($AC$1005:$AS$1005,1,MATCH(COLUMNS($AC$1006:AN1006),$AC$1006:$AS$1006,0))&gt;=100000), " ",IF(INDEX($AC$2:$AS$1001,MATCH(ROWS($V$2:V513),$V$2:$V$1001,0),MATCH(COLUMNS($AC$1006:AN1006),$AC$1006:$AS$1006,0)), HYPERLINK("#",""), HYPERLINK(CONCATENATE("#metadata!", ADDRESS(INDEX($X$2:$X$1001,MATCH(ROWS($V$2:V513),$V$2:$V$1001,0),0), INDEX($AC$1004:$AS$1004,1,MATCH(COLUMNS($AC$1006:AN1006),$AC$1006:$AS$1006,0)))),"Fix")))</f>
        <v xml:space="preserve"> </v>
      </c>
      <c r="N513" s="4" t="str">
        <f ca="1">IF(OR(INDEX($W$2:$W$1001,MATCH(ROWS($V$2:V513),$V$2:$V$1001,0),1)&gt;=100000,INDEX($AC$1005:$AS$1005,1,MATCH(COLUMNS($AC$1006:AO1006),$AC$1006:$AS$1006,0))&gt;=100000), " ",IF(INDEX($AC$2:$AS$1001,MATCH(ROWS($V$2:V513),$V$2:$V$1001,0),MATCH(COLUMNS($AC$1006:AO1006),$AC$1006:$AS$1006,0)), HYPERLINK("#",""), HYPERLINK(CONCATENATE("#metadata!", ADDRESS(INDEX($X$2:$X$1001,MATCH(ROWS($V$2:V513),$V$2:$V$1001,0),0), INDEX($AC$1004:$AS$1004,1,MATCH(COLUMNS($AC$1006:AO1006),$AC$1006:$AS$1006,0)))),"Fix")))</f>
        <v xml:space="preserve"> </v>
      </c>
      <c r="O513" s="4" t="str">
        <f ca="1">IF(OR(INDEX($W$2:$W$1001,MATCH(ROWS($V$2:V513),$V$2:$V$1001,0),1)&gt;=100000,INDEX($AC$1005:$AS$1005,1,MATCH(COLUMNS($AC$1006:AP1006),$AC$1006:$AS$1006,0))&gt;=100000), " ",IF(INDEX($AC$2:$AS$1001,MATCH(ROWS($V$2:V513),$V$2:$V$1001,0),MATCH(COLUMNS($AC$1006:AP1006),$AC$1006:$AS$1006,0)), HYPERLINK("#",""), HYPERLINK(CONCATENATE("#metadata!", ADDRESS(INDEX($X$2:$X$1001,MATCH(ROWS($V$2:V513),$V$2:$V$1001,0),0), INDEX($AC$1004:$AS$1004,1,MATCH(COLUMNS($AC$1006:AP1006),$AC$1006:$AS$1006,0)))),"Fix")))</f>
        <v xml:space="preserve"> </v>
      </c>
      <c r="P513" s="4" t="str">
        <f ca="1">IF(OR(INDEX($W$2:$W$1001,MATCH(ROWS($V$2:V513),$V$2:$V$1001,0),1)&gt;=100000,INDEX($AC$1005:$AS$1005,1,MATCH(COLUMNS($AC$1006:AQ1006),$AC$1006:$AS$1006,0))&gt;=100000), " ",IF(INDEX($AC$2:$AS$1001,MATCH(ROWS($V$2:V513),$V$2:$V$1001,0),MATCH(COLUMNS($AC$1006:AQ1006),$AC$1006:$AS$1006,0)), HYPERLINK("#",""), HYPERLINK(CONCATENATE("#metadata!", ADDRESS(INDEX($X$2:$X$1001,MATCH(ROWS($V$2:V513),$V$2:$V$1001,0),0), INDEX($AC$1004:$AS$1004,1,MATCH(COLUMNS($AC$1006:AQ1006),$AC$1006:$AS$1006,0)))),"Fix")))</f>
        <v xml:space="preserve"> </v>
      </c>
      <c r="Q513" s="4" t="str">
        <f ca="1">IF(OR(INDEX($W$2:$W$1001,MATCH(ROWS($V$2:V513),$V$2:$V$1001,0),1)&gt;=100000,INDEX($AC$1005:$AS$1005,1,MATCH(COLUMNS($AC$1006:AR1006),$AC$1006:$AS$1006,0))&gt;=100000), " ",IF(INDEX($AC$2:$AS$1001,MATCH(ROWS($V$2:V513),$V$2:$V$1001,0),MATCH(COLUMNS($AC$1006:AR1006),$AC$1006:$AS$1006,0)), HYPERLINK("#",""), HYPERLINK(CONCATENATE("#metadata!", ADDRESS(INDEX($X$2:$X$1001,MATCH(ROWS($V$2:V513),$V$2:$V$1001,0),0), INDEX($AC$1004:$AS$1004,1,MATCH(COLUMNS($AC$1006:AR1006),$AC$1006:$AS$1006,0)))),"Fix")))</f>
        <v xml:space="preserve"> </v>
      </c>
      <c r="R513" s="4" t="str">
        <f ca="1">IF(OR(INDEX($W$2:$W$1001,MATCH(ROWS($V$2:V513),$V$2:$V$1001,0),1)&gt;=100000,INDEX($AC$1005:$AS$1005,1,MATCH(COLUMNS($AC$1006:AS1006),$AC$1006:$AS$1006,0))&gt;=100000), " ",IF(INDEX($AC$2:$AS$1001,MATCH(ROWS($V$2:V513),$V$2:$V$1001,0),MATCH(COLUMNS($AC$1006:AS1006),$AC$1006:$AS$1006,0)), HYPERLINK("#",""), HYPERLINK(CONCATENATE("#metadata!", ADDRESS(INDEX($X$2:$X$1001,MATCH(ROWS($V$2:V513),$V$2:$V$1001,0),0), INDEX($AC$1004:$AS$1004,1,MATCH(COLUMNS($AC$1006:AS1006),$AC$1006:$AS$1006,0)))),"Fix")))</f>
        <v xml:space="preserve"> </v>
      </c>
      <c r="V513">
        <v>512</v>
      </c>
      <c r="W513">
        <v>100513</v>
      </c>
      <c r="X513">
        <v>513</v>
      </c>
      <c r="Y513" t="b">
        <f t="shared" si="7"/>
        <v>1</v>
      </c>
      <c r="Z513" t="b">
        <f>COUNTBLANK(metadata!B513:R513)=COLUMNS(metadata!B513:R513)</f>
        <v>1</v>
      </c>
      <c r="AA513" t="str">
        <v/>
      </c>
      <c r="AC513" t="b">
        <f ca="1"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AD513" t="b">
        <f>IF(metadata!C513="",FALSE,ISNUMBER(VALUE(metadata!C513)))</f>
        <v>0</v>
      </c>
      <c r="AE513" t="b">
        <f>AND(IF(metadata!D513="",FALSE,TRUE),EXACT(metadata!D513,"years"))</f>
        <v>0</v>
      </c>
      <c r="AF513" t="b">
        <f>OR(AND(IF(metadata!E513="",FALSE,TRUE),OR(EXACT(metadata!E513,"not applicable"),EXACT(metadata!E513,"missing: not collected"),EXACT(metadata!E513,"missing: not provided"),EXACT(metadata!E513,"missing: restricted access"))),AND(IF(metadata!E513="",FALSE,ISNUMBER(VALUE(metadata!E513))),metadata!E513&gt;0))</f>
        <v>0</v>
      </c>
      <c r="AG513" t="b">
        <f>AND(IF(metadata!F513="",FALSE,TRUE),EXACT(metadata!F513,"Not applicable"))</f>
        <v>0</v>
      </c>
      <c r="AH513" t="b">
        <f>AND(IF(metadata!G513="",FALSE,TRUE),EXACT(metadata!G513,"urban biome"))</f>
        <v>0</v>
      </c>
      <c r="AI513" t="b">
        <f>AND(IF(metadata!H513="",FALSE,TRUE),EXACT(metadata!H513,"human-associated habitat"))</f>
        <v>0</v>
      </c>
      <c r="AJ513" t="b">
        <f>AND(IF(metadata!I513="",FALSE,TRUE),OR(EXACT(metadata!I513,"human-associated"),EXACT(metadata!I513,"human-skin"),EXACT(metadata!I513,"human-oral"),EXACT(metadata!I513,"human-gut"),EXACT(metadata!I513,"human-vaginal")))</f>
        <v>0</v>
      </c>
      <c r="AK513" t="b">
        <f>IF(metadata!J513="",FALSE,ISNUMBER(VALUE(metadata!J513)))</f>
        <v>0</v>
      </c>
      <c r="AL513" t="b">
        <f>AND(IF(metadata!K513="",FALSE,TRUE),EXACT(metadata!K513,"cm"))</f>
        <v>0</v>
      </c>
      <c r="AM513" t="b">
        <f>AND(IF(metadata!L513="",FALSE,TRUE),EXACT(metadata!L513,"human"))</f>
        <v>0</v>
      </c>
      <c r="AN513" t="b">
        <f>AND(IF(metadata!M513="",FALSE,TRUE),EXACT(metadata!M513,"Homo sapiens"))</f>
        <v>0</v>
      </c>
      <c r="AO513" t="b">
        <f>AND(IF(metadata!N513="",FALSE,TRUE),EXACT(metadata!N513,"9606"))</f>
        <v>0</v>
      </c>
      <c r="AP513" t="b">
        <f>IF(metadata!O513="",FALSE,TRUE)</f>
        <v>0</v>
      </c>
      <c r="AQ513" t="b">
        <f>IF(metadata!P513="",FALSE,TRUE)</f>
        <v>0</v>
      </c>
      <c r="AR513" t="b">
        <f>IF(metadata!Q513="",FALSE,ISNUMBER(VALUE(metadata!Q513)))</f>
        <v>0</v>
      </c>
      <c r="AS513" t="b">
        <f>AND(IF(metadata!R513="",FALSE,TRUE),EXACT(metadata!R513,"kg"))</f>
        <v>0</v>
      </c>
    </row>
    <row r="514" spans="1:45" x14ac:dyDescent="0.2">
      <c r="A514" s="5" t="str">
        <f ca="1">IF(B514=" "," ",HYPERLINK(CONCATENATE("#metadata!",ADDRESS(INDEX($X$2:$X$1001,MATCH(ROWS($V$2:V514),$V$2:$V$1001,0),0),1)),INDEX($AA$2:$AA$1001,MATCH(ROWS($V$2:V514),$V$2:$V$1001,0),0)))</f>
        <v xml:space="preserve"> </v>
      </c>
      <c r="B514" s="4" t="str">
        <f ca="1">IF(OR(INDEX($W$2:$W$1001,MATCH(ROWS($V$2:V514),$V$2:$V$1001,0),1)&gt;=100000,INDEX($AC$1005:$AS$1005,1,MATCH(COLUMNS($AC$1006:AC1006),$AC$1006:$AS$1006,0))&gt;=100000), " ",IF(INDEX($AC$2:$AS$1001,MATCH(ROWS($V$2:V514),$V$2:$V$1001,0),MATCH(COLUMNS($AC$1006:AC1006),$AC$1006:$AS$1006,0)), HYPERLINK("#",""), HYPERLINK(CONCATENATE("#metadata!", ADDRESS(INDEX($X$2:$X$1001,MATCH(ROWS($V$2:V514),$V$2:$V$1001,0),0), INDEX($AC$1004:$AS$1004,1,MATCH(COLUMNS($AC$1006:AC1006),$AC$1006:$AS$1006,0)))),"Fix")))</f>
        <v xml:space="preserve"> </v>
      </c>
      <c r="C514" s="4" t="str">
        <f ca="1">IF(OR(INDEX($W$2:$W$1001,MATCH(ROWS($V$2:V514),$V$2:$V$1001,0),1)&gt;=100000,INDEX($AC$1005:$AS$1005,1,MATCH(COLUMNS($AC$1006:AD1006),$AC$1006:$AS$1006,0))&gt;=100000), " ",IF(INDEX($AC$2:$AS$1001,MATCH(ROWS($V$2:V514),$V$2:$V$1001,0),MATCH(COLUMNS($AC$1006:AD1006),$AC$1006:$AS$1006,0)), HYPERLINK("#",""), HYPERLINK(CONCATENATE("#metadata!", ADDRESS(INDEX($X$2:$X$1001,MATCH(ROWS($V$2:V514),$V$2:$V$1001,0),0), INDEX($AC$1004:$AS$1004,1,MATCH(COLUMNS($AC$1006:AD1006),$AC$1006:$AS$1006,0)))),"Fix")))</f>
        <v xml:space="preserve"> </v>
      </c>
      <c r="D514" s="4" t="str">
        <f ca="1">IF(OR(INDEX($W$2:$W$1001,MATCH(ROWS($V$2:V514),$V$2:$V$1001,0),1)&gt;=100000,INDEX($AC$1005:$AS$1005,1,MATCH(COLUMNS($AC$1006:AE1006),$AC$1006:$AS$1006,0))&gt;=100000), " ",IF(INDEX($AC$2:$AS$1001,MATCH(ROWS($V$2:V514),$V$2:$V$1001,0),MATCH(COLUMNS($AC$1006:AE1006),$AC$1006:$AS$1006,0)), HYPERLINK("#",""), HYPERLINK(CONCATENATE("#metadata!", ADDRESS(INDEX($X$2:$X$1001,MATCH(ROWS($V$2:V514),$V$2:$V$1001,0),0), INDEX($AC$1004:$AS$1004,1,MATCH(COLUMNS($AC$1006:AE1006),$AC$1006:$AS$1006,0)))),"Fix")))</f>
        <v xml:space="preserve"> </v>
      </c>
      <c r="E514" s="4" t="str">
        <f ca="1">IF(OR(INDEX($W$2:$W$1001,MATCH(ROWS($V$2:V514),$V$2:$V$1001,0),1)&gt;=100000,INDEX($AC$1005:$AS$1005,1,MATCH(COLUMNS($AC$1006:AF1006),$AC$1006:$AS$1006,0))&gt;=100000), " ",IF(INDEX($AC$2:$AS$1001,MATCH(ROWS($V$2:V514),$V$2:$V$1001,0),MATCH(COLUMNS($AC$1006:AF1006),$AC$1006:$AS$1006,0)), HYPERLINK("#",""), HYPERLINK(CONCATENATE("#metadata!", ADDRESS(INDEX($X$2:$X$1001,MATCH(ROWS($V$2:V514),$V$2:$V$1001,0),0), INDEX($AC$1004:$AS$1004,1,MATCH(COLUMNS($AC$1006:AF1006),$AC$1006:$AS$1006,0)))),"Fix")))</f>
        <v xml:space="preserve"> </v>
      </c>
      <c r="F514" s="4" t="str">
        <f ca="1">IF(OR(INDEX($W$2:$W$1001,MATCH(ROWS($V$2:V514),$V$2:$V$1001,0),1)&gt;=100000,INDEX($AC$1005:$AS$1005,1,MATCH(COLUMNS($AC$1006:AG1006),$AC$1006:$AS$1006,0))&gt;=100000), " ",IF(INDEX($AC$2:$AS$1001,MATCH(ROWS($V$2:V514),$V$2:$V$1001,0),MATCH(COLUMNS($AC$1006:AG1006),$AC$1006:$AS$1006,0)), HYPERLINK("#",""), HYPERLINK(CONCATENATE("#metadata!", ADDRESS(INDEX($X$2:$X$1001,MATCH(ROWS($V$2:V514),$V$2:$V$1001,0),0), INDEX($AC$1004:$AS$1004,1,MATCH(COLUMNS($AC$1006:AG1006),$AC$1006:$AS$1006,0)))),"Fix")))</f>
        <v xml:space="preserve"> </v>
      </c>
      <c r="G514" s="4" t="str">
        <f ca="1">IF(OR(INDEX($W$2:$W$1001,MATCH(ROWS($V$2:V514),$V$2:$V$1001,0),1)&gt;=100000,INDEX($AC$1005:$AS$1005,1,MATCH(COLUMNS($AC$1006:AH1006),$AC$1006:$AS$1006,0))&gt;=100000), " ",IF(INDEX($AC$2:$AS$1001,MATCH(ROWS($V$2:V514),$V$2:$V$1001,0),MATCH(COLUMNS($AC$1006:AH1006),$AC$1006:$AS$1006,0)), HYPERLINK("#",""), HYPERLINK(CONCATENATE("#metadata!", ADDRESS(INDEX($X$2:$X$1001,MATCH(ROWS($V$2:V514),$V$2:$V$1001,0),0), INDEX($AC$1004:$AS$1004,1,MATCH(COLUMNS($AC$1006:AH1006),$AC$1006:$AS$1006,0)))),"Fix")))</f>
        <v xml:space="preserve"> </v>
      </c>
      <c r="H514" s="4" t="str">
        <f ca="1">IF(OR(INDEX($W$2:$W$1001,MATCH(ROWS($V$2:V514),$V$2:$V$1001,0),1)&gt;=100000,INDEX($AC$1005:$AS$1005,1,MATCH(COLUMNS($AC$1006:AI1006),$AC$1006:$AS$1006,0))&gt;=100000), " ",IF(INDEX($AC$2:$AS$1001,MATCH(ROWS($V$2:V514),$V$2:$V$1001,0),MATCH(COLUMNS($AC$1006:AI1006),$AC$1006:$AS$1006,0)), HYPERLINK("#",""), HYPERLINK(CONCATENATE("#metadata!", ADDRESS(INDEX($X$2:$X$1001,MATCH(ROWS($V$2:V514),$V$2:$V$1001,0),0), INDEX($AC$1004:$AS$1004,1,MATCH(COLUMNS($AC$1006:AI1006),$AC$1006:$AS$1006,0)))),"Fix")))</f>
        <v xml:space="preserve"> </v>
      </c>
      <c r="I514" s="4" t="str">
        <f ca="1">IF(OR(INDEX($W$2:$W$1001,MATCH(ROWS($V$2:V514),$V$2:$V$1001,0),1)&gt;=100000,INDEX($AC$1005:$AS$1005,1,MATCH(COLUMNS($AC$1006:AJ1006),$AC$1006:$AS$1006,0))&gt;=100000), " ",IF(INDEX($AC$2:$AS$1001,MATCH(ROWS($V$2:V514),$V$2:$V$1001,0),MATCH(COLUMNS($AC$1006:AJ1006),$AC$1006:$AS$1006,0)), HYPERLINK("#",""), HYPERLINK(CONCATENATE("#metadata!", ADDRESS(INDEX($X$2:$X$1001,MATCH(ROWS($V$2:V514),$V$2:$V$1001,0),0), INDEX($AC$1004:$AS$1004,1,MATCH(COLUMNS($AC$1006:AJ1006),$AC$1006:$AS$1006,0)))),"Fix")))</f>
        <v xml:space="preserve"> </v>
      </c>
      <c r="J514" s="4" t="str">
        <f ca="1">IF(OR(INDEX($W$2:$W$1001,MATCH(ROWS($V$2:V514),$V$2:$V$1001,0),1)&gt;=100000,INDEX($AC$1005:$AS$1005,1,MATCH(COLUMNS($AC$1006:AK1006),$AC$1006:$AS$1006,0))&gt;=100000), " ",IF(INDEX($AC$2:$AS$1001,MATCH(ROWS($V$2:V514),$V$2:$V$1001,0),MATCH(COLUMNS($AC$1006:AK1006),$AC$1006:$AS$1006,0)), HYPERLINK("#",""), HYPERLINK(CONCATENATE("#metadata!", ADDRESS(INDEX($X$2:$X$1001,MATCH(ROWS($V$2:V514),$V$2:$V$1001,0),0), INDEX($AC$1004:$AS$1004,1,MATCH(COLUMNS($AC$1006:AK1006),$AC$1006:$AS$1006,0)))),"Fix")))</f>
        <v xml:space="preserve"> </v>
      </c>
      <c r="K514" s="4" t="str">
        <f ca="1">IF(OR(INDEX($W$2:$W$1001,MATCH(ROWS($V$2:V514),$V$2:$V$1001,0),1)&gt;=100000,INDEX($AC$1005:$AS$1005,1,MATCH(COLUMNS($AC$1006:AL1006),$AC$1006:$AS$1006,0))&gt;=100000), " ",IF(INDEX($AC$2:$AS$1001,MATCH(ROWS($V$2:V514),$V$2:$V$1001,0),MATCH(COLUMNS($AC$1006:AL1006),$AC$1006:$AS$1006,0)), HYPERLINK("#",""), HYPERLINK(CONCATENATE("#metadata!", ADDRESS(INDEX($X$2:$X$1001,MATCH(ROWS($V$2:V514),$V$2:$V$1001,0),0), INDEX($AC$1004:$AS$1004,1,MATCH(COLUMNS($AC$1006:AL1006),$AC$1006:$AS$1006,0)))),"Fix")))</f>
        <v xml:space="preserve"> </v>
      </c>
      <c r="L514" s="4" t="str">
        <f ca="1">IF(OR(INDEX($W$2:$W$1001,MATCH(ROWS($V$2:V514),$V$2:$V$1001,0),1)&gt;=100000,INDEX($AC$1005:$AS$1005,1,MATCH(COLUMNS($AC$1006:AM1006),$AC$1006:$AS$1006,0))&gt;=100000), " ",IF(INDEX($AC$2:$AS$1001,MATCH(ROWS($V$2:V514),$V$2:$V$1001,0),MATCH(COLUMNS($AC$1006:AM1006),$AC$1006:$AS$1006,0)), HYPERLINK("#",""), HYPERLINK(CONCATENATE("#metadata!", ADDRESS(INDEX($X$2:$X$1001,MATCH(ROWS($V$2:V514),$V$2:$V$1001,0),0), INDEX($AC$1004:$AS$1004,1,MATCH(COLUMNS($AC$1006:AM1006),$AC$1006:$AS$1006,0)))),"Fix")))</f>
        <v xml:space="preserve"> </v>
      </c>
      <c r="M514" s="4" t="str">
        <f ca="1">IF(OR(INDEX($W$2:$W$1001,MATCH(ROWS($V$2:V514),$V$2:$V$1001,0),1)&gt;=100000,INDEX($AC$1005:$AS$1005,1,MATCH(COLUMNS($AC$1006:AN1006),$AC$1006:$AS$1006,0))&gt;=100000), " ",IF(INDEX($AC$2:$AS$1001,MATCH(ROWS($V$2:V514),$V$2:$V$1001,0),MATCH(COLUMNS($AC$1006:AN1006),$AC$1006:$AS$1006,0)), HYPERLINK("#",""), HYPERLINK(CONCATENATE("#metadata!", ADDRESS(INDEX($X$2:$X$1001,MATCH(ROWS($V$2:V514),$V$2:$V$1001,0),0), INDEX($AC$1004:$AS$1004,1,MATCH(COLUMNS($AC$1006:AN1006),$AC$1006:$AS$1006,0)))),"Fix")))</f>
        <v xml:space="preserve"> </v>
      </c>
      <c r="N514" s="4" t="str">
        <f ca="1">IF(OR(INDEX($W$2:$W$1001,MATCH(ROWS($V$2:V514),$V$2:$V$1001,0),1)&gt;=100000,INDEX($AC$1005:$AS$1005,1,MATCH(COLUMNS($AC$1006:AO1006),$AC$1006:$AS$1006,0))&gt;=100000), " ",IF(INDEX($AC$2:$AS$1001,MATCH(ROWS($V$2:V514),$V$2:$V$1001,0),MATCH(COLUMNS($AC$1006:AO1006),$AC$1006:$AS$1006,0)), HYPERLINK("#",""), HYPERLINK(CONCATENATE("#metadata!", ADDRESS(INDEX($X$2:$X$1001,MATCH(ROWS($V$2:V514),$V$2:$V$1001,0),0), INDEX($AC$1004:$AS$1004,1,MATCH(COLUMNS($AC$1006:AO1006),$AC$1006:$AS$1006,0)))),"Fix")))</f>
        <v xml:space="preserve"> </v>
      </c>
      <c r="O514" s="4" t="str">
        <f ca="1">IF(OR(INDEX($W$2:$W$1001,MATCH(ROWS($V$2:V514),$V$2:$V$1001,0),1)&gt;=100000,INDEX($AC$1005:$AS$1005,1,MATCH(COLUMNS($AC$1006:AP1006),$AC$1006:$AS$1006,0))&gt;=100000), " ",IF(INDEX($AC$2:$AS$1001,MATCH(ROWS($V$2:V514),$V$2:$V$1001,0),MATCH(COLUMNS($AC$1006:AP1006),$AC$1006:$AS$1006,0)), HYPERLINK("#",""), HYPERLINK(CONCATENATE("#metadata!", ADDRESS(INDEX($X$2:$X$1001,MATCH(ROWS($V$2:V514),$V$2:$V$1001,0),0), INDEX($AC$1004:$AS$1004,1,MATCH(COLUMNS($AC$1006:AP1006),$AC$1006:$AS$1006,0)))),"Fix")))</f>
        <v xml:space="preserve"> </v>
      </c>
      <c r="P514" s="4" t="str">
        <f ca="1">IF(OR(INDEX($W$2:$W$1001,MATCH(ROWS($V$2:V514),$V$2:$V$1001,0),1)&gt;=100000,INDEX($AC$1005:$AS$1005,1,MATCH(COLUMNS($AC$1006:AQ1006),$AC$1006:$AS$1006,0))&gt;=100000), " ",IF(INDEX($AC$2:$AS$1001,MATCH(ROWS($V$2:V514),$V$2:$V$1001,0),MATCH(COLUMNS($AC$1006:AQ1006),$AC$1006:$AS$1006,0)), HYPERLINK("#",""), HYPERLINK(CONCATENATE("#metadata!", ADDRESS(INDEX($X$2:$X$1001,MATCH(ROWS($V$2:V514),$V$2:$V$1001,0),0), INDEX($AC$1004:$AS$1004,1,MATCH(COLUMNS($AC$1006:AQ1006),$AC$1006:$AS$1006,0)))),"Fix")))</f>
        <v xml:space="preserve"> </v>
      </c>
      <c r="Q514" s="4" t="str">
        <f ca="1">IF(OR(INDEX($W$2:$W$1001,MATCH(ROWS($V$2:V514),$V$2:$V$1001,0),1)&gt;=100000,INDEX($AC$1005:$AS$1005,1,MATCH(COLUMNS($AC$1006:AR1006),$AC$1006:$AS$1006,0))&gt;=100000), " ",IF(INDEX($AC$2:$AS$1001,MATCH(ROWS($V$2:V514),$V$2:$V$1001,0),MATCH(COLUMNS($AC$1006:AR1006),$AC$1006:$AS$1006,0)), HYPERLINK("#",""), HYPERLINK(CONCATENATE("#metadata!", ADDRESS(INDEX($X$2:$X$1001,MATCH(ROWS($V$2:V514),$V$2:$V$1001,0),0), INDEX($AC$1004:$AS$1004,1,MATCH(COLUMNS($AC$1006:AR1006),$AC$1006:$AS$1006,0)))),"Fix")))</f>
        <v xml:space="preserve"> </v>
      </c>
      <c r="R514" s="4" t="str">
        <f ca="1">IF(OR(INDEX($W$2:$W$1001,MATCH(ROWS($V$2:V514),$V$2:$V$1001,0),1)&gt;=100000,INDEX($AC$1005:$AS$1005,1,MATCH(COLUMNS($AC$1006:AS1006),$AC$1006:$AS$1006,0))&gt;=100000), " ",IF(INDEX($AC$2:$AS$1001,MATCH(ROWS($V$2:V514),$V$2:$V$1001,0),MATCH(COLUMNS($AC$1006:AS1006),$AC$1006:$AS$1006,0)), HYPERLINK("#",""), HYPERLINK(CONCATENATE("#metadata!", ADDRESS(INDEX($X$2:$X$1001,MATCH(ROWS($V$2:V514),$V$2:$V$1001,0),0), INDEX($AC$1004:$AS$1004,1,MATCH(COLUMNS($AC$1006:AS1006),$AC$1006:$AS$1006,0)))),"Fix")))</f>
        <v xml:space="preserve"> </v>
      </c>
      <c r="V514">
        <v>513</v>
      </c>
      <c r="W514">
        <v>100514</v>
      </c>
      <c r="X514">
        <v>514</v>
      </c>
      <c r="Y514" t="b">
        <f t="shared" ref="Y514:Y577" si="8">IF(Z514,TRUE,AND(AC514:AS514))</f>
        <v>1</v>
      </c>
      <c r="Z514" t="b">
        <f>COUNTBLANK(metadata!B514:R514)=COLUMNS(metadata!B514:R514)</f>
        <v>1</v>
      </c>
      <c r="AA514" t="str">
        <v/>
      </c>
      <c r="AC514" t="b">
        <f ca="1"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AD514" t="b">
        <f>IF(metadata!C514="",FALSE,ISNUMBER(VALUE(metadata!C514)))</f>
        <v>0</v>
      </c>
      <c r="AE514" t="b">
        <f>AND(IF(metadata!D514="",FALSE,TRUE),EXACT(metadata!D514,"years"))</f>
        <v>0</v>
      </c>
      <c r="AF514" t="b">
        <f>OR(AND(IF(metadata!E514="",FALSE,TRUE),OR(EXACT(metadata!E514,"not applicable"),EXACT(metadata!E514,"missing: not collected"),EXACT(metadata!E514,"missing: not provided"),EXACT(metadata!E514,"missing: restricted access"))),AND(IF(metadata!E514="",FALSE,ISNUMBER(VALUE(metadata!E514))),metadata!E514&gt;0))</f>
        <v>0</v>
      </c>
      <c r="AG514" t="b">
        <f>AND(IF(metadata!F514="",FALSE,TRUE),EXACT(metadata!F514,"Not applicable"))</f>
        <v>0</v>
      </c>
      <c r="AH514" t="b">
        <f>AND(IF(metadata!G514="",FALSE,TRUE),EXACT(metadata!G514,"urban biome"))</f>
        <v>0</v>
      </c>
      <c r="AI514" t="b">
        <f>AND(IF(metadata!H514="",FALSE,TRUE),EXACT(metadata!H514,"human-associated habitat"))</f>
        <v>0</v>
      </c>
      <c r="AJ514" t="b">
        <f>AND(IF(metadata!I514="",FALSE,TRUE),OR(EXACT(metadata!I514,"human-associated"),EXACT(metadata!I514,"human-skin"),EXACT(metadata!I514,"human-oral"),EXACT(metadata!I514,"human-gut"),EXACT(metadata!I514,"human-vaginal")))</f>
        <v>0</v>
      </c>
      <c r="AK514" t="b">
        <f>IF(metadata!J514="",FALSE,ISNUMBER(VALUE(metadata!J514)))</f>
        <v>0</v>
      </c>
      <c r="AL514" t="b">
        <f>AND(IF(metadata!K514="",FALSE,TRUE),EXACT(metadata!K514,"cm"))</f>
        <v>0</v>
      </c>
      <c r="AM514" t="b">
        <f>AND(IF(metadata!L514="",FALSE,TRUE),EXACT(metadata!L514,"human"))</f>
        <v>0</v>
      </c>
      <c r="AN514" t="b">
        <f>AND(IF(metadata!M514="",FALSE,TRUE),EXACT(metadata!M514,"Homo sapiens"))</f>
        <v>0</v>
      </c>
      <c r="AO514" t="b">
        <f>AND(IF(metadata!N514="",FALSE,TRUE),EXACT(metadata!N514,"9606"))</f>
        <v>0</v>
      </c>
      <c r="AP514" t="b">
        <f>IF(metadata!O514="",FALSE,TRUE)</f>
        <v>0</v>
      </c>
      <c r="AQ514" t="b">
        <f>IF(metadata!P514="",FALSE,TRUE)</f>
        <v>0</v>
      </c>
      <c r="AR514" t="b">
        <f>IF(metadata!Q514="",FALSE,ISNUMBER(VALUE(metadata!Q514)))</f>
        <v>0</v>
      </c>
      <c r="AS514" t="b">
        <f>AND(IF(metadata!R514="",FALSE,TRUE),EXACT(metadata!R514,"kg"))</f>
        <v>0</v>
      </c>
    </row>
    <row r="515" spans="1:45" x14ac:dyDescent="0.2">
      <c r="A515" s="5" t="str">
        <f ca="1">IF(B515=" "," ",HYPERLINK(CONCATENATE("#metadata!",ADDRESS(INDEX($X$2:$X$1001,MATCH(ROWS($V$2:V515),$V$2:$V$1001,0),0),1)),INDEX($AA$2:$AA$1001,MATCH(ROWS($V$2:V515),$V$2:$V$1001,0),0)))</f>
        <v xml:space="preserve"> </v>
      </c>
      <c r="B515" s="4" t="str">
        <f ca="1">IF(OR(INDEX($W$2:$W$1001,MATCH(ROWS($V$2:V515),$V$2:$V$1001,0),1)&gt;=100000,INDEX($AC$1005:$AS$1005,1,MATCH(COLUMNS($AC$1006:AC1006),$AC$1006:$AS$1006,0))&gt;=100000), " ",IF(INDEX($AC$2:$AS$1001,MATCH(ROWS($V$2:V515),$V$2:$V$1001,0),MATCH(COLUMNS($AC$1006:AC1006),$AC$1006:$AS$1006,0)), HYPERLINK("#",""), HYPERLINK(CONCATENATE("#metadata!", ADDRESS(INDEX($X$2:$X$1001,MATCH(ROWS($V$2:V515),$V$2:$V$1001,0),0), INDEX($AC$1004:$AS$1004,1,MATCH(COLUMNS($AC$1006:AC1006),$AC$1006:$AS$1006,0)))),"Fix")))</f>
        <v xml:space="preserve"> </v>
      </c>
      <c r="C515" s="4" t="str">
        <f ca="1">IF(OR(INDEX($W$2:$W$1001,MATCH(ROWS($V$2:V515),$V$2:$V$1001,0),1)&gt;=100000,INDEX($AC$1005:$AS$1005,1,MATCH(COLUMNS($AC$1006:AD1006),$AC$1006:$AS$1006,0))&gt;=100000), " ",IF(INDEX($AC$2:$AS$1001,MATCH(ROWS($V$2:V515),$V$2:$V$1001,0),MATCH(COLUMNS($AC$1006:AD1006),$AC$1006:$AS$1006,0)), HYPERLINK("#",""), HYPERLINK(CONCATENATE("#metadata!", ADDRESS(INDEX($X$2:$X$1001,MATCH(ROWS($V$2:V515),$V$2:$V$1001,0),0), INDEX($AC$1004:$AS$1004,1,MATCH(COLUMNS($AC$1006:AD1006),$AC$1006:$AS$1006,0)))),"Fix")))</f>
        <v xml:space="preserve"> </v>
      </c>
      <c r="D515" s="4" t="str">
        <f ca="1">IF(OR(INDEX($W$2:$W$1001,MATCH(ROWS($V$2:V515),$V$2:$V$1001,0),1)&gt;=100000,INDEX($AC$1005:$AS$1005,1,MATCH(COLUMNS($AC$1006:AE1006),$AC$1006:$AS$1006,0))&gt;=100000), " ",IF(INDEX($AC$2:$AS$1001,MATCH(ROWS($V$2:V515),$V$2:$V$1001,0),MATCH(COLUMNS($AC$1006:AE1006),$AC$1006:$AS$1006,0)), HYPERLINK("#",""), HYPERLINK(CONCATENATE("#metadata!", ADDRESS(INDEX($X$2:$X$1001,MATCH(ROWS($V$2:V515),$V$2:$V$1001,0),0), INDEX($AC$1004:$AS$1004,1,MATCH(COLUMNS($AC$1006:AE1006),$AC$1006:$AS$1006,0)))),"Fix")))</f>
        <v xml:space="preserve"> </v>
      </c>
      <c r="E515" s="4" t="str">
        <f ca="1">IF(OR(INDEX($W$2:$W$1001,MATCH(ROWS($V$2:V515),$V$2:$V$1001,0),1)&gt;=100000,INDEX($AC$1005:$AS$1005,1,MATCH(COLUMNS($AC$1006:AF1006),$AC$1006:$AS$1006,0))&gt;=100000), " ",IF(INDEX($AC$2:$AS$1001,MATCH(ROWS($V$2:V515),$V$2:$V$1001,0),MATCH(COLUMNS($AC$1006:AF1006),$AC$1006:$AS$1006,0)), HYPERLINK("#",""), HYPERLINK(CONCATENATE("#metadata!", ADDRESS(INDEX($X$2:$X$1001,MATCH(ROWS($V$2:V515),$V$2:$V$1001,0),0), INDEX($AC$1004:$AS$1004,1,MATCH(COLUMNS($AC$1006:AF1006),$AC$1006:$AS$1006,0)))),"Fix")))</f>
        <v xml:space="preserve"> </v>
      </c>
      <c r="F515" s="4" t="str">
        <f ca="1">IF(OR(INDEX($W$2:$W$1001,MATCH(ROWS($V$2:V515),$V$2:$V$1001,0),1)&gt;=100000,INDEX($AC$1005:$AS$1005,1,MATCH(COLUMNS($AC$1006:AG1006),$AC$1006:$AS$1006,0))&gt;=100000), " ",IF(INDEX($AC$2:$AS$1001,MATCH(ROWS($V$2:V515),$V$2:$V$1001,0),MATCH(COLUMNS($AC$1006:AG1006),$AC$1006:$AS$1006,0)), HYPERLINK("#",""), HYPERLINK(CONCATENATE("#metadata!", ADDRESS(INDEX($X$2:$X$1001,MATCH(ROWS($V$2:V515),$V$2:$V$1001,0),0), INDEX($AC$1004:$AS$1004,1,MATCH(COLUMNS($AC$1006:AG1006),$AC$1006:$AS$1006,0)))),"Fix")))</f>
        <v xml:space="preserve"> </v>
      </c>
      <c r="G515" s="4" t="str">
        <f ca="1">IF(OR(INDEX($W$2:$W$1001,MATCH(ROWS($V$2:V515),$V$2:$V$1001,0),1)&gt;=100000,INDEX($AC$1005:$AS$1005,1,MATCH(COLUMNS($AC$1006:AH1006),$AC$1006:$AS$1006,0))&gt;=100000), " ",IF(INDEX($AC$2:$AS$1001,MATCH(ROWS($V$2:V515),$V$2:$V$1001,0),MATCH(COLUMNS($AC$1006:AH1006),$AC$1006:$AS$1006,0)), HYPERLINK("#",""), HYPERLINK(CONCATENATE("#metadata!", ADDRESS(INDEX($X$2:$X$1001,MATCH(ROWS($V$2:V515),$V$2:$V$1001,0),0), INDEX($AC$1004:$AS$1004,1,MATCH(COLUMNS($AC$1006:AH1006),$AC$1006:$AS$1006,0)))),"Fix")))</f>
        <v xml:space="preserve"> </v>
      </c>
      <c r="H515" s="4" t="str">
        <f ca="1">IF(OR(INDEX($W$2:$W$1001,MATCH(ROWS($V$2:V515),$V$2:$V$1001,0),1)&gt;=100000,INDEX($AC$1005:$AS$1005,1,MATCH(COLUMNS($AC$1006:AI1006),$AC$1006:$AS$1006,0))&gt;=100000), " ",IF(INDEX($AC$2:$AS$1001,MATCH(ROWS($V$2:V515),$V$2:$V$1001,0),MATCH(COLUMNS($AC$1006:AI1006),$AC$1006:$AS$1006,0)), HYPERLINK("#",""), HYPERLINK(CONCATENATE("#metadata!", ADDRESS(INDEX($X$2:$X$1001,MATCH(ROWS($V$2:V515),$V$2:$V$1001,0),0), INDEX($AC$1004:$AS$1004,1,MATCH(COLUMNS($AC$1006:AI1006),$AC$1006:$AS$1006,0)))),"Fix")))</f>
        <v xml:space="preserve"> </v>
      </c>
      <c r="I515" s="4" t="str">
        <f ca="1">IF(OR(INDEX($W$2:$W$1001,MATCH(ROWS($V$2:V515),$V$2:$V$1001,0),1)&gt;=100000,INDEX($AC$1005:$AS$1005,1,MATCH(COLUMNS($AC$1006:AJ1006),$AC$1006:$AS$1006,0))&gt;=100000), " ",IF(INDEX($AC$2:$AS$1001,MATCH(ROWS($V$2:V515),$V$2:$V$1001,0),MATCH(COLUMNS($AC$1006:AJ1006),$AC$1006:$AS$1006,0)), HYPERLINK("#",""), HYPERLINK(CONCATENATE("#metadata!", ADDRESS(INDEX($X$2:$X$1001,MATCH(ROWS($V$2:V515),$V$2:$V$1001,0),0), INDEX($AC$1004:$AS$1004,1,MATCH(COLUMNS($AC$1006:AJ1006),$AC$1006:$AS$1006,0)))),"Fix")))</f>
        <v xml:space="preserve"> </v>
      </c>
      <c r="J515" s="4" t="str">
        <f ca="1">IF(OR(INDEX($W$2:$W$1001,MATCH(ROWS($V$2:V515),$V$2:$V$1001,0),1)&gt;=100000,INDEX($AC$1005:$AS$1005,1,MATCH(COLUMNS($AC$1006:AK1006),$AC$1006:$AS$1006,0))&gt;=100000), " ",IF(INDEX($AC$2:$AS$1001,MATCH(ROWS($V$2:V515),$V$2:$V$1001,0),MATCH(COLUMNS($AC$1006:AK1006),$AC$1006:$AS$1006,0)), HYPERLINK("#",""), HYPERLINK(CONCATENATE("#metadata!", ADDRESS(INDEX($X$2:$X$1001,MATCH(ROWS($V$2:V515),$V$2:$V$1001,0),0), INDEX($AC$1004:$AS$1004,1,MATCH(COLUMNS($AC$1006:AK1006),$AC$1006:$AS$1006,0)))),"Fix")))</f>
        <v xml:space="preserve"> </v>
      </c>
      <c r="K515" s="4" t="str">
        <f ca="1">IF(OR(INDEX($W$2:$W$1001,MATCH(ROWS($V$2:V515),$V$2:$V$1001,0),1)&gt;=100000,INDEX($AC$1005:$AS$1005,1,MATCH(COLUMNS($AC$1006:AL1006),$AC$1006:$AS$1006,0))&gt;=100000), " ",IF(INDEX($AC$2:$AS$1001,MATCH(ROWS($V$2:V515),$V$2:$V$1001,0),MATCH(COLUMNS($AC$1006:AL1006),$AC$1006:$AS$1006,0)), HYPERLINK("#",""), HYPERLINK(CONCATENATE("#metadata!", ADDRESS(INDEX($X$2:$X$1001,MATCH(ROWS($V$2:V515),$V$2:$V$1001,0),0), INDEX($AC$1004:$AS$1004,1,MATCH(COLUMNS($AC$1006:AL1006),$AC$1006:$AS$1006,0)))),"Fix")))</f>
        <v xml:space="preserve"> </v>
      </c>
      <c r="L515" s="4" t="str">
        <f ca="1">IF(OR(INDEX($W$2:$W$1001,MATCH(ROWS($V$2:V515),$V$2:$V$1001,0),1)&gt;=100000,INDEX($AC$1005:$AS$1005,1,MATCH(COLUMNS($AC$1006:AM1006),$AC$1006:$AS$1006,0))&gt;=100000), " ",IF(INDEX($AC$2:$AS$1001,MATCH(ROWS($V$2:V515),$V$2:$V$1001,0),MATCH(COLUMNS($AC$1006:AM1006),$AC$1006:$AS$1006,0)), HYPERLINK("#",""), HYPERLINK(CONCATENATE("#metadata!", ADDRESS(INDEX($X$2:$X$1001,MATCH(ROWS($V$2:V515),$V$2:$V$1001,0),0), INDEX($AC$1004:$AS$1004,1,MATCH(COLUMNS($AC$1006:AM1006),$AC$1006:$AS$1006,0)))),"Fix")))</f>
        <v xml:space="preserve"> </v>
      </c>
      <c r="M515" s="4" t="str">
        <f ca="1">IF(OR(INDEX($W$2:$W$1001,MATCH(ROWS($V$2:V515),$V$2:$V$1001,0),1)&gt;=100000,INDEX($AC$1005:$AS$1005,1,MATCH(COLUMNS($AC$1006:AN1006),$AC$1006:$AS$1006,0))&gt;=100000), " ",IF(INDEX($AC$2:$AS$1001,MATCH(ROWS($V$2:V515),$V$2:$V$1001,0),MATCH(COLUMNS($AC$1006:AN1006),$AC$1006:$AS$1006,0)), HYPERLINK("#",""), HYPERLINK(CONCATENATE("#metadata!", ADDRESS(INDEX($X$2:$X$1001,MATCH(ROWS($V$2:V515),$V$2:$V$1001,0),0), INDEX($AC$1004:$AS$1004,1,MATCH(COLUMNS($AC$1006:AN1006),$AC$1006:$AS$1006,0)))),"Fix")))</f>
        <v xml:space="preserve"> </v>
      </c>
      <c r="N515" s="4" t="str">
        <f ca="1">IF(OR(INDEX($W$2:$W$1001,MATCH(ROWS($V$2:V515),$V$2:$V$1001,0),1)&gt;=100000,INDEX($AC$1005:$AS$1005,1,MATCH(COLUMNS($AC$1006:AO1006),$AC$1006:$AS$1006,0))&gt;=100000), " ",IF(INDEX($AC$2:$AS$1001,MATCH(ROWS($V$2:V515),$V$2:$V$1001,0),MATCH(COLUMNS($AC$1006:AO1006),$AC$1006:$AS$1006,0)), HYPERLINK("#",""), HYPERLINK(CONCATENATE("#metadata!", ADDRESS(INDEX($X$2:$X$1001,MATCH(ROWS($V$2:V515),$V$2:$V$1001,0),0), INDEX($AC$1004:$AS$1004,1,MATCH(COLUMNS($AC$1006:AO1006),$AC$1006:$AS$1006,0)))),"Fix")))</f>
        <v xml:space="preserve"> </v>
      </c>
      <c r="O515" s="4" t="str">
        <f ca="1">IF(OR(INDEX($W$2:$W$1001,MATCH(ROWS($V$2:V515),$V$2:$V$1001,0),1)&gt;=100000,INDEX($AC$1005:$AS$1005,1,MATCH(COLUMNS($AC$1006:AP1006),$AC$1006:$AS$1006,0))&gt;=100000), " ",IF(INDEX($AC$2:$AS$1001,MATCH(ROWS($V$2:V515),$V$2:$V$1001,0),MATCH(COLUMNS($AC$1006:AP1006),$AC$1006:$AS$1006,0)), HYPERLINK("#",""), HYPERLINK(CONCATENATE("#metadata!", ADDRESS(INDEX($X$2:$X$1001,MATCH(ROWS($V$2:V515),$V$2:$V$1001,0),0), INDEX($AC$1004:$AS$1004,1,MATCH(COLUMNS($AC$1006:AP1006),$AC$1006:$AS$1006,0)))),"Fix")))</f>
        <v xml:space="preserve"> </v>
      </c>
      <c r="P515" s="4" t="str">
        <f ca="1">IF(OR(INDEX($W$2:$W$1001,MATCH(ROWS($V$2:V515),$V$2:$V$1001,0),1)&gt;=100000,INDEX($AC$1005:$AS$1005,1,MATCH(COLUMNS($AC$1006:AQ1006),$AC$1006:$AS$1006,0))&gt;=100000), " ",IF(INDEX($AC$2:$AS$1001,MATCH(ROWS($V$2:V515),$V$2:$V$1001,0),MATCH(COLUMNS($AC$1006:AQ1006),$AC$1006:$AS$1006,0)), HYPERLINK("#",""), HYPERLINK(CONCATENATE("#metadata!", ADDRESS(INDEX($X$2:$X$1001,MATCH(ROWS($V$2:V515),$V$2:$V$1001,0),0), INDEX($AC$1004:$AS$1004,1,MATCH(COLUMNS($AC$1006:AQ1006),$AC$1006:$AS$1006,0)))),"Fix")))</f>
        <v xml:space="preserve"> </v>
      </c>
      <c r="Q515" s="4" t="str">
        <f ca="1">IF(OR(INDEX($W$2:$W$1001,MATCH(ROWS($V$2:V515),$V$2:$V$1001,0),1)&gt;=100000,INDEX($AC$1005:$AS$1005,1,MATCH(COLUMNS($AC$1006:AR1006),$AC$1006:$AS$1006,0))&gt;=100000), " ",IF(INDEX($AC$2:$AS$1001,MATCH(ROWS($V$2:V515),$V$2:$V$1001,0),MATCH(COLUMNS($AC$1006:AR1006),$AC$1006:$AS$1006,0)), HYPERLINK("#",""), HYPERLINK(CONCATENATE("#metadata!", ADDRESS(INDEX($X$2:$X$1001,MATCH(ROWS($V$2:V515),$V$2:$V$1001,0),0), INDEX($AC$1004:$AS$1004,1,MATCH(COLUMNS($AC$1006:AR1006),$AC$1006:$AS$1006,0)))),"Fix")))</f>
        <v xml:space="preserve"> </v>
      </c>
      <c r="R515" s="4" t="str">
        <f ca="1">IF(OR(INDEX($W$2:$W$1001,MATCH(ROWS($V$2:V515),$V$2:$V$1001,0),1)&gt;=100000,INDEX($AC$1005:$AS$1005,1,MATCH(COLUMNS($AC$1006:AS1006),$AC$1006:$AS$1006,0))&gt;=100000), " ",IF(INDEX($AC$2:$AS$1001,MATCH(ROWS($V$2:V515),$V$2:$V$1001,0),MATCH(COLUMNS($AC$1006:AS1006),$AC$1006:$AS$1006,0)), HYPERLINK("#",""), HYPERLINK(CONCATENATE("#metadata!", ADDRESS(INDEX($X$2:$X$1001,MATCH(ROWS($V$2:V515),$V$2:$V$1001,0),0), INDEX($AC$1004:$AS$1004,1,MATCH(COLUMNS($AC$1006:AS1006),$AC$1006:$AS$1006,0)))),"Fix")))</f>
        <v xml:space="preserve"> </v>
      </c>
      <c r="V515">
        <v>514</v>
      </c>
      <c r="W515">
        <v>100515</v>
      </c>
      <c r="X515">
        <v>515</v>
      </c>
      <c r="Y515" t="b">
        <f t="shared" si="8"/>
        <v>1</v>
      </c>
      <c r="Z515" t="b">
        <f>COUNTBLANK(metadata!B515:R515)=COLUMNS(metadata!B515:R515)</f>
        <v>1</v>
      </c>
      <c r="AA515" t="str">
        <v/>
      </c>
      <c r="AC515" t="b">
        <f ca="1"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AD515" t="b">
        <f>IF(metadata!C515="",FALSE,ISNUMBER(VALUE(metadata!C515)))</f>
        <v>0</v>
      </c>
      <c r="AE515" t="b">
        <f>AND(IF(metadata!D515="",FALSE,TRUE),EXACT(metadata!D515,"years"))</f>
        <v>0</v>
      </c>
      <c r="AF515" t="b">
        <f>OR(AND(IF(metadata!E515="",FALSE,TRUE),OR(EXACT(metadata!E515,"not applicable"),EXACT(metadata!E515,"missing: not collected"),EXACT(metadata!E515,"missing: not provided"),EXACT(metadata!E515,"missing: restricted access"))),AND(IF(metadata!E515="",FALSE,ISNUMBER(VALUE(metadata!E515))),metadata!E515&gt;0))</f>
        <v>0</v>
      </c>
      <c r="AG515" t="b">
        <f>AND(IF(metadata!F515="",FALSE,TRUE),EXACT(metadata!F515,"Not applicable"))</f>
        <v>0</v>
      </c>
      <c r="AH515" t="b">
        <f>AND(IF(metadata!G515="",FALSE,TRUE),EXACT(metadata!G515,"urban biome"))</f>
        <v>0</v>
      </c>
      <c r="AI515" t="b">
        <f>AND(IF(metadata!H515="",FALSE,TRUE),EXACT(metadata!H515,"human-associated habitat"))</f>
        <v>0</v>
      </c>
      <c r="AJ515" t="b">
        <f>AND(IF(metadata!I515="",FALSE,TRUE),OR(EXACT(metadata!I515,"human-associated"),EXACT(metadata!I515,"human-skin"),EXACT(metadata!I515,"human-oral"),EXACT(metadata!I515,"human-gut"),EXACT(metadata!I515,"human-vaginal")))</f>
        <v>0</v>
      </c>
      <c r="AK515" t="b">
        <f>IF(metadata!J515="",FALSE,ISNUMBER(VALUE(metadata!J515)))</f>
        <v>0</v>
      </c>
      <c r="AL515" t="b">
        <f>AND(IF(metadata!K515="",FALSE,TRUE),EXACT(metadata!K515,"cm"))</f>
        <v>0</v>
      </c>
      <c r="AM515" t="b">
        <f>AND(IF(metadata!L515="",FALSE,TRUE),EXACT(metadata!L515,"human"))</f>
        <v>0</v>
      </c>
      <c r="AN515" t="b">
        <f>AND(IF(metadata!M515="",FALSE,TRUE),EXACT(metadata!M515,"Homo sapiens"))</f>
        <v>0</v>
      </c>
      <c r="AO515" t="b">
        <f>AND(IF(metadata!N515="",FALSE,TRUE),EXACT(metadata!N515,"9606"))</f>
        <v>0</v>
      </c>
      <c r="AP515" t="b">
        <f>IF(metadata!O515="",FALSE,TRUE)</f>
        <v>0</v>
      </c>
      <c r="AQ515" t="b">
        <f>IF(metadata!P515="",FALSE,TRUE)</f>
        <v>0</v>
      </c>
      <c r="AR515" t="b">
        <f>IF(metadata!Q515="",FALSE,ISNUMBER(VALUE(metadata!Q515)))</f>
        <v>0</v>
      </c>
      <c r="AS515" t="b">
        <f>AND(IF(metadata!R515="",FALSE,TRUE),EXACT(metadata!R515,"kg"))</f>
        <v>0</v>
      </c>
    </row>
    <row r="516" spans="1:45" x14ac:dyDescent="0.2">
      <c r="A516" s="5" t="str">
        <f ca="1">IF(B516=" "," ",HYPERLINK(CONCATENATE("#metadata!",ADDRESS(INDEX($X$2:$X$1001,MATCH(ROWS($V$2:V516),$V$2:$V$1001,0),0),1)),INDEX($AA$2:$AA$1001,MATCH(ROWS($V$2:V516),$V$2:$V$1001,0),0)))</f>
        <v xml:space="preserve"> </v>
      </c>
      <c r="B516" s="4" t="str">
        <f ca="1">IF(OR(INDEX($W$2:$W$1001,MATCH(ROWS($V$2:V516),$V$2:$V$1001,0),1)&gt;=100000,INDEX($AC$1005:$AS$1005,1,MATCH(COLUMNS($AC$1006:AC1006),$AC$1006:$AS$1006,0))&gt;=100000), " ",IF(INDEX($AC$2:$AS$1001,MATCH(ROWS($V$2:V516),$V$2:$V$1001,0),MATCH(COLUMNS($AC$1006:AC1006),$AC$1006:$AS$1006,0)), HYPERLINK("#",""), HYPERLINK(CONCATENATE("#metadata!", ADDRESS(INDEX($X$2:$X$1001,MATCH(ROWS($V$2:V516),$V$2:$V$1001,0),0), INDEX($AC$1004:$AS$1004,1,MATCH(COLUMNS($AC$1006:AC1006),$AC$1006:$AS$1006,0)))),"Fix")))</f>
        <v xml:space="preserve"> </v>
      </c>
      <c r="C516" s="4" t="str">
        <f ca="1">IF(OR(INDEX($W$2:$W$1001,MATCH(ROWS($V$2:V516),$V$2:$V$1001,0),1)&gt;=100000,INDEX($AC$1005:$AS$1005,1,MATCH(COLUMNS($AC$1006:AD1006),$AC$1006:$AS$1006,0))&gt;=100000), " ",IF(INDEX($AC$2:$AS$1001,MATCH(ROWS($V$2:V516),$V$2:$V$1001,0),MATCH(COLUMNS($AC$1006:AD1006),$AC$1006:$AS$1006,0)), HYPERLINK("#",""), HYPERLINK(CONCATENATE("#metadata!", ADDRESS(INDEX($X$2:$X$1001,MATCH(ROWS($V$2:V516),$V$2:$V$1001,0),0), INDEX($AC$1004:$AS$1004,1,MATCH(COLUMNS($AC$1006:AD1006),$AC$1006:$AS$1006,0)))),"Fix")))</f>
        <v xml:space="preserve"> </v>
      </c>
      <c r="D516" s="4" t="str">
        <f ca="1">IF(OR(INDEX($W$2:$W$1001,MATCH(ROWS($V$2:V516),$V$2:$V$1001,0),1)&gt;=100000,INDEX($AC$1005:$AS$1005,1,MATCH(COLUMNS($AC$1006:AE1006),$AC$1006:$AS$1006,0))&gt;=100000), " ",IF(INDEX($AC$2:$AS$1001,MATCH(ROWS($V$2:V516),$V$2:$V$1001,0),MATCH(COLUMNS($AC$1006:AE1006),$AC$1006:$AS$1006,0)), HYPERLINK("#",""), HYPERLINK(CONCATENATE("#metadata!", ADDRESS(INDEX($X$2:$X$1001,MATCH(ROWS($V$2:V516),$V$2:$V$1001,0),0), INDEX($AC$1004:$AS$1004,1,MATCH(COLUMNS($AC$1006:AE1006),$AC$1006:$AS$1006,0)))),"Fix")))</f>
        <v xml:space="preserve"> </v>
      </c>
      <c r="E516" s="4" t="str">
        <f ca="1">IF(OR(INDEX($W$2:$W$1001,MATCH(ROWS($V$2:V516),$V$2:$V$1001,0),1)&gt;=100000,INDEX($AC$1005:$AS$1005,1,MATCH(COLUMNS($AC$1006:AF1006),$AC$1006:$AS$1006,0))&gt;=100000), " ",IF(INDEX($AC$2:$AS$1001,MATCH(ROWS($V$2:V516),$V$2:$V$1001,0),MATCH(COLUMNS($AC$1006:AF1006),$AC$1006:$AS$1006,0)), HYPERLINK("#",""), HYPERLINK(CONCATENATE("#metadata!", ADDRESS(INDEX($X$2:$X$1001,MATCH(ROWS($V$2:V516),$V$2:$V$1001,0),0), INDEX($AC$1004:$AS$1004,1,MATCH(COLUMNS($AC$1006:AF1006),$AC$1006:$AS$1006,0)))),"Fix")))</f>
        <v xml:space="preserve"> </v>
      </c>
      <c r="F516" s="4" t="str">
        <f ca="1">IF(OR(INDEX($W$2:$W$1001,MATCH(ROWS($V$2:V516),$V$2:$V$1001,0),1)&gt;=100000,INDEX($AC$1005:$AS$1005,1,MATCH(COLUMNS($AC$1006:AG1006),$AC$1006:$AS$1006,0))&gt;=100000), " ",IF(INDEX($AC$2:$AS$1001,MATCH(ROWS($V$2:V516),$V$2:$V$1001,0),MATCH(COLUMNS($AC$1006:AG1006),$AC$1006:$AS$1006,0)), HYPERLINK("#",""), HYPERLINK(CONCATENATE("#metadata!", ADDRESS(INDEX($X$2:$X$1001,MATCH(ROWS($V$2:V516),$V$2:$V$1001,0),0), INDEX($AC$1004:$AS$1004,1,MATCH(COLUMNS($AC$1006:AG1006),$AC$1006:$AS$1006,0)))),"Fix")))</f>
        <v xml:space="preserve"> </v>
      </c>
      <c r="G516" s="4" t="str">
        <f ca="1">IF(OR(INDEX($W$2:$W$1001,MATCH(ROWS($V$2:V516),$V$2:$V$1001,0),1)&gt;=100000,INDEX($AC$1005:$AS$1005,1,MATCH(COLUMNS($AC$1006:AH1006),$AC$1006:$AS$1006,0))&gt;=100000), " ",IF(INDEX($AC$2:$AS$1001,MATCH(ROWS($V$2:V516),$V$2:$V$1001,0),MATCH(COLUMNS($AC$1006:AH1006),$AC$1006:$AS$1006,0)), HYPERLINK("#",""), HYPERLINK(CONCATENATE("#metadata!", ADDRESS(INDEX($X$2:$X$1001,MATCH(ROWS($V$2:V516),$V$2:$V$1001,0),0), INDEX($AC$1004:$AS$1004,1,MATCH(COLUMNS($AC$1006:AH1006),$AC$1006:$AS$1006,0)))),"Fix")))</f>
        <v xml:space="preserve"> </v>
      </c>
      <c r="H516" s="4" t="str">
        <f ca="1">IF(OR(INDEX($W$2:$W$1001,MATCH(ROWS($V$2:V516),$V$2:$V$1001,0),1)&gt;=100000,INDEX($AC$1005:$AS$1005,1,MATCH(COLUMNS($AC$1006:AI1006),$AC$1006:$AS$1006,0))&gt;=100000), " ",IF(INDEX($AC$2:$AS$1001,MATCH(ROWS($V$2:V516),$V$2:$V$1001,0),MATCH(COLUMNS($AC$1006:AI1006),$AC$1006:$AS$1006,0)), HYPERLINK("#",""), HYPERLINK(CONCATENATE("#metadata!", ADDRESS(INDEX($X$2:$X$1001,MATCH(ROWS($V$2:V516),$V$2:$V$1001,0),0), INDEX($AC$1004:$AS$1004,1,MATCH(COLUMNS($AC$1006:AI1006),$AC$1006:$AS$1006,0)))),"Fix")))</f>
        <v xml:space="preserve"> </v>
      </c>
      <c r="I516" s="4" t="str">
        <f ca="1">IF(OR(INDEX($W$2:$W$1001,MATCH(ROWS($V$2:V516),$V$2:$V$1001,0),1)&gt;=100000,INDEX($AC$1005:$AS$1005,1,MATCH(COLUMNS($AC$1006:AJ1006),$AC$1006:$AS$1006,0))&gt;=100000), " ",IF(INDEX($AC$2:$AS$1001,MATCH(ROWS($V$2:V516),$V$2:$V$1001,0),MATCH(COLUMNS($AC$1006:AJ1006),$AC$1006:$AS$1006,0)), HYPERLINK("#",""), HYPERLINK(CONCATENATE("#metadata!", ADDRESS(INDEX($X$2:$X$1001,MATCH(ROWS($V$2:V516),$V$2:$V$1001,0),0), INDEX($AC$1004:$AS$1004,1,MATCH(COLUMNS($AC$1006:AJ1006),$AC$1006:$AS$1006,0)))),"Fix")))</f>
        <v xml:space="preserve"> </v>
      </c>
      <c r="J516" s="4" t="str">
        <f ca="1">IF(OR(INDEX($W$2:$W$1001,MATCH(ROWS($V$2:V516),$V$2:$V$1001,0),1)&gt;=100000,INDEX($AC$1005:$AS$1005,1,MATCH(COLUMNS($AC$1006:AK1006),$AC$1006:$AS$1006,0))&gt;=100000), " ",IF(INDEX($AC$2:$AS$1001,MATCH(ROWS($V$2:V516),$V$2:$V$1001,0),MATCH(COLUMNS($AC$1006:AK1006),$AC$1006:$AS$1006,0)), HYPERLINK("#",""), HYPERLINK(CONCATENATE("#metadata!", ADDRESS(INDEX($X$2:$X$1001,MATCH(ROWS($V$2:V516),$V$2:$V$1001,0),0), INDEX($AC$1004:$AS$1004,1,MATCH(COLUMNS($AC$1006:AK1006),$AC$1006:$AS$1006,0)))),"Fix")))</f>
        <v xml:space="preserve"> </v>
      </c>
      <c r="K516" s="4" t="str">
        <f ca="1">IF(OR(INDEX($W$2:$W$1001,MATCH(ROWS($V$2:V516),$V$2:$V$1001,0),1)&gt;=100000,INDEX($AC$1005:$AS$1005,1,MATCH(COLUMNS($AC$1006:AL1006),$AC$1006:$AS$1006,0))&gt;=100000), " ",IF(INDEX($AC$2:$AS$1001,MATCH(ROWS($V$2:V516),$V$2:$V$1001,0),MATCH(COLUMNS($AC$1006:AL1006),$AC$1006:$AS$1006,0)), HYPERLINK("#",""), HYPERLINK(CONCATENATE("#metadata!", ADDRESS(INDEX($X$2:$X$1001,MATCH(ROWS($V$2:V516),$V$2:$V$1001,0),0), INDEX($AC$1004:$AS$1004,1,MATCH(COLUMNS($AC$1006:AL1006),$AC$1006:$AS$1006,0)))),"Fix")))</f>
        <v xml:space="preserve"> </v>
      </c>
      <c r="L516" s="4" t="str">
        <f ca="1">IF(OR(INDEX($W$2:$W$1001,MATCH(ROWS($V$2:V516),$V$2:$V$1001,0),1)&gt;=100000,INDEX($AC$1005:$AS$1005,1,MATCH(COLUMNS($AC$1006:AM1006),$AC$1006:$AS$1006,0))&gt;=100000), " ",IF(INDEX($AC$2:$AS$1001,MATCH(ROWS($V$2:V516),$V$2:$V$1001,0),MATCH(COLUMNS($AC$1006:AM1006),$AC$1006:$AS$1006,0)), HYPERLINK("#",""), HYPERLINK(CONCATENATE("#metadata!", ADDRESS(INDEX($X$2:$X$1001,MATCH(ROWS($V$2:V516),$V$2:$V$1001,0),0), INDEX($AC$1004:$AS$1004,1,MATCH(COLUMNS($AC$1006:AM1006),$AC$1006:$AS$1006,0)))),"Fix")))</f>
        <v xml:space="preserve"> </v>
      </c>
      <c r="M516" s="4" t="str">
        <f ca="1">IF(OR(INDEX($W$2:$W$1001,MATCH(ROWS($V$2:V516),$V$2:$V$1001,0),1)&gt;=100000,INDEX($AC$1005:$AS$1005,1,MATCH(COLUMNS($AC$1006:AN1006),$AC$1006:$AS$1006,0))&gt;=100000), " ",IF(INDEX($AC$2:$AS$1001,MATCH(ROWS($V$2:V516),$V$2:$V$1001,0),MATCH(COLUMNS($AC$1006:AN1006),$AC$1006:$AS$1006,0)), HYPERLINK("#",""), HYPERLINK(CONCATENATE("#metadata!", ADDRESS(INDEX($X$2:$X$1001,MATCH(ROWS($V$2:V516),$V$2:$V$1001,0),0), INDEX($AC$1004:$AS$1004,1,MATCH(COLUMNS($AC$1006:AN1006),$AC$1006:$AS$1006,0)))),"Fix")))</f>
        <v xml:space="preserve"> </v>
      </c>
      <c r="N516" s="4" t="str">
        <f ca="1">IF(OR(INDEX($W$2:$W$1001,MATCH(ROWS($V$2:V516),$V$2:$V$1001,0),1)&gt;=100000,INDEX($AC$1005:$AS$1005,1,MATCH(COLUMNS($AC$1006:AO1006),$AC$1006:$AS$1006,0))&gt;=100000), " ",IF(INDEX($AC$2:$AS$1001,MATCH(ROWS($V$2:V516),$V$2:$V$1001,0),MATCH(COLUMNS($AC$1006:AO1006),$AC$1006:$AS$1006,0)), HYPERLINK("#",""), HYPERLINK(CONCATENATE("#metadata!", ADDRESS(INDEX($X$2:$X$1001,MATCH(ROWS($V$2:V516),$V$2:$V$1001,0),0), INDEX($AC$1004:$AS$1004,1,MATCH(COLUMNS($AC$1006:AO1006),$AC$1006:$AS$1006,0)))),"Fix")))</f>
        <v xml:space="preserve"> </v>
      </c>
      <c r="O516" s="4" t="str">
        <f ca="1">IF(OR(INDEX($W$2:$W$1001,MATCH(ROWS($V$2:V516),$V$2:$V$1001,0),1)&gt;=100000,INDEX($AC$1005:$AS$1005,1,MATCH(COLUMNS($AC$1006:AP1006),$AC$1006:$AS$1006,0))&gt;=100000), " ",IF(INDEX($AC$2:$AS$1001,MATCH(ROWS($V$2:V516),$V$2:$V$1001,0),MATCH(COLUMNS($AC$1006:AP1006),$AC$1006:$AS$1006,0)), HYPERLINK("#",""), HYPERLINK(CONCATENATE("#metadata!", ADDRESS(INDEX($X$2:$X$1001,MATCH(ROWS($V$2:V516),$V$2:$V$1001,0),0), INDEX($AC$1004:$AS$1004,1,MATCH(COLUMNS($AC$1006:AP1006),$AC$1006:$AS$1006,0)))),"Fix")))</f>
        <v xml:space="preserve"> </v>
      </c>
      <c r="P516" s="4" t="str">
        <f ca="1">IF(OR(INDEX($W$2:$W$1001,MATCH(ROWS($V$2:V516),$V$2:$V$1001,0),1)&gt;=100000,INDEX($AC$1005:$AS$1005,1,MATCH(COLUMNS($AC$1006:AQ1006),$AC$1006:$AS$1006,0))&gt;=100000), " ",IF(INDEX($AC$2:$AS$1001,MATCH(ROWS($V$2:V516),$V$2:$V$1001,0),MATCH(COLUMNS($AC$1006:AQ1006),$AC$1006:$AS$1006,0)), HYPERLINK("#",""), HYPERLINK(CONCATENATE("#metadata!", ADDRESS(INDEX($X$2:$X$1001,MATCH(ROWS($V$2:V516),$V$2:$V$1001,0),0), INDEX($AC$1004:$AS$1004,1,MATCH(COLUMNS($AC$1006:AQ1006),$AC$1006:$AS$1006,0)))),"Fix")))</f>
        <v xml:space="preserve"> </v>
      </c>
      <c r="Q516" s="4" t="str">
        <f ca="1">IF(OR(INDEX($W$2:$W$1001,MATCH(ROWS($V$2:V516),$V$2:$V$1001,0),1)&gt;=100000,INDEX($AC$1005:$AS$1005,1,MATCH(COLUMNS($AC$1006:AR1006),$AC$1006:$AS$1006,0))&gt;=100000), " ",IF(INDEX($AC$2:$AS$1001,MATCH(ROWS($V$2:V516),$V$2:$V$1001,0),MATCH(COLUMNS($AC$1006:AR1006),$AC$1006:$AS$1006,0)), HYPERLINK("#",""), HYPERLINK(CONCATENATE("#metadata!", ADDRESS(INDEX($X$2:$X$1001,MATCH(ROWS($V$2:V516),$V$2:$V$1001,0),0), INDEX($AC$1004:$AS$1004,1,MATCH(COLUMNS($AC$1006:AR1006),$AC$1006:$AS$1006,0)))),"Fix")))</f>
        <v xml:space="preserve"> </v>
      </c>
      <c r="R516" s="4" t="str">
        <f ca="1">IF(OR(INDEX($W$2:$W$1001,MATCH(ROWS($V$2:V516),$V$2:$V$1001,0),1)&gt;=100000,INDEX($AC$1005:$AS$1005,1,MATCH(COLUMNS($AC$1006:AS1006),$AC$1006:$AS$1006,0))&gt;=100000), " ",IF(INDEX($AC$2:$AS$1001,MATCH(ROWS($V$2:V516),$V$2:$V$1001,0),MATCH(COLUMNS($AC$1006:AS1006),$AC$1006:$AS$1006,0)), HYPERLINK("#",""), HYPERLINK(CONCATENATE("#metadata!", ADDRESS(INDEX($X$2:$X$1001,MATCH(ROWS($V$2:V516),$V$2:$V$1001,0),0), INDEX($AC$1004:$AS$1004,1,MATCH(COLUMNS($AC$1006:AS1006),$AC$1006:$AS$1006,0)))),"Fix")))</f>
        <v xml:space="preserve"> </v>
      </c>
      <c r="V516">
        <v>515</v>
      </c>
      <c r="W516">
        <v>100516</v>
      </c>
      <c r="X516">
        <v>516</v>
      </c>
      <c r="Y516" t="b">
        <f t="shared" si="8"/>
        <v>1</v>
      </c>
      <c r="Z516" t="b">
        <f>COUNTBLANK(metadata!B516:R516)=COLUMNS(metadata!B516:R516)</f>
        <v>1</v>
      </c>
      <c r="AA516" t="str">
        <v/>
      </c>
      <c r="AC516" t="b">
        <f ca="1"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AD516" t="b">
        <f>IF(metadata!C516="",FALSE,ISNUMBER(VALUE(metadata!C516)))</f>
        <v>0</v>
      </c>
      <c r="AE516" t="b">
        <f>AND(IF(metadata!D516="",FALSE,TRUE),EXACT(metadata!D516,"years"))</f>
        <v>0</v>
      </c>
      <c r="AF516" t="b">
        <f>OR(AND(IF(metadata!E516="",FALSE,TRUE),OR(EXACT(metadata!E516,"not applicable"),EXACT(metadata!E516,"missing: not collected"),EXACT(metadata!E516,"missing: not provided"),EXACT(metadata!E516,"missing: restricted access"))),AND(IF(metadata!E516="",FALSE,ISNUMBER(VALUE(metadata!E516))),metadata!E516&gt;0))</f>
        <v>0</v>
      </c>
      <c r="AG516" t="b">
        <f>AND(IF(metadata!F516="",FALSE,TRUE),EXACT(metadata!F516,"Not applicable"))</f>
        <v>0</v>
      </c>
      <c r="AH516" t="b">
        <f>AND(IF(metadata!G516="",FALSE,TRUE),EXACT(metadata!G516,"urban biome"))</f>
        <v>0</v>
      </c>
      <c r="AI516" t="b">
        <f>AND(IF(metadata!H516="",FALSE,TRUE),EXACT(metadata!H516,"human-associated habitat"))</f>
        <v>0</v>
      </c>
      <c r="AJ516" t="b">
        <f>AND(IF(metadata!I516="",FALSE,TRUE),OR(EXACT(metadata!I516,"human-associated"),EXACT(metadata!I516,"human-skin"),EXACT(metadata!I516,"human-oral"),EXACT(metadata!I516,"human-gut"),EXACT(metadata!I516,"human-vaginal")))</f>
        <v>0</v>
      </c>
      <c r="AK516" t="b">
        <f>IF(metadata!J516="",FALSE,ISNUMBER(VALUE(metadata!J516)))</f>
        <v>0</v>
      </c>
      <c r="AL516" t="b">
        <f>AND(IF(metadata!K516="",FALSE,TRUE),EXACT(metadata!K516,"cm"))</f>
        <v>0</v>
      </c>
      <c r="AM516" t="b">
        <f>AND(IF(metadata!L516="",FALSE,TRUE),EXACT(metadata!L516,"human"))</f>
        <v>0</v>
      </c>
      <c r="AN516" t="b">
        <f>AND(IF(metadata!M516="",FALSE,TRUE),EXACT(metadata!M516,"Homo sapiens"))</f>
        <v>0</v>
      </c>
      <c r="AO516" t="b">
        <f>AND(IF(metadata!N516="",FALSE,TRUE),EXACT(metadata!N516,"9606"))</f>
        <v>0</v>
      </c>
      <c r="AP516" t="b">
        <f>IF(metadata!O516="",FALSE,TRUE)</f>
        <v>0</v>
      </c>
      <c r="AQ516" t="b">
        <f>IF(metadata!P516="",FALSE,TRUE)</f>
        <v>0</v>
      </c>
      <c r="AR516" t="b">
        <f>IF(metadata!Q516="",FALSE,ISNUMBER(VALUE(metadata!Q516)))</f>
        <v>0</v>
      </c>
      <c r="AS516" t="b">
        <f>AND(IF(metadata!R516="",FALSE,TRUE),EXACT(metadata!R516,"kg"))</f>
        <v>0</v>
      </c>
    </row>
    <row r="517" spans="1:45" x14ac:dyDescent="0.2">
      <c r="A517" s="5" t="str">
        <f ca="1">IF(B517=" "," ",HYPERLINK(CONCATENATE("#metadata!",ADDRESS(INDEX($X$2:$X$1001,MATCH(ROWS($V$2:V517),$V$2:$V$1001,0),0),1)),INDEX($AA$2:$AA$1001,MATCH(ROWS($V$2:V517),$V$2:$V$1001,0),0)))</f>
        <v xml:space="preserve"> </v>
      </c>
      <c r="B517" s="4" t="str">
        <f ca="1">IF(OR(INDEX($W$2:$W$1001,MATCH(ROWS($V$2:V517),$V$2:$V$1001,0),1)&gt;=100000,INDEX($AC$1005:$AS$1005,1,MATCH(COLUMNS($AC$1006:AC1006),$AC$1006:$AS$1006,0))&gt;=100000), " ",IF(INDEX($AC$2:$AS$1001,MATCH(ROWS($V$2:V517),$V$2:$V$1001,0),MATCH(COLUMNS($AC$1006:AC1006),$AC$1006:$AS$1006,0)), HYPERLINK("#",""), HYPERLINK(CONCATENATE("#metadata!", ADDRESS(INDEX($X$2:$X$1001,MATCH(ROWS($V$2:V517),$V$2:$V$1001,0),0), INDEX($AC$1004:$AS$1004,1,MATCH(COLUMNS($AC$1006:AC1006),$AC$1006:$AS$1006,0)))),"Fix")))</f>
        <v xml:space="preserve"> </v>
      </c>
      <c r="C517" s="4" t="str">
        <f ca="1">IF(OR(INDEX($W$2:$W$1001,MATCH(ROWS($V$2:V517),$V$2:$V$1001,0),1)&gt;=100000,INDEX($AC$1005:$AS$1005,1,MATCH(COLUMNS($AC$1006:AD1006),$AC$1006:$AS$1006,0))&gt;=100000), " ",IF(INDEX($AC$2:$AS$1001,MATCH(ROWS($V$2:V517),$V$2:$V$1001,0),MATCH(COLUMNS($AC$1006:AD1006),$AC$1006:$AS$1006,0)), HYPERLINK("#",""), HYPERLINK(CONCATENATE("#metadata!", ADDRESS(INDEX($X$2:$X$1001,MATCH(ROWS($V$2:V517),$V$2:$V$1001,0),0), INDEX($AC$1004:$AS$1004,1,MATCH(COLUMNS($AC$1006:AD1006),$AC$1006:$AS$1006,0)))),"Fix")))</f>
        <v xml:space="preserve"> </v>
      </c>
      <c r="D517" s="4" t="str">
        <f ca="1">IF(OR(INDEX($W$2:$W$1001,MATCH(ROWS($V$2:V517),$V$2:$V$1001,0),1)&gt;=100000,INDEX($AC$1005:$AS$1005,1,MATCH(COLUMNS($AC$1006:AE1006),$AC$1006:$AS$1006,0))&gt;=100000), " ",IF(INDEX($AC$2:$AS$1001,MATCH(ROWS($V$2:V517),$V$2:$V$1001,0),MATCH(COLUMNS($AC$1006:AE1006),$AC$1006:$AS$1006,0)), HYPERLINK("#",""), HYPERLINK(CONCATENATE("#metadata!", ADDRESS(INDEX($X$2:$X$1001,MATCH(ROWS($V$2:V517),$V$2:$V$1001,0),0), INDEX($AC$1004:$AS$1004,1,MATCH(COLUMNS($AC$1006:AE1006),$AC$1006:$AS$1006,0)))),"Fix")))</f>
        <v xml:space="preserve"> </v>
      </c>
      <c r="E517" s="4" t="str">
        <f ca="1">IF(OR(INDEX($W$2:$W$1001,MATCH(ROWS($V$2:V517),$V$2:$V$1001,0),1)&gt;=100000,INDEX($AC$1005:$AS$1005,1,MATCH(COLUMNS($AC$1006:AF1006),$AC$1006:$AS$1006,0))&gt;=100000), " ",IF(INDEX($AC$2:$AS$1001,MATCH(ROWS($V$2:V517),$V$2:$V$1001,0),MATCH(COLUMNS($AC$1006:AF1006),$AC$1006:$AS$1006,0)), HYPERLINK("#",""), HYPERLINK(CONCATENATE("#metadata!", ADDRESS(INDEX($X$2:$X$1001,MATCH(ROWS($V$2:V517),$V$2:$V$1001,0),0), INDEX($AC$1004:$AS$1004,1,MATCH(COLUMNS($AC$1006:AF1006),$AC$1006:$AS$1006,0)))),"Fix")))</f>
        <v xml:space="preserve"> </v>
      </c>
      <c r="F517" s="4" t="str">
        <f ca="1">IF(OR(INDEX($W$2:$W$1001,MATCH(ROWS($V$2:V517),$V$2:$V$1001,0),1)&gt;=100000,INDEX($AC$1005:$AS$1005,1,MATCH(COLUMNS($AC$1006:AG1006),$AC$1006:$AS$1006,0))&gt;=100000), " ",IF(INDEX($AC$2:$AS$1001,MATCH(ROWS($V$2:V517),$V$2:$V$1001,0),MATCH(COLUMNS($AC$1006:AG1006),$AC$1006:$AS$1006,0)), HYPERLINK("#",""), HYPERLINK(CONCATENATE("#metadata!", ADDRESS(INDEX($X$2:$X$1001,MATCH(ROWS($V$2:V517),$V$2:$V$1001,0),0), INDEX($AC$1004:$AS$1004,1,MATCH(COLUMNS($AC$1006:AG1006),$AC$1006:$AS$1006,0)))),"Fix")))</f>
        <v xml:space="preserve"> </v>
      </c>
      <c r="G517" s="4" t="str">
        <f ca="1">IF(OR(INDEX($W$2:$W$1001,MATCH(ROWS($V$2:V517),$V$2:$V$1001,0),1)&gt;=100000,INDEX($AC$1005:$AS$1005,1,MATCH(COLUMNS($AC$1006:AH1006),$AC$1006:$AS$1006,0))&gt;=100000), " ",IF(INDEX($AC$2:$AS$1001,MATCH(ROWS($V$2:V517),$V$2:$V$1001,0),MATCH(COLUMNS($AC$1006:AH1006),$AC$1006:$AS$1006,0)), HYPERLINK("#",""), HYPERLINK(CONCATENATE("#metadata!", ADDRESS(INDEX($X$2:$X$1001,MATCH(ROWS($V$2:V517),$V$2:$V$1001,0),0), INDEX($AC$1004:$AS$1004,1,MATCH(COLUMNS($AC$1006:AH1006),$AC$1006:$AS$1006,0)))),"Fix")))</f>
        <v xml:space="preserve"> </v>
      </c>
      <c r="H517" s="4" t="str">
        <f ca="1">IF(OR(INDEX($W$2:$W$1001,MATCH(ROWS($V$2:V517),$V$2:$V$1001,0),1)&gt;=100000,INDEX($AC$1005:$AS$1005,1,MATCH(COLUMNS($AC$1006:AI1006),$AC$1006:$AS$1006,0))&gt;=100000), " ",IF(INDEX($AC$2:$AS$1001,MATCH(ROWS($V$2:V517),$V$2:$V$1001,0),MATCH(COLUMNS($AC$1006:AI1006),$AC$1006:$AS$1006,0)), HYPERLINK("#",""), HYPERLINK(CONCATENATE("#metadata!", ADDRESS(INDEX($X$2:$X$1001,MATCH(ROWS($V$2:V517),$V$2:$V$1001,0),0), INDEX($AC$1004:$AS$1004,1,MATCH(COLUMNS($AC$1006:AI1006),$AC$1006:$AS$1006,0)))),"Fix")))</f>
        <v xml:space="preserve"> </v>
      </c>
      <c r="I517" s="4" t="str">
        <f ca="1">IF(OR(INDEX($W$2:$W$1001,MATCH(ROWS($V$2:V517),$V$2:$V$1001,0),1)&gt;=100000,INDEX($AC$1005:$AS$1005,1,MATCH(COLUMNS($AC$1006:AJ1006),$AC$1006:$AS$1006,0))&gt;=100000), " ",IF(INDEX($AC$2:$AS$1001,MATCH(ROWS($V$2:V517),$V$2:$V$1001,0),MATCH(COLUMNS($AC$1006:AJ1006),$AC$1006:$AS$1006,0)), HYPERLINK("#",""), HYPERLINK(CONCATENATE("#metadata!", ADDRESS(INDEX($X$2:$X$1001,MATCH(ROWS($V$2:V517),$V$2:$V$1001,0),0), INDEX($AC$1004:$AS$1004,1,MATCH(COLUMNS($AC$1006:AJ1006),$AC$1006:$AS$1006,0)))),"Fix")))</f>
        <v xml:space="preserve"> </v>
      </c>
      <c r="J517" s="4" t="str">
        <f ca="1">IF(OR(INDEX($W$2:$W$1001,MATCH(ROWS($V$2:V517),$V$2:$V$1001,0),1)&gt;=100000,INDEX($AC$1005:$AS$1005,1,MATCH(COLUMNS($AC$1006:AK1006),$AC$1006:$AS$1006,0))&gt;=100000), " ",IF(INDEX($AC$2:$AS$1001,MATCH(ROWS($V$2:V517),$V$2:$V$1001,0),MATCH(COLUMNS($AC$1006:AK1006),$AC$1006:$AS$1006,0)), HYPERLINK("#",""), HYPERLINK(CONCATENATE("#metadata!", ADDRESS(INDEX($X$2:$X$1001,MATCH(ROWS($V$2:V517),$V$2:$V$1001,0),0), INDEX($AC$1004:$AS$1004,1,MATCH(COLUMNS($AC$1006:AK1006),$AC$1006:$AS$1006,0)))),"Fix")))</f>
        <v xml:space="preserve"> </v>
      </c>
      <c r="K517" s="4" t="str">
        <f ca="1">IF(OR(INDEX($W$2:$W$1001,MATCH(ROWS($V$2:V517),$V$2:$V$1001,0),1)&gt;=100000,INDEX($AC$1005:$AS$1005,1,MATCH(COLUMNS($AC$1006:AL1006),$AC$1006:$AS$1006,0))&gt;=100000), " ",IF(INDEX($AC$2:$AS$1001,MATCH(ROWS($V$2:V517),$V$2:$V$1001,0),MATCH(COLUMNS($AC$1006:AL1006),$AC$1006:$AS$1006,0)), HYPERLINK("#",""), HYPERLINK(CONCATENATE("#metadata!", ADDRESS(INDEX($X$2:$X$1001,MATCH(ROWS($V$2:V517),$V$2:$V$1001,0),0), INDEX($AC$1004:$AS$1004,1,MATCH(COLUMNS($AC$1006:AL1006),$AC$1006:$AS$1006,0)))),"Fix")))</f>
        <v xml:space="preserve"> </v>
      </c>
      <c r="L517" s="4" t="str">
        <f ca="1">IF(OR(INDEX($W$2:$W$1001,MATCH(ROWS($V$2:V517),$V$2:$V$1001,0),1)&gt;=100000,INDEX($AC$1005:$AS$1005,1,MATCH(COLUMNS($AC$1006:AM1006),$AC$1006:$AS$1006,0))&gt;=100000), " ",IF(INDEX($AC$2:$AS$1001,MATCH(ROWS($V$2:V517),$V$2:$V$1001,0),MATCH(COLUMNS($AC$1006:AM1006),$AC$1006:$AS$1006,0)), HYPERLINK("#",""), HYPERLINK(CONCATENATE("#metadata!", ADDRESS(INDEX($X$2:$X$1001,MATCH(ROWS($V$2:V517),$V$2:$V$1001,0),0), INDEX($AC$1004:$AS$1004,1,MATCH(COLUMNS($AC$1006:AM1006),$AC$1006:$AS$1006,0)))),"Fix")))</f>
        <v xml:space="preserve"> </v>
      </c>
      <c r="M517" s="4" t="str">
        <f ca="1">IF(OR(INDEX($W$2:$W$1001,MATCH(ROWS($V$2:V517),$V$2:$V$1001,0),1)&gt;=100000,INDEX($AC$1005:$AS$1005,1,MATCH(COLUMNS($AC$1006:AN1006),$AC$1006:$AS$1006,0))&gt;=100000), " ",IF(INDEX($AC$2:$AS$1001,MATCH(ROWS($V$2:V517),$V$2:$V$1001,0),MATCH(COLUMNS($AC$1006:AN1006),$AC$1006:$AS$1006,0)), HYPERLINK("#",""), HYPERLINK(CONCATENATE("#metadata!", ADDRESS(INDEX($X$2:$X$1001,MATCH(ROWS($V$2:V517),$V$2:$V$1001,0),0), INDEX($AC$1004:$AS$1004,1,MATCH(COLUMNS($AC$1006:AN1006),$AC$1006:$AS$1006,0)))),"Fix")))</f>
        <v xml:space="preserve"> </v>
      </c>
      <c r="N517" s="4" t="str">
        <f ca="1">IF(OR(INDEX($W$2:$W$1001,MATCH(ROWS($V$2:V517),$V$2:$V$1001,0),1)&gt;=100000,INDEX($AC$1005:$AS$1005,1,MATCH(COLUMNS($AC$1006:AO1006),$AC$1006:$AS$1006,0))&gt;=100000), " ",IF(INDEX($AC$2:$AS$1001,MATCH(ROWS($V$2:V517),$V$2:$V$1001,0),MATCH(COLUMNS($AC$1006:AO1006),$AC$1006:$AS$1006,0)), HYPERLINK("#",""), HYPERLINK(CONCATENATE("#metadata!", ADDRESS(INDEX($X$2:$X$1001,MATCH(ROWS($V$2:V517),$V$2:$V$1001,0),0), INDEX($AC$1004:$AS$1004,1,MATCH(COLUMNS($AC$1006:AO1006),$AC$1006:$AS$1006,0)))),"Fix")))</f>
        <v xml:space="preserve"> </v>
      </c>
      <c r="O517" s="4" t="str">
        <f ca="1">IF(OR(INDEX($W$2:$W$1001,MATCH(ROWS($V$2:V517),$V$2:$V$1001,0),1)&gt;=100000,INDEX($AC$1005:$AS$1005,1,MATCH(COLUMNS($AC$1006:AP1006),$AC$1006:$AS$1006,0))&gt;=100000), " ",IF(INDEX($AC$2:$AS$1001,MATCH(ROWS($V$2:V517),$V$2:$V$1001,0),MATCH(COLUMNS($AC$1006:AP1006),$AC$1006:$AS$1006,0)), HYPERLINK("#",""), HYPERLINK(CONCATENATE("#metadata!", ADDRESS(INDEX($X$2:$X$1001,MATCH(ROWS($V$2:V517),$V$2:$V$1001,0),0), INDEX($AC$1004:$AS$1004,1,MATCH(COLUMNS($AC$1006:AP1006),$AC$1006:$AS$1006,0)))),"Fix")))</f>
        <v xml:space="preserve"> </v>
      </c>
      <c r="P517" s="4" t="str">
        <f ca="1">IF(OR(INDEX($W$2:$W$1001,MATCH(ROWS($V$2:V517),$V$2:$V$1001,0),1)&gt;=100000,INDEX($AC$1005:$AS$1005,1,MATCH(COLUMNS($AC$1006:AQ1006),$AC$1006:$AS$1006,0))&gt;=100000), " ",IF(INDEX($AC$2:$AS$1001,MATCH(ROWS($V$2:V517),$V$2:$V$1001,0),MATCH(COLUMNS($AC$1006:AQ1006),$AC$1006:$AS$1006,0)), HYPERLINK("#",""), HYPERLINK(CONCATENATE("#metadata!", ADDRESS(INDEX($X$2:$X$1001,MATCH(ROWS($V$2:V517),$V$2:$V$1001,0),0), INDEX($AC$1004:$AS$1004,1,MATCH(COLUMNS($AC$1006:AQ1006),$AC$1006:$AS$1006,0)))),"Fix")))</f>
        <v xml:space="preserve"> </v>
      </c>
      <c r="Q517" s="4" t="str">
        <f ca="1">IF(OR(INDEX($W$2:$W$1001,MATCH(ROWS($V$2:V517),$V$2:$V$1001,0),1)&gt;=100000,INDEX($AC$1005:$AS$1005,1,MATCH(COLUMNS($AC$1006:AR1006),$AC$1006:$AS$1006,0))&gt;=100000), " ",IF(INDEX($AC$2:$AS$1001,MATCH(ROWS($V$2:V517),$V$2:$V$1001,0),MATCH(COLUMNS($AC$1006:AR1006),$AC$1006:$AS$1006,0)), HYPERLINK("#",""), HYPERLINK(CONCATENATE("#metadata!", ADDRESS(INDEX($X$2:$X$1001,MATCH(ROWS($V$2:V517),$V$2:$V$1001,0),0), INDEX($AC$1004:$AS$1004,1,MATCH(COLUMNS($AC$1006:AR1006),$AC$1006:$AS$1006,0)))),"Fix")))</f>
        <v xml:space="preserve"> </v>
      </c>
      <c r="R517" s="4" t="str">
        <f ca="1">IF(OR(INDEX($W$2:$W$1001,MATCH(ROWS($V$2:V517),$V$2:$V$1001,0),1)&gt;=100000,INDEX($AC$1005:$AS$1005,1,MATCH(COLUMNS($AC$1006:AS1006),$AC$1006:$AS$1006,0))&gt;=100000), " ",IF(INDEX($AC$2:$AS$1001,MATCH(ROWS($V$2:V517),$V$2:$V$1001,0),MATCH(COLUMNS($AC$1006:AS1006),$AC$1006:$AS$1006,0)), HYPERLINK("#",""), HYPERLINK(CONCATENATE("#metadata!", ADDRESS(INDEX($X$2:$X$1001,MATCH(ROWS($V$2:V517),$V$2:$V$1001,0),0), INDEX($AC$1004:$AS$1004,1,MATCH(COLUMNS($AC$1006:AS1006),$AC$1006:$AS$1006,0)))),"Fix")))</f>
        <v xml:space="preserve"> </v>
      </c>
      <c r="V517">
        <v>516</v>
      </c>
      <c r="W517">
        <v>100517</v>
      </c>
      <c r="X517">
        <v>517</v>
      </c>
      <c r="Y517" t="b">
        <f t="shared" si="8"/>
        <v>1</v>
      </c>
      <c r="Z517" t="b">
        <f>COUNTBLANK(metadata!B517:R517)=COLUMNS(metadata!B517:R517)</f>
        <v>1</v>
      </c>
      <c r="AA517" t="str">
        <v/>
      </c>
      <c r="AC517" t="b">
        <f ca="1"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AD517" t="b">
        <f>IF(metadata!C517="",FALSE,ISNUMBER(VALUE(metadata!C517)))</f>
        <v>0</v>
      </c>
      <c r="AE517" t="b">
        <f>AND(IF(metadata!D517="",FALSE,TRUE),EXACT(metadata!D517,"years"))</f>
        <v>0</v>
      </c>
      <c r="AF517" t="b">
        <f>OR(AND(IF(metadata!E517="",FALSE,TRUE),OR(EXACT(metadata!E517,"not applicable"),EXACT(metadata!E517,"missing: not collected"),EXACT(metadata!E517,"missing: not provided"),EXACT(metadata!E517,"missing: restricted access"))),AND(IF(metadata!E517="",FALSE,ISNUMBER(VALUE(metadata!E517))),metadata!E517&gt;0))</f>
        <v>0</v>
      </c>
      <c r="AG517" t="b">
        <f>AND(IF(metadata!F517="",FALSE,TRUE),EXACT(metadata!F517,"Not applicable"))</f>
        <v>0</v>
      </c>
      <c r="AH517" t="b">
        <f>AND(IF(metadata!G517="",FALSE,TRUE),EXACT(metadata!G517,"urban biome"))</f>
        <v>0</v>
      </c>
      <c r="AI517" t="b">
        <f>AND(IF(metadata!H517="",FALSE,TRUE),EXACT(metadata!H517,"human-associated habitat"))</f>
        <v>0</v>
      </c>
      <c r="AJ517" t="b">
        <f>AND(IF(metadata!I517="",FALSE,TRUE),OR(EXACT(metadata!I517,"human-associated"),EXACT(metadata!I517,"human-skin"),EXACT(metadata!I517,"human-oral"),EXACT(metadata!I517,"human-gut"),EXACT(metadata!I517,"human-vaginal")))</f>
        <v>0</v>
      </c>
      <c r="AK517" t="b">
        <f>IF(metadata!J517="",FALSE,ISNUMBER(VALUE(metadata!J517)))</f>
        <v>0</v>
      </c>
      <c r="AL517" t="b">
        <f>AND(IF(metadata!K517="",FALSE,TRUE),EXACT(metadata!K517,"cm"))</f>
        <v>0</v>
      </c>
      <c r="AM517" t="b">
        <f>AND(IF(metadata!L517="",FALSE,TRUE),EXACT(metadata!L517,"human"))</f>
        <v>0</v>
      </c>
      <c r="AN517" t="b">
        <f>AND(IF(metadata!M517="",FALSE,TRUE),EXACT(metadata!M517,"Homo sapiens"))</f>
        <v>0</v>
      </c>
      <c r="AO517" t="b">
        <f>AND(IF(metadata!N517="",FALSE,TRUE),EXACT(metadata!N517,"9606"))</f>
        <v>0</v>
      </c>
      <c r="AP517" t="b">
        <f>IF(metadata!O517="",FALSE,TRUE)</f>
        <v>0</v>
      </c>
      <c r="AQ517" t="b">
        <f>IF(metadata!P517="",FALSE,TRUE)</f>
        <v>0</v>
      </c>
      <c r="AR517" t="b">
        <f>IF(metadata!Q517="",FALSE,ISNUMBER(VALUE(metadata!Q517)))</f>
        <v>0</v>
      </c>
      <c r="AS517" t="b">
        <f>AND(IF(metadata!R517="",FALSE,TRUE),EXACT(metadata!R517,"kg"))</f>
        <v>0</v>
      </c>
    </row>
    <row r="518" spans="1:45" x14ac:dyDescent="0.2">
      <c r="A518" s="5" t="str">
        <f ca="1">IF(B518=" "," ",HYPERLINK(CONCATENATE("#metadata!",ADDRESS(INDEX($X$2:$X$1001,MATCH(ROWS($V$2:V518),$V$2:$V$1001,0),0),1)),INDEX($AA$2:$AA$1001,MATCH(ROWS($V$2:V518),$V$2:$V$1001,0),0)))</f>
        <v xml:space="preserve"> </v>
      </c>
      <c r="B518" s="4" t="str">
        <f ca="1">IF(OR(INDEX($W$2:$W$1001,MATCH(ROWS($V$2:V518),$V$2:$V$1001,0),1)&gt;=100000,INDEX($AC$1005:$AS$1005,1,MATCH(COLUMNS($AC$1006:AC1006),$AC$1006:$AS$1006,0))&gt;=100000), " ",IF(INDEX($AC$2:$AS$1001,MATCH(ROWS($V$2:V518),$V$2:$V$1001,0),MATCH(COLUMNS($AC$1006:AC1006),$AC$1006:$AS$1006,0)), HYPERLINK("#",""), HYPERLINK(CONCATENATE("#metadata!", ADDRESS(INDEX($X$2:$X$1001,MATCH(ROWS($V$2:V518),$V$2:$V$1001,0),0), INDEX($AC$1004:$AS$1004,1,MATCH(COLUMNS($AC$1006:AC1006),$AC$1006:$AS$1006,0)))),"Fix")))</f>
        <v xml:space="preserve"> </v>
      </c>
      <c r="C518" s="4" t="str">
        <f ca="1">IF(OR(INDEX($W$2:$W$1001,MATCH(ROWS($V$2:V518),$V$2:$V$1001,0),1)&gt;=100000,INDEX($AC$1005:$AS$1005,1,MATCH(COLUMNS($AC$1006:AD1006),$AC$1006:$AS$1006,0))&gt;=100000), " ",IF(INDEX($AC$2:$AS$1001,MATCH(ROWS($V$2:V518),$V$2:$V$1001,0),MATCH(COLUMNS($AC$1006:AD1006),$AC$1006:$AS$1006,0)), HYPERLINK("#",""), HYPERLINK(CONCATENATE("#metadata!", ADDRESS(INDEX($X$2:$X$1001,MATCH(ROWS($V$2:V518),$V$2:$V$1001,0),0), INDEX($AC$1004:$AS$1004,1,MATCH(COLUMNS($AC$1006:AD1006),$AC$1006:$AS$1006,0)))),"Fix")))</f>
        <v xml:space="preserve"> </v>
      </c>
      <c r="D518" s="4" t="str">
        <f ca="1">IF(OR(INDEX($W$2:$W$1001,MATCH(ROWS($V$2:V518),$V$2:$V$1001,0),1)&gt;=100000,INDEX($AC$1005:$AS$1005,1,MATCH(COLUMNS($AC$1006:AE1006),$AC$1006:$AS$1006,0))&gt;=100000), " ",IF(INDEX($AC$2:$AS$1001,MATCH(ROWS($V$2:V518),$V$2:$V$1001,0),MATCH(COLUMNS($AC$1006:AE1006),$AC$1006:$AS$1006,0)), HYPERLINK("#",""), HYPERLINK(CONCATENATE("#metadata!", ADDRESS(INDEX($X$2:$X$1001,MATCH(ROWS($V$2:V518),$V$2:$V$1001,0),0), INDEX($AC$1004:$AS$1004,1,MATCH(COLUMNS($AC$1006:AE1006),$AC$1006:$AS$1006,0)))),"Fix")))</f>
        <v xml:space="preserve"> </v>
      </c>
      <c r="E518" s="4" t="str">
        <f ca="1">IF(OR(INDEX($W$2:$W$1001,MATCH(ROWS($V$2:V518),$V$2:$V$1001,0),1)&gt;=100000,INDEX($AC$1005:$AS$1005,1,MATCH(COLUMNS($AC$1006:AF1006),$AC$1006:$AS$1006,0))&gt;=100000), " ",IF(INDEX($AC$2:$AS$1001,MATCH(ROWS($V$2:V518),$V$2:$V$1001,0),MATCH(COLUMNS($AC$1006:AF1006),$AC$1006:$AS$1006,0)), HYPERLINK("#",""), HYPERLINK(CONCATENATE("#metadata!", ADDRESS(INDEX($X$2:$X$1001,MATCH(ROWS($V$2:V518),$V$2:$V$1001,0),0), INDEX($AC$1004:$AS$1004,1,MATCH(COLUMNS($AC$1006:AF1006),$AC$1006:$AS$1006,0)))),"Fix")))</f>
        <v xml:space="preserve"> </v>
      </c>
      <c r="F518" s="4" t="str">
        <f ca="1">IF(OR(INDEX($W$2:$W$1001,MATCH(ROWS($V$2:V518),$V$2:$V$1001,0),1)&gt;=100000,INDEX($AC$1005:$AS$1005,1,MATCH(COLUMNS($AC$1006:AG1006),$AC$1006:$AS$1006,0))&gt;=100000), " ",IF(INDEX($AC$2:$AS$1001,MATCH(ROWS($V$2:V518),$V$2:$V$1001,0),MATCH(COLUMNS($AC$1006:AG1006),$AC$1006:$AS$1006,0)), HYPERLINK("#",""), HYPERLINK(CONCATENATE("#metadata!", ADDRESS(INDEX($X$2:$X$1001,MATCH(ROWS($V$2:V518),$V$2:$V$1001,0),0), INDEX($AC$1004:$AS$1004,1,MATCH(COLUMNS($AC$1006:AG1006),$AC$1006:$AS$1006,0)))),"Fix")))</f>
        <v xml:space="preserve"> </v>
      </c>
      <c r="G518" s="4" t="str">
        <f ca="1">IF(OR(INDEX($W$2:$W$1001,MATCH(ROWS($V$2:V518),$V$2:$V$1001,0),1)&gt;=100000,INDEX($AC$1005:$AS$1005,1,MATCH(COLUMNS($AC$1006:AH1006),$AC$1006:$AS$1006,0))&gt;=100000), " ",IF(INDEX($AC$2:$AS$1001,MATCH(ROWS($V$2:V518),$V$2:$V$1001,0),MATCH(COLUMNS($AC$1006:AH1006),$AC$1006:$AS$1006,0)), HYPERLINK("#",""), HYPERLINK(CONCATENATE("#metadata!", ADDRESS(INDEX($X$2:$X$1001,MATCH(ROWS($V$2:V518),$V$2:$V$1001,0),0), INDEX($AC$1004:$AS$1004,1,MATCH(COLUMNS($AC$1006:AH1006),$AC$1006:$AS$1006,0)))),"Fix")))</f>
        <v xml:space="preserve"> </v>
      </c>
      <c r="H518" s="4" t="str">
        <f ca="1">IF(OR(INDEX($W$2:$W$1001,MATCH(ROWS($V$2:V518),$V$2:$V$1001,0),1)&gt;=100000,INDEX($AC$1005:$AS$1005,1,MATCH(COLUMNS($AC$1006:AI1006),$AC$1006:$AS$1006,0))&gt;=100000), " ",IF(INDEX($AC$2:$AS$1001,MATCH(ROWS($V$2:V518),$V$2:$V$1001,0),MATCH(COLUMNS($AC$1006:AI1006),$AC$1006:$AS$1006,0)), HYPERLINK("#",""), HYPERLINK(CONCATENATE("#metadata!", ADDRESS(INDEX($X$2:$X$1001,MATCH(ROWS($V$2:V518),$V$2:$V$1001,0),0), INDEX($AC$1004:$AS$1004,1,MATCH(COLUMNS($AC$1006:AI1006),$AC$1006:$AS$1006,0)))),"Fix")))</f>
        <v xml:space="preserve"> </v>
      </c>
      <c r="I518" s="4" t="str">
        <f ca="1">IF(OR(INDEX($W$2:$W$1001,MATCH(ROWS($V$2:V518),$V$2:$V$1001,0),1)&gt;=100000,INDEX($AC$1005:$AS$1005,1,MATCH(COLUMNS($AC$1006:AJ1006),$AC$1006:$AS$1006,0))&gt;=100000), " ",IF(INDEX($AC$2:$AS$1001,MATCH(ROWS($V$2:V518),$V$2:$V$1001,0),MATCH(COLUMNS($AC$1006:AJ1006),$AC$1006:$AS$1006,0)), HYPERLINK("#",""), HYPERLINK(CONCATENATE("#metadata!", ADDRESS(INDEX($X$2:$X$1001,MATCH(ROWS($V$2:V518),$V$2:$V$1001,0),0), INDEX($AC$1004:$AS$1004,1,MATCH(COLUMNS($AC$1006:AJ1006),$AC$1006:$AS$1006,0)))),"Fix")))</f>
        <v xml:space="preserve"> </v>
      </c>
      <c r="J518" s="4" t="str">
        <f ca="1">IF(OR(INDEX($W$2:$W$1001,MATCH(ROWS($V$2:V518),$V$2:$V$1001,0),1)&gt;=100000,INDEX($AC$1005:$AS$1005,1,MATCH(COLUMNS($AC$1006:AK1006),$AC$1006:$AS$1006,0))&gt;=100000), " ",IF(INDEX($AC$2:$AS$1001,MATCH(ROWS($V$2:V518),$V$2:$V$1001,0),MATCH(COLUMNS($AC$1006:AK1006),$AC$1006:$AS$1006,0)), HYPERLINK("#",""), HYPERLINK(CONCATENATE("#metadata!", ADDRESS(INDEX($X$2:$X$1001,MATCH(ROWS($V$2:V518),$V$2:$V$1001,0),0), INDEX($AC$1004:$AS$1004,1,MATCH(COLUMNS($AC$1006:AK1006),$AC$1006:$AS$1006,0)))),"Fix")))</f>
        <v xml:space="preserve"> </v>
      </c>
      <c r="K518" s="4" t="str">
        <f ca="1">IF(OR(INDEX($W$2:$W$1001,MATCH(ROWS($V$2:V518),$V$2:$V$1001,0),1)&gt;=100000,INDEX($AC$1005:$AS$1005,1,MATCH(COLUMNS($AC$1006:AL1006),$AC$1006:$AS$1006,0))&gt;=100000), " ",IF(INDEX($AC$2:$AS$1001,MATCH(ROWS($V$2:V518),$V$2:$V$1001,0),MATCH(COLUMNS($AC$1006:AL1006),$AC$1006:$AS$1006,0)), HYPERLINK("#",""), HYPERLINK(CONCATENATE("#metadata!", ADDRESS(INDEX($X$2:$X$1001,MATCH(ROWS($V$2:V518),$V$2:$V$1001,0),0), INDEX($AC$1004:$AS$1004,1,MATCH(COLUMNS($AC$1006:AL1006),$AC$1006:$AS$1006,0)))),"Fix")))</f>
        <v xml:space="preserve"> </v>
      </c>
      <c r="L518" s="4" t="str">
        <f ca="1">IF(OR(INDEX($W$2:$W$1001,MATCH(ROWS($V$2:V518),$V$2:$V$1001,0),1)&gt;=100000,INDEX($AC$1005:$AS$1005,1,MATCH(COLUMNS($AC$1006:AM1006),$AC$1006:$AS$1006,0))&gt;=100000), " ",IF(INDEX($AC$2:$AS$1001,MATCH(ROWS($V$2:V518),$V$2:$V$1001,0),MATCH(COLUMNS($AC$1006:AM1006),$AC$1006:$AS$1006,0)), HYPERLINK("#",""), HYPERLINK(CONCATENATE("#metadata!", ADDRESS(INDEX($X$2:$X$1001,MATCH(ROWS($V$2:V518),$V$2:$V$1001,0),0), INDEX($AC$1004:$AS$1004,1,MATCH(COLUMNS($AC$1006:AM1006),$AC$1006:$AS$1006,0)))),"Fix")))</f>
        <v xml:space="preserve"> </v>
      </c>
      <c r="M518" s="4" t="str">
        <f ca="1">IF(OR(INDEX($W$2:$W$1001,MATCH(ROWS($V$2:V518),$V$2:$V$1001,0),1)&gt;=100000,INDEX($AC$1005:$AS$1005,1,MATCH(COLUMNS($AC$1006:AN1006),$AC$1006:$AS$1006,0))&gt;=100000), " ",IF(INDEX($AC$2:$AS$1001,MATCH(ROWS($V$2:V518),$V$2:$V$1001,0),MATCH(COLUMNS($AC$1006:AN1006),$AC$1006:$AS$1006,0)), HYPERLINK("#",""), HYPERLINK(CONCATENATE("#metadata!", ADDRESS(INDEX($X$2:$X$1001,MATCH(ROWS($V$2:V518),$V$2:$V$1001,0),0), INDEX($AC$1004:$AS$1004,1,MATCH(COLUMNS($AC$1006:AN1006),$AC$1006:$AS$1006,0)))),"Fix")))</f>
        <v xml:space="preserve"> </v>
      </c>
      <c r="N518" s="4" t="str">
        <f ca="1">IF(OR(INDEX($W$2:$W$1001,MATCH(ROWS($V$2:V518),$V$2:$V$1001,0),1)&gt;=100000,INDEX($AC$1005:$AS$1005,1,MATCH(COLUMNS($AC$1006:AO1006),$AC$1006:$AS$1006,0))&gt;=100000), " ",IF(INDEX($AC$2:$AS$1001,MATCH(ROWS($V$2:V518),$V$2:$V$1001,0),MATCH(COLUMNS($AC$1006:AO1006),$AC$1006:$AS$1006,0)), HYPERLINK("#",""), HYPERLINK(CONCATENATE("#metadata!", ADDRESS(INDEX($X$2:$X$1001,MATCH(ROWS($V$2:V518),$V$2:$V$1001,0),0), INDEX($AC$1004:$AS$1004,1,MATCH(COLUMNS($AC$1006:AO1006),$AC$1006:$AS$1006,0)))),"Fix")))</f>
        <v xml:space="preserve"> </v>
      </c>
      <c r="O518" s="4" t="str">
        <f ca="1">IF(OR(INDEX($W$2:$W$1001,MATCH(ROWS($V$2:V518),$V$2:$V$1001,0),1)&gt;=100000,INDEX($AC$1005:$AS$1005,1,MATCH(COLUMNS($AC$1006:AP1006),$AC$1006:$AS$1006,0))&gt;=100000), " ",IF(INDEX($AC$2:$AS$1001,MATCH(ROWS($V$2:V518),$V$2:$V$1001,0),MATCH(COLUMNS($AC$1006:AP1006),$AC$1006:$AS$1006,0)), HYPERLINK("#",""), HYPERLINK(CONCATENATE("#metadata!", ADDRESS(INDEX($X$2:$X$1001,MATCH(ROWS($V$2:V518),$V$2:$V$1001,0),0), INDEX($AC$1004:$AS$1004,1,MATCH(COLUMNS($AC$1006:AP1006),$AC$1006:$AS$1006,0)))),"Fix")))</f>
        <v xml:space="preserve"> </v>
      </c>
      <c r="P518" s="4" t="str">
        <f ca="1">IF(OR(INDEX($W$2:$W$1001,MATCH(ROWS($V$2:V518),$V$2:$V$1001,0),1)&gt;=100000,INDEX($AC$1005:$AS$1005,1,MATCH(COLUMNS($AC$1006:AQ1006),$AC$1006:$AS$1006,0))&gt;=100000), " ",IF(INDEX($AC$2:$AS$1001,MATCH(ROWS($V$2:V518),$V$2:$V$1001,0),MATCH(COLUMNS($AC$1006:AQ1006),$AC$1006:$AS$1006,0)), HYPERLINK("#",""), HYPERLINK(CONCATENATE("#metadata!", ADDRESS(INDEX($X$2:$X$1001,MATCH(ROWS($V$2:V518),$V$2:$V$1001,0),0), INDEX($AC$1004:$AS$1004,1,MATCH(COLUMNS($AC$1006:AQ1006),$AC$1006:$AS$1006,0)))),"Fix")))</f>
        <v xml:space="preserve"> </v>
      </c>
      <c r="Q518" s="4" t="str">
        <f ca="1">IF(OR(INDEX($W$2:$W$1001,MATCH(ROWS($V$2:V518),$V$2:$V$1001,0),1)&gt;=100000,INDEX($AC$1005:$AS$1005,1,MATCH(COLUMNS($AC$1006:AR1006),$AC$1006:$AS$1006,0))&gt;=100000), " ",IF(INDEX($AC$2:$AS$1001,MATCH(ROWS($V$2:V518),$V$2:$V$1001,0),MATCH(COLUMNS($AC$1006:AR1006),$AC$1006:$AS$1006,0)), HYPERLINK("#",""), HYPERLINK(CONCATENATE("#metadata!", ADDRESS(INDEX($X$2:$X$1001,MATCH(ROWS($V$2:V518),$V$2:$V$1001,0),0), INDEX($AC$1004:$AS$1004,1,MATCH(COLUMNS($AC$1006:AR1006),$AC$1006:$AS$1006,0)))),"Fix")))</f>
        <v xml:space="preserve"> </v>
      </c>
      <c r="R518" s="4" t="str">
        <f ca="1">IF(OR(INDEX($W$2:$W$1001,MATCH(ROWS($V$2:V518),$V$2:$V$1001,0),1)&gt;=100000,INDEX($AC$1005:$AS$1005,1,MATCH(COLUMNS($AC$1006:AS1006),$AC$1006:$AS$1006,0))&gt;=100000), " ",IF(INDEX($AC$2:$AS$1001,MATCH(ROWS($V$2:V518),$V$2:$V$1001,0),MATCH(COLUMNS($AC$1006:AS1006),$AC$1006:$AS$1006,0)), HYPERLINK("#",""), HYPERLINK(CONCATENATE("#metadata!", ADDRESS(INDEX($X$2:$X$1001,MATCH(ROWS($V$2:V518),$V$2:$V$1001,0),0), INDEX($AC$1004:$AS$1004,1,MATCH(COLUMNS($AC$1006:AS1006),$AC$1006:$AS$1006,0)))),"Fix")))</f>
        <v xml:space="preserve"> </v>
      </c>
      <c r="V518">
        <v>517</v>
      </c>
      <c r="W518">
        <v>100518</v>
      </c>
      <c r="X518">
        <v>518</v>
      </c>
      <c r="Y518" t="b">
        <f t="shared" si="8"/>
        <v>1</v>
      </c>
      <c r="Z518" t="b">
        <f>COUNTBLANK(metadata!B518:R518)=COLUMNS(metadata!B518:R518)</f>
        <v>1</v>
      </c>
      <c r="AA518" t="str">
        <v/>
      </c>
      <c r="AC518" t="b">
        <f ca="1"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AD518" t="b">
        <f>IF(metadata!C518="",FALSE,ISNUMBER(VALUE(metadata!C518)))</f>
        <v>0</v>
      </c>
      <c r="AE518" t="b">
        <f>AND(IF(metadata!D518="",FALSE,TRUE),EXACT(metadata!D518,"years"))</f>
        <v>0</v>
      </c>
      <c r="AF518" t="b">
        <f>OR(AND(IF(metadata!E518="",FALSE,TRUE),OR(EXACT(metadata!E518,"not applicable"),EXACT(metadata!E518,"missing: not collected"),EXACT(metadata!E518,"missing: not provided"),EXACT(metadata!E518,"missing: restricted access"))),AND(IF(metadata!E518="",FALSE,ISNUMBER(VALUE(metadata!E518))),metadata!E518&gt;0))</f>
        <v>0</v>
      </c>
      <c r="AG518" t="b">
        <f>AND(IF(metadata!F518="",FALSE,TRUE),EXACT(metadata!F518,"Not applicable"))</f>
        <v>0</v>
      </c>
      <c r="AH518" t="b">
        <f>AND(IF(metadata!G518="",FALSE,TRUE),EXACT(metadata!G518,"urban biome"))</f>
        <v>0</v>
      </c>
      <c r="AI518" t="b">
        <f>AND(IF(metadata!H518="",FALSE,TRUE),EXACT(metadata!H518,"human-associated habitat"))</f>
        <v>0</v>
      </c>
      <c r="AJ518" t="b">
        <f>AND(IF(metadata!I518="",FALSE,TRUE),OR(EXACT(metadata!I518,"human-associated"),EXACT(metadata!I518,"human-skin"),EXACT(metadata!I518,"human-oral"),EXACT(metadata!I518,"human-gut"),EXACT(metadata!I518,"human-vaginal")))</f>
        <v>0</v>
      </c>
      <c r="AK518" t="b">
        <f>IF(metadata!J518="",FALSE,ISNUMBER(VALUE(metadata!J518)))</f>
        <v>0</v>
      </c>
      <c r="AL518" t="b">
        <f>AND(IF(metadata!K518="",FALSE,TRUE),EXACT(metadata!K518,"cm"))</f>
        <v>0</v>
      </c>
      <c r="AM518" t="b">
        <f>AND(IF(metadata!L518="",FALSE,TRUE),EXACT(metadata!L518,"human"))</f>
        <v>0</v>
      </c>
      <c r="AN518" t="b">
        <f>AND(IF(metadata!M518="",FALSE,TRUE),EXACT(metadata!M518,"Homo sapiens"))</f>
        <v>0</v>
      </c>
      <c r="AO518" t="b">
        <f>AND(IF(metadata!N518="",FALSE,TRUE),EXACT(metadata!N518,"9606"))</f>
        <v>0</v>
      </c>
      <c r="AP518" t="b">
        <f>IF(metadata!O518="",FALSE,TRUE)</f>
        <v>0</v>
      </c>
      <c r="AQ518" t="b">
        <f>IF(metadata!P518="",FALSE,TRUE)</f>
        <v>0</v>
      </c>
      <c r="AR518" t="b">
        <f>IF(metadata!Q518="",FALSE,ISNUMBER(VALUE(metadata!Q518)))</f>
        <v>0</v>
      </c>
      <c r="AS518" t="b">
        <f>AND(IF(metadata!R518="",FALSE,TRUE),EXACT(metadata!R518,"kg"))</f>
        <v>0</v>
      </c>
    </row>
    <row r="519" spans="1:45" x14ac:dyDescent="0.2">
      <c r="A519" s="5" t="str">
        <f ca="1">IF(B519=" "," ",HYPERLINK(CONCATENATE("#metadata!",ADDRESS(INDEX($X$2:$X$1001,MATCH(ROWS($V$2:V519),$V$2:$V$1001,0),0),1)),INDEX($AA$2:$AA$1001,MATCH(ROWS($V$2:V519),$V$2:$V$1001,0),0)))</f>
        <v xml:space="preserve"> </v>
      </c>
      <c r="B519" s="4" t="str">
        <f ca="1">IF(OR(INDEX($W$2:$W$1001,MATCH(ROWS($V$2:V519),$V$2:$V$1001,0),1)&gt;=100000,INDEX($AC$1005:$AS$1005,1,MATCH(COLUMNS($AC$1006:AC1006),$AC$1006:$AS$1006,0))&gt;=100000), " ",IF(INDEX($AC$2:$AS$1001,MATCH(ROWS($V$2:V519),$V$2:$V$1001,0),MATCH(COLUMNS($AC$1006:AC1006),$AC$1006:$AS$1006,0)), HYPERLINK("#",""), HYPERLINK(CONCATENATE("#metadata!", ADDRESS(INDEX($X$2:$X$1001,MATCH(ROWS($V$2:V519),$V$2:$V$1001,0),0), INDEX($AC$1004:$AS$1004,1,MATCH(COLUMNS($AC$1006:AC1006),$AC$1006:$AS$1006,0)))),"Fix")))</f>
        <v xml:space="preserve"> </v>
      </c>
      <c r="C519" s="4" t="str">
        <f ca="1">IF(OR(INDEX($W$2:$W$1001,MATCH(ROWS($V$2:V519),$V$2:$V$1001,0),1)&gt;=100000,INDEX($AC$1005:$AS$1005,1,MATCH(COLUMNS($AC$1006:AD1006),$AC$1006:$AS$1006,0))&gt;=100000), " ",IF(INDEX($AC$2:$AS$1001,MATCH(ROWS($V$2:V519),$V$2:$V$1001,0),MATCH(COLUMNS($AC$1006:AD1006),$AC$1006:$AS$1006,0)), HYPERLINK("#",""), HYPERLINK(CONCATENATE("#metadata!", ADDRESS(INDEX($X$2:$X$1001,MATCH(ROWS($V$2:V519),$V$2:$V$1001,0),0), INDEX($AC$1004:$AS$1004,1,MATCH(COLUMNS($AC$1006:AD1006),$AC$1006:$AS$1006,0)))),"Fix")))</f>
        <v xml:space="preserve"> </v>
      </c>
      <c r="D519" s="4" t="str">
        <f ca="1">IF(OR(INDEX($W$2:$W$1001,MATCH(ROWS($V$2:V519),$V$2:$V$1001,0),1)&gt;=100000,INDEX($AC$1005:$AS$1005,1,MATCH(COLUMNS($AC$1006:AE1006),$AC$1006:$AS$1006,0))&gt;=100000), " ",IF(INDEX($AC$2:$AS$1001,MATCH(ROWS($V$2:V519),$V$2:$V$1001,0),MATCH(COLUMNS($AC$1006:AE1006),$AC$1006:$AS$1006,0)), HYPERLINK("#",""), HYPERLINK(CONCATENATE("#metadata!", ADDRESS(INDEX($X$2:$X$1001,MATCH(ROWS($V$2:V519),$V$2:$V$1001,0),0), INDEX($AC$1004:$AS$1004,1,MATCH(COLUMNS($AC$1006:AE1006),$AC$1006:$AS$1006,0)))),"Fix")))</f>
        <v xml:space="preserve"> </v>
      </c>
      <c r="E519" s="4" t="str">
        <f ca="1">IF(OR(INDEX($W$2:$W$1001,MATCH(ROWS($V$2:V519),$V$2:$V$1001,0),1)&gt;=100000,INDEX($AC$1005:$AS$1005,1,MATCH(COLUMNS($AC$1006:AF1006),$AC$1006:$AS$1006,0))&gt;=100000), " ",IF(INDEX($AC$2:$AS$1001,MATCH(ROWS($V$2:V519),$V$2:$V$1001,0),MATCH(COLUMNS($AC$1006:AF1006),$AC$1006:$AS$1006,0)), HYPERLINK("#",""), HYPERLINK(CONCATENATE("#metadata!", ADDRESS(INDEX($X$2:$X$1001,MATCH(ROWS($V$2:V519),$V$2:$V$1001,0),0), INDEX($AC$1004:$AS$1004,1,MATCH(COLUMNS($AC$1006:AF1006),$AC$1006:$AS$1006,0)))),"Fix")))</f>
        <v xml:space="preserve"> </v>
      </c>
      <c r="F519" s="4" t="str">
        <f ca="1">IF(OR(INDEX($W$2:$W$1001,MATCH(ROWS($V$2:V519),$V$2:$V$1001,0),1)&gt;=100000,INDEX($AC$1005:$AS$1005,1,MATCH(COLUMNS($AC$1006:AG1006),$AC$1006:$AS$1006,0))&gt;=100000), " ",IF(INDEX($AC$2:$AS$1001,MATCH(ROWS($V$2:V519),$V$2:$V$1001,0),MATCH(COLUMNS($AC$1006:AG1006),$AC$1006:$AS$1006,0)), HYPERLINK("#",""), HYPERLINK(CONCATENATE("#metadata!", ADDRESS(INDEX($X$2:$X$1001,MATCH(ROWS($V$2:V519),$V$2:$V$1001,0),0), INDEX($AC$1004:$AS$1004,1,MATCH(COLUMNS($AC$1006:AG1006),$AC$1006:$AS$1006,0)))),"Fix")))</f>
        <v xml:space="preserve"> </v>
      </c>
      <c r="G519" s="4" t="str">
        <f ca="1">IF(OR(INDEX($W$2:$W$1001,MATCH(ROWS($V$2:V519),$V$2:$V$1001,0),1)&gt;=100000,INDEX($AC$1005:$AS$1005,1,MATCH(COLUMNS($AC$1006:AH1006),$AC$1006:$AS$1006,0))&gt;=100000), " ",IF(INDEX($AC$2:$AS$1001,MATCH(ROWS($V$2:V519),$V$2:$V$1001,0),MATCH(COLUMNS($AC$1006:AH1006),$AC$1006:$AS$1006,0)), HYPERLINK("#",""), HYPERLINK(CONCATENATE("#metadata!", ADDRESS(INDEX($X$2:$X$1001,MATCH(ROWS($V$2:V519),$V$2:$V$1001,0),0), INDEX($AC$1004:$AS$1004,1,MATCH(COLUMNS($AC$1006:AH1006),$AC$1006:$AS$1006,0)))),"Fix")))</f>
        <v xml:space="preserve"> </v>
      </c>
      <c r="H519" s="4" t="str">
        <f ca="1">IF(OR(INDEX($W$2:$W$1001,MATCH(ROWS($V$2:V519),$V$2:$V$1001,0),1)&gt;=100000,INDEX($AC$1005:$AS$1005,1,MATCH(COLUMNS($AC$1006:AI1006),$AC$1006:$AS$1006,0))&gt;=100000), " ",IF(INDEX($AC$2:$AS$1001,MATCH(ROWS($V$2:V519),$V$2:$V$1001,0),MATCH(COLUMNS($AC$1006:AI1006),$AC$1006:$AS$1006,0)), HYPERLINK("#",""), HYPERLINK(CONCATENATE("#metadata!", ADDRESS(INDEX($X$2:$X$1001,MATCH(ROWS($V$2:V519),$V$2:$V$1001,0),0), INDEX($AC$1004:$AS$1004,1,MATCH(COLUMNS($AC$1006:AI1006),$AC$1006:$AS$1006,0)))),"Fix")))</f>
        <v xml:space="preserve"> </v>
      </c>
      <c r="I519" s="4" t="str">
        <f ca="1">IF(OR(INDEX($W$2:$W$1001,MATCH(ROWS($V$2:V519),$V$2:$V$1001,0),1)&gt;=100000,INDEX($AC$1005:$AS$1005,1,MATCH(COLUMNS($AC$1006:AJ1006),$AC$1006:$AS$1006,0))&gt;=100000), " ",IF(INDEX($AC$2:$AS$1001,MATCH(ROWS($V$2:V519),$V$2:$V$1001,0),MATCH(COLUMNS($AC$1006:AJ1006),$AC$1006:$AS$1006,0)), HYPERLINK("#",""), HYPERLINK(CONCATENATE("#metadata!", ADDRESS(INDEX($X$2:$X$1001,MATCH(ROWS($V$2:V519),$V$2:$V$1001,0),0), INDEX($AC$1004:$AS$1004,1,MATCH(COLUMNS($AC$1006:AJ1006),$AC$1006:$AS$1006,0)))),"Fix")))</f>
        <v xml:space="preserve"> </v>
      </c>
      <c r="J519" s="4" t="str">
        <f ca="1">IF(OR(INDEX($W$2:$W$1001,MATCH(ROWS($V$2:V519),$V$2:$V$1001,0),1)&gt;=100000,INDEX($AC$1005:$AS$1005,1,MATCH(COLUMNS($AC$1006:AK1006),$AC$1006:$AS$1006,0))&gt;=100000), " ",IF(INDEX($AC$2:$AS$1001,MATCH(ROWS($V$2:V519),$V$2:$V$1001,0),MATCH(COLUMNS($AC$1006:AK1006),$AC$1006:$AS$1006,0)), HYPERLINK("#",""), HYPERLINK(CONCATENATE("#metadata!", ADDRESS(INDEX($X$2:$X$1001,MATCH(ROWS($V$2:V519),$V$2:$V$1001,0),0), INDEX($AC$1004:$AS$1004,1,MATCH(COLUMNS($AC$1006:AK1006),$AC$1006:$AS$1006,0)))),"Fix")))</f>
        <v xml:space="preserve"> </v>
      </c>
      <c r="K519" s="4" t="str">
        <f ca="1">IF(OR(INDEX($W$2:$W$1001,MATCH(ROWS($V$2:V519),$V$2:$V$1001,0),1)&gt;=100000,INDEX($AC$1005:$AS$1005,1,MATCH(COLUMNS($AC$1006:AL1006),$AC$1006:$AS$1006,0))&gt;=100000), " ",IF(INDEX($AC$2:$AS$1001,MATCH(ROWS($V$2:V519),$V$2:$V$1001,0),MATCH(COLUMNS($AC$1006:AL1006),$AC$1006:$AS$1006,0)), HYPERLINK("#",""), HYPERLINK(CONCATENATE("#metadata!", ADDRESS(INDEX($X$2:$X$1001,MATCH(ROWS($V$2:V519),$V$2:$V$1001,0),0), INDEX($AC$1004:$AS$1004,1,MATCH(COLUMNS($AC$1006:AL1006),$AC$1006:$AS$1006,0)))),"Fix")))</f>
        <v xml:space="preserve"> </v>
      </c>
      <c r="L519" s="4" t="str">
        <f ca="1">IF(OR(INDEX($W$2:$W$1001,MATCH(ROWS($V$2:V519),$V$2:$V$1001,0),1)&gt;=100000,INDEX($AC$1005:$AS$1005,1,MATCH(COLUMNS($AC$1006:AM1006),$AC$1006:$AS$1006,0))&gt;=100000), " ",IF(INDEX($AC$2:$AS$1001,MATCH(ROWS($V$2:V519),$V$2:$V$1001,0),MATCH(COLUMNS($AC$1006:AM1006),$AC$1006:$AS$1006,0)), HYPERLINK("#",""), HYPERLINK(CONCATENATE("#metadata!", ADDRESS(INDEX($X$2:$X$1001,MATCH(ROWS($V$2:V519),$V$2:$V$1001,0),0), INDEX($AC$1004:$AS$1004,1,MATCH(COLUMNS($AC$1006:AM1006),$AC$1006:$AS$1006,0)))),"Fix")))</f>
        <v xml:space="preserve"> </v>
      </c>
      <c r="M519" s="4" t="str">
        <f ca="1">IF(OR(INDEX($W$2:$W$1001,MATCH(ROWS($V$2:V519),$V$2:$V$1001,0),1)&gt;=100000,INDEX($AC$1005:$AS$1005,1,MATCH(COLUMNS($AC$1006:AN1006),$AC$1006:$AS$1006,0))&gt;=100000), " ",IF(INDEX($AC$2:$AS$1001,MATCH(ROWS($V$2:V519),$V$2:$V$1001,0),MATCH(COLUMNS($AC$1006:AN1006),$AC$1006:$AS$1006,0)), HYPERLINK("#",""), HYPERLINK(CONCATENATE("#metadata!", ADDRESS(INDEX($X$2:$X$1001,MATCH(ROWS($V$2:V519),$V$2:$V$1001,0),0), INDEX($AC$1004:$AS$1004,1,MATCH(COLUMNS($AC$1006:AN1006),$AC$1006:$AS$1006,0)))),"Fix")))</f>
        <v xml:space="preserve"> </v>
      </c>
      <c r="N519" s="4" t="str">
        <f ca="1">IF(OR(INDEX($W$2:$W$1001,MATCH(ROWS($V$2:V519),$V$2:$V$1001,0),1)&gt;=100000,INDEX($AC$1005:$AS$1005,1,MATCH(COLUMNS($AC$1006:AO1006),$AC$1006:$AS$1006,0))&gt;=100000), " ",IF(INDEX($AC$2:$AS$1001,MATCH(ROWS($V$2:V519),$V$2:$V$1001,0),MATCH(COLUMNS($AC$1006:AO1006),$AC$1006:$AS$1006,0)), HYPERLINK("#",""), HYPERLINK(CONCATENATE("#metadata!", ADDRESS(INDEX($X$2:$X$1001,MATCH(ROWS($V$2:V519),$V$2:$V$1001,0),0), INDEX($AC$1004:$AS$1004,1,MATCH(COLUMNS($AC$1006:AO1006),$AC$1006:$AS$1006,0)))),"Fix")))</f>
        <v xml:space="preserve"> </v>
      </c>
      <c r="O519" s="4" t="str">
        <f ca="1">IF(OR(INDEX($W$2:$W$1001,MATCH(ROWS($V$2:V519),$V$2:$V$1001,0),1)&gt;=100000,INDEX($AC$1005:$AS$1005,1,MATCH(COLUMNS($AC$1006:AP1006),$AC$1006:$AS$1006,0))&gt;=100000), " ",IF(INDEX($AC$2:$AS$1001,MATCH(ROWS($V$2:V519),$V$2:$V$1001,0),MATCH(COLUMNS($AC$1006:AP1006),$AC$1006:$AS$1006,0)), HYPERLINK("#",""), HYPERLINK(CONCATENATE("#metadata!", ADDRESS(INDEX($X$2:$X$1001,MATCH(ROWS($V$2:V519),$V$2:$V$1001,0),0), INDEX($AC$1004:$AS$1004,1,MATCH(COLUMNS($AC$1006:AP1006),$AC$1006:$AS$1006,0)))),"Fix")))</f>
        <v xml:space="preserve"> </v>
      </c>
      <c r="P519" s="4" t="str">
        <f ca="1">IF(OR(INDEX($W$2:$W$1001,MATCH(ROWS($V$2:V519),$V$2:$V$1001,0),1)&gt;=100000,INDEX($AC$1005:$AS$1005,1,MATCH(COLUMNS($AC$1006:AQ1006),$AC$1006:$AS$1006,0))&gt;=100000), " ",IF(INDEX($AC$2:$AS$1001,MATCH(ROWS($V$2:V519),$V$2:$V$1001,0),MATCH(COLUMNS($AC$1006:AQ1006),$AC$1006:$AS$1006,0)), HYPERLINK("#",""), HYPERLINK(CONCATENATE("#metadata!", ADDRESS(INDEX($X$2:$X$1001,MATCH(ROWS($V$2:V519),$V$2:$V$1001,0),0), INDEX($AC$1004:$AS$1004,1,MATCH(COLUMNS($AC$1006:AQ1006),$AC$1006:$AS$1006,0)))),"Fix")))</f>
        <v xml:space="preserve"> </v>
      </c>
      <c r="Q519" s="4" t="str">
        <f ca="1">IF(OR(INDEX($W$2:$W$1001,MATCH(ROWS($V$2:V519),$V$2:$V$1001,0),1)&gt;=100000,INDEX($AC$1005:$AS$1005,1,MATCH(COLUMNS($AC$1006:AR1006),$AC$1006:$AS$1006,0))&gt;=100000), " ",IF(INDEX($AC$2:$AS$1001,MATCH(ROWS($V$2:V519),$V$2:$V$1001,0),MATCH(COLUMNS($AC$1006:AR1006),$AC$1006:$AS$1006,0)), HYPERLINK("#",""), HYPERLINK(CONCATENATE("#metadata!", ADDRESS(INDEX($X$2:$X$1001,MATCH(ROWS($V$2:V519),$V$2:$V$1001,0),0), INDEX($AC$1004:$AS$1004,1,MATCH(COLUMNS($AC$1006:AR1006),$AC$1006:$AS$1006,0)))),"Fix")))</f>
        <v xml:space="preserve"> </v>
      </c>
      <c r="R519" s="4" t="str">
        <f ca="1">IF(OR(INDEX($W$2:$W$1001,MATCH(ROWS($V$2:V519),$V$2:$V$1001,0),1)&gt;=100000,INDEX($AC$1005:$AS$1005,1,MATCH(COLUMNS($AC$1006:AS1006),$AC$1006:$AS$1006,0))&gt;=100000), " ",IF(INDEX($AC$2:$AS$1001,MATCH(ROWS($V$2:V519),$V$2:$V$1001,0),MATCH(COLUMNS($AC$1006:AS1006),$AC$1006:$AS$1006,0)), HYPERLINK("#",""), HYPERLINK(CONCATENATE("#metadata!", ADDRESS(INDEX($X$2:$X$1001,MATCH(ROWS($V$2:V519),$V$2:$V$1001,0),0), INDEX($AC$1004:$AS$1004,1,MATCH(COLUMNS($AC$1006:AS1006),$AC$1006:$AS$1006,0)))),"Fix")))</f>
        <v xml:space="preserve"> </v>
      </c>
      <c r="V519">
        <v>518</v>
      </c>
      <c r="W519">
        <v>100519</v>
      </c>
      <c r="X519">
        <v>519</v>
      </c>
      <c r="Y519" t="b">
        <f t="shared" si="8"/>
        <v>1</v>
      </c>
      <c r="Z519" t="b">
        <f>COUNTBLANK(metadata!B519:R519)=COLUMNS(metadata!B519:R519)</f>
        <v>1</v>
      </c>
      <c r="AA519" t="str">
        <v/>
      </c>
      <c r="AC519" t="b">
        <f ca="1"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AD519" t="b">
        <f>IF(metadata!C519="",FALSE,ISNUMBER(VALUE(metadata!C519)))</f>
        <v>0</v>
      </c>
      <c r="AE519" t="b">
        <f>AND(IF(metadata!D519="",FALSE,TRUE),EXACT(metadata!D519,"years"))</f>
        <v>0</v>
      </c>
      <c r="AF519" t="b">
        <f>OR(AND(IF(metadata!E519="",FALSE,TRUE),OR(EXACT(metadata!E519,"not applicable"),EXACT(metadata!E519,"missing: not collected"),EXACT(metadata!E519,"missing: not provided"),EXACT(metadata!E519,"missing: restricted access"))),AND(IF(metadata!E519="",FALSE,ISNUMBER(VALUE(metadata!E519))),metadata!E519&gt;0))</f>
        <v>0</v>
      </c>
      <c r="AG519" t="b">
        <f>AND(IF(metadata!F519="",FALSE,TRUE),EXACT(metadata!F519,"Not applicable"))</f>
        <v>0</v>
      </c>
      <c r="AH519" t="b">
        <f>AND(IF(metadata!G519="",FALSE,TRUE),EXACT(metadata!G519,"urban biome"))</f>
        <v>0</v>
      </c>
      <c r="AI519" t="b">
        <f>AND(IF(metadata!H519="",FALSE,TRUE),EXACT(metadata!H519,"human-associated habitat"))</f>
        <v>0</v>
      </c>
      <c r="AJ519" t="b">
        <f>AND(IF(metadata!I519="",FALSE,TRUE),OR(EXACT(metadata!I519,"human-associated"),EXACT(metadata!I519,"human-skin"),EXACT(metadata!I519,"human-oral"),EXACT(metadata!I519,"human-gut"),EXACT(metadata!I519,"human-vaginal")))</f>
        <v>0</v>
      </c>
      <c r="AK519" t="b">
        <f>IF(metadata!J519="",FALSE,ISNUMBER(VALUE(metadata!J519)))</f>
        <v>0</v>
      </c>
      <c r="AL519" t="b">
        <f>AND(IF(metadata!K519="",FALSE,TRUE),EXACT(metadata!K519,"cm"))</f>
        <v>0</v>
      </c>
      <c r="AM519" t="b">
        <f>AND(IF(metadata!L519="",FALSE,TRUE),EXACT(metadata!L519,"human"))</f>
        <v>0</v>
      </c>
      <c r="AN519" t="b">
        <f>AND(IF(metadata!M519="",FALSE,TRUE),EXACT(metadata!M519,"Homo sapiens"))</f>
        <v>0</v>
      </c>
      <c r="AO519" t="b">
        <f>AND(IF(metadata!N519="",FALSE,TRUE),EXACT(metadata!N519,"9606"))</f>
        <v>0</v>
      </c>
      <c r="AP519" t="b">
        <f>IF(metadata!O519="",FALSE,TRUE)</f>
        <v>0</v>
      </c>
      <c r="AQ519" t="b">
        <f>IF(metadata!P519="",FALSE,TRUE)</f>
        <v>0</v>
      </c>
      <c r="AR519" t="b">
        <f>IF(metadata!Q519="",FALSE,ISNUMBER(VALUE(metadata!Q519)))</f>
        <v>0</v>
      </c>
      <c r="AS519" t="b">
        <f>AND(IF(metadata!R519="",FALSE,TRUE),EXACT(metadata!R519,"kg"))</f>
        <v>0</v>
      </c>
    </row>
    <row r="520" spans="1:45" x14ac:dyDescent="0.2">
      <c r="A520" s="5" t="str">
        <f ca="1">IF(B520=" "," ",HYPERLINK(CONCATENATE("#metadata!",ADDRESS(INDEX($X$2:$X$1001,MATCH(ROWS($V$2:V520),$V$2:$V$1001,0),0),1)),INDEX($AA$2:$AA$1001,MATCH(ROWS($V$2:V520),$V$2:$V$1001,0),0)))</f>
        <v xml:space="preserve"> </v>
      </c>
      <c r="B520" s="4" t="str">
        <f ca="1">IF(OR(INDEX($W$2:$W$1001,MATCH(ROWS($V$2:V520),$V$2:$V$1001,0),1)&gt;=100000,INDEX($AC$1005:$AS$1005,1,MATCH(COLUMNS($AC$1006:AC1006),$AC$1006:$AS$1006,0))&gt;=100000), " ",IF(INDEX($AC$2:$AS$1001,MATCH(ROWS($V$2:V520),$V$2:$V$1001,0),MATCH(COLUMNS($AC$1006:AC1006),$AC$1006:$AS$1006,0)), HYPERLINK("#",""), HYPERLINK(CONCATENATE("#metadata!", ADDRESS(INDEX($X$2:$X$1001,MATCH(ROWS($V$2:V520),$V$2:$V$1001,0),0), INDEX($AC$1004:$AS$1004,1,MATCH(COLUMNS($AC$1006:AC1006),$AC$1006:$AS$1006,0)))),"Fix")))</f>
        <v xml:space="preserve"> </v>
      </c>
      <c r="C520" s="4" t="str">
        <f ca="1">IF(OR(INDEX($W$2:$W$1001,MATCH(ROWS($V$2:V520),$V$2:$V$1001,0),1)&gt;=100000,INDEX($AC$1005:$AS$1005,1,MATCH(COLUMNS($AC$1006:AD1006),$AC$1006:$AS$1006,0))&gt;=100000), " ",IF(INDEX($AC$2:$AS$1001,MATCH(ROWS($V$2:V520),$V$2:$V$1001,0),MATCH(COLUMNS($AC$1006:AD1006),$AC$1006:$AS$1006,0)), HYPERLINK("#",""), HYPERLINK(CONCATENATE("#metadata!", ADDRESS(INDEX($X$2:$X$1001,MATCH(ROWS($V$2:V520),$V$2:$V$1001,0),0), INDEX($AC$1004:$AS$1004,1,MATCH(COLUMNS($AC$1006:AD1006),$AC$1006:$AS$1006,0)))),"Fix")))</f>
        <v xml:space="preserve"> </v>
      </c>
      <c r="D520" s="4" t="str">
        <f ca="1">IF(OR(INDEX($W$2:$W$1001,MATCH(ROWS($V$2:V520),$V$2:$V$1001,0),1)&gt;=100000,INDEX($AC$1005:$AS$1005,1,MATCH(COLUMNS($AC$1006:AE1006),$AC$1006:$AS$1006,0))&gt;=100000), " ",IF(INDEX($AC$2:$AS$1001,MATCH(ROWS($V$2:V520),$V$2:$V$1001,0),MATCH(COLUMNS($AC$1006:AE1006),$AC$1006:$AS$1006,0)), HYPERLINK("#",""), HYPERLINK(CONCATENATE("#metadata!", ADDRESS(INDEX($X$2:$X$1001,MATCH(ROWS($V$2:V520),$V$2:$V$1001,0),0), INDEX($AC$1004:$AS$1004,1,MATCH(COLUMNS($AC$1006:AE1006),$AC$1006:$AS$1006,0)))),"Fix")))</f>
        <v xml:space="preserve"> </v>
      </c>
      <c r="E520" s="4" t="str">
        <f ca="1">IF(OR(INDEX($W$2:$W$1001,MATCH(ROWS($V$2:V520),$V$2:$V$1001,0),1)&gt;=100000,INDEX($AC$1005:$AS$1005,1,MATCH(COLUMNS($AC$1006:AF1006),$AC$1006:$AS$1006,0))&gt;=100000), " ",IF(INDEX($AC$2:$AS$1001,MATCH(ROWS($V$2:V520),$V$2:$V$1001,0),MATCH(COLUMNS($AC$1006:AF1006),$AC$1006:$AS$1006,0)), HYPERLINK("#",""), HYPERLINK(CONCATENATE("#metadata!", ADDRESS(INDEX($X$2:$X$1001,MATCH(ROWS($V$2:V520),$V$2:$V$1001,0),0), INDEX($AC$1004:$AS$1004,1,MATCH(COLUMNS($AC$1006:AF1006),$AC$1006:$AS$1006,0)))),"Fix")))</f>
        <v xml:space="preserve"> </v>
      </c>
      <c r="F520" s="4" t="str">
        <f ca="1">IF(OR(INDEX($W$2:$W$1001,MATCH(ROWS($V$2:V520),$V$2:$V$1001,0),1)&gt;=100000,INDEX($AC$1005:$AS$1005,1,MATCH(COLUMNS($AC$1006:AG1006),$AC$1006:$AS$1006,0))&gt;=100000), " ",IF(INDEX($AC$2:$AS$1001,MATCH(ROWS($V$2:V520),$V$2:$V$1001,0),MATCH(COLUMNS($AC$1006:AG1006),$AC$1006:$AS$1006,0)), HYPERLINK("#",""), HYPERLINK(CONCATENATE("#metadata!", ADDRESS(INDEX($X$2:$X$1001,MATCH(ROWS($V$2:V520),$V$2:$V$1001,0),0), INDEX($AC$1004:$AS$1004,1,MATCH(COLUMNS($AC$1006:AG1006),$AC$1006:$AS$1006,0)))),"Fix")))</f>
        <v xml:space="preserve"> </v>
      </c>
      <c r="G520" s="4" t="str">
        <f ca="1">IF(OR(INDEX($W$2:$W$1001,MATCH(ROWS($V$2:V520),$V$2:$V$1001,0),1)&gt;=100000,INDEX($AC$1005:$AS$1005,1,MATCH(COLUMNS($AC$1006:AH1006),$AC$1006:$AS$1006,0))&gt;=100000), " ",IF(INDEX($AC$2:$AS$1001,MATCH(ROWS($V$2:V520),$V$2:$V$1001,0),MATCH(COLUMNS($AC$1006:AH1006),$AC$1006:$AS$1006,0)), HYPERLINK("#",""), HYPERLINK(CONCATENATE("#metadata!", ADDRESS(INDEX($X$2:$X$1001,MATCH(ROWS($V$2:V520),$V$2:$V$1001,0),0), INDEX($AC$1004:$AS$1004,1,MATCH(COLUMNS($AC$1006:AH1006),$AC$1006:$AS$1006,0)))),"Fix")))</f>
        <v xml:space="preserve"> </v>
      </c>
      <c r="H520" s="4" t="str">
        <f ca="1">IF(OR(INDEX($W$2:$W$1001,MATCH(ROWS($V$2:V520),$V$2:$V$1001,0),1)&gt;=100000,INDEX($AC$1005:$AS$1005,1,MATCH(COLUMNS($AC$1006:AI1006),$AC$1006:$AS$1006,0))&gt;=100000), " ",IF(INDEX($AC$2:$AS$1001,MATCH(ROWS($V$2:V520),$V$2:$V$1001,0),MATCH(COLUMNS($AC$1006:AI1006),$AC$1006:$AS$1006,0)), HYPERLINK("#",""), HYPERLINK(CONCATENATE("#metadata!", ADDRESS(INDEX($X$2:$X$1001,MATCH(ROWS($V$2:V520),$V$2:$V$1001,0),0), INDEX($AC$1004:$AS$1004,1,MATCH(COLUMNS($AC$1006:AI1006),$AC$1006:$AS$1006,0)))),"Fix")))</f>
        <v xml:space="preserve"> </v>
      </c>
      <c r="I520" s="4" t="str">
        <f ca="1">IF(OR(INDEX($W$2:$W$1001,MATCH(ROWS($V$2:V520),$V$2:$V$1001,0),1)&gt;=100000,INDEX($AC$1005:$AS$1005,1,MATCH(COLUMNS($AC$1006:AJ1006),$AC$1006:$AS$1006,0))&gt;=100000), " ",IF(INDEX($AC$2:$AS$1001,MATCH(ROWS($V$2:V520),$V$2:$V$1001,0),MATCH(COLUMNS($AC$1006:AJ1006),$AC$1006:$AS$1006,0)), HYPERLINK("#",""), HYPERLINK(CONCATENATE("#metadata!", ADDRESS(INDEX($X$2:$X$1001,MATCH(ROWS($V$2:V520),$V$2:$V$1001,0),0), INDEX($AC$1004:$AS$1004,1,MATCH(COLUMNS($AC$1006:AJ1006),$AC$1006:$AS$1006,0)))),"Fix")))</f>
        <v xml:space="preserve"> </v>
      </c>
      <c r="J520" s="4" t="str">
        <f ca="1">IF(OR(INDEX($W$2:$W$1001,MATCH(ROWS($V$2:V520),$V$2:$V$1001,0),1)&gt;=100000,INDEX($AC$1005:$AS$1005,1,MATCH(COLUMNS($AC$1006:AK1006),$AC$1006:$AS$1006,0))&gt;=100000), " ",IF(INDEX($AC$2:$AS$1001,MATCH(ROWS($V$2:V520),$V$2:$V$1001,0),MATCH(COLUMNS($AC$1006:AK1006),$AC$1006:$AS$1006,0)), HYPERLINK("#",""), HYPERLINK(CONCATENATE("#metadata!", ADDRESS(INDEX($X$2:$X$1001,MATCH(ROWS($V$2:V520),$V$2:$V$1001,0),0), INDEX($AC$1004:$AS$1004,1,MATCH(COLUMNS($AC$1006:AK1006),$AC$1006:$AS$1006,0)))),"Fix")))</f>
        <v xml:space="preserve"> </v>
      </c>
      <c r="K520" s="4" t="str">
        <f ca="1">IF(OR(INDEX($W$2:$W$1001,MATCH(ROWS($V$2:V520),$V$2:$V$1001,0),1)&gt;=100000,INDEX($AC$1005:$AS$1005,1,MATCH(COLUMNS($AC$1006:AL1006),$AC$1006:$AS$1006,0))&gt;=100000), " ",IF(INDEX($AC$2:$AS$1001,MATCH(ROWS($V$2:V520),$V$2:$V$1001,0),MATCH(COLUMNS($AC$1006:AL1006),$AC$1006:$AS$1006,0)), HYPERLINK("#",""), HYPERLINK(CONCATENATE("#metadata!", ADDRESS(INDEX($X$2:$X$1001,MATCH(ROWS($V$2:V520),$V$2:$V$1001,0),0), INDEX($AC$1004:$AS$1004,1,MATCH(COLUMNS($AC$1006:AL1006),$AC$1006:$AS$1006,0)))),"Fix")))</f>
        <v xml:space="preserve"> </v>
      </c>
      <c r="L520" s="4" t="str">
        <f ca="1">IF(OR(INDEX($W$2:$W$1001,MATCH(ROWS($V$2:V520),$V$2:$V$1001,0),1)&gt;=100000,INDEX($AC$1005:$AS$1005,1,MATCH(COLUMNS($AC$1006:AM1006),$AC$1006:$AS$1006,0))&gt;=100000), " ",IF(INDEX($AC$2:$AS$1001,MATCH(ROWS($V$2:V520),$V$2:$V$1001,0),MATCH(COLUMNS($AC$1006:AM1006),$AC$1006:$AS$1006,0)), HYPERLINK("#",""), HYPERLINK(CONCATENATE("#metadata!", ADDRESS(INDEX($X$2:$X$1001,MATCH(ROWS($V$2:V520),$V$2:$V$1001,0),0), INDEX($AC$1004:$AS$1004,1,MATCH(COLUMNS($AC$1006:AM1006),$AC$1006:$AS$1006,0)))),"Fix")))</f>
        <v xml:space="preserve"> </v>
      </c>
      <c r="M520" s="4" t="str">
        <f ca="1">IF(OR(INDEX($W$2:$W$1001,MATCH(ROWS($V$2:V520),$V$2:$V$1001,0),1)&gt;=100000,INDEX($AC$1005:$AS$1005,1,MATCH(COLUMNS($AC$1006:AN1006),$AC$1006:$AS$1006,0))&gt;=100000), " ",IF(INDEX($AC$2:$AS$1001,MATCH(ROWS($V$2:V520),$V$2:$V$1001,0),MATCH(COLUMNS($AC$1006:AN1006),$AC$1006:$AS$1006,0)), HYPERLINK("#",""), HYPERLINK(CONCATENATE("#metadata!", ADDRESS(INDEX($X$2:$X$1001,MATCH(ROWS($V$2:V520),$V$2:$V$1001,0),0), INDEX($AC$1004:$AS$1004,1,MATCH(COLUMNS($AC$1006:AN1006),$AC$1006:$AS$1006,0)))),"Fix")))</f>
        <v xml:space="preserve"> </v>
      </c>
      <c r="N520" s="4" t="str">
        <f ca="1">IF(OR(INDEX($W$2:$W$1001,MATCH(ROWS($V$2:V520),$V$2:$V$1001,0),1)&gt;=100000,INDEX($AC$1005:$AS$1005,1,MATCH(COLUMNS($AC$1006:AO1006),$AC$1006:$AS$1006,0))&gt;=100000), " ",IF(INDEX($AC$2:$AS$1001,MATCH(ROWS($V$2:V520),$V$2:$V$1001,0),MATCH(COLUMNS($AC$1006:AO1006),$AC$1006:$AS$1006,0)), HYPERLINK("#",""), HYPERLINK(CONCATENATE("#metadata!", ADDRESS(INDEX($X$2:$X$1001,MATCH(ROWS($V$2:V520),$V$2:$V$1001,0),0), INDEX($AC$1004:$AS$1004,1,MATCH(COLUMNS($AC$1006:AO1006),$AC$1006:$AS$1006,0)))),"Fix")))</f>
        <v xml:space="preserve"> </v>
      </c>
      <c r="O520" s="4" t="str">
        <f ca="1">IF(OR(INDEX($W$2:$W$1001,MATCH(ROWS($V$2:V520),$V$2:$V$1001,0),1)&gt;=100000,INDEX($AC$1005:$AS$1005,1,MATCH(COLUMNS($AC$1006:AP1006),$AC$1006:$AS$1006,0))&gt;=100000), " ",IF(INDEX($AC$2:$AS$1001,MATCH(ROWS($V$2:V520),$V$2:$V$1001,0),MATCH(COLUMNS($AC$1006:AP1006),$AC$1006:$AS$1006,0)), HYPERLINK("#",""), HYPERLINK(CONCATENATE("#metadata!", ADDRESS(INDEX($X$2:$X$1001,MATCH(ROWS($V$2:V520),$V$2:$V$1001,0),0), INDEX($AC$1004:$AS$1004,1,MATCH(COLUMNS($AC$1006:AP1006),$AC$1006:$AS$1006,0)))),"Fix")))</f>
        <v xml:space="preserve"> </v>
      </c>
      <c r="P520" s="4" t="str">
        <f ca="1">IF(OR(INDEX($W$2:$W$1001,MATCH(ROWS($V$2:V520),$V$2:$V$1001,0),1)&gt;=100000,INDEX($AC$1005:$AS$1005,1,MATCH(COLUMNS($AC$1006:AQ1006),$AC$1006:$AS$1006,0))&gt;=100000), " ",IF(INDEX($AC$2:$AS$1001,MATCH(ROWS($V$2:V520),$V$2:$V$1001,0),MATCH(COLUMNS($AC$1006:AQ1006),$AC$1006:$AS$1006,0)), HYPERLINK("#",""), HYPERLINK(CONCATENATE("#metadata!", ADDRESS(INDEX($X$2:$X$1001,MATCH(ROWS($V$2:V520),$V$2:$V$1001,0),0), INDEX($AC$1004:$AS$1004,1,MATCH(COLUMNS($AC$1006:AQ1006),$AC$1006:$AS$1006,0)))),"Fix")))</f>
        <v xml:space="preserve"> </v>
      </c>
      <c r="Q520" s="4" t="str">
        <f ca="1">IF(OR(INDEX($W$2:$W$1001,MATCH(ROWS($V$2:V520),$V$2:$V$1001,0),1)&gt;=100000,INDEX($AC$1005:$AS$1005,1,MATCH(COLUMNS($AC$1006:AR1006),$AC$1006:$AS$1006,0))&gt;=100000), " ",IF(INDEX($AC$2:$AS$1001,MATCH(ROWS($V$2:V520),$V$2:$V$1001,0),MATCH(COLUMNS($AC$1006:AR1006),$AC$1006:$AS$1006,0)), HYPERLINK("#",""), HYPERLINK(CONCATENATE("#metadata!", ADDRESS(INDEX($X$2:$X$1001,MATCH(ROWS($V$2:V520),$V$2:$V$1001,0),0), INDEX($AC$1004:$AS$1004,1,MATCH(COLUMNS($AC$1006:AR1006),$AC$1006:$AS$1006,0)))),"Fix")))</f>
        <v xml:space="preserve"> </v>
      </c>
      <c r="R520" s="4" t="str">
        <f ca="1">IF(OR(INDEX($W$2:$W$1001,MATCH(ROWS($V$2:V520),$V$2:$V$1001,0),1)&gt;=100000,INDEX($AC$1005:$AS$1005,1,MATCH(COLUMNS($AC$1006:AS1006),$AC$1006:$AS$1006,0))&gt;=100000), " ",IF(INDEX($AC$2:$AS$1001,MATCH(ROWS($V$2:V520),$V$2:$V$1001,0),MATCH(COLUMNS($AC$1006:AS1006),$AC$1006:$AS$1006,0)), HYPERLINK("#",""), HYPERLINK(CONCATENATE("#metadata!", ADDRESS(INDEX($X$2:$X$1001,MATCH(ROWS($V$2:V520),$V$2:$V$1001,0),0), INDEX($AC$1004:$AS$1004,1,MATCH(COLUMNS($AC$1006:AS1006),$AC$1006:$AS$1006,0)))),"Fix")))</f>
        <v xml:space="preserve"> </v>
      </c>
      <c r="V520">
        <v>519</v>
      </c>
      <c r="W520">
        <v>100520</v>
      </c>
      <c r="X520">
        <v>520</v>
      </c>
      <c r="Y520" t="b">
        <f t="shared" si="8"/>
        <v>1</v>
      </c>
      <c r="Z520" t="b">
        <f>COUNTBLANK(metadata!B520:R520)=COLUMNS(metadata!B520:R520)</f>
        <v>1</v>
      </c>
      <c r="AA520" t="str">
        <v/>
      </c>
      <c r="AC520" t="b">
        <f ca="1"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AD520" t="b">
        <f>IF(metadata!C520="",FALSE,ISNUMBER(VALUE(metadata!C520)))</f>
        <v>0</v>
      </c>
      <c r="AE520" t="b">
        <f>AND(IF(metadata!D520="",FALSE,TRUE),EXACT(metadata!D520,"years"))</f>
        <v>0</v>
      </c>
      <c r="AF520" t="b">
        <f>OR(AND(IF(metadata!E520="",FALSE,TRUE),OR(EXACT(metadata!E520,"not applicable"),EXACT(metadata!E520,"missing: not collected"),EXACT(metadata!E520,"missing: not provided"),EXACT(metadata!E520,"missing: restricted access"))),AND(IF(metadata!E520="",FALSE,ISNUMBER(VALUE(metadata!E520))),metadata!E520&gt;0))</f>
        <v>0</v>
      </c>
      <c r="AG520" t="b">
        <f>AND(IF(metadata!F520="",FALSE,TRUE),EXACT(metadata!F520,"Not applicable"))</f>
        <v>0</v>
      </c>
      <c r="AH520" t="b">
        <f>AND(IF(metadata!G520="",FALSE,TRUE),EXACT(metadata!G520,"urban biome"))</f>
        <v>0</v>
      </c>
      <c r="AI520" t="b">
        <f>AND(IF(metadata!H520="",FALSE,TRUE),EXACT(metadata!H520,"human-associated habitat"))</f>
        <v>0</v>
      </c>
      <c r="AJ520" t="b">
        <f>AND(IF(metadata!I520="",FALSE,TRUE),OR(EXACT(metadata!I520,"human-associated"),EXACT(metadata!I520,"human-skin"),EXACT(metadata!I520,"human-oral"),EXACT(metadata!I520,"human-gut"),EXACT(metadata!I520,"human-vaginal")))</f>
        <v>0</v>
      </c>
      <c r="AK520" t="b">
        <f>IF(metadata!J520="",FALSE,ISNUMBER(VALUE(metadata!J520)))</f>
        <v>0</v>
      </c>
      <c r="AL520" t="b">
        <f>AND(IF(metadata!K520="",FALSE,TRUE),EXACT(metadata!K520,"cm"))</f>
        <v>0</v>
      </c>
      <c r="AM520" t="b">
        <f>AND(IF(metadata!L520="",FALSE,TRUE),EXACT(metadata!L520,"human"))</f>
        <v>0</v>
      </c>
      <c r="AN520" t="b">
        <f>AND(IF(metadata!M520="",FALSE,TRUE),EXACT(metadata!M520,"Homo sapiens"))</f>
        <v>0</v>
      </c>
      <c r="AO520" t="b">
        <f>AND(IF(metadata!N520="",FALSE,TRUE),EXACT(metadata!N520,"9606"))</f>
        <v>0</v>
      </c>
      <c r="AP520" t="b">
        <f>IF(metadata!O520="",FALSE,TRUE)</f>
        <v>0</v>
      </c>
      <c r="AQ520" t="b">
        <f>IF(metadata!P520="",FALSE,TRUE)</f>
        <v>0</v>
      </c>
      <c r="AR520" t="b">
        <f>IF(metadata!Q520="",FALSE,ISNUMBER(VALUE(metadata!Q520)))</f>
        <v>0</v>
      </c>
      <c r="AS520" t="b">
        <f>AND(IF(metadata!R520="",FALSE,TRUE),EXACT(metadata!R520,"kg"))</f>
        <v>0</v>
      </c>
    </row>
    <row r="521" spans="1:45" x14ac:dyDescent="0.2">
      <c r="A521" s="5" t="str">
        <f ca="1">IF(B521=" "," ",HYPERLINK(CONCATENATE("#metadata!",ADDRESS(INDEX($X$2:$X$1001,MATCH(ROWS($V$2:V521),$V$2:$V$1001,0),0),1)),INDEX($AA$2:$AA$1001,MATCH(ROWS($V$2:V521),$V$2:$V$1001,0),0)))</f>
        <v xml:space="preserve"> </v>
      </c>
      <c r="B521" s="4" t="str">
        <f ca="1">IF(OR(INDEX($W$2:$W$1001,MATCH(ROWS($V$2:V521),$V$2:$V$1001,0),1)&gt;=100000,INDEX($AC$1005:$AS$1005,1,MATCH(COLUMNS($AC$1006:AC1006),$AC$1006:$AS$1006,0))&gt;=100000), " ",IF(INDEX($AC$2:$AS$1001,MATCH(ROWS($V$2:V521),$V$2:$V$1001,0),MATCH(COLUMNS($AC$1006:AC1006),$AC$1006:$AS$1006,0)), HYPERLINK("#",""), HYPERLINK(CONCATENATE("#metadata!", ADDRESS(INDEX($X$2:$X$1001,MATCH(ROWS($V$2:V521),$V$2:$V$1001,0),0), INDEX($AC$1004:$AS$1004,1,MATCH(COLUMNS($AC$1006:AC1006),$AC$1006:$AS$1006,0)))),"Fix")))</f>
        <v xml:space="preserve"> </v>
      </c>
      <c r="C521" s="4" t="str">
        <f ca="1">IF(OR(INDEX($W$2:$W$1001,MATCH(ROWS($V$2:V521),$V$2:$V$1001,0),1)&gt;=100000,INDEX($AC$1005:$AS$1005,1,MATCH(COLUMNS($AC$1006:AD1006),$AC$1006:$AS$1006,0))&gt;=100000), " ",IF(INDEX($AC$2:$AS$1001,MATCH(ROWS($V$2:V521),$V$2:$V$1001,0),MATCH(COLUMNS($AC$1006:AD1006),$AC$1006:$AS$1006,0)), HYPERLINK("#",""), HYPERLINK(CONCATENATE("#metadata!", ADDRESS(INDEX($X$2:$X$1001,MATCH(ROWS($V$2:V521),$V$2:$V$1001,0),0), INDEX($AC$1004:$AS$1004,1,MATCH(COLUMNS($AC$1006:AD1006),$AC$1006:$AS$1006,0)))),"Fix")))</f>
        <v xml:space="preserve"> </v>
      </c>
      <c r="D521" s="4" t="str">
        <f ca="1">IF(OR(INDEX($W$2:$W$1001,MATCH(ROWS($V$2:V521),$V$2:$V$1001,0),1)&gt;=100000,INDEX($AC$1005:$AS$1005,1,MATCH(COLUMNS($AC$1006:AE1006),$AC$1006:$AS$1006,0))&gt;=100000), " ",IF(INDEX($AC$2:$AS$1001,MATCH(ROWS($V$2:V521),$V$2:$V$1001,0),MATCH(COLUMNS($AC$1006:AE1006),$AC$1006:$AS$1006,0)), HYPERLINK("#",""), HYPERLINK(CONCATENATE("#metadata!", ADDRESS(INDEX($X$2:$X$1001,MATCH(ROWS($V$2:V521),$V$2:$V$1001,0),0), INDEX($AC$1004:$AS$1004,1,MATCH(COLUMNS($AC$1006:AE1006),$AC$1006:$AS$1006,0)))),"Fix")))</f>
        <v xml:space="preserve"> </v>
      </c>
      <c r="E521" s="4" t="str">
        <f ca="1">IF(OR(INDEX($W$2:$W$1001,MATCH(ROWS($V$2:V521),$V$2:$V$1001,0),1)&gt;=100000,INDEX($AC$1005:$AS$1005,1,MATCH(COLUMNS($AC$1006:AF1006),$AC$1006:$AS$1006,0))&gt;=100000), " ",IF(INDEX($AC$2:$AS$1001,MATCH(ROWS($V$2:V521),$V$2:$V$1001,0),MATCH(COLUMNS($AC$1006:AF1006),$AC$1006:$AS$1006,0)), HYPERLINK("#",""), HYPERLINK(CONCATENATE("#metadata!", ADDRESS(INDEX($X$2:$X$1001,MATCH(ROWS($V$2:V521),$V$2:$V$1001,0),0), INDEX($AC$1004:$AS$1004,1,MATCH(COLUMNS($AC$1006:AF1006),$AC$1006:$AS$1006,0)))),"Fix")))</f>
        <v xml:space="preserve"> </v>
      </c>
      <c r="F521" s="4" t="str">
        <f ca="1">IF(OR(INDEX($W$2:$W$1001,MATCH(ROWS($V$2:V521),$V$2:$V$1001,0),1)&gt;=100000,INDEX($AC$1005:$AS$1005,1,MATCH(COLUMNS($AC$1006:AG1006),$AC$1006:$AS$1006,0))&gt;=100000), " ",IF(INDEX($AC$2:$AS$1001,MATCH(ROWS($V$2:V521),$V$2:$V$1001,0),MATCH(COLUMNS($AC$1006:AG1006),$AC$1006:$AS$1006,0)), HYPERLINK("#",""), HYPERLINK(CONCATENATE("#metadata!", ADDRESS(INDEX($X$2:$X$1001,MATCH(ROWS($V$2:V521),$V$2:$V$1001,0),0), INDEX($AC$1004:$AS$1004,1,MATCH(COLUMNS($AC$1006:AG1006),$AC$1006:$AS$1006,0)))),"Fix")))</f>
        <v xml:space="preserve"> </v>
      </c>
      <c r="G521" s="4" t="str">
        <f ca="1">IF(OR(INDEX($W$2:$W$1001,MATCH(ROWS($V$2:V521),$V$2:$V$1001,0),1)&gt;=100000,INDEX($AC$1005:$AS$1005,1,MATCH(COLUMNS($AC$1006:AH1006),$AC$1006:$AS$1006,0))&gt;=100000), " ",IF(INDEX($AC$2:$AS$1001,MATCH(ROWS($V$2:V521),$V$2:$V$1001,0),MATCH(COLUMNS($AC$1006:AH1006),$AC$1006:$AS$1006,0)), HYPERLINK("#",""), HYPERLINK(CONCATENATE("#metadata!", ADDRESS(INDEX($X$2:$X$1001,MATCH(ROWS($V$2:V521),$V$2:$V$1001,0),0), INDEX($AC$1004:$AS$1004,1,MATCH(COLUMNS($AC$1006:AH1006),$AC$1006:$AS$1006,0)))),"Fix")))</f>
        <v xml:space="preserve"> </v>
      </c>
      <c r="H521" s="4" t="str">
        <f ca="1">IF(OR(INDEX($W$2:$W$1001,MATCH(ROWS($V$2:V521),$V$2:$V$1001,0),1)&gt;=100000,INDEX($AC$1005:$AS$1005,1,MATCH(COLUMNS($AC$1006:AI1006),$AC$1006:$AS$1006,0))&gt;=100000), " ",IF(INDEX($AC$2:$AS$1001,MATCH(ROWS($V$2:V521),$V$2:$V$1001,0),MATCH(COLUMNS($AC$1006:AI1006),$AC$1006:$AS$1006,0)), HYPERLINK("#",""), HYPERLINK(CONCATENATE("#metadata!", ADDRESS(INDEX($X$2:$X$1001,MATCH(ROWS($V$2:V521),$V$2:$V$1001,0),0), INDEX($AC$1004:$AS$1004,1,MATCH(COLUMNS($AC$1006:AI1006),$AC$1006:$AS$1006,0)))),"Fix")))</f>
        <v xml:space="preserve"> </v>
      </c>
      <c r="I521" s="4" t="str">
        <f ca="1">IF(OR(INDEX($W$2:$W$1001,MATCH(ROWS($V$2:V521),$V$2:$V$1001,0),1)&gt;=100000,INDEX($AC$1005:$AS$1005,1,MATCH(COLUMNS($AC$1006:AJ1006),$AC$1006:$AS$1006,0))&gt;=100000), " ",IF(INDEX($AC$2:$AS$1001,MATCH(ROWS($V$2:V521),$V$2:$V$1001,0),MATCH(COLUMNS($AC$1006:AJ1006),$AC$1006:$AS$1006,0)), HYPERLINK("#",""), HYPERLINK(CONCATENATE("#metadata!", ADDRESS(INDEX($X$2:$X$1001,MATCH(ROWS($V$2:V521),$V$2:$V$1001,0),0), INDEX($AC$1004:$AS$1004,1,MATCH(COLUMNS($AC$1006:AJ1006),$AC$1006:$AS$1006,0)))),"Fix")))</f>
        <v xml:space="preserve"> </v>
      </c>
      <c r="J521" s="4" t="str">
        <f ca="1">IF(OR(INDEX($W$2:$W$1001,MATCH(ROWS($V$2:V521),$V$2:$V$1001,0),1)&gt;=100000,INDEX($AC$1005:$AS$1005,1,MATCH(COLUMNS($AC$1006:AK1006),$AC$1006:$AS$1006,0))&gt;=100000), " ",IF(INDEX($AC$2:$AS$1001,MATCH(ROWS($V$2:V521),$V$2:$V$1001,0),MATCH(COLUMNS($AC$1006:AK1006),$AC$1006:$AS$1006,0)), HYPERLINK("#",""), HYPERLINK(CONCATENATE("#metadata!", ADDRESS(INDEX($X$2:$X$1001,MATCH(ROWS($V$2:V521),$V$2:$V$1001,0),0), INDEX($AC$1004:$AS$1004,1,MATCH(COLUMNS($AC$1006:AK1006),$AC$1006:$AS$1006,0)))),"Fix")))</f>
        <v xml:space="preserve"> </v>
      </c>
      <c r="K521" s="4" t="str">
        <f ca="1">IF(OR(INDEX($W$2:$W$1001,MATCH(ROWS($V$2:V521),$V$2:$V$1001,0),1)&gt;=100000,INDEX($AC$1005:$AS$1005,1,MATCH(COLUMNS($AC$1006:AL1006),$AC$1006:$AS$1006,0))&gt;=100000), " ",IF(INDEX($AC$2:$AS$1001,MATCH(ROWS($V$2:V521),$V$2:$V$1001,0),MATCH(COLUMNS($AC$1006:AL1006),$AC$1006:$AS$1006,0)), HYPERLINK("#",""), HYPERLINK(CONCATENATE("#metadata!", ADDRESS(INDEX($X$2:$X$1001,MATCH(ROWS($V$2:V521),$V$2:$V$1001,0),0), INDEX($AC$1004:$AS$1004,1,MATCH(COLUMNS($AC$1006:AL1006),$AC$1006:$AS$1006,0)))),"Fix")))</f>
        <v xml:space="preserve"> </v>
      </c>
      <c r="L521" s="4" t="str">
        <f ca="1">IF(OR(INDEX($W$2:$W$1001,MATCH(ROWS($V$2:V521),$V$2:$V$1001,0),1)&gt;=100000,INDEX($AC$1005:$AS$1005,1,MATCH(COLUMNS($AC$1006:AM1006),$AC$1006:$AS$1006,0))&gt;=100000), " ",IF(INDEX($AC$2:$AS$1001,MATCH(ROWS($V$2:V521),$V$2:$V$1001,0),MATCH(COLUMNS($AC$1006:AM1006),$AC$1006:$AS$1006,0)), HYPERLINK("#",""), HYPERLINK(CONCATENATE("#metadata!", ADDRESS(INDEX($X$2:$X$1001,MATCH(ROWS($V$2:V521),$V$2:$V$1001,0),0), INDEX($AC$1004:$AS$1004,1,MATCH(COLUMNS($AC$1006:AM1006),$AC$1006:$AS$1006,0)))),"Fix")))</f>
        <v xml:space="preserve"> </v>
      </c>
      <c r="M521" s="4" t="str">
        <f ca="1">IF(OR(INDEX($W$2:$W$1001,MATCH(ROWS($V$2:V521),$V$2:$V$1001,0),1)&gt;=100000,INDEX($AC$1005:$AS$1005,1,MATCH(COLUMNS($AC$1006:AN1006),$AC$1006:$AS$1006,0))&gt;=100000), " ",IF(INDEX($AC$2:$AS$1001,MATCH(ROWS($V$2:V521),$V$2:$V$1001,0),MATCH(COLUMNS($AC$1006:AN1006),$AC$1006:$AS$1006,0)), HYPERLINK("#",""), HYPERLINK(CONCATENATE("#metadata!", ADDRESS(INDEX($X$2:$X$1001,MATCH(ROWS($V$2:V521),$V$2:$V$1001,0),0), INDEX($AC$1004:$AS$1004,1,MATCH(COLUMNS($AC$1006:AN1006),$AC$1006:$AS$1006,0)))),"Fix")))</f>
        <v xml:space="preserve"> </v>
      </c>
      <c r="N521" s="4" t="str">
        <f ca="1">IF(OR(INDEX($W$2:$W$1001,MATCH(ROWS($V$2:V521),$V$2:$V$1001,0),1)&gt;=100000,INDEX($AC$1005:$AS$1005,1,MATCH(COLUMNS($AC$1006:AO1006),$AC$1006:$AS$1006,0))&gt;=100000), " ",IF(INDEX($AC$2:$AS$1001,MATCH(ROWS($V$2:V521),$V$2:$V$1001,0),MATCH(COLUMNS($AC$1006:AO1006),$AC$1006:$AS$1006,0)), HYPERLINK("#",""), HYPERLINK(CONCATENATE("#metadata!", ADDRESS(INDEX($X$2:$X$1001,MATCH(ROWS($V$2:V521),$V$2:$V$1001,0),0), INDEX($AC$1004:$AS$1004,1,MATCH(COLUMNS($AC$1006:AO1006),$AC$1006:$AS$1006,0)))),"Fix")))</f>
        <v xml:space="preserve"> </v>
      </c>
      <c r="O521" s="4" t="str">
        <f ca="1">IF(OR(INDEX($W$2:$W$1001,MATCH(ROWS($V$2:V521),$V$2:$V$1001,0),1)&gt;=100000,INDEX($AC$1005:$AS$1005,1,MATCH(COLUMNS($AC$1006:AP1006),$AC$1006:$AS$1006,0))&gt;=100000), " ",IF(INDEX($AC$2:$AS$1001,MATCH(ROWS($V$2:V521),$V$2:$V$1001,0),MATCH(COLUMNS($AC$1006:AP1006),$AC$1006:$AS$1006,0)), HYPERLINK("#",""), HYPERLINK(CONCATENATE("#metadata!", ADDRESS(INDEX($X$2:$X$1001,MATCH(ROWS($V$2:V521),$V$2:$V$1001,0),0), INDEX($AC$1004:$AS$1004,1,MATCH(COLUMNS($AC$1006:AP1006),$AC$1006:$AS$1006,0)))),"Fix")))</f>
        <v xml:space="preserve"> </v>
      </c>
      <c r="P521" s="4" t="str">
        <f ca="1">IF(OR(INDEX($W$2:$W$1001,MATCH(ROWS($V$2:V521),$V$2:$V$1001,0),1)&gt;=100000,INDEX($AC$1005:$AS$1005,1,MATCH(COLUMNS($AC$1006:AQ1006),$AC$1006:$AS$1006,0))&gt;=100000), " ",IF(INDEX($AC$2:$AS$1001,MATCH(ROWS($V$2:V521),$V$2:$V$1001,0),MATCH(COLUMNS($AC$1006:AQ1006),$AC$1006:$AS$1006,0)), HYPERLINK("#",""), HYPERLINK(CONCATENATE("#metadata!", ADDRESS(INDEX($X$2:$X$1001,MATCH(ROWS($V$2:V521),$V$2:$V$1001,0),0), INDEX($AC$1004:$AS$1004,1,MATCH(COLUMNS($AC$1006:AQ1006),$AC$1006:$AS$1006,0)))),"Fix")))</f>
        <v xml:space="preserve"> </v>
      </c>
      <c r="Q521" s="4" t="str">
        <f ca="1">IF(OR(INDEX($W$2:$W$1001,MATCH(ROWS($V$2:V521),$V$2:$V$1001,0),1)&gt;=100000,INDEX($AC$1005:$AS$1005,1,MATCH(COLUMNS($AC$1006:AR1006),$AC$1006:$AS$1006,0))&gt;=100000), " ",IF(INDEX($AC$2:$AS$1001,MATCH(ROWS($V$2:V521),$V$2:$V$1001,0),MATCH(COLUMNS($AC$1006:AR1006),$AC$1006:$AS$1006,0)), HYPERLINK("#",""), HYPERLINK(CONCATENATE("#metadata!", ADDRESS(INDEX($X$2:$X$1001,MATCH(ROWS($V$2:V521),$V$2:$V$1001,0),0), INDEX($AC$1004:$AS$1004,1,MATCH(COLUMNS($AC$1006:AR1006),$AC$1006:$AS$1006,0)))),"Fix")))</f>
        <v xml:space="preserve"> </v>
      </c>
      <c r="R521" s="4" t="str">
        <f ca="1">IF(OR(INDEX($W$2:$W$1001,MATCH(ROWS($V$2:V521),$V$2:$V$1001,0),1)&gt;=100000,INDEX($AC$1005:$AS$1005,1,MATCH(COLUMNS($AC$1006:AS1006),$AC$1006:$AS$1006,0))&gt;=100000), " ",IF(INDEX($AC$2:$AS$1001,MATCH(ROWS($V$2:V521),$V$2:$V$1001,0),MATCH(COLUMNS($AC$1006:AS1006),$AC$1006:$AS$1006,0)), HYPERLINK("#",""), HYPERLINK(CONCATENATE("#metadata!", ADDRESS(INDEX($X$2:$X$1001,MATCH(ROWS($V$2:V521),$V$2:$V$1001,0),0), INDEX($AC$1004:$AS$1004,1,MATCH(COLUMNS($AC$1006:AS1006),$AC$1006:$AS$1006,0)))),"Fix")))</f>
        <v xml:space="preserve"> </v>
      </c>
      <c r="V521">
        <v>520</v>
      </c>
      <c r="W521">
        <v>100521</v>
      </c>
      <c r="X521">
        <v>521</v>
      </c>
      <c r="Y521" t="b">
        <f t="shared" si="8"/>
        <v>1</v>
      </c>
      <c r="Z521" t="b">
        <f>COUNTBLANK(metadata!B521:R521)=COLUMNS(metadata!B521:R521)</f>
        <v>1</v>
      </c>
      <c r="AA521" t="str">
        <v/>
      </c>
      <c r="AC521" t="b">
        <f ca="1"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AD521" t="b">
        <f>IF(metadata!C521="",FALSE,ISNUMBER(VALUE(metadata!C521)))</f>
        <v>0</v>
      </c>
      <c r="AE521" t="b">
        <f>AND(IF(metadata!D521="",FALSE,TRUE),EXACT(metadata!D521,"years"))</f>
        <v>0</v>
      </c>
      <c r="AF521" t="b">
        <f>OR(AND(IF(metadata!E521="",FALSE,TRUE),OR(EXACT(metadata!E521,"not applicable"),EXACT(metadata!E521,"missing: not collected"),EXACT(metadata!E521,"missing: not provided"),EXACT(metadata!E521,"missing: restricted access"))),AND(IF(metadata!E521="",FALSE,ISNUMBER(VALUE(metadata!E521))),metadata!E521&gt;0))</f>
        <v>0</v>
      </c>
      <c r="AG521" t="b">
        <f>AND(IF(metadata!F521="",FALSE,TRUE),EXACT(metadata!F521,"Not applicable"))</f>
        <v>0</v>
      </c>
      <c r="AH521" t="b">
        <f>AND(IF(metadata!G521="",FALSE,TRUE),EXACT(metadata!G521,"urban biome"))</f>
        <v>0</v>
      </c>
      <c r="AI521" t="b">
        <f>AND(IF(metadata!H521="",FALSE,TRUE),EXACT(metadata!H521,"human-associated habitat"))</f>
        <v>0</v>
      </c>
      <c r="AJ521" t="b">
        <f>AND(IF(metadata!I521="",FALSE,TRUE),OR(EXACT(metadata!I521,"human-associated"),EXACT(metadata!I521,"human-skin"),EXACT(metadata!I521,"human-oral"),EXACT(metadata!I521,"human-gut"),EXACT(metadata!I521,"human-vaginal")))</f>
        <v>0</v>
      </c>
      <c r="AK521" t="b">
        <f>IF(metadata!J521="",FALSE,ISNUMBER(VALUE(metadata!J521)))</f>
        <v>0</v>
      </c>
      <c r="AL521" t="b">
        <f>AND(IF(metadata!K521="",FALSE,TRUE),EXACT(metadata!K521,"cm"))</f>
        <v>0</v>
      </c>
      <c r="AM521" t="b">
        <f>AND(IF(metadata!L521="",FALSE,TRUE),EXACT(metadata!L521,"human"))</f>
        <v>0</v>
      </c>
      <c r="AN521" t="b">
        <f>AND(IF(metadata!M521="",FALSE,TRUE),EXACT(metadata!M521,"Homo sapiens"))</f>
        <v>0</v>
      </c>
      <c r="AO521" t="b">
        <f>AND(IF(metadata!N521="",FALSE,TRUE),EXACT(metadata!N521,"9606"))</f>
        <v>0</v>
      </c>
      <c r="AP521" t="b">
        <f>IF(metadata!O521="",FALSE,TRUE)</f>
        <v>0</v>
      </c>
      <c r="AQ521" t="b">
        <f>IF(metadata!P521="",FALSE,TRUE)</f>
        <v>0</v>
      </c>
      <c r="AR521" t="b">
        <f>IF(metadata!Q521="",FALSE,ISNUMBER(VALUE(metadata!Q521)))</f>
        <v>0</v>
      </c>
      <c r="AS521" t="b">
        <f>AND(IF(metadata!R521="",FALSE,TRUE),EXACT(metadata!R521,"kg"))</f>
        <v>0</v>
      </c>
    </row>
    <row r="522" spans="1:45" x14ac:dyDescent="0.2">
      <c r="A522" s="5" t="str">
        <f ca="1">IF(B522=" "," ",HYPERLINK(CONCATENATE("#metadata!",ADDRESS(INDEX($X$2:$X$1001,MATCH(ROWS($V$2:V522),$V$2:$V$1001,0),0),1)),INDEX($AA$2:$AA$1001,MATCH(ROWS($V$2:V522),$V$2:$V$1001,0),0)))</f>
        <v xml:space="preserve"> </v>
      </c>
      <c r="B522" s="4" t="str">
        <f ca="1">IF(OR(INDEX($W$2:$W$1001,MATCH(ROWS($V$2:V522),$V$2:$V$1001,0),1)&gt;=100000,INDEX($AC$1005:$AS$1005,1,MATCH(COLUMNS($AC$1006:AC1006),$AC$1006:$AS$1006,0))&gt;=100000), " ",IF(INDEX($AC$2:$AS$1001,MATCH(ROWS($V$2:V522),$V$2:$V$1001,0),MATCH(COLUMNS($AC$1006:AC1006),$AC$1006:$AS$1006,0)), HYPERLINK("#",""), HYPERLINK(CONCATENATE("#metadata!", ADDRESS(INDEX($X$2:$X$1001,MATCH(ROWS($V$2:V522),$V$2:$V$1001,0),0), INDEX($AC$1004:$AS$1004,1,MATCH(COLUMNS($AC$1006:AC1006),$AC$1006:$AS$1006,0)))),"Fix")))</f>
        <v xml:space="preserve"> </v>
      </c>
      <c r="C522" s="4" t="str">
        <f ca="1">IF(OR(INDEX($W$2:$W$1001,MATCH(ROWS($V$2:V522),$V$2:$V$1001,0),1)&gt;=100000,INDEX($AC$1005:$AS$1005,1,MATCH(COLUMNS($AC$1006:AD1006),$AC$1006:$AS$1006,0))&gt;=100000), " ",IF(INDEX($AC$2:$AS$1001,MATCH(ROWS($V$2:V522),$V$2:$V$1001,0),MATCH(COLUMNS($AC$1006:AD1006),$AC$1006:$AS$1006,0)), HYPERLINK("#",""), HYPERLINK(CONCATENATE("#metadata!", ADDRESS(INDEX($X$2:$X$1001,MATCH(ROWS($V$2:V522),$V$2:$V$1001,0),0), INDEX($AC$1004:$AS$1004,1,MATCH(COLUMNS($AC$1006:AD1006),$AC$1006:$AS$1006,0)))),"Fix")))</f>
        <v xml:space="preserve"> </v>
      </c>
      <c r="D522" s="4" t="str">
        <f ca="1">IF(OR(INDEX($W$2:$W$1001,MATCH(ROWS($V$2:V522),$V$2:$V$1001,0),1)&gt;=100000,INDEX($AC$1005:$AS$1005,1,MATCH(COLUMNS($AC$1006:AE1006),$AC$1006:$AS$1006,0))&gt;=100000), " ",IF(INDEX($AC$2:$AS$1001,MATCH(ROWS($V$2:V522),$V$2:$V$1001,0),MATCH(COLUMNS($AC$1006:AE1006),$AC$1006:$AS$1006,0)), HYPERLINK("#",""), HYPERLINK(CONCATENATE("#metadata!", ADDRESS(INDEX($X$2:$X$1001,MATCH(ROWS($V$2:V522),$V$2:$V$1001,0),0), INDEX($AC$1004:$AS$1004,1,MATCH(COLUMNS($AC$1006:AE1006),$AC$1006:$AS$1006,0)))),"Fix")))</f>
        <v xml:space="preserve"> </v>
      </c>
      <c r="E522" s="4" t="str">
        <f ca="1">IF(OR(INDEX($W$2:$W$1001,MATCH(ROWS($V$2:V522),$V$2:$V$1001,0),1)&gt;=100000,INDEX($AC$1005:$AS$1005,1,MATCH(COLUMNS($AC$1006:AF1006),$AC$1006:$AS$1006,0))&gt;=100000), " ",IF(INDEX($AC$2:$AS$1001,MATCH(ROWS($V$2:V522),$V$2:$V$1001,0),MATCH(COLUMNS($AC$1006:AF1006),$AC$1006:$AS$1006,0)), HYPERLINK("#",""), HYPERLINK(CONCATENATE("#metadata!", ADDRESS(INDEX($X$2:$X$1001,MATCH(ROWS($V$2:V522),$V$2:$V$1001,0),0), INDEX($AC$1004:$AS$1004,1,MATCH(COLUMNS($AC$1006:AF1006),$AC$1006:$AS$1006,0)))),"Fix")))</f>
        <v xml:space="preserve"> </v>
      </c>
      <c r="F522" s="4" t="str">
        <f ca="1">IF(OR(INDEX($W$2:$W$1001,MATCH(ROWS($V$2:V522),$V$2:$V$1001,0),1)&gt;=100000,INDEX($AC$1005:$AS$1005,1,MATCH(COLUMNS($AC$1006:AG1006),$AC$1006:$AS$1006,0))&gt;=100000), " ",IF(INDEX($AC$2:$AS$1001,MATCH(ROWS($V$2:V522),$V$2:$V$1001,0),MATCH(COLUMNS($AC$1006:AG1006),$AC$1006:$AS$1006,0)), HYPERLINK("#",""), HYPERLINK(CONCATENATE("#metadata!", ADDRESS(INDEX($X$2:$X$1001,MATCH(ROWS($V$2:V522),$V$2:$V$1001,0),0), INDEX($AC$1004:$AS$1004,1,MATCH(COLUMNS($AC$1006:AG1006),$AC$1006:$AS$1006,0)))),"Fix")))</f>
        <v xml:space="preserve"> </v>
      </c>
      <c r="G522" s="4" t="str">
        <f ca="1">IF(OR(INDEX($W$2:$W$1001,MATCH(ROWS($V$2:V522),$V$2:$V$1001,0),1)&gt;=100000,INDEX($AC$1005:$AS$1005,1,MATCH(COLUMNS($AC$1006:AH1006),$AC$1006:$AS$1006,0))&gt;=100000), " ",IF(INDEX($AC$2:$AS$1001,MATCH(ROWS($V$2:V522),$V$2:$V$1001,0),MATCH(COLUMNS($AC$1006:AH1006),$AC$1006:$AS$1006,0)), HYPERLINK("#",""), HYPERLINK(CONCATENATE("#metadata!", ADDRESS(INDEX($X$2:$X$1001,MATCH(ROWS($V$2:V522),$V$2:$V$1001,0),0), INDEX($AC$1004:$AS$1004,1,MATCH(COLUMNS($AC$1006:AH1006),$AC$1006:$AS$1006,0)))),"Fix")))</f>
        <v xml:space="preserve"> </v>
      </c>
      <c r="H522" s="4" t="str">
        <f ca="1">IF(OR(INDEX($W$2:$W$1001,MATCH(ROWS($V$2:V522),$V$2:$V$1001,0),1)&gt;=100000,INDEX($AC$1005:$AS$1005,1,MATCH(COLUMNS($AC$1006:AI1006),$AC$1006:$AS$1006,0))&gt;=100000), " ",IF(INDEX($AC$2:$AS$1001,MATCH(ROWS($V$2:V522),$V$2:$V$1001,0),MATCH(COLUMNS($AC$1006:AI1006),$AC$1006:$AS$1006,0)), HYPERLINK("#",""), HYPERLINK(CONCATENATE("#metadata!", ADDRESS(INDEX($X$2:$X$1001,MATCH(ROWS($V$2:V522),$V$2:$V$1001,0),0), INDEX($AC$1004:$AS$1004,1,MATCH(COLUMNS($AC$1006:AI1006),$AC$1006:$AS$1006,0)))),"Fix")))</f>
        <v xml:space="preserve"> </v>
      </c>
      <c r="I522" s="4" t="str">
        <f ca="1">IF(OR(INDEX($W$2:$W$1001,MATCH(ROWS($V$2:V522),$V$2:$V$1001,0),1)&gt;=100000,INDEX($AC$1005:$AS$1005,1,MATCH(COLUMNS($AC$1006:AJ1006),$AC$1006:$AS$1006,0))&gt;=100000), " ",IF(INDEX($AC$2:$AS$1001,MATCH(ROWS($V$2:V522),$V$2:$V$1001,0),MATCH(COLUMNS($AC$1006:AJ1006),$AC$1006:$AS$1006,0)), HYPERLINK("#",""), HYPERLINK(CONCATENATE("#metadata!", ADDRESS(INDEX($X$2:$X$1001,MATCH(ROWS($V$2:V522),$V$2:$V$1001,0),0), INDEX($AC$1004:$AS$1004,1,MATCH(COLUMNS($AC$1006:AJ1006),$AC$1006:$AS$1006,0)))),"Fix")))</f>
        <v xml:space="preserve"> </v>
      </c>
      <c r="J522" s="4" t="str">
        <f ca="1">IF(OR(INDEX($W$2:$W$1001,MATCH(ROWS($V$2:V522),$V$2:$V$1001,0),1)&gt;=100000,INDEX($AC$1005:$AS$1005,1,MATCH(COLUMNS($AC$1006:AK1006),$AC$1006:$AS$1006,0))&gt;=100000), " ",IF(INDEX($AC$2:$AS$1001,MATCH(ROWS($V$2:V522),$V$2:$V$1001,0),MATCH(COLUMNS($AC$1006:AK1006),$AC$1006:$AS$1006,0)), HYPERLINK("#",""), HYPERLINK(CONCATENATE("#metadata!", ADDRESS(INDEX($X$2:$X$1001,MATCH(ROWS($V$2:V522),$V$2:$V$1001,0),0), INDEX($AC$1004:$AS$1004,1,MATCH(COLUMNS($AC$1006:AK1006),$AC$1006:$AS$1006,0)))),"Fix")))</f>
        <v xml:space="preserve"> </v>
      </c>
      <c r="K522" s="4" t="str">
        <f ca="1">IF(OR(INDEX($W$2:$W$1001,MATCH(ROWS($V$2:V522),$V$2:$V$1001,0),1)&gt;=100000,INDEX($AC$1005:$AS$1005,1,MATCH(COLUMNS($AC$1006:AL1006),$AC$1006:$AS$1006,0))&gt;=100000), " ",IF(INDEX($AC$2:$AS$1001,MATCH(ROWS($V$2:V522),$V$2:$V$1001,0),MATCH(COLUMNS($AC$1006:AL1006),$AC$1006:$AS$1006,0)), HYPERLINK("#",""), HYPERLINK(CONCATENATE("#metadata!", ADDRESS(INDEX($X$2:$X$1001,MATCH(ROWS($V$2:V522),$V$2:$V$1001,0),0), INDEX($AC$1004:$AS$1004,1,MATCH(COLUMNS($AC$1006:AL1006),$AC$1006:$AS$1006,0)))),"Fix")))</f>
        <v xml:space="preserve"> </v>
      </c>
      <c r="L522" s="4" t="str">
        <f ca="1">IF(OR(INDEX($W$2:$W$1001,MATCH(ROWS($V$2:V522),$V$2:$V$1001,0),1)&gt;=100000,INDEX($AC$1005:$AS$1005,1,MATCH(COLUMNS($AC$1006:AM1006),$AC$1006:$AS$1006,0))&gt;=100000), " ",IF(INDEX($AC$2:$AS$1001,MATCH(ROWS($V$2:V522),$V$2:$V$1001,0),MATCH(COLUMNS($AC$1006:AM1006),$AC$1006:$AS$1006,0)), HYPERLINK("#",""), HYPERLINK(CONCATENATE("#metadata!", ADDRESS(INDEX($X$2:$X$1001,MATCH(ROWS($V$2:V522),$V$2:$V$1001,0),0), INDEX($AC$1004:$AS$1004,1,MATCH(COLUMNS($AC$1006:AM1006),$AC$1006:$AS$1006,0)))),"Fix")))</f>
        <v xml:space="preserve"> </v>
      </c>
      <c r="M522" s="4" t="str">
        <f ca="1">IF(OR(INDEX($W$2:$W$1001,MATCH(ROWS($V$2:V522),$V$2:$V$1001,0),1)&gt;=100000,INDEX($AC$1005:$AS$1005,1,MATCH(COLUMNS($AC$1006:AN1006),$AC$1006:$AS$1006,0))&gt;=100000), " ",IF(INDEX($AC$2:$AS$1001,MATCH(ROWS($V$2:V522),$V$2:$V$1001,0),MATCH(COLUMNS($AC$1006:AN1006),$AC$1006:$AS$1006,0)), HYPERLINK("#",""), HYPERLINK(CONCATENATE("#metadata!", ADDRESS(INDEX($X$2:$X$1001,MATCH(ROWS($V$2:V522),$V$2:$V$1001,0),0), INDEX($AC$1004:$AS$1004,1,MATCH(COLUMNS($AC$1006:AN1006),$AC$1006:$AS$1006,0)))),"Fix")))</f>
        <v xml:space="preserve"> </v>
      </c>
      <c r="N522" s="4" t="str">
        <f ca="1">IF(OR(INDEX($W$2:$W$1001,MATCH(ROWS($V$2:V522),$V$2:$V$1001,0),1)&gt;=100000,INDEX($AC$1005:$AS$1005,1,MATCH(COLUMNS($AC$1006:AO1006),$AC$1006:$AS$1006,0))&gt;=100000), " ",IF(INDEX($AC$2:$AS$1001,MATCH(ROWS($V$2:V522),$V$2:$V$1001,0),MATCH(COLUMNS($AC$1006:AO1006),$AC$1006:$AS$1006,0)), HYPERLINK("#",""), HYPERLINK(CONCATENATE("#metadata!", ADDRESS(INDEX($X$2:$X$1001,MATCH(ROWS($V$2:V522),$V$2:$V$1001,0),0), INDEX($AC$1004:$AS$1004,1,MATCH(COLUMNS($AC$1006:AO1006),$AC$1006:$AS$1006,0)))),"Fix")))</f>
        <v xml:space="preserve"> </v>
      </c>
      <c r="O522" s="4" t="str">
        <f ca="1">IF(OR(INDEX($W$2:$W$1001,MATCH(ROWS($V$2:V522),$V$2:$V$1001,0),1)&gt;=100000,INDEX($AC$1005:$AS$1005,1,MATCH(COLUMNS($AC$1006:AP1006),$AC$1006:$AS$1006,0))&gt;=100000), " ",IF(INDEX($AC$2:$AS$1001,MATCH(ROWS($V$2:V522),$V$2:$V$1001,0),MATCH(COLUMNS($AC$1006:AP1006),$AC$1006:$AS$1006,0)), HYPERLINK("#",""), HYPERLINK(CONCATENATE("#metadata!", ADDRESS(INDEX($X$2:$X$1001,MATCH(ROWS($V$2:V522),$V$2:$V$1001,0),0), INDEX($AC$1004:$AS$1004,1,MATCH(COLUMNS($AC$1006:AP1006),$AC$1006:$AS$1006,0)))),"Fix")))</f>
        <v xml:space="preserve"> </v>
      </c>
      <c r="P522" s="4" t="str">
        <f ca="1">IF(OR(INDEX($W$2:$W$1001,MATCH(ROWS($V$2:V522),$V$2:$V$1001,0),1)&gt;=100000,INDEX($AC$1005:$AS$1005,1,MATCH(COLUMNS($AC$1006:AQ1006),$AC$1006:$AS$1006,0))&gt;=100000), " ",IF(INDEX($AC$2:$AS$1001,MATCH(ROWS($V$2:V522),$V$2:$V$1001,0),MATCH(COLUMNS($AC$1006:AQ1006),$AC$1006:$AS$1006,0)), HYPERLINK("#",""), HYPERLINK(CONCATENATE("#metadata!", ADDRESS(INDEX($X$2:$X$1001,MATCH(ROWS($V$2:V522),$V$2:$V$1001,0),0), INDEX($AC$1004:$AS$1004,1,MATCH(COLUMNS($AC$1006:AQ1006),$AC$1006:$AS$1006,0)))),"Fix")))</f>
        <v xml:space="preserve"> </v>
      </c>
      <c r="Q522" s="4" t="str">
        <f ca="1">IF(OR(INDEX($W$2:$W$1001,MATCH(ROWS($V$2:V522),$V$2:$V$1001,0),1)&gt;=100000,INDEX($AC$1005:$AS$1005,1,MATCH(COLUMNS($AC$1006:AR1006),$AC$1006:$AS$1006,0))&gt;=100000), " ",IF(INDEX($AC$2:$AS$1001,MATCH(ROWS($V$2:V522),$V$2:$V$1001,0),MATCH(COLUMNS($AC$1006:AR1006),$AC$1006:$AS$1006,0)), HYPERLINK("#",""), HYPERLINK(CONCATENATE("#metadata!", ADDRESS(INDEX($X$2:$X$1001,MATCH(ROWS($V$2:V522),$V$2:$V$1001,0),0), INDEX($AC$1004:$AS$1004,1,MATCH(COLUMNS($AC$1006:AR1006),$AC$1006:$AS$1006,0)))),"Fix")))</f>
        <v xml:space="preserve"> </v>
      </c>
      <c r="R522" s="4" t="str">
        <f ca="1">IF(OR(INDEX($W$2:$W$1001,MATCH(ROWS($V$2:V522),$V$2:$V$1001,0),1)&gt;=100000,INDEX($AC$1005:$AS$1005,1,MATCH(COLUMNS($AC$1006:AS1006),$AC$1006:$AS$1006,0))&gt;=100000), " ",IF(INDEX($AC$2:$AS$1001,MATCH(ROWS($V$2:V522),$V$2:$V$1001,0),MATCH(COLUMNS($AC$1006:AS1006),$AC$1006:$AS$1006,0)), HYPERLINK("#",""), HYPERLINK(CONCATENATE("#metadata!", ADDRESS(INDEX($X$2:$X$1001,MATCH(ROWS($V$2:V522),$V$2:$V$1001,0),0), INDEX($AC$1004:$AS$1004,1,MATCH(COLUMNS($AC$1006:AS1006),$AC$1006:$AS$1006,0)))),"Fix")))</f>
        <v xml:space="preserve"> </v>
      </c>
      <c r="V522">
        <v>521</v>
      </c>
      <c r="W522">
        <v>100522</v>
      </c>
      <c r="X522">
        <v>522</v>
      </c>
      <c r="Y522" t="b">
        <f t="shared" si="8"/>
        <v>1</v>
      </c>
      <c r="Z522" t="b">
        <f>COUNTBLANK(metadata!B522:R522)=COLUMNS(metadata!B522:R522)</f>
        <v>1</v>
      </c>
      <c r="AA522" t="str">
        <v/>
      </c>
      <c r="AC522" t="b">
        <f ca="1"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AD522" t="b">
        <f>IF(metadata!C522="",FALSE,ISNUMBER(VALUE(metadata!C522)))</f>
        <v>0</v>
      </c>
      <c r="AE522" t="b">
        <f>AND(IF(metadata!D522="",FALSE,TRUE),EXACT(metadata!D522,"years"))</f>
        <v>0</v>
      </c>
      <c r="AF522" t="b">
        <f>OR(AND(IF(metadata!E522="",FALSE,TRUE),OR(EXACT(metadata!E522,"not applicable"),EXACT(metadata!E522,"missing: not collected"),EXACT(metadata!E522,"missing: not provided"),EXACT(metadata!E522,"missing: restricted access"))),AND(IF(metadata!E522="",FALSE,ISNUMBER(VALUE(metadata!E522))),metadata!E522&gt;0))</f>
        <v>0</v>
      </c>
      <c r="AG522" t="b">
        <f>AND(IF(metadata!F522="",FALSE,TRUE),EXACT(metadata!F522,"Not applicable"))</f>
        <v>0</v>
      </c>
      <c r="AH522" t="b">
        <f>AND(IF(metadata!G522="",FALSE,TRUE),EXACT(metadata!G522,"urban biome"))</f>
        <v>0</v>
      </c>
      <c r="AI522" t="b">
        <f>AND(IF(metadata!H522="",FALSE,TRUE),EXACT(metadata!H522,"human-associated habitat"))</f>
        <v>0</v>
      </c>
      <c r="AJ522" t="b">
        <f>AND(IF(metadata!I522="",FALSE,TRUE),OR(EXACT(metadata!I522,"human-associated"),EXACT(metadata!I522,"human-skin"),EXACT(metadata!I522,"human-oral"),EXACT(metadata!I522,"human-gut"),EXACT(metadata!I522,"human-vaginal")))</f>
        <v>0</v>
      </c>
      <c r="AK522" t="b">
        <f>IF(metadata!J522="",FALSE,ISNUMBER(VALUE(metadata!J522)))</f>
        <v>0</v>
      </c>
      <c r="AL522" t="b">
        <f>AND(IF(metadata!K522="",FALSE,TRUE),EXACT(metadata!K522,"cm"))</f>
        <v>0</v>
      </c>
      <c r="AM522" t="b">
        <f>AND(IF(metadata!L522="",FALSE,TRUE),EXACT(metadata!L522,"human"))</f>
        <v>0</v>
      </c>
      <c r="AN522" t="b">
        <f>AND(IF(metadata!M522="",FALSE,TRUE),EXACT(metadata!M522,"Homo sapiens"))</f>
        <v>0</v>
      </c>
      <c r="AO522" t="b">
        <f>AND(IF(metadata!N522="",FALSE,TRUE),EXACT(metadata!N522,"9606"))</f>
        <v>0</v>
      </c>
      <c r="AP522" t="b">
        <f>IF(metadata!O522="",FALSE,TRUE)</f>
        <v>0</v>
      </c>
      <c r="AQ522" t="b">
        <f>IF(metadata!P522="",FALSE,TRUE)</f>
        <v>0</v>
      </c>
      <c r="AR522" t="b">
        <f>IF(metadata!Q522="",FALSE,ISNUMBER(VALUE(metadata!Q522)))</f>
        <v>0</v>
      </c>
      <c r="AS522" t="b">
        <f>AND(IF(metadata!R522="",FALSE,TRUE),EXACT(metadata!R522,"kg"))</f>
        <v>0</v>
      </c>
    </row>
    <row r="523" spans="1:45" x14ac:dyDescent="0.2">
      <c r="A523" s="5" t="str">
        <f ca="1">IF(B523=" "," ",HYPERLINK(CONCATENATE("#metadata!",ADDRESS(INDEX($X$2:$X$1001,MATCH(ROWS($V$2:V523),$V$2:$V$1001,0),0),1)),INDEX($AA$2:$AA$1001,MATCH(ROWS($V$2:V523),$V$2:$V$1001,0),0)))</f>
        <v xml:space="preserve"> </v>
      </c>
      <c r="B523" s="4" t="str">
        <f ca="1">IF(OR(INDEX($W$2:$W$1001,MATCH(ROWS($V$2:V523),$V$2:$V$1001,0),1)&gt;=100000,INDEX($AC$1005:$AS$1005,1,MATCH(COLUMNS($AC$1006:AC1006),$AC$1006:$AS$1006,0))&gt;=100000), " ",IF(INDEX($AC$2:$AS$1001,MATCH(ROWS($V$2:V523),$V$2:$V$1001,0),MATCH(COLUMNS($AC$1006:AC1006),$AC$1006:$AS$1006,0)), HYPERLINK("#",""), HYPERLINK(CONCATENATE("#metadata!", ADDRESS(INDEX($X$2:$X$1001,MATCH(ROWS($V$2:V523),$V$2:$V$1001,0),0), INDEX($AC$1004:$AS$1004,1,MATCH(COLUMNS($AC$1006:AC1006),$AC$1006:$AS$1006,0)))),"Fix")))</f>
        <v xml:space="preserve"> </v>
      </c>
      <c r="C523" s="4" t="str">
        <f ca="1">IF(OR(INDEX($W$2:$W$1001,MATCH(ROWS($V$2:V523),$V$2:$V$1001,0),1)&gt;=100000,INDEX($AC$1005:$AS$1005,1,MATCH(COLUMNS($AC$1006:AD1006),$AC$1006:$AS$1006,0))&gt;=100000), " ",IF(INDEX($AC$2:$AS$1001,MATCH(ROWS($V$2:V523),$V$2:$V$1001,0),MATCH(COLUMNS($AC$1006:AD1006),$AC$1006:$AS$1006,0)), HYPERLINK("#",""), HYPERLINK(CONCATENATE("#metadata!", ADDRESS(INDEX($X$2:$X$1001,MATCH(ROWS($V$2:V523),$V$2:$V$1001,0),0), INDEX($AC$1004:$AS$1004,1,MATCH(COLUMNS($AC$1006:AD1006),$AC$1006:$AS$1006,0)))),"Fix")))</f>
        <v xml:space="preserve"> </v>
      </c>
      <c r="D523" s="4" t="str">
        <f ca="1">IF(OR(INDEX($W$2:$W$1001,MATCH(ROWS($V$2:V523),$V$2:$V$1001,0),1)&gt;=100000,INDEX($AC$1005:$AS$1005,1,MATCH(COLUMNS($AC$1006:AE1006),$AC$1006:$AS$1006,0))&gt;=100000), " ",IF(INDEX($AC$2:$AS$1001,MATCH(ROWS($V$2:V523),$V$2:$V$1001,0),MATCH(COLUMNS($AC$1006:AE1006),$AC$1006:$AS$1006,0)), HYPERLINK("#",""), HYPERLINK(CONCATENATE("#metadata!", ADDRESS(INDEX($X$2:$X$1001,MATCH(ROWS($V$2:V523),$V$2:$V$1001,0),0), INDEX($AC$1004:$AS$1004,1,MATCH(COLUMNS($AC$1006:AE1006),$AC$1006:$AS$1006,0)))),"Fix")))</f>
        <v xml:space="preserve"> </v>
      </c>
      <c r="E523" s="4" t="str">
        <f ca="1">IF(OR(INDEX($W$2:$W$1001,MATCH(ROWS($V$2:V523),$V$2:$V$1001,0),1)&gt;=100000,INDEX($AC$1005:$AS$1005,1,MATCH(COLUMNS($AC$1006:AF1006),$AC$1006:$AS$1006,0))&gt;=100000), " ",IF(INDEX($AC$2:$AS$1001,MATCH(ROWS($V$2:V523),$V$2:$V$1001,0),MATCH(COLUMNS($AC$1006:AF1006),$AC$1006:$AS$1006,0)), HYPERLINK("#",""), HYPERLINK(CONCATENATE("#metadata!", ADDRESS(INDEX($X$2:$X$1001,MATCH(ROWS($V$2:V523),$V$2:$V$1001,0),0), INDEX($AC$1004:$AS$1004,1,MATCH(COLUMNS($AC$1006:AF1006),$AC$1006:$AS$1006,0)))),"Fix")))</f>
        <v xml:space="preserve"> </v>
      </c>
      <c r="F523" s="4" t="str">
        <f ca="1">IF(OR(INDEX($W$2:$W$1001,MATCH(ROWS($V$2:V523),$V$2:$V$1001,0),1)&gt;=100000,INDEX($AC$1005:$AS$1005,1,MATCH(COLUMNS($AC$1006:AG1006),$AC$1006:$AS$1006,0))&gt;=100000), " ",IF(INDEX($AC$2:$AS$1001,MATCH(ROWS($V$2:V523),$V$2:$V$1001,0),MATCH(COLUMNS($AC$1006:AG1006),$AC$1006:$AS$1006,0)), HYPERLINK("#",""), HYPERLINK(CONCATENATE("#metadata!", ADDRESS(INDEX($X$2:$X$1001,MATCH(ROWS($V$2:V523),$V$2:$V$1001,0),0), INDEX($AC$1004:$AS$1004,1,MATCH(COLUMNS($AC$1006:AG1006),$AC$1006:$AS$1006,0)))),"Fix")))</f>
        <v xml:space="preserve"> </v>
      </c>
      <c r="G523" s="4" t="str">
        <f ca="1">IF(OR(INDEX($W$2:$W$1001,MATCH(ROWS($V$2:V523),$V$2:$V$1001,0),1)&gt;=100000,INDEX($AC$1005:$AS$1005,1,MATCH(COLUMNS($AC$1006:AH1006),$AC$1006:$AS$1006,0))&gt;=100000), " ",IF(INDEX($AC$2:$AS$1001,MATCH(ROWS($V$2:V523),$V$2:$V$1001,0),MATCH(COLUMNS($AC$1006:AH1006),$AC$1006:$AS$1006,0)), HYPERLINK("#",""), HYPERLINK(CONCATENATE("#metadata!", ADDRESS(INDEX($X$2:$X$1001,MATCH(ROWS($V$2:V523),$V$2:$V$1001,0),0), INDEX($AC$1004:$AS$1004,1,MATCH(COLUMNS($AC$1006:AH1006),$AC$1006:$AS$1006,0)))),"Fix")))</f>
        <v xml:space="preserve"> </v>
      </c>
      <c r="H523" s="4" t="str">
        <f ca="1">IF(OR(INDEX($W$2:$W$1001,MATCH(ROWS($V$2:V523),$V$2:$V$1001,0),1)&gt;=100000,INDEX($AC$1005:$AS$1005,1,MATCH(COLUMNS($AC$1006:AI1006),$AC$1006:$AS$1006,0))&gt;=100000), " ",IF(INDEX($AC$2:$AS$1001,MATCH(ROWS($V$2:V523),$V$2:$V$1001,0),MATCH(COLUMNS($AC$1006:AI1006),$AC$1006:$AS$1006,0)), HYPERLINK("#",""), HYPERLINK(CONCATENATE("#metadata!", ADDRESS(INDEX($X$2:$X$1001,MATCH(ROWS($V$2:V523),$V$2:$V$1001,0),0), INDEX($AC$1004:$AS$1004,1,MATCH(COLUMNS($AC$1006:AI1006),$AC$1006:$AS$1006,0)))),"Fix")))</f>
        <v xml:space="preserve"> </v>
      </c>
      <c r="I523" s="4" t="str">
        <f ca="1">IF(OR(INDEX($W$2:$W$1001,MATCH(ROWS($V$2:V523),$V$2:$V$1001,0),1)&gt;=100000,INDEX($AC$1005:$AS$1005,1,MATCH(COLUMNS($AC$1006:AJ1006),$AC$1006:$AS$1006,0))&gt;=100000), " ",IF(INDEX($AC$2:$AS$1001,MATCH(ROWS($V$2:V523),$V$2:$V$1001,0),MATCH(COLUMNS($AC$1006:AJ1006),$AC$1006:$AS$1006,0)), HYPERLINK("#",""), HYPERLINK(CONCATENATE("#metadata!", ADDRESS(INDEX($X$2:$X$1001,MATCH(ROWS($V$2:V523),$V$2:$V$1001,0),0), INDEX($AC$1004:$AS$1004,1,MATCH(COLUMNS($AC$1006:AJ1006),$AC$1006:$AS$1006,0)))),"Fix")))</f>
        <v xml:space="preserve"> </v>
      </c>
      <c r="J523" s="4" t="str">
        <f ca="1">IF(OR(INDEX($W$2:$W$1001,MATCH(ROWS($V$2:V523),$V$2:$V$1001,0),1)&gt;=100000,INDEX($AC$1005:$AS$1005,1,MATCH(COLUMNS($AC$1006:AK1006),$AC$1006:$AS$1006,0))&gt;=100000), " ",IF(INDEX($AC$2:$AS$1001,MATCH(ROWS($V$2:V523),$V$2:$V$1001,0),MATCH(COLUMNS($AC$1006:AK1006),$AC$1006:$AS$1006,0)), HYPERLINK("#",""), HYPERLINK(CONCATENATE("#metadata!", ADDRESS(INDEX($X$2:$X$1001,MATCH(ROWS($V$2:V523),$V$2:$V$1001,0),0), INDEX($AC$1004:$AS$1004,1,MATCH(COLUMNS($AC$1006:AK1006),$AC$1006:$AS$1006,0)))),"Fix")))</f>
        <v xml:space="preserve"> </v>
      </c>
      <c r="K523" s="4" t="str">
        <f ca="1">IF(OR(INDEX($W$2:$W$1001,MATCH(ROWS($V$2:V523),$V$2:$V$1001,0),1)&gt;=100000,INDEX($AC$1005:$AS$1005,1,MATCH(COLUMNS($AC$1006:AL1006),$AC$1006:$AS$1006,0))&gt;=100000), " ",IF(INDEX($AC$2:$AS$1001,MATCH(ROWS($V$2:V523),$V$2:$V$1001,0),MATCH(COLUMNS($AC$1006:AL1006),$AC$1006:$AS$1006,0)), HYPERLINK("#",""), HYPERLINK(CONCATENATE("#metadata!", ADDRESS(INDEX($X$2:$X$1001,MATCH(ROWS($V$2:V523),$V$2:$V$1001,0),0), INDEX($AC$1004:$AS$1004,1,MATCH(COLUMNS($AC$1006:AL1006),$AC$1006:$AS$1006,0)))),"Fix")))</f>
        <v xml:space="preserve"> </v>
      </c>
      <c r="L523" s="4" t="str">
        <f ca="1">IF(OR(INDEX($W$2:$W$1001,MATCH(ROWS($V$2:V523),$V$2:$V$1001,0),1)&gt;=100000,INDEX($AC$1005:$AS$1005,1,MATCH(COLUMNS($AC$1006:AM1006),$AC$1006:$AS$1006,0))&gt;=100000), " ",IF(INDEX($AC$2:$AS$1001,MATCH(ROWS($V$2:V523),$V$2:$V$1001,0),MATCH(COLUMNS($AC$1006:AM1006),$AC$1006:$AS$1006,0)), HYPERLINK("#",""), HYPERLINK(CONCATENATE("#metadata!", ADDRESS(INDEX($X$2:$X$1001,MATCH(ROWS($V$2:V523),$V$2:$V$1001,0),0), INDEX($AC$1004:$AS$1004,1,MATCH(COLUMNS($AC$1006:AM1006),$AC$1006:$AS$1006,0)))),"Fix")))</f>
        <v xml:space="preserve"> </v>
      </c>
      <c r="M523" s="4" t="str">
        <f ca="1">IF(OR(INDEX($W$2:$W$1001,MATCH(ROWS($V$2:V523),$V$2:$V$1001,0),1)&gt;=100000,INDEX($AC$1005:$AS$1005,1,MATCH(COLUMNS($AC$1006:AN1006),$AC$1006:$AS$1006,0))&gt;=100000), " ",IF(INDEX($AC$2:$AS$1001,MATCH(ROWS($V$2:V523),$V$2:$V$1001,0),MATCH(COLUMNS($AC$1006:AN1006),$AC$1006:$AS$1006,0)), HYPERLINK("#",""), HYPERLINK(CONCATENATE("#metadata!", ADDRESS(INDEX($X$2:$X$1001,MATCH(ROWS($V$2:V523),$V$2:$V$1001,0),0), INDEX($AC$1004:$AS$1004,1,MATCH(COLUMNS($AC$1006:AN1006),$AC$1006:$AS$1006,0)))),"Fix")))</f>
        <v xml:space="preserve"> </v>
      </c>
      <c r="N523" s="4" t="str">
        <f ca="1">IF(OR(INDEX($W$2:$W$1001,MATCH(ROWS($V$2:V523),$V$2:$V$1001,0),1)&gt;=100000,INDEX($AC$1005:$AS$1005,1,MATCH(COLUMNS($AC$1006:AO1006),$AC$1006:$AS$1006,0))&gt;=100000), " ",IF(INDEX($AC$2:$AS$1001,MATCH(ROWS($V$2:V523),$V$2:$V$1001,0),MATCH(COLUMNS($AC$1006:AO1006),$AC$1006:$AS$1006,0)), HYPERLINK("#",""), HYPERLINK(CONCATENATE("#metadata!", ADDRESS(INDEX($X$2:$X$1001,MATCH(ROWS($V$2:V523),$V$2:$V$1001,0),0), INDEX($AC$1004:$AS$1004,1,MATCH(COLUMNS($AC$1006:AO1006),$AC$1006:$AS$1006,0)))),"Fix")))</f>
        <v xml:space="preserve"> </v>
      </c>
      <c r="O523" s="4" t="str">
        <f ca="1">IF(OR(INDEX($W$2:$W$1001,MATCH(ROWS($V$2:V523),$V$2:$V$1001,0),1)&gt;=100000,INDEX($AC$1005:$AS$1005,1,MATCH(COLUMNS($AC$1006:AP1006),$AC$1006:$AS$1006,0))&gt;=100000), " ",IF(INDEX($AC$2:$AS$1001,MATCH(ROWS($V$2:V523),$V$2:$V$1001,0),MATCH(COLUMNS($AC$1006:AP1006),$AC$1006:$AS$1006,0)), HYPERLINK("#",""), HYPERLINK(CONCATENATE("#metadata!", ADDRESS(INDEX($X$2:$X$1001,MATCH(ROWS($V$2:V523),$V$2:$V$1001,0),0), INDEX($AC$1004:$AS$1004,1,MATCH(COLUMNS($AC$1006:AP1006),$AC$1006:$AS$1006,0)))),"Fix")))</f>
        <v xml:space="preserve"> </v>
      </c>
      <c r="P523" s="4" t="str">
        <f ca="1">IF(OR(INDEX($W$2:$W$1001,MATCH(ROWS($V$2:V523),$V$2:$V$1001,0),1)&gt;=100000,INDEX($AC$1005:$AS$1005,1,MATCH(COLUMNS($AC$1006:AQ1006),$AC$1006:$AS$1006,0))&gt;=100000), " ",IF(INDEX($AC$2:$AS$1001,MATCH(ROWS($V$2:V523),$V$2:$V$1001,0),MATCH(COLUMNS($AC$1006:AQ1006),$AC$1006:$AS$1006,0)), HYPERLINK("#",""), HYPERLINK(CONCATENATE("#metadata!", ADDRESS(INDEX($X$2:$X$1001,MATCH(ROWS($V$2:V523),$V$2:$V$1001,0),0), INDEX($AC$1004:$AS$1004,1,MATCH(COLUMNS($AC$1006:AQ1006),$AC$1006:$AS$1006,0)))),"Fix")))</f>
        <v xml:space="preserve"> </v>
      </c>
      <c r="Q523" s="4" t="str">
        <f ca="1">IF(OR(INDEX($W$2:$W$1001,MATCH(ROWS($V$2:V523),$V$2:$V$1001,0),1)&gt;=100000,INDEX($AC$1005:$AS$1005,1,MATCH(COLUMNS($AC$1006:AR1006),$AC$1006:$AS$1006,0))&gt;=100000), " ",IF(INDEX($AC$2:$AS$1001,MATCH(ROWS($V$2:V523),$V$2:$V$1001,0),MATCH(COLUMNS($AC$1006:AR1006),$AC$1006:$AS$1006,0)), HYPERLINK("#",""), HYPERLINK(CONCATENATE("#metadata!", ADDRESS(INDEX($X$2:$X$1001,MATCH(ROWS($V$2:V523),$V$2:$V$1001,0),0), INDEX($AC$1004:$AS$1004,1,MATCH(COLUMNS($AC$1006:AR1006),$AC$1006:$AS$1006,0)))),"Fix")))</f>
        <v xml:space="preserve"> </v>
      </c>
      <c r="R523" s="4" t="str">
        <f ca="1">IF(OR(INDEX($W$2:$W$1001,MATCH(ROWS($V$2:V523),$V$2:$V$1001,0),1)&gt;=100000,INDEX($AC$1005:$AS$1005,1,MATCH(COLUMNS($AC$1006:AS1006),$AC$1006:$AS$1006,0))&gt;=100000), " ",IF(INDEX($AC$2:$AS$1001,MATCH(ROWS($V$2:V523),$V$2:$V$1001,0),MATCH(COLUMNS($AC$1006:AS1006),$AC$1006:$AS$1006,0)), HYPERLINK("#",""), HYPERLINK(CONCATENATE("#metadata!", ADDRESS(INDEX($X$2:$X$1001,MATCH(ROWS($V$2:V523),$V$2:$V$1001,0),0), INDEX($AC$1004:$AS$1004,1,MATCH(COLUMNS($AC$1006:AS1006),$AC$1006:$AS$1006,0)))),"Fix")))</f>
        <v xml:space="preserve"> </v>
      </c>
      <c r="V523">
        <v>522</v>
      </c>
      <c r="W523">
        <v>100523</v>
      </c>
      <c r="X523">
        <v>523</v>
      </c>
      <c r="Y523" t="b">
        <f t="shared" si="8"/>
        <v>1</v>
      </c>
      <c r="Z523" t="b">
        <f>COUNTBLANK(metadata!B523:R523)=COLUMNS(metadata!B523:R523)</f>
        <v>1</v>
      </c>
      <c r="AA523" t="str">
        <v/>
      </c>
      <c r="AC523" t="b">
        <f ca="1"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AD523" t="b">
        <f>IF(metadata!C523="",FALSE,ISNUMBER(VALUE(metadata!C523)))</f>
        <v>0</v>
      </c>
      <c r="AE523" t="b">
        <f>AND(IF(metadata!D523="",FALSE,TRUE),EXACT(metadata!D523,"years"))</f>
        <v>0</v>
      </c>
      <c r="AF523" t="b">
        <f>OR(AND(IF(metadata!E523="",FALSE,TRUE),OR(EXACT(metadata!E523,"not applicable"),EXACT(metadata!E523,"missing: not collected"),EXACT(metadata!E523,"missing: not provided"),EXACT(metadata!E523,"missing: restricted access"))),AND(IF(metadata!E523="",FALSE,ISNUMBER(VALUE(metadata!E523))),metadata!E523&gt;0))</f>
        <v>0</v>
      </c>
      <c r="AG523" t="b">
        <f>AND(IF(metadata!F523="",FALSE,TRUE),EXACT(metadata!F523,"Not applicable"))</f>
        <v>0</v>
      </c>
      <c r="AH523" t="b">
        <f>AND(IF(metadata!G523="",FALSE,TRUE),EXACT(metadata!G523,"urban biome"))</f>
        <v>0</v>
      </c>
      <c r="AI523" t="b">
        <f>AND(IF(metadata!H523="",FALSE,TRUE),EXACT(metadata!H523,"human-associated habitat"))</f>
        <v>0</v>
      </c>
      <c r="AJ523" t="b">
        <f>AND(IF(metadata!I523="",FALSE,TRUE),OR(EXACT(metadata!I523,"human-associated"),EXACT(metadata!I523,"human-skin"),EXACT(metadata!I523,"human-oral"),EXACT(metadata!I523,"human-gut"),EXACT(metadata!I523,"human-vaginal")))</f>
        <v>0</v>
      </c>
      <c r="AK523" t="b">
        <f>IF(metadata!J523="",FALSE,ISNUMBER(VALUE(metadata!J523)))</f>
        <v>0</v>
      </c>
      <c r="AL523" t="b">
        <f>AND(IF(metadata!K523="",FALSE,TRUE),EXACT(metadata!K523,"cm"))</f>
        <v>0</v>
      </c>
      <c r="AM523" t="b">
        <f>AND(IF(metadata!L523="",FALSE,TRUE),EXACT(metadata!L523,"human"))</f>
        <v>0</v>
      </c>
      <c r="AN523" t="b">
        <f>AND(IF(metadata!M523="",FALSE,TRUE),EXACT(metadata!M523,"Homo sapiens"))</f>
        <v>0</v>
      </c>
      <c r="AO523" t="b">
        <f>AND(IF(metadata!N523="",FALSE,TRUE),EXACT(metadata!N523,"9606"))</f>
        <v>0</v>
      </c>
      <c r="AP523" t="b">
        <f>IF(metadata!O523="",FALSE,TRUE)</f>
        <v>0</v>
      </c>
      <c r="AQ523" t="b">
        <f>IF(metadata!P523="",FALSE,TRUE)</f>
        <v>0</v>
      </c>
      <c r="AR523" t="b">
        <f>IF(metadata!Q523="",FALSE,ISNUMBER(VALUE(metadata!Q523)))</f>
        <v>0</v>
      </c>
      <c r="AS523" t="b">
        <f>AND(IF(metadata!R523="",FALSE,TRUE),EXACT(metadata!R523,"kg"))</f>
        <v>0</v>
      </c>
    </row>
    <row r="524" spans="1:45" x14ac:dyDescent="0.2">
      <c r="A524" s="5" t="str">
        <f ca="1">IF(B524=" "," ",HYPERLINK(CONCATENATE("#metadata!",ADDRESS(INDEX($X$2:$X$1001,MATCH(ROWS($V$2:V524),$V$2:$V$1001,0),0),1)),INDEX($AA$2:$AA$1001,MATCH(ROWS($V$2:V524),$V$2:$V$1001,0),0)))</f>
        <v xml:space="preserve"> </v>
      </c>
      <c r="B524" s="4" t="str">
        <f ca="1">IF(OR(INDEX($W$2:$W$1001,MATCH(ROWS($V$2:V524),$V$2:$V$1001,0),1)&gt;=100000,INDEX($AC$1005:$AS$1005,1,MATCH(COLUMNS($AC$1006:AC1006),$AC$1006:$AS$1006,0))&gt;=100000), " ",IF(INDEX($AC$2:$AS$1001,MATCH(ROWS($V$2:V524),$V$2:$V$1001,0),MATCH(COLUMNS($AC$1006:AC1006),$AC$1006:$AS$1006,0)), HYPERLINK("#",""), HYPERLINK(CONCATENATE("#metadata!", ADDRESS(INDEX($X$2:$X$1001,MATCH(ROWS($V$2:V524),$V$2:$V$1001,0),0), INDEX($AC$1004:$AS$1004,1,MATCH(COLUMNS($AC$1006:AC1006),$AC$1006:$AS$1006,0)))),"Fix")))</f>
        <v xml:space="preserve"> </v>
      </c>
      <c r="C524" s="4" t="str">
        <f ca="1">IF(OR(INDEX($W$2:$W$1001,MATCH(ROWS($V$2:V524),$V$2:$V$1001,0),1)&gt;=100000,INDEX($AC$1005:$AS$1005,1,MATCH(COLUMNS($AC$1006:AD1006),$AC$1006:$AS$1006,0))&gt;=100000), " ",IF(INDEX($AC$2:$AS$1001,MATCH(ROWS($V$2:V524),$V$2:$V$1001,0),MATCH(COLUMNS($AC$1006:AD1006),$AC$1006:$AS$1006,0)), HYPERLINK("#",""), HYPERLINK(CONCATENATE("#metadata!", ADDRESS(INDEX($X$2:$X$1001,MATCH(ROWS($V$2:V524),$V$2:$V$1001,0),0), INDEX($AC$1004:$AS$1004,1,MATCH(COLUMNS($AC$1006:AD1006),$AC$1006:$AS$1006,0)))),"Fix")))</f>
        <v xml:space="preserve"> </v>
      </c>
      <c r="D524" s="4" t="str">
        <f ca="1">IF(OR(INDEX($W$2:$W$1001,MATCH(ROWS($V$2:V524),$V$2:$V$1001,0),1)&gt;=100000,INDEX($AC$1005:$AS$1005,1,MATCH(COLUMNS($AC$1006:AE1006),$AC$1006:$AS$1006,0))&gt;=100000), " ",IF(INDEX($AC$2:$AS$1001,MATCH(ROWS($V$2:V524),$V$2:$V$1001,0),MATCH(COLUMNS($AC$1006:AE1006),$AC$1006:$AS$1006,0)), HYPERLINK("#",""), HYPERLINK(CONCATENATE("#metadata!", ADDRESS(INDEX($X$2:$X$1001,MATCH(ROWS($V$2:V524),$V$2:$V$1001,0),0), INDEX($AC$1004:$AS$1004,1,MATCH(COLUMNS($AC$1006:AE1006),$AC$1006:$AS$1006,0)))),"Fix")))</f>
        <v xml:space="preserve"> </v>
      </c>
      <c r="E524" s="4" t="str">
        <f ca="1">IF(OR(INDEX($W$2:$W$1001,MATCH(ROWS($V$2:V524),$V$2:$V$1001,0),1)&gt;=100000,INDEX($AC$1005:$AS$1005,1,MATCH(COLUMNS($AC$1006:AF1006),$AC$1006:$AS$1006,0))&gt;=100000), " ",IF(INDEX($AC$2:$AS$1001,MATCH(ROWS($V$2:V524),$V$2:$V$1001,0),MATCH(COLUMNS($AC$1006:AF1006),$AC$1006:$AS$1006,0)), HYPERLINK("#",""), HYPERLINK(CONCATENATE("#metadata!", ADDRESS(INDEX($X$2:$X$1001,MATCH(ROWS($V$2:V524),$V$2:$V$1001,0),0), INDEX($AC$1004:$AS$1004,1,MATCH(COLUMNS($AC$1006:AF1006),$AC$1006:$AS$1006,0)))),"Fix")))</f>
        <v xml:space="preserve"> </v>
      </c>
      <c r="F524" s="4" t="str">
        <f ca="1">IF(OR(INDEX($W$2:$W$1001,MATCH(ROWS($V$2:V524),$V$2:$V$1001,0),1)&gt;=100000,INDEX($AC$1005:$AS$1005,1,MATCH(COLUMNS($AC$1006:AG1006),$AC$1006:$AS$1006,0))&gt;=100000), " ",IF(INDEX($AC$2:$AS$1001,MATCH(ROWS($V$2:V524),$V$2:$V$1001,0),MATCH(COLUMNS($AC$1006:AG1006),$AC$1006:$AS$1006,0)), HYPERLINK("#",""), HYPERLINK(CONCATENATE("#metadata!", ADDRESS(INDEX($X$2:$X$1001,MATCH(ROWS($V$2:V524),$V$2:$V$1001,0),0), INDEX($AC$1004:$AS$1004,1,MATCH(COLUMNS($AC$1006:AG1006),$AC$1006:$AS$1006,0)))),"Fix")))</f>
        <v xml:space="preserve"> </v>
      </c>
      <c r="G524" s="4" t="str">
        <f ca="1">IF(OR(INDEX($W$2:$W$1001,MATCH(ROWS($V$2:V524),$V$2:$V$1001,0),1)&gt;=100000,INDEX($AC$1005:$AS$1005,1,MATCH(COLUMNS($AC$1006:AH1006),$AC$1006:$AS$1006,0))&gt;=100000), " ",IF(INDEX($AC$2:$AS$1001,MATCH(ROWS($V$2:V524),$V$2:$V$1001,0),MATCH(COLUMNS($AC$1006:AH1006),$AC$1006:$AS$1006,0)), HYPERLINK("#",""), HYPERLINK(CONCATENATE("#metadata!", ADDRESS(INDEX($X$2:$X$1001,MATCH(ROWS($V$2:V524),$V$2:$V$1001,0),0), INDEX($AC$1004:$AS$1004,1,MATCH(COLUMNS($AC$1006:AH1006),$AC$1006:$AS$1006,0)))),"Fix")))</f>
        <v xml:space="preserve"> </v>
      </c>
      <c r="H524" s="4" t="str">
        <f ca="1">IF(OR(INDEX($W$2:$W$1001,MATCH(ROWS($V$2:V524),$V$2:$V$1001,0),1)&gt;=100000,INDEX($AC$1005:$AS$1005,1,MATCH(COLUMNS($AC$1006:AI1006),$AC$1006:$AS$1006,0))&gt;=100000), " ",IF(INDEX($AC$2:$AS$1001,MATCH(ROWS($V$2:V524),$V$2:$V$1001,0),MATCH(COLUMNS($AC$1006:AI1006),$AC$1006:$AS$1006,0)), HYPERLINK("#",""), HYPERLINK(CONCATENATE("#metadata!", ADDRESS(INDEX($X$2:$X$1001,MATCH(ROWS($V$2:V524),$V$2:$V$1001,0),0), INDEX($AC$1004:$AS$1004,1,MATCH(COLUMNS($AC$1006:AI1006),$AC$1006:$AS$1006,0)))),"Fix")))</f>
        <v xml:space="preserve"> </v>
      </c>
      <c r="I524" s="4" t="str">
        <f ca="1">IF(OR(INDEX($W$2:$W$1001,MATCH(ROWS($V$2:V524),$V$2:$V$1001,0),1)&gt;=100000,INDEX($AC$1005:$AS$1005,1,MATCH(COLUMNS($AC$1006:AJ1006),$AC$1006:$AS$1006,0))&gt;=100000), " ",IF(INDEX($AC$2:$AS$1001,MATCH(ROWS($V$2:V524),$V$2:$V$1001,0),MATCH(COLUMNS($AC$1006:AJ1006),$AC$1006:$AS$1006,0)), HYPERLINK("#",""), HYPERLINK(CONCATENATE("#metadata!", ADDRESS(INDEX($X$2:$X$1001,MATCH(ROWS($V$2:V524),$V$2:$V$1001,0),0), INDEX($AC$1004:$AS$1004,1,MATCH(COLUMNS($AC$1006:AJ1006),$AC$1006:$AS$1006,0)))),"Fix")))</f>
        <v xml:space="preserve"> </v>
      </c>
      <c r="J524" s="4" t="str">
        <f ca="1">IF(OR(INDEX($W$2:$W$1001,MATCH(ROWS($V$2:V524),$V$2:$V$1001,0),1)&gt;=100000,INDEX($AC$1005:$AS$1005,1,MATCH(COLUMNS($AC$1006:AK1006),$AC$1006:$AS$1006,0))&gt;=100000), " ",IF(INDEX($AC$2:$AS$1001,MATCH(ROWS($V$2:V524),$V$2:$V$1001,0),MATCH(COLUMNS($AC$1006:AK1006),$AC$1006:$AS$1006,0)), HYPERLINK("#",""), HYPERLINK(CONCATENATE("#metadata!", ADDRESS(INDEX($X$2:$X$1001,MATCH(ROWS($V$2:V524),$V$2:$V$1001,0),0), INDEX($AC$1004:$AS$1004,1,MATCH(COLUMNS($AC$1006:AK1006),$AC$1006:$AS$1006,0)))),"Fix")))</f>
        <v xml:space="preserve"> </v>
      </c>
      <c r="K524" s="4" t="str">
        <f ca="1">IF(OR(INDEX($W$2:$W$1001,MATCH(ROWS($V$2:V524),$V$2:$V$1001,0),1)&gt;=100000,INDEX($AC$1005:$AS$1005,1,MATCH(COLUMNS($AC$1006:AL1006),$AC$1006:$AS$1006,0))&gt;=100000), " ",IF(INDEX($AC$2:$AS$1001,MATCH(ROWS($V$2:V524),$V$2:$V$1001,0),MATCH(COLUMNS($AC$1006:AL1006),$AC$1006:$AS$1006,0)), HYPERLINK("#",""), HYPERLINK(CONCATENATE("#metadata!", ADDRESS(INDEX($X$2:$X$1001,MATCH(ROWS($V$2:V524),$V$2:$V$1001,0),0), INDEX($AC$1004:$AS$1004,1,MATCH(COLUMNS($AC$1006:AL1006),$AC$1006:$AS$1006,0)))),"Fix")))</f>
        <v xml:space="preserve"> </v>
      </c>
      <c r="L524" s="4" t="str">
        <f ca="1">IF(OR(INDEX($W$2:$W$1001,MATCH(ROWS($V$2:V524),$V$2:$V$1001,0),1)&gt;=100000,INDEX($AC$1005:$AS$1005,1,MATCH(COLUMNS($AC$1006:AM1006),$AC$1006:$AS$1006,0))&gt;=100000), " ",IF(INDEX($AC$2:$AS$1001,MATCH(ROWS($V$2:V524),$V$2:$V$1001,0),MATCH(COLUMNS($AC$1006:AM1006),$AC$1006:$AS$1006,0)), HYPERLINK("#",""), HYPERLINK(CONCATENATE("#metadata!", ADDRESS(INDEX($X$2:$X$1001,MATCH(ROWS($V$2:V524),$V$2:$V$1001,0),0), INDEX($AC$1004:$AS$1004,1,MATCH(COLUMNS($AC$1006:AM1006),$AC$1006:$AS$1006,0)))),"Fix")))</f>
        <v xml:space="preserve"> </v>
      </c>
      <c r="M524" s="4" t="str">
        <f ca="1">IF(OR(INDEX($W$2:$W$1001,MATCH(ROWS($V$2:V524),$V$2:$V$1001,0),1)&gt;=100000,INDEX($AC$1005:$AS$1005,1,MATCH(COLUMNS($AC$1006:AN1006),$AC$1006:$AS$1006,0))&gt;=100000), " ",IF(INDEX($AC$2:$AS$1001,MATCH(ROWS($V$2:V524),$V$2:$V$1001,0),MATCH(COLUMNS($AC$1006:AN1006),$AC$1006:$AS$1006,0)), HYPERLINK("#",""), HYPERLINK(CONCATENATE("#metadata!", ADDRESS(INDEX($X$2:$X$1001,MATCH(ROWS($V$2:V524),$V$2:$V$1001,0),0), INDEX($AC$1004:$AS$1004,1,MATCH(COLUMNS($AC$1006:AN1006),$AC$1006:$AS$1006,0)))),"Fix")))</f>
        <v xml:space="preserve"> </v>
      </c>
      <c r="N524" s="4" t="str">
        <f ca="1">IF(OR(INDEX($W$2:$W$1001,MATCH(ROWS($V$2:V524),$V$2:$V$1001,0),1)&gt;=100000,INDEX($AC$1005:$AS$1005,1,MATCH(COLUMNS($AC$1006:AO1006),$AC$1006:$AS$1006,0))&gt;=100000), " ",IF(INDEX($AC$2:$AS$1001,MATCH(ROWS($V$2:V524),$V$2:$V$1001,0),MATCH(COLUMNS($AC$1006:AO1006),$AC$1006:$AS$1006,0)), HYPERLINK("#",""), HYPERLINK(CONCATENATE("#metadata!", ADDRESS(INDEX($X$2:$X$1001,MATCH(ROWS($V$2:V524),$V$2:$V$1001,0),0), INDEX($AC$1004:$AS$1004,1,MATCH(COLUMNS($AC$1006:AO1006),$AC$1006:$AS$1006,0)))),"Fix")))</f>
        <v xml:space="preserve"> </v>
      </c>
      <c r="O524" s="4" t="str">
        <f ca="1">IF(OR(INDEX($W$2:$W$1001,MATCH(ROWS($V$2:V524),$V$2:$V$1001,0),1)&gt;=100000,INDEX($AC$1005:$AS$1005,1,MATCH(COLUMNS($AC$1006:AP1006),$AC$1006:$AS$1006,0))&gt;=100000), " ",IF(INDEX($AC$2:$AS$1001,MATCH(ROWS($V$2:V524),$V$2:$V$1001,0),MATCH(COLUMNS($AC$1006:AP1006),$AC$1006:$AS$1006,0)), HYPERLINK("#",""), HYPERLINK(CONCATENATE("#metadata!", ADDRESS(INDEX($X$2:$X$1001,MATCH(ROWS($V$2:V524),$V$2:$V$1001,0),0), INDEX($AC$1004:$AS$1004,1,MATCH(COLUMNS($AC$1006:AP1006),$AC$1006:$AS$1006,0)))),"Fix")))</f>
        <v xml:space="preserve"> </v>
      </c>
      <c r="P524" s="4" t="str">
        <f ca="1">IF(OR(INDEX($W$2:$W$1001,MATCH(ROWS($V$2:V524),$V$2:$V$1001,0),1)&gt;=100000,INDEX($AC$1005:$AS$1005,1,MATCH(COLUMNS($AC$1006:AQ1006),$AC$1006:$AS$1006,0))&gt;=100000), " ",IF(INDEX($AC$2:$AS$1001,MATCH(ROWS($V$2:V524),$V$2:$V$1001,0),MATCH(COLUMNS($AC$1006:AQ1006),$AC$1006:$AS$1006,0)), HYPERLINK("#",""), HYPERLINK(CONCATENATE("#metadata!", ADDRESS(INDEX($X$2:$X$1001,MATCH(ROWS($V$2:V524),$V$2:$V$1001,0),0), INDEX($AC$1004:$AS$1004,1,MATCH(COLUMNS($AC$1006:AQ1006),$AC$1006:$AS$1006,0)))),"Fix")))</f>
        <v xml:space="preserve"> </v>
      </c>
      <c r="Q524" s="4" t="str">
        <f ca="1">IF(OR(INDEX($W$2:$W$1001,MATCH(ROWS($V$2:V524),$V$2:$V$1001,0),1)&gt;=100000,INDEX($AC$1005:$AS$1005,1,MATCH(COLUMNS($AC$1006:AR1006),$AC$1006:$AS$1006,0))&gt;=100000), " ",IF(INDEX($AC$2:$AS$1001,MATCH(ROWS($V$2:V524),$V$2:$V$1001,0),MATCH(COLUMNS($AC$1006:AR1006),$AC$1006:$AS$1006,0)), HYPERLINK("#",""), HYPERLINK(CONCATENATE("#metadata!", ADDRESS(INDEX($X$2:$X$1001,MATCH(ROWS($V$2:V524),$V$2:$V$1001,0),0), INDEX($AC$1004:$AS$1004,1,MATCH(COLUMNS($AC$1006:AR1006),$AC$1006:$AS$1006,0)))),"Fix")))</f>
        <v xml:space="preserve"> </v>
      </c>
      <c r="R524" s="4" t="str">
        <f ca="1">IF(OR(INDEX($W$2:$W$1001,MATCH(ROWS($V$2:V524),$V$2:$V$1001,0),1)&gt;=100000,INDEX($AC$1005:$AS$1005,1,MATCH(COLUMNS($AC$1006:AS1006),$AC$1006:$AS$1006,0))&gt;=100000), " ",IF(INDEX($AC$2:$AS$1001,MATCH(ROWS($V$2:V524),$V$2:$V$1001,0),MATCH(COLUMNS($AC$1006:AS1006),$AC$1006:$AS$1006,0)), HYPERLINK("#",""), HYPERLINK(CONCATENATE("#metadata!", ADDRESS(INDEX($X$2:$X$1001,MATCH(ROWS($V$2:V524),$V$2:$V$1001,0),0), INDEX($AC$1004:$AS$1004,1,MATCH(COLUMNS($AC$1006:AS1006),$AC$1006:$AS$1006,0)))),"Fix")))</f>
        <v xml:space="preserve"> </v>
      </c>
      <c r="V524">
        <v>523</v>
      </c>
      <c r="W524">
        <v>100524</v>
      </c>
      <c r="X524">
        <v>524</v>
      </c>
      <c r="Y524" t="b">
        <f t="shared" si="8"/>
        <v>1</v>
      </c>
      <c r="Z524" t="b">
        <f>COUNTBLANK(metadata!B524:R524)=COLUMNS(metadata!B524:R524)</f>
        <v>1</v>
      </c>
      <c r="AA524" t="str">
        <v/>
      </c>
      <c r="AC524" t="b">
        <f ca="1"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AD524" t="b">
        <f>IF(metadata!C524="",FALSE,ISNUMBER(VALUE(metadata!C524)))</f>
        <v>0</v>
      </c>
      <c r="AE524" t="b">
        <f>AND(IF(metadata!D524="",FALSE,TRUE),EXACT(metadata!D524,"years"))</f>
        <v>0</v>
      </c>
      <c r="AF524" t="b">
        <f>OR(AND(IF(metadata!E524="",FALSE,TRUE),OR(EXACT(metadata!E524,"not applicable"),EXACT(metadata!E524,"missing: not collected"),EXACT(metadata!E524,"missing: not provided"),EXACT(metadata!E524,"missing: restricted access"))),AND(IF(metadata!E524="",FALSE,ISNUMBER(VALUE(metadata!E524))),metadata!E524&gt;0))</f>
        <v>0</v>
      </c>
      <c r="AG524" t="b">
        <f>AND(IF(metadata!F524="",FALSE,TRUE),EXACT(metadata!F524,"Not applicable"))</f>
        <v>0</v>
      </c>
      <c r="AH524" t="b">
        <f>AND(IF(metadata!G524="",FALSE,TRUE),EXACT(metadata!G524,"urban biome"))</f>
        <v>0</v>
      </c>
      <c r="AI524" t="b">
        <f>AND(IF(metadata!H524="",FALSE,TRUE),EXACT(metadata!H524,"human-associated habitat"))</f>
        <v>0</v>
      </c>
      <c r="AJ524" t="b">
        <f>AND(IF(metadata!I524="",FALSE,TRUE),OR(EXACT(metadata!I524,"human-associated"),EXACT(metadata!I524,"human-skin"),EXACT(metadata!I524,"human-oral"),EXACT(metadata!I524,"human-gut"),EXACT(metadata!I524,"human-vaginal")))</f>
        <v>0</v>
      </c>
      <c r="AK524" t="b">
        <f>IF(metadata!J524="",FALSE,ISNUMBER(VALUE(metadata!J524)))</f>
        <v>0</v>
      </c>
      <c r="AL524" t="b">
        <f>AND(IF(metadata!K524="",FALSE,TRUE),EXACT(metadata!K524,"cm"))</f>
        <v>0</v>
      </c>
      <c r="AM524" t="b">
        <f>AND(IF(metadata!L524="",FALSE,TRUE),EXACT(metadata!L524,"human"))</f>
        <v>0</v>
      </c>
      <c r="AN524" t="b">
        <f>AND(IF(metadata!M524="",FALSE,TRUE),EXACT(metadata!M524,"Homo sapiens"))</f>
        <v>0</v>
      </c>
      <c r="AO524" t="b">
        <f>AND(IF(metadata!N524="",FALSE,TRUE),EXACT(metadata!N524,"9606"))</f>
        <v>0</v>
      </c>
      <c r="AP524" t="b">
        <f>IF(metadata!O524="",FALSE,TRUE)</f>
        <v>0</v>
      </c>
      <c r="AQ524" t="b">
        <f>IF(metadata!P524="",FALSE,TRUE)</f>
        <v>0</v>
      </c>
      <c r="AR524" t="b">
        <f>IF(metadata!Q524="",FALSE,ISNUMBER(VALUE(metadata!Q524)))</f>
        <v>0</v>
      </c>
      <c r="AS524" t="b">
        <f>AND(IF(metadata!R524="",FALSE,TRUE),EXACT(metadata!R524,"kg"))</f>
        <v>0</v>
      </c>
    </row>
    <row r="525" spans="1:45" x14ac:dyDescent="0.2">
      <c r="A525" s="5" t="str">
        <f ca="1">IF(B525=" "," ",HYPERLINK(CONCATENATE("#metadata!",ADDRESS(INDEX($X$2:$X$1001,MATCH(ROWS($V$2:V525),$V$2:$V$1001,0),0),1)),INDEX($AA$2:$AA$1001,MATCH(ROWS($V$2:V525),$V$2:$V$1001,0),0)))</f>
        <v xml:space="preserve"> </v>
      </c>
      <c r="B525" s="4" t="str">
        <f ca="1">IF(OR(INDEX($W$2:$W$1001,MATCH(ROWS($V$2:V525),$V$2:$V$1001,0),1)&gt;=100000,INDEX($AC$1005:$AS$1005,1,MATCH(COLUMNS($AC$1006:AC1006),$AC$1006:$AS$1006,0))&gt;=100000), " ",IF(INDEX($AC$2:$AS$1001,MATCH(ROWS($V$2:V525),$V$2:$V$1001,0),MATCH(COLUMNS($AC$1006:AC1006),$AC$1006:$AS$1006,0)), HYPERLINK("#",""), HYPERLINK(CONCATENATE("#metadata!", ADDRESS(INDEX($X$2:$X$1001,MATCH(ROWS($V$2:V525),$V$2:$V$1001,0),0), INDEX($AC$1004:$AS$1004,1,MATCH(COLUMNS($AC$1006:AC1006),$AC$1006:$AS$1006,0)))),"Fix")))</f>
        <v xml:space="preserve"> </v>
      </c>
      <c r="C525" s="4" t="str">
        <f ca="1">IF(OR(INDEX($W$2:$W$1001,MATCH(ROWS($V$2:V525),$V$2:$V$1001,0),1)&gt;=100000,INDEX($AC$1005:$AS$1005,1,MATCH(COLUMNS($AC$1006:AD1006),$AC$1006:$AS$1006,0))&gt;=100000), " ",IF(INDEX($AC$2:$AS$1001,MATCH(ROWS($V$2:V525),$V$2:$V$1001,0),MATCH(COLUMNS($AC$1006:AD1006),$AC$1006:$AS$1006,0)), HYPERLINK("#",""), HYPERLINK(CONCATENATE("#metadata!", ADDRESS(INDEX($X$2:$X$1001,MATCH(ROWS($V$2:V525),$V$2:$V$1001,0),0), INDEX($AC$1004:$AS$1004,1,MATCH(COLUMNS($AC$1006:AD1006),$AC$1006:$AS$1006,0)))),"Fix")))</f>
        <v xml:space="preserve"> </v>
      </c>
      <c r="D525" s="4" t="str">
        <f ca="1">IF(OR(INDEX($W$2:$W$1001,MATCH(ROWS($V$2:V525),$V$2:$V$1001,0),1)&gt;=100000,INDEX($AC$1005:$AS$1005,1,MATCH(COLUMNS($AC$1006:AE1006),$AC$1006:$AS$1006,0))&gt;=100000), " ",IF(INDEX($AC$2:$AS$1001,MATCH(ROWS($V$2:V525),$V$2:$V$1001,0),MATCH(COLUMNS($AC$1006:AE1006),$AC$1006:$AS$1006,0)), HYPERLINK("#",""), HYPERLINK(CONCATENATE("#metadata!", ADDRESS(INDEX($X$2:$X$1001,MATCH(ROWS($V$2:V525),$V$2:$V$1001,0),0), INDEX($AC$1004:$AS$1004,1,MATCH(COLUMNS($AC$1006:AE1006),$AC$1006:$AS$1006,0)))),"Fix")))</f>
        <v xml:space="preserve"> </v>
      </c>
      <c r="E525" s="4" t="str">
        <f ca="1">IF(OR(INDEX($W$2:$W$1001,MATCH(ROWS($V$2:V525),$V$2:$V$1001,0),1)&gt;=100000,INDEX($AC$1005:$AS$1005,1,MATCH(COLUMNS($AC$1006:AF1006),$AC$1006:$AS$1006,0))&gt;=100000), " ",IF(INDEX($AC$2:$AS$1001,MATCH(ROWS($V$2:V525),$V$2:$V$1001,0),MATCH(COLUMNS($AC$1006:AF1006),$AC$1006:$AS$1006,0)), HYPERLINK("#",""), HYPERLINK(CONCATENATE("#metadata!", ADDRESS(INDEX($X$2:$X$1001,MATCH(ROWS($V$2:V525),$V$2:$V$1001,0),0), INDEX($AC$1004:$AS$1004,1,MATCH(COLUMNS($AC$1006:AF1006),$AC$1006:$AS$1006,0)))),"Fix")))</f>
        <v xml:space="preserve"> </v>
      </c>
      <c r="F525" s="4" t="str">
        <f ca="1">IF(OR(INDEX($W$2:$W$1001,MATCH(ROWS($V$2:V525),$V$2:$V$1001,0),1)&gt;=100000,INDEX($AC$1005:$AS$1005,1,MATCH(COLUMNS($AC$1006:AG1006),$AC$1006:$AS$1006,0))&gt;=100000), " ",IF(INDEX($AC$2:$AS$1001,MATCH(ROWS($V$2:V525),$V$2:$V$1001,0),MATCH(COLUMNS($AC$1006:AG1006),$AC$1006:$AS$1006,0)), HYPERLINK("#",""), HYPERLINK(CONCATENATE("#metadata!", ADDRESS(INDEX($X$2:$X$1001,MATCH(ROWS($V$2:V525),$V$2:$V$1001,0),0), INDEX($AC$1004:$AS$1004,1,MATCH(COLUMNS($AC$1006:AG1006),$AC$1006:$AS$1006,0)))),"Fix")))</f>
        <v xml:space="preserve"> </v>
      </c>
      <c r="G525" s="4" t="str">
        <f ca="1">IF(OR(INDEX($W$2:$W$1001,MATCH(ROWS($V$2:V525),$V$2:$V$1001,0),1)&gt;=100000,INDEX($AC$1005:$AS$1005,1,MATCH(COLUMNS($AC$1006:AH1006),$AC$1006:$AS$1006,0))&gt;=100000), " ",IF(INDEX($AC$2:$AS$1001,MATCH(ROWS($V$2:V525),$V$2:$V$1001,0),MATCH(COLUMNS($AC$1006:AH1006),$AC$1006:$AS$1006,0)), HYPERLINK("#",""), HYPERLINK(CONCATENATE("#metadata!", ADDRESS(INDEX($X$2:$X$1001,MATCH(ROWS($V$2:V525),$V$2:$V$1001,0),0), INDEX($AC$1004:$AS$1004,1,MATCH(COLUMNS($AC$1006:AH1006),$AC$1006:$AS$1006,0)))),"Fix")))</f>
        <v xml:space="preserve"> </v>
      </c>
      <c r="H525" s="4" t="str">
        <f ca="1">IF(OR(INDEX($W$2:$W$1001,MATCH(ROWS($V$2:V525),$V$2:$V$1001,0),1)&gt;=100000,INDEX($AC$1005:$AS$1005,1,MATCH(COLUMNS($AC$1006:AI1006),$AC$1006:$AS$1006,0))&gt;=100000), " ",IF(INDEX($AC$2:$AS$1001,MATCH(ROWS($V$2:V525),$V$2:$V$1001,0),MATCH(COLUMNS($AC$1006:AI1006),$AC$1006:$AS$1006,0)), HYPERLINK("#",""), HYPERLINK(CONCATENATE("#metadata!", ADDRESS(INDEX($X$2:$X$1001,MATCH(ROWS($V$2:V525),$V$2:$V$1001,0),0), INDEX($AC$1004:$AS$1004,1,MATCH(COLUMNS($AC$1006:AI1006),$AC$1006:$AS$1006,0)))),"Fix")))</f>
        <v xml:space="preserve"> </v>
      </c>
      <c r="I525" s="4" t="str">
        <f ca="1">IF(OR(INDEX($W$2:$W$1001,MATCH(ROWS($V$2:V525),$V$2:$V$1001,0),1)&gt;=100000,INDEX($AC$1005:$AS$1005,1,MATCH(COLUMNS($AC$1006:AJ1006),$AC$1006:$AS$1006,0))&gt;=100000), " ",IF(INDEX($AC$2:$AS$1001,MATCH(ROWS($V$2:V525),$V$2:$V$1001,0),MATCH(COLUMNS($AC$1006:AJ1006),$AC$1006:$AS$1006,0)), HYPERLINK("#",""), HYPERLINK(CONCATENATE("#metadata!", ADDRESS(INDEX($X$2:$X$1001,MATCH(ROWS($V$2:V525),$V$2:$V$1001,0),0), INDEX($AC$1004:$AS$1004,1,MATCH(COLUMNS($AC$1006:AJ1006),$AC$1006:$AS$1006,0)))),"Fix")))</f>
        <v xml:space="preserve"> </v>
      </c>
      <c r="J525" s="4" t="str">
        <f ca="1">IF(OR(INDEX($W$2:$W$1001,MATCH(ROWS($V$2:V525),$V$2:$V$1001,0),1)&gt;=100000,INDEX($AC$1005:$AS$1005,1,MATCH(COLUMNS($AC$1006:AK1006),$AC$1006:$AS$1006,0))&gt;=100000), " ",IF(INDEX($AC$2:$AS$1001,MATCH(ROWS($V$2:V525),$V$2:$V$1001,0),MATCH(COLUMNS($AC$1006:AK1006),$AC$1006:$AS$1006,0)), HYPERLINK("#",""), HYPERLINK(CONCATENATE("#metadata!", ADDRESS(INDEX($X$2:$X$1001,MATCH(ROWS($V$2:V525),$V$2:$V$1001,0),0), INDEX($AC$1004:$AS$1004,1,MATCH(COLUMNS($AC$1006:AK1006),$AC$1006:$AS$1006,0)))),"Fix")))</f>
        <v xml:space="preserve"> </v>
      </c>
      <c r="K525" s="4" t="str">
        <f ca="1">IF(OR(INDEX($W$2:$W$1001,MATCH(ROWS($V$2:V525),$V$2:$V$1001,0),1)&gt;=100000,INDEX($AC$1005:$AS$1005,1,MATCH(COLUMNS($AC$1006:AL1006),$AC$1006:$AS$1006,0))&gt;=100000), " ",IF(INDEX($AC$2:$AS$1001,MATCH(ROWS($V$2:V525),$V$2:$V$1001,0),MATCH(COLUMNS($AC$1006:AL1006),$AC$1006:$AS$1006,0)), HYPERLINK("#",""), HYPERLINK(CONCATENATE("#metadata!", ADDRESS(INDEX($X$2:$X$1001,MATCH(ROWS($V$2:V525),$V$2:$V$1001,0),0), INDEX($AC$1004:$AS$1004,1,MATCH(COLUMNS($AC$1006:AL1006),$AC$1006:$AS$1006,0)))),"Fix")))</f>
        <v xml:space="preserve"> </v>
      </c>
      <c r="L525" s="4" t="str">
        <f ca="1">IF(OR(INDEX($W$2:$W$1001,MATCH(ROWS($V$2:V525),$V$2:$V$1001,0),1)&gt;=100000,INDEX($AC$1005:$AS$1005,1,MATCH(COLUMNS($AC$1006:AM1006),$AC$1006:$AS$1006,0))&gt;=100000), " ",IF(INDEX($AC$2:$AS$1001,MATCH(ROWS($V$2:V525),$V$2:$V$1001,0),MATCH(COLUMNS($AC$1006:AM1006),$AC$1006:$AS$1006,0)), HYPERLINK("#",""), HYPERLINK(CONCATENATE("#metadata!", ADDRESS(INDEX($X$2:$X$1001,MATCH(ROWS($V$2:V525),$V$2:$V$1001,0),0), INDEX($AC$1004:$AS$1004,1,MATCH(COLUMNS($AC$1006:AM1006),$AC$1006:$AS$1006,0)))),"Fix")))</f>
        <v xml:space="preserve"> </v>
      </c>
      <c r="M525" s="4" t="str">
        <f ca="1">IF(OR(INDEX($W$2:$W$1001,MATCH(ROWS($V$2:V525),$V$2:$V$1001,0),1)&gt;=100000,INDEX($AC$1005:$AS$1005,1,MATCH(COLUMNS($AC$1006:AN1006),$AC$1006:$AS$1006,0))&gt;=100000), " ",IF(INDEX($AC$2:$AS$1001,MATCH(ROWS($V$2:V525),$V$2:$V$1001,0),MATCH(COLUMNS($AC$1006:AN1006),$AC$1006:$AS$1006,0)), HYPERLINK("#",""), HYPERLINK(CONCATENATE("#metadata!", ADDRESS(INDEX($X$2:$X$1001,MATCH(ROWS($V$2:V525),$V$2:$V$1001,0),0), INDEX($AC$1004:$AS$1004,1,MATCH(COLUMNS($AC$1006:AN1006),$AC$1006:$AS$1006,0)))),"Fix")))</f>
        <v xml:space="preserve"> </v>
      </c>
      <c r="N525" s="4" t="str">
        <f ca="1">IF(OR(INDEX($W$2:$W$1001,MATCH(ROWS($V$2:V525),$V$2:$V$1001,0),1)&gt;=100000,INDEX($AC$1005:$AS$1005,1,MATCH(COLUMNS($AC$1006:AO1006),$AC$1006:$AS$1006,0))&gt;=100000), " ",IF(INDEX($AC$2:$AS$1001,MATCH(ROWS($V$2:V525),$V$2:$V$1001,0),MATCH(COLUMNS($AC$1006:AO1006),$AC$1006:$AS$1006,0)), HYPERLINK("#",""), HYPERLINK(CONCATENATE("#metadata!", ADDRESS(INDEX($X$2:$X$1001,MATCH(ROWS($V$2:V525),$V$2:$V$1001,0),0), INDEX($AC$1004:$AS$1004,1,MATCH(COLUMNS($AC$1006:AO1006),$AC$1006:$AS$1006,0)))),"Fix")))</f>
        <v xml:space="preserve"> </v>
      </c>
      <c r="O525" s="4" t="str">
        <f ca="1">IF(OR(INDEX($W$2:$W$1001,MATCH(ROWS($V$2:V525),$V$2:$V$1001,0),1)&gt;=100000,INDEX($AC$1005:$AS$1005,1,MATCH(COLUMNS($AC$1006:AP1006),$AC$1006:$AS$1006,0))&gt;=100000), " ",IF(INDEX($AC$2:$AS$1001,MATCH(ROWS($V$2:V525),$V$2:$V$1001,0),MATCH(COLUMNS($AC$1006:AP1006),$AC$1006:$AS$1006,0)), HYPERLINK("#",""), HYPERLINK(CONCATENATE("#metadata!", ADDRESS(INDEX($X$2:$X$1001,MATCH(ROWS($V$2:V525),$V$2:$V$1001,0),0), INDEX($AC$1004:$AS$1004,1,MATCH(COLUMNS($AC$1006:AP1006),$AC$1006:$AS$1006,0)))),"Fix")))</f>
        <v xml:space="preserve"> </v>
      </c>
      <c r="P525" s="4" t="str">
        <f ca="1">IF(OR(INDEX($W$2:$W$1001,MATCH(ROWS($V$2:V525),$V$2:$V$1001,0),1)&gt;=100000,INDEX($AC$1005:$AS$1005,1,MATCH(COLUMNS($AC$1006:AQ1006),$AC$1006:$AS$1006,0))&gt;=100000), " ",IF(INDEX($AC$2:$AS$1001,MATCH(ROWS($V$2:V525),$V$2:$V$1001,0),MATCH(COLUMNS($AC$1006:AQ1006),$AC$1006:$AS$1006,0)), HYPERLINK("#",""), HYPERLINK(CONCATENATE("#metadata!", ADDRESS(INDEX($X$2:$X$1001,MATCH(ROWS($V$2:V525),$V$2:$V$1001,0),0), INDEX($AC$1004:$AS$1004,1,MATCH(COLUMNS($AC$1006:AQ1006),$AC$1006:$AS$1006,0)))),"Fix")))</f>
        <v xml:space="preserve"> </v>
      </c>
      <c r="Q525" s="4" t="str">
        <f ca="1">IF(OR(INDEX($W$2:$W$1001,MATCH(ROWS($V$2:V525),$V$2:$V$1001,0),1)&gt;=100000,INDEX($AC$1005:$AS$1005,1,MATCH(COLUMNS($AC$1006:AR1006),$AC$1006:$AS$1006,0))&gt;=100000), " ",IF(INDEX($AC$2:$AS$1001,MATCH(ROWS($V$2:V525),$V$2:$V$1001,0),MATCH(COLUMNS($AC$1006:AR1006),$AC$1006:$AS$1006,0)), HYPERLINK("#",""), HYPERLINK(CONCATENATE("#metadata!", ADDRESS(INDEX($X$2:$X$1001,MATCH(ROWS($V$2:V525),$V$2:$V$1001,0),0), INDEX($AC$1004:$AS$1004,1,MATCH(COLUMNS($AC$1006:AR1006),$AC$1006:$AS$1006,0)))),"Fix")))</f>
        <v xml:space="preserve"> </v>
      </c>
      <c r="R525" s="4" t="str">
        <f ca="1">IF(OR(INDEX($W$2:$W$1001,MATCH(ROWS($V$2:V525),$V$2:$V$1001,0),1)&gt;=100000,INDEX($AC$1005:$AS$1005,1,MATCH(COLUMNS($AC$1006:AS1006),$AC$1006:$AS$1006,0))&gt;=100000), " ",IF(INDEX($AC$2:$AS$1001,MATCH(ROWS($V$2:V525),$V$2:$V$1001,0),MATCH(COLUMNS($AC$1006:AS1006),$AC$1006:$AS$1006,0)), HYPERLINK("#",""), HYPERLINK(CONCATENATE("#metadata!", ADDRESS(INDEX($X$2:$X$1001,MATCH(ROWS($V$2:V525),$V$2:$V$1001,0),0), INDEX($AC$1004:$AS$1004,1,MATCH(COLUMNS($AC$1006:AS1006),$AC$1006:$AS$1006,0)))),"Fix")))</f>
        <v xml:space="preserve"> </v>
      </c>
      <c r="V525">
        <v>524</v>
      </c>
      <c r="W525">
        <v>100525</v>
      </c>
      <c r="X525">
        <v>525</v>
      </c>
      <c r="Y525" t="b">
        <f t="shared" si="8"/>
        <v>1</v>
      </c>
      <c r="Z525" t="b">
        <f>COUNTBLANK(metadata!B525:R525)=COLUMNS(metadata!B525:R525)</f>
        <v>1</v>
      </c>
      <c r="AA525" t="str">
        <v/>
      </c>
      <c r="AC525" t="b">
        <f ca="1"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AD525" t="b">
        <f>IF(metadata!C525="",FALSE,ISNUMBER(VALUE(metadata!C525)))</f>
        <v>0</v>
      </c>
      <c r="AE525" t="b">
        <f>AND(IF(metadata!D525="",FALSE,TRUE),EXACT(metadata!D525,"years"))</f>
        <v>0</v>
      </c>
      <c r="AF525" t="b">
        <f>OR(AND(IF(metadata!E525="",FALSE,TRUE),OR(EXACT(metadata!E525,"not applicable"),EXACT(metadata!E525,"missing: not collected"),EXACT(metadata!E525,"missing: not provided"),EXACT(metadata!E525,"missing: restricted access"))),AND(IF(metadata!E525="",FALSE,ISNUMBER(VALUE(metadata!E525))),metadata!E525&gt;0))</f>
        <v>0</v>
      </c>
      <c r="AG525" t="b">
        <f>AND(IF(metadata!F525="",FALSE,TRUE),EXACT(metadata!F525,"Not applicable"))</f>
        <v>0</v>
      </c>
      <c r="AH525" t="b">
        <f>AND(IF(metadata!G525="",FALSE,TRUE),EXACT(metadata!G525,"urban biome"))</f>
        <v>0</v>
      </c>
      <c r="AI525" t="b">
        <f>AND(IF(metadata!H525="",FALSE,TRUE),EXACT(metadata!H525,"human-associated habitat"))</f>
        <v>0</v>
      </c>
      <c r="AJ525" t="b">
        <f>AND(IF(metadata!I525="",FALSE,TRUE),OR(EXACT(metadata!I525,"human-associated"),EXACT(metadata!I525,"human-skin"),EXACT(metadata!I525,"human-oral"),EXACT(metadata!I525,"human-gut"),EXACT(metadata!I525,"human-vaginal")))</f>
        <v>0</v>
      </c>
      <c r="AK525" t="b">
        <f>IF(metadata!J525="",FALSE,ISNUMBER(VALUE(metadata!J525)))</f>
        <v>0</v>
      </c>
      <c r="AL525" t="b">
        <f>AND(IF(metadata!K525="",FALSE,TRUE),EXACT(metadata!K525,"cm"))</f>
        <v>0</v>
      </c>
      <c r="AM525" t="b">
        <f>AND(IF(metadata!L525="",FALSE,TRUE),EXACT(metadata!L525,"human"))</f>
        <v>0</v>
      </c>
      <c r="AN525" t="b">
        <f>AND(IF(metadata!M525="",FALSE,TRUE),EXACT(metadata!M525,"Homo sapiens"))</f>
        <v>0</v>
      </c>
      <c r="AO525" t="b">
        <f>AND(IF(metadata!N525="",FALSE,TRUE),EXACT(metadata!N525,"9606"))</f>
        <v>0</v>
      </c>
      <c r="AP525" t="b">
        <f>IF(metadata!O525="",FALSE,TRUE)</f>
        <v>0</v>
      </c>
      <c r="AQ525" t="b">
        <f>IF(metadata!P525="",FALSE,TRUE)</f>
        <v>0</v>
      </c>
      <c r="AR525" t="b">
        <f>IF(metadata!Q525="",FALSE,ISNUMBER(VALUE(metadata!Q525)))</f>
        <v>0</v>
      </c>
      <c r="AS525" t="b">
        <f>AND(IF(metadata!R525="",FALSE,TRUE),EXACT(metadata!R525,"kg"))</f>
        <v>0</v>
      </c>
    </row>
    <row r="526" spans="1:45" x14ac:dyDescent="0.2">
      <c r="A526" s="5" t="str">
        <f ca="1">IF(B526=" "," ",HYPERLINK(CONCATENATE("#metadata!",ADDRESS(INDEX($X$2:$X$1001,MATCH(ROWS($V$2:V526),$V$2:$V$1001,0),0),1)),INDEX($AA$2:$AA$1001,MATCH(ROWS($V$2:V526),$V$2:$V$1001,0),0)))</f>
        <v xml:space="preserve"> </v>
      </c>
      <c r="B526" s="4" t="str">
        <f ca="1">IF(OR(INDEX($W$2:$W$1001,MATCH(ROWS($V$2:V526),$V$2:$V$1001,0),1)&gt;=100000,INDEX($AC$1005:$AS$1005,1,MATCH(COLUMNS($AC$1006:AC1006),$AC$1006:$AS$1006,0))&gt;=100000), " ",IF(INDEX($AC$2:$AS$1001,MATCH(ROWS($V$2:V526),$V$2:$V$1001,0),MATCH(COLUMNS($AC$1006:AC1006),$AC$1006:$AS$1006,0)), HYPERLINK("#",""), HYPERLINK(CONCATENATE("#metadata!", ADDRESS(INDEX($X$2:$X$1001,MATCH(ROWS($V$2:V526),$V$2:$V$1001,0),0), INDEX($AC$1004:$AS$1004,1,MATCH(COLUMNS($AC$1006:AC1006),$AC$1006:$AS$1006,0)))),"Fix")))</f>
        <v xml:space="preserve"> </v>
      </c>
      <c r="C526" s="4" t="str">
        <f ca="1">IF(OR(INDEX($W$2:$W$1001,MATCH(ROWS($V$2:V526),$V$2:$V$1001,0),1)&gt;=100000,INDEX($AC$1005:$AS$1005,1,MATCH(COLUMNS($AC$1006:AD1006),$AC$1006:$AS$1006,0))&gt;=100000), " ",IF(INDEX($AC$2:$AS$1001,MATCH(ROWS($V$2:V526),$V$2:$V$1001,0),MATCH(COLUMNS($AC$1006:AD1006),$AC$1006:$AS$1006,0)), HYPERLINK("#",""), HYPERLINK(CONCATENATE("#metadata!", ADDRESS(INDEX($X$2:$X$1001,MATCH(ROWS($V$2:V526),$V$2:$V$1001,0),0), INDEX($AC$1004:$AS$1004,1,MATCH(COLUMNS($AC$1006:AD1006),$AC$1006:$AS$1006,0)))),"Fix")))</f>
        <v xml:space="preserve"> </v>
      </c>
      <c r="D526" s="4" t="str">
        <f ca="1">IF(OR(INDEX($W$2:$W$1001,MATCH(ROWS($V$2:V526),$V$2:$V$1001,0),1)&gt;=100000,INDEX($AC$1005:$AS$1005,1,MATCH(COLUMNS($AC$1006:AE1006),$AC$1006:$AS$1006,0))&gt;=100000), " ",IF(INDEX($AC$2:$AS$1001,MATCH(ROWS($V$2:V526),$V$2:$V$1001,0),MATCH(COLUMNS($AC$1006:AE1006),$AC$1006:$AS$1006,0)), HYPERLINK("#",""), HYPERLINK(CONCATENATE("#metadata!", ADDRESS(INDEX($X$2:$X$1001,MATCH(ROWS($V$2:V526),$V$2:$V$1001,0),0), INDEX($AC$1004:$AS$1004,1,MATCH(COLUMNS($AC$1006:AE1006),$AC$1006:$AS$1006,0)))),"Fix")))</f>
        <v xml:space="preserve"> </v>
      </c>
      <c r="E526" s="4" t="str">
        <f ca="1">IF(OR(INDEX($W$2:$W$1001,MATCH(ROWS($V$2:V526),$V$2:$V$1001,0),1)&gt;=100000,INDEX($AC$1005:$AS$1005,1,MATCH(COLUMNS($AC$1006:AF1006),$AC$1006:$AS$1006,0))&gt;=100000), " ",IF(INDEX($AC$2:$AS$1001,MATCH(ROWS($V$2:V526),$V$2:$V$1001,0),MATCH(COLUMNS($AC$1006:AF1006),$AC$1006:$AS$1006,0)), HYPERLINK("#",""), HYPERLINK(CONCATENATE("#metadata!", ADDRESS(INDEX($X$2:$X$1001,MATCH(ROWS($V$2:V526),$V$2:$V$1001,0),0), INDEX($AC$1004:$AS$1004,1,MATCH(COLUMNS($AC$1006:AF1006),$AC$1006:$AS$1006,0)))),"Fix")))</f>
        <v xml:space="preserve"> </v>
      </c>
      <c r="F526" s="4" t="str">
        <f ca="1">IF(OR(INDEX($W$2:$W$1001,MATCH(ROWS($V$2:V526),$V$2:$V$1001,0),1)&gt;=100000,INDEX($AC$1005:$AS$1005,1,MATCH(COLUMNS($AC$1006:AG1006),$AC$1006:$AS$1006,0))&gt;=100000), " ",IF(INDEX($AC$2:$AS$1001,MATCH(ROWS($V$2:V526),$V$2:$V$1001,0),MATCH(COLUMNS($AC$1006:AG1006),$AC$1006:$AS$1006,0)), HYPERLINK("#",""), HYPERLINK(CONCATENATE("#metadata!", ADDRESS(INDEX($X$2:$X$1001,MATCH(ROWS($V$2:V526),$V$2:$V$1001,0),0), INDEX($AC$1004:$AS$1004,1,MATCH(COLUMNS($AC$1006:AG1006),$AC$1006:$AS$1006,0)))),"Fix")))</f>
        <v xml:space="preserve"> </v>
      </c>
      <c r="G526" s="4" t="str">
        <f ca="1">IF(OR(INDEX($W$2:$W$1001,MATCH(ROWS($V$2:V526),$V$2:$V$1001,0),1)&gt;=100000,INDEX($AC$1005:$AS$1005,1,MATCH(COLUMNS($AC$1006:AH1006),$AC$1006:$AS$1006,0))&gt;=100000), " ",IF(INDEX($AC$2:$AS$1001,MATCH(ROWS($V$2:V526),$V$2:$V$1001,0),MATCH(COLUMNS($AC$1006:AH1006),$AC$1006:$AS$1006,0)), HYPERLINK("#",""), HYPERLINK(CONCATENATE("#metadata!", ADDRESS(INDEX($X$2:$X$1001,MATCH(ROWS($V$2:V526),$V$2:$V$1001,0),0), INDEX($AC$1004:$AS$1004,1,MATCH(COLUMNS($AC$1006:AH1006),$AC$1006:$AS$1006,0)))),"Fix")))</f>
        <v xml:space="preserve"> </v>
      </c>
      <c r="H526" s="4" t="str">
        <f ca="1">IF(OR(INDEX($W$2:$W$1001,MATCH(ROWS($V$2:V526),$V$2:$V$1001,0),1)&gt;=100000,INDEX($AC$1005:$AS$1005,1,MATCH(COLUMNS($AC$1006:AI1006),$AC$1006:$AS$1006,0))&gt;=100000), " ",IF(INDEX($AC$2:$AS$1001,MATCH(ROWS($V$2:V526),$V$2:$V$1001,0),MATCH(COLUMNS($AC$1006:AI1006),$AC$1006:$AS$1006,0)), HYPERLINK("#",""), HYPERLINK(CONCATENATE("#metadata!", ADDRESS(INDEX($X$2:$X$1001,MATCH(ROWS($V$2:V526),$V$2:$V$1001,0),0), INDEX($AC$1004:$AS$1004,1,MATCH(COLUMNS($AC$1006:AI1006),$AC$1006:$AS$1006,0)))),"Fix")))</f>
        <v xml:space="preserve"> </v>
      </c>
      <c r="I526" s="4" t="str">
        <f ca="1">IF(OR(INDEX($W$2:$W$1001,MATCH(ROWS($V$2:V526),$V$2:$V$1001,0),1)&gt;=100000,INDEX($AC$1005:$AS$1005,1,MATCH(COLUMNS($AC$1006:AJ1006),$AC$1006:$AS$1006,0))&gt;=100000), " ",IF(INDEX($AC$2:$AS$1001,MATCH(ROWS($V$2:V526),$V$2:$V$1001,0),MATCH(COLUMNS($AC$1006:AJ1006),$AC$1006:$AS$1006,0)), HYPERLINK("#",""), HYPERLINK(CONCATENATE("#metadata!", ADDRESS(INDEX($X$2:$X$1001,MATCH(ROWS($V$2:V526),$V$2:$V$1001,0),0), INDEX($AC$1004:$AS$1004,1,MATCH(COLUMNS($AC$1006:AJ1006),$AC$1006:$AS$1006,0)))),"Fix")))</f>
        <v xml:space="preserve"> </v>
      </c>
      <c r="J526" s="4" t="str">
        <f ca="1">IF(OR(INDEX($W$2:$W$1001,MATCH(ROWS($V$2:V526),$V$2:$V$1001,0),1)&gt;=100000,INDEX($AC$1005:$AS$1005,1,MATCH(COLUMNS($AC$1006:AK1006),$AC$1006:$AS$1006,0))&gt;=100000), " ",IF(INDEX($AC$2:$AS$1001,MATCH(ROWS($V$2:V526),$V$2:$V$1001,0),MATCH(COLUMNS($AC$1006:AK1006),$AC$1006:$AS$1006,0)), HYPERLINK("#",""), HYPERLINK(CONCATENATE("#metadata!", ADDRESS(INDEX($X$2:$X$1001,MATCH(ROWS($V$2:V526),$V$2:$V$1001,0),0), INDEX($AC$1004:$AS$1004,1,MATCH(COLUMNS($AC$1006:AK1006),$AC$1006:$AS$1006,0)))),"Fix")))</f>
        <v xml:space="preserve"> </v>
      </c>
      <c r="K526" s="4" t="str">
        <f ca="1">IF(OR(INDEX($W$2:$W$1001,MATCH(ROWS($V$2:V526),$V$2:$V$1001,0),1)&gt;=100000,INDEX($AC$1005:$AS$1005,1,MATCH(COLUMNS($AC$1006:AL1006),$AC$1006:$AS$1006,0))&gt;=100000), " ",IF(INDEX($AC$2:$AS$1001,MATCH(ROWS($V$2:V526),$V$2:$V$1001,0),MATCH(COLUMNS($AC$1006:AL1006),$AC$1006:$AS$1006,0)), HYPERLINK("#",""), HYPERLINK(CONCATENATE("#metadata!", ADDRESS(INDEX($X$2:$X$1001,MATCH(ROWS($V$2:V526),$V$2:$V$1001,0),0), INDEX($AC$1004:$AS$1004,1,MATCH(COLUMNS($AC$1006:AL1006),$AC$1006:$AS$1006,0)))),"Fix")))</f>
        <v xml:space="preserve"> </v>
      </c>
      <c r="L526" s="4" t="str">
        <f ca="1">IF(OR(INDEX($W$2:$W$1001,MATCH(ROWS($V$2:V526),$V$2:$V$1001,0),1)&gt;=100000,INDEX($AC$1005:$AS$1005,1,MATCH(COLUMNS($AC$1006:AM1006),$AC$1006:$AS$1006,0))&gt;=100000), " ",IF(INDEX($AC$2:$AS$1001,MATCH(ROWS($V$2:V526),$V$2:$V$1001,0),MATCH(COLUMNS($AC$1006:AM1006),$AC$1006:$AS$1006,0)), HYPERLINK("#",""), HYPERLINK(CONCATENATE("#metadata!", ADDRESS(INDEX($X$2:$X$1001,MATCH(ROWS($V$2:V526),$V$2:$V$1001,0),0), INDEX($AC$1004:$AS$1004,1,MATCH(COLUMNS($AC$1006:AM1006),$AC$1006:$AS$1006,0)))),"Fix")))</f>
        <v xml:space="preserve"> </v>
      </c>
      <c r="M526" s="4" t="str">
        <f ca="1">IF(OR(INDEX($W$2:$W$1001,MATCH(ROWS($V$2:V526),$V$2:$V$1001,0),1)&gt;=100000,INDEX($AC$1005:$AS$1005,1,MATCH(COLUMNS($AC$1006:AN1006),$AC$1006:$AS$1006,0))&gt;=100000), " ",IF(INDEX($AC$2:$AS$1001,MATCH(ROWS($V$2:V526),$V$2:$V$1001,0),MATCH(COLUMNS($AC$1006:AN1006),$AC$1006:$AS$1006,0)), HYPERLINK("#",""), HYPERLINK(CONCATENATE("#metadata!", ADDRESS(INDEX($X$2:$X$1001,MATCH(ROWS($V$2:V526),$V$2:$V$1001,0),0), INDEX($AC$1004:$AS$1004,1,MATCH(COLUMNS($AC$1006:AN1006),$AC$1006:$AS$1006,0)))),"Fix")))</f>
        <v xml:space="preserve"> </v>
      </c>
      <c r="N526" s="4" t="str">
        <f ca="1">IF(OR(INDEX($W$2:$W$1001,MATCH(ROWS($V$2:V526),$V$2:$V$1001,0),1)&gt;=100000,INDEX($AC$1005:$AS$1005,1,MATCH(COLUMNS($AC$1006:AO1006),$AC$1006:$AS$1006,0))&gt;=100000), " ",IF(INDEX($AC$2:$AS$1001,MATCH(ROWS($V$2:V526),$V$2:$V$1001,0),MATCH(COLUMNS($AC$1006:AO1006),$AC$1006:$AS$1006,0)), HYPERLINK("#",""), HYPERLINK(CONCATENATE("#metadata!", ADDRESS(INDEX($X$2:$X$1001,MATCH(ROWS($V$2:V526),$V$2:$V$1001,0),0), INDEX($AC$1004:$AS$1004,1,MATCH(COLUMNS($AC$1006:AO1006),$AC$1006:$AS$1006,0)))),"Fix")))</f>
        <v xml:space="preserve"> </v>
      </c>
      <c r="O526" s="4" t="str">
        <f ca="1">IF(OR(INDEX($W$2:$W$1001,MATCH(ROWS($V$2:V526),$V$2:$V$1001,0),1)&gt;=100000,INDEX($AC$1005:$AS$1005,1,MATCH(COLUMNS($AC$1006:AP1006),$AC$1006:$AS$1006,0))&gt;=100000), " ",IF(INDEX($AC$2:$AS$1001,MATCH(ROWS($V$2:V526),$V$2:$V$1001,0),MATCH(COLUMNS($AC$1006:AP1006),$AC$1006:$AS$1006,0)), HYPERLINK("#",""), HYPERLINK(CONCATENATE("#metadata!", ADDRESS(INDEX($X$2:$X$1001,MATCH(ROWS($V$2:V526),$V$2:$V$1001,0),0), INDEX($AC$1004:$AS$1004,1,MATCH(COLUMNS($AC$1006:AP1006),$AC$1006:$AS$1006,0)))),"Fix")))</f>
        <v xml:space="preserve"> </v>
      </c>
      <c r="P526" s="4" t="str">
        <f ca="1">IF(OR(INDEX($W$2:$W$1001,MATCH(ROWS($V$2:V526),$V$2:$V$1001,0),1)&gt;=100000,INDEX($AC$1005:$AS$1005,1,MATCH(COLUMNS($AC$1006:AQ1006),$AC$1006:$AS$1006,0))&gt;=100000), " ",IF(INDEX($AC$2:$AS$1001,MATCH(ROWS($V$2:V526),$V$2:$V$1001,0),MATCH(COLUMNS($AC$1006:AQ1006),$AC$1006:$AS$1006,0)), HYPERLINK("#",""), HYPERLINK(CONCATENATE("#metadata!", ADDRESS(INDEX($X$2:$X$1001,MATCH(ROWS($V$2:V526),$V$2:$V$1001,0),0), INDEX($AC$1004:$AS$1004,1,MATCH(COLUMNS($AC$1006:AQ1006),$AC$1006:$AS$1006,0)))),"Fix")))</f>
        <v xml:space="preserve"> </v>
      </c>
      <c r="Q526" s="4" t="str">
        <f ca="1">IF(OR(INDEX($W$2:$W$1001,MATCH(ROWS($V$2:V526),$V$2:$V$1001,0),1)&gt;=100000,INDEX($AC$1005:$AS$1005,1,MATCH(COLUMNS($AC$1006:AR1006),$AC$1006:$AS$1006,0))&gt;=100000), " ",IF(INDEX($AC$2:$AS$1001,MATCH(ROWS($V$2:V526),$V$2:$V$1001,0),MATCH(COLUMNS($AC$1006:AR1006),$AC$1006:$AS$1006,0)), HYPERLINK("#",""), HYPERLINK(CONCATENATE("#metadata!", ADDRESS(INDEX($X$2:$X$1001,MATCH(ROWS($V$2:V526),$V$2:$V$1001,0),0), INDEX($AC$1004:$AS$1004,1,MATCH(COLUMNS($AC$1006:AR1006),$AC$1006:$AS$1006,0)))),"Fix")))</f>
        <v xml:space="preserve"> </v>
      </c>
      <c r="R526" s="4" t="str">
        <f ca="1">IF(OR(INDEX($W$2:$W$1001,MATCH(ROWS($V$2:V526),$V$2:$V$1001,0),1)&gt;=100000,INDEX($AC$1005:$AS$1005,1,MATCH(COLUMNS($AC$1006:AS1006),$AC$1006:$AS$1006,0))&gt;=100000), " ",IF(INDEX($AC$2:$AS$1001,MATCH(ROWS($V$2:V526),$V$2:$V$1001,0),MATCH(COLUMNS($AC$1006:AS1006),$AC$1006:$AS$1006,0)), HYPERLINK("#",""), HYPERLINK(CONCATENATE("#metadata!", ADDRESS(INDEX($X$2:$X$1001,MATCH(ROWS($V$2:V526),$V$2:$V$1001,0),0), INDEX($AC$1004:$AS$1004,1,MATCH(COLUMNS($AC$1006:AS1006),$AC$1006:$AS$1006,0)))),"Fix")))</f>
        <v xml:space="preserve"> </v>
      </c>
      <c r="V526">
        <v>525</v>
      </c>
      <c r="W526">
        <v>100526</v>
      </c>
      <c r="X526">
        <v>526</v>
      </c>
      <c r="Y526" t="b">
        <f t="shared" si="8"/>
        <v>1</v>
      </c>
      <c r="Z526" t="b">
        <f>COUNTBLANK(metadata!B526:R526)=COLUMNS(metadata!B526:R526)</f>
        <v>1</v>
      </c>
      <c r="AA526" t="str">
        <v/>
      </c>
      <c r="AC526" t="b">
        <f ca="1"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AD526" t="b">
        <f>IF(metadata!C526="",FALSE,ISNUMBER(VALUE(metadata!C526)))</f>
        <v>0</v>
      </c>
      <c r="AE526" t="b">
        <f>AND(IF(metadata!D526="",FALSE,TRUE),EXACT(metadata!D526,"years"))</f>
        <v>0</v>
      </c>
      <c r="AF526" t="b">
        <f>OR(AND(IF(metadata!E526="",FALSE,TRUE),OR(EXACT(metadata!E526,"not applicable"),EXACT(metadata!E526,"missing: not collected"),EXACT(metadata!E526,"missing: not provided"),EXACT(metadata!E526,"missing: restricted access"))),AND(IF(metadata!E526="",FALSE,ISNUMBER(VALUE(metadata!E526))),metadata!E526&gt;0))</f>
        <v>0</v>
      </c>
      <c r="AG526" t="b">
        <f>AND(IF(metadata!F526="",FALSE,TRUE),EXACT(metadata!F526,"Not applicable"))</f>
        <v>0</v>
      </c>
      <c r="AH526" t="b">
        <f>AND(IF(metadata!G526="",FALSE,TRUE),EXACT(metadata!G526,"urban biome"))</f>
        <v>0</v>
      </c>
      <c r="AI526" t="b">
        <f>AND(IF(metadata!H526="",FALSE,TRUE),EXACT(metadata!H526,"human-associated habitat"))</f>
        <v>0</v>
      </c>
      <c r="AJ526" t="b">
        <f>AND(IF(metadata!I526="",FALSE,TRUE),OR(EXACT(metadata!I526,"human-associated"),EXACT(metadata!I526,"human-skin"),EXACT(metadata!I526,"human-oral"),EXACT(metadata!I526,"human-gut"),EXACT(metadata!I526,"human-vaginal")))</f>
        <v>0</v>
      </c>
      <c r="AK526" t="b">
        <f>IF(metadata!J526="",FALSE,ISNUMBER(VALUE(metadata!J526)))</f>
        <v>0</v>
      </c>
      <c r="AL526" t="b">
        <f>AND(IF(metadata!K526="",FALSE,TRUE),EXACT(metadata!K526,"cm"))</f>
        <v>0</v>
      </c>
      <c r="AM526" t="b">
        <f>AND(IF(metadata!L526="",FALSE,TRUE),EXACT(metadata!L526,"human"))</f>
        <v>0</v>
      </c>
      <c r="AN526" t="b">
        <f>AND(IF(metadata!M526="",FALSE,TRUE),EXACT(metadata!M526,"Homo sapiens"))</f>
        <v>0</v>
      </c>
      <c r="AO526" t="b">
        <f>AND(IF(metadata!N526="",FALSE,TRUE),EXACT(metadata!N526,"9606"))</f>
        <v>0</v>
      </c>
      <c r="AP526" t="b">
        <f>IF(metadata!O526="",FALSE,TRUE)</f>
        <v>0</v>
      </c>
      <c r="AQ526" t="b">
        <f>IF(metadata!P526="",FALSE,TRUE)</f>
        <v>0</v>
      </c>
      <c r="AR526" t="b">
        <f>IF(metadata!Q526="",FALSE,ISNUMBER(VALUE(metadata!Q526)))</f>
        <v>0</v>
      </c>
      <c r="AS526" t="b">
        <f>AND(IF(metadata!R526="",FALSE,TRUE),EXACT(metadata!R526,"kg"))</f>
        <v>0</v>
      </c>
    </row>
    <row r="527" spans="1:45" x14ac:dyDescent="0.2">
      <c r="A527" s="5" t="str">
        <f ca="1">IF(B527=" "," ",HYPERLINK(CONCATENATE("#metadata!",ADDRESS(INDEX($X$2:$X$1001,MATCH(ROWS($V$2:V527),$V$2:$V$1001,0),0),1)),INDEX($AA$2:$AA$1001,MATCH(ROWS($V$2:V527),$V$2:$V$1001,0),0)))</f>
        <v xml:space="preserve"> </v>
      </c>
      <c r="B527" s="4" t="str">
        <f ca="1">IF(OR(INDEX($W$2:$W$1001,MATCH(ROWS($V$2:V527),$V$2:$V$1001,0),1)&gt;=100000,INDEX($AC$1005:$AS$1005,1,MATCH(COLUMNS($AC$1006:AC1006),$AC$1006:$AS$1006,0))&gt;=100000), " ",IF(INDEX($AC$2:$AS$1001,MATCH(ROWS($V$2:V527),$V$2:$V$1001,0),MATCH(COLUMNS($AC$1006:AC1006),$AC$1006:$AS$1006,0)), HYPERLINK("#",""), HYPERLINK(CONCATENATE("#metadata!", ADDRESS(INDEX($X$2:$X$1001,MATCH(ROWS($V$2:V527),$V$2:$V$1001,0),0), INDEX($AC$1004:$AS$1004,1,MATCH(COLUMNS($AC$1006:AC1006),$AC$1006:$AS$1006,0)))),"Fix")))</f>
        <v xml:space="preserve"> </v>
      </c>
      <c r="C527" s="4" t="str">
        <f ca="1">IF(OR(INDEX($W$2:$W$1001,MATCH(ROWS($V$2:V527),$V$2:$V$1001,0),1)&gt;=100000,INDEX($AC$1005:$AS$1005,1,MATCH(COLUMNS($AC$1006:AD1006),$AC$1006:$AS$1006,0))&gt;=100000), " ",IF(INDEX($AC$2:$AS$1001,MATCH(ROWS($V$2:V527),$V$2:$V$1001,0),MATCH(COLUMNS($AC$1006:AD1006),$AC$1006:$AS$1006,0)), HYPERLINK("#",""), HYPERLINK(CONCATENATE("#metadata!", ADDRESS(INDEX($X$2:$X$1001,MATCH(ROWS($V$2:V527),$V$2:$V$1001,0),0), INDEX($AC$1004:$AS$1004,1,MATCH(COLUMNS($AC$1006:AD1006),$AC$1006:$AS$1006,0)))),"Fix")))</f>
        <v xml:space="preserve"> </v>
      </c>
      <c r="D527" s="4" t="str">
        <f ca="1">IF(OR(INDEX($W$2:$W$1001,MATCH(ROWS($V$2:V527),$V$2:$V$1001,0),1)&gt;=100000,INDEX($AC$1005:$AS$1005,1,MATCH(COLUMNS($AC$1006:AE1006),$AC$1006:$AS$1006,0))&gt;=100000), " ",IF(INDEX($AC$2:$AS$1001,MATCH(ROWS($V$2:V527),$V$2:$V$1001,0),MATCH(COLUMNS($AC$1006:AE1006),$AC$1006:$AS$1006,0)), HYPERLINK("#",""), HYPERLINK(CONCATENATE("#metadata!", ADDRESS(INDEX($X$2:$X$1001,MATCH(ROWS($V$2:V527),$V$2:$V$1001,0),0), INDEX($AC$1004:$AS$1004,1,MATCH(COLUMNS($AC$1006:AE1006),$AC$1006:$AS$1006,0)))),"Fix")))</f>
        <v xml:space="preserve"> </v>
      </c>
      <c r="E527" s="4" t="str">
        <f ca="1">IF(OR(INDEX($W$2:$W$1001,MATCH(ROWS($V$2:V527),$V$2:$V$1001,0),1)&gt;=100000,INDEX($AC$1005:$AS$1005,1,MATCH(COLUMNS($AC$1006:AF1006),$AC$1006:$AS$1006,0))&gt;=100000), " ",IF(INDEX($AC$2:$AS$1001,MATCH(ROWS($V$2:V527),$V$2:$V$1001,0),MATCH(COLUMNS($AC$1006:AF1006),$AC$1006:$AS$1006,0)), HYPERLINK("#",""), HYPERLINK(CONCATENATE("#metadata!", ADDRESS(INDEX($X$2:$X$1001,MATCH(ROWS($V$2:V527),$V$2:$V$1001,0),0), INDEX($AC$1004:$AS$1004,1,MATCH(COLUMNS($AC$1006:AF1006),$AC$1006:$AS$1006,0)))),"Fix")))</f>
        <v xml:space="preserve"> </v>
      </c>
      <c r="F527" s="4" t="str">
        <f ca="1">IF(OR(INDEX($W$2:$W$1001,MATCH(ROWS($V$2:V527),$V$2:$V$1001,0),1)&gt;=100000,INDEX($AC$1005:$AS$1005,1,MATCH(COLUMNS($AC$1006:AG1006),$AC$1006:$AS$1006,0))&gt;=100000), " ",IF(INDEX($AC$2:$AS$1001,MATCH(ROWS($V$2:V527),$V$2:$V$1001,0),MATCH(COLUMNS($AC$1006:AG1006),$AC$1006:$AS$1006,0)), HYPERLINK("#",""), HYPERLINK(CONCATENATE("#metadata!", ADDRESS(INDEX($X$2:$X$1001,MATCH(ROWS($V$2:V527),$V$2:$V$1001,0),0), INDEX($AC$1004:$AS$1004,1,MATCH(COLUMNS($AC$1006:AG1006),$AC$1006:$AS$1006,0)))),"Fix")))</f>
        <v xml:space="preserve"> </v>
      </c>
      <c r="G527" s="4" t="str">
        <f ca="1">IF(OR(INDEX($W$2:$W$1001,MATCH(ROWS($V$2:V527),$V$2:$V$1001,0),1)&gt;=100000,INDEX($AC$1005:$AS$1005,1,MATCH(COLUMNS($AC$1006:AH1006),$AC$1006:$AS$1006,0))&gt;=100000), " ",IF(INDEX($AC$2:$AS$1001,MATCH(ROWS($V$2:V527),$V$2:$V$1001,0),MATCH(COLUMNS($AC$1006:AH1006),$AC$1006:$AS$1006,0)), HYPERLINK("#",""), HYPERLINK(CONCATENATE("#metadata!", ADDRESS(INDEX($X$2:$X$1001,MATCH(ROWS($V$2:V527),$V$2:$V$1001,0),0), INDEX($AC$1004:$AS$1004,1,MATCH(COLUMNS($AC$1006:AH1006),$AC$1006:$AS$1006,0)))),"Fix")))</f>
        <v xml:space="preserve"> </v>
      </c>
      <c r="H527" s="4" t="str">
        <f ca="1">IF(OR(INDEX($W$2:$W$1001,MATCH(ROWS($V$2:V527),$V$2:$V$1001,0),1)&gt;=100000,INDEX($AC$1005:$AS$1005,1,MATCH(COLUMNS($AC$1006:AI1006),$AC$1006:$AS$1006,0))&gt;=100000), " ",IF(INDEX($AC$2:$AS$1001,MATCH(ROWS($V$2:V527),$V$2:$V$1001,0),MATCH(COLUMNS($AC$1006:AI1006),$AC$1006:$AS$1006,0)), HYPERLINK("#",""), HYPERLINK(CONCATENATE("#metadata!", ADDRESS(INDEX($X$2:$X$1001,MATCH(ROWS($V$2:V527),$V$2:$V$1001,0),0), INDEX($AC$1004:$AS$1004,1,MATCH(COLUMNS($AC$1006:AI1006),$AC$1006:$AS$1006,0)))),"Fix")))</f>
        <v xml:space="preserve"> </v>
      </c>
      <c r="I527" s="4" t="str">
        <f ca="1">IF(OR(INDEX($W$2:$W$1001,MATCH(ROWS($V$2:V527),$V$2:$V$1001,0),1)&gt;=100000,INDEX($AC$1005:$AS$1005,1,MATCH(COLUMNS($AC$1006:AJ1006),$AC$1006:$AS$1006,0))&gt;=100000), " ",IF(INDEX($AC$2:$AS$1001,MATCH(ROWS($V$2:V527),$V$2:$V$1001,0),MATCH(COLUMNS($AC$1006:AJ1006),$AC$1006:$AS$1006,0)), HYPERLINK("#",""), HYPERLINK(CONCATENATE("#metadata!", ADDRESS(INDEX($X$2:$X$1001,MATCH(ROWS($V$2:V527),$V$2:$V$1001,0),0), INDEX($AC$1004:$AS$1004,1,MATCH(COLUMNS($AC$1006:AJ1006),$AC$1006:$AS$1006,0)))),"Fix")))</f>
        <v xml:space="preserve"> </v>
      </c>
      <c r="J527" s="4" t="str">
        <f ca="1">IF(OR(INDEX($W$2:$W$1001,MATCH(ROWS($V$2:V527),$V$2:$V$1001,0),1)&gt;=100000,INDEX($AC$1005:$AS$1005,1,MATCH(COLUMNS($AC$1006:AK1006),$AC$1006:$AS$1006,0))&gt;=100000), " ",IF(INDEX($AC$2:$AS$1001,MATCH(ROWS($V$2:V527),$V$2:$V$1001,0),MATCH(COLUMNS($AC$1006:AK1006),$AC$1006:$AS$1006,0)), HYPERLINK("#",""), HYPERLINK(CONCATENATE("#metadata!", ADDRESS(INDEX($X$2:$X$1001,MATCH(ROWS($V$2:V527),$V$2:$V$1001,0),0), INDEX($AC$1004:$AS$1004,1,MATCH(COLUMNS($AC$1006:AK1006),$AC$1006:$AS$1006,0)))),"Fix")))</f>
        <v xml:space="preserve"> </v>
      </c>
      <c r="K527" s="4" t="str">
        <f ca="1">IF(OR(INDEX($W$2:$W$1001,MATCH(ROWS($V$2:V527),$V$2:$V$1001,0),1)&gt;=100000,INDEX($AC$1005:$AS$1005,1,MATCH(COLUMNS($AC$1006:AL1006),$AC$1006:$AS$1006,0))&gt;=100000), " ",IF(INDEX($AC$2:$AS$1001,MATCH(ROWS($V$2:V527),$V$2:$V$1001,0),MATCH(COLUMNS($AC$1006:AL1006),$AC$1006:$AS$1006,0)), HYPERLINK("#",""), HYPERLINK(CONCATENATE("#metadata!", ADDRESS(INDEX($X$2:$X$1001,MATCH(ROWS($V$2:V527),$V$2:$V$1001,0),0), INDEX($AC$1004:$AS$1004,1,MATCH(COLUMNS($AC$1006:AL1006),$AC$1006:$AS$1006,0)))),"Fix")))</f>
        <v xml:space="preserve"> </v>
      </c>
      <c r="L527" s="4" t="str">
        <f ca="1">IF(OR(INDEX($W$2:$W$1001,MATCH(ROWS($V$2:V527),$V$2:$V$1001,0),1)&gt;=100000,INDEX($AC$1005:$AS$1005,1,MATCH(COLUMNS($AC$1006:AM1006),$AC$1006:$AS$1006,0))&gt;=100000), " ",IF(INDEX($AC$2:$AS$1001,MATCH(ROWS($V$2:V527),$V$2:$V$1001,0),MATCH(COLUMNS($AC$1006:AM1006),$AC$1006:$AS$1006,0)), HYPERLINK("#",""), HYPERLINK(CONCATENATE("#metadata!", ADDRESS(INDEX($X$2:$X$1001,MATCH(ROWS($V$2:V527),$V$2:$V$1001,0),0), INDEX($AC$1004:$AS$1004,1,MATCH(COLUMNS($AC$1006:AM1006),$AC$1006:$AS$1006,0)))),"Fix")))</f>
        <v xml:space="preserve"> </v>
      </c>
      <c r="M527" s="4" t="str">
        <f ca="1">IF(OR(INDEX($W$2:$W$1001,MATCH(ROWS($V$2:V527),$V$2:$V$1001,0),1)&gt;=100000,INDEX($AC$1005:$AS$1005,1,MATCH(COLUMNS($AC$1006:AN1006),$AC$1006:$AS$1006,0))&gt;=100000), " ",IF(INDEX($AC$2:$AS$1001,MATCH(ROWS($V$2:V527),$V$2:$V$1001,0),MATCH(COLUMNS($AC$1006:AN1006),$AC$1006:$AS$1006,0)), HYPERLINK("#",""), HYPERLINK(CONCATENATE("#metadata!", ADDRESS(INDEX($X$2:$X$1001,MATCH(ROWS($V$2:V527),$V$2:$V$1001,0),0), INDEX($AC$1004:$AS$1004,1,MATCH(COLUMNS($AC$1006:AN1006),$AC$1006:$AS$1006,0)))),"Fix")))</f>
        <v xml:space="preserve"> </v>
      </c>
      <c r="N527" s="4" t="str">
        <f ca="1">IF(OR(INDEX($W$2:$W$1001,MATCH(ROWS($V$2:V527),$V$2:$V$1001,0),1)&gt;=100000,INDEX($AC$1005:$AS$1005,1,MATCH(COLUMNS($AC$1006:AO1006),$AC$1006:$AS$1006,0))&gt;=100000), " ",IF(INDEX($AC$2:$AS$1001,MATCH(ROWS($V$2:V527),$V$2:$V$1001,0),MATCH(COLUMNS($AC$1006:AO1006),$AC$1006:$AS$1006,0)), HYPERLINK("#",""), HYPERLINK(CONCATENATE("#metadata!", ADDRESS(INDEX($X$2:$X$1001,MATCH(ROWS($V$2:V527),$V$2:$V$1001,0),0), INDEX($AC$1004:$AS$1004,1,MATCH(COLUMNS($AC$1006:AO1006),$AC$1006:$AS$1006,0)))),"Fix")))</f>
        <v xml:space="preserve"> </v>
      </c>
      <c r="O527" s="4" t="str">
        <f ca="1">IF(OR(INDEX($W$2:$W$1001,MATCH(ROWS($V$2:V527),$V$2:$V$1001,0),1)&gt;=100000,INDEX($AC$1005:$AS$1005,1,MATCH(COLUMNS($AC$1006:AP1006),$AC$1006:$AS$1006,0))&gt;=100000), " ",IF(INDEX($AC$2:$AS$1001,MATCH(ROWS($V$2:V527),$V$2:$V$1001,0),MATCH(COLUMNS($AC$1006:AP1006),$AC$1006:$AS$1006,0)), HYPERLINK("#",""), HYPERLINK(CONCATENATE("#metadata!", ADDRESS(INDEX($X$2:$X$1001,MATCH(ROWS($V$2:V527),$V$2:$V$1001,0),0), INDEX($AC$1004:$AS$1004,1,MATCH(COLUMNS($AC$1006:AP1006),$AC$1006:$AS$1006,0)))),"Fix")))</f>
        <v xml:space="preserve"> </v>
      </c>
      <c r="P527" s="4" t="str">
        <f ca="1">IF(OR(INDEX($W$2:$W$1001,MATCH(ROWS($V$2:V527),$V$2:$V$1001,0),1)&gt;=100000,INDEX($AC$1005:$AS$1005,1,MATCH(COLUMNS($AC$1006:AQ1006),$AC$1006:$AS$1006,0))&gt;=100000), " ",IF(INDEX($AC$2:$AS$1001,MATCH(ROWS($V$2:V527),$V$2:$V$1001,0),MATCH(COLUMNS($AC$1006:AQ1006),$AC$1006:$AS$1006,0)), HYPERLINK("#",""), HYPERLINK(CONCATENATE("#metadata!", ADDRESS(INDEX($X$2:$X$1001,MATCH(ROWS($V$2:V527),$V$2:$V$1001,0),0), INDEX($AC$1004:$AS$1004,1,MATCH(COLUMNS($AC$1006:AQ1006),$AC$1006:$AS$1006,0)))),"Fix")))</f>
        <v xml:space="preserve"> </v>
      </c>
      <c r="Q527" s="4" t="str">
        <f ca="1">IF(OR(INDEX($W$2:$W$1001,MATCH(ROWS($V$2:V527),$V$2:$V$1001,0),1)&gt;=100000,INDEX($AC$1005:$AS$1005,1,MATCH(COLUMNS($AC$1006:AR1006),$AC$1006:$AS$1006,0))&gt;=100000), " ",IF(INDEX($AC$2:$AS$1001,MATCH(ROWS($V$2:V527),$V$2:$V$1001,0),MATCH(COLUMNS($AC$1006:AR1006),$AC$1006:$AS$1006,0)), HYPERLINK("#",""), HYPERLINK(CONCATENATE("#metadata!", ADDRESS(INDEX($X$2:$X$1001,MATCH(ROWS($V$2:V527),$V$2:$V$1001,0),0), INDEX($AC$1004:$AS$1004,1,MATCH(COLUMNS($AC$1006:AR1006),$AC$1006:$AS$1006,0)))),"Fix")))</f>
        <v xml:space="preserve"> </v>
      </c>
      <c r="R527" s="4" t="str">
        <f ca="1">IF(OR(INDEX($W$2:$W$1001,MATCH(ROWS($V$2:V527),$V$2:$V$1001,0),1)&gt;=100000,INDEX($AC$1005:$AS$1005,1,MATCH(COLUMNS($AC$1006:AS1006),$AC$1006:$AS$1006,0))&gt;=100000), " ",IF(INDEX($AC$2:$AS$1001,MATCH(ROWS($V$2:V527),$V$2:$V$1001,0),MATCH(COLUMNS($AC$1006:AS1006),$AC$1006:$AS$1006,0)), HYPERLINK("#",""), HYPERLINK(CONCATENATE("#metadata!", ADDRESS(INDEX($X$2:$X$1001,MATCH(ROWS($V$2:V527),$V$2:$V$1001,0),0), INDEX($AC$1004:$AS$1004,1,MATCH(COLUMNS($AC$1006:AS1006),$AC$1006:$AS$1006,0)))),"Fix")))</f>
        <v xml:space="preserve"> </v>
      </c>
      <c r="V527">
        <v>526</v>
      </c>
      <c r="W527">
        <v>100527</v>
      </c>
      <c r="X527">
        <v>527</v>
      </c>
      <c r="Y527" t="b">
        <f t="shared" si="8"/>
        <v>1</v>
      </c>
      <c r="Z527" t="b">
        <f>COUNTBLANK(metadata!B527:R527)=COLUMNS(metadata!B527:R527)</f>
        <v>1</v>
      </c>
      <c r="AA527" t="str">
        <v/>
      </c>
      <c r="AC527" t="b">
        <f ca="1"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AD527" t="b">
        <f>IF(metadata!C527="",FALSE,ISNUMBER(VALUE(metadata!C527)))</f>
        <v>0</v>
      </c>
      <c r="AE527" t="b">
        <f>AND(IF(metadata!D527="",FALSE,TRUE),EXACT(metadata!D527,"years"))</f>
        <v>0</v>
      </c>
      <c r="AF527" t="b">
        <f>OR(AND(IF(metadata!E527="",FALSE,TRUE),OR(EXACT(metadata!E527,"not applicable"),EXACT(metadata!E527,"missing: not collected"),EXACT(metadata!E527,"missing: not provided"),EXACT(metadata!E527,"missing: restricted access"))),AND(IF(metadata!E527="",FALSE,ISNUMBER(VALUE(metadata!E527))),metadata!E527&gt;0))</f>
        <v>0</v>
      </c>
      <c r="AG527" t="b">
        <f>AND(IF(metadata!F527="",FALSE,TRUE),EXACT(metadata!F527,"Not applicable"))</f>
        <v>0</v>
      </c>
      <c r="AH527" t="b">
        <f>AND(IF(metadata!G527="",FALSE,TRUE),EXACT(metadata!G527,"urban biome"))</f>
        <v>0</v>
      </c>
      <c r="AI527" t="b">
        <f>AND(IF(metadata!H527="",FALSE,TRUE),EXACT(metadata!H527,"human-associated habitat"))</f>
        <v>0</v>
      </c>
      <c r="AJ527" t="b">
        <f>AND(IF(metadata!I527="",FALSE,TRUE),OR(EXACT(metadata!I527,"human-associated"),EXACT(metadata!I527,"human-skin"),EXACT(metadata!I527,"human-oral"),EXACT(metadata!I527,"human-gut"),EXACT(metadata!I527,"human-vaginal")))</f>
        <v>0</v>
      </c>
      <c r="AK527" t="b">
        <f>IF(metadata!J527="",FALSE,ISNUMBER(VALUE(metadata!J527)))</f>
        <v>0</v>
      </c>
      <c r="AL527" t="b">
        <f>AND(IF(metadata!K527="",FALSE,TRUE),EXACT(metadata!K527,"cm"))</f>
        <v>0</v>
      </c>
      <c r="AM527" t="b">
        <f>AND(IF(metadata!L527="",FALSE,TRUE),EXACT(metadata!L527,"human"))</f>
        <v>0</v>
      </c>
      <c r="AN527" t="b">
        <f>AND(IF(metadata!M527="",FALSE,TRUE),EXACT(metadata!M527,"Homo sapiens"))</f>
        <v>0</v>
      </c>
      <c r="AO527" t="b">
        <f>AND(IF(metadata!N527="",FALSE,TRUE),EXACT(metadata!N527,"9606"))</f>
        <v>0</v>
      </c>
      <c r="AP527" t="b">
        <f>IF(metadata!O527="",FALSE,TRUE)</f>
        <v>0</v>
      </c>
      <c r="AQ527" t="b">
        <f>IF(metadata!P527="",FALSE,TRUE)</f>
        <v>0</v>
      </c>
      <c r="AR527" t="b">
        <f>IF(metadata!Q527="",FALSE,ISNUMBER(VALUE(metadata!Q527)))</f>
        <v>0</v>
      </c>
      <c r="AS527" t="b">
        <f>AND(IF(metadata!R527="",FALSE,TRUE),EXACT(metadata!R527,"kg"))</f>
        <v>0</v>
      </c>
    </row>
    <row r="528" spans="1:45" x14ac:dyDescent="0.2">
      <c r="A528" s="5" t="str">
        <f ca="1">IF(B528=" "," ",HYPERLINK(CONCATENATE("#metadata!",ADDRESS(INDEX($X$2:$X$1001,MATCH(ROWS($V$2:V528),$V$2:$V$1001,0),0),1)),INDEX($AA$2:$AA$1001,MATCH(ROWS($V$2:V528),$V$2:$V$1001,0),0)))</f>
        <v xml:space="preserve"> </v>
      </c>
      <c r="B528" s="4" t="str">
        <f ca="1">IF(OR(INDEX($W$2:$W$1001,MATCH(ROWS($V$2:V528),$V$2:$V$1001,0),1)&gt;=100000,INDEX($AC$1005:$AS$1005,1,MATCH(COLUMNS($AC$1006:AC1006),$AC$1006:$AS$1006,0))&gt;=100000), " ",IF(INDEX($AC$2:$AS$1001,MATCH(ROWS($V$2:V528),$V$2:$V$1001,0),MATCH(COLUMNS($AC$1006:AC1006),$AC$1006:$AS$1006,0)), HYPERLINK("#",""), HYPERLINK(CONCATENATE("#metadata!", ADDRESS(INDEX($X$2:$X$1001,MATCH(ROWS($V$2:V528),$V$2:$V$1001,0),0), INDEX($AC$1004:$AS$1004,1,MATCH(COLUMNS($AC$1006:AC1006),$AC$1006:$AS$1006,0)))),"Fix")))</f>
        <v xml:space="preserve"> </v>
      </c>
      <c r="C528" s="4" t="str">
        <f ca="1">IF(OR(INDEX($W$2:$W$1001,MATCH(ROWS($V$2:V528),$V$2:$V$1001,0),1)&gt;=100000,INDEX($AC$1005:$AS$1005,1,MATCH(COLUMNS($AC$1006:AD1006),$AC$1006:$AS$1006,0))&gt;=100000), " ",IF(INDEX($AC$2:$AS$1001,MATCH(ROWS($V$2:V528),$V$2:$V$1001,0),MATCH(COLUMNS($AC$1006:AD1006),$AC$1006:$AS$1006,0)), HYPERLINK("#",""), HYPERLINK(CONCATENATE("#metadata!", ADDRESS(INDEX($X$2:$X$1001,MATCH(ROWS($V$2:V528),$V$2:$V$1001,0),0), INDEX($AC$1004:$AS$1004,1,MATCH(COLUMNS($AC$1006:AD1006),$AC$1006:$AS$1006,0)))),"Fix")))</f>
        <v xml:space="preserve"> </v>
      </c>
      <c r="D528" s="4" t="str">
        <f ca="1">IF(OR(INDEX($W$2:$W$1001,MATCH(ROWS($V$2:V528),$V$2:$V$1001,0),1)&gt;=100000,INDEX($AC$1005:$AS$1005,1,MATCH(COLUMNS($AC$1006:AE1006),$AC$1006:$AS$1006,0))&gt;=100000), " ",IF(INDEX($AC$2:$AS$1001,MATCH(ROWS($V$2:V528),$V$2:$V$1001,0),MATCH(COLUMNS($AC$1006:AE1006),$AC$1006:$AS$1006,0)), HYPERLINK("#",""), HYPERLINK(CONCATENATE("#metadata!", ADDRESS(INDEX($X$2:$X$1001,MATCH(ROWS($V$2:V528),$V$2:$V$1001,0),0), INDEX($AC$1004:$AS$1004,1,MATCH(COLUMNS($AC$1006:AE1006),$AC$1006:$AS$1006,0)))),"Fix")))</f>
        <v xml:space="preserve"> </v>
      </c>
      <c r="E528" s="4" t="str">
        <f ca="1">IF(OR(INDEX($W$2:$W$1001,MATCH(ROWS($V$2:V528),$V$2:$V$1001,0),1)&gt;=100000,INDEX($AC$1005:$AS$1005,1,MATCH(COLUMNS($AC$1006:AF1006),$AC$1006:$AS$1006,0))&gt;=100000), " ",IF(INDEX($AC$2:$AS$1001,MATCH(ROWS($V$2:V528),$V$2:$V$1001,0),MATCH(COLUMNS($AC$1006:AF1006),$AC$1006:$AS$1006,0)), HYPERLINK("#",""), HYPERLINK(CONCATENATE("#metadata!", ADDRESS(INDEX($X$2:$X$1001,MATCH(ROWS($V$2:V528),$V$2:$V$1001,0),0), INDEX($AC$1004:$AS$1004,1,MATCH(COLUMNS($AC$1006:AF1006),$AC$1006:$AS$1006,0)))),"Fix")))</f>
        <v xml:space="preserve"> </v>
      </c>
      <c r="F528" s="4" t="str">
        <f ca="1">IF(OR(INDEX($W$2:$W$1001,MATCH(ROWS($V$2:V528),$V$2:$V$1001,0),1)&gt;=100000,INDEX($AC$1005:$AS$1005,1,MATCH(COLUMNS($AC$1006:AG1006),$AC$1006:$AS$1006,0))&gt;=100000), " ",IF(INDEX($AC$2:$AS$1001,MATCH(ROWS($V$2:V528),$V$2:$V$1001,0),MATCH(COLUMNS($AC$1006:AG1006),$AC$1006:$AS$1006,0)), HYPERLINK("#",""), HYPERLINK(CONCATENATE("#metadata!", ADDRESS(INDEX($X$2:$X$1001,MATCH(ROWS($V$2:V528),$V$2:$V$1001,0),0), INDEX($AC$1004:$AS$1004,1,MATCH(COLUMNS($AC$1006:AG1006),$AC$1006:$AS$1006,0)))),"Fix")))</f>
        <v xml:space="preserve"> </v>
      </c>
      <c r="G528" s="4" t="str">
        <f ca="1">IF(OR(INDEX($W$2:$W$1001,MATCH(ROWS($V$2:V528),$V$2:$V$1001,0),1)&gt;=100000,INDEX($AC$1005:$AS$1005,1,MATCH(COLUMNS($AC$1006:AH1006),$AC$1006:$AS$1006,0))&gt;=100000), " ",IF(INDEX($AC$2:$AS$1001,MATCH(ROWS($V$2:V528),$V$2:$V$1001,0),MATCH(COLUMNS($AC$1006:AH1006),$AC$1006:$AS$1006,0)), HYPERLINK("#",""), HYPERLINK(CONCATENATE("#metadata!", ADDRESS(INDEX($X$2:$X$1001,MATCH(ROWS($V$2:V528),$V$2:$V$1001,0),0), INDEX($AC$1004:$AS$1004,1,MATCH(COLUMNS($AC$1006:AH1006),$AC$1006:$AS$1006,0)))),"Fix")))</f>
        <v xml:space="preserve"> </v>
      </c>
      <c r="H528" s="4" t="str">
        <f ca="1">IF(OR(INDEX($W$2:$W$1001,MATCH(ROWS($V$2:V528),$V$2:$V$1001,0),1)&gt;=100000,INDEX($AC$1005:$AS$1005,1,MATCH(COLUMNS($AC$1006:AI1006),$AC$1006:$AS$1006,0))&gt;=100000), " ",IF(INDEX($AC$2:$AS$1001,MATCH(ROWS($V$2:V528),$V$2:$V$1001,0),MATCH(COLUMNS($AC$1006:AI1006),$AC$1006:$AS$1006,0)), HYPERLINK("#",""), HYPERLINK(CONCATENATE("#metadata!", ADDRESS(INDEX($X$2:$X$1001,MATCH(ROWS($V$2:V528),$V$2:$V$1001,0),0), INDEX($AC$1004:$AS$1004,1,MATCH(COLUMNS($AC$1006:AI1006),$AC$1006:$AS$1006,0)))),"Fix")))</f>
        <v xml:space="preserve"> </v>
      </c>
      <c r="I528" s="4" t="str">
        <f ca="1">IF(OR(INDEX($W$2:$W$1001,MATCH(ROWS($V$2:V528),$V$2:$V$1001,0),1)&gt;=100000,INDEX($AC$1005:$AS$1005,1,MATCH(COLUMNS($AC$1006:AJ1006),$AC$1006:$AS$1006,0))&gt;=100000), " ",IF(INDEX($AC$2:$AS$1001,MATCH(ROWS($V$2:V528),$V$2:$V$1001,0),MATCH(COLUMNS($AC$1006:AJ1006),$AC$1006:$AS$1006,0)), HYPERLINK("#",""), HYPERLINK(CONCATENATE("#metadata!", ADDRESS(INDEX($X$2:$X$1001,MATCH(ROWS($V$2:V528),$V$2:$V$1001,0),0), INDEX($AC$1004:$AS$1004,1,MATCH(COLUMNS($AC$1006:AJ1006),$AC$1006:$AS$1006,0)))),"Fix")))</f>
        <v xml:space="preserve"> </v>
      </c>
      <c r="J528" s="4" t="str">
        <f ca="1">IF(OR(INDEX($W$2:$W$1001,MATCH(ROWS($V$2:V528),$V$2:$V$1001,0),1)&gt;=100000,INDEX($AC$1005:$AS$1005,1,MATCH(COLUMNS($AC$1006:AK1006),$AC$1006:$AS$1006,0))&gt;=100000), " ",IF(INDEX($AC$2:$AS$1001,MATCH(ROWS($V$2:V528),$V$2:$V$1001,0),MATCH(COLUMNS($AC$1006:AK1006),$AC$1006:$AS$1006,0)), HYPERLINK("#",""), HYPERLINK(CONCATENATE("#metadata!", ADDRESS(INDEX($X$2:$X$1001,MATCH(ROWS($V$2:V528),$V$2:$V$1001,0),0), INDEX($AC$1004:$AS$1004,1,MATCH(COLUMNS($AC$1006:AK1006),$AC$1006:$AS$1006,0)))),"Fix")))</f>
        <v xml:space="preserve"> </v>
      </c>
      <c r="K528" s="4" t="str">
        <f ca="1">IF(OR(INDEX($W$2:$W$1001,MATCH(ROWS($V$2:V528),$V$2:$V$1001,0),1)&gt;=100000,INDEX($AC$1005:$AS$1005,1,MATCH(COLUMNS($AC$1006:AL1006),$AC$1006:$AS$1006,0))&gt;=100000), " ",IF(INDEX($AC$2:$AS$1001,MATCH(ROWS($V$2:V528),$V$2:$V$1001,0),MATCH(COLUMNS($AC$1006:AL1006),$AC$1006:$AS$1006,0)), HYPERLINK("#",""), HYPERLINK(CONCATENATE("#metadata!", ADDRESS(INDEX($X$2:$X$1001,MATCH(ROWS($V$2:V528),$V$2:$V$1001,0),0), INDEX($AC$1004:$AS$1004,1,MATCH(COLUMNS($AC$1006:AL1006),$AC$1006:$AS$1006,0)))),"Fix")))</f>
        <v xml:space="preserve"> </v>
      </c>
      <c r="L528" s="4" t="str">
        <f ca="1">IF(OR(INDEX($W$2:$W$1001,MATCH(ROWS($V$2:V528),$V$2:$V$1001,0),1)&gt;=100000,INDEX($AC$1005:$AS$1005,1,MATCH(COLUMNS($AC$1006:AM1006),$AC$1006:$AS$1006,0))&gt;=100000), " ",IF(INDEX($AC$2:$AS$1001,MATCH(ROWS($V$2:V528),$V$2:$V$1001,0),MATCH(COLUMNS($AC$1006:AM1006),$AC$1006:$AS$1006,0)), HYPERLINK("#",""), HYPERLINK(CONCATENATE("#metadata!", ADDRESS(INDEX($X$2:$X$1001,MATCH(ROWS($V$2:V528),$V$2:$V$1001,0),0), INDEX($AC$1004:$AS$1004,1,MATCH(COLUMNS($AC$1006:AM1006),$AC$1006:$AS$1006,0)))),"Fix")))</f>
        <v xml:space="preserve"> </v>
      </c>
      <c r="M528" s="4" t="str">
        <f ca="1">IF(OR(INDEX($W$2:$W$1001,MATCH(ROWS($V$2:V528),$V$2:$V$1001,0),1)&gt;=100000,INDEX($AC$1005:$AS$1005,1,MATCH(COLUMNS($AC$1006:AN1006),$AC$1006:$AS$1006,0))&gt;=100000), " ",IF(INDEX($AC$2:$AS$1001,MATCH(ROWS($V$2:V528),$V$2:$V$1001,0),MATCH(COLUMNS($AC$1006:AN1006),$AC$1006:$AS$1006,0)), HYPERLINK("#",""), HYPERLINK(CONCATENATE("#metadata!", ADDRESS(INDEX($X$2:$X$1001,MATCH(ROWS($V$2:V528),$V$2:$V$1001,0),0), INDEX($AC$1004:$AS$1004,1,MATCH(COLUMNS($AC$1006:AN1006),$AC$1006:$AS$1006,0)))),"Fix")))</f>
        <v xml:space="preserve"> </v>
      </c>
      <c r="N528" s="4" t="str">
        <f ca="1">IF(OR(INDEX($W$2:$W$1001,MATCH(ROWS($V$2:V528),$V$2:$V$1001,0),1)&gt;=100000,INDEX($AC$1005:$AS$1005,1,MATCH(COLUMNS($AC$1006:AO1006),$AC$1006:$AS$1006,0))&gt;=100000), " ",IF(INDEX($AC$2:$AS$1001,MATCH(ROWS($V$2:V528),$V$2:$V$1001,0),MATCH(COLUMNS($AC$1006:AO1006),$AC$1006:$AS$1006,0)), HYPERLINK("#",""), HYPERLINK(CONCATENATE("#metadata!", ADDRESS(INDEX($X$2:$X$1001,MATCH(ROWS($V$2:V528),$V$2:$V$1001,0),0), INDEX($AC$1004:$AS$1004,1,MATCH(COLUMNS($AC$1006:AO1006),$AC$1006:$AS$1006,0)))),"Fix")))</f>
        <v xml:space="preserve"> </v>
      </c>
      <c r="O528" s="4" t="str">
        <f ca="1">IF(OR(INDEX($W$2:$W$1001,MATCH(ROWS($V$2:V528),$V$2:$V$1001,0),1)&gt;=100000,INDEX($AC$1005:$AS$1005,1,MATCH(COLUMNS($AC$1006:AP1006),$AC$1006:$AS$1006,0))&gt;=100000), " ",IF(INDEX($AC$2:$AS$1001,MATCH(ROWS($V$2:V528),$V$2:$V$1001,0),MATCH(COLUMNS($AC$1006:AP1006),$AC$1006:$AS$1006,0)), HYPERLINK("#",""), HYPERLINK(CONCATENATE("#metadata!", ADDRESS(INDEX($X$2:$X$1001,MATCH(ROWS($V$2:V528),$V$2:$V$1001,0),0), INDEX($AC$1004:$AS$1004,1,MATCH(COLUMNS($AC$1006:AP1006),$AC$1006:$AS$1006,0)))),"Fix")))</f>
        <v xml:space="preserve"> </v>
      </c>
      <c r="P528" s="4" t="str">
        <f ca="1">IF(OR(INDEX($W$2:$W$1001,MATCH(ROWS($V$2:V528),$V$2:$V$1001,0),1)&gt;=100000,INDEX($AC$1005:$AS$1005,1,MATCH(COLUMNS($AC$1006:AQ1006),$AC$1006:$AS$1006,0))&gt;=100000), " ",IF(INDEX($AC$2:$AS$1001,MATCH(ROWS($V$2:V528),$V$2:$V$1001,0),MATCH(COLUMNS($AC$1006:AQ1006),$AC$1006:$AS$1006,0)), HYPERLINK("#",""), HYPERLINK(CONCATENATE("#metadata!", ADDRESS(INDEX($X$2:$X$1001,MATCH(ROWS($V$2:V528),$V$2:$V$1001,0),0), INDEX($AC$1004:$AS$1004,1,MATCH(COLUMNS($AC$1006:AQ1006),$AC$1006:$AS$1006,0)))),"Fix")))</f>
        <v xml:space="preserve"> </v>
      </c>
      <c r="Q528" s="4" t="str">
        <f ca="1">IF(OR(INDEX($W$2:$W$1001,MATCH(ROWS($V$2:V528),$V$2:$V$1001,0),1)&gt;=100000,INDEX($AC$1005:$AS$1005,1,MATCH(COLUMNS($AC$1006:AR1006),$AC$1006:$AS$1006,0))&gt;=100000), " ",IF(INDEX($AC$2:$AS$1001,MATCH(ROWS($V$2:V528),$V$2:$V$1001,0),MATCH(COLUMNS($AC$1006:AR1006),$AC$1006:$AS$1006,0)), HYPERLINK("#",""), HYPERLINK(CONCATENATE("#metadata!", ADDRESS(INDEX($X$2:$X$1001,MATCH(ROWS($V$2:V528),$V$2:$V$1001,0),0), INDEX($AC$1004:$AS$1004,1,MATCH(COLUMNS($AC$1006:AR1006),$AC$1006:$AS$1006,0)))),"Fix")))</f>
        <v xml:space="preserve"> </v>
      </c>
      <c r="R528" s="4" t="str">
        <f ca="1">IF(OR(INDEX($W$2:$W$1001,MATCH(ROWS($V$2:V528),$V$2:$V$1001,0),1)&gt;=100000,INDEX($AC$1005:$AS$1005,1,MATCH(COLUMNS($AC$1006:AS1006),$AC$1006:$AS$1006,0))&gt;=100000), " ",IF(INDEX($AC$2:$AS$1001,MATCH(ROWS($V$2:V528),$V$2:$V$1001,0),MATCH(COLUMNS($AC$1006:AS1006),$AC$1006:$AS$1006,0)), HYPERLINK("#",""), HYPERLINK(CONCATENATE("#metadata!", ADDRESS(INDEX($X$2:$X$1001,MATCH(ROWS($V$2:V528),$V$2:$V$1001,0),0), INDEX($AC$1004:$AS$1004,1,MATCH(COLUMNS($AC$1006:AS1006),$AC$1006:$AS$1006,0)))),"Fix")))</f>
        <v xml:space="preserve"> </v>
      </c>
      <c r="V528">
        <v>527</v>
      </c>
      <c r="W528">
        <v>100528</v>
      </c>
      <c r="X528">
        <v>528</v>
      </c>
      <c r="Y528" t="b">
        <f t="shared" si="8"/>
        <v>1</v>
      </c>
      <c r="Z528" t="b">
        <f>COUNTBLANK(metadata!B528:R528)=COLUMNS(metadata!B528:R528)</f>
        <v>1</v>
      </c>
      <c r="AA528" t="str">
        <v/>
      </c>
      <c r="AC528" t="b">
        <f ca="1"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AD528" t="b">
        <f>IF(metadata!C528="",FALSE,ISNUMBER(VALUE(metadata!C528)))</f>
        <v>0</v>
      </c>
      <c r="AE528" t="b">
        <f>AND(IF(metadata!D528="",FALSE,TRUE),EXACT(metadata!D528,"years"))</f>
        <v>0</v>
      </c>
      <c r="AF528" t="b">
        <f>OR(AND(IF(metadata!E528="",FALSE,TRUE),OR(EXACT(metadata!E528,"not applicable"),EXACT(metadata!E528,"missing: not collected"),EXACT(metadata!E528,"missing: not provided"),EXACT(metadata!E528,"missing: restricted access"))),AND(IF(metadata!E528="",FALSE,ISNUMBER(VALUE(metadata!E528))),metadata!E528&gt;0))</f>
        <v>0</v>
      </c>
      <c r="AG528" t="b">
        <f>AND(IF(metadata!F528="",FALSE,TRUE),EXACT(metadata!F528,"Not applicable"))</f>
        <v>0</v>
      </c>
      <c r="AH528" t="b">
        <f>AND(IF(metadata!G528="",FALSE,TRUE),EXACT(metadata!G528,"urban biome"))</f>
        <v>0</v>
      </c>
      <c r="AI528" t="b">
        <f>AND(IF(metadata!H528="",FALSE,TRUE),EXACT(metadata!H528,"human-associated habitat"))</f>
        <v>0</v>
      </c>
      <c r="AJ528" t="b">
        <f>AND(IF(metadata!I528="",FALSE,TRUE),OR(EXACT(metadata!I528,"human-associated"),EXACT(metadata!I528,"human-skin"),EXACT(metadata!I528,"human-oral"),EXACT(metadata!I528,"human-gut"),EXACT(metadata!I528,"human-vaginal")))</f>
        <v>0</v>
      </c>
      <c r="AK528" t="b">
        <f>IF(metadata!J528="",FALSE,ISNUMBER(VALUE(metadata!J528)))</f>
        <v>0</v>
      </c>
      <c r="AL528" t="b">
        <f>AND(IF(metadata!K528="",FALSE,TRUE),EXACT(metadata!K528,"cm"))</f>
        <v>0</v>
      </c>
      <c r="AM528" t="b">
        <f>AND(IF(metadata!L528="",FALSE,TRUE),EXACT(metadata!L528,"human"))</f>
        <v>0</v>
      </c>
      <c r="AN528" t="b">
        <f>AND(IF(metadata!M528="",FALSE,TRUE),EXACT(metadata!M528,"Homo sapiens"))</f>
        <v>0</v>
      </c>
      <c r="AO528" t="b">
        <f>AND(IF(metadata!N528="",FALSE,TRUE),EXACT(metadata!N528,"9606"))</f>
        <v>0</v>
      </c>
      <c r="AP528" t="b">
        <f>IF(metadata!O528="",FALSE,TRUE)</f>
        <v>0</v>
      </c>
      <c r="AQ528" t="b">
        <f>IF(metadata!P528="",FALSE,TRUE)</f>
        <v>0</v>
      </c>
      <c r="AR528" t="b">
        <f>IF(metadata!Q528="",FALSE,ISNUMBER(VALUE(metadata!Q528)))</f>
        <v>0</v>
      </c>
      <c r="AS528" t="b">
        <f>AND(IF(metadata!R528="",FALSE,TRUE),EXACT(metadata!R528,"kg"))</f>
        <v>0</v>
      </c>
    </row>
    <row r="529" spans="1:45" x14ac:dyDescent="0.2">
      <c r="A529" s="5" t="str">
        <f ca="1">IF(B529=" "," ",HYPERLINK(CONCATENATE("#metadata!",ADDRESS(INDEX($X$2:$X$1001,MATCH(ROWS($V$2:V529),$V$2:$V$1001,0),0),1)),INDEX($AA$2:$AA$1001,MATCH(ROWS($V$2:V529),$V$2:$V$1001,0),0)))</f>
        <v xml:space="preserve"> </v>
      </c>
      <c r="B529" s="4" t="str">
        <f ca="1">IF(OR(INDEX($W$2:$W$1001,MATCH(ROWS($V$2:V529),$V$2:$V$1001,0),1)&gt;=100000,INDEX($AC$1005:$AS$1005,1,MATCH(COLUMNS($AC$1006:AC1006),$AC$1006:$AS$1006,0))&gt;=100000), " ",IF(INDEX($AC$2:$AS$1001,MATCH(ROWS($V$2:V529),$V$2:$V$1001,0),MATCH(COLUMNS($AC$1006:AC1006),$AC$1006:$AS$1006,0)), HYPERLINK("#",""), HYPERLINK(CONCATENATE("#metadata!", ADDRESS(INDEX($X$2:$X$1001,MATCH(ROWS($V$2:V529),$V$2:$V$1001,0),0), INDEX($AC$1004:$AS$1004,1,MATCH(COLUMNS($AC$1006:AC1006),$AC$1006:$AS$1006,0)))),"Fix")))</f>
        <v xml:space="preserve"> </v>
      </c>
      <c r="C529" s="4" t="str">
        <f ca="1">IF(OR(INDEX($W$2:$W$1001,MATCH(ROWS($V$2:V529),$V$2:$V$1001,0),1)&gt;=100000,INDEX($AC$1005:$AS$1005,1,MATCH(COLUMNS($AC$1006:AD1006),$AC$1006:$AS$1006,0))&gt;=100000), " ",IF(INDEX($AC$2:$AS$1001,MATCH(ROWS($V$2:V529),$V$2:$V$1001,0),MATCH(COLUMNS($AC$1006:AD1006),$AC$1006:$AS$1006,0)), HYPERLINK("#",""), HYPERLINK(CONCATENATE("#metadata!", ADDRESS(INDEX($X$2:$X$1001,MATCH(ROWS($V$2:V529),$V$2:$V$1001,0),0), INDEX($AC$1004:$AS$1004,1,MATCH(COLUMNS($AC$1006:AD1006),$AC$1006:$AS$1006,0)))),"Fix")))</f>
        <v xml:space="preserve"> </v>
      </c>
      <c r="D529" s="4" t="str">
        <f ca="1">IF(OR(INDEX($W$2:$W$1001,MATCH(ROWS($V$2:V529),$V$2:$V$1001,0),1)&gt;=100000,INDEX($AC$1005:$AS$1005,1,MATCH(COLUMNS($AC$1006:AE1006),$AC$1006:$AS$1006,0))&gt;=100000), " ",IF(INDEX($AC$2:$AS$1001,MATCH(ROWS($V$2:V529),$V$2:$V$1001,0),MATCH(COLUMNS($AC$1006:AE1006),$AC$1006:$AS$1006,0)), HYPERLINK("#",""), HYPERLINK(CONCATENATE("#metadata!", ADDRESS(INDEX($X$2:$X$1001,MATCH(ROWS($V$2:V529),$V$2:$V$1001,0),0), INDEX($AC$1004:$AS$1004,1,MATCH(COLUMNS($AC$1006:AE1006),$AC$1006:$AS$1006,0)))),"Fix")))</f>
        <v xml:space="preserve"> </v>
      </c>
      <c r="E529" s="4" t="str">
        <f ca="1">IF(OR(INDEX($W$2:$W$1001,MATCH(ROWS($V$2:V529),$V$2:$V$1001,0),1)&gt;=100000,INDEX($AC$1005:$AS$1005,1,MATCH(COLUMNS($AC$1006:AF1006),$AC$1006:$AS$1006,0))&gt;=100000), " ",IF(INDEX($AC$2:$AS$1001,MATCH(ROWS($V$2:V529),$V$2:$V$1001,0),MATCH(COLUMNS($AC$1006:AF1006),$AC$1006:$AS$1006,0)), HYPERLINK("#",""), HYPERLINK(CONCATENATE("#metadata!", ADDRESS(INDEX($X$2:$X$1001,MATCH(ROWS($V$2:V529),$V$2:$V$1001,0),0), INDEX($AC$1004:$AS$1004,1,MATCH(COLUMNS($AC$1006:AF1006),$AC$1006:$AS$1006,0)))),"Fix")))</f>
        <v xml:space="preserve"> </v>
      </c>
      <c r="F529" s="4" t="str">
        <f ca="1">IF(OR(INDEX($W$2:$W$1001,MATCH(ROWS($V$2:V529),$V$2:$V$1001,0),1)&gt;=100000,INDEX($AC$1005:$AS$1005,1,MATCH(COLUMNS($AC$1006:AG1006),$AC$1006:$AS$1006,0))&gt;=100000), " ",IF(INDEX($AC$2:$AS$1001,MATCH(ROWS($V$2:V529),$V$2:$V$1001,0),MATCH(COLUMNS($AC$1006:AG1006),$AC$1006:$AS$1006,0)), HYPERLINK("#",""), HYPERLINK(CONCATENATE("#metadata!", ADDRESS(INDEX($X$2:$X$1001,MATCH(ROWS($V$2:V529),$V$2:$V$1001,0),0), INDEX($AC$1004:$AS$1004,1,MATCH(COLUMNS($AC$1006:AG1006),$AC$1006:$AS$1006,0)))),"Fix")))</f>
        <v xml:space="preserve"> </v>
      </c>
      <c r="G529" s="4" t="str">
        <f ca="1">IF(OR(INDEX($W$2:$W$1001,MATCH(ROWS($V$2:V529),$V$2:$V$1001,0),1)&gt;=100000,INDEX($AC$1005:$AS$1005,1,MATCH(COLUMNS($AC$1006:AH1006),$AC$1006:$AS$1006,0))&gt;=100000), " ",IF(INDEX($AC$2:$AS$1001,MATCH(ROWS($V$2:V529),$V$2:$V$1001,0),MATCH(COLUMNS($AC$1006:AH1006),$AC$1006:$AS$1006,0)), HYPERLINK("#",""), HYPERLINK(CONCATENATE("#metadata!", ADDRESS(INDEX($X$2:$X$1001,MATCH(ROWS($V$2:V529),$V$2:$V$1001,0),0), INDEX($AC$1004:$AS$1004,1,MATCH(COLUMNS($AC$1006:AH1006),$AC$1006:$AS$1006,0)))),"Fix")))</f>
        <v xml:space="preserve"> </v>
      </c>
      <c r="H529" s="4" t="str">
        <f ca="1">IF(OR(INDEX($W$2:$W$1001,MATCH(ROWS($V$2:V529),$V$2:$V$1001,0),1)&gt;=100000,INDEX($AC$1005:$AS$1005,1,MATCH(COLUMNS($AC$1006:AI1006),$AC$1006:$AS$1006,0))&gt;=100000), " ",IF(INDEX($AC$2:$AS$1001,MATCH(ROWS($V$2:V529),$V$2:$V$1001,0),MATCH(COLUMNS($AC$1006:AI1006),$AC$1006:$AS$1006,0)), HYPERLINK("#",""), HYPERLINK(CONCATENATE("#metadata!", ADDRESS(INDEX($X$2:$X$1001,MATCH(ROWS($V$2:V529),$V$2:$V$1001,0),0), INDEX($AC$1004:$AS$1004,1,MATCH(COLUMNS($AC$1006:AI1006),$AC$1006:$AS$1006,0)))),"Fix")))</f>
        <v xml:space="preserve"> </v>
      </c>
      <c r="I529" s="4" t="str">
        <f ca="1">IF(OR(INDEX($W$2:$W$1001,MATCH(ROWS($V$2:V529),$V$2:$V$1001,0),1)&gt;=100000,INDEX($AC$1005:$AS$1005,1,MATCH(COLUMNS($AC$1006:AJ1006),$AC$1006:$AS$1006,0))&gt;=100000), " ",IF(INDEX($AC$2:$AS$1001,MATCH(ROWS($V$2:V529),$V$2:$V$1001,0),MATCH(COLUMNS($AC$1006:AJ1006),$AC$1006:$AS$1006,0)), HYPERLINK("#",""), HYPERLINK(CONCATENATE("#metadata!", ADDRESS(INDEX($X$2:$X$1001,MATCH(ROWS($V$2:V529),$V$2:$V$1001,0),0), INDEX($AC$1004:$AS$1004,1,MATCH(COLUMNS($AC$1006:AJ1006),$AC$1006:$AS$1006,0)))),"Fix")))</f>
        <v xml:space="preserve"> </v>
      </c>
      <c r="J529" s="4" t="str">
        <f ca="1">IF(OR(INDEX($W$2:$W$1001,MATCH(ROWS($V$2:V529),$V$2:$V$1001,0),1)&gt;=100000,INDEX($AC$1005:$AS$1005,1,MATCH(COLUMNS($AC$1006:AK1006),$AC$1006:$AS$1006,0))&gt;=100000), " ",IF(INDEX($AC$2:$AS$1001,MATCH(ROWS($V$2:V529),$V$2:$V$1001,0),MATCH(COLUMNS($AC$1006:AK1006),$AC$1006:$AS$1006,0)), HYPERLINK("#",""), HYPERLINK(CONCATENATE("#metadata!", ADDRESS(INDEX($X$2:$X$1001,MATCH(ROWS($V$2:V529),$V$2:$V$1001,0),0), INDEX($AC$1004:$AS$1004,1,MATCH(COLUMNS($AC$1006:AK1006),$AC$1006:$AS$1006,0)))),"Fix")))</f>
        <v xml:space="preserve"> </v>
      </c>
      <c r="K529" s="4" t="str">
        <f ca="1">IF(OR(INDEX($W$2:$W$1001,MATCH(ROWS($V$2:V529),$V$2:$V$1001,0),1)&gt;=100000,INDEX($AC$1005:$AS$1005,1,MATCH(COLUMNS($AC$1006:AL1006),$AC$1006:$AS$1006,0))&gt;=100000), " ",IF(INDEX($AC$2:$AS$1001,MATCH(ROWS($V$2:V529),$V$2:$V$1001,0),MATCH(COLUMNS($AC$1006:AL1006),$AC$1006:$AS$1006,0)), HYPERLINK("#",""), HYPERLINK(CONCATENATE("#metadata!", ADDRESS(INDEX($X$2:$X$1001,MATCH(ROWS($V$2:V529),$V$2:$V$1001,0),0), INDEX($AC$1004:$AS$1004,1,MATCH(COLUMNS($AC$1006:AL1006),$AC$1006:$AS$1006,0)))),"Fix")))</f>
        <v xml:space="preserve"> </v>
      </c>
      <c r="L529" s="4" t="str">
        <f ca="1">IF(OR(INDEX($W$2:$W$1001,MATCH(ROWS($V$2:V529),$V$2:$V$1001,0),1)&gt;=100000,INDEX($AC$1005:$AS$1005,1,MATCH(COLUMNS($AC$1006:AM1006),$AC$1006:$AS$1006,0))&gt;=100000), " ",IF(INDEX($AC$2:$AS$1001,MATCH(ROWS($V$2:V529),$V$2:$V$1001,0),MATCH(COLUMNS($AC$1006:AM1006),$AC$1006:$AS$1006,0)), HYPERLINK("#",""), HYPERLINK(CONCATENATE("#metadata!", ADDRESS(INDEX($X$2:$X$1001,MATCH(ROWS($V$2:V529),$V$2:$V$1001,0),0), INDEX($AC$1004:$AS$1004,1,MATCH(COLUMNS($AC$1006:AM1006),$AC$1006:$AS$1006,0)))),"Fix")))</f>
        <v xml:space="preserve"> </v>
      </c>
      <c r="M529" s="4" t="str">
        <f ca="1">IF(OR(INDEX($W$2:$W$1001,MATCH(ROWS($V$2:V529),$V$2:$V$1001,0),1)&gt;=100000,INDEX($AC$1005:$AS$1005,1,MATCH(COLUMNS($AC$1006:AN1006),$AC$1006:$AS$1006,0))&gt;=100000), " ",IF(INDEX($AC$2:$AS$1001,MATCH(ROWS($V$2:V529),$V$2:$V$1001,0),MATCH(COLUMNS($AC$1006:AN1006),$AC$1006:$AS$1006,0)), HYPERLINK("#",""), HYPERLINK(CONCATENATE("#metadata!", ADDRESS(INDEX($X$2:$X$1001,MATCH(ROWS($V$2:V529),$V$2:$V$1001,0),0), INDEX($AC$1004:$AS$1004,1,MATCH(COLUMNS($AC$1006:AN1006),$AC$1006:$AS$1006,0)))),"Fix")))</f>
        <v xml:space="preserve"> </v>
      </c>
      <c r="N529" s="4" t="str">
        <f ca="1">IF(OR(INDEX($W$2:$W$1001,MATCH(ROWS($V$2:V529),$V$2:$V$1001,0),1)&gt;=100000,INDEX($AC$1005:$AS$1005,1,MATCH(COLUMNS($AC$1006:AO1006),$AC$1006:$AS$1006,0))&gt;=100000), " ",IF(INDEX($AC$2:$AS$1001,MATCH(ROWS($V$2:V529),$V$2:$V$1001,0),MATCH(COLUMNS($AC$1006:AO1006),$AC$1006:$AS$1006,0)), HYPERLINK("#",""), HYPERLINK(CONCATENATE("#metadata!", ADDRESS(INDEX($X$2:$X$1001,MATCH(ROWS($V$2:V529),$V$2:$V$1001,0),0), INDEX($AC$1004:$AS$1004,1,MATCH(COLUMNS($AC$1006:AO1006),$AC$1006:$AS$1006,0)))),"Fix")))</f>
        <v xml:space="preserve"> </v>
      </c>
      <c r="O529" s="4" t="str">
        <f ca="1">IF(OR(INDEX($W$2:$W$1001,MATCH(ROWS($V$2:V529),$V$2:$V$1001,0),1)&gt;=100000,INDEX($AC$1005:$AS$1005,1,MATCH(COLUMNS($AC$1006:AP1006),$AC$1006:$AS$1006,0))&gt;=100000), " ",IF(INDEX($AC$2:$AS$1001,MATCH(ROWS($V$2:V529),$V$2:$V$1001,0),MATCH(COLUMNS($AC$1006:AP1006),$AC$1006:$AS$1006,0)), HYPERLINK("#",""), HYPERLINK(CONCATENATE("#metadata!", ADDRESS(INDEX($X$2:$X$1001,MATCH(ROWS($V$2:V529),$V$2:$V$1001,0),0), INDEX($AC$1004:$AS$1004,1,MATCH(COLUMNS($AC$1006:AP1006),$AC$1006:$AS$1006,0)))),"Fix")))</f>
        <v xml:space="preserve"> </v>
      </c>
      <c r="P529" s="4" t="str">
        <f ca="1">IF(OR(INDEX($W$2:$W$1001,MATCH(ROWS($V$2:V529),$V$2:$V$1001,0),1)&gt;=100000,INDEX($AC$1005:$AS$1005,1,MATCH(COLUMNS($AC$1006:AQ1006),$AC$1006:$AS$1006,0))&gt;=100000), " ",IF(INDEX($AC$2:$AS$1001,MATCH(ROWS($V$2:V529),$V$2:$V$1001,0),MATCH(COLUMNS($AC$1006:AQ1006),$AC$1006:$AS$1006,0)), HYPERLINK("#",""), HYPERLINK(CONCATENATE("#metadata!", ADDRESS(INDEX($X$2:$X$1001,MATCH(ROWS($V$2:V529),$V$2:$V$1001,0),0), INDEX($AC$1004:$AS$1004,1,MATCH(COLUMNS($AC$1006:AQ1006),$AC$1006:$AS$1006,0)))),"Fix")))</f>
        <v xml:space="preserve"> </v>
      </c>
      <c r="Q529" s="4" t="str">
        <f ca="1">IF(OR(INDEX($W$2:$W$1001,MATCH(ROWS($V$2:V529),$V$2:$V$1001,0),1)&gt;=100000,INDEX($AC$1005:$AS$1005,1,MATCH(COLUMNS($AC$1006:AR1006),$AC$1006:$AS$1006,0))&gt;=100000), " ",IF(INDEX($AC$2:$AS$1001,MATCH(ROWS($V$2:V529),$V$2:$V$1001,0),MATCH(COLUMNS($AC$1006:AR1006),$AC$1006:$AS$1006,0)), HYPERLINK("#",""), HYPERLINK(CONCATENATE("#metadata!", ADDRESS(INDEX($X$2:$X$1001,MATCH(ROWS($V$2:V529),$V$2:$V$1001,0),0), INDEX($AC$1004:$AS$1004,1,MATCH(COLUMNS($AC$1006:AR1006),$AC$1006:$AS$1006,0)))),"Fix")))</f>
        <v xml:space="preserve"> </v>
      </c>
      <c r="R529" s="4" t="str">
        <f ca="1">IF(OR(INDEX($W$2:$W$1001,MATCH(ROWS($V$2:V529),$V$2:$V$1001,0),1)&gt;=100000,INDEX($AC$1005:$AS$1005,1,MATCH(COLUMNS($AC$1006:AS1006),$AC$1006:$AS$1006,0))&gt;=100000), " ",IF(INDEX($AC$2:$AS$1001,MATCH(ROWS($V$2:V529),$V$2:$V$1001,0),MATCH(COLUMNS($AC$1006:AS1006),$AC$1006:$AS$1006,0)), HYPERLINK("#",""), HYPERLINK(CONCATENATE("#metadata!", ADDRESS(INDEX($X$2:$X$1001,MATCH(ROWS($V$2:V529),$V$2:$V$1001,0),0), INDEX($AC$1004:$AS$1004,1,MATCH(COLUMNS($AC$1006:AS1006),$AC$1006:$AS$1006,0)))),"Fix")))</f>
        <v xml:space="preserve"> </v>
      </c>
      <c r="V529">
        <v>528</v>
      </c>
      <c r="W529">
        <v>100529</v>
      </c>
      <c r="X529">
        <v>529</v>
      </c>
      <c r="Y529" t="b">
        <f t="shared" si="8"/>
        <v>1</v>
      </c>
      <c r="Z529" t="b">
        <f>COUNTBLANK(metadata!B529:R529)=COLUMNS(metadata!B529:R529)</f>
        <v>1</v>
      </c>
      <c r="AA529" t="str">
        <v/>
      </c>
      <c r="AC529" t="b">
        <f ca="1"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AD529" t="b">
        <f>IF(metadata!C529="",FALSE,ISNUMBER(VALUE(metadata!C529)))</f>
        <v>0</v>
      </c>
      <c r="AE529" t="b">
        <f>AND(IF(metadata!D529="",FALSE,TRUE),EXACT(metadata!D529,"years"))</f>
        <v>0</v>
      </c>
      <c r="AF529" t="b">
        <f>OR(AND(IF(metadata!E529="",FALSE,TRUE),OR(EXACT(metadata!E529,"not applicable"),EXACT(metadata!E529,"missing: not collected"),EXACT(metadata!E529,"missing: not provided"),EXACT(metadata!E529,"missing: restricted access"))),AND(IF(metadata!E529="",FALSE,ISNUMBER(VALUE(metadata!E529))),metadata!E529&gt;0))</f>
        <v>0</v>
      </c>
      <c r="AG529" t="b">
        <f>AND(IF(metadata!F529="",FALSE,TRUE),EXACT(metadata!F529,"Not applicable"))</f>
        <v>0</v>
      </c>
      <c r="AH529" t="b">
        <f>AND(IF(metadata!G529="",FALSE,TRUE),EXACT(metadata!G529,"urban biome"))</f>
        <v>0</v>
      </c>
      <c r="AI529" t="b">
        <f>AND(IF(metadata!H529="",FALSE,TRUE),EXACT(metadata!H529,"human-associated habitat"))</f>
        <v>0</v>
      </c>
      <c r="AJ529" t="b">
        <f>AND(IF(metadata!I529="",FALSE,TRUE),OR(EXACT(metadata!I529,"human-associated"),EXACT(metadata!I529,"human-skin"),EXACT(metadata!I529,"human-oral"),EXACT(metadata!I529,"human-gut"),EXACT(metadata!I529,"human-vaginal")))</f>
        <v>0</v>
      </c>
      <c r="AK529" t="b">
        <f>IF(metadata!J529="",FALSE,ISNUMBER(VALUE(metadata!J529)))</f>
        <v>0</v>
      </c>
      <c r="AL529" t="b">
        <f>AND(IF(metadata!K529="",FALSE,TRUE),EXACT(metadata!K529,"cm"))</f>
        <v>0</v>
      </c>
      <c r="AM529" t="b">
        <f>AND(IF(metadata!L529="",FALSE,TRUE),EXACT(metadata!L529,"human"))</f>
        <v>0</v>
      </c>
      <c r="AN529" t="b">
        <f>AND(IF(metadata!M529="",FALSE,TRUE),EXACT(metadata!M529,"Homo sapiens"))</f>
        <v>0</v>
      </c>
      <c r="AO529" t="b">
        <f>AND(IF(metadata!N529="",FALSE,TRUE),EXACT(metadata!N529,"9606"))</f>
        <v>0</v>
      </c>
      <c r="AP529" t="b">
        <f>IF(metadata!O529="",FALSE,TRUE)</f>
        <v>0</v>
      </c>
      <c r="AQ529" t="b">
        <f>IF(metadata!P529="",FALSE,TRUE)</f>
        <v>0</v>
      </c>
      <c r="AR529" t="b">
        <f>IF(metadata!Q529="",FALSE,ISNUMBER(VALUE(metadata!Q529)))</f>
        <v>0</v>
      </c>
      <c r="AS529" t="b">
        <f>AND(IF(metadata!R529="",FALSE,TRUE),EXACT(metadata!R529,"kg"))</f>
        <v>0</v>
      </c>
    </row>
    <row r="530" spans="1:45" x14ac:dyDescent="0.2">
      <c r="A530" s="5" t="str">
        <f ca="1">IF(B530=" "," ",HYPERLINK(CONCATENATE("#metadata!",ADDRESS(INDEX($X$2:$X$1001,MATCH(ROWS($V$2:V530),$V$2:$V$1001,0),0),1)),INDEX($AA$2:$AA$1001,MATCH(ROWS($V$2:V530),$V$2:$V$1001,0),0)))</f>
        <v xml:space="preserve"> </v>
      </c>
      <c r="B530" s="4" t="str">
        <f ca="1">IF(OR(INDEX($W$2:$W$1001,MATCH(ROWS($V$2:V530),$V$2:$V$1001,0),1)&gt;=100000,INDEX($AC$1005:$AS$1005,1,MATCH(COLUMNS($AC$1006:AC1006),$AC$1006:$AS$1006,0))&gt;=100000), " ",IF(INDEX($AC$2:$AS$1001,MATCH(ROWS($V$2:V530),$V$2:$V$1001,0),MATCH(COLUMNS($AC$1006:AC1006),$AC$1006:$AS$1006,0)), HYPERLINK("#",""), HYPERLINK(CONCATENATE("#metadata!", ADDRESS(INDEX($X$2:$X$1001,MATCH(ROWS($V$2:V530),$V$2:$V$1001,0),0), INDEX($AC$1004:$AS$1004,1,MATCH(COLUMNS($AC$1006:AC1006),$AC$1006:$AS$1006,0)))),"Fix")))</f>
        <v xml:space="preserve"> </v>
      </c>
      <c r="C530" s="4" t="str">
        <f ca="1">IF(OR(INDEX($W$2:$W$1001,MATCH(ROWS($V$2:V530),$V$2:$V$1001,0),1)&gt;=100000,INDEX($AC$1005:$AS$1005,1,MATCH(COLUMNS($AC$1006:AD1006),$AC$1006:$AS$1006,0))&gt;=100000), " ",IF(INDEX($AC$2:$AS$1001,MATCH(ROWS($V$2:V530),$V$2:$V$1001,0),MATCH(COLUMNS($AC$1006:AD1006),$AC$1006:$AS$1006,0)), HYPERLINK("#",""), HYPERLINK(CONCATENATE("#metadata!", ADDRESS(INDEX($X$2:$X$1001,MATCH(ROWS($V$2:V530),$V$2:$V$1001,0),0), INDEX($AC$1004:$AS$1004,1,MATCH(COLUMNS($AC$1006:AD1006),$AC$1006:$AS$1006,0)))),"Fix")))</f>
        <v xml:space="preserve"> </v>
      </c>
      <c r="D530" s="4" t="str">
        <f ca="1">IF(OR(INDEX($W$2:$W$1001,MATCH(ROWS($V$2:V530),$V$2:$V$1001,0),1)&gt;=100000,INDEX($AC$1005:$AS$1005,1,MATCH(COLUMNS($AC$1006:AE1006),$AC$1006:$AS$1006,0))&gt;=100000), " ",IF(INDEX($AC$2:$AS$1001,MATCH(ROWS($V$2:V530),$V$2:$V$1001,0),MATCH(COLUMNS($AC$1006:AE1006),$AC$1006:$AS$1006,0)), HYPERLINK("#",""), HYPERLINK(CONCATENATE("#metadata!", ADDRESS(INDEX($X$2:$X$1001,MATCH(ROWS($V$2:V530),$V$2:$V$1001,0),0), INDEX($AC$1004:$AS$1004,1,MATCH(COLUMNS($AC$1006:AE1006),$AC$1006:$AS$1006,0)))),"Fix")))</f>
        <v xml:space="preserve"> </v>
      </c>
      <c r="E530" s="4" t="str">
        <f ca="1">IF(OR(INDEX($W$2:$W$1001,MATCH(ROWS($V$2:V530),$V$2:$V$1001,0),1)&gt;=100000,INDEX($AC$1005:$AS$1005,1,MATCH(COLUMNS($AC$1006:AF1006),$AC$1006:$AS$1006,0))&gt;=100000), " ",IF(INDEX($AC$2:$AS$1001,MATCH(ROWS($V$2:V530),$V$2:$V$1001,0),MATCH(COLUMNS($AC$1006:AF1006),$AC$1006:$AS$1006,0)), HYPERLINK("#",""), HYPERLINK(CONCATENATE("#metadata!", ADDRESS(INDEX($X$2:$X$1001,MATCH(ROWS($V$2:V530),$V$2:$V$1001,0),0), INDEX($AC$1004:$AS$1004,1,MATCH(COLUMNS($AC$1006:AF1006),$AC$1006:$AS$1006,0)))),"Fix")))</f>
        <v xml:space="preserve"> </v>
      </c>
      <c r="F530" s="4" t="str">
        <f ca="1">IF(OR(INDEX($W$2:$W$1001,MATCH(ROWS($V$2:V530),$V$2:$V$1001,0),1)&gt;=100000,INDEX($AC$1005:$AS$1005,1,MATCH(COLUMNS($AC$1006:AG1006),$AC$1006:$AS$1006,0))&gt;=100000), " ",IF(INDEX($AC$2:$AS$1001,MATCH(ROWS($V$2:V530),$V$2:$V$1001,0),MATCH(COLUMNS($AC$1006:AG1006),$AC$1006:$AS$1006,0)), HYPERLINK("#",""), HYPERLINK(CONCATENATE("#metadata!", ADDRESS(INDEX($X$2:$X$1001,MATCH(ROWS($V$2:V530),$V$2:$V$1001,0),0), INDEX($AC$1004:$AS$1004,1,MATCH(COLUMNS($AC$1006:AG1006),$AC$1006:$AS$1006,0)))),"Fix")))</f>
        <v xml:space="preserve"> </v>
      </c>
      <c r="G530" s="4" t="str">
        <f ca="1">IF(OR(INDEX($W$2:$W$1001,MATCH(ROWS($V$2:V530),$V$2:$V$1001,0),1)&gt;=100000,INDEX($AC$1005:$AS$1005,1,MATCH(COLUMNS($AC$1006:AH1006),$AC$1006:$AS$1006,0))&gt;=100000), " ",IF(INDEX($AC$2:$AS$1001,MATCH(ROWS($V$2:V530),$V$2:$V$1001,0),MATCH(COLUMNS($AC$1006:AH1006),$AC$1006:$AS$1006,0)), HYPERLINK("#",""), HYPERLINK(CONCATENATE("#metadata!", ADDRESS(INDEX($X$2:$X$1001,MATCH(ROWS($V$2:V530),$V$2:$V$1001,0),0), INDEX($AC$1004:$AS$1004,1,MATCH(COLUMNS($AC$1006:AH1006),$AC$1006:$AS$1006,0)))),"Fix")))</f>
        <v xml:space="preserve"> </v>
      </c>
      <c r="H530" s="4" t="str">
        <f ca="1">IF(OR(INDEX($W$2:$W$1001,MATCH(ROWS($V$2:V530),$V$2:$V$1001,0),1)&gt;=100000,INDEX($AC$1005:$AS$1005,1,MATCH(COLUMNS($AC$1006:AI1006),$AC$1006:$AS$1006,0))&gt;=100000), " ",IF(INDEX($AC$2:$AS$1001,MATCH(ROWS($V$2:V530),$V$2:$V$1001,0),MATCH(COLUMNS($AC$1006:AI1006),$AC$1006:$AS$1006,0)), HYPERLINK("#",""), HYPERLINK(CONCATENATE("#metadata!", ADDRESS(INDEX($X$2:$X$1001,MATCH(ROWS($V$2:V530),$V$2:$V$1001,0),0), INDEX($AC$1004:$AS$1004,1,MATCH(COLUMNS($AC$1006:AI1006),$AC$1006:$AS$1006,0)))),"Fix")))</f>
        <v xml:space="preserve"> </v>
      </c>
      <c r="I530" s="4" t="str">
        <f ca="1">IF(OR(INDEX($W$2:$W$1001,MATCH(ROWS($V$2:V530),$V$2:$V$1001,0),1)&gt;=100000,INDEX($AC$1005:$AS$1005,1,MATCH(COLUMNS($AC$1006:AJ1006),$AC$1006:$AS$1006,0))&gt;=100000), " ",IF(INDEX($AC$2:$AS$1001,MATCH(ROWS($V$2:V530),$V$2:$V$1001,0),MATCH(COLUMNS($AC$1006:AJ1006),$AC$1006:$AS$1006,0)), HYPERLINK("#",""), HYPERLINK(CONCATENATE("#metadata!", ADDRESS(INDEX($X$2:$X$1001,MATCH(ROWS($V$2:V530),$V$2:$V$1001,0),0), INDEX($AC$1004:$AS$1004,1,MATCH(COLUMNS($AC$1006:AJ1006),$AC$1006:$AS$1006,0)))),"Fix")))</f>
        <v xml:space="preserve"> </v>
      </c>
      <c r="J530" s="4" t="str">
        <f ca="1">IF(OR(INDEX($W$2:$W$1001,MATCH(ROWS($V$2:V530),$V$2:$V$1001,0),1)&gt;=100000,INDEX($AC$1005:$AS$1005,1,MATCH(COLUMNS($AC$1006:AK1006),$AC$1006:$AS$1006,0))&gt;=100000), " ",IF(INDEX($AC$2:$AS$1001,MATCH(ROWS($V$2:V530),$V$2:$V$1001,0),MATCH(COLUMNS($AC$1006:AK1006),$AC$1006:$AS$1006,0)), HYPERLINK("#",""), HYPERLINK(CONCATENATE("#metadata!", ADDRESS(INDEX($X$2:$X$1001,MATCH(ROWS($V$2:V530),$V$2:$V$1001,0),0), INDEX($AC$1004:$AS$1004,1,MATCH(COLUMNS($AC$1006:AK1006),$AC$1006:$AS$1006,0)))),"Fix")))</f>
        <v xml:space="preserve"> </v>
      </c>
      <c r="K530" s="4" t="str">
        <f ca="1">IF(OR(INDEX($W$2:$W$1001,MATCH(ROWS($V$2:V530),$V$2:$V$1001,0),1)&gt;=100000,INDEX($AC$1005:$AS$1005,1,MATCH(COLUMNS($AC$1006:AL1006),$AC$1006:$AS$1006,0))&gt;=100000), " ",IF(INDEX($AC$2:$AS$1001,MATCH(ROWS($V$2:V530),$V$2:$V$1001,0),MATCH(COLUMNS($AC$1006:AL1006),$AC$1006:$AS$1006,0)), HYPERLINK("#",""), HYPERLINK(CONCATENATE("#metadata!", ADDRESS(INDEX($X$2:$X$1001,MATCH(ROWS($V$2:V530),$V$2:$V$1001,0),0), INDEX($AC$1004:$AS$1004,1,MATCH(COLUMNS($AC$1006:AL1006),$AC$1006:$AS$1006,0)))),"Fix")))</f>
        <v xml:space="preserve"> </v>
      </c>
      <c r="L530" s="4" t="str">
        <f ca="1">IF(OR(INDEX($W$2:$W$1001,MATCH(ROWS($V$2:V530),$V$2:$V$1001,0),1)&gt;=100000,INDEX($AC$1005:$AS$1005,1,MATCH(COLUMNS($AC$1006:AM1006),$AC$1006:$AS$1006,0))&gt;=100000), " ",IF(INDEX($AC$2:$AS$1001,MATCH(ROWS($V$2:V530),$V$2:$V$1001,0),MATCH(COLUMNS($AC$1006:AM1006),$AC$1006:$AS$1006,0)), HYPERLINK("#",""), HYPERLINK(CONCATENATE("#metadata!", ADDRESS(INDEX($X$2:$X$1001,MATCH(ROWS($V$2:V530),$V$2:$V$1001,0),0), INDEX($AC$1004:$AS$1004,1,MATCH(COLUMNS($AC$1006:AM1006),$AC$1006:$AS$1006,0)))),"Fix")))</f>
        <v xml:space="preserve"> </v>
      </c>
      <c r="M530" s="4" t="str">
        <f ca="1">IF(OR(INDEX($W$2:$W$1001,MATCH(ROWS($V$2:V530),$V$2:$V$1001,0),1)&gt;=100000,INDEX($AC$1005:$AS$1005,1,MATCH(COLUMNS($AC$1006:AN1006),$AC$1006:$AS$1006,0))&gt;=100000), " ",IF(INDEX($AC$2:$AS$1001,MATCH(ROWS($V$2:V530),$V$2:$V$1001,0),MATCH(COLUMNS($AC$1006:AN1006),$AC$1006:$AS$1006,0)), HYPERLINK("#",""), HYPERLINK(CONCATENATE("#metadata!", ADDRESS(INDEX($X$2:$X$1001,MATCH(ROWS($V$2:V530),$V$2:$V$1001,0),0), INDEX($AC$1004:$AS$1004,1,MATCH(COLUMNS($AC$1006:AN1006),$AC$1006:$AS$1006,0)))),"Fix")))</f>
        <v xml:space="preserve"> </v>
      </c>
      <c r="N530" s="4" t="str">
        <f ca="1">IF(OR(INDEX($W$2:$W$1001,MATCH(ROWS($V$2:V530),$V$2:$V$1001,0),1)&gt;=100000,INDEX($AC$1005:$AS$1005,1,MATCH(COLUMNS($AC$1006:AO1006),$AC$1006:$AS$1006,0))&gt;=100000), " ",IF(INDEX($AC$2:$AS$1001,MATCH(ROWS($V$2:V530),$V$2:$V$1001,0),MATCH(COLUMNS($AC$1006:AO1006),$AC$1006:$AS$1006,0)), HYPERLINK("#",""), HYPERLINK(CONCATENATE("#metadata!", ADDRESS(INDEX($X$2:$X$1001,MATCH(ROWS($V$2:V530),$V$2:$V$1001,0),0), INDEX($AC$1004:$AS$1004,1,MATCH(COLUMNS($AC$1006:AO1006),$AC$1006:$AS$1006,0)))),"Fix")))</f>
        <v xml:space="preserve"> </v>
      </c>
      <c r="O530" s="4" t="str">
        <f ca="1">IF(OR(INDEX($W$2:$W$1001,MATCH(ROWS($V$2:V530),$V$2:$V$1001,0),1)&gt;=100000,INDEX($AC$1005:$AS$1005,1,MATCH(COLUMNS($AC$1006:AP1006),$AC$1006:$AS$1006,0))&gt;=100000), " ",IF(INDEX($AC$2:$AS$1001,MATCH(ROWS($V$2:V530),$V$2:$V$1001,0),MATCH(COLUMNS($AC$1006:AP1006),$AC$1006:$AS$1006,0)), HYPERLINK("#",""), HYPERLINK(CONCATENATE("#metadata!", ADDRESS(INDEX($X$2:$X$1001,MATCH(ROWS($V$2:V530),$V$2:$V$1001,0),0), INDEX($AC$1004:$AS$1004,1,MATCH(COLUMNS($AC$1006:AP1006),$AC$1006:$AS$1006,0)))),"Fix")))</f>
        <v xml:space="preserve"> </v>
      </c>
      <c r="P530" s="4" t="str">
        <f ca="1">IF(OR(INDEX($W$2:$W$1001,MATCH(ROWS($V$2:V530),$V$2:$V$1001,0),1)&gt;=100000,INDEX($AC$1005:$AS$1005,1,MATCH(COLUMNS($AC$1006:AQ1006),$AC$1006:$AS$1006,0))&gt;=100000), " ",IF(INDEX($AC$2:$AS$1001,MATCH(ROWS($V$2:V530),$V$2:$V$1001,0),MATCH(COLUMNS($AC$1006:AQ1006),$AC$1006:$AS$1006,0)), HYPERLINK("#",""), HYPERLINK(CONCATENATE("#metadata!", ADDRESS(INDEX($X$2:$X$1001,MATCH(ROWS($V$2:V530),$V$2:$V$1001,0),0), INDEX($AC$1004:$AS$1004,1,MATCH(COLUMNS($AC$1006:AQ1006),$AC$1006:$AS$1006,0)))),"Fix")))</f>
        <v xml:space="preserve"> </v>
      </c>
      <c r="Q530" s="4" t="str">
        <f ca="1">IF(OR(INDEX($W$2:$W$1001,MATCH(ROWS($V$2:V530),$V$2:$V$1001,0),1)&gt;=100000,INDEX($AC$1005:$AS$1005,1,MATCH(COLUMNS($AC$1006:AR1006),$AC$1006:$AS$1006,0))&gt;=100000), " ",IF(INDEX($AC$2:$AS$1001,MATCH(ROWS($V$2:V530),$V$2:$V$1001,0),MATCH(COLUMNS($AC$1006:AR1006),$AC$1006:$AS$1006,0)), HYPERLINK("#",""), HYPERLINK(CONCATENATE("#metadata!", ADDRESS(INDEX($X$2:$X$1001,MATCH(ROWS($V$2:V530),$V$2:$V$1001,0),0), INDEX($AC$1004:$AS$1004,1,MATCH(COLUMNS($AC$1006:AR1006),$AC$1006:$AS$1006,0)))),"Fix")))</f>
        <v xml:space="preserve"> </v>
      </c>
      <c r="R530" s="4" t="str">
        <f ca="1">IF(OR(INDEX($W$2:$W$1001,MATCH(ROWS($V$2:V530),$V$2:$V$1001,0),1)&gt;=100000,INDEX($AC$1005:$AS$1005,1,MATCH(COLUMNS($AC$1006:AS1006),$AC$1006:$AS$1006,0))&gt;=100000), " ",IF(INDEX($AC$2:$AS$1001,MATCH(ROWS($V$2:V530),$V$2:$V$1001,0),MATCH(COLUMNS($AC$1006:AS1006),$AC$1006:$AS$1006,0)), HYPERLINK("#",""), HYPERLINK(CONCATENATE("#metadata!", ADDRESS(INDEX($X$2:$X$1001,MATCH(ROWS($V$2:V530),$V$2:$V$1001,0),0), INDEX($AC$1004:$AS$1004,1,MATCH(COLUMNS($AC$1006:AS1006),$AC$1006:$AS$1006,0)))),"Fix")))</f>
        <v xml:space="preserve"> </v>
      </c>
      <c r="V530">
        <v>529</v>
      </c>
      <c r="W530">
        <v>100530</v>
      </c>
      <c r="X530">
        <v>530</v>
      </c>
      <c r="Y530" t="b">
        <f t="shared" si="8"/>
        <v>1</v>
      </c>
      <c r="Z530" t="b">
        <f>COUNTBLANK(metadata!B530:R530)=COLUMNS(metadata!B530:R530)</f>
        <v>1</v>
      </c>
      <c r="AA530" t="str">
        <v/>
      </c>
      <c r="AC530" t="b">
        <f ca="1"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AD530" t="b">
        <f>IF(metadata!C530="",FALSE,ISNUMBER(VALUE(metadata!C530)))</f>
        <v>0</v>
      </c>
      <c r="AE530" t="b">
        <f>AND(IF(metadata!D530="",FALSE,TRUE),EXACT(metadata!D530,"years"))</f>
        <v>0</v>
      </c>
      <c r="AF530" t="b">
        <f>OR(AND(IF(metadata!E530="",FALSE,TRUE),OR(EXACT(metadata!E530,"not applicable"),EXACT(metadata!E530,"missing: not collected"),EXACT(metadata!E530,"missing: not provided"),EXACT(metadata!E530,"missing: restricted access"))),AND(IF(metadata!E530="",FALSE,ISNUMBER(VALUE(metadata!E530))),metadata!E530&gt;0))</f>
        <v>0</v>
      </c>
      <c r="AG530" t="b">
        <f>AND(IF(metadata!F530="",FALSE,TRUE),EXACT(metadata!F530,"Not applicable"))</f>
        <v>0</v>
      </c>
      <c r="AH530" t="b">
        <f>AND(IF(metadata!G530="",FALSE,TRUE),EXACT(metadata!G530,"urban biome"))</f>
        <v>0</v>
      </c>
      <c r="AI530" t="b">
        <f>AND(IF(metadata!H530="",FALSE,TRUE),EXACT(metadata!H530,"human-associated habitat"))</f>
        <v>0</v>
      </c>
      <c r="AJ530" t="b">
        <f>AND(IF(metadata!I530="",FALSE,TRUE),OR(EXACT(metadata!I530,"human-associated"),EXACT(metadata!I530,"human-skin"),EXACT(metadata!I530,"human-oral"),EXACT(metadata!I530,"human-gut"),EXACT(metadata!I530,"human-vaginal")))</f>
        <v>0</v>
      </c>
      <c r="AK530" t="b">
        <f>IF(metadata!J530="",FALSE,ISNUMBER(VALUE(metadata!J530)))</f>
        <v>0</v>
      </c>
      <c r="AL530" t="b">
        <f>AND(IF(metadata!K530="",FALSE,TRUE),EXACT(metadata!K530,"cm"))</f>
        <v>0</v>
      </c>
      <c r="AM530" t="b">
        <f>AND(IF(metadata!L530="",FALSE,TRUE),EXACT(metadata!L530,"human"))</f>
        <v>0</v>
      </c>
      <c r="AN530" t="b">
        <f>AND(IF(metadata!M530="",FALSE,TRUE),EXACT(metadata!M530,"Homo sapiens"))</f>
        <v>0</v>
      </c>
      <c r="AO530" t="b">
        <f>AND(IF(metadata!N530="",FALSE,TRUE),EXACT(metadata!N530,"9606"))</f>
        <v>0</v>
      </c>
      <c r="AP530" t="b">
        <f>IF(metadata!O530="",FALSE,TRUE)</f>
        <v>0</v>
      </c>
      <c r="AQ530" t="b">
        <f>IF(metadata!P530="",FALSE,TRUE)</f>
        <v>0</v>
      </c>
      <c r="AR530" t="b">
        <f>IF(metadata!Q530="",FALSE,ISNUMBER(VALUE(metadata!Q530)))</f>
        <v>0</v>
      </c>
      <c r="AS530" t="b">
        <f>AND(IF(metadata!R530="",FALSE,TRUE),EXACT(metadata!R530,"kg"))</f>
        <v>0</v>
      </c>
    </row>
    <row r="531" spans="1:45" x14ac:dyDescent="0.2">
      <c r="A531" s="5" t="str">
        <f ca="1">IF(B531=" "," ",HYPERLINK(CONCATENATE("#metadata!",ADDRESS(INDEX($X$2:$X$1001,MATCH(ROWS($V$2:V531),$V$2:$V$1001,0),0),1)),INDEX($AA$2:$AA$1001,MATCH(ROWS($V$2:V531),$V$2:$V$1001,0),0)))</f>
        <v xml:space="preserve"> </v>
      </c>
      <c r="B531" s="4" t="str">
        <f ca="1">IF(OR(INDEX($W$2:$W$1001,MATCH(ROWS($V$2:V531),$V$2:$V$1001,0),1)&gt;=100000,INDEX($AC$1005:$AS$1005,1,MATCH(COLUMNS($AC$1006:AC1006),$AC$1006:$AS$1006,0))&gt;=100000), " ",IF(INDEX($AC$2:$AS$1001,MATCH(ROWS($V$2:V531),$V$2:$V$1001,0),MATCH(COLUMNS($AC$1006:AC1006),$AC$1006:$AS$1006,0)), HYPERLINK("#",""), HYPERLINK(CONCATENATE("#metadata!", ADDRESS(INDEX($X$2:$X$1001,MATCH(ROWS($V$2:V531),$V$2:$V$1001,0),0), INDEX($AC$1004:$AS$1004,1,MATCH(COLUMNS($AC$1006:AC1006),$AC$1006:$AS$1006,0)))),"Fix")))</f>
        <v xml:space="preserve"> </v>
      </c>
      <c r="C531" s="4" t="str">
        <f ca="1">IF(OR(INDEX($W$2:$W$1001,MATCH(ROWS($V$2:V531),$V$2:$V$1001,0),1)&gt;=100000,INDEX($AC$1005:$AS$1005,1,MATCH(COLUMNS($AC$1006:AD1006),$AC$1006:$AS$1006,0))&gt;=100000), " ",IF(INDEX($AC$2:$AS$1001,MATCH(ROWS($V$2:V531),$V$2:$V$1001,0),MATCH(COLUMNS($AC$1006:AD1006),$AC$1006:$AS$1006,0)), HYPERLINK("#",""), HYPERLINK(CONCATENATE("#metadata!", ADDRESS(INDEX($X$2:$X$1001,MATCH(ROWS($V$2:V531),$V$2:$V$1001,0),0), INDEX($AC$1004:$AS$1004,1,MATCH(COLUMNS($AC$1006:AD1006),$AC$1006:$AS$1006,0)))),"Fix")))</f>
        <v xml:space="preserve"> </v>
      </c>
      <c r="D531" s="4" t="str">
        <f ca="1">IF(OR(INDEX($W$2:$W$1001,MATCH(ROWS($V$2:V531),$V$2:$V$1001,0),1)&gt;=100000,INDEX($AC$1005:$AS$1005,1,MATCH(COLUMNS($AC$1006:AE1006),$AC$1006:$AS$1006,0))&gt;=100000), " ",IF(INDEX($AC$2:$AS$1001,MATCH(ROWS($V$2:V531),$V$2:$V$1001,0),MATCH(COLUMNS($AC$1006:AE1006),$AC$1006:$AS$1006,0)), HYPERLINK("#",""), HYPERLINK(CONCATENATE("#metadata!", ADDRESS(INDEX($X$2:$X$1001,MATCH(ROWS($V$2:V531),$V$2:$V$1001,0),0), INDEX($AC$1004:$AS$1004,1,MATCH(COLUMNS($AC$1006:AE1006),$AC$1006:$AS$1006,0)))),"Fix")))</f>
        <v xml:space="preserve"> </v>
      </c>
      <c r="E531" s="4" t="str">
        <f ca="1">IF(OR(INDEX($W$2:$W$1001,MATCH(ROWS($V$2:V531),$V$2:$V$1001,0),1)&gt;=100000,INDEX($AC$1005:$AS$1005,1,MATCH(COLUMNS($AC$1006:AF1006),$AC$1006:$AS$1006,0))&gt;=100000), " ",IF(INDEX($AC$2:$AS$1001,MATCH(ROWS($V$2:V531),$V$2:$V$1001,0),MATCH(COLUMNS($AC$1006:AF1006),$AC$1006:$AS$1006,0)), HYPERLINK("#",""), HYPERLINK(CONCATENATE("#metadata!", ADDRESS(INDEX($X$2:$X$1001,MATCH(ROWS($V$2:V531),$V$2:$V$1001,0),0), INDEX($AC$1004:$AS$1004,1,MATCH(COLUMNS($AC$1006:AF1006),$AC$1006:$AS$1006,0)))),"Fix")))</f>
        <v xml:space="preserve"> </v>
      </c>
      <c r="F531" s="4" t="str">
        <f ca="1">IF(OR(INDEX($W$2:$W$1001,MATCH(ROWS($V$2:V531),$V$2:$V$1001,0),1)&gt;=100000,INDEX($AC$1005:$AS$1005,1,MATCH(COLUMNS($AC$1006:AG1006),$AC$1006:$AS$1006,0))&gt;=100000), " ",IF(INDEX($AC$2:$AS$1001,MATCH(ROWS($V$2:V531),$V$2:$V$1001,0),MATCH(COLUMNS($AC$1006:AG1006),$AC$1006:$AS$1006,0)), HYPERLINK("#",""), HYPERLINK(CONCATENATE("#metadata!", ADDRESS(INDEX($X$2:$X$1001,MATCH(ROWS($V$2:V531),$V$2:$V$1001,0),0), INDEX($AC$1004:$AS$1004,1,MATCH(COLUMNS($AC$1006:AG1006),$AC$1006:$AS$1006,0)))),"Fix")))</f>
        <v xml:space="preserve"> </v>
      </c>
      <c r="G531" s="4" t="str">
        <f ca="1">IF(OR(INDEX($W$2:$W$1001,MATCH(ROWS($V$2:V531),$V$2:$V$1001,0),1)&gt;=100000,INDEX($AC$1005:$AS$1005,1,MATCH(COLUMNS($AC$1006:AH1006),$AC$1006:$AS$1006,0))&gt;=100000), " ",IF(INDEX($AC$2:$AS$1001,MATCH(ROWS($V$2:V531),$V$2:$V$1001,0),MATCH(COLUMNS($AC$1006:AH1006),$AC$1006:$AS$1006,0)), HYPERLINK("#",""), HYPERLINK(CONCATENATE("#metadata!", ADDRESS(INDEX($X$2:$X$1001,MATCH(ROWS($V$2:V531),$V$2:$V$1001,0),0), INDEX($AC$1004:$AS$1004,1,MATCH(COLUMNS($AC$1006:AH1006),$AC$1006:$AS$1006,0)))),"Fix")))</f>
        <v xml:space="preserve"> </v>
      </c>
      <c r="H531" s="4" t="str">
        <f ca="1">IF(OR(INDEX($W$2:$W$1001,MATCH(ROWS($V$2:V531),$V$2:$V$1001,0),1)&gt;=100000,INDEX($AC$1005:$AS$1005,1,MATCH(COLUMNS($AC$1006:AI1006),$AC$1006:$AS$1006,0))&gt;=100000), " ",IF(INDEX($AC$2:$AS$1001,MATCH(ROWS($V$2:V531),$V$2:$V$1001,0),MATCH(COLUMNS($AC$1006:AI1006),$AC$1006:$AS$1006,0)), HYPERLINK("#",""), HYPERLINK(CONCATENATE("#metadata!", ADDRESS(INDEX($X$2:$X$1001,MATCH(ROWS($V$2:V531),$V$2:$V$1001,0),0), INDEX($AC$1004:$AS$1004,1,MATCH(COLUMNS($AC$1006:AI1006),$AC$1006:$AS$1006,0)))),"Fix")))</f>
        <v xml:space="preserve"> </v>
      </c>
      <c r="I531" s="4" t="str">
        <f ca="1">IF(OR(INDEX($W$2:$W$1001,MATCH(ROWS($V$2:V531),$V$2:$V$1001,0),1)&gt;=100000,INDEX($AC$1005:$AS$1005,1,MATCH(COLUMNS($AC$1006:AJ1006),$AC$1006:$AS$1006,0))&gt;=100000), " ",IF(INDEX($AC$2:$AS$1001,MATCH(ROWS($V$2:V531),$V$2:$V$1001,0),MATCH(COLUMNS($AC$1006:AJ1006),$AC$1006:$AS$1006,0)), HYPERLINK("#",""), HYPERLINK(CONCATENATE("#metadata!", ADDRESS(INDEX($X$2:$X$1001,MATCH(ROWS($V$2:V531),$V$2:$V$1001,0),0), INDEX($AC$1004:$AS$1004,1,MATCH(COLUMNS($AC$1006:AJ1006),$AC$1006:$AS$1006,0)))),"Fix")))</f>
        <v xml:space="preserve"> </v>
      </c>
      <c r="J531" s="4" t="str">
        <f ca="1">IF(OR(INDEX($W$2:$W$1001,MATCH(ROWS($V$2:V531),$V$2:$V$1001,0),1)&gt;=100000,INDEX($AC$1005:$AS$1005,1,MATCH(COLUMNS($AC$1006:AK1006),$AC$1006:$AS$1006,0))&gt;=100000), " ",IF(INDEX($AC$2:$AS$1001,MATCH(ROWS($V$2:V531),$V$2:$V$1001,0),MATCH(COLUMNS($AC$1006:AK1006),$AC$1006:$AS$1006,0)), HYPERLINK("#",""), HYPERLINK(CONCATENATE("#metadata!", ADDRESS(INDEX($X$2:$X$1001,MATCH(ROWS($V$2:V531),$V$2:$V$1001,0),0), INDEX($AC$1004:$AS$1004,1,MATCH(COLUMNS($AC$1006:AK1006),$AC$1006:$AS$1006,0)))),"Fix")))</f>
        <v xml:space="preserve"> </v>
      </c>
      <c r="K531" s="4" t="str">
        <f ca="1">IF(OR(INDEX($W$2:$W$1001,MATCH(ROWS($V$2:V531),$V$2:$V$1001,0),1)&gt;=100000,INDEX($AC$1005:$AS$1005,1,MATCH(COLUMNS($AC$1006:AL1006),$AC$1006:$AS$1006,0))&gt;=100000), " ",IF(INDEX($AC$2:$AS$1001,MATCH(ROWS($V$2:V531),$V$2:$V$1001,0),MATCH(COLUMNS($AC$1006:AL1006),$AC$1006:$AS$1006,0)), HYPERLINK("#",""), HYPERLINK(CONCATENATE("#metadata!", ADDRESS(INDEX($X$2:$X$1001,MATCH(ROWS($V$2:V531),$V$2:$V$1001,0),0), INDEX($AC$1004:$AS$1004,1,MATCH(COLUMNS($AC$1006:AL1006),$AC$1006:$AS$1006,0)))),"Fix")))</f>
        <v xml:space="preserve"> </v>
      </c>
      <c r="L531" s="4" t="str">
        <f ca="1">IF(OR(INDEX($W$2:$W$1001,MATCH(ROWS($V$2:V531),$V$2:$V$1001,0),1)&gt;=100000,INDEX($AC$1005:$AS$1005,1,MATCH(COLUMNS($AC$1006:AM1006),$AC$1006:$AS$1006,0))&gt;=100000), " ",IF(INDEX($AC$2:$AS$1001,MATCH(ROWS($V$2:V531),$V$2:$V$1001,0),MATCH(COLUMNS($AC$1006:AM1006),$AC$1006:$AS$1006,0)), HYPERLINK("#",""), HYPERLINK(CONCATENATE("#metadata!", ADDRESS(INDEX($X$2:$X$1001,MATCH(ROWS($V$2:V531),$V$2:$V$1001,0),0), INDEX($AC$1004:$AS$1004,1,MATCH(COLUMNS($AC$1006:AM1006),$AC$1006:$AS$1006,0)))),"Fix")))</f>
        <v xml:space="preserve"> </v>
      </c>
      <c r="M531" s="4" t="str">
        <f ca="1">IF(OR(INDEX($W$2:$W$1001,MATCH(ROWS($V$2:V531),$V$2:$V$1001,0),1)&gt;=100000,INDEX($AC$1005:$AS$1005,1,MATCH(COLUMNS($AC$1006:AN1006),$AC$1006:$AS$1006,0))&gt;=100000), " ",IF(INDEX($AC$2:$AS$1001,MATCH(ROWS($V$2:V531),$V$2:$V$1001,0),MATCH(COLUMNS($AC$1006:AN1006),$AC$1006:$AS$1006,0)), HYPERLINK("#",""), HYPERLINK(CONCATENATE("#metadata!", ADDRESS(INDEX($X$2:$X$1001,MATCH(ROWS($V$2:V531),$V$2:$V$1001,0),0), INDEX($AC$1004:$AS$1004,1,MATCH(COLUMNS($AC$1006:AN1006),$AC$1006:$AS$1006,0)))),"Fix")))</f>
        <v xml:space="preserve"> </v>
      </c>
      <c r="N531" s="4" t="str">
        <f ca="1">IF(OR(INDEX($W$2:$W$1001,MATCH(ROWS($V$2:V531),$V$2:$V$1001,0),1)&gt;=100000,INDEX($AC$1005:$AS$1005,1,MATCH(COLUMNS($AC$1006:AO1006),$AC$1006:$AS$1006,0))&gt;=100000), " ",IF(INDEX($AC$2:$AS$1001,MATCH(ROWS($V$2:V531),$V$2:$V$1001,0),MATCH(COLUMNS($AC$1006:AO1006),$AC$1006:$AS$1006,0)), HYPERLINK("#",""), HYPERLINK(CONCATENATE("#metadata!", ADDRESS(INDEX($X$2:$X$1001,MATCH(ROWS($V$2:V531),$V$2:$V$1001,0),0), INDEX($AC$1004:$AS$1004,1,MATCH(COLUMNS($AC$1006:AO1006),$AC$1006:$AS$1006,0)))),"Fix")))</f>
        <v xml:space="preserve"> </v>
      </c>
      <c r="O531" s="4" t="str">
        <f ca="1">IF(OR(INDEX($W$2:$W$1001,MATCH(ROWS($V$2:V531),$V$2:$V$1001,0),1)&gt;=100000,INDEX($AC$1005:$AS$1005,1,MATCH(COLUMNS($AC$1006:AP1006),$AC$1006:$AS$1006,0))&gt;=100000), " ",IF(INDEX($AC$2:$AS$1001,MATCH(ROWS($V$2:V531),$V$2:$V$1001,0),MATCH(COLUMNS($AC$1006:AP1006),$AC$1006:$AS$1006,0)), HYPERLINK("#",""), HYPERLINK(CONCATENATE("#metadata!", ADDRESS(INDEX($X$2:$X$1001,MATCH(ROWS($V$2:V531),$V$2:$V$1001,0),0), INDEX($AC$1004:$AS$1004,1,MATCH(COLUMNS($AC$1006:AP1006),$AC$1006:$AS$1006,0)))),"Fix")))</f>
        <v xml:space="preserve"> </v>
      </c>
      <c r="P531" s="4" t="str">
        <f ca="1">IF(OR(INDEX($W$2:$W$1001,MATCH(ROWS($V$2:V531),$V$2:$V$1001,0),1)&gt;=100000,INDEX($AC$1005:$AS$1005,1,MATCH(COLUMNS($AC$1006:AQ1006),$AC$1006:$AS$1006,0))&gt;=100000), " ",IF(INDEX($AC$2:$AS$1001,MATCH(ROWS($V$2:V531),$V$2:$V$1001,0),MATCH(COLUMNS($AC$1006:AQ1006),$AC$1006:$AS$1006,0)), HYPERLINK("#",""), HYPERLINK(CONCATENATE("#metadata!", ADDRESS(INDEX($X$2:$X$1001,MATCH(ROWS($V$2:V531),$V$2:$V$1001,0),0), INDEX($AC$1004:$AS$1004,1,MATCH(COLUMNS($AC$1006:AQ1006),$AC$1006:$AS$1006,0)))),"Fix")))</f>
        <v xml:space="preserve"> </v>
      </c>
      <c r="Q531" s="4" t="str">
        <f ca="1">IF(OR(INDEX($W$2:$W$1001,MATCH(ROWS($V$2:V531),$V$2:$V$1001,0),1)&gt;=100000,INDEX($AC$1005:$AS$1005,1,MATCH(COLUMNS($AC$1006:AR1006),$AC$1006:$AS$1006,0))&gt;=100000), " ",IF(INDEX($AC$2:$AS$1001,MATCH(ROWS($V$2:V531),$V$2:$V$1001,0),MATCH(COLUMNS($AC$1006:AR1006),$AC$1006:$AS$1006,0)), HYPERLINK("#",""), HYPERLINK(CONCATENATE("#metadata!", ADDRESS(INDEX($X$2:$X$1001,MATCH(ROWS($V$2:V531),$V$2:$V$1001,0),0), INDEX($AC$1004:$AS$1004,1,MATCH(COLUMNS($AC$1006:AR1006),$AC$1006:$AS$1006,0)))),"Fix")))</f>
        <v xml:space="preserve"> </v>
      </c>
      <c r="R531" s="4" t="str">
        <f ca="1">IF(OR(INDEX($W$2:$W$1001,MATCH(ROWS($V$2:V531),$V$2:$V$1001,0),1)&gt;=100000,INDEX($AC$1005:$AS$1005,1,MATCH(COLUMNS($AC$1006:AS1006),$AC$1006:$AS$1006,0))&gt;=100000), " ",IF(INDEX($AC$2:$AS$1001,MATCH(ROWS($V$2:V531),$V$2:$V$1001,0),MATCH(COLUMNS($AC$1006:AS1006),$AC$1006:$AS$1006,0)), HYPERLINK("#",""), HYPERLINK(CONCATENATE("#metadata!", ADDRESS(INDEX($X$2:$X$1001,MATCH(ROWS($V$2:V531),$V$2:$V$1001,0),0), INDEX($AC$1004:$AS$1004,1,MATCH(COLUMNS($AC$1006:AS1006),$AC$1006:$AS$1006,0)))),"Fix")))</f>
        <v xml:space="preserve"> </v>
      </c>
      <c r="V531">
        <v>530</v>
      </c>
      <c r="W531">
        <v>100531</v>
      </c>
      <c r="X531">
        <v>531</v>
      </c>
      <c r="Y531" t="b">
        <f t="shared" si="8"/>
        <v>1</v>
      </c>
      <c r="Z531" t="b">
        <f>COUNTBLANK(metadata!B531:R531)=COLUMNS(metadata!B531:R531)</f>
        <v>1</v>
      </c>
      <c r="AA531" t="str">
        <v/>
      </c>
      <c r="AC531" t="b">
        <f ca="1"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AD531" t="b">
        <f>IF(metadata!C531="",FALSE,ISNUMBER(VALUE(metadata!C531)))</f>
        <v>0</v>
      </c>
      <c r="AE531" t="b">
        <f>AND(IF(metadata!D531="",FALSE,TRUE),EXACT(metadata!D531,"years"))</f>
        <v>0</v>
      </c>
      <c r="AF531" t="b">
        <f>OR(AND(IF(metadata!E531="",FALSE,TRUE),OR(EXACT(metadata!E531,"not applicable"),EXACT(metadata!E531,"missing: not collected"),EXACT(metadata!E531,"missing: not provided"),EXACT(metadata!E531,"missing: restricted access"))),AND(IF(metadata!E531="",FALSE,ISNUMBER(VALUE(metadata!E531))),metadata!E531&gt;0))</f>
        <v>0</v>
      </c>
      <c r="AG531" t="b">
        <f>AND(IF(metadata!F531="",FALSE,TRUE),EXACT(metadata!F531,"Not applicable"))</f>
        <v>0</v>
      </c>
      <c r="AH531" t="b">
        <f>AND(IF(metadata!G531="",FALSE,TRUE),EXACT(metadata!G531,"urban biome"))</f>
        <v>0</v>
      </c>
      <c r="AI531" t="b">
        <f>AND(IF(metadata!H531="",FALSE,TRUE),EXACT(metadata!H531,"human-associated habitat"))</f>
        <v>0</v>
      </c>
      <c r="AJ531" t="b">
        <f>AND(IF(metadata!I531="",FALSE,TRUE),OR(EXACT(metadata!I531,"human-associated"),EXACT(metadata!I531,"human-skin"),EXACT(metadata!I531,"human-oral"),EXACT(metadata!I531,"human-gut"),EXACT(metadata!I531,"human-vaginal")))</f>
        <v>0</v>
      </c>
      <c r="AK531" t="b">
        <f>IF(metadata!J531="",FALSE,ISNUMBER(VALUE(metadata!J531)))</f>
        <v>0</v>
      </c>
      <c r="AL531" t="b">
        <f>AND(IF(metadata!K531="",FALSE,TRUE),EXACT(metadata!K531,"cm"))</f>
        <v>0</v>
      </c>
      <c r="AM531" t="b">
        <f>AND(IF(metadata!L531="",FALSE,TRUE),EXACT(metadata!L531,"human"))</f>
        <v>0</v>
      </c>
      <c r="AN531" t="b">
        <f>AND(IF(metadata!M531="",FALSE,TRUE),EXACT(metadata!M531,"Homo sapiens"))</f>
        <v>0</v>
      </c>
      <c r="AO531" t="b">
        <f>AND(IF(metadata!N531="",FALSE,TRUE),EXACT(metadata!N531,"9606"))</f>
        <v>0</v>
      </c>
      <c r="AP531" t="b">
        <f>IF(metadata!O531="",FALSE,TRUE)</f>
        <v>0</v>
      </c>
      <c r="AQ531" t="b">
        <f>IF(metadata!P531="",FALSE,TRUE)</f>
        <v>0</v>
      </c>
      <c r="AR531" t="b">
        <f>IF(metadata!Q531="",FALSE,ISNUMBER(VALUE(metadata!Q531)))</f>
        <v>0</v>
      </c>
      <c r="AS531" t="b">
        <f>AND(IF(metadata!R531="",FALSE,TRUE),EXACT(metadata!R531,"kg"))</f>
        <v>0</v>
      </c>
    </row>
    <row r="532" spans="1:45" x14ac:dyDescent="0.2">
      <c r="A532" s="5" t="str">
        <f ca="1">IF(B532=" "," ",HYPERLINK(CONCATENATE("#metadata!",ADDRESS(INDEX($X$2:$X$1001,MATCH(ROWS($V$2:V532),$V$2:$V$1001,0),0),1)),INDEX($AA$2:$AA$1001,MATCH(ROWS($V$2:V532),$V$2:$V$1001,0),0)))</f>
        <v xml:space="preserve"> </v>
      </c>
      <c r="B532" s="4" t="str">
        <f ca="1">IF(OR(INDEX($W$2:$W$1001,MATCH(ROWS($V$2:V532),$V$2:$V$1001,0),1)&gt;=100000,INDEX($AC$1005:$AS$1005,1,MATCH(COLUMNS($AC$1006:AC1006),$AC$1006:$AS$1006,0))&gt;=100000), " ",IF(INDEX($AC$2:$AS$1001,MATCH(ROWS($V$2:V532),$V$2:$V$1001,0),MATCH(COLUMNS($AC$1006:AC1006),$AC$1006:$AS$1006,0)), HYPERLINK("#",""), HYPERLINK(CONCATENATE("#metadata!", ADDRESS(INDEX($X$2:$X$1001,MATCH(ROWS($V$2:V532),$V$2:$V$1001,0),0), INDEX($AC$1004:$AS$1004,1,MATCH(COLUMNS($AC$1006:AC1006),$AC$1006:$AS$1006,0)))),"Fix")))</f>
        <v xml:space="preserve"> </v>
      </c>
      <c r="C532" s="4" t="str">
        <f ca="1">IF(OR(INDEX($W$2:$W$1001,MATCH(ROWS($V$2:V532),$V$2:$V$1001,0),1)&gt;=100000,INDEX($AC$1005:$AS$1005,1,MATCH(COLUMNS($AC$1006:AD1006),$AC$1006:$AS$1006,0))&gt;=100000), " ",IF(INDEX($AC$2:$AS$1001,MATCH(ROWS($V$2:V532),$V$2:$V$1001,0),MATCH(COLUMNS($AC$1006:AD1006),$AC$1006:$AS$1006,0)), HYPERLINK("#",""), HYPERLINK(CONCATENATE("#metadata!", ADDRESS(INDEX($X$2:$X$1001,MATCH(ROWS($V$2:V532),$V$2:$V$1001,0),0), INDEX($AC$1004:$AS$1004,1,MATCH(COLUMNS($AC$1006:AD1006),$AC$1006:$AS$1006,0)))),"Fix")))</f>
        <v xml:space="preserve"> </v>
      </c>
      <c r="D532" s="4" t="str">
        <f ca="1">IF(OR(INDEX($W$2:$W$1001,MATCH(ROWS($V$2:V532),$V$2:$V$1001,0),1)&gt;=100000,INDEX($AC$1005:$AS$1005,1,MATCH(COLUMNS($AC$1006:AE1006),$AC$1006:$AS$1006,0))&gt;=100000), " ",IF(INDEX($AC$2:$AS$1001,MATCH(ROWS($V$2:V532),$V$2:$V$1001,0),MATCH(COLUMNS($AC$1006:AE1006),$AC$1006:$AS$1006,0)), HYPERLINK("#",""), HYPERLINK(CONCATENATE("#metadata!", ADDRESS(INDEX($X$2:$X$1001,MATCH(ROWS($V$2:V532),$V$2:$V$1001,0),0), INDEX($AC$1004:$AS$1004,1,MATCH(COLUMNS($AC$1006:AE1006),$AC$1006:$AS$1006,0)))),"Fix")))</f>
        <v xml:space="preserve"> </v>
      </c>
      <c r="E532" s="4" t="str">
        <f ca="1">IF(OR(INDEX($W$2:$W$1001,MATCH(ROWS($V$2:V532),$V$2:$V$1001,0),1)&gt;=100000,INDEX($AC$1005:$AS$1005,1,MATCH(COLUMNS($AC$1006:AF1006),$AC$1006:$AS$1006,0))&gt;=100000), " ",IF(INDEX($AC$2:$AS$1001,MATCH(ROWS($V$2:V532),$V$2:$V$1001,0),MATCH(COLUMNS($AC$1006:AF1006),$AC$1006:$AS$1006,0)), HYPERLINK("#",""), HYPERLINK(CONCATENATE("#metadata!", ADDRESS(INDEX($X$2:$X$1001,MATCH(ROWS($V$2:V532),$V$2:$V$1001,0),0), INDEX($AC$1004:$AS$1004,1,MATCH(COLUMNS($AC$1006:AF1006),$AC$1006:$AS$1006,0)))),"Fix")))</f>
        <v xml:space="preserve"> </v>
      </c>
      <c r="F532" s="4" t="str">
        <f ca="1">IF(OR(INDEX($W$2:$W$1001,MATCH(ROWS($V$2:V532),$V$2:$V$1001,0),1)&gt;=100000,INDEX($AC$1005:$AS$1005,1,MATCH(COLUMNS($AC$1006:AG1006),$AC$1006:$AS$1006,0))&gt;=100000), " ",IF(INDEX($AC$2:$AS$1001,MATCH(ROWS($V$2:V532),$V$2:$V$1001,0),MATCH(COLUMNS($AC$1006:AG1006),$AC$1006:$AS$1006,0)), HYPERLINK("#",""), HYPERLINK(CONCATENATE("#metadata!", ADDRESS(INDEX($X$2:$X$1001,MATCH(ROWS($V$2:V532),$V$2:$V$1001,0),0), INDEX($AC$1004:$AS$1004,1,MATCH(COLUMNS($AC$1006:AG1006),$AC$1006:$AS$1006,0)))),"Fix")))</f>
        <v xml:space="preserve"> </v>
      </c>
      <c r="G532" s="4" t="str">
        <f ca="1">IF(OR(INDEX($W$2:$W$1001,MATCH(ROWS($V$2:V532),$V$2:$V$1001,0),1)&gt;=100000,INDEX($AC$1005:$AS$1005,1,MATCH(COLUMNS($AC$1006:AH1006),$AC$1006:$AS$1006,0))&gt;=100000), " ",IF(INDEX($AC$2:$AS$1001,MATCH(ROWS($V$2:V532),$V$2:$V$1001,0),MATCH(COLUMNS($AC$1006:AH1006),$AC$1006:$AS$1006,0)), HYPERLINK("#",""), HYPERLINK(CONCATENATE("#metadata!", ADDRESS(INDEX($X$2:$X$1001,MATCH(ROWS($V$2:V532),$V$2:$V$1001,0),0), INDEX($AC$1004:$AS$1004,1,MATCH(COLUMNS($AC$1006:AH1006),$AC$1006:$AS$1006,0)))),"Fix")))</f>
        <v xml:space="preserve"> </v>
      </c>
      <c r="H532" s="4" t="str">
        <f ca="1">IF(OR(INDEX($W$2:$W$1001,MATCH(ROWS($V$2:V532),$V$2:$V$1001,0),1)&gt;=100000,INDEX($AC$1005:$AS$1005,1,MATCH(COLUMNS($AC$1006:AI1006),$AC$1006:$AS$1006,0))&gt;=100000), " ",IF(INDEX($AC$2:$AS$1001,MATCH(ROWS($V$2:V532),$V$2:$V$1001,0),MATCH(COLUMNS($AC$1006:AI1006),$AC$1006:$AS$1006,0)), HYPERLINK("#",""), HYPERLINK(CONCATENATE("#metadata!", ADDRESS(INDEX($X$2:$X$1001,MATCH(ROWS($V$2:V532),$V$2:$V$1001,0),0), INDEX($AC$1004:$AS$1004,1,MATCH(COLUMNS($AC$1006:AI1006),$AC$1006:$AS$1006,0)))),"Fix")))</f>
        <v xml:space="preserve"> </v>
      </c>
      <c r="I532" s="4" t="str">
        <f ca="1">IF(OR(INDEX($W$2:$W$1001,MATCH(ROWS($V$2:V532),$V$2:$V$1001,0),1)&gt;=100000,INDEX($AC$1005:$AS$1005,1,MATCH(COLUMNS($AC$1006:AJ1006),$AC$1006:$AS$1006,0))&gt;=100000), " ",IF(INDEX($AC$2:$AS$1001,MATCH(ROWS($V$2:V532),$V$2:$V$1001,0),MATCH(COLUMNS($AC$1006:AJ1006),$AC$1006:$AS$1006,0)), HYPERLINK("#",""), HYPERLINK(CONCATENATE("#metadata!", ADDRESS(INDEX($X$2:$X$1001,MATCH(ROWS($V$2:V532),$V$2:$V$1001,0),0), INDEX($AC$1004:$AS$1004,1,MATCH(COLUMNS($AC$1006:AJ1006),$AC$1006:$AS$1006,0)))),"Fix")))</f>
        <v xml:space="preserve"> </v>
      </c>
      <c r="J532" s="4" t="str">
        <f ca="1">IF(OR(INDEX($W$2:$W$1001,MATCH(ROWS($V$2:V532),$V$2:$V$1001,0),1)&gt;=100000,INDEX($AC$1005:$AS$1005,1,MATCH(COLUMNS($AC$1006:AK1006),$AC$1006:$AS$1006,0))&gt;=100000), " ",IF(INDEX($AC$2:$AS$1001,MATCH(ROWS($V$2:V532),$V$2:$V$1001,0),MATCH(COLUMNS($AC$1006:AK1006),$AC$1006:$AS$1006,0)), HYPERLINK("#",""), HYPERLINK(CONCATENATE("#metadata!", ADDRESS(INDEX($X$2:$X$1001,MATCH(ROWS($V$2:V532),$V$2:$V$1001,0),0), INDEX($AC$1004:$AS$1004,1,MATCH(COLUMNS($AC$1006:AK1006),$AC$1006:$AS$1006,0)))),"Fix")))</f>
        <v xml:space="preserve"> </v>
      </c>
      <c r="K532" s="4" t="str">
        <f ca="1">IF(OR(INDEX($W$2:$W$1001,MATCH(ROWS($V$2:V532),$V$2:$V$1001,0),1)&gt;=100000,INDEX($AC$1005:$AS$1005,1,MATCH(COLUMNS($AC$1006:AL1006),$AC$1006:$AS$1006,0))&gt;=100000), " ",IF(INDEX($AC$2:$AS$1001,MATCH(ROWS($V$2:V532),$V$2:$V$1001,0),MATCH(COLUMNS($AC$1006:AL1006),$AC$1006:$AS$1006,0)), HYPERLINK("#",""), HYPERLINK(CONCATENATE("#metadata!", ADDRESS(INDEX($X$2:$X$1001,MATCH(ROWS($V$2:V532),$V$2:$V$1001,0),0), INDEX($AC$1004:$AS$1004,1,MATCH(COLUMNS($AC$1006:AL1006),$AC$1006:$AS$1006,0)))),"Fix")))</f>
        <v xml:space="preserve"> </v>
      </c>
      <c r="L532" s="4" t="str">
        <f ca="1">IF(OR(INDEX($W$2:$W$1001,MATCH(ROWS($V$2:V532),$V$2:$V$1001,0),1)&gt;=100000,INDEX($AC$1005:$AS$1005,1,MATCH(COLUMNS($AC$1006:AM1006),$AC$1006:$AS$1006,0))&gt;=100000), " ",IF(INDEX($AC$2:$AS$1001,MATCH(ROWS($V$2:V532),$V$2:$V$1001,0),MATCH(COLUMNS($AC$1006:AM1006),$AC$1006:$AS$1006,0)), HYPERLINK("#",""), HYPERLINK(CONCATENATE("#metadata!", ADDRESS(INDEX($X$2:$X$1001,MATCH(ROWS($V$2:V532),$V$2:$V$1001,0),0), INDEX($AC$1004:$AS$1004,1,MATCH(COLUMNS($AC$1006:AM1006),$AC$1006:$AS$1006,0)))),"Fix")))</f>
        <v xml:space="preserve"> </v>
      </c>
      <c r="M532" s="4" t="str">
        <f ca="1">IF(OR(INDEX($W$2:$W$1001,MATCH(ROWS($V$2:V532),$V$2:$V$1001,0),1)&gt;=100000,INDEX($AC$1005:$AS$1005,1,MATCH(COLUMNS($AC$1006:AN1006),$AC$1006:$AS$1006,0))&gt;=100000), " ",IF(INDEX($AC$2:$AS$1001,MATCH(ROWS($V$2:V532),$V$2:$V$1001,0),MATCH(COLUMNS($AC$1006:AN1006),$AC$1006:$AS$1006,0)), HYPERLINK("#",""), HYPERLINK(CONCATENATE("#metadata!", ADDRESS(INDEX($X$2:$X$1001,MATCH(ROWS($V$2:V532),$V$2:$V$1001,0),0), INDEX($AC$1004:$AS$1004,1,MATCH(COLUMNS($AC$1006:AN1006),$AC$1006:$AS$1006,0)))),"Fix")))</f>
        <v xml:space="preserve"> </v>
      </c>
      <c r="N532" s="4" t="str">
        <f ca="1">IF(OR(INDEX($W$2:$W$1001,MATCH(ROWS($V$2:V532),$V$2:$V$1001,0),1)&gt;=100000,INDEX($AC$1005:$AS$1005,1,MATCH(COLUMNS($AC$1006:AO1006),$AC$1006:$AS$1006,0))&gt;=100000), " ",IF(INDEX($AC$2:$AS$1001,MATCH(ROWS($V$2:V532),$V$2:$V$1001,0),MATCH(COLUMNS($AC$1006:AO1006),$AC$1006:$AS$1006,0)), HYPERLINK("#",""), HYPERLINK(CONCATENATE("#metadata!", ADDRESS(INDEX($X$2:$X$1001,MATCH(ROWS($V$2:V532),$V$2:$V$1001,0),0), INDEX($AC$1004:$AS$1004,1,MATCH(COLUMNS($AC$1006:AO1006),$AC$1006:$AS$1006,0)))),"Fix")))</f>
        <v xml:space="preserve"> </v>
      </c>
      <c r="O532" s="4" t="str">
        <f ca="1">IF(OR(INDEX($W$2:$W$1001,MATCH(ROWS($V$2:V532),$V$2:$V$1001,0),1)&gt;=100000,INDEX($AC$1005:$AS$1005,1,MATCH(COLUMNS($AC$1006:AP1006),$AC$1006:$AS$1006,0))&gt;=100000), " ",IF(INDEX($AC$2:$AS$1001,MATCH(ROWS($V$2:V532),$V$2:$V$1001,0),MATCH(COLUMNS($AC$1006:AP1006),$AC$1006:$AS$1006,0)), HYPERLINK("#",""), HYPERLINK(CONCATENATE("#metadata!", ADDRESS(INDEX($X$2:$X$1001,MATCH(ROWS($V$2:V532),$V$2:$V$1001,0),0), INDEX($AC$1004:$AS$1004,1,MATCH(COLUMNS($AC$1006:AP1006),$AC$1006:$AS$1006,0)))),"Fix")))</f>
        <v xml:space="preserve"> </v>
      </c>
      <c r="P532" s="4" t="str">
        <f ca="1">IF(OR(INDEX($W$2:$W$1001,MATCH(ROWS($V$2:V532),$V$2:$V$1001,0),1)&gt;=100000,INDEX($AC$1005:$AS$1005,1,MATCH(COLUMNS($AC$1006:AQ1006),$AC$1006:$AS$1006,0))&gt;=100000), " ",IF(INDEX($AC$2:$AS$1001,MATCH(ROWS($V$2:V532),$V$2:$V$1001,0),MATCH(COLUMNS($AC$1006:AQ1006),$AC$1006:$AS$1006,0)), HYPERLINK("#",""), HYPERLINK(CONCATENATE("#metadata!", ADDRESS(INDEX($X$2:$X$1001,MATCH(ROWS($V$2:V532),$V$2:$V$1001,0),0), INDEX($AC$1004:$AS$1004,1,MATCH(COLUMNS($AC$1006:AQ1006),$AC$1006:$AS$1006,0)))),"Fix")))</f>
        <v xml:space="preserve"> </v>
      </c>
      <c r="Q532" s="4" t="str">
        <f ca="1">IF(OR(INDEX($W$2:$W$1001,MATCH(ROWS($V$2:V532),$V$2:$V$1001,0),1)&gt;=100000,INDEX($AC$1005:$AS$1005,1,MATCH(COLUMNS($AC$1006:AR1006),$AC$1006:$AS$1006,0))&gt;=100000), " ",IF(INDEX($AC$2:$AS$1001,MATCH(ROWS($V$2:V532),$V$2:$V$1001,0),MATCH(COLUMNS($AC$1006:AR1006),$AC$1006:$AS$1006,0)), HYPERLINK("#",""), HYPERLINK(CONCATENATE("#metadata!", ADDRESS(INDEX($X$2:$X$1001,MATCH(ROWS($V$2:V532),$V$2:$V$1001,0),0), INDEX($AC$1004:$AS$1004,1,MATCH(COLUMNS($AC$1006:AR1006),$AC$1006:$AS$1006,0)))),"Fix")))</f>
        <v xml:space="preserve"> </v>
      </c>
      <c r="R532" s="4" t="str">
        <f ca="1">IF(OR(INDEX($W$2:$W$1001,MATCH(ROWS($V$2:V532),$V$2:$V$1001,0),1)&gt;=100000,INDEX($AC$1005:$AS$1005,1,MATCH(COLUMNS($AC$1006:AS1006),$AC$1006:$AS$1006,0))&gt;=100000), " ",IF(INDEX($AC$2:$AS$1001,MATCH(ROWS($V$2:V532),$V$2:$V$1001,0),MATCH(COLUMNS($AC$1006:AS1006),$AC$1006:$AS$1006,0)), HYPERLINK("#",""), HYPERLINK(CONCATENATE("#metadata!", ADDRESS(INDEX($X$2:$X$1001,MATCH(ROWS($V$2:V532),$V$2:$V$1001,0),0), INDEX($AC$1004:$AS$1004,1,MATCH(COLUMNS($AC$1006:AS1006),$AC$1006:$AS$1006,0)))),"Fix")))</f>
        <v xml:space="preserve"> </v>
      </c>
      <c r="V532">
        <v>531</v>
      </c>
      <c r="W532">
        <v>100532</v>
      </c>
      <c r="X532">
        <v>532</v>
      </c>
      <c r="Y532" t="b">
        <f t="shared" si="8"/>
        <v>1</v>
      </c>
      <c r="Z532" t="b">
        <f>COUNTBLANK(metadata!B532:R532)=COLUMNS(metadata!B532:R532)</f>
        <v>1</v>
      </c>
      <c r="AA532" t="str">
        <v/>
      </c>
      <c r="AC532" t="b">
        <f ca="1"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AD532" t="b">
        <f>IF(metadata!C532="",FALSE,ISNUMBER(VALUE(metadata!C532)))</f>
        <v>0</v>
      </c>
      <c r="AE532" t="b">
        <f>AND(IF(metadata!D532="",FALSE,TRUE),EXACT(metadata!D532,"years"))</f>
        <v>0</v>
      </c>
      <c r="AF532" t="b">
        <f>OR(AND(IF(metadata!E532="",FALSE,TRUE),OR(EXACT(metadata!E532,"not applicable"),EXACT(metadata!E532,"missing: not collected"),EXACT(metadata!E532,"missing: not provided"),EXACT(metadata!E532,"missing: restricted access"))),AND(IF(metadata!E532="",FALSE,ISNUMBER(VALUE(metadata!E532))),metadata!E532&gt;0))</f>
        <v>0</v>
      </c>
      <c r="AG532" t="b">
        <f>AND(IF(metadata!F532="",FALSE,TRUE),EXACT(metadata!F532,"Not applicable"))</f>
        <v>0</v>
      </c>
      <c r="AH532" t="b">
        <f>AND(IF(metadata!G532="",FALSE,TRUE),EXACT(metadata!G532,"urban biome"))</f>
        <v>0</v>
      </c>
      <c r="AI532" t="b">
        <f>AND(IF(metadata!H532="",FALSE,TRUE),EXACT(metadata!H532,"human-associated habitat"))</f>
        <v>0</v>
      </c>
      <c r="AJ532" t="b">
        <f>AND(IF(metadata!I532="",FALSE,TRUE),OR(EXACT(metadata!I532,"human-associated"),EXACT(metadata!I532,"human-skin"),EXACT(metadata!I532,"human-oral"),EXACT(metadata!I532,"human-gut"),EXACT(metadata!I532,"human-vaginal")))</f>
        <v>0</v>
      </c>
      <c r="AK532" t="b">
        <f>IF(metadata!J532="",FALSE,ISNUMBER(VALUE(metadata!J532)))</f>
        <v>0</v>
      </c>
      <c r="AL532" t="b">
        <f>AND(IF(metadata!K532="",FALSE,TRUE),EXACT(metadata!K532,"cm"))</f>
        <v>0</v>
      </c>
      <c r="AM532" t="b">
        <f>AND(IF(metadata!L532="",FALSE,TRUE),EXACT(metadata!L532,"human"))</f>
        <v>0</v>
      </c>
      <c r="AN532" t="b">
        <f>AND(IF(metadata!M532="",FALSE,TRUE),EXACT(metadata!M532,"Homo sapiens"))</f>
        <v>0</v>
      </c>
      <c r="AO532" t="b">
        <f>AND(IF(metadata!N532="",FALSE,TRUE),EXACT(metadata!N532,"9606"))</f>
        <v>0</v>
      </c>
      <c r="AP532" t="b">
        <f>IF(metadata!O532="",FALSE,TRUE)</f>
        <v>0</v>
      </c>
      <c r="AQ532" t="b">
        <f>IF(metadata!P532="",FALSE,TRUE)</f>
        <v>0</v>
      </c>
      <c r="AR532" t="b">
        <f>IF(metadata!Q532="",FALSE,ISNUMBER(VALUE(metadata!Q532)))</f>
        <v>0</v>
      </c>
      <c r="AS532" t="b">
        <f>AND(IF(metadata!R532="",FALSE,TRUE),EXACT(metadata!R532,"kg"))</f>
        <v>0</v>
      </c>
    </row>
    <row r="533" spans="1:45" x14ac:dyDescent="0.2">
      <c r="A533" s="5" t="str">
        <f ca="1">IF(B533=" "," ",HYPERLINK(CONCATENATE("#metadata!",ADDRESS(INDEX($X$2:$X$1001,MATCH(ROWS($V$2:V533),$V$2:$V$1001,0),0),1)),INDEX($AA$2:$AA$1001,MATCH(ROWS($V$2:V533),$V$2:$V$1001,0),0)))</f>
        <v xml:space="preserve"> </v>
      </c>
      <c r="B533" s="4" t="str">
        <f ca="1">IF(OR(INDEX($W$2:$W$1001,MATCH(ROWS($V$2:V533),$V$2:$V$1001,0),1)&gt;=100000,INDEX($AC$1005:$AS$1005,1,MATCH(COLUMNS($AC$1006:AC1006),$AC$1006:$AS$1006,0))&gt;=100000), " ",IF(INDEX($AC$2:$AS$1001,MATCH(ROWS($V$2:V533),$V$2:$V$1001,0),MATCH(COLUMNS($AC$1006:AC1006),$AC$1006:$AS$1006,0)), HYPERLINK("#",""), HYPERLINK(CONCATENATE("#metadata!", ADDRESS(INDEX($X$2:$X$1001,MATCH(ROWS($V$2:V533),$V$2:$V$1001,0),0), INDEX($AC$1004:$AS$1004,1,MATCH(COLUMNS($AC$1006:AC1006),$AC$1006:$AS$1006,0)))),"Fix")))</f>
        <v xml:space="preserve"> </v>
      </c>
      <c r="C533" s="4" t="str">
        <f ca="1">IF(OR(INDEX($W$2:$W$1001,MATCH(ROWS($V$2:V533),$V$2:$V$1001,0),1)&gt;=100000,INDEX($AC$1005:$AS$1005,1,MATCH(COLUMNS($AC$1006:AD1006),$AC$1006:$AS$1006,0))&gt;=100000), " ",IF(INDEX($AC$2:$AS$1001,MATCH(ROWS($V$2:V533),$V$2:$V$1001,0),MATCH(COLUMNS($AC$1006:AD1006),$AC$1006:$AS$1006,0)), HYPERLINK("#",""), HYPERLINK(CONCATENATE("#metadata!", ADDRESS(INDEX($X$2:$X$1001,MATCH(ROWS($V$2:V533),$V$2:$V$1001,0),0), INDEX($AC$1004:$AS$1004,1,MATCH(COLUMNS($AC$1006:AD1006),$AC$1006:$AS$1006,0)))),"Fix")))</f>
        <v xml:space="preserve"> </v>
      </c>
      <c r="D533" s="4" t="str">
        <f ca="1">IF(OR(INDEX($W$2:$W$1001,MATCH(ROWS($V$2:V533),$V$2:$V$1001,0),1)&gt;=100000,INDEX($AC$1005:$AS$1005,1,MATCH(COLUMNS($AC$1006:AE1006),$AC$1006:$AS$1006,0))&gt;=100000), " ",IF(INDEX($AC$2:$AS$1001,MATCH(ROWS($V$2:V533),$V$2:$V$1001,0),MATCH(COLUMNS($AC$1006:AE1006),$AC$1006:$AS$1006,0)), HYPERLINK("#",""), HYPERLINK(CONCATENATE("#metadata!", ADDRESS(INDEX($X$2:$X$1001,MATCH(ROWS($V$2:V533),$V$2:$V$1001,0),0), INDEX($AC$1004:$AS$1004,1,MATCH(COLUMNS($AC$1006:AE1006),$AC$1006:$AS$1006,0)))),"Fix")))</f>
        <v xml:space="preserve"> </v>
      </c>
      <c r="E533" s="4" t="str">
        <f ca="1">IF(OR(INDEX($W$2:$W$1001,MATCH(ROWS($V$2:V533),$V$2:$V$1001,0),1)&gt;=100000,INDEX($AC$1005:$AS$1005,1,MATCH(COLUMNS($AC$1006:AF1006),$AC$1006:$AS$1006,0))&gt;=100000), " ",IF(INDEX($AC$2:$AS$1001,MATCH(ROWS($V$2:V533),$V$2:$V$1001,0),MATCH(COLUMNS($AC$1006:AF1006),$AC$1006:$AS$1006,0)), HYPERLINK("#",""), HYPERLINK(CONCATENATE("#metadata!", ADDRESS(INDEX($X$2:$X$1001,MATCH(ROWS($V$2:V533),$V$2:$V$1001,0),0), INDEX($AC$1004:$AS$1004,1,MATCH(COLUMNS($AC$1006:AF1006),$AC$1006:$AS$1006,0)))),"Fix")))</f>
        <v xml:space="preserve"> </v>
      </c>
      <c r="F533" s="4" t="str">
        <f ca="1">IF(OR(INDEX($W$2:$W$1001,MATCH(ROWS($V$2:V533),$V$2:$V$1001,0),1)&gt;=100000,INDEX($AC$1005:$AS$1005,1,MATCH(COLUMNS($AC$1006:AG1006),$AC$1006:$AS$1006,0))&gt;=100000), " ",IF(INDEX($AC$2:$AS$1001,MATCH(ROWS($V$2:V533),$V$2:$V$1001,0),MATCH(COLUMNS($AC$1006:AG1006),$AC$1006:$AS$1006,0)), HYPERLINK("#",""), HYPERLINK(CONCATENATE("#metadata!", ADDRESS(INDEX($X$2:$X$1001,MATCH(ROWS($V$2:V533),$V$2:$V$1001,0),0), INDEX($AC$1004:$AS$1004,1,MATCH(COLUMNS($AC$1006:AG1006),$AC$1006:$AS$1006,0)))),"Fix")))</f>
        <v xml:space="preserve"> </v>
      </c>
      <c r="G533" s="4" t="str">
        <f ca="1">IF(OR(INDEX($W$2:$W$1001,MATCH(ROWS($V$2:V533),$V$2:$V$1001,0),1)&gt;=100000,INDEX($AC$1005:$AS$1005,1,MATCH(COLUMNS($AC$1006:AH1006),$AC$1006:$AS$1006,0))&gt;=100000), " ",IF(INDEX($AC$2:$AS$1001,MATCH(ROWS($V$2:V533),$V$2:$V$1001,0),MATCH(COLUMNS($AC$1006:AH1006),$AC$1006:$AS$1006,0)), HYPERLINK("#",""), HYPERLINK(CONCATENATE("#metadata!", ADDRESS(INDEX($X$2:$X$1001,MATCH(ROWS($V$2:V533),$V$2:$V$1001,0),0), INDEX($AC$1004:$AS$1004,1,MATCH(COLUMNS($AC$1006:AH1006),$AC$1006:$AS$1006,0)))),"Fix")))</f>
        <v xml:space="preserve"> </v>
      </c>
      <c r="H533" s="4" t="str">
        <f ca="1">IF(OR(INDEX($W$2:$W$1001,MATCH(ROWS($V$2:V533),$V$2:$V$1001,0),1)&gt;=100000,INDEX($AC$1005:$AS$1005,1,MATCH(COLUMNS($AC$1006:AI1006),$AC$1006:$AS$1006,0))&gt;=100000), " ",IF(INDEX($AC$2:$AS$1001,MATCH(ROWS($V$2:V533),$V$2:$V$1001,0),MATCH(COLUMNS($AC$1006:AI1006),$AC$1006:$AS$1006,0)), HYPERLINK("#",""), HYPERLINK(CONCATENATE("#metadata!", ADDRESS(INDEX($X$2:$X$1001,MATCH(ROWS($V$2:V533),$V$2:$V$1001,0),0), INDEX($AC$1004:$AS$1004,1,MATCH(COLUMNS($AC$1006:AI1006),$AC$1006:$AS$1006,0)))),"Fix")))</f>
        <v xml:space="preserve"> </v>
      </c>
      <c r="I533" s="4" t="str">
        <f ca="1">IF(OR(INDEX($W$2:$W$1001,MATCH(ROWS($V$2:V533),$V$2:$V$1001,0),1)&gt;=100000,INDEX($AC$1005:$AS$1005,1,MATCH(COLUMNS($AC$1006:AJ1006),$AC$1006:$AS$1006,0))&gt;=100000), " ",IF(INDEX($AC$2:$AS$1001,MATCH(ROWS($V$2:V533),$V$2:$V$1001,0),MATCH(COLUMNS($AC$1006:AJ1006),$AC$1006:$AS$1006,0)), HYPERLINK("#",""), HYPERLINK(CONCATENATE("#metadata!", ADDRESS(INDEX($X$2:$X$1001,MATCH(ROWS($V$2:V533),$V$2:$V$1001,0),0), INDEX($AC$1004:$AS$1004,1,MATCH(COLUMNS($AC$1006:AJ1006),$AC$1006:$AS$1006,0)))),"Fix")))</f>
        <v xml:space="preserve"> </v>
      </c>
      <c r="J533" s="4" t="str">
        <f ca="1">IF(OR(INDEX($W$2:$W$1001,MATCH(ROWS($V$2:V533),$V$2:$V$1001,0),1)&gt;=100000,INDEX($AC$1005:$AS$1005,1,MATCH(COLUMNS($AC$1006:AK1006),$AC$1006:$AS$1006,0))&gt;=100000), " ",IF(INDEX($AC$2:$AS$1001,MATCH(ROWS($V$2:V533),$V$2:$V$1001,0),MATCH(COLUMNS($AC$1006:AK1006),$AC$1006:$AS$1006,0)), HYPERLINK("#",""), HYPERLINK(CONCATENATE("#metadata!", ADDRESS(INDEX($X$2:$X$1001,MATCH(ROWS($V$2:V533),$V$2:$V$1001,0),0), INDEX($AC$1004:$AS$1004,1,MATCH(COLUMNS($AC$1006:AK1006),$AC$1006:$AS$1006,0)))),"Fix")))</f>
        <v xml:space="preserve"> </v>
      </c>
      <c r="K533" s="4" t="str">
        <f ca="1">IF(OR(INDEX($W$2:$W$1001,MATCH(ROWS($V$2:V533),$V$2:$V$1001,0),1)&gt;=100000,INDEX($AC$1005:$AS$1005,1,MATCH(COLUMNS($AC$1006:AL1006),$AC$1006:$AS$1006,0))&gt;=100000), " ",IF(INDEX($AC$2:$AS$1001,MATCH(ROWS($V$2:V533),$V$2:$V$1001,0),MATCH(COLUMNS($AC$1006:AL1006),$AC$1006:$AS$1006,0)), HYPERLINK("#",""), HYPERLINK(CONCATENATE("#metadata!", ADDRESS(INDEX($X$2:$X$1001,MATCH(ROWS($V$2:V533),$V$2:$V$1001,0),0), INDEX($AC$1004:$AS$1004,1,MATCH(COLUMNS($AC$1006:AL1006),$AC$1006:$AS$1006,0)))),"Fix")))</f>
        <v xml:space="preserve"> </v>
      </c>
      <c r="L533" s="4" t="str">
        <f ca="1">IF(OR(INDEX($W$2:$W$1001,MATCH(ROWS($V$2:V533),$V$2:$V$1001,0),1)&gt;=100000,INDEX($AC$1005:$AS$1005,1,MATCH(COLUMNS($AC$1006:AM1006),$AC$1006:$AS$1006,0))&gt;=100000), " ",IF(INDEX($AC$2:$AS$1001,MATCH(ROWS($V$2:V533),$V$2:$V$1001,0),MATCH(COLUMNS($AC$1006:AM1006),$AC$1006:$AS$1006,0)), HYPERLINK("#",""), HYPERLINK(CONCATENATE("#metadata!", ADDRESS(INDEX($X$2:$X$1001,MATCH(ROWS($V$2:V533),$V$2:$V$1001,0),0), INDEX($AC$1004:$AS$1004,1,MATCH(COLUMNS($AC$1006:AM1006),$AC$1006:$AS$1006,0)))),"Fix")))</f>
        <v xml:space="preserve"> </v>
      </c>
      <c r="M533" s="4" t="str">
        <f ca="1">IF(OR(INDEX($W$2:$W$1001,MATCH(ROWS($V$2:V533),$V$2:$V$1001,0),1)&gt;=100000,INDEX($AC$1005:$AS$1005,1,MATCH(COLUMNS($AC$1006:AN1006),$AC$1006:$AS$1006,0))&gt;=100000), " ",IF(INDEX($AC$2:$AS$1001,MATCH(ROWS($V$2:V533),$V$2:$V$1001,0),MATCH(COLUMNS($AC$1006:AN1006),$AC$1006:$AS$1006,0)), HYPERLINK("#",""), HYPERLINK(CONCATENATE("#metadata!", ADDRESS(INDEX($X$2:$X$1001,MATCH(ROWS($V$2:V533),$V$2:$V$1001,0),0), INDEX($AC$1004:$AS$1004,1,MATCH(COLUMNS($AC$1006:AN1006),$AC$1006:$AS$1006,0)))),"Fix")))</f>
        <v xml:space="preserve"> </v>
      </c>
      <c r="N533" s="4" t="str">
        <f ca="1">IF(OR(INDEX($W$2:$W$1001,MATCH(ROWS($V$2:V533),$V$2:$V$1001,0),1)&gt;=100000,INDEX($AC$1005:$AS$1005,1,MATCH(COLUMNS($AC$1006:AO1006),$AC$1006:$AS$1006,0))&gt;=100000), " ",IF(INDEX($AC$2:$AS$1001,MATCH(ROWS($V$2:V533),$V$2:$V$1001,0),MATCH(COLUMNS($AC$1006:AO1006),$AC$1006:$AS$1006,0)), HYPERLINK("#",""), HYPERLINK(CONCATENATE("#metadata!", ADDRESS(INDEX($X$2:$X$1001,MATCH(ROWS($V$2:V533),$V$2:$V$1001,0),0), INDEX($AC$1004:$AS$1004,1,MATCH(COLUMNS($AC$1006:AO1006),$AC$1006:$AS$1006,0)))),"Fix")))</f>
        <v xml:space="preserve"> </v>
      </c>
      <c r="O533" s="4" t="str">
        <f ca="1">IF(OR(INDEX($W$2:$W$1001,MATCH(ROWS($V$2:V533),$V$2:$V$1001,0),1)&gt;=100000,INDEX($AC$1005:$AS$1005,1,MATCH(COLUMNS($AC$1006:AP1006),$AC$1006:$AS$1006,0))&gt;=100000), " ",IF(INDEX($AC$2:$AS$1001,MATCH(ROWS($V$2:V533),$V$2:$V$1001,0),MATCH(COLUMNS($AC$1006:AP1006),$AC$1006:$AS$1006,0)), HYPERLINK("#",""), HYPERLINK(CONCATENATE("#metadata!", ADDRESS(INDEX($X$2:$X$1001,MATCH(ROWS($V$2:V533),$V$2:$V$1001,0),0), INDEX($AC$1004:$AS$1004,1,MATCH(COLUMNS($AC$1006:AP1006),$AC$1006:$AS$1006,0)))),"Fix")))</f>
        <v xml:space="preserve"> </v>
      </c>
      <c r="P533" s="4" t="str">
        <f ca="1">IF(OR(INDEX($W$2:$W$1001,MATCH(ROWS($V$2:V533),$V$2:$V$1001,0),1)&gt;=100000,INDEX($AC$1005:$AS$1005,1,MATCH(COLUMNS($AC$1006:AQ1006),$AC$1006:$AS$1006,0))&gt;=100000), " ",IF(INDEX($AC$2:$AS$1001,MATCH(ROWS($V$2:V533),$V$2:$V$1001,0),MATCH(COLUMNS($AC$1006:AQ1006),$AC$1006:$AS$1006,0)), HYPERLINK("#",""), HYPERLINK(CONCATENATE("#metadata!", ADDRESS(INDEX($X$2:$X$1001,MATCH(ROWS($V$2:V533),$V$2:$V$1001,0),0), INDEX($AC$1004:$AS$1004,1,MATCH(COLUMNS($AC$1006:AQ1006),$AC$1006:$AS$1006,0)))),"Fix")))</f>
        <v xml:space="preserve"> </v>
      </c>
      <c r="Q533" s="4" t="str">
        <f ca="1">IF(OR(INDEX($W$2:$W$1001,MATCH(ROWS($V$2:V533),$V$2:$V$1001,0),1)&gt;=100000,INDEX($AC$1005:$AS$1005,1,MATCH(COLUMNS($AC$1006:AR1006),$AC$1006:$AS$1006,0))&gt;=100000), " ",IF(INDEX($AC$2:$AS$1001,MATCH(ROWS($V$2:V533),$V$2:$V$1001,0),MATCH(COLUMNS($AC$1006:AR1006),$AC$1006:$AS$1006,0)), HYPERLINK("#",""), HYPERLINK(CONCATENATE("#metadata!", ADDRESS(INDEX($X$2:$X$1001,MATCH(ROWS($V$2:V533),$V$2:$V$1001,0),0), INDEX($AC$1004:$AS$1004,1,MATCH(COLUMNS($AC$1006:AR1006),$AC$1006:$AS$1006,0)))),"Fix")))</f>
        <v xml:space="preserve"> </v>
      </c>
      <c r="R533" s="4" t="str">
        <f ca="1">IF(OR(INDEX($W$2:$W$1001,MATCH(ROWS($V$2:V533),$V$2:$V$1001,0),1)&gt;=100000,INDEX($AC$1005:$AS$1005,1,MATCH(COLUMNS($AC$1006:AS1006),$AC$1006:$AS$1006,0))&gt;=100000), " ",IF(INDEX($AC$2:$AS$1001,MATCH(ROWS($V$2:V533),$V$2:$V$1001,0),MATCH(COLUMNS($AC$1006:AS1006),$AC$1006:$AS$1006,0)), HYPERLINK("#",""), HYPERLINK(CONCATENATE("#metadata!", ADDRESS(INDEX($X$2:$X$1001,MATCH(ROWS($V$2:V533),$V$2:$V$1001,0),0), INDEX($AC$1004:$AS$1004,1,MATCH(COLUMNS($AC$1006:AS1006),$AC$1006:$AS$1006,0)))),"Fix")))</f>
        <v xml:space="preserve"> </v>
      </c>
      <c r="V533">
        <v>532</v>
      </c>
      <c r="W533">
        <v>100533</v>
      </c>
      <c r="X533">
        <v>533</v>
      </c>
      <c r="Y533" t="b">
        <f t="shared" si="8"/>
        <v>1</v>
      </c>
      <c r="Z533" t="b">
        <f>COUNTBLANK(metadata!B533:R533)=COLUMNS(metadata!B533:R533)</f>
        <v>1</v>
      </c>
      <c r="AA533" t="str">
        <v/>
      </c>
      <c r="AC533" t="b">
        <f ca="1"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AD533" t="b">
        <f>IF(metadata!C533="",FALSE,ISNUMBER(VALUE(metadata!C533)))</f>
        <v>0</v>
      </c>
      <c r="AE533" t="b">
        <f>AND(IF(metadata!D533="",FALSE,TRUE),EXACT(metadata!D533,"years"))</f>
        <v>0</v>
      </c>
      <c r="AF533" t="b">
        <f>OR(AND(IF(metadata!E533="",FALSE,TRUE),OR(EXACT(metadata!E533,"not applicable"),EXACT(metadata!E533,"missing: not collected"),EXACT(metadata!E533,"missing: not provided"),EXACT(metadata!E533,"missing: restricted access"))),AND(IF(metadata!E533="",FALSE,ISNUMBER(VALUE(metadata!E533))),metadata!E533&gt;0))</f>
        <v>0</v>
      </c>
      <c r="AG533" t="b">
        <f>AND(IF(metadata!F533="",FALSE,TRUE),EXACT(metadata!F533,"Not applicable"))</f>
        <v>0</v>
      </c>
      <c r="AH533" t="b">
        <f>AND(IF(metadata!G533="",FALSE,TRUE),EXACT(metadata!G533,"urban biome"))</f>
        <v>0</v>
      </c>
      <c r="AI533" t="b">
        <f>AND(IF(metadata!H533="",FALSE,TRUE),EXACT(metadata!H533,"human-associated habitat"))</f>
        <v>0</v>
      </c>
      <c r="AJ533" t="b">
        <f>AND(IF(metadata!I533="",FALSE,TRUE),OR(EXACT(metadata!I533,"human-associated"),EXACT(metadata!I533,"human-skin"),EXACT(metadata!I533,"human-oral"),EXACT(metadata!I533,"human-gut"),EXACT(metadata!I533,"human-vaginal")))</f>
        <v>0</v>
      </c>
      <c r="AK533" t="b">
        <f>IF(metadata!J533="",FALSE,ISNUMBER(VALUE(metadata!J533)))</f>
        <v>0</v>
      </c>
      <c r="AL533" t="b">
        <f>AND(IF(metadata!K533="",FALSE,TRUE),EXACT(metadata!K533,"cm"))</f>
        <v>0</v>
      </c>
      <c r="AM533" t="b">
        <f>AND(IF(metadata!L533="",FALSE,TRUE),EXACT(metadata!L533,"human"))</f>
        <v>0</v>
      </c>
      <c r="AN533" t="b">
        <f>AND(IF(metadata!M533="",FALSE,TRUE),EXACT(metadata!M533,"Homo sapiens"))</f>
        <v>0</v>
      </c>
      <c r="AO533" t="b">
        <f>AND(IF(metadata!N533="",FALSE,TRUE),EXACT(metadata!N533,"9606"))</f>
        <v>0</v>
      </c>
      <c r="AP533" t="b">
        <f>IF(metadata!O533="",FALSE,TRUE)</f>
        <v>0</v>
      </c>
      <c r="AQ533" t="b">
        <f>IF(metadata!P533="",FALSE,TRUE)</f>
        <v>0</v>
      </c>
      <c r="AR533" t="b">
        <f>IF(metadata!Q533="",FALSE,ISNUMBER(VALUE(metadata!Q533)))</f>
        <v>0</v>
      </c>
      <c r="AS533" t="b">
        <f>AND(IF(metadata!R533="",FALSE,TRUE),EXACT(metadata!R533,"kg"))</f>
        <v>0</v>
      </c>
    </row>
    <row r="534" spans="1:45" x14ac:dyDescent="0.2">
      <c r="A534" s="5" t="str">
        <f ca="1">IF(B534=" "," ",HYPERLINK(CONCATENATE("#metadata!",ADDRESS(INDEX($X$2:$X$1001,MATCH(ROWS($V$2:V534),$V$2:$V$1001,0),0),1)),INDEX($AA$2:$AA$1001,MATCH(ROWS($V$2:V534),$V$2:$V$1001,0),0)))</f>
        <v xml:space="preserve"> </v>
      </c>
      <c r="B534" s="4" t="str">
        <f ca="1">IF(OR(INDEX($W$2:$W$1001,MATCH(ROWS($V$2:V534),$V$2:$V$1001,0),1)&gt;=100000,INDEX($AC$1005:$AS$1005,1,MATCH(COLUMNS($AC$1006:AC1006),$AC$1006:$AS$1006,0))&gt;=100000), " ",IF(INDEX($AC$2:$AS$1001,MATCH(ROWS($V$2:V534),$V$2:$V$1001,0),MATCH(COLUMNS($AC$1006:AC1006),$AC$1006:$AS$1006,0)), HYPERLINK("#",""), HYPERLINK(CONCATENATE("#metadata!", ADDRESS(INDEX($X$2:$X$1001,MATCH(ROWS($V$2:V534),$V$2:$V$1001,0),0), INDEX($AC$1004:$AS$1004,1,MATCH(COLUMNS($AC$1006:AC1006),$AC$1006:$AS$1006,0)))),"Fix")))</f>
        <v xml:space="preserve"> </v>
      </c>
      <c r="C534" s="4" t="str">
        <f ca="1">IF(OR(INDEX($W$2:$W$1001,MATCH(ROWS($V$2:V534),$V$2:$V$1001,0),1)&gt;=100000,INDEX($AC$1005:$AS$1005,1,MATCH(COLUMNS($AC$1006:AD1006),$AC$1006:$AS$1006,0))&gt;=100000), " ",IF(INDEX($AC$2:$AS$1001,MATCH(ROWS($V$2:V534),$V$2:$V$1001,0),MATCH(COLUMNS($AC$1006:AD1006),$AC$1006:$AS$1006,0)), HYPERLINK("#",""), HYPERLINK(CONCATENATE("#metadata!", ADDRESS(INDEX($X$2:$X$1001,MATCH(ROWS($V$2:V534),$V$2:$V$1001,0),0), INDEX($AC$1004:$AS$1004,1,MATCH(COLUMNS($AC$1006:AD1006),$AC$1006:$AS$1006,0)))),"Fix")))</f>
        <v xml:space="preserve"> </v>
      </c>
      <c r="D534" s="4" t="str">
        <f ca="1">IF(OR(INDEX($W$2:$W$1001,MATCH(ROWS($V$2:V534),$V$2:$V$1001,0),1)&gt;=100000,INDEX($AC$1005:$AS$1005,1,MATCH(COLUMNS($AC$1006:AE1006),$AC$1006:$AS$1006,0))&gt;=100000), " ",IF(INDEX($AC$2:$AS$1001,MATCH(ROWS($V$2:V534),$V$2:$V$1001,0),MATCH(COLUMNS($AC$1006:AE1006),$AC$1006:$AS$1006,0)), HYPERLINK("#",""), HYPERLINK(CONCATENATE("#metadata!", ADDRESS(INDEX($X$2:$X$1001,MATCH(ROWS($V$2:V534),$V$2:$V$1001,0),0), INDEX($AC$1004:$AS$1004,1,MATCH(COLUMNS($AC$1006:AE1006),$AC$1006:$AS$1006,0)))),"Fix")))</f>
        <v xml:space="preserve"> </v>
      </c>
      <c r="E534" s="4" t="str">
        <f ca="1">IF(OR(INDEX($W$2:$W$1001,MATCH(ROWS($V$2:V534),$V$2:$V$1001,0),1)&gt;=100000,INDEX($AC$1005:$AS$1005,1,MATCH(COLUMNS($AC$1006:AF1006),$AC$1006:$AS$1006,0))&gt;=100000), " ",IF(INDEX($AC$2:$AS$1001,MATCH(ROWS($V$2:V534),$V$2:$V$1001,0),MATCH(COLUMNS($AC$1006:AF1006),$AC$1006:$AS$1006,0)), HYPERLINK("#",""), HYPERLINK(CONCATENATE("#metadata!", ADDRESS(INDEX($X$2:$X$1001,MATCH(ROWS($V$2:V534),$V$2:$V$1001,0),0), INDEX($AC$1004:$AS$1004,1,MATCH(COLUMNS($AC$1006:AF1006),$AC$1006:$AS$1006,0)))),"Fix")))</f>
        <v xml:space="preserve"> </v>
      </c>
      <c r="F534" s="4" t="str">
        <f ca="1">IF(OR(INDEX($W$2:$W$1001,MATCH(ROWS($V$2:V534),$V$2:$V$1001,0),1)&gt;=100000,INDEX($AC$1005:$AS$1005,1,MATCH(COLUMNS($AC$1006:AG1006),$AC$1006:$AS$1006,0))&gt;=100000), " ",IF(INDEX($AC$2:$AS$1001,MATCH(ROWS($V$2:V534),$V$2:$V$1001,0),MATCH(COLUMNS($AC$1006:AG1006),$AC$1006:$AS$1006,0)), HYPERLINK("#",""), HYPERLINK(CONCATENATE("#metadata!", ADDRESS(INDEX($X$2:$X$1001,MATCH(ROWS($V$2:V534),$V$2:$V$1001,0),0), INDEX($AC$1004:$AS$1004,1,MATCH(COLUMNS($AC$1006:AG1006),$AC$1006:$AS$1006,0)))),"Fix")))</f>
        <v xml:space="preserve"> </v>
      </c>
      <c r="G534" s="4" t="str">
        <f ca="1">IF(OR(INDEX($W$2:$W$1001,MATCH(ROWS($V$2:V534),$V$2:$V$1001,0),1)&gt;=100000,INDEX($AC$1005:$AS$1005,1,MATCH(COLUMNS($AC$1006:AH1006),$AC$1006:$AS$1006,0))&gt;=100000), " ",IF(INDEX($AC$2:$AS$1001,MATCH(ROWS($V$2:V534),$V$2:$V$1001,0),MATCH(COLUMNS($AC$1006:AH1006),$AC$1006:$AS$1006,0)), HYPERLINK("#",""), HYPERLINK(CONCATENATE("#metadata!", ADDRESS(INDEX($X$2:$X$1001,MATCH(ROWS($V$2:V534),$V$2:$V$1001,0),0), INDEX($AC$1004:$AS$1004,1,MATCH(COLUMNS($AC$1006:AH1006),$AC$1006:$AS$1006,0)))),"Fix")))</f>
        <v xml:space="preserve"> </v>
      </c>
      <c r="H534" s="4" t="str">
        <f ca="1">IF(OR(INDEX($W$2:$W$1001,MATCH(ROWS($V$2:V534),$V$2:$V$1001,0),1)&gt;=100000,INDEX($AC$1005:$AS$1005,1,MATCH(COLUMNS($AC$1006:AI1006),$AC$1006:$AS$1006,0))&gt;=100000), " ",IF(INDEX($AC$2:$AS$1001,MATCH(ROWS($V$2:V534),$V$2:$V$1001,0),MATCH(COLUMNS($AC$1006:AI1006),$AC$1006:$AS$1006,0)), HYPERLINK("#",""), HYPERLINK(CONCATENATE("#metadata!", ADDRESS(INDEX($X$2:$X$1001,MATCH(ROWS($V$2:V534),$V$2:$V$1001,0),0), INDEX($AC$1004:$AS$1004,1,MATCH(COLUMNS($AC$1006:AI1006),$AC$1006:$AS$1006,0)))),"Fix")))</f>
        <v xml:space="preserve"> </v>
      </c>
      <c r="I534" s="4" t="str">
        <f ca="1">IF(OR(INDEX($W$2:$W$1001,MATCH(ROWS($V$2:V534),$V$2:$V$1001,0),1)&gt;=100000,INDEX($AC$1005:$AS$1005,1,MATCH(COLUMNS($AC$1006:AJ1006),$AC$1006:$AS$1006,0))&gt;=100000), " ",IF(INDEX($AC$2:$AS$1001,MATCH(ROWS($V$2:V534),$V$2:$V$1001,0),MATCH(COLUMNS($AC$1006:AJ1006),$AC$1006:$AS$1006,0)), HYPERLINK("#",""), HYPERLINK(CONCATENATE("#metadata!", ADDRESS(INDEX($X$2:$X$1001,MATCH(ROWS($V$2:V534),$V$2:$V$1001,0),0), INDEX($AC$1004:$AS$1004,1,MATCH(COLUMNS($AC$1006:AJ1006),$AC$1006:$AS$1006,0)))),"Fix")))</f>
        <v xml:space="preserve"> </v>
      </c>
      <c r="J534" s="4" t="str">
        <f ca="1">IF(OR(INDEX($W$2:$W$1001,MATCH(ROWS($V$2:V534),$V$2:$V$1001,0),1)&gt;=100000,INDEX($AC$1005:$AS$1005,1,MATCH(COLUMNS($AC$1006:AK1006),$AC$1006:$AS$1006,0))&gt;=100000), " ",IF(INDEX($AC$2:$AS$1001,MATCH(ROWS($V$2:V534),$V$2:$V$1001,0),MATCH(COLUMNS($AC$1006:AK1006),$AC$1006:$AS$1006,0)), HYPERLINK("#",""), HYPERLINK(CONCATENATE("#metadata!", ADDRESS(INDEX($X$2:$X$1001,MATCH(ROWS($V$2:V534),$V$2:$V$1001,0),0), INDEX($AC$1004:$AS$1004,1,MATCH(COLUMNS($AC$1006:AK1006),$AC$1006:$AS$1006,0)))),"Fix")))</f>
        <v xml:space="preserve"> </v>
      </c>
      <c r="K534" s="4" t="str">
        <f ca="1">IF(OR(INDEX($W$2:$W$1001,MATCH(ROWS($V$2:V534),$V$2:$V$1001,0),1)&gt;=100000,INDEX($AC$1005:$AS$1005,1,MATCH(COLUMNS($AC$1006:AL1006),$AC$1006:$AS$1006,0))&gt;=100000), " ",IF(INDEX($AC$2:$AS$1001,MATCH(ROWS($V$2:V534),$V$2:$V$1001,0),MATCH(COLUMNS($AC$1006:AL1006),$AC$1006:$AS$1006,0)), HYPERLINK("#",""), HYPERLINK(CONCATENATE("#metadata!", ADDRESS(INDEX($X$2:$X$1001,MATCH(ROWS($V$2:V534),$V$2:$V$1001,0),0), INDEX($AC$1004:$AS$1004,1,MATCH(COLUMNS($AC$1006:AL1006),$AC$1006:$AS$1006,0)))),"Fix")))</f>
        <v xml:space="preserve"> </v>
      </c>
      <c r="L534" s="4" t="str">
        <f ca="1">IF(OR(INDEX($W$2:$W$1001,MATCH(ROWS($V$2:V534),$V$2:$V$1001,0),1)&gt;=100000,INDEX($AC$1005:$AS$1005,1,MATCH(COLUMNS($AC$1006:AM1006),$AC$1006:$AS$1006,0))&gt;=100000), " ",IF(INDEX($AC$2:$AS$1001,MATCH(ROWS($V$2:V534),$V$2:$V$1001,0),MATCH(COLUMNS($AC$1006:AM1006),$AC$1006:$AS$1006,0)), HYPERLINK("#",""), HYPERLINK(CONCATENATE("#metadata!", ADDRESS(INDEX($X$2:$X$1001,MATCH(ROWS($V$2:V534),$V$2:$V$1001,0),0), INDEX($AC$1004:$AS$1004,1,MATCH(COLUMNS($AC$1006:AM1006),$AC$1006:$AS$1006,0)))),"Fix")))</f>
        <v xml:space="preserve"> </v>
      </c>
      <c r="M534" s="4" t="str">
        <f ca="1">IF(OR(INDEX($W$2:$W$1001,MATCH(ROWS($V$2:V534),$V$2:$V$1001,0),1)&gt;=100000,INDEX($AC$1005:$AS$1005,1,MATCH(COLUMNS($AC$1006:AN1006),$AC$1006:$AS$1006,0))&gt;=100000), " ",IF(INDEX($AC$2:$AS$1001,MATCH(ROWS($V$2:V534),$V$2:$V$1001,0),MATCH(COLUMNS($AC$1006:AN1006),$AC$1006:$AS$1006,0)), HYPERLINK("#",""), HYPERLINK(CONCATENATE("#metadata!", ADDRESS(INDEX($X$2:$X$1001,MATCH(ROWS($V$2:V534),$V$2:$V$1001,0),0), INDEX($AC$1004:$AS$1004,1,MATCH(COLUMNS($AC$1006:AN1006),$AC$1006:$AS$1006,0)))),"Fix")))</f>
        <v xml:space="preserve"> </v>
      </c>
      <c r="N534" s="4" t="str">
        <f ca="1">IF(OR(INDEX($W$2:$W$1001,MATCH(ROWS($V$2:V534),$V$2:$V$1001,0),1)&gt;=100000,INDEX($AC$1005:$AS$1005,1,MATCH(COLUMNS($AC$1006:AO1006),$AC$1006:$AS$1006,0))&gt;=100000), " ",IF(INDEX($AC$2:$AS$1001,MATCH(ROWS($V$2:V534),$V$2:$V$1001,0),MATCH(COLUMNS($AC$1006:AO1006),$AC$1006:$AS$1006,0)), HYPERLINK("#",""), HYPERLINK(CONCATENATE("#metadata!", ADDRESS(INDEX($X$2:$X$1001,MATCH(ROWS($V$2:V534),$V$2:$V$1001,0),0), INDEX($AC$1004:$AS$1004,1,MATCH(COLUMNS($AC$1006:AO1006),$AC$1006:$AS$1006,0)))),"Fix")))</f>
        <v xml:space="preserve"> </v>
      </c>
      <c r="O534" s="4" t="str">
        <f ca="1">IF(OR(INDEX($W$2:$W$1001,MATCH(ROWS($V$2:V534),$V$2:$V$1001,0),1)&gt;=100000,INDEX($AC$1005:$AS$1005,1,MATCH(COLUMNS($AC$1006:AP1006),$AC$1006:$AS$1006,0))&gt;=100000), " ",IF(INDEX($AC$2:$AS$1001,MATCH(ROWS($V$2:V534),$V$2:$V$1001,0),MATCH(COLUMNS($AC$1006:AP1006),$AC$1006:$AS$1006,0)), HYPERLINK("#",""), HYPERLINK(CONCATENATE("#metadata!", ADDRESS(INDEX($X$2:$X$1001,MATCH(ROWS($V$2:V534),$V$2:$V$1001,0),0), INDEX($AC$1004:$AS$1004,1,MATCH(COLUMNS($AC$1006:AP1006),$AC$1006:$AS$1006,0)))),"Fix")))</f>
        <v xml:space="preserve"> </v>
      </c>
      <c r="P534" s="4" t="str">
        <f ca="1">IF(OR(INDEX($W$2:$W$1001,MATCH(ROWS($V$2:V534),$V$2:$V$1001,0),1)&gt;=100000,INDEX($AC$1005:$AS$1005,1,MATCH(COLUMNS($AC$1006:AQ1006),$AC$1006:$AS$1006,0))&gt;=100000), " ",IF(INDEX($AC$2:$AS$1001,MATCH(ROWS($V$2:V534),$V$2:$V$1001,0),MATCH(COLUMNS($AC$1006:AQ1006),$AC$1006:$AS$1006,0)), HYPERLINK("#",""), HYPERLINK(CONCATENATE("#metadata!", ADDRESS(INDEX($X$2:$X$1001,MATCH(ROWS($V$2:V534),$V$2:$V$1001,0),0), INDEX($AC$1004:$AS$1004,1,MATCH(COLUMNS($AC$1006:AQ1006),$AC$1006:$AS$1006,0)))),"Fix")))</f>
        <v xml:space="preserve"> </v>
      </c>
      <c r="Q534" s="4" t="str">
        <f ca="1">IF(OR(INDEX($W$2:$W$1001,MATCH(ROWS($V$2:V534),$V$2:$V$1001,0),1)&gt;=100000,INDEX($AC$1005:$AS$1005,1,MATCH(COLUMNS($AC$1006:AR1006),$AC$1006:$AS$1006,0))&gt;=100000), " ",IF(INDEX($AC$2:$AS$1001,MATCH(ROWS($V$2:V534),$V$2:$V$1001,0),MATCH(COLUMNS($AC$1006:AR1006),$AC$1006:$AS$1006,0)), HYPERLINK("#",""), HYPERLINK(CONCATENATE("#metadata!", ADDRESS(INDEX($X$2:$X$1001,MATCH(ROWS($V$2:V534),$V$2:$V$1001,0),0), INDEX($AC$1004:$AS$1004,1,MATCH(COLUMNS($AC$1006:AR1006),$AC$1006:$AS$1006,0)))),"Fix")))</f>
        <v xml:space="preserve"> </v>
      </c>
      <c r="R534" s="4" t="str">
        <f ca="1">IF(OR(INDEX($W$2:$W$1001,MATCH(ROWS($V$2:V534),$V$2:$V$1001,0),1)&gt;=100000,INDEX($AC$1005:$AS$1005,1,MATCH(COLUMNS($AC$1006:AS1006),$AC$1006:$AS$1006,0))&gt;=100000), " ",IF(INDEX($AC$2:$AS$1001,MATCH(ROWS($V$2:V534),$V$2:$V$1001,0),MATCH(COLUMNS($AC$1006:AS1006),$AC$1006:$AS$1006,0)), HYPERLINK("#",""), HYPERLINK(CONCATENATE("#metadata!", ADDRESS(INDEX($X$2:$X$1001,MATCH(ROWS($V$2:V534),$V$2:$V$1001,0),0), INDEX($AC$1004:$AS$1004,1,MATCH(COLUMNS($AC$1006:AS1006),$AC$1006:$AS$1006,0)))),"Fix")))</f>
        <v xml:space="preserve"> </v>
      </c>
      <c r="V534">
        <v>533</v>
      </c>
      <c r="W534">
        <v>100534</v>
      </c>
      <c r="X534">
        <v>534</v>
      </c>
      <c r="Y534" t="b">
        <f t="shared" si="8"/>
        <v>1</v>
      </c>
      <c r="Z534" t="b">
        <f>COUNTBLANK(metadata!B534:R534)=COLUMNS(metadata!B534:R534)</f>
        <v>1</v>
      </c>
      <c r="AA534" t="str">
        <v/>
      </c>
      <c r="AC534" t="b">
        <f ca="1"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AD534" t="b">
        <f>IF(metadata!C534="",FALSE,ISNUMBER(VALUE(metadata!C534)))</f>
        <v>0</v>
      </c>
      <c r="AE534" t="b">
        <f>AND(IF(metadata!D534="",FALSE,TRUE),EXACT(metadata!D534,"years"))</f>
        <v>0</v>
      </c>
      <c r="AF534" t="b">
        <f>OR(AND(IF(metadata!E534="",FALSE,TRUE),OR(EXACT(metadata!E534,"not applicable"),EXACT(metadata!E534,"missing: not collected"),EXACT(metadata!E534,"missing: not provided"),EXACT(metadata!E534,"missing: restricted access"))),AND(IF(metadata!E534="",FALSE,ISNUMBER(VALUE(metadata!E534))),metadata!E534&gt;0))</f>
        <v>0</v>
      </c>
      <c r="AG534" t="b">
        <f>AND(IF(metadata!F534="",FALSE,TRUE),EXACT(metadata!F534,"Not applicable"))</f>
        <v>0</v>
      </c>
      <c r="AH534" t="b">
        <f>AND(IF(metadata!G534="",FALSE,TRUE),EXACT(metadata!G534,"urban biome"))</f>
        <v>0</v>
      </c>
      <c r="AI534" t="b">
        <f>AND(IF(metadata!H534="",FALSE,TRUE),EXACT(metadata!H534,"human-associated habitat"))</f>
        <v>0</v>
      </c>
      <c r="AJ534" t="b">
        <f>AND(IF(metadata!I534="",FALSE,TRUE),OR(EXACT(metadata!I534,"human-associated"),EXACT(metadata!I534,"human-skin"),EXACT(metadata!I534,"human-oral"),EXACT(metadata!I534,"human-gut"),EXACT(metadata!I534,"human-vaginal")))</f>
        <v>0</v>
      </c>
      <c r="AK534" t="b">
        <f>IF(metadata!J534="",FALSE,ISNUMBER(VALUE(metadata!J534)))</f>
        <v>0</v>
      </c>
      <c r="AL534" t="b">
        <f>AND(IF(metadata!K534="",FALSE,TRUE),EXACT(metadata!K534,"cm"))</f>
        <v>0</v>
      </c>
      <c r="AM534" t="b">
        <f>AND(IF(metadata!L534="",FALSE,TRUE),EXACT(metadata!L534,"human"))</f>
        <v>0</v>
      </c>
      <c r="AN534" t="b">
        <f>AND(IF(metadata!M534="",FALSE,TRUE),EXACT(metadata!M534,"Homo sapiens"))</f>
        <v>0</v>
      </c>
      <c r="AO534" t="b">
        <f>AND(IF(metadata!N534="",FALSE,TRUE),EXACT(metadata!N534,"9606"))</f>
        <v>0</v>
      </c>
      <c r="AP534" t="b">
        <f>IF(metadata!O534="",FALSE,TRUE)</f>
        <v>0</v>
      </c>
      <c r="AQ534" t="b">
        <f>IF(metadata!P534="",FALSE,TRUE)</f>
        <v>0</v>
      </c>
      <c r="AR534" t="b">
        <f>IF(metadata!Q534="",FALSE,ISNUMBER(VALUE(metadata!Q534)))</f>
        <v>0</v>
      </c>
      <c r="AS534" t="b">
        <f>AND(IF(metadata!R534="",FALSE,TRUE),EXACT(metadata!R534,"kg"))</f>
        <v>0</v>
      </c>
    </row>
    <row r="535" spans="1:45" x14ac:dyDescent="0.2">
      <c r="A535" s="5" t="str">
        <f ca="1">IF(B535=" "," ",HYPERLINK(CONCATENATE("#metadata!",ADDRESS(INDEX($X$2:$X$1001,MATCH(ROWS($V$2:V535),$V$2:$V$1001,0),0),1)),INDEX($AA$2:$AA$1001,MATCH(ROWS($V$2:V535),$V$2:$V$1001,0),0)))</f>
        <v xml:space="preserve"> </v>
      </c>
      <c r="B535" s="4" t="str">
        <f ca="1">IF(OR(INDEX($W$2:$W$1001,MATCH(ROWS($V$2:V535),$V$2:$V$1001,0),1)&gt;=100000,INDEX($AC$1005:$AS$1005,1,MATCH(COLUMNS($AC$1006:AC1006),$AC$1006:$AS$1006,0))&gt;=100000), " ",IF(INDEX($AC$2:$AS$1001,MATCH(ROWS($V$2:V535),$V$2:$V$1001,0),MATCH(COLUMNS($AC$1006:AC1006),$AC$1006:$AS$1006,0)), HYPERLINK("#",""), HYPERLINK(CONCATENATE("#metadata!", ADDRESS(INDEX($X$2:$X$1001,MATCH(ROWS($V$2:V535),$V$2:$V$1001,0),0), INDEX($AC$1004:$AS$1004,1,MATCH(COLUMNS($AC$1006:AC1006),$AC$1006:$AS$1006,0)))),"Fix")))</f>
        <v xml:space="preserve"> </v>
      </c>
      <c r="C535" s="4" t="str">
        <f ca="1">IF(OR(INDEX($W$2:$W$1001,MATCH(ROWS($V$2:V535),$V$2:$V$1001,0),1)&gt;=100000,INDEX($AC$1005:$AS$1005,1,MATCH(COLUMNS($AC$1006:AD1006),$AC$1006:$AS$1006,0))&gt;=100000), " ",IF(INDEX($AC$2:$AS$1001,MATCH(ROWS($V$2:V535),$V$2:$V$1001,0),MATCH(COLUMNS($AC$1006:AD1006),$AC$1006:$AS$1006,0)), HYPERLINK("#",""), HYPERLINK(CONCATENATE("#metadata!", ADDRESS(INDEX($X$2:$X$1001,MATCH(ROWS($V$2:V535),$V$2:$V$1001,0),0), INDEX($AC$1004:$AS$1004,1,MATCH(COLUMNS($AC$1006:AD1006),$AC$1006:$AS$1006,0)))),"Fix")))</f>
        <v xml:space="preserve"> </v>
      </c>
      <c r="D535" s="4" t="str">
        <f ca="1">IF(OR(INDEX($W$2:$W$1001,MATCH(ROWS($V$2:V535),$V$2:$V$1001,0),1)&gt;=100000,INDEX($AC$1005:$AS$1005,1,MATCH(COLUMNS($AC$1006:AE1006),$AC$1006:$AS$1006,0))&gt;=100000), " ",IF(INDEX($AC$2:$AS$1001,MATCH(ROWS($V$2:V535),$V$2:$V$1001,0),MATCH(COLUMNS($AC$1006:AE1006),$AC$1006:$AS$1006,0)), HYPERLINK("#",""), HYPERLINK(CONCATENATE("#metadata!", ADDRESS(INDEX($X$2:$X$1001,MATCH(ROWS($V$2:V535),$V$2:$V$1001,0),0), INDEX($AC$1004:$AS$1004,1,MATCH(COLUMNS($AC$1006:AE1006),$AC$1006:$AS$1006,0)))),"Fix")))</f>
        <v xml:space="preserve"> </v>
      </c>
      <c r="E535" s="4" t="str">
        <f ca="1">IF(OR(INDEX($W$2:$W$1001,MATCH(ROWS($V$2:V535),$V$2:$V$1001,0),1)&gt;=100000,INDEX($AC$1005:$AS$1005,1,MATCH(COLUMNS($AC$1006:AF1006),$AC$1006:$AS$1006,0))&gt;=100000), " ",IF(INDEX($AC$2:$AS$1001,MATCH(ROWS($V$2:V535),$V$2:$V$1001,0),MATCH(COLUMNS($AC$1006:AF1006),$AC$1006:$AS$1006,0)), HYPERLINK("#",""), HYPERLINK(CONCATENATE("#metadata!", ADDRESS(INDEX($X$2:$X$1001,MATCH(ROWS($V$2:V535),$V$2:$V$1001,0),0), INDEX($AC$1004:$AS$1004,1,MATCH(COLUMNS($AC$1006:AF1006),$AC$1006:$AS$1006,0)))),"Fix")))</f>
        <v xml:space="preserve"> </v>
      </c>
      <c r="F535" s="4" t="str">
        <f ca="1">IF(OR(INDEX($W$2:$W$1001,MATCH(ROWS($V$2:V535),$V$2:$V$1001,0),1)&gt;=100000,INDEX($AC$1005:$AS$1005,1,MATCH(COLUMNS($AC$1006:AG1006),$AC$1006:$AS$1006,0))&gt;=100000), " ",IF(INDEX($AC$2:$AS$1001,MATCH(ROWS($V$2:V535),$V$2:$V$1001,0),MATCH(COLUMNS($AC$1006:AG1006),$AC$1006:$AS$1006,0)), HYPERLINK("#",""), HYPERLINK(CONCATENATE("#metadata!", ADDRESS(INDEX($X$2:$X$1001,MATCH(ROWS($V$2:V535),$V$2:$V$1001,0),0), INDEX($AC$1004:$AS$1004,1,MATCH(COLUMNS($AC$1006:AG1006),$AC$1006:$AS$1006,0)))),"Fix")))</f>
        <v xml:space="preserve"> </v>
      </c>
      <c r="G535" s="4" t="str">
        <f ca="1">IF(OR(INDEX($W$2:$W$1001,MATCH(ROWS($V$2:V535),$V$2:$V$1001,0),1)&gt;=100000,INDEX($AC$1005:$AS$1005,1,MATCH(COLUMNS($AC$1006:AH1006),$AC$1006:$AS$1006,0))&gt;=100000), " ",IF(INDEX($AC$2:$AS$1001,MATCH(ROWS($V$2:V535),$V$2:$V$1001,0),MATCH(COLUMNS($AC$1006:AH1006),$AC$1006:$AS$1006,0)), HYPERLINK("#",""), HYPERLINK(CONCATENATE("#metadata!", ADDRESS(INDEX($X$2:$X$1001,MATCH(ROWS($V$2:V535),$V$2:$V$1001,0),0), INDEX($AC$1004:$AS$1004,1,MATCH(COLUMNS($AC$1006:AH1006),$AC$1006:$AS$1006,0)))),"Fix")))</f>
        <v xml:space="preserve"> </v>
      </c>
      <c r="H535" s="4" t="str">
        <f ca="1">IF(OR(INDEX($W$2:$W$1001,MATCH(ROWS($V$2:V535),$V$2:$V$1001,0),1)&gt;=100000,INDEX($AC$1005:$AS$1005,1,MATCH(COLUMNS($AC$1006:AI1006),$AC$1006:$AS$1006,0))&gt;=100000), " ",IF(INDEX($AC$2:$AS$1001,MATCH(ROWS($V$2:V535),$V$2:$V$1001,0),MATCH(COLUMNS($AC$1006:AI1006),$AC$1006:$AS$1006,0)), HYPERLINK("#",""), HYPERLINK(CONCATENATE("#metadata!", ADDRESS(INDEX($X$2:$X$1001,MATCH(ROWS($V$2:V535),$V$2:$V$1001,0),0), INDEX($AC$1004:$AS$1004,1,MATCH(COLUMNS($AC$1006:AI1006),$AC$1006:$AS$1006,0)))),"Fix")))</f>
        <v xml:space="preserve"> </v>
      </c>
      <c r="I535" s="4" t="str">
        <f ca="1">IF(OR(INDEX($W$2:$W$1001,MATCH(ROWS($V$2:V535),$V$2:$V$1001,0),1)&gt;=100000,INDEX($AC$1005:$AS$1005,1,MATCH(COLUMNS($AC$1006:AJ1006),$AC$1006:$AS$1006,0))&gt;=100000), " ",IF(INDEX($AC$2:$AS$1001,MATCH(ROWS($V$2:V535),$V$2:$V$1001,0),MATCH(COLUMNS($AC$1006:AJ1006),$AC$1006:$AS$1006,0)), HYPERLINK("#",""), HYPERLINK(CONCATENATE("#metadata!", ADDRESS(INDEX($X$2:$X$1001,MATCH(ROWS($V$2:V535),$V$2:$V$1001,0),0), INDEX($AC$1004:$AS$1004,1,MATCH(COLUMNS($AC$1006:AJ1006),$AC$1006:$AS$1006,0)))),"Fix")))</f>
        <v xml:space="preserve"> </v>
      </c>
      <c r="J535" s="4" t="str">
        <f ca="1">IF(OR(INDEX($W$2:$W$1001,MATCH(ROWS($V$2:V535),$V$2:$V$1001,0),1)&gt;=100000,INDEX($AC$1005:$AS$1005,1,MATCH(COLUMNS($AC$1006:AK1006),$AC$1006:$AS$1006,0))&gt;=100000), " ",IF(INDEX($AC$2:$AS$1001,MATCH(ROWS($V$2:V535),$V$2:$V$1001,0),MATCH(COLUMNS($AC$1006:AK1006),$AC$1006:$AS$1006,0)), HYPERLINK("#",""), HYPERLINK(CONCATENATE("#metadata!", ADDRESS(INDEX($X$2:$X$1001,MATCH(ROWS($V$2:V535),$V$2:$V$1001,0),0), INDEX($AC$1004:$AS$1004,1,MATCH(COLUMNS($AC$1006:AK1006),$AC$1006:$AS$1006,0)))),"Fix")))</f>
        <v xml:space="preserve"> </v>
      </c>
      <c r="K535" s="4" t="str">
        <f ca="1">IF(OR(INDEX($W$2:$W$1001,MATCH(ROWS($V$2:V535),$V$2:$V$1001,0),1)&gt;=100000,INDEX($AC$1005:$AS$1005,1,MATCH(COLUMNS($AC$1006:AL1006),$AC$1006:$AS$1006,0))&gt;=100000), " ",IF(INDEX($AC$2:$AS$1001,MATCH(ROWS($V$2:V535),$V$2:$V$1001,0),MATCH(COLUMNS($AC$1006:AL1006),$AC$1006:$AS$1006,0)), HYPERLINK("#",""), HYPERLINK(CONCATENATE("#metadata!", ADDRESS(INDEX($X$2:$X$1001,MATCH(ROWS($V$2:V535),$V$2:$V$1001,0),0), INDEX($AC$1004:$AS$1004,1,MATCH(COLUMNS($AC$1006:AL1006),$AC$1006:$AS$1006,0)))),"Fix")))</f>
        <v xml:space="preserve"> </v>
      </c>
      <c r="L535" s="4" t="str">
        <f ca="1">IF(OR(INDEX($W$2:$W$1001,MATCH(ROWS($V$2:V535),$V$2:$V$1001,0),1)&gt;=100000,INDEX($AC$1005:$AS$1005,1,MATCH(COLUMNS($AC$1006:AM1006),$AC$1006:$AS$1006,0))&gt;=100000), " ",IF(INDEX($AC$2:$AS$1001,MATCH(ROWS($V$2:V535),$V$2:$V$1001,0),MATCH(COLUMNS($AC$1006:AM1006),$AC$1006:$AS$1006,0)), HYPERLINK("#",""), HYPERLINK(CONCATENATE("#metadata!", ADDRESS(INDEX($X$2:$X$1001,MATCH(ROWS($V$2:V535),$V$2:$V$1001,0),0), INDEX($AC$1004:$AS$1004,1,MATCH(COLUMNS($AC$1006:AM1006),$AC$1006:$AS$1006,0)))),"Fix")))</f>
        <v xml:space="preserve"> </v>
      </c>
      <c r="M535" s="4" t="str">
        <f ca="1">IF(OR(INDEX($W$2:$W$1001,MATCH(ROWS($V$2:V535),$V$2:$V$1001,0),1)&gt;=100000,INDEX($AC$1005:$AS$1005,1,MATCH(COLUMNS($AC$1006:AN1006),$AC$1006:$AS$1006,0))&gt;=100000), " ",IF(INDEX($AC$2:$AS$1001,MATCH(ROWS($V$2:V535),$V$2:$V$1001,0),MATCH(COLUMNS($AC$1006:AN1006),$AC$1006:$AS$1006,0)), HYPERLINK("#",""), HYPERLINK(CONCATENATE("#metadata!", ADDRESS(INDEX($X$2:$X$1001,MATCH(ROWS($V$2:V535),$V$2:$V$1001,0),0), INDEX($AC$1004:$AS$1004,1,MATCH(COLUMNS($AC$1006:AN1006),$AC$1006:$AS$1006,0)))),"Fix")))</f>
        <v xml:space="preserve"> </v>
      </c>
      <c r="N535" s="4" t="str">
        <f ca="1">IF(OR(INDEX($W$2:$W$1001,MATCH(ROWS($V$2:V535),$V$2:$V$1001,0),1)&gt;=100000,INDEX($AC$1005:$AS$1005,1,MATCH(COLUMNS($AC$1006:AO1006),$AC$1006:$AS$1006,0))&gt;=100000), " ",IF(INDEX($AC$2:$AS$1001,MATCH(ROWS($V$2:V535),$V$2:$V$1001,0),MATCH(COLUMNS($AC$1006:AO1006),$AC$1006:$AS$1006,0)), HYPERLINK("#",""), HYPERLINK(CONCATENATE("#metadata!", ADDRESS(INDEX($X$2:$X$1001,MATCH(ROWS($V$2:V535),$V$2:$V$1001,0),0), INDEX($AC$1004:$AS$1004,1,MATCH(COLUMNS($AC$1006:AO1006),$AC$1006:$AS$1006,0)))),"Fix")))</f>
        <v xml:space="preserve"> </v>
      </c>
      <c r="O535" s="4" t="str">
        <f ca="1">IF(OR(INDEX($W$2:$W$1001,MATCH(ROWS($V$2:V535),$V$2:$V$1001,0),1)&gt;=100000,INDEX($AC$1005:$AS$1005,1,MATCH(COLUMNS($AC$1006:AP1006),$AC$1006:$AS$1006,0))&gt;=100000), " ",IF(INDEX($AC$2:$AS$1001,MATCH(ROWS($V$2:V535),$V$2:$V$1001,0),MATCH(COLUMNS($AC$1006:AP1006),$AC$1006:$AS$1006,0)), HYPERLINK("#",""), HYPERLINK(CONCATENATE("#metadata!", ADDRESS(INDEX($X$2:$X$1001,MATCH(ROWS($V$2:V535),$V$2:$V$1001,0),0), INDEX($AC$1004:$AS$1004,1,MATCH(COLUMNS($AC$1006:AP1006),$AC$1006:$AS$1006,0)))),"Fix")))</f>
        <v xml:space="preserve"> </v>
      </c>
      <c r="P535" s="4" t="str">
        <f ca="1">IF(OR(INDEX($W$2:$W$1001,MATCH(ROWS($V$2:V535),$V$2:$V$1001,0),1)&gt;=100000,INDEX($AC$1005:$AS$1005,1,MATCH(COLUMNS($AC$1006:AQ1006),$AC$1006:$AS$1006,0))&gt;=100000), " ",IF(INDEX($AC$2:$AS$1001,MATCH(ROWS($V$2:V535),$V$2:$V$1001,0),MATCH(COLUMNS($AC$1006:AQ1006),$AC$1006:$AS$1006,0)), HYPERLINK("#",""), HYPERLINK(CONCATENATE("#metadata!", ADDRESS(INDEX($X$2:$X$1001,MATCH(ROWS($V$2:V535),$V$2:$V$1001,0),0), INDEX($AC$1004:$AS$1004,1,MATCH(COLUMNS($AC$1006:AQ1006),$AC$1006:$AS$1006,0)))),"Fix")))</f>
        <v xml:space="preserve"> </v>
      </c>
      <c r="Q535" s="4" t="str">
        <f ca="1">IF(OR(INDEX($W$2:$W$1001,MATCH(ROWS($V$2:V535),$V$2:$V$1001,0),1)&gt;=100000,INDEX($AC$1005:$AS$1005,1,MATCH(COLUMNS($AC$1006:AR1006),$AC$1006:$AS$1006,0))&gt;=100000), " ",IF(INDEX($AC$2:$AS$1001,MATCH(ROWS($V$2:V535),$V$2:$V$1001,0),MATCH(COLUMNS($AC$1006:AR1006),$AC$1006:$AS$1006,0)), HYPERLINK("#",""), HYPERLINK(CONCATENATE("#metadata!", ADDRESS(INDEX($X$2:$X$1001,MATCH(ROWS($V$2:V535),$V$2:$V$1001,0),0), INDEX($AC$1004:$AS$1004,1,MATCH(COLUMNS($AC$1006:AR1006),$AC$1006:$AS$1006,0)))),"Fix")))</f>
        <v xml:space="preserve"> </v>
      </c>
      <c r="R535" s="4" t="str">
        <f ca="1">IF(OR(INDEX($W$2:$W$1001,MATCH(ROWS($V$2:V535),$V$2:$V$1001,0),1)&gt;=100000,INDEX($AC$1005:$AS$1005,1,MATCH(COLUMNS($AC$1006:AS1006),$AC$1006:$AS$1006,0))&gt;=100000), " ",IF(INDEX($AC$2:$AS$1001,MATCH(ROWS($V$2:V535),$V$2:$V$1001,0),MATCH(COLUMNS($AC$1006:AS1006),$AC$1006:$AS$1006,0)), HYPERLINK("#",""), HYPERLINK(CONCATENATE("#metadata!", ADDRESS(INDEX($X$2:$X$1001,MATCH(ROWS($V$2:V535),$V$2:$V$1001,0),0), INDEX($AC$1004:$AS$1004,1,MATCH(COLUMNS($AC$1006:AS1006),$AC$1006:$AS$1006,0)))),"Fix")))</f>
        <v xml:space="preserve"> </v>
      </c>
      <c r="V535">
        <v>534</v>
      </c>
      <c r="W535">
        <v>100535</v>
      </c>
      <c r="X535">
        <v>535</v>
      </c>
      <c r="Y535" t="b">
        <f t="shared" si="8"/>
        <v>1</v>
      </c>
      <c r="Z535" t="b">
        <f>COUNTBLANK(metadata!B535:R535)=COLUMNS(metadata!B535:R535)</f>
        <v>1</v>
      </c>
      <c r="AA535" t="str">
        <v/>
      </c>
      <c r="AC535" t="b">
        <f ca="1"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AD535" t="b">
        <f>IF(metadata!C535="",FALSE,ISNUMBER(VALUE(metadata!C535)))</f>
        <v>0</v>
      </c>
      <c r="AE535" t="b">
        <f>AND(IF(metadata!D535="",FALSE,TRUE),EXACT(metadata!D535,"years"))</f>
        <v>0</v>
      </c>
      <c r="AF535" t="b">
        <f>OR(AND(IF(metadata!E535="",FALSE,TRUE),OR(EXACT(metadata!E535,"not applicable"),EXACT(metadata!E535,"missing: not collected"),EXACT(metadata!E535,"missing: not provided"),EXACT(metadata!E535,"missing: restricted access"))),AND(IF(metadata!E535="",FALSE,ISNUMBER(VALUE(metadata!E535))),metadata!E535&gt;0))</f>
        <v>0</v>
      </c>
      <c r="AG535" t="b">
        <f>AND(IF(metadata!F535="",FALSE,TRUE),EXACT(metadata!F535,"Not applicable"))</f>
        <v>0</v>
      </c>
      <c r="AH535" t="b">
        <f>AND(IF(metadata!G535="",FALSE,TRUE),EXACT(metadata!G535,"urban biome"))</f>
        <v>0</v>
      </c>
      <c r="AI535" t="b">
        <f>AND(IF(metadata!H535="",FALSE,TRUE),EXACT(metadata!H535,"human-associated habitat"))</f>
        <v>0</v>
      </c>
      <c r="AJ535" t="b">
        <f>AND(IF(metadata!I535="",FALSE,TRUE),OR(EXACT(metadata!I535,"human-associated"),EXACT(metadata!I535,"human-skin"),EXACT(metadata!I535,"human-oral"),EXACT(metadata!I535,"human-gut"),EXACT(metadata!I535,"human-vaginal")))</f>
        <v>0</v>
      </c>
      <c r="AK535" t="b">
        <f>IF(metadata!J535="",FALSE,ISNUMBER(VALUE(metadata!J535)))</f>
        <v>0</v>
      </c>
      <c r="AL535" t="b">
        <f>AND(IF(metadata!K535="",FALSE,TRUE),EXACT(metadata!K535,"cm"))</f>
        <v>0</v>
      </c>
      <c r="AM535" t="b">
        <f>AND(IF(metadata!L535="",FALSE,TRUE),EXACT(metadata!L535,"human"))</f>
        <v>0</v>
      </c>
      <c r="AN535" t="b">
        <f>AND(IF(metadata!M535="",FALSE,TRUE),EXACT(metadata!M535,"Homo sapiens"))</f>
        <v>0</v>
      </c>
      <c r="AO535" t="b">
        <f>AND(IF(metadata!N535="",FALSE,TRUE),EXACT(metadata!N535,"9606"))</f>
        <v>0</v>
      </c>
      <c r="AP535" t="b">
        <f>IF(metadata!O535="",FALSE,TRUE)</f>
        <v>0</v>
      </c>
      <c r="AQ535" t="b">
        <f>IF(metadata!P535="",FALSE,TRUE)</f>
        <v>0</v>
      </c>
      <c r="AR535" t="b">
        <f>IF(metadata!Q535="",FALSE,ISNUMBER(VALUE(metadata!Q535)))</f>
        <v>0</v>
      </c>
      <c r="AS535" t="b">
        <f>AND(IF(metadata!R535="",FALSE,TRUE),EXACT(metadata!R535,"kg"))</f>
        <v>0</v>
      </c>
    </row>
    <row r="536" spans="1:45" x14ac:dyDescent="0.2">
      <c r="A536" s="5" t="str">
        <f ca="1">IF(B536=" "," ",HYPERLINK(CONCATENATE("#metadata!",ADDRESS(INDEX($X$2:$X$1001,MATCH(ROWS($V$2:V536),$V$2:$V$1001,0),0),1)),INDEX($AA$2:$AA$1001,MATCH(ROWS($V$2:V536),$V$2:$V$1001,0),0)))</f>
        <v xml:space="preserve"> </v>
      </c>
      <c r="B536" s="4" t="str">
        <f ca="1">IF(OR(INDEX($W$2:$W$1001,MATCH(ROWS($V$2:V536),$V$2:$V$1001,0),1)&gt;=100000,INDEX($AC$1005:$AS$1005,1,MATCH(COLUMNS($AC$1006:AC1006),$AC$1006:$AS$1006,0))&gt;=100000), " ",IF(INDEX($AC$2:$AS$1001,MATCH(ROWS($V$2:V536),$V$2:$V$1001,0),MATCH(COLUMNS($AC$1006:AC1006),$AC$1006:$AS$1006,0)), HYPERLINK("#",""), HYPERLINK(CONCATENATE("#metadata!", ADDRESS(INDEX($X$2:$X$1001,MATCH(ROWS($V$2:V536),$V$2:$V$1001,0),0), INDEX($AC$1004:$AS$1004,1,MATCH(COLUMNS($AC$1006:AC1006),$AC$1006:$AS$1006,0)))),"Fix")))</f>
        <v xml:space="preserve"> </v>
      </c>
      <c r="C536" s="4" t="str">
        <f ca="1">IF(OR(INDEX($W$2:$W$1001,MATCH(ROWS($V$2:V536),$V$2:$V$1001,0),1)&gt;=100000,INDEX($AC$1005:$AS$1005,1,MATCH(COLUMNS($AC$1006:AD1006),$AC$1006:$AS$1006,0))&gt;=100000), " ",IF(INDEX($AC$2:$AS$1001,MATCH(ROWS($V$2:V536),$V$2:$V$1001,0),MATCH(COLUMNS($AC$1006:AD1006),$AC$1006:$AS$1006,0)), HYPERLINK("#",""), HYPERLINK(CONCATENATE("#metadata!", ADDRESS(INDEX($X$2:$X$1001,MATCH(ROWS($V$2:V536),$V$2:$V$1001,0),0), INDEX($AC$1004:$AS$1004,1,MATCH(COLUMNS($AC$1006:AD1006),$AC$1006:$AS$1006,0)))),"Fix")))</f>
        <v xml:space="preserve"> </v>
      </c>
      <c r="D536" s="4" t="str">
        <f ca="1">IF(OR(INDEX($W$2:$W$1001,MATCH(ROWS($V$2:V536),$V$2:$V$1001,0),1)&gt;=100000,INDEX($AC$1005:$AS$1005,1,MATCH(COLUMNS($AC$1006:AE1006),$AC$1006:$AS$1006,0))&gt;=100000), " ",IF(INDEX($AC$2:$AS$1001,MATCH(ROWS($V$2:V536),$V$2:$V$1001,0),MATCH(COLUMNS($AC$1006:AE1006),$AC$1006:$AS$1006,0)), HYPERLINK("#",""), HYPERLINK(CONCATENATE("#metadata!", ADDRESS(INDEX($X$2:$X$1001,MATCH(ROWS($V$2:V536),$V$2:$V$1001,0),0), INDEX($AC$1004:$AS$1004,1,MATCH(COLUMNS($AC$1006:AE1006),$AC$1006:$AS$1006,0)))),"Fix")))</f>
        <v xml:space="preserve"> </v>
      </c>
      <c r="E536" s="4" t="str">
        <f ca="1">IF(OR(INDEX($W$2:$W$1001,MATCH(ROWS($V$2:V536),$V$2:$V$1001,0),1)&gt;=100000,INDEX($AC$1005:$AS$1005,1,MATCH(COLUMNS($AC$1006:AF1006),$AC$1006:$AS$1006,0))&gt;=100000), " ",IF(INDEX($AC$2:$AS$1001,MATCH(ROWS($V$2:V536),$V$2:$V$1001,0),MATCH(COLUMNS($AC$1006:AF1006),$AC$1006:$AS$1006,0)), HYPERLINK("#",""), HYPERLINK(CONCATENATE("#metadata!", ADDRESS(INDEX($X$2:$X$1001,MATCH(ROWS($V$2:V536),$V$2:$V$1001,0),0), INDEX($AC$1004:$AS$1004,1,MATCH(COLUMNS($AC$1006:AF1006),$AC$1006:$AS$1006,0)))),"Fix")))</f>
        <v xml:space="preserve"> </v>
      </c>
      <c r="F536" s="4" t="str">
        <f ca="1">IF(OR(INDEX($W$2:$W$1001,MATCH(ROWS($V$2:V536),$V$2:$V$1001,0),1)&gt;=100000,INDEX($AC$1005:$AS$1005,1,MATCH(COLUMNS($AC$1006:AG1006),$AC$1006:$AS$1006,0))&gt;=100000), " ",IF(INDEX($AC$2:$AS$1001,MATCH(ROWS($V$2:V536),$V$2:$V$1001,0),MATCH(COLUMNS($AC$1006:AG1006),$AC$1006:$AS$1006,0)), HYPERLINK("#",""), HYPERLINK(CONCATENATE("#metadata!", ADDRESS(INDEX($X$2:$X$1001,MATCH(ROWS($V$2:V536),$V$2:$V$1001,0),0), INDEX($AC$1004:$AS$1004,1,MATCH(COLUMNS($AC$1006:AG1006),$AC$1006:$AS$1006,0)))),"Fix")))</f>
        <v xml:space="preserve"> </v>
      </c>
      <c r="G536" s="4" t="str">
        <f ca="1">IF(OR(INDEX($W$2:$W$1001,MATCH(ROWS($V$2:V536),$V$2:$V$1001,0),1)&gt;=100000,INDEX($AC$1005:$AS$1005,1,MATCH(COLUMNS($AC$1006:AH1006),$AC$1006:$AS$1006,0))&gt;=100000), " ",IF(INDEX($AC$2:$AS$1001,MATCH(ROWS($V$2:V536),$V$2:$V$1001,0),MATCH(COLUMNS($AC$1006:AH1006),$AC$1006:$AS$1006,0)), HYPERLINK("#",""), HYPERLINK(CONCATENATE("#metadata!", ADDRESS(INDEX($X$2:$X$1001,MATCH(ROWS($V$2:V536),$V$2:$V$1001,0),0), INDEX($AC$1004:$AS$1004,1,MATCH(COLUMNS($AC$1006:AH1006),$AC$1006:$AS$1006,0)))),"Fix")))</f>
        <v xml:space="preserve"> </v>
      </c>
      <c r="H536" s="4" t="str">
        <f ca="1">IF(OR(INDEX($W$2:$W$1001,MATCH(ROWS($V$2:V536),$V$2:$V$1001,0),1)&gt;=100000,INDEX($AC$1005:$AS$1005,1,MATCH(COLUMNS($AC$1006:AI1006),$AC$1006:$AS$1006,0))&gt;=100000), " ",IF(INDEX($AC$2:$AS$1001,MATCH(ROWS($V$2:V536),$V$2:$V$1001,0),MATCH(COLUMNS($AC$1006:AI1006),$AC$1006:$AS$1006,0)), HYPERLINK("#",""), HYPERLINK(CONCATENATE("#metadata!", ADDRESS(INDEX($X$2:$X$1001,MATCH(ROWS($V$2:V536),$V$2:$V$1001,0),0), INDEX($AC$1004:$AS$1004,1,MATCH(COLUMNS($AC$1006:AI1006),$AC$1006:$AS$1006,0)))),"Fix")))</f>
        <v xml:space="preserve"> </v>
      </c>
      <c r="I536" s="4" t="str">
        <f ca="1">IF(OR(INDEX($W$2:$W$1001,MATCH(ROWS($V$2:V536),$V$2:$V$1001,0),1)&gt;=100000,INDEX($AC$1005:$AS$1005,1,MATCH(COLUMNS($AC$1006:AJ1006),$AC$1006:$AS$1006,0))&gt;=100000), " ",IF(INDEX($AC$2:$AS$1001,MATCH(ROWS($V$2:V536),$V$2:$V$1001,0),MATCH(COLUMNS($AC$1006:AJ1006),$AC$1006:$AS$1006,0)), HYPERLINK("#",""), HYPERLINK(CONCATENATE("#metadata!", ADDRESS(INDEX($X$2:$X$1001,MATCH(ROWS($V$2:V536),$V$2:$V$1001,0),0), INDEX($AC$1004:$AS$1004,1,MATCH(COLUMNS($AC$1006:AJ1006),$AC$1006:$AS$1006,0)))),"Fix")))</f>
        <v xml:space="preserve"> </v>
      </c>
      <c r="J536" s="4" t="str">
        <f ca="1">IF(OR(INDEX($W$2:$W$1001,MATCH(ROWS($V$2:V536),$V$2:$V$1001,0),1)&gt;=100000,INDEX($AC$1005:$AS$1005,1,MATCH(COLUMNS($AC$1006:AK1006),$AC$1006:$AS$1006,0))&gt;=100000), " ",IF(INDEX($AC$2:$AS$1001,MATCH(ROWS($V$2:V536),$V$2:$V$1001,0),MATCH(COLUMNS($AC$1006:AK1006),$AC$1006:$AS$1006,0)), HYPERLINK("#",""), HYPERLINK(CONCATENATE("#metadata!", ADDRESS(INDEX($X$2:$X$1001,MATCH(ROWS($V$2:V536),$V$2:$V$1001,0),0), INDEX($AC$1004:$AS$1004,1,MATCH(COLUMNS($AC$1006:AK1006),$AC$1006:$AS$1006,0)))),"Fix")))</f>
        <v xml:space="preserve"> </v>
      </c>
      <c r="K536" s="4" t="str">
        <f ca="1">IF(OR(INDEX($W$2:$W$1001,MATCH(ROWS($V$2:V536),$V$2:$V$1001,0),1)&gt;=100000,INDEX($AC$1005:$AS$1005,1,MATCH(COLUMNS($AC$1006:AL1006),$AC$1006:$AS$1006,0))&gt;=100000), " ",IF(INDEX($AC$2:$AS$1001,MATCH(ROWS($V$2:V536),$V$2:$V$1001,0),MATCH(COLUMNS($AC$1006:AL1006),$AC$1006:$AS$1006,0)), HYPERLINK("#",""), HYPERLINK(CONCATENATE("#metadata!", ADDRESS(INDEX($X$2:$X$1001,MATCH(ROWS($V$2:V536),$V$2:$V$1001,0),0), INDEX($AC$1004:$AS$1004,1,MATCH(COLUMNS($AC$1006:AL1006),$AC$1006:$AS$1006,0)))),"Fix")))</f>
        <v xml:space="preserve"> </v>
      </c>
      <c r="L536" s="4" t="str">
        <f ca="1">IF(OR(INDEX($W$2:$W$1001,MATCH(ROWS($V$2:V536),$V$2:$V$1001,0),1)&gt;=100000,INDEX($AC$1005:$AS$1005,1,MATCH(COLUMNS($AC$1006:AM1006),$AC$1006:$AS$1006,0))&gt;=100000), " ",IF(INDEX($AC$2:$AS$1001,MATCH(ROWS($V$2:V536),$V$2:$V$1001,0),MATCH(COLUMNS($AC$1006:AM1006),$AC$1006:$AS$1006,0)), HYPERLINK("#",""), HYPERLINK(CONCATENATE("#metadata!", ADDRESS(INDEX($X$2:$X$1001,MATCH(ROWS($V$2:V536),$V$2:$V$1001,0),0), INDEX($AC$1004:$AS$1004,1,MATCH(COLUMNS($AC$1006:AM1006),$AC$1006:$AS$1006,0)))),"Fix")))</f>
        <v xml:space="preserve"> </v>
      </c>
      <c r="M536" s="4" t="str">
        <f ca="1">IF(OR(INDEX($W$2:$W$1001,MATCH(ROWS($V$2:V536),$V$2:$V$1001,0),1)&gt;=100000,INDEX($AC$1005:$AS$1005,1,MATCH(COLUMNS($AC$1006:AN1006),$AC$1006:$AS$1006,0))&gt;=100000), " ",IF(INDEX($AC$2:$AS$1001,MATCH(ROWS($V$2:V536),$V$2:$V$1001,0),MATCH(COLUMNS($AC$1006:AN1006),$AC$1006:$AS$1006,0)), HYPERLINK("#",""), HYPERLINK(CONCATENATE("#metadata!", ADDRESS(INDEX($X$2:$X$1001,MATCH(ROWS($V$2:V536),$V$2:$V$1001,0),0), INDEX($AC$1004:$AS$1004,1,MATCH(COLUMNS($AC$1006:AN1006),$AC$1006:$AS$1006,0)))),"Fix")))</f>
        <v xml:space="preserve"> </v>
      </c>
      <c r="N536" s="4" t="str">
        <f ca="1">IF(OR(INDEX($W$2:$W$1001,MATCH(ROWS($V$2:V536),$V$2:$V$1001,0),1)&gt;=100000,INDEX($AC$1005:$AS$1005,1,MATCH(COLUMNS($AC$1006:AO1006),$AC$1006:$AS$1006,0))&gt;=100000), " ",IF(INDEX($AC$2:$AS$1001,MATCH(ROWS($V$2:V536),$V$2:$V$1001,0),MATCH(COLUMNS($AC$1006:AO1006),$AC$1006:$AS$1006,0)), HYPERLINK("#",""), HYPERLINK(CONCATENATE("#metadata!", ADDRESS(INDEX($X$2:$X$1001,MATCH(ROWS($V$2:V536),$V$2:$V$1001,0),0), INDEX($AC$1004:$AS$1004,1,MATCH(COLUMNS($AC$1006:AO1006),$AC$1006:$AS$1006,0)))),"Fix")))</f>
        <v xml:space="preserve"> </v>
      </c>
      <c r="O536" s="4" t="str">
        <f ca="1">IF(OR(INDEX($W$2:$W$1001,MATCH(ROWS($V$2:V536),$V$2:$V$1001,0),1)&gt;=100000,INDEX($AC$1005:$AS$1005,1,MATCH(COLUMNS($AC$1006:AP1006),$AC$1006:$AS$1006,0))&gt;=100000), " ",IF(INDEX($AC$2:$AS$1001,MATCH(ROWS($V$2:V536),$V$2:$V$1001,0),MATCH(COLUMNS($AC$1006:AP1006),$AC$1006:$AS$1006,0)), HYPERLINK("#",""), HYPERLINK(CONCATENATE("#metadata!", ADDRESS(INDEX($X$2:$X$1001,MATCH(ROWS($V$2:V536),$V$2:$V$1001,0),0), INDEX($AC$1004:$AS$1004,1,MATCH(COLUMNS($AC$1006:AP1006),$AC$1006:$AS$1006,0)))),"Fix")))</f>
        <v xml:space="preserve"> </v>
      </c>
      <c r="P536" s="4" t="str">
        <f ca="1">IF(OR(INDEX($W$2:$W$1001,MATCH(ROWS($V$2:V536),$V$2:$V$1001,0),1)&gt;=100000,INDEX($AC$1005:$AS$1005,1,MATCH(COLUMNS($AC$1006:AQ1006),$AC$1006:$AS$1006,0))&gt;=100000), " ",IF(INDEX($AC$2:$AS$1001,MATCH(ROWS($V$2:V536),$V$2:$V$1001,0),MATCH(COLUMNS($AC$1006:AQ1006),$AC$1006:$AS$1006,0)), HYPERLINK("#",""), HYPERLINK(CONCATENATE("#metadata!", ADDRESS(INDEX($X$2:$X$1001,MATCH(ROWS($V$2:V536),$V$2:$V$1001,0),0), INDEX($AC$1004:$AS$1004,1,MATCH(COLUMNS($AC$1006:AQ1006),$AC$1006:$AS$1006,0)))),"Fix")))</f>
        <v xml:space="preserve"> </v>
      </c>
      <c r="Q536" s="4" t="str">
        <f ca="1">IF(OR(INDEX($W$2:$W$1001,MATCH(ROWS($V$2:V536),$V$2:$V$1001,0),1)&gt;=100000,INDEX($AC$1005:$AS$1005,1,MATCH(COLUMNS($AC$1006:AR1006),$AC$1006:$AS$1006,0))&gt;=100000), " ",IF(INDEX($AC$2:$AS$1001,MATCH(ROWS($V$2:V536),$V$2:$V$1001,0),MATCH(COLUMNS($AC$1006:AR1006),$AC$1006:$AS$1006,0)), HYPERLINK("#",""), HYPERLINK(CONCATENATE("#metadata!", ADDRESS(INDEX($X$2:$X$1001,MATCH(ROWS($V$2:V536),$V$2:$V$1001,0),0), INDEX($AC$1004:$AS$1004,1,MATCH(COLUMNS($AC$1006:AR1006),$AC$1006:$AS$1006,0)))),"Fix")))</f>
        <v xml:space="preserve"> </v>
      </c>
      <c r="R536" s="4" t="str">
        <f ca="1">IF(OR(INDEX($W$2:$W$1001,MATCH(ROWS($V$2:V536),$V$2:$V$1001,0),1)&gt;=100000,INDEX($AC$1005:$AS$1005,1,MATCH(COLUMNS($AC$1006:AS1006),$AC$1006:$AS$1006,0))&gt;=100000), " ",IF(INDEX($AC$2:$AS$1001,MATCH(ROWS($V$2:V536),$V$2:$V$1001,0),MATCH(COLUMNS($AC$1006:AS1006),$AC$1006:$AS$1006,0)), HYPERLINK("#",""), HYPERLINK(CONCATENATE("#metadata!", ADDRESS(INDEX($X$2:$X$1001,MATCH(ROWS($V$2:V536),$V$2:$V$1001,0),0), INDEX($AC$1004:$AS$1004,1,MATCH(COLUMNS($AC$1006:AS1006),$AC$1006:$AS$1006,0)))),"Fix")))</f>
        <v xml:space="preserve"> </v>
      </c>
      <c r="V536">
        <v>535</v>
      </c>
      <c r="W536">
        <v>100536</v>
      </c>
      <c r="X536">
        <v>536</v>
      </c>
      <c r="Y536" t="b">
        <f t="shared" si="8"/>
        <v>1</v>
      </c>
      <c r="Z536" t="b">
        <f>COUNTBLANK(metadata!B536:R536)=COLUMNS(metadata!B536:R536)</f>
        <v>1</v>
      </c>
      <c r="AA536" t="str">
        <v/>
      </c>
      <c r="AC536" t="b">
        <f ca="1"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AD536" t="b">
        <f>IF(metadata!C536="",FALSE,ISNUMBER(VALUE(metadata!C536)))</f>
        <v>0</v>
      </c>
      <c r="AE536" t="b">
        <f>AND(IF(metadata!D536="",FALSE,TRUE),EXACT(metadata!D536,"years"))</f>
        <v>0</v>
      </c>
      <c r="AF536" t="b">
        <f>OR(AND(IF(metadata!E536="",FALSE,TRUE),OR(EXACT(metadata!E536,"not applicable"),EXACT(metadata!E536,"missing: not collected"),EXACT(metadata!E536,"missing: not provided"),EXACT(metadata!E536,"missing: restricted access"))),AND(IF(metadata!E536="",FALSE,ISNUMBER(VALUE(metadata!E536))),metadata!E536&gt;0))</f>
        <v>0</v>
      </c>
      <c r="AG536" t="b">
        <f>AND(IF(metadata!F536="",FALSE,TRUE),EXACT(metadata!F536,"Not applicable"))</f>
        <v>0</v>
      </c>
      <c r="AH536" t="b">
        <f>AND(IF(metadata!G536="",FALSE,TRUE),EXACT(metadata!G536,"urban biome"))</f>
        <v>0</v>
      </c>
      <c r="AI536" t="b">
        <f>AND(IF(metadata!H536="",FALSE,TRUE),EXACT(metadata!H536,"human-associated habitat"))</f>
        <v>0</v>
      </c>
      <c r="AJ536" t="b">
        <f>AND(IF(metadata!I536="",FALSE,TRUE),OR(EXACT(metadata!I536,"human-associated"),EXACT(metadata!I536,"human-skin"),EXACT(metadata!I536,"human-oral"),EXACT(metadata!I536,"human-gut"),EXACT(metadata!I536,"human-vaginal")))</f>
        <v>0</v>
      </c>
      <c r="AK536" t="b">
        <f>IF(metadata!J536="",FALSE,ISNUMBER(VALUE(metadata!J536)))</f>
        <v>0</v>
      </c>
      <c r="AL536" t="b">
        <f>AND(IF(metadata!K536="",FALSE,TRUE),EXACT(metadata!K536,"cm"))</f>
        <v>0</v>
      </c>
      <c r="AM536" t="b">
        <f>AND(IF(metadata!L536="",FALSE,TRUE),EXACT(metadata!L536,"human"))</f>
        <v>0</v>
      </c>
      <c r="AN536" t="b">
        <f>AND(IF(metadata!M536="",FALSE,TRUE),EXACT(metadata!M536,"Homo sapiens"))</f>
        <v>0</v>
      </c>
      <c r="AO536" t="b">
        <f>AND(IF(metadata!N536="",FALSE,TRUE),EXACT(metadata!N536,"9606"))</f>
        <v>0</v>
      </c>
      <c r="AP536" t="b">
        <f>IF(metadata!O536="",FALSE,TRUE)</f>
        <v>0</v>
      </c>
      <c r="AQ536" t="b">
        <f>IF(metadata!P536="",FALSE,TRUE)</f>
        <v>0</v>
      </c>
      <c r="AR536" t="b">
        <f>IF(metadata!Q536="",FALSE,ISNUMBER(VALUE(metadata!Q536)))</f>
        <v>0</v>
      </c>
      <c r="AS536" t="b">
        <f>AND(IF(metadata!R536="",FALSE,TRUE),EXACT(metadata!R536,"kg"))</f>
        <v>0</v>
      </c>
    </row>
    <row r="537" spans="1:45" x14ac:dyDescent="0.2">
      <c r="A537" s="5" t="str">
        <f ca="1">IF(B537=" "," ",HYPERLINK(CONCATENATE("#metadata!",ADDRESS(INDEX($X$2:$X$1001,MATCH(ROWS($V$2:V537),$V$2:$V$1001,0),0),1)),INDEX($AA$2:$AA$1001,MATCH(ROWS($V$2:V537),$V$2:$V$1001,0),0)))</f>
        <v xml:space="preserve"> </v>
      </c>
      <c r="B537" s="4" t="str">
        <f ca="1">IF(OR(INDEX($W$2:$W$1001,MATCH(ROWS($V$2:V537),$V$2:$V$1001,0),1)&gt;=100000,INDEX($AC$1005:$AS$1005,1,MATCH(COLUMNS($AC$1006:AC1006),$AC$1006:$AS$1006,0))&gt;=100000), " ",IF(INDEX($AC$2:$AS$1001,MATCH(ROWS($V$2:V537),$V$2:$V$1001,0),MATCH(COLUMNS($AC$1006:AC1006),$AC$1006:$AS$1006,0)), HYPERLINK("#",""), HYPERLINK(CONCATENATE("#metadata!", ADDRESS(INDEX($X$2:$X$1001,MATCH(ROWS($V$2:V537),$V$2:$V$1001,0),0), INDEX($AC$1004:$AS$1004,1,MATCH(COLUMNS($AC$1006:AC1006),$AC$1006:$AS$1006,0)))),"Fix")))</f>
        <v xml:space="preserve"> </v>
      </c>
      <c r="C537" s="4" t="str">
        <f ca="1">IF(OR(INDEX($W$2:$W$1001,MATCH(ROWS($V$2:V537),$V$2:$V$1001,0),1)&gt;=100000,INDEX($AC$1005:$AS$1005,1,MATCH(COLUMNS($AC$1006:AD1006),$AC$1006:$AS$1006,0))&gt;=100000), " ",IF(INDEX($AC$2:$AS$1001,MATCH(ROWS($V$2:V537),$V$2:$V$1001,0),MATCH(COLUMNS($AC$1006:AD1006),$AC$1006:$AS$1006,0)), HYPERLINK("#",""), HYPERLINK(CONCATENATE("#metadata!", ADDRESS(INDEX($X$2:$X$1001,MATCH(ROWS($V$2:V537),$V$2:$V$1001,0),0), INDEX($AC$1004:$AS$1004,1,MATCH(COLUMNS($AC$1006:AD1006),$AC$1006:$AS$1006,0)))),"Fix")))</f>
        <v xml:space="preserve"> </v>
      </c>
      <c r="D537" s="4" t="str">
        <f ca="1">IF(OR(INDEX($W$2:$W$1001,MATCH(ROWS($V$2:V537),$V$2:$V$1001,0),1)&gt;=100000,INDEX($AC$1005:$AS$1005,1,MATCH(COLUMNS($AC$1006:AE1006),$AC$1006:$AS$1006,0))&gt;=100000), " ",IF(INDEX($AC$2:$AS$1001,MATCH(ROWS($V$2:V537),$V$2:$V$1001,0),MATCH(COLUMNS($AC$1006:AE1006),$AC$1006:$AS$1006,0)), HYPERLINK("#",""), HYPERLINK(CONCATENATE("#metadata!", ADDRESS(INDEX($X$2:$X$1001,MATCH(ROWS($V$2:V537),$V$2:$V$1001,0),0), INDEX($AC$1004:$AS$1004,1,MATCH(COLUMNS($AC$1006:AE1006),$AC$1006:$AS$1006,0)))),"Fix")))</f>
        <v xml:space="preserve"> </v>
      </c>
      <c r="E537" s="4" t="str">
        <f ca="1">IF(OR(INDEX($W$2:$W$1001,MATCH(ROWS($V$2:V537),$V$2:$V$1001,0),1)&gt;=100000,INDEX($AC$1005:$AS$1005,1,MATCH(COLUMNS($AC$1006:AF1006),$AC$1006:$AS$1006,0))&gt;=100000), " ",IF(INDEX($AC$2:$AS$1001,MATCH(ROWS($V$2:V537),$V$2:$V$1001,0),MATCH(COLUMNS($AC$1006:AF1006),$AC$1006:$AS$1006,0)), HYPERLINK("#",""), HYPERLINK(CONCATENATE("#metadata!", ADDRESS(INDEX($X$2:$X$1001,MATCH(ROWS($V$2:V537),$V$2:$V$1001,0),0), INDEX($AC$1004:$AS$1004,1,MATCH(COLUMNS($AC$1006:AF1006),$AC$1006:$AS$1006,0)))),"Fix")))</f>
        <v xml:space="preserve"> </v>
      </c>
      <c r="F537" s="4" t="str">
        <f ca="1">IF(OR(INDEX($W$2:$W$1001,MATCH(ROWS($V$2:V537),$V$2:$V$1001,0),1)&gt;=100000,INDEX($AC$1005:$AS$1005,1,MATCH(COLUMNS($AC$1006:AG1006),$AC$1006:$AS$1006,0))&gt;=100000), " ",IF(INDEX($AC$2:$AS$1001,MATCH(ROWS($V$2:V537),$V$2:$V$1001,0),MATCH(COLUMNS($AC$1006:AG1006),$AC$1006:$AS$1006,0)), HYPERLINK("#",""), HYPERLINK(CONCATENATE("#metadata!", ADDRESS(INDEX($X$2:$X$1001,MATCH(ROWS($V$2:V537),$V$2:$V$1001,0),0), INDEX($AC$1004:$AS$1004,1,MATCH(COLUMNS($AC$1006:AG1006),$AC$1006:$AS$1006,0)))),"Fix")))</f>
        <v xml:space="preserve"> </v>
      </c>
      <c r="G537" s="4" t="str">
        <f ca="1">IF(OR(INDEX($W$2:$W$1001,MATCH(ROWS($V$2:V537),$V$2:$V$1001,0),1)&gt;=100000,INDEX($AC$1005:$AS$1005,1,MATCH(COLUMNS($AC$1006:AH1006),$AC$1006:$AS$1006,0))&gt;=100000), " ",IF(INDEX($AC$2:$AS$1001,MATCH(ROWS($V$2:V537),$V$2:$V$1001,0),MATCH(COLUMNS($AC$1006:AH1006),$AC$1006:$AS$1006,0)), HYPERLINK("#",""), HYPERLINK(CONCATENATE("#metadata!", ADDRESS(INDEX($X$2:$X$1001,MATCH(ROWS($V$2:V537),$V$2:$V$1001,0),0), INDEX($AC$1004:$AS$1004,1,MATCH(COLUMNS($AC$1006:AH1006),$AC$1006:$AS$1006,0)))),"Fix")))</f>
        <v xml:space="preserve"> </v>
      </c>
      <c r="H537" s="4" t="str">
        <f ca="1">IF(OR(INDEX($W$2:$W$1001,MATCH(ROWS($V$2:V537),$V$2:$V$1001,0),1)&gt;=100000,INDEX($AC$1005:$AS$1005,1,MATCH(COLUMNS($AC$1006:AI1006),$AC$1006:$AS$1006,0))&gt;=100000), " ",IF(INDEX($AC$2:$AS$1001,MATCH(ROWS($V$2:V537),$V$2:$V$1001,0),MATCH(COLUMNS($AC$1006:AI1006),$AC$1006:$AS$1006,0)), HYPERLINK("#",""), HYPERLINK(CONCATENATE("#metadata!", ADDRESS(INDEX($X$2:$X$1001,MATCH(ROWS($V$2:V537),$V$2:$V$1001,0),0), INDEX($AC$1004:$AS$1004,1,MATCH(COLUMNS($AC$1006:AI1006),$AC$1006:$AS$1006,0)))),"Fix")))</f>
        <v xml:space="preserve"> </v>
      </c>
      <c r="I537" s="4" t="str">
        <f ca="1">IF(OR(INDEX($W$2:$W$1001,MATCH(ROWS($V$2:V537),$V$2:$V$1001,0),1)&gt;=100000,INDEX($AC$1005:$AS$1005,1,MATCH(COLUMNS($AC$1006:AJ1006),$AC$1006:$AS$1006,0))&gt;=100000), " ",IF(INDEX($AC$2:$AS$1001,MATCH(ROWS($V$2:V537),$V$2:$V$1001,0),MATCH(COLUMNS($AC$1006:AJ1006),$AC$1006:$AS$1006,0)), HYPERLINK("#",""), HYPERLINK(CONCATENATE("#metadata!", ADDRESS(INDEX($X$2:$X$1001,MATCH(ROWS($V$2:V537),$V$2:$V$1001,0),0), INDEX($AC$1004:$AS$1004,1,MATCH(COLUMNS($AC$1006:AJ1006),$AC$1006:$AS$1006,0)))),"Fix")))</f>
        <v xml:space="preserve"> </v>
      </c>
      <c r="J537" s="4" t="str">
        <f ca="1">IF(OR(INDEX($W$2:$W$1001,MATCH(ROWS($V$2:V537),$V$2:$V$1001,0),1)&gt;=100000,INDEX($AC$1005:$AS$1005,1,MATCH(COLUMNS($AC$1006:AK1006),$AC$1006:$AS$1006,0))&gt;=100000), " ",IF(INDEX($AC$2:$AS$1001,MATCH(ROWS($V$2:V537),$V$2:$V$1001,0),MATCH(COLUMNS($AC$1006:AK1006),$AC$1006:$AS$1006,0)), HYPERLINK("#",""), HYPERLINK(CONCATENATE("#metadata!", ADDRESS(INDEX($X$2:$X$1001,MATCH(ROWS($V$2:V537),$V$2:$V$1001,0),0), INDEX($AC$1004:$AS$1004,1,MATCH(COLUMNS($AC$1006:AK1006),$AC$1006:$AS$1006,0)))),"Fix")))</f>
        <v xml:space="preserve"> </v>
      </c>
      <c r="K537" s="4" t="str">
        <f ca="1">IF(OR(INDEX($W$2:$W$1001,MATCH(ROWS($V$2:V537),$V$2:$V$1001,0),1)&gt;=100000,INDEX($AC$1005:$AS$1005,1,MATCH(COLUMNS($AC$1006:AL1006),$AC$1006:$AS$1006,0))&gt;=100000), " ",IF(INDEX($AC$2:$AS$1001,MATCH(ROWS($V$2:V537),$V$2:$V$1001,0),MATCH(COLUMNS($AC$1006:AL1006),$AC$1006:$AS$1006,0)), HYPERLINK("#",""), HYPERLINK(CONCATENATE("#metadata!", ADDRESS(INDEX($X$2:$X$1001,MATCH(ROWS($V$2:V537),$V$2:$V$1001,0),0), INDEX($AC$1004:$AS$1004,1,MATCH(COLUMNS($AC$1006:AL1006),$AC$1006:$AS$1006,0)))),"Fix")))</f>
        <v xml:space="preserve"> </v>
      </c>
      <c r="L537" s="4" t="str">
        <f ca="1">IF(OR(INDEX($W$2:$W$1001,MATCH(ROWS($V$2:V537),$V$2:$V$1001,0),1)&gt;=100000,INDEX($AC$1005:$AS$1005,1,MATCH(COLUMNS($AC$1006:AM1006),$AC$1006:$AS$1006,0))&gt;=100000), " ",IF(INDEX($AC$2:$AS$1001,MATCH(ROWS($V$2:V537),$V$2:$V$1001,0),MATCH(COLUMNS($AC$1006:AM1006),$AC$1006:$AS$1006,0)), HYPERLINK("#",""), HYPERLINK(CONCATENATE("#metadata!", ADDRESS(INDEX($X$2:$X$1001,MATCH(ROWS($V$2:V537),$V$2:$V$1001,0),0), INDEX($AC$1004:$AS$1004,1,MATCH(COLUMNS($AC$1006:AM1006),$AC$1006:$AS$1006,0)))),"Fix")))</f>
        <v xml:space="preserve"> </v>
      </c>
      <c r="M537" s="4" t="str">
        <f ca="1">IF(OR(INDEX($W$2:$W$1001,MATCH(ROWS($V$2:V537),$V$2:$V$1001,0),1)&gt;=100000,INDEX($AC$1005:$AS$1005,1,MATCH(COLUMNS($AC$1006:AN1006),$AC$1006:$AS$1006,0))&gt;=100000), " ",IF(INDEX($AC$2:$AS$1001,MATCH(ROWS($V$2:V537),$V$2:$V$1001,0),MATCH(COLUMNS($AC$1006:AN1006),$AC$1006:$AS$1006,0)), HYPERLINK("#",""), HYPERLINK(CONCATENATE("#metadata!", ADDRESS(INDEX($X$2:$X$1001,MATCH(ROWS($V$2:V537),$V$2:$V$1001,0),0), INDEX($AC$1004:$AS$1004,1,MATCH(COLUMNS($AC$1006:AN1006),$AC$1006:$AS$1006,0)))),"Fix")))</f>
        <v xml:space="preserve"> </v>
      </c>
      <c r="N537" s="4" t="str">
        <f ca="1">IF(OR(INDEX($W$2:$W$1001,MATCH(ROWS($V$2:V537),$V$2:$V$1001,0),1)&gt;=100000,INDEX($AC$1005:$AS$1005,1,MATCH(COLUMNS($AC$1006:AO1006),$AC$1006:$AS$1006,0))&gt;=100000), " ",IF(INDEX($AC$2:$AS$1001,MATCH(ROWS($V$2:V537),$V$2:$V$1001,0),MATCH(COLUMNS($AC$1006:AO1006),$AC$1006:$AS$1006,0)), HYPERLINK("#",""), HYPERLINK(CONCATENATE("#metadata!", ADDRESS(INDEX($X$2:$X$1001,MATCH(ROWS($V$2:V537),$V$2:$V$1001,0),0), INDEX($AC$1004:$AS$1004,1,MATCH(COLUMNS($AC$1006:AO1006),$AC$1006:$AS$1006,0)))),"Fix")))</f>
        <v xml:space="preserve"> </v>
      </c>
      <c r="O537" s="4" t="str">
        <f ca="1">IF(OR(INDEX($W$2:$W$1001,MATCH(ROWS($V$2:V537),$V$2:$V$1001,0),1)&gt;=100000,INDEX($AC$1005:$AS$1005,1,MATCH(COLUMNS($AC$1006:AP1006),$AC$1006:$AS$1006,0))&gt;=100000), " ",IF(INDEX($AC$2:$AS$1001,MATCH(ROWS($V$2:V537),$V$2:$V$1001,0),MATCH(COLUMNS($AC$1006:AP1006),$AC$1006:$AS$1006,0)), HYPERLINK("#",""), HYPERLINK(CONCATENATE("#metadata!", ADDRESS(INDEX($X$2:$X$1001,MATCH(ROWS($V$2:V537),$V$2:$V$1001,0),0), INDEX($AC$1004:$AS$1004,1,MATCH(COLUMNS($AC$1006:AP1006),$AC$1006:$AS$1006,0)))),"Fix")))</f>
        <v xml:space="preserve"> </v>
      </c>
      <c r="P537" s="4" t="str">
        <f ca="1">IF(OR(INDEX($W$2:$W$1001,MATCH(ROWS($V$2:V537),$V$2:$V$1001,0),1)&gt;=100000,INDEX($AC$1005:$AS$1005,1,MATCH(COLUMNS($AC$1006:AQ1006),$AC$1006:$AS$1006,0))&gt;=100000), " ",IF(INDEX($AC$2:$AS$1001,MATCH(ROWS($V$2:V537),$V$2:$V$1001,0),MATCH(COLUMNS($AC$1006:AQ1006),$AC$1006:$AS$1006,0)), HYPERLINK("#",""), HYPERLINK(CONCATENATE("#metadata!", ADDRESS(INDEX($X$2:$X$1001,MATCH(ROWS($V$2:V537),$V$2:$V$1001,0),0), INDEX($AC$1004:$AS$1004,1,MATCH(COLUMNS($AC$1006:AQ1006),$AC$1006:$AS$1006,0)))),"Fix")))</f>
        <v xml:space="preserve"> </v>
      </c>
      <c r="Q537" s="4" t="str">
        <f ca="1">IF(OR(INDEX($W$2:$W$1001,MATCH(ROWS($V$2:V537),$V$2:$V$1001,0),1)&gt;=100000,INDEX($AC$1005:$AS$1005,1,MATCH(COLUMNS($AC$1006:AR1006),$AC$1006:$AS$1006,0))&gt;=100000), " ",IF(INDEX($AC$2:$AS$1001,MATCH(ROWS($V$2:V537),$V$2:$V$1001,0),MATCH(COLUMNS($AC$1006:AR1006),$AC$1006:$AS$1006,0)), HYPERLINK("#",""), HYPERLINK(CONCATENATE("#metadata!", ADDRESS(INDEX($X$2:$X$1001,MATCH(ROWS($V$2:V537),$V$2:$V$1001,0),0), INDEX($AC$1004:$AS$1004,1,MATCH(COLUMNS($AC$1006:AR1006),$AC$1006:$AS$1006,0)))),"Fix")))</f>
        <v xml:space="preserve"> </v>
      </c>
      <c r="R537" s="4" t="str">
        <f ca="1">IF(OR(INDEX($W$2:$W$1001,MATCH(ROWS($V$2:V537),$V$2:$V$1001,0),1)&gt;=100000,INDEX($AC$1005:$AS$1005,1,MATCH(COLUMNS($AC$1006:AS1006),$AC$1006:$AS$1006,0))&gt;=100000), " ",IF(INDEX($AC$2:$AS$1001,MATCH(ROWS($V$2:V537),$V$2:$V$1001,0),MATCH(COLUMNS($AC$1006:AS1006),$AC$1006:$AS$1006,0)), HYPERLINK("#",""), HYPERLINK(CONCATENATE("#metadata!", ADDRESS(INDEX($X$2:$X$1001,MATCH(ROWS($V$2:V537),$V$2:$V$1001,0),0), INDEX($AC$1004:$AS$1004,1,MATCH(COLUMNS($AC$1006:AS1006),$AC$1006:$AS$1006,0)))),"Fix")))</f>
        <v xml:space="preserve"> </v>
      </c>
      <c r="V537">
        <v>536</v>
      </c>
      <c r="W537">
        <v>100537</v>
      </c>
      <c r="X537">
        <v>537</v>
      </c>
      <c r="Y537" t="b">
        <f t="shared" si="8"/>
        <v>1</v>
      </c>
      <c r="Z537" t="b">
        <f>COUNTBLANK(metadata!B537:R537)=COLUMNS(metadata!B537:R537)</f>
        <v>1</v>
      </c>
      <c r="AA537" t="str">
        <v/>
      </c>
      <c r="AC537" t="b">
        <f ca="1"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AD537" t="b">
        <f>IF(metadata!C537="",FALSE,ISNUMBER(VALUE(metadata!C537)))</f>
        <v>0</v>
      </c>
      <c r="AE537" t="b">
        <f>AND(IF(metadata!D537="",FALSE,TRUE),EXACT(metadata!D537,"years"))</f>
        <v>0</v>
      </c>
      <c r="AF537" t="b">
        <f>OR(AND(IF(metadata!E537="",FALSE,TRUE),OR(EXACT(metadata!E537,"not applicable"),EXACT(metadata!E537,"missing: not collected"),EXACT(metadata!E537,"missing: not provided"),EXACT(metadata!E537,"missing: restricted access"))),AND(IF(metadata!E537="",FALSE,ISNUMBER(VALUE(metadata!E537))),metadata!E537&gt;0))</f>
        <v>0</v>
      </c>
      <c r="AG537" t="b">
        <f>AND(IF(metadata!F537="",FALSE,TRUE),EXACT(metadata!F537,"Not applicable"))</f>
        <v>0</v>
      </c>
      <c r="AH537" t="b">
        <f>AND(IF(metadata!G537="",FALSE,TRUE),EXACT(metadata!G537,"urban biome"))</f>
        <v>0</v>
      </c>
      <c r="AI537" t="b">
        <f>AND(IF(metadata!H537="",FALSE,TRUE),EXACT(metadata!H537,"human-associated habitat"))</f>
        <v>0</v>
      </c>
      <c r="AJ537" t="b">
        <f>AND(IF(metadata!I537="",FALSE,TRUE),OR(EXACT(metadata!I537,"human-associated"),EXACT(metadata!I537,"human-skin"),EXACT(metadata!I537,"human-oral"),EXACT(metadata!I537,"human-gut"),EXACT(metadata!I537,"human-vaginal")))</f>
        <v>0</v>
      </c>
      <c r="AK537" t="b">
        <f>IF(metadata!J537="",FALSE,ISNUMBER(VALUE(metadata!J537)))</f>
        <v>0</v>
      </c>
      <c r="AL537" t="b">
        <f>AND(IF(metadata!K537="",FALSE,TRUE),EXACT(metadata!K537,"cm"))</f>
        <v>0</v>
      </c>
      <c r="AM537" t="b">
        <f>AND(IF(metadata!L537="",FALSE,TRUE),EXACT(metadata!L537,"human"))</f>
        <v>0</v>
      </c>
      <c r="AN537" t="b">
        <f>AND(IF(metadata!M537="",FALSE,TRUE),EXACT(metadata!M537,"Homo sapiens"))</f>
        <v>0</v>
      </c>
      <c r="AO537" t="b">
        <f>AND(IF(metadata!N537="",FALSE,TRUE),EXACT(metadata!N537,"9606"))</f>
        <v>0</v>
      </c>
      <c r="AP537" t="b">
        <f>IF(metadata!O537="",FALSE,TRUE)</f>
        <v>0</v>
      </c>
      <c r="AQ537" t="b">
        <f>IF(metadata!P537="",FALSE,TRUE)</f>
        <v>0</v>
      </c>
      <c r="AR537" t="b">
        <f>IF(metadata!Q537="",FALSE,ISNUMBER(VALUE(metadata!Q537)))</f>
        <v>0</v>
      </c>
      <c r="AS537" t="b">
        <f>AND(IF(metadata!R537="",FALSE,TRUE),EXACT(metadata!R537,"kg"))</f>
        <v>0</v>
      </c>
    </row>
    <row r="538" spans="1:45" x14ac:dyDescent="0.2">
      <c r="A538" s="5" t="str">
        <f ca="1">IF(B538=" "," ",HYPERLINK(CONCATENATE("#metadata!",ADDRESS(INDEX($X$2:$X$1001,MATCH(ROWS($V$2:V538),$V$2:$V$1001,0),0),1)),INDEX($AA$2:$AA$1001,MATCH(ROWS($V$2:V538),$V$2:$V$1001,0),0)))</f>
        <v xml:space="preserve"> </v>
      </c>
      <c r="B538" s="4" t="str">
        <f ca="1">IF(OR(INDEX($W$2:$W$1001,MATCH(ROWS($V$2:V538),$V$2:$V$1001,0),1)&gt;=100000,INDEX($AC$1005:$AS$1005,1,MATCH(COLUMNS($AC$1006:AC1006),$AC$1006:$AS$1006,0))&gt;=100000), " ",IF(INDEX($AC$2:$AS$1001,MATCH(ROWS($V$2:V538),$V$2:$V$1001,0),MATCH(COLUMNS($AC$1006:AC1006),$AC$1006:$AS$1006,0)), HYPERLINK("#",""), HYPERLINK(CONCATENATE("#metadata!", ADDRESS(INDEX($X$2:$X$1001,MATCH(ROWS($V$2:V538),$V$2:$V$1001,0),0), INDEX($AC$1004:$AS$1004,1,MATCH(COLUMNS($AC$1006:AC1006),$AC$1006:$AS$1006,0)))),"Fix")))</f>
        <v xml:space="preserve"> </v>
      </c>
      <c r="C538" s="4" t="str">
        <f ca="1">IF(OR(INDEX($W$2:$W$1001,MATCH(ROWS($V$2:V538),$V$2:$V$1001,0),1)&gt;=100000,INDEX($AC$1005:$AS$1005,1,MATCH(COLUMNS($AC$1006:AD1006),$AC$1006:$AS$1006,0))&gt;=100000), " ",IF(INDEX($AC$2:$AS$1001,MATCH(ROWS($V$2:V538),$V$2:$V$1001,0),MATCH(COLUMNS($AC$1006:AD1006),$AC$1006:$AS$1006,0)), HYPERLINK("#",""), HYPERLINK(CONCATENATE("#metadata!", ADDRESS(INDEX($X$2:$X$1001,MATCH(ROWS($V$2:V538),$V$2:$V$1001,0),0), INDEX($AC$1004:$AS$1004,1,MATCH(COLUMNS($AC$1006:AD1006),$AC$1006:$AS$1006,0)))),"Fix")))</f>
        <v xml:space="preserve"> </v>
      </c>
      <c r="D538" s="4" t="str">
        <f ca="1">IF(OR(INDEX($W$2:$W$1001,MATCH(ROWS($V$2:V538),$V$2:$V$1001,0),1)&gt;=100000,INDEX($AC$1005:$AS$1005,1,MATCH(COLUMNS($AC$1006:AE1006),$AC$1006:$AS$1006,0))&gt;=100000), " ",IF(INDEX($AC$2:$AS$1001,MATCH(ROWS($V$2:V538),$V$2:$V$1001,0),MATCH(COLUMNS($AC$1006:AE1006),$AC$1006:$AS$1006,0)), HYPERLINK("#",""), HYPERLINK(CONCATENATE("#metadata!", ADDRESS(INDEX($X$2:$X$1001,MATCH(ROWS($V$2:V538),$V$2:$V$1001,0),0), INDEX($AC$1004:$AS$1004,1,MATCH(COLUMNS($AC$1006:AE1006),$AC$1006:$AS$1006,0)))),"Fix")))</f>
        <v xml:space="preserve"> </v>
      </c>
      <c r="E538" s="4" t="str">
        <f ca="1">IF(OR(INDEX($W$2:$W$1001,MATCH(ROWS($V$2:V538),$V$2:$V$1001,0),1)&gt;=100000,INDEX($AC$1005:$AS$1005,1,MATCH(COLUMNS($AC$1006:AF1006),$AC$1006:$AS$1006,0))&gt;=100000), " ",IF(INDEX($AC$2:$AS$1001,MATCH(ROWS($V$2:V538),$V$2:$V$1001,0),MATCH(COLUMNS($AC$1006:AF1006),$AC$1006:$AS$1006,0)), HYPERLINK("#",""), HYPERLINK(CONCATENATE("#metadata!", ADDRESS(INDEX($X$2:$X$1001,MATCH(ROWS($V$2:V538),$V$2:$V$1001,0),0), INDEX($AC$1004:$AS$1004,1,MATCH(COLUMNS($AC$1006:AF1006),$AC$1006:$AS$1006,0)))),"Fix")))</f>
        <v xml:space="preserve"> </v>
      </c>
      <c r="F538" s="4" t="str">
        <f ca="1">IF(OR(INDEX($W$2:$W$1001,MATCH(ROWS($V$2:V538),$V$2:$V$1001,0),1)&gt;=100000,INDEX($AC$1005:$AS$1005,1,MATCH(COLUMNS($AC$1006:AG1006),$AC$1006:$AS$1006,0))&gt;=100000), " ",IF(INDEX($AC$2:$AS$1001,MATCH(ROWS($V$2:V538),$V$2:$V$1001,0),MATCH(COLUMNS($AC$1006:AG1006),$AC$1006:$AS$1006,0)), HYPERLINK("#",""), HYPERLINK(CONCATENATE("#metadata!", ADDRESS(INDEX($X$2:$X$1001,MATCH(ROWS($V$2:V538),$V$2:$V$1001,0),0), INDEX($AC$1004:$AS$1004,1,MATCH(COLUMNS($AC$1006:AG1006),$AC$1006:$AS$1006,0)))),"Fix")))</f>
        <v xml:space="preserve"> </v>
      </c>
      <c r="G538" s="4" t="str">
        <f ca="1">IF(OR(INDEX($W$2:$W$1001,MATCH(ROWS($V$2:V538),$V$2:$V$1001,0),1)&gt;=100000,INDEX($AC$1005:$AS$1005,1,MATCH(COLUMNS($AC$1006:AH1006),$AC$1006:$AS$1006,0))&gt;=100000), " ",IF(INDEX($AC$2:$AS$1001,MATCH(ROWS($V$2:V538),$V$2:$V$1001,0),MATCH(COLUMNS($AC$1006:AH1006),$AC$1006:$AS$1006,0)), HYPERLINK("#",""), HYPERLINK(CONCATENATE("#metadata!", ADDRESS(INDEX($X$2:$X$1001,MATCH(ROWS($V$2:V538),$V$2:$V$1001,0),0), INDEX($AC$1004:$AS$1004,1,MATCH(COLUMNS($AC$1006:AH1006),$AC$1006:$AS$1006,0)))),"Fix")))</f>
        <v xml:space="preserve"> </v>
      </c>
      <c r="H538" s="4" t="str">
        <f ca="1">IF(OR(INDEX($W$2:$W$1001,MATCH(ROWS($V$2:V538),$V$2:$V$1001,0),1)&gt;=100000,INDEX($AC$1005:$AS$1005,1,MATCH(COLUMNS($AC$1006:AI1006),$AC$1006:$AS$1006,0))&gt;=100000), " ",IF(INDEX($AC$2:$AS$1001,MATCH(ROWS($V$2:V538),$V$2:$V$1001,0),MATCH(COLUMNS($AC$1006:AI1006),$AC$1006:$AS$1006,0)), HYPERLINK("#",""), HYPERLINK(CONCATENATE("#metadata!", ADDRESS(INDEX($X$2:$X$1001,MATCH(ROWS($V$2:V538),$V$2:$V$1001,0),0), INDEX($AC$1004:$AS$1004,1,MATCH(COLUMNS($AC$1006:AI1006),$AC$1006:$AS$1006,0)))),"Fix")))</f>
        <v xml:space="preserve"> </v>
      </c>
      <c r="I538" s="4" t="str">
        <f ca="1">IF(OR(INDEX($W$2:$W$1001,MATCH(ROWS($V$2:V538),$V$2:$V$1001,0),1)&gt;=100000,INDEX($AC$1005:$AS$1005,1,MATCH(COLUMNS($AC$1006:AJ1006),$AC$1006:$AS$1006,0))&gt;=100000), " ",IF(INDEX($AC$2:$AS$1001,MATCH(ROWS($V$2:V538),$V$2:$V$1001,0),MATCH(COLUMNS($AC$1006:AJ1006),$AC$1006:$AS$1006,0)), HYPERLINK("#",""), HYPERLINK(CONCATENATE("#metadata!", ADDRESS(INDEX($X$2:$X$1001,MATCH(ROWS($V$2:V538),$V$2:$V$1001,0),0), INDEX($AC$1004:$AS$1004,1,MATCH(COLUMNS($AC$1006:AJ1006),$AC$1006:$AS$1006,0)))),"Fix")))</f>
        <v xml:space="preserve"> </v>
      </c>
      <c r="J538" s="4" t="str">
        <f ca="1">IF(OR(INDEX($W$2:$W$1001,MATCH(ROWS($V$2:V538),$V$2:$V$1001,0),1)&gt;=100000,INDEX($AC$1005:$AS$1005,1,MATCH(COLUMNS($AC$1006:AK1006),$AC$1006:$AS$1006,0))&gt;=100000), " ",IF(INDEX($AC$2:$AS$1001,MATCH(ROWS($V$2:V538),$V$2:$V$1001,0),MATCH(COLUMNS($AC$1006:AK1006),$AC$1006:$AS$1006,0)), HYPERLINK("#",""), HYPERLINK(CONCATENATE("#metadata!", ADDRESS(INDEX($X$2:$X$1001,MATCH(ROWS($V$2:V538),$V$2:$V$1001,0),0), INDEX($AC$1004:$AS$1004,1,MATCH(COLUMNS($AC$1006:AK1006),$AC$1006:$AS$1006,0)))),"Fix")))</f>
        <v xml:space="preserve"> </v>
      </c>
      <c r="K538" s="4" t="str">
        <f ca="1">IF(OR(INDEX($W$2:$W$1001,MATCH(ROWS($V$2:V538),$V$2:$V$1001,0),1)&gt;=100000,INDEX($AC$1005:$AS$1005,1,MATCH(COLUMNS($AC$1006:AL1006),$AC$1006:$AS$1006,0))&gt;=100000), " ",IF(INDEX($AC$2:$AS$1001,MATCH(ROWS($V$2:V538),$V$2:$V$1001,0),MATCH(COLUMNS($AC$1006:AL1006),$AC$1006:$AS$1006,0)), HYPERLINK("#",""), HYPERLINK(CONCATENATE("#metadata!", ADDRESS(INDEX($X$2:$X$1001,MATCH(ROWS($V$2:V538),$V$2:$V$1001,0),0), INDEX($AC$1004:$AS$1004,1,MATCH(COLUMNS($AC$1006:AL1006),$AC$1006:$AS$1006,0)))),"Fix")))</f>
        <v xml:space="preserve"> </v>
      </c>
      <c r="L538" s="4" t="str">
        <f ca="1">IF(OR(INDEX($W$2:$W$1001,MATCH(ROWS($V$2:V538),$V$2:$V$1001,0),1)&gt;=100000,INDEX($AC$1005:$AS$1005,1,MATCH(COLUMNS($AC$1006:AM1006),$AC$1006:$AS$1006,0))&gt;=100000), " ",IF(INDEX($AC$2:$AS$1001,MATCH(ROWS($V$2:V538),$V$2:$V$1001,0),MATCH(COLUMNS($AC$1006:AM1006),$AC$1006:$AS$1006,0)), HYPERLINK("#",""), HYPERLINK(CONCATENATE("#metadata!", ADDRESS(INDEX($X$2:$X$1001,MATCH(ROWS($V$2:V538),$V$2:$V$1001,0),0), INDEX($AC$1004:$AS$1004,1,MATCH(COLUMNS($AC$1006:AM1006),$AC$1006:$AS$1006,0)))),"Fix")))</f>
        <v xml:space="preserve"> </v>
      </c>
      <c r="M538" s="4" t="str">
        <f ca="1">IF(OR(INDEX($W$2:$W$1001,MATCH(ROWS($V$2:V538),$V$2:$V$1001,0),1)&gt;=100000,INDEX($AC$1005:$AS$1005,1,MATCH(COLUMNS($AC$1006:AN1006),$AC$1006:$AS$1006,0))&gt;=100000), " ",IF(INDEX($AC$2:$AS$1001,MATCH(ROWS($V$2:V538),$V$2:$V$1001,0),MATCH(COLUMNS($AC$1006:AN1006),$AC$1006:$AS$1006,0)), HYPERLINK("#",""), HYPERLINK(CONCATENATE("#metadata!", ADDRESS(INDEX($X$2:$X$1001,MATCH(ROWS($V$2:V538),$V$2:$V$1001,0),0), INDEX($AC$1004:$AS$1004,1,MATCH(COLUMNS($AC$1006:AN1006),$AC$1006:$AS$1006,0)))),"Fix")))</f>
        <v xml:space="preserve"> </v>
      </c>
      <c r="N538" s="4" t="str">
        <f ca="1">IF(OR(INDEX($W$2:$W$1001,MATCH(ROWS($V$2:V538),$V$2:$V$1001,0),1)&gt;=100000,INDEX($AC$1005:$AS$1005,1,MATCH(COLUMNS($AC$1006:AO1006),$AC$1006:$AS$1006,0))&gt;=100000), " ",IF(INDEX($AC$2:$AS$1001,MATCH(ROWS($V$2:V538),$V$2:$V$1001,0),MATCH(COLUMNS($AC$1006:AO1006),$AC$1006:$AS$1006,0)), HYPERLINK("#",""), HYPERLINK(CONCATENATE("#metadata!", ADDRESS(INDEX($X$2:$X$1001,MATCH(ROWS($V$2:V538),$V$2:$V$1001,0),0), INDEX($AC$1004:$AS$1004,1,MATCH(COLUMNS($AC$1006:AO1006),$AC$1006:$AS$1006,0)))),"Fix")))</f>
        <v xml:space="preserve"> </v>
      </c>
      <c r="O538" s="4" t="str">
        <f ca="1">IF(OR(INDEX($W$2:$W$1001,MATCH(ROWS($V$2:V538),$V$2:$V$1001,0),1)&gt;=100000,INDEX($AC$1005:$AS$1005,1,MATCH(COLUMNS($AC$1006:AP1006),$AC$1006:$AS$1006,0))&gt;=100000), " ",IF(INDEX($AC$2:$AS$1001,MATCH(ROWS($V$2:V538),$V$2:$V$1001,0),MATCH(COLUMNS($AC$1006:AP1006),$AC$1006:$AS$1006,0)), HYPERLINK("#",""), HYPERLINK(CONCATENATE("#metadata!", ADDRESS(INDEX($X$2:$X$1001,MATCH(ROWS($V$2:V538),$V$2:$V$1001,0),0), INDEX($AC$1004:$AS$1004,1,MATCH(COLUMNS($AC$1006:AP1006),$AC$1006:$AS$1006,0)))),"Fix")))</f>
        <v xml:space="preserve"> </v>
      </c>
      <c r="P538" s="4" t="str">
        <f ca="1">IF(OR(INDEX($W$2:$W$1001,MATCH(ROWS($V$2:V538),$V$2:$V$1001,0),1)&gt;=100000,INDEX($AC$1005:$AS$1005,1,MATCH(COLUMNS($AC$1006:AQ1006),$AC$1006:$AS$1006,0))&gt;=100000), " ",IF(INDEX($AC$2:$AS$1001,MATCH(ROWS($V$2:V538),$V$2:$V$1001,0),MATCH(COLUMNS($AC$1006:AQ1006),$AC$1006:$AS$1006,0)), HYPERLINK("#",""), HYPERLINK(CONCATENATE("#metadata!", ADDRESS(INDEX($X$2:$X$1001,MATCH(ROWS($V$2:V538),$V$2:$V$1001,0),0), INDEX($AC$1004:$AS$1004,1,MATCH(COLUMNS($AC$1006:AQ1006),$AC$1006:$AS$1006,0)))),"Fix")))</f>
        <v xml:space="preserve"> </v>
      </c>
      <c r="Q538" s="4" t="str">
        <f ca="1">IF(OR(INDEX($W$2:$W$1001,MATCH(ROWS($V$2:V538),$V$2:$V$1001,0),1)&gt;=100000,INDEX($AC$1005:$AS$1005,1,MATCH(COLUMNS($AC$1006:AR1006),$AC$1006:$AS$1006,0))&gt;=100000), " ",IF(INDEX($AC$2:$AS$1001,MATCH(ROWS($V$2:V538),$V$2:$V$1001,0),MATCH(COLUMNS($AC$1006:AR1006),$AC$1006:$AS$1006,0)), HYPERLINK("#",""), HYPERLINK(CONCATENATE("#metadata!", ADDRESS(INDEX($X$2:$X$1001,MATCH(ROWS($V$2:V538),$V$2:$V$1001,0),0), INDEX($AC$1004:$AS$1004,1,MATCH(COLUMNS($AC$1006:AR1006),$AC$1006:$AS$1006,0)))),"Fix")))</f>
        <v xml:space="preserve"> </v>
      </c>
      <c r="R538" s="4" t="str">
        <f ca="1">IF(OR(INDEX($W$2:$W$1001,MATCH(ROWS($V$2:V538),$V$2:$V$1001,0),1)&gt;=100000,INDEX($AC$1005:$AS$1005,1,MATCH(COLUMNS($AC$1006:AS1006),$AC$1006:$AS$1006,0))&gt;=100000), " ",IF(INDEX($AC$2:$AS$1001,MATCH(ROWS($V$2:V538),$V$2:$V$1001,0),MATCH(COLUMNS($AC$1006:AS1006),$AC$1006:$AS$1006,0)), HYPERLINK("#",""), HYPERLINK(CONCATENATE("#metadata!", ADDRESS(INDEX($X$2:$X$1001,MATCH(ROWS($V$2:V538),$V$2:$V$1001,0),0), INDEX($AC$1004:$AS$1004,1,MATCH(COLUMNS($AC$1006:AS1006),$AC$1006:$AS$1006,0)))),"Fix")))</f>
        <v xml:space="preserve"> </v>
      </c>
      <c r="V538">
        <v>537</v>
      </c>
      <c r="W538">
        <v>100538</v>
      </c>
      <c r="X538">
        <v>538</v>
      </c>
      <c r="Y538" t="b">
        <f t="shared" si="8"/>
        <v>1</v>
      </c>
      <c r="Z538" t="b">
        <f>COUNTBLANK(metadata!B538:R538)=COLUMNS(metadata!B538:R538)</f>
        <v>1</v>
      </c>
      <c r="AA538" t="str">
        <v/>
      </c>
      <c r="AC538" t="b">
        <f ca="1"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AD538" t="b">
        <f>IF(metadata!C538="",FALSE,ISNUMBER(VALUE(metadata!C538)))</f>
        <v>0</v>
      </c>
      <c r="AE538" t="b">
        <f>AND(IF(metadata!D538="",FALSE,TRUE),EXACT(metadata!D538,"years"))</f>
        <v>0</v>
      </c>
      <c r="AF538" t="b">
        <f>OR(AND(IF(metadata!E538="",FALSE,TRUE),OR(EXACT(metadata!E538,"not applicable"),EXACT(metadata!E538,"missing: not collected"),EXACT(metadata!E538,"missing: not provided"),EXACT(metadata!E538,"missing: restricted access"))),AND(IF(metadata!E538="",FALSE,ISNUMBER(VALUE(metadata!E538))),metadata!E538&gt;0))</f>
        <v>0</v>
      </c>
      <c r="AG538" t="b">
        <f>AND(IF(metadata!F538="",FALSE,TRUE),EXACT(metadata!F538,"Not applicable"))</f>
        <v>0</v>
      </c>
      <c r="AH538" t="b">
        <f>AND(IF(metadata!G538="",FALSE,TRUE),EXACT(metadata!G538,"urban biome"))</f>
        <v>0</v>
      </c>
      <c r="AI538" t="b">
        <f>AND(IF(metadata!H538="",FALSE,TRUE),EXACT(metadata!H538,"human-associated habitat"))</f>
        <v>0</v>
      </c>
      <c r="AJ538" t="b">
        <f>AND(IF(metadata!I538="",FALSE,TRUE),OR(EXACT(metadata!I538,"human-associated"),EXACT(metadata!I538,"human-skin"),EXACT(metadata!I538,"human-oral"),EXACT(metadata!I538,"human-gut"),EXACT(metadata!I538,"human-vaginal")))</f>
        <v>0</v>
      </c>
      <c r="AK538" t="b">
        <f>IF(metadata!J538="",FALSE,ISNUMBER(VALUE(metadata!J538)))</f>
        <v>0</v>
      </c>
      <c r="AL538" t="b">
        <f>AND(IF(metadata!K538="",FALSE,TRUE),EXACT(metadata!K538,"cm"))</f>
        <v>0</v>
      </c>
      <c r="AM538" t="b">
        <f>AND(IF(metadata!L538="",FALSE,TRUE),EXACT(metadata!L538,"human"))</f>
        <v>0</v>
      </c>
      <c r="AN538" t="b">
        <f>AND(IF(metadata!M538="",FALSE,TRUE),EXACT(metadata!M538,"Homo sapiens"))</f>
        <v>0</v>
      </c>
      <c r="AO538" t="b">
        <f>AND(IF(metadata!N538="",FALSE,TRUE),EXACT(metadata!N538,"9606"))</f>
        <v>0</v>
      </c>
      <c r="AP538" t="b">
        <f>IF(metadata!O538="",FALSE,TRUE)</f>
        <v>0</v>
      </c>
      <c r="AQ538" t="b">
        <f>IF(metadata!P538="",FALSE,TRUE)</f>
        <v>0</v>
      </c>
      <c r="AR538" t="b">
        <f>IF(metadata!Q538="",FALSE,ISNUMBER(VALUE(metadata!Q538)))</f>
        <v>0</v>
      </c>
      <c r="AS538" t="b">
        <f>AND(IF(metadata!R538="",FALSE,TRUE),EXACT(metadata!R538,"kg"))</f>
        <v>0</v>
      </c>
    </row>
    <row r="539" spans="1:45" x14ac:dyDescent="0.2">
      <c r="A539" s="5" t="str">
        <f ca="1">IF(B539=" "," ",HYPERLINK(CONCATENATE("#metadata!",ADDRESS(INDEX($X$2:$X$1001,MATCH(ROWS($V$2:V539),$V$2:$V$1001,0),0),1)),INDEX($AA$2:$AA$1001,MATCH(ROWS($V$2:V539),$V$2:$V$1001,0),0)))</f>
        <v xml:space="preserve"> </v>
      </c>
      <c r="B539" s="4" t="str">
        <f ca="1">IF(OR(INDEX($W$2:$W$1001,MATCH(ROWS($V$2:V539),$V$2:$V$1001,0),1)&gt;=100000,INDEX($AC$1005:$AS$1005,1,MATCH(COLUMNS($AC$1006:AC1006),$AC$1006:$AS$1006,0))&gt;=100000), " ",IF(INDEX($AC$2:$AS$1001,MATCH(ROWS($V$2:V539),$V$2:$V$1001,0),MATCH(COLUMNS($AC$1006:AC1006),$AC$1006:$AS$1006,0)), HYPERLINK("#",""), HYPERLINK(CONCATENATE("#metadata!", ADDRESS(INDEX($X$2:$X$1001,MATCH(ROWS($V$2:V539),$V$2:$V$1001,0),0), INDEX($AC$1004:$AS$1004,1,MATCH(COLUMNS($AC$1006:AC1006),$AC$1006:$AS$1006,0)))),"Fix")))</f>
        <v xml:space="preserve"> </v>
      </c>
      <c r="C539" s="4" t="str">
        <f ca="1">IF(OR(INDEX($W$2:$W$1001,MATCH(ROWS($V$2:V539),$V$2:$V$1001,0),1)&gt;=100000,INDEX($AC$1005:$AS$1005,1,MATCH(COLUMNS($AC$1006:AD1006),$AC$1006:$AS$1006,0))&gt;=100000), " ",IF(INDEX($AC$2:$AS$1001,MATCH(ROWS($V$2:V539),$V$2:$V$1001,0),MATCH(COLUMNS($AC$1006:AD1006),$AC$1006:$AS$1006,0)), HYPERLINK("#",""), HYPERLINK(CONCATENATE("#metadata!", ADDRESS(INDEX($X$2:$X$1001,MATCH(ROWS($V$2:V539),$V$2:$V$1001,0),0), INDEX($AC$1004:$AS$1004,1,MATCH(COLUMNS($AC$1006:AD1006),$AC$1006:$AS$1006,0)))),"Fix")))</f>
        <v xml:space="preserve"> </v>
      </c>
      <c r="D539" s="4" t="str">
        <f ca="1">IF(OR(INDEX($W$2:$W$1001,MATCH(ROWS($V$2:V539),$V$2:$V$1001,0),1)&gt;=100000,INDEX($AC$1005:$AS$1005,1,MATCH(COLUMNS($AC$1006:AE1006),$AC$1006:$AS$1006,0))&gt;=100000), " ",IF(INDEX($AC$2:$AS$1001,MATCH(ROWS($V$2:V539),$V$2:$V$1001,0),MATCH(COLUMNS($AC$1006:AE1006),$AC$1006:$AS$1006,0)), HYPERLINK("#",""), HYPERLINK(CONCATENATE("#metadata!", ADDRESS(INDEX($X$2:$X$1001,MATCH(ROWS($V$2:V539),$V$2:$V$1001,0),0), INDEX($AC$1004:$AS$1004,1,MATCH(COLUMNS($AC$1006:AE1006),$AC$1006:$AS$1006,0)))),"Fix")))</f>
        <v xml:space="preserve"> </v>
      </c>
      <c r="E539" s="4" t="str">
        <f ca="1">IF(OR(INDEX($W$2:$W$1001,MATCH(ROWS($V$2:V539),$V$2:$V$1001,0),1)&gt;=100000,INDEX($AC$1005:$AS$1005,1,MATCH(COLUMNS($AC$1006:AF1006),$AC$1006:$AS$1006,0))&gt;=100000), " ",IF(INDEX($AC$2:$AS$1001,MATCH(ROWS($V$2:V539),$V$2:$V$1001,0),MATCH(COLUMNS($AC$1006:AF1006),$AC$1006:$AS$1006,0)), HYPERLINK("#",""), HYPERLINK(CONCATENATE("#metadata!", ADDRESS(INDEX($X$2:$X$1001,MATCH(ROWS($V$2:V539),$V$2:$V$1001,0),0), INDEX($AC$1004:$AS$1004,1,MATCH(COLUMNS($AC$1006:AF1006),$AC$1006:$AS$1006,0)))),"Fix")))</f>
        <v xml:space="preserve"> </v>
      </c>
      <c r="F539" s="4" t="str">
        <f ca="1">IF(OR(INDEX($W$2:$W$1001,MATCH(ROWS($V$2:V539),$V$2:$V$1001,0),1)&gt;=100000,INDEX($AC$1005:$AS$1005,1,MATCH(COLUMNS($AC$1006:AG1006),$AC$1006:$AS$1006,0))&gt;=100000), " ",IF(INDEX($AC$2:$AS$1001,MATCH(ROWS($V$2:V539),$V$2:$V$1001,0),MATCH(COLUMNS($AC$1006:AG1006),$AC$1006:$AS$1006,0)), HYPERLINK("#",""), HYPERLINK(CONCATENATE("#metadata!", ADDRESS(INDEX($X$2:$X$1001,MATCH(ROWS($V$2:V539),$V$2:$V$1001,0),0), INDEX($AC$1004:$AS$1004,1,MATCH(COLUMNS($AC$1006:AG1006),$AC$1006:$AS$1006,0)))),"Fix")))</f>
        <v xml:space="preserve"> </v>
      </c>
      <c r="G539" s="4" t="str">
        <f ca="1">IF(OR(INDEX($W$2:$W$1001,MATCH(ROWS($V$2:V539),$V$2:$V$1001,0),1)&gt;=100000,INDEX($AC$1005:$AS$1005,1,MATCH(COLUMNS($AC$1006:AH1006),$AC$1006:$AS$1006,0))&gt;=100000), " ",IF(INDEX($AC$2:$AS$1001,MATCH(ROWS($V$2:V539),$V$2:$V$1001,0),MATCH(COLUMNS($AC$1006:AH1006),$AC$1006:$AS$1006,0)), HYPERLINK("#",""), HYPERLINK(CONCATENATE("#metadata!", ADDRESS(INDEX($X$2:$X$1001,MATCH(ROWS($V$2:V539),$V$2:$V$1001,0),0), INDEX($AC$1004:$AS$1004,1,MATCH(COLUMNS($AC$1006:AH1006),$AC$1006:$AS$1006,0)))),"Fix")))</f>
        <v xml:space="preserve"> </v>
      </c>
      <c r="H539" s="4" t="str">
        <f ca="1">IF(OR(INDEX($W$2:$W$1001,MATCH(ROWS($V$2:V539),$V$2:$V$1001,0),1)&gt;=100000,INDEX($AC$1005:$AS$1005,1,MATCH(COLUMNS($AC$1006:AI1006),$AC$1006:$AS$1006,0))&gt;=100000), " ",IF(INDEX($AC$2:$AS$1001,MATCH(ROWS($V$2:V539),$V$2:$V$1001,0),MATCH(COLUMNS($AC$1006:AI1006),$AC$1006:$AS$1006,0)), HYPERLINK("#",""), HYPERLINK(CONCATENATE("#metadata!", ADDRESS(INDEX($X$2:$X$1001,MATCH(ROWS($V$2:V539),$V$2:$V$1001,0),0), INDEX($AC$1004:$AS$1004,1,MATCH(COLUMNS($AC$1006:AI1006),$AC$1006:$AS$1006,0)))),"Fix")))</f>
        <v xml:space="preserve"> </v>
      </c>
      <c r="I539" s="4" t="str">
        <f ca="1">IF(OR(INDEX($W$2:$W$1001,MATCH(ROWS($V$2:V539),$V$2:$V$1001,0),1)&gt;=100000,INDEX($AC$1005:$AS$1005,1,MATCH(COLUMNS($AC$1006:AJ1006),$AC$1006:$AS$1006,0))&gt;=100000), " ",IF(INDEX($AC$2:$AS$1001,MATCH(ROWS($V$2:V539),$V$2:$V$1001,0),MATCH(COLUMNS($AC$1006:AJ1006),$AC$1006:$AS$1006,0)), HYPERLINK("#",""), HYPERLINK(CONCATENATE("#metadata!", ADDRESS(INDEX($X$2:$X$1001,MATCH(ROWS($V$2:V539),$V$2:$V$1001,0),0), INDEX($AC$1004:$AS$1004,1,MATCH(COLUMNS($AC$1006:AJ1006),$AC$1006:$AS$1006,0)))),"Fix")))</f>
        <v xml:space="preserve"> </v>
      </c>
      <c r="J539" s="4" t="str">
        <f ca="1">IF(OR(INDEX($W$2:$W$1001,MATCH(ROWS($V$2:V539),$V$2:$V$1001,0),1)&gt;=100000,INDEX($AC$1005:$AS$1005,1,MATCH(COLUMNS($AC$1006:AK1006),$AC$1006:$AS$1006,0))&gt;=100000), " ",IF(INDEX($AC$2:$AS$1001,MATCH(ROWS($V$2:V539),$V$2:$V$1001,0),MATCH(COLUMNS($AC$1006:AK1006),$AC$1006:$AS$1006,0)), HYPERLINK("#",""), HYPERLINK(CONCATENATE("#metadata!", ADDRESS(INDEX($X$2:$X$1001,MATCH(ROWS($V$2:V539),$V$2:$V$1001,0),0), INDEX($AC$1004:$AS$1004,1,MATCH(COLUMNS($AC$1006:AK1006),$AC$1006:$AS$1006,0)))),"Fix")))</f>
        <v xml:space="preserve"> </v>
      </c>
      <c r="K539" s="4" t="str">
        <f ca="1">IF(OR(INDEX($W$2:$W$1001,MATCH(ROWS($V$2:V539),$V$2:$V$1001,0),1)&gt;=100000,INDEX($AC$1005:$AS$1005,1,MATCH(COLUMNS($AC$1006:AL1006),$AC$1006:$AS$1006,0))&gt;=100000), " ",IF(INDEX($AC$2:$AS$1001,MATCH(ROWS($V$2:V539),$V$2:$V$1001,0),MATCH(COLUMNS($AC$1006:AL1006),$AC$1006:$AS$1006,0)), HYPERLINK("#",""), HYPERLINK(CONCATENATE("#metadata!", ADDRESS(INDEX($X$2:$X$1001,MATCH(ROWS($V$2:V539),$V$2:$V$1001,0),0), INDEX($AC$1004:$AS$1004,1,MATCH(COLUMNS($AC$1006:AL1006),$AC$1006:$AS$1006,0)))),"Fix")))</f>
        <v xml:space="preserve"> </v>
      </c>
      <c r="L539" s="4" t="str">
        <f ca="1">IF(OR(INDEX($W$2:$W$1001,MATCH(ROWS($V$2:V539),$V$2:$V$1001,0),1)&gt;=100000,INDEX($AC$1005:$AS$1005,1,MATCH(COLUMNS($AC$1006:AM1006),$AC$1006:$AS$1006,0))&gt;=100000), " ",IF(INDEX($AC$2:$AS$1001,MATCH(ROWS($V$2:V539),$V$2:$V$1001,0),MATCH(COLUMNS($AC$1006:AM1006),$AC$1006:$AS$1006,0)), HYPERLINK("#",""), HYPERLINK(CONCATENATE("#metadata!", ADDRESS(INDEX($X$2:$X$1001,MATCH(ROWS($V$2:V539),$V$2:$V$1001,0),0), INDEX($AC$1004:$AS$1004,1,MATCH(COLUMNS($AC$1006:AM1006),$AC$1006:$AS$1006,0)))),"Fix")))</f>
        <v xml:space="preserve"> </v>
      </c>
      <c r="M539" s="4" t="str">
        <f ca="1">IF(OR(INDEX($W$2:$W$1001,MATCH(ROWS($V$2:V539),$V$2:$V$1001,0),1)&gt;=100000,INDEX($AC$1005:$AS$1005,1,MATCH(COLUMNS($AC$1006:AN1006),$AC$1006:$AS$1006,0))&gt;=100000), " ",IF(INDEX($AC$2:$AS$1001,MATCH(ROWS($V$2:V539),$V$2:$V$1001,0),MATCH(COLUMNS($AC$1006:AN1006),$AC$1006:$AS$1006,0)), HYPERLINK("#",""), HYPERLINK(CONCATENATE("#metadata!", ADDRESS(INDEX($X$2:$X$1001,MATCH(ROWS($V$2:V539),$V$2:$V$1001,0),0), INDEX($AC$1004:$AS$1004,1,MATCH(COLUMNS($AC$1006:AN1006),$AC$1006:$AS$1006,0)))),"Fix")))</f>
        <v xml:space="preserve"> </v>
      </c>
      <c r="N539" s="4" t="str">
        <f ca="1">IF(OR(INDEX($W$2:$W$1001,MATCH(ROWS($V$2:V539),$V$2:$V$1001,0),1)&gt;=100000,INDEX($AC$1005:$AS$1005,1,MATCH(COLUMNS($AC$1006:AO1006),$AC$1006:$AS$1006,0))&gt;=100000), " ",IF(INDEX($AC$2:$AS$1001,MATCH(ROWS($V$2:V539),$V$2:$V$1001,0),MATCH(COLUMNS($AC$1006:AO1006),$AC$1006:$AS$1006,0)), HYPERLINK("#",""), HYPERLINK(CONCATENATE("#metadata!", ADDRESS(INDEX($X$2:$X$1001,MATCH(ROWS($V$2:V539),$V$2:$V$1001,0),0), INDEX($AC$1004:$AS$1004,1,MATCH(COLUMNS($AC$1006:AO1006),$AC$1006:$AS$1006,0)))),"Fix")))</f>
        <v xml:space="preserve"> </v>
      </c>
      <c r="O539" s="4" t="str">
        <f ca="1">IF(OR(INDEX($W$2:$W$1001,MATCH(ROWS($V$2:V539),$V$2:$V$1001,0),1)&gt;=100000,INDEX($AC$1005:$AS$1005,1,MATCH(COLUMNS($AC$1006:AP1006),$AC$1006:$AS$1006,0))&gt;=100000), " ",IF(INDEX($AC$2:$AS$1001,MATCH(ROWS($V$2:V539),$V$2:$V$1001,0),MATCH(COLUMNS($AC$1006:AP1006),$AC$1006:$AS$1006,0)), HYPERLINK("#",""), HYPERLINK(CONCATENATE("#metadata!", ADDRESS(INDEX($X$2:$X$1001,MATCH(ROWS($V$2:V539),$V$2:$V$1001,0),0), INDEX($AC$1004:$AS$1004,1,MATCH(COLUMNS($AC$1006:AP1006),$AC$1006:$AS$1006,0)))),"Fix")))</f>
        <v xml:space="preserve"> </v>
      </c>
      <c r="P539" s="4" t="str">
        <f ca="1">IF(OR(INDEX($W$2:$W$1001,MATCH(ROWS($V$2:V539),$V$2:$V$1001,0),1)&gt;=100000,INDEX($AC$1005:$AS$1005,1,MATCH(COLUMNS($AC$1006:AQ1006),$AC$1006:$AS$1006,0))&gt;=100000), " ",IF(INDEX($AC$2:$AS$1001,MATCH(ROWS($V$2:V539),$V$2:$V$1001,0),MATCH(COLUMNS($AC$1006:AQ1006),$AC$1006:$AS$1006,0)), HYPERLINK("#",""), HYPERLINK(CONCATENATE("#metadata!", ADDRESS(INDEX($X$2:$X$1001,MATCH(ROWS($V$2:V539),$V$2:$V$1001,0),0), INDEX($AC$1004:$AS$1004,1,MATCH(COLUMNS($AC$1006:AQ1006),$AC$1006:$AS$1006,0)))),"Fix")))</f>
        <v xml:space="preserve"> </v>
      </c>
      <c r="Q539" s="4" t="str">
        <f ca="1">IF(OR(INDEX($W$2:$W$1001,MATCH(ROWS($V$2:V539),$V$2:$V$1001,0),1)&gt;=100000,INDEX($AC$1005:$AS$1005,1,MATCH(COLUMNS($AC$1006:AR1006),$AC$1006:$AS$1006,0))&gt;=100000), " ",IF(INDEX($AC$2:$AS$1001,MATCH(ROWS($V$2:V539),$V$2:$V$1001,0),MATCH(COLUMNS($AC$1006:AR1006),$AC$1006:$AS$1006,0)), HYPERLINK("#",""), HYPERLINK(CONCATENATE("#metadata!", ADDRESS(INDEX($X$2:$X$1001,MATCH(ROWS($V$2:V539),$V$2:$V$1001,0),0), INDEX($AC$1004:$AS$1004,1,MATCH(COLUMNS($AC$1006:AR1006),$AC$1006:$AS$1006,0)))),"Fix")))</f>
        <v xml:space="preserve"> </v>
      </c>
      <c r="R539" s="4" t="str">
        <f ca="1">IF(OR(INDEX($W$2:$W$1001,MATCH(ROWS($V$2:V539),$V$2:$V$1001,0),1)&gt;=100000,INDEX($AC$1005:$AS$1005,1,MATCH(COLUMNS($AC$1006:AS1006),$AC$1006:$AS$1006,0))&gt;=100000), " ",IF(INDEX($AC$2:$AS$1001,MATCH(ROWS($V$2:V539),$V$2:$V$1001,0),MATCH(COLUMNS($AC$1006:AS1006),$AC$1006:$AS$1006,0)), HYPERLINK("#",""), HYPERLINK(CONCATENATE("#metadata!", ADDRESS(INDEX($X$2:$X$1001,MATCH(ROWS($V$2:V539),$V$2:$V$1001,0),0), INDEX($AC$1004:$AS$1004,1,MATCH(COLUMNS($AC$1006:AS1006),$AC$1006:$AS$1006,0)))),"Fix")))</f>
        <v xml:space="preserve"> </v>
      </c>
      <c r="V539">
        <v>538</v>
      </c>
      <c r="W539">
        <v>100539</v>
      </c>
      <c r="X539">
        <v>539</v>
      </c>
      <c r="Y539" t="b">
        <f t="shared" si="8"/>
        <v>1</v>
      </c>
      <c r="Z539" t="b">
        <f>COUNTBLANK(metadata!B539:R539)=COLUMNS(metadata!B539:R539)</f>
        <v>1</v>
      </c>
      <c r="AA539" t="str">
        <v/>
      </c>
      <c r="AC539" t="b">
        <f ca="1"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AD539" t="b">
        <f>IF(metadata!C539="",FALSE,ISNUMBER(VALUE(metadata!C539)))</f>
        <v>0</v>
      </c>
      <c r="AE539" t="b">
        <f>AND(IF(metadata!D539="",FALSE,TRUE),EXACT(metadata!D539,"years"))</f>
        <v>0</v>
      </c>
      <c r="AF539" t="b">
        <f>OR(AND(IF(metadata!E539="",FALSE,TRUE),OR(EXACT(metadata!E539,"not applicable"),EXACT(metadata!E539,"missing: not collected"),EXACT(metadata!E539,"missing: not provided"),EXACT(metadata!E539,"missing: restricted access"))),AND(IF(metadata!E539="",FALSE,ISNUMBER(VALUE(metadata!E539))),metadata!E539&gt;0))</f>
        <v>0</v>
      </c>
      <c r="AG539" t="b">
        <f>AND(IF(metadata!F539="",FALSE,TRUE),EXACT(metadata!F539,"Not applicable"))</f>
        <v>0</v>
      </c>
      <c r="AH539" t="b">
        <f>AND(IF(metadata!G539="",FALSE,TRUE),EXACT(metadata!G539,"urban biome"))</f>
        <v>0</v>
      </c>
      <c r="AI539" t="b">
        <f>AND(IF(metadata!H539="",FALSE,TRUE),EXACT(metadata!H539,"human-associated habitat"))</f>
        <v>0</v>
      </c>
      <c r="AJ539" t="b">
        <f>AND(IF(metadata!I539="",FALSE,TRUE),OR(EXACT(metadata!I539,"human-associated"),EXACT(metadata!I539,"human-skin"),EXACT(metadata!I539,"human-oral"),EXACT(metadata!I539,"human-gut"),EXACT(metadata!I539,"human-vaginal")))</f>
        <v>0</v>
      </c>
      <c r="AK539" t="b">
        <f>IF(metadata!J539="",FALSE,ISNUMBER(VALUE(metadata!J539)))</f>
        <v>0</v>
      </c>
      <c r="AL539" t="b">
        <f>AND(IF(metadata!K539="",FALSE,TRUE),EXACT(metadata!K539,"cm"))</f>
        <v>0</v>
      </c>
      <c r="AM539" t="b">
        <f>AND(IF(metadata!L539="",FALSE,TRUE),EXACT(metadata!L539,"human"))</f>
        <v>0</v>
      </c>
      <c r="AN539" t="b">
        <f>AND(IF(metadata!M539="",FALSE,TRUE),EXACT(metadata!M539,"Homo sapiens"))</f>
        <v>0</v>
      </c>
      <c r="AO539" t="b">
        <f>AND(IF(metadata!N539="",FALSE,TRUE),EXACT(metadata!N539,"9606"))</f>
        <v>0</v>
      </c>
      <c r="AP539" t="b">
        <f>IF(metadata!O539="",FALSE,TRUE)</f>
        <v>0</v>
      </c>
      <c r="AQ539" t="b">
        <f>IF(metadata!P539="",FALSE,TRUE)</f>
        <v>0</v>
      </c>
      <c r="AR539" t="b">
        <f>IF(metadata!Q539="",FALSE,ISNUMBER(VALUE(metadata!Q539)))</f>
        <v>0</v>
      </c>
      <c r="AS539" t="b">
        <f>AND(IF(metadata!R539="",FALSE,TRUE),EXACT(metadata!R539,"kg"))</f>
        <v>0</v>
      </c>
    </row>
    <row r="540" spans="1:45" x14ac:dyDescent="0.2">
      <c r="A540" s="5" t="str">
        <f ca="1">IF(B540=" "," ",HYPERLINK(CONCATENATE("#metadata!",ADDRESS(INDEX($X$2:$X$1001,MATCH(ROWS($V$2:V540),$V$2:$V$1001,0),0),1)),INDEX($AA$2:$AA$1001,MATCH(ROWS($V$2:V540),$V$2:$V$1001,0),0)))</f>
        <v xml:space="preserve"> </v>
      </c>
      <c r="B540" s="4" t="str">
        <f ca="1">IF(OR(INDEX($W$2:$W$1001,MATCH(ROWS($V$2:V540),$V$2:$V$1001,0),1)&gt;=100000,INDEX($AC$1005:$AS$1005,1,MATCH(COLUMNS($AC$1006:AC1006),$AC$1006:$AS$1006,0))&gt;=100000), " ",IF(INDEX($AC$2:$AS$1001,MATCH(ROWS($V$2:V540),$V$2:$V$1001,0),MATCH(COLUMNS($AC$1006:AC1006),$AC$1006:$AS$1006,0)), HYPERLINK("#",""), HYPERLINK(CONCATENATE("#metadata!", ADDRESS(INDEX($X$2:$X$1001,MATCH(ROWS($V$2:V540),$V$2:$V$1001,0),0), INDEX($AC$1004:$AS$1004,1,MATCH(COLUMNS($AC$1006:AC1006),$AC$1006:$AS$1006,0)))),"Fix")))</f>
        <v xml:space="preserve"> </v>
      </c>
      <c r="C540" s="4" t="str">
        <f ca="1">IF(OR(INDEX($W$2:$W$1001,MATCH(ROWS($V$2:V540),$V$2:$V$1001,0),1)&gt;=100000,INDEX($AC$1005:$AS$1005,1,MATCH(COLUMNS($AC$1006:AD1006),$AC$1006:$AS$1006,0))&gt;=100000), " ",IF(INDEX($AC$2:$AS$1001,MATCH(ROWS($V$2:V540),$V$2:$V$1001,0),MATCH(COLUMNS($AC$1006:AD1006),$AC$1006:$AS$1006,0)), HYPERLINK("#",""), HYPERLINK(CONCATENATE("#metadata!", ADDRESS(INDEX($X$2:$X$1001,MATCH(ROWS($V$2:V540),$V$2:$V$1001,0),0), INDEX($AC$1004:$AS$1004,1,MATCH(COLUMNS($AC$1006:AD1006),$AC$1006:$AS$1006,0)))),"Fix")))</f>
        <v xml:space="preserve"> </v>
      </c>
      <c r="D540" s="4" t="str">
        <f ca="1">IF(OR(INDEX($W$2:$W$1001,MATCH(ROWS($V$2:V540),$V$2:$V$1001,0),1)&gt;=100000,INDEX($AC$1005:$AS$1005,1,MATCH(COLUMNS($AC$1006:AE1006),$AC$1006:$AS$1006,0))&gt;=100000), " ",IF(INDEX($AC$2:$AS$1001,MATCH(ROWS($V$2:V540),$V$2:$V$1001,0),MATCH(COLUMNS($AC$1006:AE1006),$AC$1006:$AS$1006,0)), HYPERLINK("#",""), HYPERLINK(CONCATENATE("#metadata!", ADDRESS(INDEX($X$2:$X$1001,MATCH(ROWS($V$2:V540),$V$2:$V$1001,0),0), INDEX($AC$1004:$AS$1004,1,MATCH(COLUMNS($AC$1006:AE1006),$AC$1006:$AS$1006,0)))),"Fix")))</f>
        <v xml:space="preserve"> </v>
      </c>
      <c r="E540" s="4" t="str">
        <f ca="1">IF(OR(INDEX($W$2:$W$1001,MATCH(ROWS($V$2:V540),$V$2:$V$1001,0),1)&gt;=100000,INDEX($AC$1005:$AS$1005,1,MATCH(COLUMNS($AC$1006:AF1006),$AC$1006:$AS$1006,0))&gt;=100000), " ",IF(INDEX($AC$2:$AS$1001,MATCH(ROWS($V$2:V540),$V$2:$V$1001,0),MATCH(COLUMNS($AC$1006:AF1006),$AC$1006:$AS$1006,0)), HYPERLINK("#",""), HYPERLINK(CONCATENATE("#metadata!", ADDRESS(INDEX($X$2:$X$1001,MATCH(ROWS($V$2:V540),$V$2:$V$1001,0),0), INDEX($AC$1004:$AS$1004,1,MATCH(COLUMNS($AC$1006:AF1006),$AC$1006:$AS$1006,0)))),"Fix")))</f>
        <v xml:space="preserve"> </v>
      </c>
      <c r="F540" s="4" t="str">
        <f ca="1">IF(OR(INDEX($W$2:$W$1001,MATCH(ROWS($V$2:V540),$V$2:$V$1001,0),1)&gt;=100000,INDEX($AC$1005:$AS$1005,1,MATCH(COLUMNS($AC$1006:AG1006),$AC$1006:$AS$1006,0))&gt;=100000), " ",IF(INDEX($AC$2:$AS$1001,MATCH(ROWS($V$2:V540),$V$2:$V$1001,0),MATCH(COLUMNS($AC$1006:AG1006),$AC$1006:$AS$1006,0)), HYPERLINK("#",""), HYPERLINK(CONCATENATE("#metadata!", ADDRESS(INDEX($X$2:$X$1001,MATCH(ROWS($V$2:V540),$V$2:$V$1001,0),0), INDEX($AC$1004:$AS$1004,1,MATCH(COLUMNS($AC$1006:AG1006),$AC$1006:$AS$1006,0)))),"Fix")))</f>
        <v xml:space="preserve"> </v>
      </c>
      <c r="G540" s="4" t="str">
        <f ca="1">IF(OR(INDEX($W$2:$W$1001,MATCH(ROWS($V$2:V540),$V$2:$V$1001,0),1)&gt;=100000,INDEX($AC$1005:$AS$1005,1,MATCH(COLUMNS($AC$1006:AH1006),$AC$1006:$AS$1006,0))&gt;=100000), " ",IF(INDEX($AC$2:$AS$1001,MATCH(ROWS($V$2:V540),$V$2:$V$1001,0),MATCH(COLUMNS($AC$1006:AH1006),$AC$1006:$AS$1006,0)), HYPERLINK("#",""), HYPERLINK(CONCATENATE("#metadata!", ADDRESS(INDEX($X$2:$X$1001,MATCH(ROWS($V$2:V540),$V$2:$V$1001,0),0), INDEX($AC$1004:$AS$1004,1,MATCH(COLUMNS($AC$1006:AH1006),$AC$1006:$AS$1006,0)))),"Fix")))</f>
        <v xml:space="preserve"> </v>
      </c>
      <c r="H540" s="4" t="str">
        <f ca="1">IF(OR(INDEX($W$2:$W$1001,MATCH(ROWS($V$2:V540),$V$2:$V$1001,0),1)&gt;=100000,INDEX($AC$1005:$AS$1005,1,MATCH(COLUMNS($AC$1006:AI1006),$AC$1006:$AS$1006,0))&gt;=100000), " ",IF(INDEX($AC$2:$AS$1001,MATCH(ROWS($V$2:V540),$V$2:$V$1001,0),MATCH(COLUMNS($AC$1006:AI1006),$AC$1006:$AS$1006,0)), HYPERLINK("#",""), HYPERLINK(CONCATENATE("#metadata!", ADDRESS(INDEX($X$2:$X$1001,MATCH(ROWS($V$2:V540),$V$2:$V$1001,0),0), INDEX($AC$1004:$AS$1004,1,MATCH(COLUMNS($AC$1006:AI1006),$AC$1006:$AS$1006,0)))),"Fix")))</f>
        <v xml:space="preserve"> </v>
      </c>
      <c r="I540" s="4" t="str">
        <f ca="1">IF(OR(INDEX($W$2:$W$1001,MATCH(ROWS($V$2:V540),$V$2:$V$1001,0),1)&gt;=100000,INDEX($AC$1005:$AS$1005,1,MATCH(COLUMNS($AC$1006:AJ1006),$AC$1006:$AS$1006,0))&gt;=100000), " ",IF(INDEX($AC$2:$AS$1001,MATCH(ROWS($V$2:V540),$V$2:$V$1001,0),MATCH(COLUMNS($AC$1006:AJ1006),$AC$1006:$AS$1006,0)), HYPERLINK("#",""), HYPERLINK(CONCATENATE("#metadata!", ADDRESS(INDEX($X$2:$X$1001,MATCH(ROWS($V$2:V540),$V$2:$V$1001,0),0), INDEX($AC$1004:$AS$1004,1,MATCH(COLUMNS($AC$1006:AJ1006),$AC$1006:$AS$1006,0)))),"Fix")))</f>
        <v xml:space="preserve"> </v>
      </c>
      <c r="J540" s="4" t="str">
        <f ca="1">IF(OR(INDEX($W$2:$W$1001,MATCH(ROWS($V$2:V540),$V$2:$V$1001,0),1)&gt;=100000,INDEX($AC$1005:$AS$1005,1,MATCH(COLUMNS($AC$1006:AK1006),$AC$1006:$AS$1006,0))&gt;=100000), " ",IF(INDEX($AC$2:$AS$1001,MATCH(ROWS($V$2:V540),$V$2:$V$1001,0),MATCH(COLUMNS($AC$1006:AK1006),$AC$1006:$AS$1006,0)), HYPERLINK("#",""), HYPERLINK(CONCATENATE("#metadata!", ADDRESS(INDEX($X$2:$X$1001,MATCH(ROWS($V$2:V540),$V$2:$V$1001,0),0), INDEX($AC$1004:$AS$1004,1,MATCH(COLUMNS($AC$1006:AK1006),$AC$1006:$AS$1006,0)))),"Fix")))</f>
        <v xml:space="preserve"> </v>
      </c>
      <c r="K540" s="4" t="str">
        <f ca="1">IF(OR(INDEX($W$2:$W$1001,MATCH(ROWS($V$2:V540),$V$2:$V$1001,0),1)&gt;=100000,INDEX($AC$1005:$AS$1005,1,MATCH(COLUMNS($AC$1006:AL1006),$AC$1006:$AS$1006,0))&gt;=100000), " ",IF(INDEX($AC$2:$AS$1001,MATCH(ROWS($V$2:V540),$V$2:$V$1001,0),MATCH(COLUMNS($AC$1006:AL1006),$AC$1006:$AS$1006,0)), HYPERLINK("#",""), HYPERLINK(CONCATENATE("#metadata!", ADDRESS(INDEX($X$2:$X$1001,MATCH(ROWS($V$2:V540),$V$2:$V$1001,0),0), INDEX($AC$1004:$AS$1004,1,MATCH(COLUMNS($AC$1006:AL1006),$AC$1006:$AS$1006,0)))),"Fix")))</f>
        <v xml:space="preserve"> </v>
      </c>
      <c r="L540" s="4" t="str">
        <f ca="1">IF(OR(INDEX($W$2:$W$1001,MATCH(ROWS($V$2:V540),$V$2:$V$1001,0),1)&gt;=100000,INDEX($AC$1005:$AS$1005,1,MATCH(COLUMNS($AC$1006:AM1006),$AC$1006:$AS$1006,0))&gt;=100000), " ",IF(INDEX($AC$2:$AS$1001,MATCH(ROWS($V$2:V540),$V$2:$V$1001,0),MATCH(COLUMNS($AC$1006:AM1006),$AC$1006:$AS$1006,0)), HYPERLINK("#",""), HYPERLINK(CONCATENATE("#metadata!", ADDRESS(INDEX($X$2:$X$1001,MATCH(ROWS($V$2:V540),$V$2:$V$1001,0),0), INDEX($AC$1004:$AS$1004,1,MATCH(COLUMNS($AC$1006:AM1006),$AC$1006:$AS$1006,0)))),"Fix")))</f>
        <v xml:space="preserve"> </v>
      </c>
      <c r="M540" s="4" t="str">
        <f ca="1">IF(OR(INDEX($W$2:$W$1001,MATCH(ROWS($V$2:V540),$V$2:$V$1001,0),1)&gt;=100000,INDEX($AC$1005:$AS$1005,1,MATCH(COLUMNS($AC$1006:AN1006),$AC$1006:$AS$1006,0))&gt;=100000), " ",IF(INDEX($AC$2:$AS$1001,MATCH(ROWS($V$2:V540),$V$2:$V$1001,0),MATCH(COLUMNS($AC$1006:AN1006),$AC$1006:$AS$1006,0)), HYPERLINK("#",""), HYPERLINK(CONCATENATE("#metadata!", ADDRESS(INDEX($X$2:$X$1001,MATCH(ROWS($V$2:V540),$V$2:$V$1001,0),0), INDEX($AC$1004:$AS$1004,1,MATCH(COLUMNS($AC$1006:AN1006),$AC$1006:$AS$1006,0)))),"Fix")))</f>
        <v xml:space="preserve"> </v>
      </c>
      <c r="N540" s="4" t="str">
        <f ca="1">IF(OR(INDEX($W$2:$W$1001,MATCH(ROWS($V$2:V540),$V$2:$V$1001,0),1)&gt;=100000,INDEX($AC$1005:$AS$1005,1,MATCH(COLUMNS($AC$1006:AO1006),$AC$1006:$AS$1006,0))&gt;=100000), " ",IF(INDEX($AC$2:$AS$1001,MATCH(ROWS($V$2:V540),$V$2:$V$1001,0),MATCH(COLUMNS($AC$1006:AO1006),$AC$1006:$AS$1006,0)), HYPERLINK("#",""), HYPERLINK(CONCATENATE("#metadata!", ADDRESS(INDEX($X$2:$X$1001,MATCH(ROWS($V$2:V540),$V$2:$V$1001,0),0), INDEX($AC$1004:$AS$1004,1,MATCH(COLUMNS($AC$1006:AO1006),$AC$1006:$AS$1006,0)))),"Fix")))</f>
        <v xml:space="preserve"> </v>
      </c>
      <c r="O540" s="4" t="str">
        <f ca="1">IF(OR(INDEX($W$2:$W$1001,MATCH(ROWS($V$2:V540),$V$2:$V$1001,0),1)&gt;=100000,INDEX($AC$1005:$AS$1005,1,MATCH(COLUMNS($AC$1006:AP1006),$AC$1006:$AS$1006,0))&gt;=100000), " ",IF(INDEX($AC$2:$AS$1001,MATCH(ROWS($V$2:V540),$V$2:$V$1001,0),MATCH(COLUMNS($AC$1006:AP1006),$AC$1006:$AS$1006,0)), HYPERLINK("#",""), HYPERLINK(CONCATENATE("#metadata!", ADDRESS(INDEX($X$2:$X$1001,MATCH(ROWS($V$2:V540),$V$2:$V$1001,0),0), INDEX($AC$1004:$AS$1004,1,MATCH(COLUMNS($AC$1006:AP1006),$AC$1006:$AS$1006,0)))),"Fix")))</f>
        <v xml:space="preserve"> </v>
      </c>
      <c r="P540" s="4" t="str">
        <f ca="1">IF(OR(INDEX($W$2:$W$1001,MATCH(ROWS($V$2:V540),$V$2:$V$1001,0),1)&gt;=100000,INDEX($AC$1005:$AS$1005,1,MATCH(COLUMNS($AC$1006:AQ1006),$AC$1006:$AS$1006,0))&gt;=100000), " ",IF(INDEX($AC$2:$AS$1001,MATCH(ROWS($V$2:V540),$V$2:$V$1001,0),MATCH(COLUMNS($AC$1006:AQ1006),$AC$1006:$AS$1006,0)), HYPERLINK("#",""), HYPERLINK(CONCATENATE("#metadata!", ADDRESS(INDEX($X$2:$X$1001,MATCH(ROWS($V$2:V540),$V$2:$V$1001,0),0), INDEX($AC$1004:$AS$1004,1,MATCH(COLUMNS($AC$1006:AQ1006),$AC$1006:$AS$1006,0)))),"Fix")))</f>
        <v xml:space="preserve"> </v>
      </c>
      <c r="Q540" s="4" t="str">
        <f ca="1">IF(OR(INDEX($W$2:$W$1001,MATCH(ROWS($V$2:V540),$V$2:$V$1001,0),1)&gt;=100000,INDEX($AC$1005:$AS$1005,1,MATCH(COLUMNS($AC$1006:AR1006),$AC$1006:$AS$1006,0))&gt;=100000), " ",IF(INDEX($AC$2:$AS$1001,MATCH(ROWS($V$2:V540),$V$2:$V$1001,0),MATCH(COLUMNS($AC$1006:AR1006),$AC$1006:$AS$1006,0)), HYPERLINK("#",""), HYPERLINK(CONCATENATE("#metadata!", ADDRESS(INDEX($X$2:$X$1001,MATCH(ROWS($V$2:V540),$V$2:$V$1001,0),0), INDEX($AC$1004:$AS$1004,1,MATCH(COLUMNS($AC$1006:AR1006),$AC$1006:$AS$1006,0)))),"Fix")))</f>
        <v xml:space="preserve"> </v>
      </c>
      <c r="R540" s="4" t="str">
        <f ca="1">IF(OR(INDEX($W$2:$W$1001,MATCH(ROWS($V$2:V540),$V$2:$V$1001,0),1)&gt;=100000,INDEX($AC$1005:$AS$1005,1,MATCH(COLUMNS($AC$1006:AS1006),$AC$1006:$AS$1006,0))&gt;=100000), " ",IF(INDEX($AC$2:$AS$1001,MATCH(ROWS($V$2:V540),$V$2:$V$1001,0),MATCH(COLUMNS($AC$1006:AS1006),$AC$1006:$AS$1006,0)), HYPERLINK("#",""), HYPERLINK(CONCATENATE("#metadata!", ADDRESS(INDEX($X$2:$X$1001,MATCH(ROWS($V$2:V540),$V$2:$V$1001,0),0), INDEX($AC$1004:$AS$1004,1,MATCH(COLUMNS($AC$1006:AS1006),$AC$1006:$AS$1006,0)))),"Fix")))</f>
        <v xml:space="preserve"> </v>
      </c>
      <c r="V540">
        <v>539</v>
      </c>
      <c r="W540">
        <v>100540</v>
      </c>
      <c r="X540">
        <v>540</v>
      </c>
      <c r="Y540" t="b">
        <f t="shared" si="8"/>
        <v>1</v>
      </c>
      <c r="Z540" t="b">
        <f>COUNTBLANK(metadata!B540:R540)=COLUMNS(metadata!B540:R540)</f>
        <v>1</v>
      </c>
      <c r="AA540" t="str">
        <v/>
      </c>
      <c r="AC540" t="b">
        <f ca="1"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AD540" t="b">
        <f>IF(metadata!C540="",FALSE,ISNUMBER(VALUE(metadata!C540)))</f>
        <v>0</v>
      </c>
      <c r="AE540" t="b">
        <f>AND(IF(metadata!D540="",FALSE,TRUE),EXACT(metadata!D540,"years"))</f>
        <v>0</v>
      </c>
      <c r="AF540" t="b">
        <f>OR(AND(IF(metadata!E540="",FALSE,TRUE),OR(EXACT(metadata!E540,"not applicable"),EXACT(metadata!E540,"missing: not collected"),EXACT(metadata!E540,"missing: not provided"),EXACT(metadata!E540,"missing: restricted access"))),AND(IF(metadata!E540="",FALSE,ISNUMBER(VALUE(metadata!E540))),metadata!E540&gt;0))</f>
        <v>0</v>
      </c>
      <c r="AG540" t="b">
        <f>AND(IF(metadata!F540="",FALSE,TRUE),EXACT(metadata!F540,"Not applicable"))</f>
        <v>0</v>
      </c>
      <c r="AH540" t="b">
        <f>AND(IF(metadata!G540="",FALSE,TRUE),EXACT(metadata!G540,"urban biome"))</f>
        <v>0</v>
      </c>
      <c r="AI540" t="b">
        <f>AND(IF(metadata!H540="",FALSE,TRUE),EXACT(metadata!H540,"human-associated habitat"))</f>
        <v>0</v>
      </c>
      <c r="AJ540" t="b">
        <f>AND(IF(metadata!I540="",FALSE,TRUE),OR(EXACT(metadata!I540,"human-associated"),EXACT(metadata!I540,"human-skin"),EXACT(metadata!I540,"human-oral"),EXACT(metadata!I540,"human-gut"),EXACT(metadata!I540,"human-vaginal")))</f>
        <v>0</v>
      </c>
      <c r="AK540" t="b">
        <f>IF(metadata!J540="",FALSE,ISNUMBER(VALUE(metadata!J540)))</f>
        <v>0</v>
      </c>
      <c r="AL540" t="b">
        <f>AND(IF(metadata!K540="",FALSE,TRUE),EXACT(metadata!K540,"cm"))</f>
        <v>0</v>
      </c>
      <c r="AM540" t="b">
        <f>AND(IF(metadata!L540="",FALSE,TRUE),EXACT(metadata!L540,"human"))</f>
        <v>0</v>
      </c>
      <c r="AN540" t="b">
        <f>AND(IF(metadata!M540="",FALSE,TRUE),EXACT(metadata!M540,"Homo sapiens"))</f>
        <v>0</v>
      </c>
      <c r="AO540" t="b">
        <f>AND(IF(metadata!N540="",FALSE,TRUE),EXACT(metadata!N540,"9606"))</f>
        <v>0</v>
      </c>
      <c r="AP540" t="b">
        <f>IF(metadata!O540="",FALSE,TRUE)</f>
        <v>0</v>
      </c>
      <c r="AQ540" t="b">
        <f>IF(metadata!P540="",FALSE,TRUE)</f>
        <v>0</v>
      </c>
      <c r="AR540" t="b">
        <f>IF(metadata!Q540="",FALSE,ISNUMBER(VALUE(metadata!Q540)))</f>
        <v>0</v>
      </c>
      <c r="AS540" t="b">
        <f>AND(IF(metadata!R540="",FALSE,TRUE),EXACT(metadata!R540,"kg"))</f>
        <v>0</v>
      </c>
    </row>
    <row r="541" spans="1:45" x14ac:dyDescent="0.2">
      <c r="A541" s="5" t="str">
        <f ca="1">IF(B541=" "," ",HYPERLINK(CONCATENATE("#metadata!",ADDRESS(INDEX($X$2:$X$1001,MATCH(ROWS($V$2:V541),$V$2:$V$1001,0),0),1)),INDEX($AA$2:$AA$1001,MATCH(ROWS($V$2:V541),$V$2:$V$1001,0),0)))</f>
        <v xml:space="preserve"> </v>
      </c>
      <c r="B541" s="4" t="str">
        <f ca="1">IF(OR(INDEX($W$2:$W$1001,MATCH(ROWS($V$2:V541),$V$2:$V$1001,0),1)&gt;=100000,INDEX($AC$1005:$AS$1005,1,MATCH(COLUMNS($AC$1006:AC1006),$AC$1006:$AS$1006,0))&gt;=100000), " ",IF(INDEX($AC$2:$AS$1001,MATCH(ROWS($V$2:V541),$V$2:$V$1001,0),MATCH(COLUMNS($AC$1006:AC1006),$AC$1006:$AS$1006,0)), HYPERLINK("#",""), HYPERLINK(CONCATENATE("#metadata!", ADDRESS(INDEX($X$2:$X$1001,MATCH(ROWS($V$2:V541),$V$2:$V$1001,0),0), INDEX($AC$1004:$AS$1004,1,MATCH(COLUMNS($AC$1006:AC1006),$AC$1006:$AS$1006,0)))),"Fix")))</f>
        <v xml:space="preserve"> </v>
      </c>
      <c r="C541" s="4" t="str">
        <f ca="1">IF(OR(INDEX($W$2:$W$1001,MATCH(ROWS($V$2:V541),$V$2:$V$1001,0),1)&gt;=100000,INDEX($AC$1005:$AS$1005,1,MATCH(COLUMNS($AC$1006:AD1006),$AC$1006:$AS$1006,0))&gt;=100000), " ",IF(INDEX($AC$2:$AS$1001,MATCH(ROWS($V$2:V541),$V$2:$V$1001,0),MATCH(COLUMNS($AC$1006:AD1006),$AC$1006:$AS$1006,0)), HYPERLINK("#",""), HYPERLINK(CONCATENATE("#metadata!", ADDRESS(INDEX($X$2:$X$1001,MATCH(ROWS($V$2:V541),$V$2:$V$1001,0),0), INDEX($AC$1004:$AS$1004,1,MATCH(COLUMNS($AC$1006:AD1006),$AC$1006:$AS$1006,0)))),"Fix")))</f>
        <v xml:space="preserve"> </v>
      </c>
      <c r="D541" s="4" t="str">
        <f ca="1">IF(OR(INDEX($W$2:$W$1001,MATCH(ROWS($V$2:V541),$V$2:$V$1001,0),1)&gt;=100000,INDEX($AC$1005:$AS$1005,1,MATCH(COLUMNS($AC$1006:AE1006),$AC$1006:$AS$1006,0))&gt;=100000), " ",IF(INDEX($AC$2:$AS$1001,MATCH(ROWS($V$2:V541),$V$2:$V$1001,0),MATCH(COLUMNS($AC$1006:AE1006),$AC$1006:$AS$1006,0)), HYPERLINK("#",""), HYPERLINK(CONCATENATE("#metadata!", ADDRESS(INDEX($X$2:$X$1001,MATCH(ROWS($V$2:V541),$V$2:$V$1001,0),0), INDEX($AC$1004:$AS$1004,1,MATCH(COLUMNS($AC$1006:AE1006),$AC$1006:$AS$1006,0)))),"Fix")))</f>
        <v xml:space="preserve"> </v>
      </c>
      <c r="E541" s="4" t="str">
        <f ca="1">IF(OR(INDEX($W$2:$W$1001,MATCH(ROWS($V$2:V541),$V$2:$V$1001,0),1)&gt;=100000,INDEX($AC$1005:$AS$1005,1,MATCH(COLUMNS($AC$1006:AF1006),$AC$1006:$AS$1006,0))&gt;=100000), " ",IF(INDEX($AC$2:$AS$1001,MATCH(ROWS($V$2:V541),$V$2:$V$1001,0),MATCH(COLUMNS($AC$1006:AF1006),$AC$1006:$AS$1006,0)), HYPERLINK("#",""), HYPERLINK(CONCATENATE("#metadata!", ADDRESS(INDEX($X$2:$X$1001,MATCH(ROWS($V$2:V541),$V$2:$V$1001,0),0), INDEX($AC$1004:$AS$1004,1,MATCH(COLUMNS($AC$1006:AF1006),$AC$1006:$AS$1006,0)))),"Fix")))</f>
        <v xml:space="preserve"> </v>
      </c>
      <c r="F541" s="4" t="str">
        <f ca="1">IF(OR(INDEX($W$2:$W$1001,MATCH(ROWS($V$2:V541),$V$2:$V$1001,0),1)&gt;=100000,INDEX($AC$1005:$AS$1005,1,MATCH(COLUMNS($AC$1006:AG1006),$AC$1006:$AS$1006,0))&gt;=100000), " ",IF(INDEX($AC$2:$AS$1001,MATCH(ROWS($V$2:V541),$V$2:$V$1001,0),MATCH(COLUMNS($AC$1006:AG1006),$AC$1006:$AS$1006,0)), HYPERLINK("#",""), HYPERLINK(CONCATENATE("#metadata!", ADDRESS(INDEX($X$2:$X$1001,MATCH(ROWS($V$2:V541),$V$2:$V$1001,0),0), INDEX($AC$1004:$AS$1004,1,MATCH(COLUMNS($AC$1006:AG1006),$AC$1006:$AS$1006,0)))),"Fix")))</f>
        <v xml:space="preserve"> </v>
      </c>
      <c r="G541" s="4" t="str">
        <f ca="1">IF(OR(INDEX($W$2:$W$1001,MATCH(ROWS($V$2:V541),$V$2:$V$1001,0),1)&gt;=100000,INDEX($AC$1005:$AS$1005,1,MATCH(COLUMNS($AC$1006:AH1006),$AC$1006:$AS$1006,0))&gt;=100000), " ",IF(INDEX($AC$2:$AS$1001,MATCH(ROWS($V$2:V541),$V$2:$V$1001,0),MATCH(COLUMNS($AC$1006:AH1006),$AC$1006:$AS$1006,0)), HYPERLINK("#",""), HYPERLINK(CONCATENATE("#metadata!", ADDRESS(INDEX($X$2:$X$1001,MATCH(ROWS($V$2:V541),$V$2:$V$1001,0),0), INDEX($AC$1004:$AS$1004,1,MATCH(COLUMNS($AC$1006:AH1006),$AC$1006:$AS$1006,0)))),"Fix")))</f>
        <v xml:space="preserve"> </v>
      </c>
      <c r="H541" s="4" t="str">
        <f ca="1">IF(OR(INDEX($W$2:$W$1001,MATCH(ROWS($V$2:V541),$V$2:$V$1001,0),1)&gt;=100000,INDEX($AC$1005:$AS$1005,1,MATCH(COLUMNS($AC$1006:AI1006),$AC$1006:$AS$1006,0))&gt;=100000), " ",IF(INDEX($AC$2:$AS$1001,MATCH(ROWS($V$2:V541),$V$2:$V$1001,0),MATCH(COLUMNS($AC$1006:AI1006),$AC$1006:$AS$1006,0)), HYPERLINK("#",""), HYPERLINK(CONCATENATE("#metadata!", ADDRESS(INDEX($X$2:$X$1001,MATCH(ROWS($V$2:V541),$V$2:$V$1001,0),0), INDEX($AC$1004:$AS$1004,1,MATCH(COLUMNS($AC$1006:AI1006),$AC$1006:$AS$1006,0)))),"Fix")))</f>
        <v xml:space="preserve"> </v>
      </c>
      <c r="I541" s="4" t="str">
        <f ca="1">IF(OR(INDEX($W$2:$W$1001,MATCH(ROWS($V$2:V541),$V$2:$V$1001,0),1)&gt;=100000,INDEX($AC$1005:$AS$1005,1,MATCH(COLUMNS($AC$1006:AJ1006),$AC$1006:$AS$1006,0))&gt;=100000), " ",IF(INDEX($AC$2:$AS$1001,MATCH(ROWS($V$2:V541),$V$2:$V$1001,0),MATCH(COLUMNS($AC$1006:AJ1006),$AC$1006:$AS$1006,0)), HYPERLINK("#",""), HYPERLINK(CONCATENATE("#metadata!", ADDRESS(INDEX($X$2:$X$1001,MATCH(ROWS($V$2:V541),$V$2:$V$1001,0),0), INDEX($AC$1004:$AS$1004,1,MATCH(COLUMNS($AC$1006:AJ1006),$AC$1006:$AS$1006,0)))),"Fix")))</f>
        <v xml:space="preserve"> </v>
      </c>
      <c r="J541" s="4" t="str">
        <f ca="1">IF(OR(INDEX($W$2:$W$1001,MATCH(ROWS($V$2:V541),$V$2:$V$1001,0),1)&gt;=100000,INDEX($AC$1005:$AS$1005,1,MATCH(COLUMNS($AC$1006:AK1006),$AC$1006:$AS$1006,0))&gt;=100000), " ",IF(INDEX($AC$2:$AS$1001,MATCH(ROWS($V$2:V541),$V$2:$V$1001,0),MATCH(COLUMNS($AC$1006:AK1006),$AC$1006:$AS$1006,0)), HYPERLINK("#",""), HYPERLINK(CONCATENATE("#metadata!", ADDRESS(INDEX($X$2:$X$1001,MATCH(ROWS($V$2:V541),$V$2:$V$1001,0),0), INDEX($AC$1004:$AS$1004,1,MATCH(COLUMNS($AC$1006:AK1006),$AC$1006:$AS$1006,0)))),"Fix")))</f>
        <v xml:space="preserve"> </v>
      </c>
      <c r="K541" s="4" t="str">
        <f ca="1">IF(OR(INDEX($W$2:$W$1001,MATCH(ROWS($V$2:V541),$V$2:$V$1001,0),1)&gt;=100000,INDEX($AC$1005:$AS$1005,1,MATCH(COLUMNS($AC$1006:AL1006),$AC$1006:$AS$1006,0))&gt;=100000), " ",IF(INDEX($AC$2:$AS$1001,MATCH(ROWS($V$2:V541),$V$2:$V$1001,0),MATCH(COLUMNS($AC$1006:AL1006),$AC$1006:$AS$1006,0)), HYPERLINK("#",""), HYPERLINK(CONCATENATE("#metadata!", ADDRESS(INDEX($X$2:$X$1001,MATCH(ROWS($V$2:V541),$V$2:$V$1001,0),0), INDEX($AC$1004:$AS$1004,1,MATCH(COLUMNS($AC$1006:AL1006),$AC$1006:$AS$1006,0)))),"Fix")))</f>
        <v xml:space="preserve"> </v>
      </c>
      <c r="L541" s="4" t="str">
        <f ca="1">IF(OR(INDEX($W$2:$W$1001,MATCH(ROWS($V$2:V541),$V$2:$V$1001,0),1)&gt;=100000,INDEX($AC$1005:$AS$1005,1,MATCH(COLUMNS($AC$1006:AM1006),$AC$1006:$AS$1006,0))&gt;=100000), " ",IF(INDEX($AC$2:$AS$1001,MATCH(ROWS($V$2:V541),$V$2:$V$1001,0),MATCH(COLUMNS($AC$1006:AM1006),$AC$1006:$AS$1006,0)), HYPERLINK("#",""), HYPERLINK(CONCATENATE("#metadata!", ADDRESS(INDEX($X$2:$X$1001,MATCH(ROWS($V$2:V541),$V$2:$V$1001,0),0), INDEX($AC$1004:$AS$1004,1,MATCH(COLUMNS($AC$1006:AM1006),$AC$1006:$AS$1006,0)))),"Fix")))</f>
        <v xml:space="preserve"> </v>
      </c>
      <c r="M541" s="4" t="str">
        <f ca="1">IF(OR(INDEX($W$2:$W$1001,MATCH(ROWS($V$2:V541),$V$2:$V$1001,0),1)&gt;=100000,INDEX($AC$1005:$AS$1005,1,MATCH(COLUMNS($AC$1006:AN1006),$AC$1006:$AS$1006,0))&gt;=100000), " ",IF(INDEX($AC$2:$AS$1001,MATCH(ROWS($V$2:V541),$V$2:$V$1001,0),MATCH(COLUMNS($AC$1006:AN1006),$AC$1006:$AS$1006,0)), HYPERLINK("#",""), HYPERLINK(CONCATENATE("#metadata!", ADDRESS(INDEX($X$2:$X$1001,MATCH(ROWS($V$2:V541),$V$2:$V$1001,0),0), INDEX($AC$1004:$AS$1004,1,MATCH(COLUMNS($AC$1006:AN1006),$AC$1006:$AS$1006,0)))),"Fix")))</f>
        <v xml:space="preserve"> </v>
      </c>
      <c r="N541" s="4" t="str">
        <f ca="1">IF(OR(INDEX($W$2:$W$1001,MATCH(ROWS($V$2:V541),$V$2:$V$1001,0),1)&gt;=100000,INDEX($AC$1005:$AS$1005,1,MATCH(COLUMNS($AC$1006:AO1006),$AC$1006:$AS$1006,0))&gt;=100000), " ",IF(INDEX($AC$2:$AS$1001,MATCH(ROWS($V$2:V541),$V$2:$V$1001,0),MATCH(COLUMNS($AC$1006:AO1006),$AC$1006:$AS$1006,0)), HYPERLINK("#",""), HYPERLINK(CONCATENATE("#metadata!", ADDRESS(INDEX($X$2:$X$1001,MATCH(ROWS($V$2:V541),$V$2:$V$1001,0),0), INDEX($AC$1004:$AS$1004,1,MATCH(COLUMNS($AC$1006:AO1006),$AC$1006:$AS$1006,0)))),"Fix")))</f>
        <v xml:space="preserve"> </v>
      </c>
      <c r="O541" s="4" t="str">
        <f ca="1">IF(OR(INDEX($W$2:$W$1001,MATCH(ROWS($V$2:V541),$V$2:$V$1001,0),1)&gt;=100000,INDEX($AC$1005:$AS$1005,1,MATCH(COLUMNS($AC$1006:AP1006),$AC$1006:$AS$1006,0))&gt;=100000), " ",IF(INDEX($AC$2:$AS$1001,MATCH(ROWS($V$2:V541),$V$2:$V$1001,0),MATCH(COLUMNS($AC$1006:AP1006),$AC$1006:$AS$1006,0)), HYPERLINK("#",""), HYPERLINK(CONCATENATE("#metadata!", ADDRESS(INDEX($X$2:$X$1001,MATCH(ROWS($V$2:V541),$V$2:$V$1001,0),0), INDEX($AC$1004:$AS$1004,1,MATCH(COLUMNS($AC$1006:AP1006),$AC$1006:$AS$1006,0)))),"Fix")))</f>
        <v xml:space="preserve"> </v>
      </c>
      <c r="P541" s="4" t="str">
        <f ca="1">IF(OR(INDEX($W$2:$W$1001,MATCH(ROWS($V$2:V541),$V$2:$V$1001,0),1)&gt;=100000,INDEX($AC$1005:$AS$1005,1,MATCH(COLUMNS($AC$1006:AQ1006),$AC$1006:$AS$1006,0))&gt;=100000), " ",IF(INDEX($AC$2:$AS$1001,MATCH(ROWS($V$2:V541),$V$2:$V$1001,0),MATCH(COLUMNS($AC$1006:AQ1006),$AC$1006:$AS$1006,0)), HYPERLINK("#",""), HYPERLINK(CONCATENATE("#metadata!", ADDRESS(INDEX($X$2:$X$1001,MATCH(ROWS($V$2:V541),$V$2:$V$1001,0),0), INDEX($AC$1004:$AS$1004,1,MATCH(COLUMNS($AC$1006:AQ1006),$AC$1006:$AS$1006,0)))),"Fix")))</f>
        <v xml:space="preserve"> </v>
      </c>
      <c r="Q541" s="4" t="str">
        <f ca="1">IF(OR(INDEX($W$2:$W$1001,MATCH(ROWS($V$2:V541),$V$2:$V$1001,0),1)&gt;=100000,INDEX($AC$1005:$AS$1005,1,MATCH(COLUMNS($AC$1006:AR1006),$AC$1006:$AS$1006,0))&gt;=100000), " ",IF(INDEX($AC$2:$AS$1001,MATCH(ROWS($V$2:V541),$V$2:$V$1001,0),MATCH(COLUMNS($AC$1006:AR1006),$AC$1006:$AS$1006,0)), HYPERLINK("#",""), HYPERLINK(CONCATENATE("#metadata!", ADDRESS(INDEX($X$2:$X$1001,MATCH(ROWS($V$2:V541),$V$2:$V$1001,0),0), INDEX($AC$1004:$AS$1004,1,MATCH(COLUMNS($AC$1006:AR1006),$AC$1006:$AS$1006,0)))),"Fix")))</f>
        <v xml:space="preserve"> </v>
      </c>
      <c r="R541" s="4" t="str">
        <f ca="1">IF(OR(INDEX($W$2:$W$1001,MATCH(ROWS($V$2:V541),$V$2:$V$1001,0),1)&gt;=100000,INDEX($AC$1005:$AS$1005,1,MATCH(COLUMNS($AC$1006:AS1006),$AC$1006:$AS$1006,0))&gt;=100000), " ",IF(INDEX($AC$2:$AS$1001,MATCH(ROWS($V$2:V541),$V$2:$V$1001,0),MATCH(COLUMNS($AC$1006:AS1006),$AC$1006:$AS$1006,0)), HYPERLINK("#",""), HYPERLINK(CONCATENATE("#metadata!", ADDRESS(INDEX($X$2:$X$1001,MATCH(ROWS($V$2:V541),$V$2:$V$1001,0),0), INDEX($AC$1004:$AS$1004,1,MATCH(COLUMNS($AC$1006:AS1006),$AC$1006:$AS$1006,0)))),"Fix")))</f>
        <v xml:space="preserve"> </v>
      </c>
      <c r="V541">
        <v>540</v>
      </c>
      <c r="W541">
        <v>100541</v>
      </c>
      <c r="X541">
        <v>541</v>
      </c>
      <c r="Y541" t="b">
        <f t="shared" si="8"/>
        <v>1</v>
      </c>
      <c r="Z541" t="b">
        <f>COUNTBLANK(metadata!B541:R541)=COLUMNS(metadata!B541:R541)</f>
        <v>1</v>
      </c>
      <c r="AA541" t="str">
        <v/>
      </c>
      <c r="AC541" t="b">
        <f ca="1"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AD541" t="b">
        <f>IF(metadata!C541="",FALSE,ISNUMBER(VALUE(metadata!C541)))</f>
        <v>0</v>
      </c>
      <c r="AE541" t="b">
        <f>AND(IF(metadata!D541="",FALSE,TRUE),EXACT(metadata!D541,"years"))</f>
        <v>0</v>
      </c>
      <c r="AF541" t="b">
        <f>OR(AND(IF(metadata!E541="",FALSE,TRUE),OR(EXACT(metadata!E541,"not applicable"),EXACT(metadata!E541,"missing: not collected"),EXACT(metadata!E541,"missing: not provided"),EXACT(metadata!E541,"missing: restricted access"))),AND(IF(metadata!E541="",FALSE,ISNUMBER(VALUE(metadata!E541))),metadata!E541&gt;0))</f>
        <v>0</v>
      </c>
      <c r="AG541" t="b">
        <f>AND(IF(metadata!F541="",FALSE,TRUE),EXACT(metadata!F541,"Not applicable"))</f>
        <v>0</v>
      </c>
      <c r="AH541" t="b">
        <f>AND(IF(metadata!G541="",FALSE,TRUE),EXACT(metadata!G541,"urban biome"))</f>
        <v>0</v>
      </c>
      <c r="AI541" t="b">
        <f>AND(IF(metadata!H541="",FALSE,TRUE),EXACT(metadata!H541,"human-associated habitat"))</f>
        <v>0</v>
      </c>
      <c r="AJ541" t="b">
        <f>AND(IF(metadata!I541="",FALSE,TRUE),OR(EXACT(metadata!I541,"human-associated"),EXACT(metadata!I541,"human-skin"),EXACT(metadata!I541,"human-oral"),EXACT(metadata!I541,"human-gut"),EXACT(metadata!I541,"human-vaginal")))</f>
        <v>0</v>
      </c>
      <c r="AK541" t="b">
        <f>IF(metadata!J541="",FALSE,ISNUMBER(VALUE(metadata!J541)))</f>
        <v>0</v>
      </c>
      <c r="AL541" t="b">
        <f>AND(IF(metadata!K541="",FALSE,TRUE),EXACT(metadata!K541,"cm"))</f>
        <v>0</v>
      </c>
      <c r="AM541" t="b">
        <f>AND(IF(metadata!L541="",FALSE,TRUE),EXACT(metadata!L541,"human"))</f>
        <v>0</v>
      </c>
      <c r="AN541" t="b">
        <f>AND(IF(metadata!M541="",FALSE,TRUE),EXACT(metadata!M541,"Homo sapiens"))</f>
        <v>0</v>
      </c>
      <c r="AO541" t="b">
        <f>AND(IF(metadata!N541="",FALSE,TRUE),EXACT(metadata!N541,"9606"))</f>
        <v>0</v>
      </c>
      <c r="AP541" t="b">
        <f>IF(metadata!O541="",FALSE,TRUE)</f>
        <v>0</v>
      </c>
      <c r="AQ541" t="b">
        <f>IF(metadata!P541="",FALSE,TRUE)</f>
        <v>0</v>
      </c>
      <c r="AR541" t="b">
        <f>IF(metadata!Q541="",FALSE,ISNUMBER(VALUE(metadata!Q541)))</f>
        <v>0</v>
      </c>
      <c r="AS541" t="b">
        <f>AND(IF(metadata!R541="",FALSE,TRUE),EXACT(metadata!R541,"kg"))</f>
        <v>0</v>
      </c>
    </row>
    <row r="542" spans="1:45" x14ac:dyDescent="0.2">
      <c r="A542" s="5" t="str">
        <f ca="1">IF(B542=" "," ",HYPERLINK(CONCATENATE("#metadata!",ADDRESS(INDEX($X$2:$X$1001,MATCH(ROWS($V$2:V542),$V$2:$V$1001,0),0),1)),INDEX($AA$2:$AA$1001,MATCH(ROWS($V$2:V542),$V$2:$V$1001,0),0)))</f>
        <v xml:space="preserve"> </v>
      </c>
      <c r="B542" s="4" t="str">
        <f ca="1">IF(OR(INDEX($W$2:$W$1001,MATCH(ROWS($V$2:V542),$V$2:$V$1001,0),1)&gt;=100000,INDEX($AC$1005:$AS$1005,1,MATCH(COLUMNS($AC$1006:AC1006),$AC$1006:$AS$1006,0))&gt;=100000), " ",IF(INDEX($AC$2:$AS$1001,MATCH(ROWS($V$2:V542),$V$2:$V$1001,0),MATCH(COLUMNS($AC$1006:AC1006),$AC$1006:$AS$1006,0)), HYPERLINK("#",""), HYPERLINK(CONCATENATE("#metadata!", ADDRESS(INDEX($X$2:$X$1001,MATCH(ROWS($V$2:V542),$V$2:$V$1001,0),0), INDEX($AC$1004:$AS$1004,1,MATCH(COLUMNS($AC$1006:AC1006),$AC$1006:$AS$1006,0)))),"Fix")))</f>
        <v xml:space="preserve"> </v>
      </c>
      <c r="C542" s="4" t="str">
        <f ca="1">IF(OR(INDEX($W$2:$W$1001,MATCH(ROWS($V$2:V542),$V$2:$V$1001,0),1)&gt;=100000,INDEX($AC$1005:$AS$1005,1,MATCH(COLUMNS($AC$1006:AD1006),$AC$1006:$AS$1006,0))&gt;=100000), " ",IF(INDEX($AC$2:$AS$1001,MATCH(ROWS($V$2:V542),$V$2:$V$1001,0),MATCH(COLUMNS($AC$1006:AD1006),$AC$1006:$AS$1006,0)), HYPERLINK("#",""), HYPERLINK(CONCATENATE("#metadata!", ADDRESS(INDEX($X$2:$X$1001,MATCH(ROWS($V$2:V542),$V$2:$V$1001,0),0), INDEX($AC$1004:$AS$1004,1,MATCH(COLUMNS($AC$1006:AD1006),$AC$1006:$AS$1006,0)))),"Fix")))</f>
        <v xml:space="preserve"> </v>
      </c>
      <c r="D542" s="4" t="str">
        <f ca="1">IF(OR(INDEX($W$2:$W$1001,MATCH(ROWS($V$2:V542),$V$2:$V$1001,0),1)&gt;=100000,INDEX($AC$1005:$AS$1005,1,MATCH(COLUMNS($AC$1006:AE1006),$AC$1006:$AS$1006,0))&gt;=100000), " ",IF(INDEX($AC$2:$AS$1001,MATCH(ROWS($V$2:V542),$V$2:$V$1001,0),MATCH(COLUMNS($AC$1006:AE1006),$AC$1006:$AS$1006,0)), HYPERLINK("#",""), HYPERLINK(CONCATENATE("#metadata!", ADDRESS(INDEX($X$2:$X$1001,MATCH(ROWS($V$2:V542),$V$2:$V$1001,0),0), INDEX($AC$1004:$AS$1004,1,MATCH(COLUMNS($AC$1006:AE1006),$AC$1006:$AS$1006,0)))),"Fix")))</f>
        <v xml:space="preserve"> </v>
      </c>
      <c r="E542" s="4" t="str">
        <f ca="1">IF(OR(INDEX($W$2:$W$1001,MATCH(ROWS($V$2:V542),$V$2:$V$1001,0),1)&gt;=100000,INDEX($AC$1005:$AS$1005,1,MATCH(COLUMNS($AC$1006:AF1006),$AC$1006:$AS$1006,0))&gt;=100000), " ",IF(INDEX($AC$2:$AS$1001,MATCH(ROWS($V$2:V542),$V$2:$V$1001,0),MATCH(COLUMNS($AC$1006:AF1006),$AC$1006:$AS$1006,0)), HYPERLINK("#",""), HYPERLINK(CONCATENATE("#metadata!", ADDRESS(INDEX($X$2:$X$1001,MATCH(ROWS($V$2:V542),$V$2:$V$1001,0),0), INDEX($AC$1004:$AS$1004,1,MATCH(COLUMNS($AC$1006:AF1006),$AC$1006:$AS$1006,0)))),"Fix")))</f>
        <v xml:space="preserve"> </v>
      </c>
      <c r="F542" s="4" t="str">
        <f ca="1">IF(OR(INDEX($W$2:$W$1001,MATCH(ROWS($V$2:V542),$V$2:$V$1001,0),1)&gt;=100000,INDEX($AC$1005:$AS$1005,1,MATCH(COLUMNS($AC$1006:AG1006),$AC$1006:$AS$1006,0))&gt;=100000), " ",IF(INDEX($AC$2:$AS$1001,MATCH(ROWS($V$2:V542),$V$2:$V$1001,0),MATCH(COLUMNS($AC$1006:AG1006),$AC$1006:$AS$1006,0)), HYPERLINK("#",""), HYPERLINK(CONCATENATE("#metadata!", ADDRESS(INDEX($X$2:$X$1001,MATCH(ROWS($V$2:V542),$V$2:$V$1001,0),0), INDEX($AC$1004:$AS$1004,1,MATCH(COLUMNS($AC$1006:AG1006),$AC$1006:$AS$1006,0)))),"Fix")))</f>
        <v xml:space="preserve"> </v>
      </c>
      <c r="G542" s="4" t="str">
        <f ca="1">IF(OR(INDEX($W$2:$W$1001,MATCH(ROWS($V$2:V542),$V$2:$V$1001,0),1)&gt;=100000,INDEX($AC$1005:$AS$1005,1,MATCH(COLUMNS($AC$1006:AH1006),$AC$1006:$AS$1006,0))&gt;=100000), " ",IF(INDEX($AC$2:$AS$1001,MATCH(ROWS($V$2:V542),$V$2:$V$1001,0),MATCH(COLUMNS($AC$1006:AH1006),$AC$1006:$AS$1006,0)), HYPERLINK("#",""), HYPERLINK(CONCATENATE("#metadata!", ADDRESS(INDEX($X$2:$X$1001,MATCH(ROWS($V$2:V542),$V$2:$V$1001,0),0), INDEX($AC$1004:$AS$1004,1,MATCH(COLUMNS($AC$1006:AH1006),$AC$1006:$AS$1006,0)))),"Fix")))</f>
        <v xml:space="preserve"> </v>
      </c>
      <c r="H542" s="4" t="str">
        <f ca="1">IF(OR(INDEX($W$2:$W$1001,MATCH(ROWS($V$2:V542),$V$2:$V$1001,0),1)&gt;=100000,INDEX($AC$1005:$AS$1005,1,MATCH(COLUMNS($AC$1006:AI1006),$AC$1006:$AS$1006,0))&gt;=100000), " ",IF(INDEX($AC$2:$AS$1001,MATCH(ROWS($V$2:V542),$V$2:$V$1001,0),MATCH(COLUMNS($AC$1006:AI1006),$AC$1006:$AS$1006,0)), HYPERLINK("#",""), HYPERLINK(CONCATENATE("#metadata!", ADDRESS(INDEX($X$2:$X$1001,MATCH(ROWS($V$2:V542),$V$2:$V$1001,0),0), INDEX($AC$1004:$AS$1004,1,MATCH(COLUMNS($AC$1006:AI1006),$AC$1006:$AS$1006,0)))),"Fix")))</f>
        <v xml:space="preserve"> </v>
      </c>
      <c r="I542" s="4" t="str">
        <f ca="1">IF(OR(INDEX($W$2:$W$1001,MATCH(ROWS($V$2:V542),$V$2:$V$1001,0),1)&gt;=100000,INDEX($AC$1005:$AS$1005,1,MATCH(COLUMNS($AC$1006:AJ1006),$AC$1006:$AS$1006,0))&gt;=100000), " ",IF(INDEX($AC$2:$AS$1001,MATCH(ROWS($V$2:V542),$V$2:$V$1001,0),MATCH(COLUMNS($AC$1006:AJ1006),$AC$1006:$AS$1006,0)), HYPERLINK("#",""), HYPERLINK(CONCATENATE("#metadata!", ADDRESS(INDEX($X$2:$X$1001,MATCH(ROWS($V$2:V542),$V$2:$V$1001,0),0), INDEX($AC$1004:$AS$1004,1,MATCH(COLUMNS($AC$1006:AJ1006),$AC$1006:$AS$1006,0)))),"Fix")))</f>
        <v xml:space="preserve"> </v>
      </c>
      <c r="J542" s="4" t="str">
        <f ca="1">IF(OR(INDEX($W$2:$W$1001,MATCH(ROWS($V$2:V542),$V$2:$V$1001,0),1)&gt;=100000,INDEX($AC$1005:$AS$1005,1,MATCH(COLUMNS($AC$1006:AK1006),$AC$1006:$AS$1006,0))&gt;=100000), " ",IF(INDEX($AC$2:$AS$1001,MATCH(ROWS($V$2:V542),$V$2:$V$1001,0),MATCH(COLUMNS($AC$1006:AK1006),$AC$1006:$AS$1006,0)), HYPERLINK("#",""), HYPERLINK(CONCATENATE("#metadata!", ADDRESS(INDEX($X$2:$X$1001,MATCH(ROWS($V$2:V542),$V$2:$V$1001,0),0), INDEX($AC$1004:$AS$1004,1,MATCH(COLUMNS($AC$1006:AK1006),$AC$1006:$AS$1006,0)))),"Fix")))</f>
        <v xml:space="preserve"> </v>
      </c>
      <c r="K542" s="4" t="str">
        <f ca="1">IF(OR(INDEX($W$2:$W$1001,MATCH(ROWS($V$2:V542),$V$2:$V$1001,0),1)&gt;=100000,INDEX($AC$1005:$AS$1005,1,MATCH(COLUMNS($AC$1006:AL1006),$AC$1006:$AS$1006,0))&gt;=100000), " ",IF(INDEX($AC$2:$AS$1001,MATCH(ROWS($V$2:V542),$V$2:$V$1001,0),MATCH(COLUMNS($AC$1006:AL1006),$AC$1006:$AS$1006,0)), HYPERLINK("#",""), HYPERLINK(CONCATENATE("#metadata!", ADDRESS(INDEX($X$2:$X$1001,MATCH(ROWS($V$2:V542),$V$2:$V$1001,0),0), INDEX($AC$1004:$AS$1004,1,MATCH(COLUMNS($AC$1006:AL1006),$AC$1006:$AS$1006,0)))),"Fix")))</f>
        <v xml:space="preserve"> </v>
      </c>
      <c r="L542" s="4" t="str">
        <f ca="1">IF(OR(INDEX($W$2:$W$1001,MATCH(ROWS($V$2:V542),$V$2:$V$1001,0),1)&gt;=100000,INDEX($AC$1005:$AS$1005,1,MATCH(COLUMNS($AC$1006:AM1006),$AC$1006:$AS$1006,0))&gt;=100000), " ",IF(INDEX($AC$2:$AS$1001,MATCH(ROWS($V$2:V542),$V$2:$V$1001,0),MATCH(COLUMNS($AC$1006:AM1006),$AC$1006:$AS$1006,0)), HYPERLINK("#",""), HYPERLINK(CONCATENATE("#metadata!", ADDRESS(INDEX($X$2:$X$1001,MATCH(ROWS($V$2:V542),$V$2:$V$1001,0),0), INDEX($AC$1004:$AS$1004,1,MATCH(COLUMNS($AC$1006:AM1006),$AC$1006:$AS$1006,0)))),"Fix")))</f>
        <v xml:space="preserve"> </v>
      </c>
      <c r="M542" s="4" t="str">
        <f ca="1">IF(OR(INDEX($W$2:$W$1001,MATCH(ROWS($V$2:V542),$V$2:$V$1001,0),1)&gt;=100000,INDEX($AC$1005:$AS$1005,1,MATCH(COLUMNS($AC$1006:AN1006),$AC$1006:$AS$1006,0))&gt;=100000), " ",IF(INDEX($AC$2:$AS$1001,MATCH(ROWS($V$2:V542),$V$2:$V$1001,0),MATCH(COLUMNS($AC$1006:AN1006),$AC$1006:$AS$1006,0)), HYPERLINK("#",""), HYPERLINK(CONCATENATE("#metadata!", ADDRESS(INDEX($X$2:$X$1001,MATCH(ROWS($V$2:V542),$V$2:$V$1001,0),0), INDEX($AC$1004:$AS$1004,1,MATCH(COLUMNS($AC$1006:AN1006),$AC$1006:$AS$1006,0)))),"Fix")))</f>
        <v xml:space="preserve"> </v>
      </c>
      <c r="N542" s="4" t="str">
        <f ca="1">IF(OR(INDEX($W$2:$W$1001,MATCH(ROWS($V$2:V542),$V$2:$V$1001,0),1)&gt;=100000,INDEX($AC$1005:$AS$1005,1,MATCH(COLUMNS($AC$1006:AO1006),$AC$1006:$AS$1006,0))&gt;=100000), " ",IF(INDEX($AC$2:$AS$1001,MATCH(ROWS($V$2:V542),$V$2:$V$1001,0),MATCH(COLUMNS($AC$1006:AO1006),$AC$1006:$AS$1006,0)), HYPERLINK("#",""), HYPERLINK(CONCATENATE("#metadata!", ADDRESS(INDEX($X$2:$X$1001,MATCH(ROWS($V$2:V542),$V$2:$V$1001,0),0), INDEX($AC$1004:$AS$1004,1,MATCH(COLUMNS($AC$1006:AO1006),$AC$1006:$AS$1006,0)))),"Fix")))</f>
        <v xml:space="preserve"> </v>
      </c>
      <c r="O542" s="4" t="str">
        <f ca="1">IF(OR(INDEX($W$2:$W$1001,MATCH(ROWS($V$2:V542),$V$2:$V$1001,0),1)&gt;=100000,INDEX($AC$1005:$AS$1005,1,MATCH(COLUMNS($AC$1006:AP1006),$AC$1006:$AS$1006,0))&gt;=100000), " ",IF(INDEX($AC$2:$AS$1001,MATCH(ROWS($V$2:V542),$V$2:$V$1001,0),MATCH(COLUMNS($AC$1006:AP1006),$AC$1006:$AS$1006,0)), HYPERLINK("#",""), HYPERLINK(CONCATENATE("#metadata!", ADDRESS(INDEX($X$2:$X$1001,MATCH(ROWS($V$2:V542),$V$2:$V$1001,0),0), INDEX($AC$1004:$AS$1004,1,MATCH(COLUMNS($AC$1006:AP1006),$AC$1006:$AS$1006,0)))),"Fix")))</f>
        <v xml:space="preserve"> </v>
      </c>
      <c r="P542" s="4" t="str">
        <f ca="1">IF(OR(INDEX($W$2:$W$1001,MATCH(ROWS($V$2:V542),$V$2:$V$1001,0),1)&gt;=100000,INDEX($AC$1005:$AS$1005,1,MATCH(COLUMNS($AC$1006:AQ1006),$AC$1006:$AS$1006,0))&gt;=100000), " ",IF(INDEX($AC$2:$AS$1001,MATCH(ROWS($V$2:V542),$V$2:$V$1001,0),MATCH(COLUMNS($AC$1006:AQ1006),$AC$1006:$AS$1006,0)), HYPERLINK("#",""), HYPERLINK(CONCATENATE("#metadata!", ADDRESS(INDEX($X$2:$X$1001,MATCH(ROWS($V$2:V542),$V$2:$V$1001,0),0), INDEX($AC$1004:$AS$1004,1,MATCH(COLUMNS($AC$1006:AQ1006),$AC$1006:$AS$1006,0)))),"Fix")))</f>
        <v xml:space="preserve"> </v>
      </c>
      <c r="Q542" s="4" t="str">
        <f ca="1">IF(OR(INDEX($W$2:$W$1001,MATCH(ROWS($V$2:V542),$V$2:$V$1001,0),1)&gt;=100000,INDEX($AC$1005:$AS$1005,1,MATCH(COLUMNS($AC$1006:AR1006),$AC$1006:$AS$1006,0))&gt;=100000), " ",IF(INDEX($AC$2:$AS$1001,MATCH(ROWS($V$2:V542),$V$2:$V$1001,0),MATCH(COLUMNS($AC$1006:AR1006),$AC$1006:$AS$1006,0)), HYPERLINK("#",""), HYPERLINK(CONCATENATE("#metadata!", ADDRESS(INDEX($X$2:$X$1001,MATCH(ROWS($V$2:V542),$V$2:$V$1001,0),0), INDEX($AC$1004:$AS$1004,1,MATCH(COLUMNS($AC$1006:AR1006),$AC$1006:$AS$1006,0)))),"Fix")))</f>
        <v xml:space="preserve"> </v>
      </c>
      <c r="R542" s="4" t="str">
        <f ca="1">IF(OR(INDEX($W$2:$W$1001,MATCH(ROWS($V$2:V542),$V$2:$V$1001,0),1)&gt;=100000,INDEX($AC$1005:$AS$1005,1,MATCH(COLUMNS($AC$1006:AS1006),$AC$1006:$AS$1006,0))&gt;=100000), " ",IF(INDEX($AC$2:$AS$1001,MATCH(ROWS($V$2:V542),$V$2:$V$1001,0),MATCH(COLUMNS($AC$1006:AS1006),$AC$1006:$AS$1006,0)), HYPERLINK("#",""), HYPERLINK(CONCATENATE("#metadata!", ADDRESS(INDEX($X$2:$X$1001,MATCH(ROWS($V$2:V542),$V$2:$V$1001,0),0), INDEX($AC$1004:$AS$1004,1,MATCH(COLUMNS($AC$1006:AS1006),$AC$1006:$AS$1006,0)))),"Fix")))</f>
        <v xml:space="preserve"> </v>
      </c>
      <c r="V542">
        <v>541</v>
      </c>
      <c r="W542">
        <v>100542</v>
      </c>
      <c r="X542">
        <v>542</v>
      </c>
      <c r="Y542" t="b">
        <f t="shared" si="8"/>
        <v>1</v>
      </c>
      <c r="Z542" t="b">
        <f>COUNTBLANK(metadata!B542:R542)=COLUMNS(metadata!B542:R542)</f>
        <v>1</v>
      </c>
      <c r="AA542" t="str">
        <v/>
      </c>
      <c r="AC542" t="b">
        <f ca="1"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AD542" t="b">
        <f>IF(metadata!C542="",FALSE,ISNUMBER(VALUE(metadata!C542)))</f>
        <v>0</v>
      </c>
      <c r="AE542" t="b">
        <f>AND(IF(metadata!D542="",FALSE,TRUE),EXACT(metadata!D542,"years"))</f>
        <v>0</v>
      </c>
      <c r="AF542" t="b">
        <f>OR(AND(IF(metadata!E542="",FALSE,TRUE),OR(EXACT(metadata!E542,"not applicable"),EXACT(metadata!E542,"missing: not collected"),EXACT(metadata!E542,"missing: not provided"),EXACT(metadata!E542,"missing: restricted access"))),AND(IF(metadata!E542="",FALSE,ISNUMBER(VALUE(metadata!E542))),metadata!E542&gt;0))</f>
        <v>0</v>
      </c>
      <c r="AG542" t="b">
        <f>AND(IF(metadata!F542="",FALSE,TRUE),EXACT(metadata!F542,"Not applicable"))</f>
        <v>0</v>
      </c>
      <c r="AH542" t="b">
        <f>AND(IF(metadata!G542="",FALSE,TRUE),EXACT(metadata!G542,"urban biome"))</f>
        <v>0</v>
      </c>
      <c r="AI542" t="b">
        <f>AND(IF(metadata!H542="",FALSE,TRUE),EXACT(metadata!H542,"human-associated habitat"))</f>
        <v>0</v>
      </c>
      <c r="AJ542" t="b">
        <f>AND(IF(metadata!I542="",FALSE,TRUE),OR(EXACT(metadata!I542,"human-associated"),EXACT(metadata!I542,"human-skin"),EXACT(metadata!I542,"human-oral"),EXACT(metadata!I542,"human-gut"),EXACT(metadata!I542,"human-vaginal")))</f>
        <v>0</v>
      </c>
      <c r="AK542" t="b">
        <f>IF(metadata!J542="",FALSE,ISNUMBER(VALUE(metadata!J542)))</f>
        <v>0</v>
      </c>
      <c r="AL542" t="b">
        <f>AND(IF(metadata!K542="",FALSE,TRUE),EXACT(metadata!K542,"cm"))</f>
        <v>0</v>
      </c>
      <c r="AM542" t="b">
        <f>AND(IF(metadata!L542="",FALSE,TRUE),EXACT(metadata!L542,"human"))</f>
        <v>0</v>
      </c>
      <c r="AN542" t="b">
        <f>AND(IF(metadata!M542="",FALSE,TRUE),EXACT(metadata!M542,"Homo sapiens"))</f>
        <v>0</v>
      </c>
      <c r="AO542" t="b">
        <f>AND(IF(metadata!N542="",FALSE,TRUE),EXACT(metadata!N542,"9606"))</f>
        <v>0</v>
      </c>
      <c r="AP542" t="b">
        <f>IF(metadata!O542="",FALSE,TRUE)</f>
        <v>0</v>
      </c>
      <c r="AQ542" t="b">
        <f>IF(metadata!P542="",FALSE,TRUE)</f>
        <v>0</v>
      </c>
      <c r="AR542" t="b">
        <f>IF(metadata!Q542="",FALSE,ISNUMBER(VALUE(metadata!Q542)))</f>
        <v>0</v>
      </c>
      <c r="AS542" t="b">
        <f>AND(IF(metadata!R542="",FALSE,TRUE),EXACT(metadata!R542,"kg"))</f>
        <v>0</v>
      </c>
    </row>
    <row r="543" spans="1:45" x14ac:dyDescent="0.2">
      <c r="A543" s="5" t="str">
        <f ca="1">IF(B543=" "," ",HYPERLINK(CONCATENATE("#metadata!",ADDRESS(INDEX($X$2:$X$1001,MATCH(ROWS($V$2:V543),$V$2:$V$1001,0),0),1)),INDEX($AA$2:$AA$1001,MATCH(ROWS($V$2:V543),$V$2:$V$1001,0),0)))</f>
        <v xml:space="preserve"> </v>
      </c>
      <c r="B543" s="4" t="str">
        <f ca="1">IF(OR(INDEX($W$2:$W$1001,MATCH(ROWS($V$2:V543),$V$2:$V$1001,0),1)&gt;=100000,INDEX($AC$1005:$AS$1005,1,MATCH(COLUMNS($AC$1006:AC1006),$AC$1006:$AS$1006,0))&gt;=100000), " ",IF(INDEX($AC$2:$AS$1001,MATCH(ROWS($V$2:V543),$V$2:$V$1001,0),MATCH(COLUMNS($AC$1006:AC1006),$AC$1006:$AS$1006,0)), HYPERLINK("#",""), HYPERLINK(CONCATENATE("#metadata!", ADDRESS(INDEX($X$2:$X$1001,MATCH(ROWS($V$2:V543),$V$2:$V$1001,0),0), INDEX($AC$1004:$AS$1004,1,MATCH(COLUMNS($AC$1006:AC1006),$AC$1006:$AS$1006,0)))),"Fix")))</f>
        <v xml:space="preserve"> </v>
      </c>
      <c r="C543" s="4" t="str">
        <f ca="1">IF(OR(INDEX($W$2:$W$1001,MATCH(ROWS($V$2:V543),$V$2:$V$1001,0),1)&gt;=100000,INDEX($AC$1005:$AS$1005,1,MATCH(COLUMNS($AC$1006:AD1006),$AC$1006:$AS$1006,0))&gt;=100000), " ",IF(INDEX($AC$2:$AS$1001,MATCH(ROWS($V$2:V543),$V$2:$V$1001,0),MATCH(COLUMNS($AC$1006:AD1006),$AC$1006:$AS$1006,0)), HYPERLINK("#",""), HYPERLINK(CONCATENATE("#metadata!", ADDRESS(INDEX($X$2:$X$1001,MATCH(ROWS($V$2:V543),$V$2:$V$1001,0),0), INDEX($AC$1004:$AS$1004,1,MATCH(COLUMNS($AC$1006:AD1006),$AC$1006:$AS$1006,0)))),"Fix")))</f>
        <v xml:space="preserve"> </v>
      </c>
      <c r="D543" s="4" t="str">
        <f ca="1">IF(OR(INDEX($W$2:$W$1001,MATCH(ROWS($V$2:V543),$V$2:$V$1001,0),1)&gt;=100000,INDEX($AC$1005:$AS$1005,1,MATCH(COLUMNS($AC$1006:AE1006),$AC$1006:$AS$1006,0))&gt;=100000), " ",IF(INDEX($AC$2:$AS$1001,MATCH(ROWS($V$2:V543),$V$2:$V$1001,0),MATCH(COLUMNS($AC$1006:AE1006),$AC$1006:$AS$1006,0)), HYPERLINK("#",""), HYPERLINK(CONCATENATE("#metadata!", ADDRESS(INDEX($X$2:$X$1001,MATCH(ROWS($V$2:V543),$V$2:$V$1001,0),0), INDEX($AC$1004:$AS$1004,1,MATCH(COLUMNS($AC$1006:AE1006),$AC$1006:$AS$1006,0)))),"Fix")))</f>
        <v xml:space="preserve"> </v>
      </c>
      <c r="E543" s="4" t="str">
        <f ca="1">IF(OR(INDEX($W$2:$W$1001,MATCH(ROWS($V$2:V543),$V$2:$V$1001,0),1)&gt;=100000,INDEX($AC$1005:$AS$1005,1,MATCH(COLUMNS($AC$1006:AF1006),$AC$1006:$AS$1006,0))&gt;=100000), " ",IF(INDEX($AC$2:$AS$1001,MATCH(ROWS($V$2:V543),$V$2:$V$1001,0),MATCH(COLUMNS($AC$1006:AF1006),$AC$1006:$AS$1006,0)), HYPERLINK("#",""), HYPERLINK(CONCATENATE("#metadata!", ADDRESS(INDEX($X$2:$X$1001,MATCH(ROWS($V$2:V543),$V$2:$V$1001,0),0), INDEX($AC$1004:$AS$1004,1,MATCH(COLUMNS($AC$1006:AF1006),$AC$1006:$AS$1006,0)))),"Fix")))</f>
        <v xml:space="preserve"> </v>
      </c>
      <c r="F543" s="4" t="str">
        <f ca="1">IF(OR(INDEX($W$2:$W$1001,MATCH(ROWS($V$2:V543),$V$2:$V$1001,0),1)&gt;=100000,INDEX($AC$1005:$AS$1005,1,MATCH(COLUMNS($AC$1006:AG1006),$AC$1006:$AS$1006,0))&gt;=100000), " ",IF(INDEX($AC$2:$AS$1001,MATCH(ROWS($V$2:V543),$V$2:$V$1001,0),MATCH(COLUMNS($AC$1006:AG1006),$AC$1006:$AS$1006,0)), HYPERLINK("#",""), HYPERLINK(CONCATENATE("#metadata!", ADDRESS(INDEX($X$2:$X$1001,MATCH(ROWS($V$2:V543),$V$2:$V$1001,0),0), INDEX($AC$1004:$AS$1004,1,MATCH(COLUMNS($AC$1006:AG1006),$AC$1006:$AS$1006,0)))),"Fix")))</f>
        <v xml:space="preserve"> </v>
      </c>
      <c r="G543" s="4" t="str">
        <f ca="1">IF(OR(INDEX($W$2:$W$1001,MATCH(ROWS($V$2:V543),$V$2:$V$1001,0),1)&gt;=100000,INDEX($AC$1005:$AS$1005,1,MATCH(COLUMNS($AC$1006:AH1006),$AC$1006:$AS$1006,0))&gt;=100000), " ",IF(INDEX($AC$2:$AS$1001,MATCH(ROWS($V$2:V543),$V$2:$V$1001,0),MATCH(COLUMNS($AC$1006:AH1006),$AC$1006:$AS$1006,0)), HYPERLINK("#",""), HYPERLINK(CONCATENATE("#metadata!", ADDRESS(INDEX($X$2:$X$1001,MATCH(ROWS($V$2:V543),$V$2:$V$1001,0),0), INDEX($AC$1004:$AS$1004,1,MATCH(COLUMNS($AC$1006:AH1006),$AC$1006:$AS$1006,0)))),"Fix")))</f>
        <v xml:space="preserve"> </v>
      </c>
      <c r="H543" s="4" t="str">
        <f ca="1">IF(OR(INDEX($W$2:$W$1001,MATCH(ROWS($V$2:V543),$V$2:$V$1001,0),1)&gt;=100000,INDEX($AC$1005:$AS$1005,1,MATCH(COLUMNS($AC$1006:AI1006),$AC$1006:$AS$1006,0))&gt;=100000), " ",IF(INDEX($AC$2:$AS$1001,MATCH(ROWS($V$2:V543),$V$2:$V$1001,0),MATCH(COLUMNS($AC$1006:AI1006),$AC$1006:$AS$1006,0)), HYPERLINK("#",""), HYPERLINK(CONCATENATE("#metadata!", ADDRESS(INDEX($X$2:$X$1001,MATCH(ROWS($V$2:V543),$V$2:$V$1001,0),0), INDEX($AC$1004:$AS$1004,1,MATCH(COLUMNS($AC$1006:AI1006),$AC$1006:$AS$1006,0)))),"Fix")))</f>
        <v xml:space="preserve"> </v>
      </c>
      <c r="I543" s="4" t="str">
        <f ca="1">IF(OR(INDEX($W$2:$W$1001,MATCH(ROWS($V$2:V543),$V$2:$V$1001,0),1)&gt;=100000,INDEX($AC$1005:$AS$1005,1,MATCH(COLUMNS($AC$1006:AJ1006),$AC$1006:$AS$1006,0))&gt;=100000), " ",IF(INDEX($AC$2:$AS$1001,MATCH(ROWS($V$2:V543),$V$2:$V$1001,0),MATCH(COLUMNS($AC$1006:AJ1006),$AC$1006:$AS$1006,0)), HYPERLINK("#",""), HYPERLINK(CONCATENATE("#metadata!", ADDRESS(INDEX($X$2:$X$1001,MATCH(ROWS($V$2:V543),$V$2:$V$1001,0),0), INDEX($AC$1004:$AS$1004,1,MATCH(COLUMNS($AC$1006:AJ1006),$AC$1006:$AS$1006,0)))),"Fix")))</f>
        <v xml:space="preserve"> </v>
      </c>
      <c r="J543" s="4" t="str">
        <f ca="1">IF(OR(INDEX($W$2:$W$1001,MATCH(ROWS($V$2:V543),$V$2:$V$1001,0),1)&gt;=100000,INDEX($AC$1005:$AS$1005,1,MATCH(COLUMNS($AC$1006:AK1006),$AC$1006:$AS$1006,0))&gt;=100000), " ",IF(INDEX($AC$2:$AS$1001,MATCH(ROWS($V$2:V543),$V$2:$V$1001,0),MATCH(COLUMNS($AC$1006:AK1006),$AC$1006:$AS$1006,0)), HYPERLINK("#",""), HYPERLINK(CONCATENATE("#metadata!", ADDRESS(INDEX($X$2:$X$1001,MATCH(ROWS($V$2:V543),$V$2:$V$1001,0),0), INDEX($AC$1004:$AS$1004,1,MATCH(COLUMNS($AC$1006:AK1006),$AC$1006:$AS$1006,0)))),"Fix")))</f>
        <v xml:space="preserve"> </v>
      </c>
      <c r="K543" s="4" t="str">
        <f ca="1">IF(OR(INDEX($W$2:$W$1001,MATCH(ROWS($V$2:V543),$V$2:$V$1001,0),1)&gt;=100000,INDEX($AC$1005:$AS$1005,1,MATCH(COLUMNS($AC$1006:AL1006),$AC$1006:$AS$1006,0))&gt;=100000), " ",IF(INDEX($AC$2:$AS$1001,MATCH(ROWS($V$2:V543),$V$2:$V$1001,0),MATCH(COLUMNS($AC$1006:AL1006),$AC$1006:$AS$1006,0)), HYPERLINK("#",""), HYPERLINK(CONCATENATE("#metadata!", ADDRESS(INDEX($X$2:$X$1001,MATCH(ROWS($V$2:V543),$V$2:$V$1001,0),0), INDEX($AC$1004:$AS$1004,1,MATCH(COLUMNS($AC$1006:AL1006),$AC$1006:$AS$1006,0)))),"Fix")))</f>
        <v xml:space="preserve"> </v>
      </c>
      <c r="L543" s="4" t="str">
        <f ca="1">IF(OR(INDEX($W$2:$W$1001,MATCH(ROWS($V$2:V543),$V$2:$V$1001,0),1)&gt;=100000,INDEX($AC$1005:$AS$1005,1,MATCH(COLUMNS($AC$1006:AM1006),$AC$1006:$AS$1006,0))&gt;=100000), " ",IF(INDEX($AC$2:$AS$1001,MATCH(ROWS($V$2:V543),$V$2:$V$1001,0),MATCH(COLUMNS($AC$1006:AM1006),$AC$1006:$AS$1006,0)), HYPERLINK("#",""), HYPERLINK(CONCATENATE("#metadata!", ADDRESS(INDEX($X$2:$X$1001,MATCH(ROWS($V$2:V543),$V$2:$V$1001,0),0), INDEX($AC$1004:$AS$1004,1,MATCH(COLUMNS($AC$1006:AM1006),$AC$1006:$AS$1006,0)))),"Fix")))</f>
        <v xml:space="preserve"> </v>
      </c>
      <c r="M543" s="4" t="str">
        <f ca="1">IF(OR(INDEX($W$2:$W$1001,MATCH(ROWS($V$2:V543),$V$2:$V$1001,0),1)&gt;=100000,INDEX($AC$1005:$AS$1005,1,MATCH(COLUMNS($AC$1006:AN1006),$AC$1006:$AS$1006,0))&gt;=100000), " ",IF(INDEX($AC$2:$AS$1001,MATCH(ROWS($V$2:V543),$V$2:$V$1001,0),MATCH(COLUMNS($AC$1006:AN1006),$AC$1006:$AS$1006,0)), HYPERLINK("#",""), HYPERLINK(CONCATENATE("#metadata!", ADDRESS(INDEX($X$2:$X$1001,MATCH(ROWS($V$2:V543),$V$2:$V$1001,0),0), INDEX($AC$1004:$AS$1004,1,MATCH(COLUMNS($AC$1006:AN1006),$AC$1006:$AS$1006,0)))),"Fix")))</f>
        <v xml:space="preserve"> </v>
      </c>
      <c r="N543" s="4" t="str">
        <f ca="1">IF(OR(INDEX($W$2:$W$1001,MATCH(ROWS($V$2:V543),$V$2:$V$1001,0),1)&gt;=100000,INDEX($AC$1005:$AS$1005,1,MATCH(COLUMNS($AC$1006:AO1006),$AC$1006:$AS$1006,0))&gt;=100000), " ",IF(INDEX($AC$2:$AS$1001,MATCH(ROWS($V$2:V543),$V$2:$V$1001,0),MATCH(COLUMNS($AC$1006:AO1006),$AC$1006:$AS$1006,0)), HYPERLINK("#",""), HYPERLINK(CONCATENATE("#metadata!", ADDRESS(INDEX($X$2:$X$1001,MATCH(ROWS($V$2:V543),$V$2:$V$1001,0),0), INDEX($AC$1004:$AS$1004,1,MATCH(COLUMNS($AC$1006:AO1006),$AC$1006:$AS$1006,0)))),"Fix")))</f>
        <v xml:space="preserve"> </v>
      </c>
      <c r="O543" s="4" t="str">
        <f ca="1">IF(OR(INDEX($W$2:$W$1001,MATCH(ROWS($V$2:V543),$V$2:$V$1001,0),1)&gt;=100000,INDEX($AC$1005:$AS$1005,1,MATCH(COLUMNS($AC$1006:AP1006),$AC$1006:$AS$1006,0))&gt;=100000), " ",IF(INDEX($AC$2:$AS$1001,MATCH(ROWS($V$2:V543),$V$2:$V$1001,0),MATCH(COLUMNS($AC$1006:AP1006),$AC$1006:$AS$1006,0)), HYPERLINK("#",""), HYPERLINK(CONCATENATE("#metadata!", ADDRESS(INDEX($X$2:$X$1001,MATCH(ROWS($V$2:V543),$V$2:$V$1001,0),0), INDEX($AC$1004:$AS$1004,1,MATCH(COLUMNS($AC$1006:AP1006),$AC$1006:$AS$1006,0)))),"Fix")))</f>
        <v xml:space="preserve"> </v>
      </c>
      <c r="P543" s="4" t="str">
        <f ca="1">IF(OR(INDEX($W$2:$W$1001,MATCH(ROWS($V$2:V543),$V$2:$V$1001,0),1)&gt;=100000,INDEX($AC$1005:$AS$1005,1,MATCH(COLUMNS($AC$1006:AQ1006),$AC$1006:$AS$1006,0))&gt;=100000), " ",IF(INDEX($AC$2:$AS$1001,MATCH(ROWS($V$2:V543),$V$2:$V$1001,0),MATCH(COLUMNS($AC$1006:AQ1006),$AC$1006:$AS$1006,0)), HYPERLINK("#",""), HYPERLINK(CONCATENATE("#metadata!", ADDRESS(INDEX($X$2:$X$1001,MATCH(ROWS($V$2:V543),$V$2:$V$1001,0),0), INDEX($AC$1004:$AS$1004,1,MATCH(COLUMNS($AC$1006:AQ1006),$AC$1006:$AS$1006,0)))),"Fix")))</f>
        <v xml:space="preserve"> </v>
      </c>
      <c r="Q543" s="4" t="str">
        <f ca="1">IF(OR(INDEX($W$2:$W$1001,MATCH(ROWS($V$2:V543),$V$2:$V$1001,0),1)&gt;=100000,INDEX($AC$1005:$AS$1005,1,MATCH(COLUMNS($AC$1006:AR1006),$AC$1006:$AS$1006,0))&gt;=100000), " ",IF(INDEX($AC$2:$AS$1001,MATCH(ROWS($V$2:V543),$V$2:$V$1001,0),MATCH(COLUMNS($AC$1006:AR1006),$AC$1006:$AS$1006,0)), HYPERLINK("#",""), HYPERLINK(CONCATENATE("#metadata!", ADDRESS(INDEX($X$2:$X$1001,MATCH(ROWS($V$2:V543),$V$2:$V$1001,0),0), INDEX($AC$1004:$AS$1004,1,MATCH(COLUMNS($AC$1006:AR1006),$AC$1006:$AS$1006,0)))),"Fix")))</f>
        <v xml:space="preserve"> </v>
      </c>
      <c r="R543" s="4" t="str">
        <f ca="1">IF(OR(INDEX($W$2:$W$1001,MATCH(ROWS($V$2:V543),$V$2:$V$1001,0),1)&gt;=100000,INDEX($AC$1005:$AS$1005,1,MATCH(COLUMNS($AC$1006:AS1006),$AC$1006:$AS$1006,0))&gt;=100000), " ",IF(INDEX($AC$2:$AS$1001,MATCH(ROWS($V$2:V543),$V$2:$V$1001,0),MATCH(COLUMNS($AC$1006:AS1006),$AC$1006:$AS$1006,0)), HYPERLINK("#",""), HYPERLINK(CONCATENATE("#metadata!", ADDRESS(INDEX($X$2:$X$1001,MATCH(ROWS($V$2:V543),$V$2:$V$1001,0),0), INDEX($AC$1004:$AS$1004,1,MATCH(COLUMNS($AC$1006:AS1006),$AC$1006:$AS$1006,0)))),"Fix")))</f>
        <v xml:space="preserve"> </v>
      </c>
      <c r="V543">
        <v>542</v>
      </c>
      <c r="W543">
        <v>100543</v>
      </c>
      <c r="X543">
        <v>543</v>
      </c>
      <c r="Y543" t="b">
        <f t="shared" si="8"/>
        <v>1</v>
      </c>
      <c r="Z543" t="b">
        <f>COUNTBLANK(metadata!B543:R543)=COLUMNS(metadata!B543:R543)</f>
        <v>1</v>
      </c>
      <c r="AA543" t="str">
        <v/>
      </c>
      <c r="AC543" t="b">
        <f ca="1"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AD543" t="b">
        <f>IF(metadata!C543="",FALSE,ISNUMBER(VALUE(metadata!C543)))</f>
        <v>0</v>
      </c>
      <c r="AE543" t="b">
        <f>AND(IF(metadata!D543="",FALSE,TRUE),EXACT(metadata!D543,"years"))</f>
        <v>0</v>
      </c>
      <c r="AF543" t="b">
        <f>OR(AND(IF(metadata!E543="",FALSE,TRUE),OR(EXACT(metadata!E543,"not applicable"),EXACT(metadata!E543,"missing: not collected"),EXACT(metadata!E543,"missing: not provided"),EXACT(metadata!E543,"missing: restricted access"))),AND(IF(metadata!E543="",FALSE,ISNUMBER(VALUE(metadata!E543))),metadata!E543&gt;0))</f>
        <v>0</v>
      </c>
      <c r="AG543" t="b">
        <f>AND(IF(metadata!F543="",FALSE,TRUE),EXACT(metadata!F543,"Not applicable"))</f>
        <v>0</v>
      </c>
      <c r="AH543" t="b">
        <f>AND(IF(metadata!G543="",FALSE,TRUE),EXACT(metadata!G543,"urban biome"))</f>
        <v>0</v>
      </c>
      <c r="AI543" t="b">
        <f>AND(IF(metadata!H543="",FALSE,TRUE),EXACT(metadata!H543,"human-associated habitat"))</f>
        <v>0</v>
      </c>
      <c r="AJ543" t="b">
        <f>AND(IF(metadata!I543="",FALSE,TRUE),OR(EXACT(metadata!I543,"human-associated"),EXACT(metadata!I543,"human-skin"),EXACT(metadata!I543,"human-oral"),EXACT(metadata!I543,"human-gut"),EXACT(metadata!I543,"human-vaginal")))</f>
        <v>0</v>
      </c>
      <c r="AK543" t="b">
        <f>IF(metadata!J543="",FALSE,ISNUMBER(VALUE(metadata!J543)))</f>
        <v>0</v>
      </c>
      <c r="AL543" t="b">
        <f>AND(IF(metadata!K543="",FALSE,TRUE),EXACT(metadata!K543,"cm"))</f>
        <v>0</v>
      </c>
      <c r="AM543" t="b">
        <f>AND(IF(metadata!L543="",FALSE,TRUE),EXACT(metadata!L543,"human"))</f>
        <v>0</v>
      </c>
      <c r="AN543" t="b">
        <f>AND(IF(metadata!M543="",FALSE,TRUE),EXACT(metadata!M543,"Homo sapiens"))</f>
        <v>0</v>
      </c>
      <c r="AO543" t="b">
        <f>AND(IF(metadata!N543="",FALSE,TRUE),EXACT(metadata!N543,"9606"))</f>
        <v>0</v>
      </c>
      <c r="AP543" t="b">
        <f>IF(metadata!O543="",FALSE,TRUE)</f>
        <v>0</v>
      </c>
      <c r="AQ543" t="b">
        <f>IF(metadata!P543="",FALSE,TRUE)</f>
        <v>0</v>
      </c>
      <c r="AR543" t="b">
        <f>IF(metadata!Q543="",FALSE,ISNUMBER(VALUE(metadata!Q543)))</f>
        <v>0</v>
      </c>
      <c r="AS543" t="b">
        <f>AND(IF(metadata!R543="",FALSE,TRUE),EXACT(metadata!R543,"kg"))</f>
        <v>0</v>
      </c>
    </row>
    <row r="544" spans="1:45" x14ac:dyDescent="0.2">
      <c r="A544" s="5" t="str">
        <f ca="1">IF(B544=" "," ",HYPERLINK(CONCATENATE("#metadata!",ADDRESS(INDEX($X$2:$X$1001,MATCH(ROWS($V$2:V544),$V$2:$V$1001,0),0),1)),INDEX($AA$2:$AA$1001,MATCH(ROWS($V$2:V544),$V$2:$V$1001,0),0)))</f>
        <v xml:space="preserve"> </v>
      </c>
      <c r="B544" s="4" t="str">
        <f ca="1">IF(OR(INDEX($W$2:$W$1001,MATCH(ROWS($V$2:V544),$V$2:$V$1001,0),1)&gt;=100000,INDEX($AC$1005:$AS$1005,1,MATCH(COLUMNS($AC$1006:AC1006),$AC$1006:$AS$1006,0))&gt;=100000), " ",IF(INDEX($AC$2:$AS$1001,MATCH(ROWS($V$2:V544),$V$2:$V$1001,0),MATCH(COLUMNS($AC$1006:AC1006),$AC$1006:$AS$1006,0)), HYPERLINK("#",""), HYPERLINK(CONCATENATE("#metadata!", ADDRESS(INDEX($X$2:$X$1001,MATCH(ROWS($V$2:V544),$V$2:$V$1001,0),0), INDEX($AC$1004:$AS$1004,1,MATCH(COLUMNS($AC$1006:AC1006),$AC$1006:$AS$1006,0)))),"Fix")))</f>
        <v xml:space="preserve"> </v>
      </c>
      <c r="C544" s="4" t="str">
        <f ca="1">IF(OR(INDEX($W$2:$W$1001,MATCH(ROWS($V$2:V544),$V$2:$V$1001,0),1)&gt;=100000,INDEX($AC$1005:$AS$1005,1,MATCH(COLUMNS($AC$1006:AD1006),$AC$1006:$AS$1006,0))&gt;=100000), " ",IF(INDEX($AC$2:$AS$1001,MATCH(ROWS($V$2:V544),$V$2:$V$1001,0),MATCH(COLUMNS($AC$1006:AD1006),$AC$1006:$AS$1006,0)), HYPERLINK("#",""), HYPERLINK(CONCATENATE("#metadata!", ADDRESS(INDEX($X$2:$X$1001,MATCH(ROWS($V$2:V544),$V$2:$V$1001,0),0), INDEX($AC$1004:$AS$1004,1,MATCH(COLUMNS($AC$1006:AD1006),$AC$1006:$AS$1006,0)))),"Fix")))</f>
        <v xml:space="preserve"> </v>
      </c>
      <c r="D544" s="4" t="str">
        <f ca="1">IF(OR(INDEX($W$2:$W$1001,MATCH(ROWS($V$2:V544),$V$2:$V$1001,0),1)&gt;=100000,INDEX($AC$1005:$AS$1005,1,MATCH(COLUMNS($AC$1006:AE1006),$AC$1006:$AS$1006,0))&gt;=100000), " ",IF(INDEX($AC$2:$AS$1001,MATCH(ROWS($V$2:V544),$V$2:$V$1001,0),MATCH(COLUMNS($AC$1006:AE1006),$AC$1006:$AS$1006,0)), HYPERLINK("#",""), HYPERLINK(CONCATENATE("#metadata!", ADDRESS(INDEX($X$2:$X$1001,MATCH(ROWS($V$2:V544),$V$2:$V$1001,0),0), INDEX($AC$1004:$AS$1004,1,MATCH(COLUMNS($AC$1006:AE1006),$AC$1006:$AS$1006,0)))),"Fix")))</f>
        <v xml:space="preserve"> </v>
      </c>
      <c r="E544" s="4" t="str">
        <f ca="1">IF(OR(INDEX($W$2:$W$1001,MATCH(ROWS($V$2:V544),$V$2:$V$1001,0),1)&gt;=100000,INDEX($AC$1005:$AS$1005,1,MATCH(COLUMNS($AC$1006:AF1006),$AC$1006:$AS$1006,0))&gt;=100000), " ",IF(INDEX($AC$2:$AS$1001,MATCH(ROWS($V$2:V544),$V$2:$V$1001,0),MATCH(COLUMNS($AC$1006:AF1006),$AC$1006:$AS$1006,0)), HYPERLINK("#",""), HYPERLINK(CONCATENATE("#metadata!", ADDRESS(INDEX($X$2:$X$1001,MATCH(ROWS($V$2:V544),$V$2:$V$1001,0),0), INDEX($AC$1004:$AS$1004,1,MATCH(COLUMNS($AC$1006:AF1006),$AC$1006:$AS$1006,0)))),"Fix")))</f>
        <v xml:space="preserve"> </v>
      </c>
      <c r="F544" s="4" t="str">
        <f ca="1">IF(OR(INDEX($W$2:$W$1001,MATCH(ROWS($V$2:V544),$V$2:$V$1001,0),1)&gt;=100000,INDEX($AC$1005:$AS$1005,1,MATCH(COLUMNS($AC$1006:AG1006),$AC$1006:$AS$1006,0))&gt;=100000), " ",IF(INDEX($AC$2:$AS$1001,MATCH(ROWS($V$2:V544),$V$2:$V$1001,0),MATCH(COLUMNS($AC$1006:AG1006),$AC$1006:$AS$1006,0)), HYPERLINK("#",""), HYPERLINK(CONCATENATE("#metadata!", ADDRESS(INDEX($X$2:$X$1001,MATCH(ROWS($V$2:V544),$V$2:$V$1001,0),0), INDEX($AC$1004:$AS$1004,1,MATCH(COLUMNS($AC$1006:AG1006),$AC$1006:$AS$1006,0)))),"Fix")))</f>
        <v xml:space="preserve"> </v>
      </c>
      <c r="G544" s="4" t="str">
        <f ca="1">IF(OR(INDEX($W$2:$W$1001,MATCH(ROWS($V$2:V544),$V$2:$V$1001,0),1)&gt;=100000,INDEX($AC$1005:$AS$1005,1,MATCH(COLUMNS($AC$1006:AH1006),$AC$1006:$AS$1006,0))&gt;=100000), " ",IF(INDEX($AC$2:$AS$1001,MATCH(ROWS($V$2:V544),$V$2:$V$1001,0),MATCH(COLUMNS($AC$1006:AH1006),$AC$1006:$AS$1006,0)), HYPERLINK("#",""), HYPERLINK(CONCATENATE("#metadata!", ADDRESS(INDEX($X$2:$X$1001,MATCH(ROWS($V$2:V544),$V$2:$V$1001,0),0), INDEX($AC$1004:$AS$1004,1,MATCH(COLUMNS($AC$1006:AH1006),$AC$1006:$AS$1006,0)))),"Fix")))</f>
        <v xml:space="preserve"> </v>
      </c>
      <c r="H544" s="4" t="str">
        <f ca="1">IF(OR(INDEX($W$2:$W$1001,MATCH(ROWS($V$2:V544),$V$2:$V$1001,0),1)&gt;=100000,INDEX($AC$1005:$AS$1005,1,MATCH(COLUMNS($AC$1006:AI1006),$AC$1006:$AS$1006,0))&gt;=100000), " ",IF(INDEX($AC$2:$AS$1001,MATCH(ROWS($V$2:V544),$V$2:$V$1001,0),MATCH(COLUMNS($AC$1006:AI1006),$AC$1006:$AS$1006,0)), HYPERLINK("#",""), HYPERLINK(CONCATENATE("#metadata!", ADDRESS(INDEX($X$2:$X$1001,MATCH(ROWS($V$2:V544),$V$2:$V$1001,0),0), INDEX($AC$1004:$AS$1004,1,MATCH(COLUMNS($AC$1006:AI1006),$AC$1006:$AS$1006,0)))),"Fix")))</f>
        <v xml:space="preserve"> </v>
      </c>
      <c r="I544" s="4" t="str">
        <f ca="1">IF(OR(INDEX($W$2:$W$1001,MATCH(ROWS($V$2:V544),$V$2:$V$1001,0),1)&gt;=100000,INDEX($AC$1005:$AS$1005,1,MATCH(COLUMNS($AC$1006:AJ1006),$AC$1006:$AS$1006,0))&gt;=100000), " ",IF(INDEX($AC$2:$AS$1001,MATCH(ROWS($V$2:V544),$V$2:$V$1001,0),MATCH(COLUMNS($AC$1006:AJ1006),$AC$1006:$AS$1006,0)), HYPERLINK("#",""), HYPERLINK(CONCATENATE("#metadata!", ADDRESS(INDEX($X$2:$X$1001,MATCH(ROWS($V$2:V544),$V$2:$V$1001,0),0), INDEX($AC$1004:$AS$1004,1,MATCH(COLUMNS($AC$1006:AJ1006),$AC$1006:$AS$1006,0)))),"Fix")))</f>
        <v xml:space="preserve"> </v>
      </c>
      <c r="J544" s="4" t="str">
        <f ca="1">IF(OR(INDEX($W$2:$W$1001,MATCH(ROWS($V$2:V544),$V$2:$V$1001,0),1)&gt;=100000,INDEX($AC$1005:$AS$1005,1,MATCH(COLUMNS($AC$1006:AK1006),$AC$1006:$AS$1006,0))&gt;=100000), " ",IF(INDEX($AC$2:$AS$1001,MATCH(ROWS($V$2:V544),$V$2:$V$1001,0),MATCH(COLUMNS($AC$1006:AK1006),$AC$1006:$AS$1006,0)), HYPERLINK("#",""), HYPERLINK(CONCATENATE("#metadata!", ADDRESS(INDEX($X$2:$X$1001,MATCH(ROWS($V$2:V544),$V$2:$V$1001,0),0), INDEX($AC$1004:$AS$1004,1,MATCH(COLUMNS($AC$1006:AK1006),$AC$1006:$AS$1006,0)))),"Fix")))</f>
        <v xml:space="preserve"> </v>
      </c>
      <c r="K544" s="4" t="str">
        <f ca="1">IF(OR(INDEX($W$2:$W$1001,MATCH(ROWS($V$2:V544),$V$2:$V$1001,0),1)&gt;=100000,INDEX($AC$1005:$AS$1005,1,MATCH(COLUMNS($AC$1006:AL1006),$AC$1006:$AS$1006,0))&gt;=100000), " ",IF(INDEX($AC$2:$AS$1001,MATCH(ROWS($V$2:V544),$V$2:$V$1001,0),MATCH(COLUMNS($AC$1006:AL1006),$AC$1006:$AS$1006,0)), HYPERLINK("#",""), HYPERLINK(CONCATENATE("#metadata!", ADDRESS(INDEX($X$2:$X$1001,MATCH(ROWS($V$2:V544),$V$2:$V$1001,0),0), INDEX($AC$1004:$AS$1004,1,MATCH(COLUMNS($AC$1006:AL1006),$AC$1006:$AS$1006,0)))),"Fix")))</f>
        <v xml:space="preserve"> </v>
      </c>
      <c r="L544" s="4" t="str">
        <f ca="1">IF(OR(INDEX($W$2:$W$1001,MATCH(ROWS($V$2:V544),$V$2:$V$1001,0),1)&gt;=100000,INDEX($AC$1005:$AS$1005,1,MATCH(COLUMNS($AC$1006:AM1006),$AC$1006:$AS$1006,0))&gt;=100000), " ",IF(INDEX($AC$2:$AS$1001,MATCH(ROWS($V$2:V544),$V$2:$V$1001,0),MATCH(COLUMNS($AC$1006:AM1006),$AC$1006:$AS$1006,0)), HYPERLINK("#",""), HYPERLINK(CONCATENATE("#metadata!", ADDRESS(INDEX($X$2:$X$1001,MATCH(ROWS($V$2:V544),$V$2:$V$1001,0),0), INDEX($AC$1004:$AS$1004,1,MATCH(COLUMNS($AC$1006:AM1006),$AC$1006:$AS$1006,0)))),"Fix")))</f>
        <v xml:space="preserve"> </v>
      </c>
      <c r="M544" s="4" t="str">
        <f ca="1">IF(OR(INDEX($W$2:$W$1001,MATCH(ROWS($V$2:V544),$V$2:$V$1001,0),1)&gt;=100000,INDEX($AC$1005:$AS$1005,1,MATCH(COLUMNS($AC$1006:AN1006),$AC$1006:$AS$1006,0))&gt;=100000), " ",IF(INDEX($AC$2:$AS$1001,MATCH(ROWS($V$2:V544),$V$2:$V$1001,0),MATCH(COLUMNS($AC$1006:AN1006),$AC$1006:$AS$1006,0)), HYPERLINK("#",""), HYPERLINK(CONCATENATE("#metadata!", ADDRESS(INDEX($X$2:$X$1001,MATCH(ROWS($V$2:V544),$V$2:$V$1001,0),0), INDEX($AC$1004:$AS$1004,1,MATCH(COLUMNS($AC$1006:AN1006),$AC$1006:$AS$1006,0)))),"Fix")))</f>
        <v xml:space="preserve"> </v>
      </c>
      <c r="N544" s="4" t="str">
        <f ca="1">IF(OR(INDEX($W$2:$W$1001,MATCH(ROWS($V$2:V544),$V$2:$V$1001,0),1)&gt;=100000,INDEX($AC$1005:$AS$1005,1,MATCH(COLUMNS($AC$1006:AO1006),$AC$1006:$AS$1006,0))&gt;=100000), " ",IF(INDEX($AC$2:$AS$1001,MATCH(ROWS($V$2:V544),$V$2:$V$1001,0),MATCH(COLUMNS($AC$1006:AO1006),$AC$1006:$AS$1006,0)), HYPERLINK("#",""), HYPERLINK(CONCATENATE("#metadata!", ADDRESS(INDEX($X$2:$X$1001,MATCH(ROWS($V$2:V544),$V$2:$V$1001,0),0), INDEX($AC$1004:$AS$1004,1,MATCH(COLUMNS($AC$1006:AO1006),$AC$1006:$AS$1006,0)))),"Fix")))</f>
        <v xml:space="preserve"> </v>
      </c>
      <c r="O544" s="4" t="str">
        <f ca="1">IF(OR(INDEX($W$2:$W$1001,MATCH(ROWS($V$2:V544),$V$2:$V$1001,0),1)&gt;=100000,INDEX($AC$1005:$AS$1005,1,MATCH(COLUMNS($AC$1006:AP1006),$AC$1006:$AS$1006,0))&gt;=100000), " ",IF(INDEX($AC$2:$AS$1001,MATCH(ROWS($V$2:V544),$V$2:$V$1001,0),MATCH(COLUMNS($AC$1006:AP1006),$AC$1006:$AS$1006,0)), HYPERLINK("#",""), HYPERLINK(CONCATENATE("#metadata!", ADDRESS(INDEX($X$2:$X$1001,MATCH(ROWS($V$2:V544),$V$2:$V$1001,0),0), INDEX($AC$1004:$AS$1004,1,MATCH(COLUMNS($AC$1006:AP1006),$AC$1006:$AS$1006,0)))),"Fix")))</f>
        <v xml:space="preserve"> </v>
      </c>
      <c r="P544" s="4" t="str">
        <f ca="1">IF(OR(INDEX($W$2:$W$1001,MATCH(ROWS($V$2:V544),$V$2:$V$1001,0),1)&gt;=100000,INDEX($AC$1005:$AS$1005,1,MATCH(COLUMNS($AC$1006:AQ1006),$AC$1006:$AS$1006,0))&gt;=100000), " ",IF(INDEX($AC$2:$AS$1001,MATCH(ROWS($V$2:V544),$V$2:$V$1001,0),MATCH(COLUMNS($AC$1006:AQ1006),$AC$1006:$AS$1006,0)), HYPERLINK("#",""), HYPERLINK(CONCATENATE("#metadata!", ADDRESS(INDEX($X$2:$X$1001,MATCH(ROWS($V$2:V544),$V$2:$V$1001,0),0), INDEX($AC$1004:$AS$1004,1,MATCH(COLUMNS($AC$1006:AQ1006),$AC$1006:$AS$1006,0)))),"Fix")))</f>
        <v xml:space="preserve"> </v>
      </c>
      <c r="Q544" s="4" t="str">
        <f ca="1">IF(OR(INDEX($W$2:$W$1001,MATCH(ROWS($V$2:V544),$V$2:$V$1001,0),1)&gt;=100000,INDEX($AC$1005:$AS$1005,1,MATCH(COLUMNS($AC$1006:AR1006),$AC$1006:$AS$1006,0))&gt;=100000), " ",IF(INDEX($AC$2:$AS$1001,MATCH(ROWS($V$2:V544),$V$2:$V$1001,0),MATCH(COLUMNS($AC$1006:AR1006),$AC$1006:$AS$1006,0)), HYPERLINK("#",""), HYPERLINK(CONCATENATE("#metadata!", ADDRESS(INDEX($X$2:$X$1001,MATCH(ROWS($V$2:V544),$V$2:$V$1001,0),0), INDEX($AC$1004:$AS$1004,1,MATCH(COLUMNS($AC$1006:AR1006),$AC$1006:$AS$1006,0)))),"Fix")))</f>
        <v xml:space="preserve"> </v>
      </c>
      <c r="R544" s="4" t="str">
        <f ca="1">IF(OR(INDEX($W$2:$W$1001,MATCH(ROWS($V$2:V544),$V$2:$V$1001,0),1)&gt;=100000,INDEX($AC$1005:$AS$1005,1,MATCH(COLUMNS($AC$1006:AS1006),$AC$1006:$AS$1006,0))&gt;=100000), " ",IF(INDEX($AC$2:$AS$1001,MATCH(ROWS($V$2:V544),$V$2:$V$1001,0),MATCH(COLUMNS($AC$1006:AS1006),$AC$1006:$AS$1006,0)), HYPERLINK("#",""), HYPERLINK(CONCATENATE("#metadata!", ADDRESS(INDEX($X$2:$X$1001,MATCH(ROWS($V$2:V544),$V$2:$V$1001,0),0), INDEX($AC$1004:$AS$1004,1,MATCH(COLUMNS($AC$1006:AS1006),$AC$1006:$AS$1006,0)))),"Fix")))</f>
        <v xml:space="preserve"> </v>
      </c>
      <c r="V544">
        <v>543</v>
      </c>
      <c r="W544">
        <v>100544</v>
      </c>
      <c r="X544">
        <v>544</v>
      </c>
      <c r="Y544" t="b">
        <f t="shared" si="8"/>
        <v>1</v>
      </c>
      <c r="Z544" t="b">
        <f>COUNTBLANK(metadata!B544:R544)=COLUMNS(metadata!B544:R544)</f>
        <v>1</v>
      </c>
      <c r="AA544" t="str">
        <v/>
      </c>
      <c r="AC544" t="b">
        <f ca="1"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AD544" t="b">
        <f>IF(metadata!C544="",FALSE,ISNUMBER(VALUE(metadata!C544)))</f>
        <v>0</v>
      </c>
      <c r="AE544" t="b">
        <f>AND(IF(metadata!D544="",FALSE,TRUE),EXACT(metadata!D544,"years"))</f>
        <v>0</v>
      </c>
      <c r="AF544" t="b">
        <f>OR(AND(IF(metadata!E544="",FALSE,TRUE),OR(EXACT(metadata!E544,"not applicable"),EXACT(metadata!E544,"missing: not collected"),EXACT(metadata!E544,"missing: not provided"),EXACT(metadata!E544,"missing: restricted access"))),AND(IF(metadata!E544="",FALSE,ISNUMBER(VALUE(metadata!E544))),metadata!E544&gt;0))</f>
        <v>0</v>
      </c>
      <c r="AG544" t="b">
        <f>AND(IF(metadata!F544="",FALSE,TRUE),EXACT(metadata!F544,"Not applicable"))</f>
        <v>0</v>
      </c>
      <c r="AH544" t="b">
        <f>AND(IF(metadata!G544="",FALSE,TRUE),EXACT(metadata!G544,"urban biome"))</f>
        <v>0</v>
      </c>
      <c r="AI544" t="b">
        <f>AND(IF(metadata!H544="",FALSE,TRUE),EXACT(metadata!H544,"human-associated habitat"))</f>
        <v>0</v>
      </c>
      <c r="AJ544" t="b">
        <f>AND(IF(metadata!I544="",FALSE,TRUE),OR(EXACT(metadata!I544,"human-associated"),EXACT(metadata!I544,"human-skin"),EXACT(metadata!I544,"human-oral"),EXACT(metadata!I544,"human-gut"),EXACT(metadata!I544,"human-vaginal")))</f>
        <v>0</v>
      </c>
      <c r="AK544" t="b">
        <f>IF(metadata!J544="",FALSE,ISNUMBER(VALUE(metadata!J544)))</f>
        <v>0</v>
      </c>
      <c r="AL544" t="b">
        <f>AND(IF(metadata!K544="",FALSE,TRUE),EXACT(metadata!K544,"cm"))</f>
        <v>0</v>
      </c>
      <c r="AM544" t="b">
        <f>AND(IF(metadata!L544="",FALSE,TRUE),EXACT(metadata!L544,"human"))</f>
        <v>0</v>
      </c>
      <c r="AN544" t="b">
        <f>AND(IF(metadata!M544="",FALSE,TRUE),EXACT(metadata!M544,"Homo sapiens"))</f>
        <v>0</v>
      </c>
      <c r="AO544" t="b">
        <f>AND(IF(metadata!N544="",FALSE,TRUE),EXACT(metadata!N544,"9606"))</f>
        <v>0</v>
      </c>
      <c r="AP544" t="b">
        <f>IF(metadata!O544="",FALSE,TRUE)</f>
        <v>0</v>
      </c>
      <c r="AQ544" t="b">
        <f>IF(metadata!P544="",FALSE,TRUE)</f>
        <v>0</v>
      </c>
      <c r="AR544" t="b">
        <f>IF(metadata!Q544="",FALSE,ISNUMBER(VALUE(metadata!Q544)))</f>
        <v>0</v>
      </c>
      <c r="AS544" t="b">
        <f>AND(IF(metadata!R544="",FALSE,TRUE),EXACT(metadata!R544,"kg"))</f>
        <v>0</v>
      </c>
    </row>
    <row r="545" spans="1:45" x14ac:dyDescent="0.2">
      <c r="A545" s="5" t="str">
        <f ca="1">IF(B545=" "," ",HYPERLINK(CONCATENATE("#metadata!",ADDRESS(INDEX($X$2:$X$1001,MATCH(ROWS($V$2:V545),$V$2:$V$1001,0),0),1)),INDEX($AA$2:$AA$1001,MATCH(ROWS($V$2:V545),$V$2:$V$1001,0),0)))</f>
        <v xml:space="preserve"> </v>
      </c>
      <c r="B545" s="4" t="str">
        <f ca="1">IF(OR(INDEX($W$2:$W$1001,MATCH(ROWS($V$2:V545),$V$2:$V$1001,0),1)&gt;=100000,INDEX($AC$1005:$AS$1005,1,MATCH(COLUMNS($AC$1006:AC1006),$AC$1006:$AS$1006,0))&gt;=100000), " ",IF(INDEX($AC$2:$AS$1001,MATCH(ROWS($V$2:V545),$V$2:$V$1001,0),MATCH(COLUMNS($AC$1006:AC1006),$AC$1006:$AS$1006,0)), HYPERLINK("#",""), HYPERLINK(CONCATENATE("#metadata!", ADDRESS(INDEX($X$2:$X$1001,MATCH(ROWS($V$2:V545),$V$2:$V$1001,0),0), INDEX($AC$1004:$AS$1004,1,MATCH(COLUMNS($AC$1006:AC1006),$AC$1006:$AS$1006,0)))),"Fix")))</f>
        <v xml:space="preserve"> </v>
      </c>
      <c r="C545" s="4" t="str">
        <f ca="1">IF(OR(INDEX($W$2:$W$1001,MATCH(ROWS($V$2:V545),$V$2:$V$1001,0),1)&gt;=100000,INDEX($AC$1005:$AS$1005,1,MATCH(COLUMNS($AC$1006:AD1006),$AC$1006:$AS$1006,0))&gt;=100000), " ",IF(INDEX($AC$2:$AS$1001,MATCH(ROWS($V$2:V545),$V$2:$V$1001,0),MATCH(COLUMNS($AC$1006:AD1006),$AC$1006:$AS$1006,0)), HYPERLINK("#",""), HYPERLINK(CONCATENATE("#metadata!", ADDRESS(INDEX($X$2:$X$1001,MATCH(ROWS($V$2:V545),$V$2:$V$1001,0),0), INDEX($AC$1004:$AS$1004,1,MATCH(COLUMNS($AC$1006:AD1006),$AC$1006:$AS$1006,0)))),"Fix")))</f>
        <v xml:space="preserve"> </v>
      </c>
      <c r="D545" s="4" t="str">
        <f ca="1">IF(OR(INDEX($W$2:$W$1001,MATCH(ROWS($V$2:V545),$V$2:$V$1001,0),1)&gt;=100000,INDEX($AC$1005:$AS$1005,1,MATCH(COLUMNS($AC$1006:AE1006),$AC$1006:$AS$1006,0))&gt;=100000), " ",IF(INDEX($AC$2:$AS$1001,MATCH(ROWS($V$2:V545),$V$2:$V$1001,0),MATCH(COLUMNS($AC$1006:AE1006),$AC$1006:$AS$1006,0)), HYPERLINK("#",""), HYPERLINK(CONCATENATE("#metadata!", ADDRESS(INDEX($X$2:$X$1001,MATCH(ROWS($V$2:V545),$V$2:$V$1001,0),0), INDEX($AC$1004:$AS$1004,1,MATCH(COLUMNS($AC$1006:AE1006),$AC$1006:$AS$1006,0)))),"Fix")))</f>
        <v xml:space="preserve"> </v>
      </c>
      <c r="E545" s="4" t="str">
        <f ca="1">IF(OR(INDEX($W$2:$W$1001,MATCH(ROWS($V$2:V545),$V$2:$V$1001,0),1)&gt;=100000,INDEX($AC$1005:$AS$1005,1,MATCH(COLUMNS($AC$1006:AF1006),$AC$1006:$AS$1006,0))&gt;=100000), " ",IF(INDEX($AC$2:$AS$1001,MATCH(ROWS($V$2:V545),$V$2:$V$1001,0),MATCH(COLUMNS($AC$1006:AF1006),$AC$1006:$AS$1006,0)), HYPERLINK("#",""), HYPERLINK(CONCATENATE("#metadata!", ADDRESS(INDEX($X$2:$X$1001,MATCH(ROWS($V$2:V545),$V$2:$V$1001,0),0), INDEX($AC$1004:$AS$1004,1,MATCH(COLUMNS($AC$1006:AF1006),$AC$1006:$AS$1006,0)))),"Fix")))</f>
        <v xml:space="preserve"> </v>
      </c>
      <c r="F545" s="4" t="str">
        <f ca="1">IF(OR(INDEX($W$2:$W$1001,MATCH(ROWS($V$2:V545),$V$2:$V$1001,0),1)&gt;=100000,INDEX($AC$1005:$AS$1005,1,MATCH(COLUMNS($AC$1006:AG1006),$AC$1006:$AS$1006,0))&gt;=100000), " ",IF(INDEX($AC$2:$AS$1001,MATCH(ROWS($V$2:V545),$V$2:$V$1001,0),MATCH(COLUMNS($AC$1006:AG1006),$AC$1006:$AS$1006,0)), HYPERLINK("#",""), HYPERLINK(CONCATENATE("#metadata!", ADDRESS(INDEX($X$2:$X$1001,MATCH(ROWS($V$2:V545),$V$2:$V$1001,0),0), INDEX($AC$1004:$AS$1004,1,MATCH(COLUMNS($AC$1006:AG1006),$AC$1006:$AS$1006,0)))),"Fix")))</f>
        <v xml:space="preserve"> </v>
      </c>
      <c r="G545" s="4" t="str">
        <f ca="1">IF(OR(INDEX($W$2:$W$1001,MATCH(ROWS($V$2:V545),$V$2:$V$1001,0),1)&gt;=100000,INDEX($AC$1005:$AS$1005,1,MATCH(COLUMNS($AC$1006:AH1006),$AC$1006:$AS$1006,0))&gt;=100000), " ",IF(INDEX($AC$2:$AS$1001,MATCH(ROWS($V$2:V545),$V$2:$V$1001,0),MATCH(COLUMNS($AC$1006:AH1006),$AC$1006:$AS$1006,0)), HYPERLINK("#",""), HYPERLINK(CONCATENATE("#metadata!", ADDRESS(INDEX($X$2:$X$1001,MATCH(ROWS($V$2:V545),$V$2:$V$1001,0),0), INDEX($AC$1004:$AS$1004,1,MATCH(COLUMNS($AC$1006:AH1006),$AC$1006:$AS$1006,0)))),"Fix")))</f>
        <v xml:space="preserve"> </v>
      </c>
      <c r="H545" s="4" t="str">
        <f ca="1">IF(OR(INDEX($W$2:$W$1001,MATCH(ROWS($V$2:V545),$V$2:$V$1001,0),1)&gt;=100000,INDEX($AC$1005:$AS$1005,1,MATCH(COLUMNS($AC$1006:AI1006),$AC$1006:$AS$1006,0))&gt;=100000), " ",IF(INDEX($AC$2:$AS$1001,MATCH(ROWS($V$2:V545),$V$2:$V$1001,0),MATCH(COLUMNS($AC$1006:AI1006),$AC$1006:$AS$1006,0)), HYPERLINK("#",""), HYPERLINK(CONCATENATE("#metadata!", ADDRESS(INDEX($X$2:$X$1001,MATCH(ROWS($V$2:V545),$V$2:$V$1001,0),0), INDEX($AC$1004:$AS$1004,1,MATCH(COLUMNS($AC$1006:AI1006),$AC$1006:$AS$1006,0)))),"Fix")))</f>
        <v xml:space="preserve"> </v>
      </c>
      <c r="I545" s="4" t="str">
        <f ca="1">IF(OR(INDEX($W$2:$W$1001,MATCH(ROWS($V$2:V545),$V$2:$V$1001,0),1)&gt;=100000,INDEX($AC$1005:$AS$1005,1,MATCH(COLUMNS($AC$1006:AJ1006),$AC$1006:$AS$1006,0))&gt;=100000), " ",IF(INDEX($AC$2:$AS$1001,MATCH(ROWS($V$2:V545),$V$2:$V$1001,0),MATCH(COLUMNS($AC$1006:AJ1006),$AC$1006:$AS$1006,0)), HYPERLINK("#",""), HYPERLINK(CONCATENATE("#metadata!", ADDRESS(INDEX($X$2:$X$1001,MATCH(ROWS($V$2:V545),$V$2:$V$1001,0),0), INDEX($AC$1004:$AS$1004,1,MATCH(COLUMNS($AC$1006:AJ1006),$AC$1006:$AS$1006,0)))),"Fix")))</f>
        <v xml:space="preserve"> </v>
      </c>
      <c r="J545" s="4" t="str">
        <f ca="1">IF(OR(INDEX($W$2:$W$1001,MATCH(ROWS($V$2:V545),$V$2:$V$1001,0),1)&gt;=100000,INDEX($AC$1005:$AS$1005,1,MATCH(COLUMNS($AC$1006:AK1006),$AC$1006:$AS$1006,0))&gt;=100000), " ",IF(INDEX($AC$2:$AS$1001,MATCH(ROWS($V$2:V545),$V$2:$V$1001,0),MATCH(COLUMNS($AC$1006:AK1006),$AC$1006:$AS$1006,0)), HYPERLINK("#",""), HYPERLINK(CONCATENATE("#metadata!", ADDRESS(INDEX($X$2:$X$1001,MATCH(ROWS($V$2:V545),$V$2:$V$1001,0),0), INDEX($AC$1004:$AS$1004,1,MATCH(COLUMNS($AC$1006:AK1006),$AC$1006:$AS$1006,0)))),"Fix")))</f>
        <v xml:space="preserve"> </v>
      </c>
      <c r="K545" s="4" t="str">
        <f ca="1">IF(OR(INDEX($W$2:$W$1001,MATCH(ROWS($V$2:V545),$V$2:$V$1001,0),1)&gt;=100000,INDEX($AC$1005:$AS$1005,1,MATCH(COLUMNS($AC$1006:AL1006),$AC$1006:$AS$1006,0))&gt;=100000), " ",IF(INDEX($AC$2:$AS$1001,MATCH(ROWS($V$2:V545),$V$2:$V$1001,0),MATCH(COLUMNS($AC$1006:AL1006),$AC$1006:$AS$1006,0)), HYPERLINK("#",""), HYPERLINK(CONCATENATE("#metadata!", ADDRESS(INDEX($X$2:$X$1001,MATCH(ROWS($V$2:V545),$V$2:$V$1001,0),0), INDEX($AC$1004:$AS$1004,1,MATCH(COLUMNS($AC$1006:AL1006),$AC$1006:$AS$1006,0)))),"Fix")))</f>
        <v xml:space="preserve"> </v>
      </c>
      <c r="L545" s="4" t="str">
        <f ca="1">IF(OR(INDEX($W$2:$W$1001,MATCH(ROWS($V$2:V545),$V$2:$V$1001,0),1)&gt;=100000,INDEX($AC$1005:$AS$1005,1,MATCH(COLUMNS($AC$1006:AM1006),$AC$1006:$AS$1006,0))&gt;=100000), " ",IF(INDEX($AC$2:$AS$1001,MATCH(ROWS($V$2:V545),$V$2:$V$1001,0),MATCH(COLUMNS($AC$1006:AM1006),$AC$1006:$AS$1006,0)), HYPERLINK("#",""), HYPERLINK(CONCATENATE("#metadata!", ADDRESS(INDEX($X$2:$X$1001,MATCH(ROWS($V$2:V545),$V$2:$V$1001,0),0), INDEX($AC$1004:$AS$1004,1,MATCH(COLUMNS($AC$1006:AM1006),$AC$1006:$AS$1006,0)))),"Fix")))</f>
        <v xml:space="preserve"> </v>
      </c>
      <c r="M545" s="4" t="str">
        <f ca="1">IF(OR(INDEX($W$2:$W$1001,MATCH(ROWS($V$2:V545),$V$2:$V$1001,0),1)&gt;=100000,INDEX($AC$1005:$AS$1005,1,MATCH(COLUMNS($AC$1006:AN1006),$AC$1006:$AS$1006,0))&gt;=100000), " ",IF(INDEX($AC$2:$AS$1001,MATCH(ROWS($V$2:V545),$V$2:$V$1001,0),MATCH(COLUMNS($AC$1006:AN1006),$AC$1006:$AS$1006,0)), HYPERLINK("#",""), HYPERLINK(CONCATENATE("#metadata!", ADDRESS(INDEX($X$2:$X$1001,MATCH(ROWS($V$2:V545),$V$2:$V$1001,0),0), INDEX($AC$1004:$AS$1004,1,MATCH(COLUMNS($AC$1006:AN1006),$AC$1006:$AS$1006,0)))),"Fix")))</f>
        <v xml:space="preserve"> </v>
      </c>
      <c r="N545" s="4" t="str">
        <f ca="1">IF(OR(INDEX($W$2:$W$1001,MATCH(ROWS($V$2:V545),$V$2:$V$1001,0),1)&gt;=100000,INDEX($AC$1005:$AS$1005,1,MATCH(COLUMNS($AC$1006:AO1006),$AC$1006:$AS$1006,0))&gt;=100000), " ",IF(INDEX($AC$2:$AS$1001,MATCH(ROWS($V$2:V545),$V$2:$V$1001,0),MATCH(COLUMNS($AC$1006:AO1006),$AC$1006:$AS$1006,0)), HYPERLINK("#",""), HYPERLINK(CONCATENATE("#metadata!", ADDRESS(INDEX($X$2:$X$1001,MATCH(ROWS($V$2:V545),$V$2:$V$1001,0),0), INDEX($AC$1004:$AS$1004,1,MATCH(COLUMNS($AC$1006:AO1006),$AC$1006:$AS$1006,0)))),"Fix")))</f>
        <v xml:space="preserve"> </v>
      </c>
      <c r="O545" s="4" t="str">
        <f ca="1">IF(OR(INDEX($W$2:$W$1001,MATCH(ROWS($V$2:V545),$V$2:$V$1001,0),1)&gt;=100000,INDEX($AC$1005:$AS$1005,1,MATCH(COLUMNS($AC$1006:AP1006),$AC$1006:$AS$1006,0))&gt;=100000), " ",IF(INDEX($AC$2:$AS$1001,MATCH(ROWS($V$2:V545),$V$2:$V$1001,0),MATCH(COLUMNS($AC$1006:AP1006),$AC$1006:$AS$1006,0)), HYPERLINK("#",""), HYPERLINK(CONCATENATE("#metadata!", ADDRESS(INDEX($X$2:$X$1001,MATCH(ROWS($V$2:V545),$V$2:$V$1001,0),0), INDEX($AC$1004:$AS$1004,1,MATCH(COLUMNS($AC$1006:AP1006),$AC$1006:$AS$1006,0)))),"Fix")))</f>
        <v xml:space="preserve"> </v>
      </c>
      <c r="P545" s="4" t="str">
        <f ca="1">IF(OR(INDEX($W$2:$W$1001,MATCH(ROWS($V$2:V545),$V$2:$V$1001,0),1)&gt;=100000,INDEX($AC$1005:$AS$1005,1,MATCH(COLUMNS($AC$1006:AQ1006),$AC$1006:$AS$1006,0))&gt;=100000), " ",IF(INDEX($AC$2:$AS$1001,MATCH(ROWS($V$2:V545),$V$2:$V$1001,0),MATCH(COLUMNS($AC$1006:AQ1006),$AC$1006:$AS$1006,0)), HYPERLINK("#",""), HYPERLINK(CONCATENATE("#metadata!", ADDRESS(INDEX($X$2:$X$1001,MATCH(ROWS($V$2:V545),$V$2:$V$1001,0),0), INDEX($AC$1004:$AS$1004,1,MATCH(COLUMNS($AC$1006:AQ1006),$AC$1006:$AS$1006,0)))),"Fix")))</f>
        <v xml:space="preserve"> </v>
      </c>
      <c r="Q545" s="4" t="str">
        <f ca="1">IF(OR(INDEX($W$2:$W$1001,MATCH(ROWS($V$2:V545),$V$2:$V$1001,0),1)&gt;=100000,INDEX($AC$1005:$AS$1005,1,MATCH(COLUMNS($AC$1006:AR1006),$AC$1006:$AS$1006,0))&gt;=100000), " ",IF(INDEX($AC$2:$AS$1001,MATCH(ROWS($V$2:V545),$V$2:$V$1001,0),MATCH(COLUMNS($AC$1006:AR1006),$AC$1006:$AS$1006,0)), HYPERLINK("#",""), HYPERLINK(CONCATENATE("#metadata!", ADDRESS(INDEX($X$2:$X$1001,MATCH(ROWS($V$2:V545),$V$2:$V$1001,0),0), INDEX($AC$1004:$AS$1004,1,MATCH(COLUMNS($AC$1006:AR1006),$AC$1006:$AS$1006,0)))),"Fix")))</f>
        <v xml:space="preserve"> </v>
      </c>
      <c r="R545" s="4" t="str">
        <f ca="1">IF(OR(INDEX($W$2:$W$1001,MATCH(ROWS($V$2:V545),$V$2:$V$1001,0),1)&gt;=100000,INDEX($AC$1005:$AS$1005,1,MATCH(COLUMNS($AC$1006:AS1006),$AC$1006:$AS$1006,0))&gt;=100000), " ",IF(INDEX($AC$2:$AS$1001,MATCH(ROWS($V$2:V545),$V$2:$V$1001,0),MATCH(COLUMNS($AC$1006:AS1006),$AC$1006:$AS$1006,0)), HYPERLINK("#",""), HYPERLINK(CONCATENATE("#metadata!", ADDRESS(INDEX($X$2:$X$1001,MATCH(ROWS($V$2:V545),$V$2:$V$1001,0),0), INDEX($AC$1004:$AS$1004,1,MATCH(COLUMNS($AC$1006:AS1006),$AC$1006:$AS$1006,0)))),"Fix")))</f>
        <v xml:space="preserve"> </v>
      </c>
      <c r="V545">
        <v>544</v>
      </c>
      <c r="W545">
        <v>100545</v>
      </c>
      <c r="X545">
        <v>545</v>
      </c>
      <c r="Y545" t="b">
        <f t="shared" si="8"/>
        <v>1</v>
      </c>
      <c r="Z545" t="b">
        <f>COUNTBLANK(metadata!B545:R545)=COLUMNS(metadata!B545:R545)</f>
        <v>1</v>
      </c>
      <c r="AA545" t="str">
        <v/>
      </c>
      <c r="AC545" t="b">
        <f ca="1"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AD545" t="b">
        <f>IF(metadata!C545="",FALSE,ISNUMBER(VALUE(metadata!C545)))</f>
        <v>0</v>
      </c>
      <c r="AE545" t="b">
        <f>AND(IF(metadata!D545="",FALSE,TRUE),EXACT(metadata!D545,"years"))</f>
        <v>0</v>
      </c>
      <c r="AF545" t="b">
        <f>OR(AND(IF(metadata!E545="",FALSE,TRUE),OR(EXACT(metadata!E545,"not applicable"),EXACT(metadata!E545,"missing: not collected"),EXACT(metadata!E545,"missing: not provided"),EXACT(metadata!E545,"missing: restricted access"))),AND(IF(metadata!E545="",FALSE,ISNUMBER(VALUE(metadata!E545))),metadata!E545&gt;0))</f>
        <v>0</v>
      </c>
      <c r="AG545" t="b">
        <f>AND(IF(metadata!F545="",FALSE,TRUE),EXACT(metadata!F545,"Not applicable"))</f>
        <v>0</v>
      </c>
      <c r="AH545" t="b">
        <f>AND(IF(metadata!G545="",FALSE,TRUE),EXACT(metadata!G545,"urban biome"))</f>
        <v>0</v>
      </c>
      <c r="AI545" t="b">
        <f>AND(IF(metadata!H545="",FALSE,TRUE),EXACT(metadata!H545,"human-associated habitat"))</f>
        <v>0</v>
      </c>
      <c r="AJ545" t="b">
        <f>AND(IF(metadata!I545="",FALSE,TRUE),OR(EXACT(metadata!I545,"human-associated"),EXACT(metadata!I545,"human-skin"),EXACT(metadata!I545,"human-oral"),EXACT(metadata!I545,"human-gut"),EXACT(metadata!I545,"human-vaginal")))</f>
        <v>0</v>
      </c>
      <c r="AK545" t="b">
        <f>IF(metadata!J545="",FALSE,ISNUMBER(VALUE(metadata!J545)))</f>
        <v>0</v>
      </c>
      <c r="AL545" t="b">
        <f>AND(IF(metadata!K545="",FALSE,TRUE),EXACT(metadata!K545,"cm"))</f>
        <v>0</v>
      </c>
      <c r="AM545" t="b">
        <f>AND(IF(metadata!L545="",FALSE,TRUE),EXACT(metadata!L545,"human"))</f>
        <v>0</v>
      </c>
      <c r="AN545" t="b">
        <f>AND(IF(metadata!M545="",FALSE,TRUE),EXACT(metadata!M545,"Homo sapiens"))</f>
        <v>0</v>
      </c>
      <c r="AO545" t="b">
        <f>AND(IF(metadata!N545="",FALSE,TRUE),EXACT(metadata!N545,"9606"))</f>
        <v>0</v>
      </c>
      <c r="AP545" t="b">
        <f>IF(metadata!O545="",FALSE,TRUE)</f>
        <v>0</v>
      </c>
      <c r="AQ545" t="b">
        <f>IF(metadata!P545="",FALSE,TRUE)</f>
        <v>0</v>
      </c>
      <c r="AR545" t="b">
        <f>IF(metadata!Q545="",FALSE,ISNUMBER(VALUE(metadata!Q545)))</f>
        <v>0</v>
      </c>
      <c r="AS545" t="b">
        <f>AND(IF(metadata!R545="",FALSE,TRUE),EXACT(metadata!R545,"kg"))</f>
        <v>0</v>
      </c>
    </row>
    <row r="546" spans="1:45" x14ac:dyDescent="0.2">
      <c r="A546" s="5" t="str">
        <f ca="1">IF(B546=" "," ",HYPERLINK(CONCATENATE("#metadata!",ADDRESS(INDEX($X$2:$X$1001,MATCH(ROWS($V$2:V546),$V$2:$V$1001,0),0),1)),INDEX($AA$2:$AA$1001,MATCH(ROWS($V$2:V546),$V$2:$V$1001,0),0)))</f>
        <v xml:space="preserve"> </v>
      </c>
      <c r="B546" s="4" t="str">
        <f ca="1">IF(OR(INDEX($W$2:$W$1001,MATCH(ROWS($V$2:V546),$V$2:$V$1001,0),1)&gt;=100000,INDEX($AC$1005:$AS$1005,1,MATCH(COLUMNS($AC$1006:AC1006),$AC$1006:$AS$1006,0))&gt;=100000), " ",IF(INDEX($AC$2:$AS$1001,MATCH(ROWS($V$2:V546),$V$2:$V$1001,0),MATCH(COLUMNS($AC$1006:AC1006),$AC$1006:$AS$1006,0)), HYPERLINK("#",""), HYPERLINK(CONCATENATE("#metadata!", ADDRESS(INDEX($X$2:$X$1001,MATCH(ROWS($V$2:V546),$V$2:$V$1001,0),0), INDEX($AC$1004:$AS$1004,1,MATCH(COLUMNS($AC$1006:AC1006),$AC$1006:$AS$1006,0)))),"Fix")))</f>
        <v xml:space="preserve"> </v>
      </c>
      <c r="C546" s="4" t="str">
        <f ca="1">IF(OR(INDEX($W$2:$W$1001,MATCH(ROWS($V$2:V546),$V$2:$V$1001,0),1)&gt;=100000,INDEX($AC$1005:$AS$1005,1,MATCH(COLUMNS($AC$1006:AD1006),$AC$1006:$AS$1006,0))&gt;=100000), " ",IF(INDEX($AC$2:$AS$1001,MATCH(ROWS($V$2:V546),$V$2:$V$1001,0),MATCH(COLUMNS($AC$1006:AD1006),$AC$1006:$AS$1006,0)), HYPERLINK("#",""), HYPERLINK(CONCATENATE("#metadata!", ADDRESS(INDEX($X$2:$X$1001,MATCH(ROWS($V$2:V546),$V$2:$V$1001,0),0), INDEX($AC$1004:$AS$1004,1,MATCH(COLUMNS($AC$1006:AD1006),$AC$1006:$AS$1006,0)))),"Fix")))</f>
        <v xml:space="preserve"> </v>
      </c>
      <c r="D546" s="4" t="str">
        <f ca="1">IF(OR(INDEX($W$2:$W$1001,MATCH(ROWS($V$2:V546),$V$2:$V$1001,0),1)&gt;=100000,INDEX($AC$1005:$AS$1005,1,MATCH(COLUMNS($AC$1006:AE1006),$AC$1006:$AS$1006,0))&gt;=100000), " ",IF(INDEX($AC$2:$AS$1001,MATCH(ROWS($V$2:V546),$V$2:$V$1001,0),MATCH(COLUMNS($AC$1006:AE1006),$AC$1006:$AS$1006,0)), HYPERLINK("#",""), HYPERLINK(CONCATENATE("#metadata!", ADDRESS(INDEX($X$2:$X$1001,MATCH(ROWS($V$2:V546),$V$2:$V$1001,0),0), INDEX($AC$1004:$AS$1004,1,MATCH(COLUMNS($AC$1006:AE1006),$AC$1006:$AS$1006,0)))),"Fix")))</f>
        <v xml:space="preserve"> </v>
      </c>
      <c r="E546" s="4" t="str">
        <f ca="1">IF(OR(INDEX($W$2:$W$1001,MATCH(ROWS($V$2:V546),$V$2:$V$1001,0),1)&gt;=100000,INDEX($AC$1005:$AS$1005,1,MATCH(COLUMNS($AC$1006:AF1006),$AC$1006:$AS$1006,0))&gt;=100000), " ",IF(INDEX($AC$2:$AS$1001,MATCH(ROWS($V$2:V546),$V$2:$V$1001,0),MATCH(COLUMNS($AC$1006:AF1006),$AC$1006:$AS$1006,0)), HYPERLINK("#",""), HYPERLINK(CONCATENATE("#metadata!", ADDRESS(INDEX($X$2:$X$1001,MATCH(ROWS($V$2:V546),$V$2:$V$1001,0),0), INDEX($AC$1004:$AS$1004,1,MATCH(COLUMNS($AC$1006:AF1006),$AC$1006:$AS$1006,0)))),"Fix")))</f>
        <v xml:space="preserve"> </v>
      </c>
      <c r="F546" s="4" t="str">
        <f ca="1">IF(OR(INDEX($W$2:$W$1001,MATCH(ROWS($V$2:V546),$V$2:$V$1001,0),1)&gt;=100000,INDEX($AC$1005:$AS$1005,1,MATCH(COLUMNS($AC$1006:AG1006),$AC$1006:$AS$1006,0))&gt;=100000), " ",IF(INDEX($AC$2:$AS$1001,MATCH(ROWS($V$2:V546),$V$2:$V$1001,0),MATCH(COLUMNS($AC$1006:AG1006),$AC$1006:$AS$1006,0)), HYPERLINK("#",""), HYPERLINK(CONCATENATE("#metadata!", ADDRESS(INDEX($X$2:$X$1001,MATCH(ROWS($V$2:V546),$V$2:$V$1001,0),0), INDEX($AC$1004:$AS$1004,1,MATCH(COLUMNS($AC$1006:AG1006),$AC$1006:$AS$1006,0)))),"Fix")))</f>
        <v xml:space="preserve"> </v>
      </c>
      <c r="G546" s="4" t="str">
        <f ca="1">IF(OR(INDEX($W$2:$W$1001,MATCH(ROWS($V$2:V546),$V$2:$V$1001,0),1)&gt;=100000,INDEX($AC$1005:$AS$1005,1,MATCH(COLUMNS($AC$1006:AH1006),$AC$1006:$AS$1006,0))&gt;=100000), " ",IF(INDEX($AC$2:$AS$1001,MATCH(ROWS($V$2:V546),$V$2:$V$1001,0),MATCH(COLUMNS($AC$1006:AH1006),$AC$1006:$AS$1006,0)), HYPERLINK("#",""), HYPERLINK(CONCATENATE("#metadata!", ADDRESS(INDEX($X$2:$X$1001,MATCH(ROWS($V$2:V546),$V$2:$V$1001,0),0), INDEX($AC$1004:$AS$1004,1,MATCH(COLUMNS($AC$1006:AH1006),$AC$1006:$AS$1006,0)))),"Fix")))</f>
        <v xml:space="preserve"> </v>
      </c>
      <c r="H546" s="4" t="str">
        <f ca="1">IF(OR(INDEX($W$2:$W$1001,MATCH(ROWS($V$2:V546),$V$2:$V$1001,0),1)&gt;=100000,INDEX($AC$1005:$AS$1005,1,MATCH(COLUMNS($AC$1006:AI1006),$AC$1006:$AS$1006,0))&gt;=100000), " ",IF(INDEX($AC$2:$AS$1001,MATCH(ROWS($V$2:V546),$V$2:$V$1001,0),MATCH(COLUMNS($AC$1006:AI1006),$AC$1006:$AS$1006,0)), HYPERLINK("#",""), HYPERLINK(CONCATENATE("#metadata!", ADDRESS(INDEX($X$2:$X$1001,MATCH(ROWS($V$2:V546),$V$2:$V$1001,0),0), INDEX($AC$1004:$AS$1004,1,MATCH(COLUMNS($AC$1006:AI1006),$AC$1006:$AS$1006,0)))),"Fix")))</f>
        <v xml:space="preserve"> </v>
      </c>
      <c r="I546" s="4" t="str">
        <f ca="1">IF(OR(INDEX($W$2:$W$1001,MATCH(ROWS($V$2:V546),$V$2:$V$1001,0),1)&gt;=100000,INDEX($AC$1005:$AS$1005,1,MATCH(COLUMNS($AC$1006:AJ1006),$AC$1006:$AS$1006,0))&gt;=100000), " ",IF(INDEX($AC$2:$AS$1001,MATCH(ROWS($V$2:V546),$V$2:$V$1001,0),MATCH(COLUMNS($AC$1006:AJ1006),$AC$1006:$AS$1006,0)), HYPERLINK("#",""), HYPERLINK(CONCATENATE("#metadata!", ADDRESS(INDEX($X$2:$X$1001,MATCH(ROWS($V$2:V546),$V$2:$V$1001,0),0), INDEX($AC$1004:$AS$1004,1,MATCH(COLUMNS($AC$1006:AJ1006),$AC$1006:$AS$1006,0)))),"Fix")))</f>
        <v xml:space="preserve"> </v>
      </c>
      <c r="J546" s="4" t="str">
        <f ca="1">IF(OR(INDEX($W$2:$W$1001,MATCH(ROWS($V$2:V546),$V$2:$V$1001,0),1)&gt;=100000,INDEX($AC$1005:$AS$1005,1,MATCH(COLUMNS($AC$1006:AK1006),$AC$1006:$AS$1006,0))&gt;=100000), " ",IF(INDEX($AC$2:$AS$1001,MATCH(ROWS($V$2:V546),$V$2:$V$1001,0),MATCH(COLUMNS($AC$1006:AK1006),$AC$1006:$AS$1006,0)), HYPERLINK("#",""), HYPERLINK(CONCATENATE("#metadata!", ADDRESS(INDEX($X$2:$X$1001,MATCH(ROWS($V$2:V546),$V$2:$V$1001,0),0), INDEX($AC$1004:$AS$1004,1,MATCH(COLUMNS($AC$1006:AK1006),$AC$1006:$AS$1006,0)))),"Fix")))</f>
        <v xml:space="preserve"> </v>
      </c>
      <c r="K546" s="4" t="str">
        <f ca="1">IF(OR(INDEX($W$2:$W$1001,MATCH(ROWS($V$2:V546),$V$2:$V$1001,0),1)&gt;=100000,INDEX($AC$1005:$AS$1005,1,MATCH(COLUMNS($AC$1006:AL1006),$AC$1006:$AS$1006,0))&gt;=100000), " ",IF(INDEX($AC$2:$AS$1001,MATCH(ROWS($V$2:V546),$V$2:$V$1001,0),MATCH(COLUMNS($AC$1006:AL1006),$AC$1006:$AS$1006,0)), HYPERLINK("#",""), HYPERLINK(CONCATENATE("#metadata!", ADDRESS(INDEX($X$2:$X$1001,MATCH(ROWS($V$2:V546),$V$2:$V$1001,0),0), INDEX($AC$1004:$AS$1004,1,MATCH(COLUMNS($AC$1006:AL1006),$AC$1006:$AS$1006,0)))),"Fix")))</f>
        <v xml:space="preserve"> </v>
      </c>
      <c r="L546" s="4" t="str">
        <f ca="1">IF(OR(INDEX($W$2:$W$1001,MATCH(ROWS($V$2:V546),$V$2:$V$1001,0),1)&gt;=100000,INDEX($AC$1005:$AS$1005,1,MATCH(COLUMNS($AC$1006:AM1006),$AC$1006:$AS$1006,0))&gt;=100000), " ",IF(INDEX($AC$2:$AS$1001,MATCH(ROWS($V$2:V546),$V$2:$V$1001,0),MATCH(COLUMNS($AC$1006:AM1006),$AC$1006:$AS$1006,0)), HYPERLINK("#",""), HYPERLINK(CONCATENATE("#metadata!", ADDRESS(INDEX($X$2:$X$1001,MATCH(ROWS($V$2:V546),$V$2:$V$1001,0),0), INDEX($AC$1004:$AS$1004,1,MATCH(COLUMNS($AC$1006:AM1006),$AC$1006:$AS$1006,0)))),"Fix")))</f>
        <v xml:space="preserve"> </v>
      </c>
      <c r="M546" s="4" t="str">
        <f ca="1">IF(OR(INDEX($W$2:$W$1001,MATCH(ROWS($V$2:V546),$V$2:$V$1001,0),1)&gt;=100000,INDEX($AC$1005:$AS$1005,1,MATCH(COLUMNS($AC$1006:AN1006),$AC$1006:$AS$1006,0))&gt;=100000), " ",IF(INDEX($AC$2:$AS$1001,MATCH(ROWS($V$2:V546),$V$2:$V$1001,0),MATCH(COLUMNS($AC$1006:AN1006),$AC$1006:$AS$1006,0)), HYPERLINK("#",""), HYPERLINK(CONCATENATE("#metadata!", ADDRESS(INDEX($X$2:$X$1001,MATCH(ROWS($V$2:V546),$V$2:$V$1001,0),0), INDEX($AC$1004:$AS$1004,1,MATCH(COLUMNS($AC$1006:AN1006),$AC$1006:$AS$1006,0)))),"Fix")))</f>
        <v xml:space="preserve"> </v>
      </c>
      <c r="N546" s="4" t="str">
        <f ca="1">IF(OR(INDEX($W$2:$W$1001,MATCH(ROWS($V$2:V546),$V$2:$V$1001,0),1)&gt;=100000,INDEX($AC$1005:$AS$1005,1,MATCH(COLUMNS($AC$1006:AO1006),$AC$1006:$AS$1006,0))&gt;=100000), " ",IF(INDEX($AC$2:$AS$1001,MATCH(ROWS($V$2:V546),$V$2:$V$1001,0),MATCH(COLUMNS($AC$1006:AO1006),$AC$1006:$AS$1006,0)), HYPERLINK("#",""), HYPERLINK(CONCATENATE("#metadata!", ADDRESS(INDEX($X$2:$X$1001,MATCH(ROWS($V$2:V546),$V$2:$V$1001,0),0), INDEX($AC$1004:$AS$1004,1,MATCH(COLUMNS($AC$1006:AO1006),$AC$1006:$AS$1006,0)))),"Fix")))</f>
        <v xml:space="preserve"> </v>
      </c>
      <c r="O546" s="4" t="str">
        <f ca="1">IF(OR(INDEX($W$2:$W$1001,MATCH(ROWS($V$2:V546),$V$2:$V$1001,0),1)&gt;=100000,INDEX($AC$1005:$AS$1005,1,MATCH(COLUMNS($AC$1006:AP1006),$AC$1006:$AS$1006,0))&gt;=100000), " ",IF(INDEX($AC$2:$AS$1001,MATCH(ROWS($V$2:V546),$V$2:$V$1001,0),MATCH(COLUMNS($AC$1006:AP1006),$AC$1006:$AS$1006,0)), HYPERLINK("#",""), HYPERLINK(CONCATENATE("#metadata!", ADDRESS(INDEX($X$2:$X$1001,MATCH(ROWS($V$2:V546),$V$2:$V$1001,0),0), INDEX($AC$1004:$AS$1004,1,MATCH(COLUMNS($AC$1006:AP1006),$AC$1006:$AS$1006,0)))),"Fix")))</f>
        <v xml:space="preserve"> </v>
      </c>
      <c r="P546" s="4" t="str">
        <f ca="1">IF(OR(INDEX($W$2:$W$1001,MATCH(ROWS($V$2:V546),$V$2:$V$1001,0),1)&gt;=100000,INDEX($AC$1005:$AS$1005,1,MATCH(COLUMNS($AC$1006:AQ1006),$AC$1006:$AS$1006,0))&gt;=100000), " ",IF(INDEX($AC$2:$AS$1001,MATCH(ROWS($V$2:V546),$V$2:$V$1001,0),MATCH(COLUMNS($AC$1006:AQ1006),$AC$1006:$AS$1006,0)), HYPERLINK("#",""), HYPERLINK(CONCATENATE("#metadata!", ADDRESS(INDEX($X$2:$X$1001,MATCH(ROWS($V$2:V546),$V$2:$V$1001,0),0), INDEX($AC$1004:$AS$1004,1,MATCH(COLUMNS($AC$1006:AQ1006),$AC$1006:$AS$1006,0)))),"Fix")))</f>
        <v xml:space="preserve"> </v>
      </c>
      <c r="Q546" s="4" t="str">
        <f ca="1">IF(OR(INDEX($W$2:$W$1001,MATCH(ROWS($V$2:V546),$V$2:$V$1001,0),1)&gt;=100000,INDEX($AC$1005:$AS$1005,1,MATCH(COLUMNS($AC$1006:AR1006),$AC$1006:$AS$1006,0))&gt;=100000), " ",IF(INDEX($AC$2:$AS$1001,MATCH(ROWS($V$2:V546),$V$2:$V$1001,0),MATCH(COLUMNS($AC$1006:AR1006),$AC$1006:$AS$1006,0)), HYPERLINK("#",""), HYPERLINK(CONCATENATE("#metadata!", ADDRESS(INDEX($X$2:$X$1001,MATCH(ROWS($V$2:V546),$V$2:$V$1001,0),0), INDEX($AC$1004:$AS$1004,1,MATCH(COLUMNS($AC$1006:AR1006),$AC$1006:$AS$1006,0)))),"Fix")))</f>
        <v xml:space="preserve"> </v>
      </c>
      <c r="R546" s="4" t="str">
        <f ca="1">IF(OR(INDEX($W$2:$W$1001,MATCH(ROWS($V$2:V546),$V$2:$V$1001,0),1)&gt;=100000,INDEX($AC$1005:$AS$1005,1,MATCH(COLUMNS($AC$1006:AS1006),$AC$1006:$AS$1006,0))&gt;=100000), " ",IF(INDEX($AC$2:$AS$1001,MATCH(ROWS($V$2:V546),$V$2:$V$1001,0),MATCH(COLUMNS($AC$1006:AS1006),$AC$1006:$AS$1006,0)), HYPERLINK("#",""), HYPERLINK(CONCATENATE("#metadata!", ADDRESS(INDEX($X$2:$X$1001,MATCH(ROWS($V$2:V546),$V$2:$V$1001,0),0), INDEX($AC$1004:$AS$1004,1,MATCH(COLUMNS($AC$1006:AS1006),$AC$1006:$AS$1006,0)))),"Fix")))</f>
        <v xml:space="preserve"> </v>
      </c>
      <c r="V546">
        <v>545</v>
      </c>
      <c r="W546">
        <v>100546</v>
      </c>
      <c r="X546">
        <v>546</v>
      </c>
      <c r="Y546" t="b">
        <f t="shared" si="8"/>
        <v>1</v>
      </c>
      <c r="Z546" t="b">
        <f>COUNTBLANK(metadata!B546:R546)=COLUMNS(metadata!B546:R546)</f>
        <v>1</v>
      </c>
      <c r="AA546" t="str">
        <v/>
      </c>
      <c r="AC546" t="b">
        <f ca="1"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AD546" t="b">
        <f>IF(metadata!C546="",FALSE,ISNUMBER(VALUE(metadata!C546)))</f>
        <v>0</v>
      </c>
      <c r="AE546" t="b">
        <f>AND(IF(metadata!D546="",FALSE,TRUE),EXACT(metadata!D546,"years"))</f>
        <v>0</v>
      </c>
      <c r="AF546" t="b">
        <f>OR(AND(IF(metadata!E546="",FALSE,TRUE),OR(EXACT(metadata!E546,"not applicable"),EXACT(metadata!E546,"missing: not collected"),EXACT(metadata!E546,"missing: not provided"),EXACT(metadata!E546,"missing: restricted access"))),AND(IF(metadata!E546="",FALSE,ISNUMBER(VALUE(metadata!E546))),metadata!E546&gt;0))</f>
        <v>0</v>
      </c>
      <c r="AG546" t="b">
        <f>AND(IF(metadata!F546="",FALSE,TRUE),EXACT(metadata!F546,"Not applicable"))</f>
        <v>0</v>
      </c>
      <c r="AH546" t="b">
        <f>AND(IF(metadata!G546="",FALSE,TRUE),EXACT(metadata!G546,"urban biome"))</f>
        <v>0</v>
      </c>
      <c r="AI546" t="b">
        <f>AND(IF(metadata!H546="",FALSE,TRUE),EXACT(metadata!H546,"human-associated habitat"))</f>
        <v>0</v>
      </c>
      <c r="AJ546" t="b">
        <f>AND(IF(metadata!I546="",FALSE,TRUE),OR(EXACT(metadata!I546,"human-associated"),EXACT(metadata!I546,"human-skin"),EXACT(metadata!I546,"human-oral"),EXACT(metadata!I546,"human-gut"),EXACT(metadata!I546,"human-vaginal")))</f>
        <v>0</v>
      </c>
      <c r="AK546" t="b">
        <f>IF(metadata!J546="",FALSE,ISNUMBER(VALUE(metadata!J546)))</f>
        <v>0</v>
      </c>
      <c r="AL546" t="b">
        <f>AND(IF(metadata!K546="",FALSE,TRUE),EXACT(metadata!K546,"cm"))</f>
        <v>0</v>
      </c>
      <c r="AM546" t="b">
        <f>AND(IF(metadata!L546="",FALSE,TRUE),EXACT(metadata!L546,"human"))</f>
        <v>0</v>
      </c>
      <c r="AN546" t="b">
        <f>AND(IF(metadata!M546="",FALSE,TRUE),EXACT(metadata!M546,"Homo sapiens"))</f>
        <v>0</v>
      </c>
      <c r="AO546" t="b">
        <f>AND(IF(metadata!N546="",FALSE,TRUE),EXACT(metadata!N546,"9606"))</f>
        <v>0</v>
      </c>
      <c r="AP546" t="b">
        <f>IF(metadata!O546="",FALSE,TRUE)</f>
        <v>0</v>
      </c>
      <c r="AQ546" t="b">
        <f>IF(metadata!P546="",FALSE,TRUE)</f>
        <v>0</v>
      </c>
      <c r="AR546" t="b">
        <f>IF(metadata!Q546="",FALSE,ISNUMBER(VALUE(metadata!Q546)))</f>
        <v>0</v>
      </c>
      <c r="AS546" t="b">
        <f>AND(IF(metadata!R546="",FALSE,TRUE),EXACT(metadata!R546,"kg"))</f>
        <v>0</v>
      </c>
    </row>
    <row r="547" spans="1:45" x14ac:dyDescent="0.2">
      <c r="A547" s="5" t="str">
        <f ca="1">IF(B547=" "," ",HYPERLINK(CONCATENATE("#metadata!",ADDRESS(INDEX($X$2:$X$1001,MATCH(ROWS($V$2:V547),$V$2:$V$1001,0),0),1)),INDEX($AA$2:$AA$1001,MATCH(ROWS($V$2:V547),$V$2:$V$1001,0),0)))</f>
        <v xml:space="preserve"> </v>
      </c>
      <c r="B547" s="4" t="str">
        <f ca="1">IF(OR(INDEX($W$2:$W$1001,MATCH(ROWS($V$2:V547),$V$2:$V$1001,0),1)&gt;=100000,INDEX($AC$1005:$AS$1005,1,MATCH(COLUMNS($AC$1006:AC1006),$AC$1006:$AS$1006,0))&gt;=100000), " ",IF(INDEX($AC$2:$AS$1001,MATCH(ROWS($V$2:V547),$V$2:$V$1001,0),MATCH(COLUMNS($AC$1006:AC1006),$AC$1006:$AS$1006,0)), HYPERLINK("#",""), HYPERLINK(CONCATENATE("#metadata!", ADDRESS(INDEX($X$2:$X$1001,MATCH(ROWS($V$2:V547),$V$2:$V$1001,0),0), INDEX($AC$1004:$AS$1004,1,MATCH(COLUMNS($AC$1006:AC1006),$AC$1006:$AS$1006,0)))),"Fix")))</f>
        <v xml:space="preserve"> </v>
      </c>
      <c r="C547" s="4" t="str">
        <f ca="1">IF(OR(INDEX($W$2:$W$1001,MATCH(ROWS($V$2:V547),$V$2:$V$1001,0),1)&gt;=100000,INDEX($AC$1005:$AS$1005,1,MATCH(COLUMNS($AC$1006:AD1006),$AC$1006:$AS$1006,0))&gt;=100000), " ",IF(INDEX($AC$2:$AS$1001,MATCH(ROWS($V$2:V547),$V$2:$V$1001,0),MATCH(COLUMNS($AC$1006:AD1006),$AC$1006:$AS$1006,0)), HYPERLINK("#",""), HYPERLINK(CONCATENATE("#metadata!", ADDRESS(INDEX($X$2:$X$1001,MATCH(ROWS($V$2:V547),$V$2:$V$1001,0),0), INDEX($AC$1004:$AS$1004,1,MATCH(COLUMNS($AC$1006:AD1006),$AC$1006:$AS$1006,0)))),"Fix")))</f>
        <v xml:space="preserve"> </v>
      </c>
      <c r="D547" s="4" t="str">
        <f ca="1">IF(OR(INDEX($W$2:$W$1001,MATCH(ROWS($V$2:V547),$V$2:$V$1001,0),1)&gt;=100000,INDEX($AC$1005:$AS$1005,1,MATCH(COLUMNS($AC$1006:AE1006),$AC$1006:$AS$1006,0))&gt;=100000), " ",IF(INDEX($AC$2:$AS$1001,MATCH(ROWS($V$2:V547),$V$2:$V$1001,0),MATCH(COLUMNS($AC$1006:AE1006),$AC$1006:$AS$1006,0)), HYPERLINK("#",""), HYPERLINK(CONCATENATE("#metadata!", ADDRESS(INDEX($X$2:$X$1001,MATCH(ROWS($V$2:V547),$V$2:$V$1001,0),0), INDEX($AC$1004:$AS$1004,1,MATCH(COLUMNS($AC$1006:AE1006),$AC$1006:$AS$1006,0)))),"Fix")))</f>
        <v xml:space="preserve"> </v>
      </c>
      <c r="E547" s="4" t="str">
        <f ca="1">IF(OR(INDEX($W$2:$W$1001,MATCH(ROWS($V$2:V547),$V$2:$V$1001,0),1)&gt;=100000,INDEX($AC$1005:$AS$1005,1,MATCH(COLUMNS($AC$1006:AF1006),$AC$1006:$AS$1006,0))&gt;=100000), " ",IF(INDEX($AC$2:$AS$1001,MATCH(ROWS($V$2:V547),$V$2:$V$1001,0),MATCH(COLUMNS($AC$1006:AF1006),$AC$1006:$AS$1006,0)), HYPERLINK("#",""), HYPERLINK(CONCATENATE("#metadata!", ADDRESS(INDEX($X$2:$X$1001,MATCH(ROWS($V$2:V547),$V$2:$V$1001,0),0), INDEX($AC$1004:$AS$1004,1,MATCH(COLUMNS($AC$1006:AF1006),$AC$1006:$AS$1006,0)))),"Fix")))</f>
        <v xml:space="preserve"> </v>
      </c>
      <c r="F547" s="4" t="str">
        <f ca="1">IF(OR(INDEX($W$2:$W$1001,MATCH(ROWS($V$2:V547),$V$2:$V$1001,0),1)&gt;=100000,INDEX($AC$1005:$AS$1005,1,MATCH(COLUMNS($AC$1006:AG1006),$AC$1006:$AS$1006,0))&gt;=100000), " ",IF(INDEX($AC$2:$AS$1001,MATCH(ROWS($V$2:V547),$V$2:$V$1001,0),MATCH(COLUMNS($AC$1006:AG1006),$AC$1006:$AS$1006,0)), HYPERLINK("#",""), HYPERLINK(CONCATENATE("#metadata!", ADDRESS(INDEX($X$2:$X$1001,MATCH(ROWS($V$2:V547),$V$2:$V$1001,0),0), INDEX($AC$1004:$AS$1004,1,MATCH(COLUMNS($AC$1006:AG1006),$AC$1006:$AS$1006,0)))),"Fix")))</f>
        <v xml:space="preserve"> </v>
      </c>
      <c r="G547" s="4" t="str">
        <f ca="1">IF(OR(INDEX($W$2:$W$1001,MATCH(ROWS($V$2:V547),$V$2:$V$1001,0),1)&gt;=100000,INDEX($AC$1005:$AS$1005,1,MATCH(COLUMNS($AC$1006:AH1006),$AC$1006:$AS$1006,0))&gt;=100000), " ",IF(INDEX($AC$2:$AS$1001,MATCH(ROWS($V$2:V547),$V$2:$V$1001,0),MATCH(COLUMNS($AC$1006:AH1006),$AC$1006:$AS$1006,0)), HYPERLINK("#",""), HYPERLINK(CONCATENATE("#metadata!", ADDRESS(INDEX($X$2:$X$1001,MATCH(ROWS($V$2:V547),$V$2:$V$1001,0),0), INDEX($AC$1004:$AS$1004,1,MATCH(COLUMNS($AC$1006:AH1006),$AC$1006:$AS$1006,0)))),"Fix")))</f>
        <v xml:space="preserve"> </v>
      </c>
      <c r="H547" s="4" t="str">
        <f ca="1">IF(OR(INDEX($W$2:$W$1001,MATCH(ROWS($V$2:V547),$V$2:$V$1001,0),1)&gt;=100000,INDEX($AC$1005:$AS$1005,1,MATCH(COLUMNS($AC$1006:AI1006),$AC$1006:$AS$1006,0))&gt;=100000), " ",IF(INDEX($AC$2:$AS$1001,MATCH(ROWS($V$2:V547),$V$2:$V$1001,0),MATCH(COLUMNS($AC$1006:AI1006),$AC$1006:$AS$1006,0)), HYPERLINK("#",""), HYPERLINK(CONCATENATE("#metadata!", ADDRESS(INDEX($X$2:$X$1001,MATCH(ROWS($V$2:V547),$V$2:$V$1001,0),0), INDEX($AC$1004:$AS$1004,1,MATCH(COLUMNS($AC$1006:AI1006),$AC$1006:$AS$1006,0)))),"Fix")))</f>
        <v xml:space="preserve"> </v>
      </c>
      <c r="I547" s="4" t="str">
        <f ca="1">IF(OR(INDEX($W$2:$W$1001,MATCH(ROWS($V$2:V547),$V$2:$V$1001,0),1)&gt;=100000,INDEX($AC$1005:$AS$1005,1,MATCH(COLUMNS($AC$1006:AJ1006),$AC$1006:$AS$1006,0))&gt;=100000), " ",IF(INDEX($AC$2:$AS$1001,MATCH(ROWS($V$2:V547),$V$2:$V$1001,0),MATCH(COLUMNS($AC$1006:AJ1006),$AC$1006:$AS$1006,0)), HYPERLINK("#",""), HYPERLINK(CONCATENATE("#metadata!", ADDRESS(INDEX($X$2:$X$1001,MATCH(ROWS($V$2:V547),$V$2:$V$1001,0),0), INDEX($AC$1004:$AS$1004,1,MATCH(COLUMNS($AC$1006:AJ1006),$AC$1006:$AS$1006,0)))),"Fix")))</f>
        <v xml:space="preserve"> </v>
      </c>
      <c r="J547" s="4" t="str">
        <f ca="1">IF(OR(INDEX($W$2:$W$1001,MATCH(ROWS($V$2:V547),$V$2:$V$1001,0),1)&gt;=100000,INDEX($AC$1005:$AS$1005,1,MATCH(COLUMNS($AC$1006:AK1006),$AC$1006:$AS$1006,0))&gt;=100000), " ",IF(INDEX($AC$2:$AS$1001,MATCH(ROWS($V$2:V547),$V$2:$V$1001,0),MATCH(COLUMNS($AC$1006:AK1006),$AC$1006:$AS$1006,0)), HYPERLINK("#",""), HYPERLINK(CONCATENATE("#metadata!", ADDRESS(INDEX($X$2:$X$1001,MATCH(ROWS($V$2:V547),$V$2:$V$1001,0),0), INDEX($AC$1004:$AS$1004,1,MATCH(COLUMNS($AC$1006:AK1006),$AC$1006:$AS$1006,0)))),"Fix")))</f>
        <v xml:space="preserve"> </v>
      </c>
      <c r="K547" s="4" t="str">
        <f ca="1">IF(OR(INDEX($W$2:$W$1001,MATCH(ROWS($V$2:V547),$V$2:$V$1001,0),1)&gt;=100000,INDEX($AC$1005:$AS$1005,1,MATCH(COLUMNS($AC$1006:AL1006),$AC$1006:$AS$1006,0))&gt;=100000), " ",IF(INDEX($AC$2:$AS$1001,MATCH(ROWS($V$2:V547),$V$2:$V$1001,0),MATCH(COLUMNS($AC$1006:AL1006),$AC$1006:$AS$1006,0)), HYPERLINK("#",""), HYPERLINK(CONCATENATE("#metadata!", ADDRESS(INDEX($X$2:$X$1001,MATCH(ROWS($V$2:V547),$V$2:$V$1001,0),0), INDEX($AC$1004:$AS$1004,1,MATCH(COLUMNS($AC$1006:AL1006),$AC$1006:$AS$1006,0)))),"Fix")))</f>
        <v xml:space="preserve"> </v>
      </c>
      <c r="L547" s="4" t="str">
        <f ca="1">IF(OR(INDEX($W$2:$W$1001,MATCH(ROWS($V$2:V547),$V$2:$V$1001,0),1)&gt;=100000,INDEX($AC$1005:$AS$1005,1,MATCH(COLUMNS($AC$1006:AM1006),$AC$1006:$AS$1006,0))&gt;=100000), " ",IF(INDEX($AC$2:$AS$1001,MATCH(ROWS($V$2:V547),$V$2:$V$1001,0),MATCH(COLUMNS($AC$1006:AM1006),$AC$1006:$AS$1006,0)), HYPERLINK("#",""), HYPERLINK(CONCATENATE("#metadata!", ADDRESS(INDEX($X$2:$X$1001,MATCH(ROWS($V$2:V547),$V$2:$V$1001,0),0), INDEX($AC$1004:$AS$1004,1,MATCH(COLUMNS($AC$1006:AM1006),$AC$1006:$AS$1006,0)))),"Fix")))</f>
        <v xml:space="preserve"> </v>
      </c>
      <c r="M547" s="4" t="str">
        <f ca="1">IF(OR(INDEX($W$2:$W$1001,MATCH(ROWS($V$2:V547),$V$2:$V$1001,0),1)&gt;=100000,INDEX($AC$1005:$AS$1005,1,MATCH(COLUMNS($AC$1006:AN1006),$AC$1006:$AS$1006,0))&gt;=100000), " ",IF(INDEX($AC$2:$AS$1001,MATCH(ROWS($V$2:V547),$V$2:$V$1001,0),MATCH(COLUMNS($AC$1006:AN1006),$AC$1006:$AS$1006,0)), HYPERLINK("#",""), HYPERLINK(CONCATENATE("#metadata!", ADDRESS(INDEX($X$2:$X$1001,MATCH(ROWS($V$2:V547),$V$2:$V$1001,0),0), INDEX($AC$1004:$AS$1004,1,MATCH(COLUMNS($AC$1006:AN1006),$AC$1006:$AS$1006,0)))),"Fix")))</f>
        <v xml:space="preserve"> </v>
      </c>
      <c r="N547" s="4" t="str">
        <f ca="1">IF(OR(INDEX($W$2:$W$1001,MATCH(ROWS($V$2:V547),$V$2:$V$1001,0),1)&gt;=100000,INDEX($AC$1005:$AS$1005,1,MATCH(COLUMNS($AC$1006:AO1006),$AC$1006:$AS$1006,0))&gt;=100000), " ",IF(INDEX($AC$2:$AS$1001,MATCH(ROWS($V$2:V547),$V$2:$V$1001,0),MATCH(COLUMNS($AC$1006:AO1006),$AC$1006:$AS$1006,0)), HYPERLINK("#",""), HYPERLINK(CONCATENATE("#metadata!", ADDRESS(INDEX($X$2:$X$1001,MATCH(ROWS($V$2:V547),$V$2:$V$1001,0),0), INDEX($AC$1004:$AS$1004,1,MATCH(COLUMNS($AC$1006:AO1006),$AC$1006:$AS$1006,0)))),"Fix")))</f>
        <v xml:space="preserve"> </v>
      </c>
      <c r="O547" s="4" t="str">
        <f ca="1">IF(OR(INDEX($W$2:$W$1001,MATCH(ROWS($V$2:V547),$V$2:$V$1001,0),1)&gt;=100000,INDEX($AC$1005:$AS$1005,1,MATCH(COLUMNS($AC$1006:AP1006),$AC$1006:$AS$1006,0))&gt;=100000), " ",IF(INDEX($AC$2:$AS$1001,MATCH(ROWS($V$2:V547),$V$2:$V$1001,0),MATCH(COLUMNS($AC$1006:AP1006),$AC$1006:$AS$1006,0)), HYPERLINK("#",""), HYPERLINK(CONCATENATE("#metadata!", ADDRESS(INDEX($X$2:$X$1001,MATCH(ROWS($V$2:V547),$V$2:$V$1001,0),0), INDEX($AC$1004:$AS$1004,1,MATCH(COLUMNS($AC$1006:AP1006),$AC$1006:$AS$1006,0)))),"Fix")))</f>
        <v xml:space="preserve"> </v>
      </c>
      <c r="P547" s="4" t="str">
        <f ca="1">IF(OR(INDEX($W$2:$W$1001,MATCH(ROWS($V$2:V547),$V$2:$V$1001,0),1)&gt;=100000,INDEX($AC$1005:$AS$1005,1,MATCH(COLUMNS($AC$1006:AQ1006),$AC$1006:$AS$1006,0))&gt;=100000), " ",IF(INDEX($AC$2:$AS$1001,MATCH(ROWS($V$2:V547),$V$2:$V$1001,0),MATCH(COLUMNS($AC$1006:AQ1006),$AC$1006:$AS$1006,0)), HYPERLINK("#",""), HYPERLINK(CONCATENATE("#metadata!", ADDRESS(INDEX($X$2:$X$1001,MATCH(ROWS($V$2:V547),$V$2:$V$1001,0),0), INDEX($AC$1004:$AS$1004,1,MATCH(COLUMNS($AC$1006:AQ1006),$AC$1006:$AS$1006,0)))),"Fix")))</f>
        <v xml:space="preserve"> </v>
      </c>
      <c r="Q547" s="4" t="str">
        <f ca="1">IF(OR(INDEX($W$2:$W$1001,MATCH(ROWS($V$2:V547),$V$2:$V$1001,0),1)&gt;=100000,INDEX($AC$1005:$AS$1005,1,MATCH(COLUMNS($AC$1006:AR1006),$AC$1006:$AS$1006,0))&gt;=100000), " ",IF(INDEX($AC$2:$AS$1001,MATCH(ROWS($V$2:V547),$V$2:$V$1001,0),MATCH(COLUMNS($AC$1006:AR1006),$AC$1006:$AS$1006,0)), HYPERLINK("#",""), HYPERLINK(CONCATENATE("#metadata!", ADDRESS(INDEX($X$2:$X$1001,MATCH(ROWS($V$2:V547),$V$2:$V$1001,0),0), INDEX($AC$1004:$AS$1004,1,MATCH(COLUMNS($AC$1006:AR1006),$AC$1006:$AS$1006,0)))),"Fix")))</f>
        <v xml:space="preserve"> </v>
      </c>
      <c r="R547" s="4" t="str">
        <f ca="1">IF(OR(INDEX($W$2:$W$1001,MATCH(ROWS($V$2:V547),$V$2:$V$1001,0),1)&gt;=100000,INDEX($AC$1005:$AS$1005,1,MATCH(COLUMNS($AC$1006:AS1006),$AC$1006:$AS$1006,0))&gt;=100000), " ",IF(INDEX($AC$2:$AS$1001,MATCH(ROWS($V$2:V547),$V$2:$V$1001,0),MATCH(COLUMNS($AC$1006:AS1006),$AC$1006:$AS$1006,0)), HYPERLINK("#",""), HYPERLINK(CONCATENATE("#metadata!", ADDRESS(INDEX($X$2:$X$1001,MATCH(ROWS($V$2:V547),$V$2:$V$1001,0),0), INDEX($AC$1004:$AS$1004,1,MATCH(COLUMNS($AC$1006:AS1006),$AC$1006:$AS$1006,0)))),"Fix")))</f>
        <v xml:space="preserve"> </v>
      </c>
      <c r="V547">
        <v>546</v>
      </c>
      <c r="W547">
        <v>100547</v>
      </c>
      <c r="X547">
        <v>547</v>
      </c>
      <c r="Y547" t="b">
        <f t="shared" si="8"/>
        <v>1</v>
      </c>
      <c r="Z547" t="b">
        <f>COUNTBLANK(metadata!B547:R547)=COLUMNS(metadata!B547:R547)</f>
        <v>1</v>
      </c>
      <c r="AA547" t="str">
        <v/>
      </c>
      <c r="AC547" t="b">
        <f ca="1"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AD547" t="b">
        <f>IF(metadata!C547="",FALSE,ISNUMBER(VALUE(metadata!C547)))</f>
        <v>0</v>
      </c>
      <c r="AE547" t="b">
        <f>AND(IF(metadata!D547="",FALSE,TRUE),EXACT(metadata!D547,"years"))</f>
        <v>0</v>
      </c>
      <c r="AF547" t="b">
        <f>OR(AND(IF(metadata!E547="",FALSE,TRUE),OR(EXACT(metadata!E547,"not applicable"),EXACT(metadata!E547,"missing: not collected"),EXACT(metadata!E547,"missing: not provided"),EXACT(metadata!E547,"missing: restricted access"))),AND(IF(metadata!E547="",FALSE,ISNUMBER(VALUE(metadata!E547))),metadata!E547&gt;0))</f>
        <v>0</v>
      </c>
      <c r="AG547" t="b">
        <f>AND(IF(metadata!F547="",FALSE,TRUE),EXACT(metadata!F547,"Not applicable"))</f>
        <v>0</v>
      </c>
      <c r="AH547" t="b">
        <f>AND(IF(metadata!G547="",FALSE,TRUE),EXACT(metadata!G547,"urban biome"))</f>
        <v>0</v>
      </c>
      <c r="AI547" t="b">
        <f>AND(IF(metadata!H547="",FALSE,TRUE),EXACT(metadata!H547,"human-associated habitat"))</f>
        <v>0</v>
      </c>
      <c r="AJ547" t="b">
        <f>AND(IF(metadata!I547="",FALSE,TRUE),OR(EXACT(metadata!I547,"human-associated"),EXACT(metadata!I547,"human-skin"),EXACT(metadata!I547,"human-oral"),EXACT(metadata!I547,"human-gut"),EXACT(metadata!I547,"human-vaginal")))</f>
        <v>0</v>
      </c>
      <c r="AK547" t="b">
        <f>IF(metadata!J547="",FALSE,ISNUMBER(VALUE(metadata!J547)))</f>
        <v>0</v>
      </c>
      <c r="AL547" t="b">
        <f>AND(IF(metadata!K547="",FALSE,TRUE),EXACT(metadata!K547,"cm"))</f>
        <v>0</v>
      </c>
      <c r="AM547" t="b">
        <f>AND(IF(metadata!L547="",FALSE,TRUE),EXACT(metadata!L547,"human"))</f>
        <v>0</v>
      </c>
      <c r="AN547" t="b">
        <f>AND(IF(metadata!M547="",FALSE,TRUE),EXACT(metadata!M547,"Homo sapiens"))</f>
        <v>0</v>
      </c>
      <c r="AO547" t="b">
        <f>AND(IF(metadata!N547="",FALSE,TRUE),EXACT(metadata!N547,"9606"))</f>
        <v>0</v>
      </c>
      <c r="AP547" t="b">
        <f>IF(metadata!O547="",FALSE,TRUE)</f>
        <v>0</v>
      </c>
      <c r="AQ547" t="b">
        <f>IF(metadata!P547="",FALSE,TRUE)</f>
        <v>0</v>
      </c>
      <c r="AR547" t="b">
        <f>IF(metadata!Q547="",FALSE,ISNUMBER(VALUE(metadata!Q547)))</f>
        <v>0</v>
      </c>
      <c r="AS547" t="b">
        <f>AND(IF(metadata!R547="",FALSE,TRUE),EXACT(metadata!R547,"kg"))</f>
        <v>0</v>
      </c>
    </row>
    <row r="548" spans="1:45" x14ac:dyDescent="0.2">
      <c r="A548" s="5" t="str">
        <f ca="1">IF(B548=" "," ",HYPERLINK(CONCATENATE("#metadata!",ADDRESS(INDEX($X$2:$X$1001,MATCH(ROWS($V$2:V548),$V$2:$V$1001,0),0),1)),INDEX($AA$2:$AA$1001,MATCH(ROWS($V$2:V548),$V$2:$V$1001,0),0)))</f>
        <v xml:space="preserve"> </v>
      </c>
      <c r="B548" s="4" t="str">
        <f ca="1">IF(OR(INDEX($W$2:$W$1001,MATCH(ROWS($V$2:V548),$V$2:$V$1001,0),1)&gt;=100000,INDEX($AC$1005:$AS$1005,1,MATCH(COLUMNS($AC$1006:AC1006),$AC$1006:$AS$1006,0))&gt;=100000), " ",IF(INDEX($AC$2:$AS$1001,MATCH(ROWS($V$2:V548),$V$2:$V$1001,0),MATCH(COLUMNS($AC$1006:AC1006),$AC$1006:$AS$1006,0)), HYPERLINK("#",""), HYPERLINK(CONCATENATE("#metadata!", ADDRESS(INDEX($X$2:$X$1001,MATCH(ROWS($V$2:V548),$V$2:$V$1001,0),0), INDEX($AC$1004:$AS$1004,1,MATCH(COLUMNS($AC$1006:AC1006),$AC$1006:$AS$1006,0)))),"Fix")))</f>
        <v xml:space="preserve"> </v>
      </c>
      <c r="C548" s="4" t="str">
        <f ca="1">IF(OR(INDEX($W$2:$W$1001,MATCH(ROWS($V$2:V548),$V$2:$V$1001,0),1)&gt;=100000,INDEX($AC$1005:$AS$1005,1,MATCH(COLUMNS($AC$1006:AD1006),$AC$1006:$AS$1006,0))&gt;=100000), " ",IF(INDEX($AC$2:$AS$1001,MATCH(ROWS($V$2:V548),$V$2:$V$1001,0),MATCH(COLUMNS($AC$1006:AD1006),$AC$1006:$AS$1006,0)), HYPERLINK("#",""), HYPERLINK(CONCATENATE("#metadata!", ADDRESS(INDEX($X$2:$X$1001,MATCH(ROWS($V$2:V548),$V$2:$V$1001,0),0), INDEX($AC$1004:$AS$1004,1,MATCH(COLUMNS($AC$1006:AD1006),$AC$1006:$AS$1006,0)))),"Fix")))</f>
        <v xml:space="preserve"> </v>
      </c>
      <c r="D548" s="4" t="str">
        <f ca="1">IF(OR(INDEX($W$2:$W$1001,MATCH(ROWS($V$2:V548),$V$2:$V$1001,0),1)&gt;=100000,INDEX($AC$1005:$AS$1005,1,MATCH(COLUMNS($AC$1006:AE1006),$AC$1006:$AS$1006,0))&gt;=100000), " ",IF(INDEX($AC$2:$AS$1001,MATCH(ROWS($V$2:V548),$V$2:$V$1001,0),MATCH(COLUMNS($AC$1006:AE1006),$AC$1006:$AS$1006,0)), HYPERLINK("#",""), HYPERLINK(CONCATENATE("#metadata!", ADDRESS(INDEX($X$2:$X$1001,MATCH(ROWS($V$2:V548),$V$2:$V$1001,0),0), INDEX($AC$1004:$AS$1004,1,MATCH(COLUMNS($AC$1006:AE1006),$AC$1006:$AS$1006,0)))),"Fix")))</f>
        <v xml:space="preserve"> </v>
      </c>
      <c r="E548" s="4" t="str">
        <f ca="1">IF(OR(INDEX($W$2:$W$1001,MATCH(ROWS($V$2:V548),$V$2:$V$1001,0),1)&gt;=100000,INDEX($AC$1005:$AS$1005,1,MATCH(COLUMNS($AC$1006:AF1006),$AC$1006:$AS$1006,0))&gt;=100000), " ",IF(INDEX($AC$2:$AS$1001,MATCH(ROWS($V$2:V548),$V$2:$V$1001,0),MATCH(COLUMNS($AC$1006:AF1006),$AC$1006:$AS$1006,0)), HYPERLINK("#",""), HYPERLINK(CONCATENATE("#metadata!", ADDRESS(INDEX($X$2:$X$1001,MATCH(ROWS($V$2:V548),$V$2:$V$1001,0),0), INDEX($AC$1004:$AS$1004,1,MATCH(COLUMNS($AC$1006:AF1006),$AC$1006:$AS$1006,0)))),"Fix")))</f>
        <v xml:space="preserve"> </v>
      </c>
      <c r="F548" s="4" t="str">
        <f ca="1">IF(OR(INDEX($W$2:$W$1001,MATCH(ROWS($V$2:V548),$V$2:$V$1001,0),1)&gt;=100000,INDEX($AC$1005:$AS$1005,1,MATCH(COLUMNS($AC$1006:AG1006),$AC$1006:$AS$1006,0))&gt;=100000), " ",IF(INDEX($AC$2:$AS$1001,MATCH(ROWS($V$2:V548),$V$2:$V$1001,0),MATCH(COLUMNS($AC$1006:AG1006),$AC$1006:$AS$1006,0)), HYPERLINK("#",""), HYPERLINK(CONCATENATE("#metadata!", ADDRESS(INDEX($X$2:$X$1001,MATCH(ROWS($V$2:V548),$V$2:$V$1001,0),0), INDEX($AC$1004:$AS$1004,1,MATCH(COLUMNS($AC$1006:AG1006),$AC$1006:$AS$1006,0)))),"Fix")))</f>
        <v xml:space="preserve"> </v>
      </c>
      <c r="G548" s="4" t="str">
        <f ca="1">IF(OR(INDEX($W$2:$W$1001,MATCH(ROWS($V$2:V548),$V$2:$V$1001,0),1)&gt;=100000,INDEX($AC$1005:$AS$1005,1,MATCH(COLUMNS($AC$1006:AH1006),$AC$1006:$AS$1006,0))&gt;=100000), " ",IF(INDEX($AC$2:$AS$1001,MATCH(ROWS($V$2:V548),$V$2:$V$1001,0),MATCH(COLUMNS($AC$1006:AH1006),$AC$1006:$AS$1006,0)), HYPERLINK("#",""), HYPERLINK(CONCATENATE("#metadata!", ADDRESS(INDEX($X$2:$X$1001,MATCH(ROWS($V$2:V548),$V$2:$V$1001,0),0), INDEX($AC$1004:$AS$1004,1,MATCH(COLUMNS($AC$1006:AH1006),$AC$1006:$AS$1006,0)))),"Fix")))</f>
        <v xml:space="preserve"> </v>
      </c>
      <c r="H548" s="4" t="str">
        <f ca="1">IF(OR(INDEX($W$2:$W$1001,MATCH(ROWS($V$2:V548),$V$2:$V$1001,0),1)&gt;=100000,INDEX($AC$1005:$AS$1005,1,MATCH(COLUMNS($AC$1006:AI1006),$AC$1006:$AS$1006,0))&gt;=100000), " ",IF(INDEX($AC$2:$AS$1001,MATCH(ROWS($V$2:V548),$V$2:$V$1001,0),MATCH(COLUMNS($AC$1006:AI1006),$AC$1006:$AS$1006,0)), HYPERLINK("#",""), HYPERLINK(CONCATENATE("#metadata!", ADDRESS(INDEX($X$2:$X$1001,MATCH(ROWS($V$2:V548),$V$2:$V$1001,0),0), INDEX($AC$1004:$AS$1004,1,MATCH(COLUMNS($AC$1006:AI1006),$AC$1006:$AS$1006,0)))),"Fix")))</f>
        <v xml:space="preserve"> </v>
      </c>
      <c r="I548" s="4" t="str">
        <f ca="1">IF(OR(INDEX($W$2:$W$1001,MATCH(ROWS($V$2:V548),$V$2:$V$1001,0),1)&gt;=100000,INDEX($AC$1005:$AS$1005,1,MATCH(COLUMNS($AC$1006:AJ1006),$AC$1006:$AS$1006,0))&gt;=100000), " ",IF(INDEX($AC$2:$AS$1001,MATCH(ROWS($V$2:V548),$V$2:$V$1001,0),MATCH(COLUMNS($AC$1006:AJ1006),$AC$1006:$AS$1006,0)), HYPERLINK("#",""), HYPERLINK(CONCATENATE("#metadata!", ADDRESS(INDEX($X$2:$X$1001,MATCH(ROWS($V$2:V548),$V$2:$V$1001,0),0), INDEX($AC$1004:$AS$1004,1,MATCH(COLUMNS($AC$1006:AJ1006),$AC$1006:$AS$1006,0)))),"Fix")))</f>
        <v xml:space="preserve"> </v>
      </c>
      <c r="J548" s="4" t="str">
        <f ca="1">IF(OR(INDEX($W$2:$W$1001,MATCH(ROWS($V$2:V548),$V$2:$V$1001,0),1)&gt;=100000,INDEX($AC$1005:$AS$1005,1,MATCH(COLUMNS($AC$1006:AK1006),$AC$1006:$AS$1006,0))&gt;=100000), " ",IF(INDEX($AC$2:$AS$1001,MATCH(ROWS($V$2:V548),$V$2:$V$1001,0),MATCH(COLUMNS($AC$1006:AK1006),$AC$1006:$AS$1006,0)), HYPERLINK("#",""), HYPERLINK(CONCATENATE("#metadata!", ADDRESS(INDEX($X$2:$X$1001,MATCH(ROWS($V$2:V548),$V$2:$V$1001,0),0), INDEX($AC$1004:$AS$1004,1,MATCH(COLUMNS($AC$1006:AK1006),$AC$1006:$AS$1006,0)))),"Fix")))</f>
        <v xml:space="preserve"> </v>
      </c>
      <c r="K548" s="4" t="str">
        <f ca="1">IF(OR(INDEX($W$2:$W$1001,MATCH(ROWS($V$2:V548),$V$2:$V$1001,0),1)&gt;=100000,INDEX($AC$1005:$AS$1005,1,MATCH(COLUMNS($AC$1006:AL1006),$AC$1006:$AS$1006,0))&gt;=100000), " ",IF(INDEX($AC$2:$AS$1001,MATCH(ROWS($V$2:V548),$V$2:$V$1001,0),MATCH(COLUMNS($AC$1006:AL1006),$AC$1006:$AS$1006,0)), HYPERLINK("#",""), HYPERLINK(CONCATENATE("#metadata!", ADDRESS(INDEX($X$2:$X$1001,MATCH(ROWS($V$2:V548),$V$2:$V$1001,0),0), INDEX($AC$1004:$AS$1004,1,MATCH(COLUMNS($AC$1006:AL1006),$AC$1006:$AS$1006,0)))),"Fix")))</f>
        <v xml:space="preserve"> </v>
      </c>
      <c r="L548" s="4" t="str">
        <f ca="1">IF(OR(INDEX($W$2:$W$1001,MATCH(ROWS($V$2:V548),$V$2:$V$1001,0),1)&gt;=100000,INDEX($AC$1005:$AS$1005,1,MATCH(COLUMNS($AC$1006:AM1006),$AC$1006:$AS$1006,0))&gt;=100000), " ",IF(INDEX($AC$2:$AS$1001,MATCH(ROWS($V$2:V548),$V$2:$V$1001,0),MATCH(COLUMNS($AC$1006:AM1006),$AC$1006:$AS$1006,0)), HYPERLINK("#",""), HYPERLINK(CONCATENATE("#metadata!", ADDRESS(INDEX($X$2:$X$1001,MATCH(ROWS($V$2:V548),$V$2:$V$1001,0),0), INDEX($AC$1004:$AS$1004,1,MATCH(COLUMNS($AC$1006:AM1006),$AC$1006:$AS$1006,0)))),"Fix")))</f>
        <v xml:space="preserve"> </v>
      </c>
      <c r="M548" s="4" t="str">
        <f ca="1">IF(OR(INDEX($W$2:$W$1001,MATCH(ROWS($V$2:V548),$V$2:$V$1001,0),1)&gt;=100000,INDEX($AC$1005:$AS$1005,1,MATCH(COLUMNS($AC$1006:AN1006),$AC$1006:$AS$1006,0))&gt;=100000), " ",IF(INDEX($AC$2:$AS$1001,MATCH(ROWS($V$2:V548),$V$2:$V$1001,0),MATCH(COLUMNS($AC$1006:AN1006),$AC$1006:$AS$1006,0)), HYPERLINK("#",""), HYPERLINK(CONCATENATE("#metadata!", ADDRESS(INDEX($X$2:$X$1001,MATCH(ROWS($V$2:V548),$V$2:$V$1001,0),0), INDEX($AC$1004:$AS$1004,1,MATCH(COLUMNS($AC$1006:AN1006),$AC$1006:$AS$1006,0)))),"Fix")))</f>
        <v xml:space="preserve"> </v>
      </c>
      <c r="N548" s="4" t="str">
        <f ca="1">IF(OR(INDEX($W$2:$W$1001,MATCH(ROWS($V$2:V548),$V$2:$V$1001,0),1)&gt;=100000,INDEX($AC$1005:$AS$1005,1,MATCH(COLUMNS($AC$1006:AO1006),$AC$1006:$AS$1006,0))&gt;=100000), " ",IF(INDEX($AC$2:$AS$1001,MATCH(ROWS($V$2:V548),$V$2:$V$1001,0),MATCH(COLUMNS($AC$1006:AO1006),$AC$1006:$AS$1006,0)), HYPERLINK("#",""), HYPERLINK(CONCATENATE("#metadata!", ADDRESS(INDEX($X$2:$X$1001,MATCH(ROWS($V$2:V548),$V$2:$V$1001,0),0), INDEX($AC$1004:$AS$1004,1,MATCH(COLUMNS($AC$1006:AO1006),$AC$1006:$AS$1006,0)))),"Fix")))</f>
        <v xml:space="preserve"> </v>
      </c>
      <c r="O548" s="4" t="str">
        <f ca="1">IF(OR(INDEX($W$2:$W$1001,MATCH(ROWS($V$2:V548),$V$2:$V$1001,0),1)&gt;=100000,INDEX($AC$1005:$AS$1005,1,MATCH(COLUMNS($AC$1006:AP1006),$AC$1006:$AS$1006,0))&gt;=100000), " ",IF(INDEX($AC$2:$AS$1001,MATCH(ROWS($V$2:V548),$V$2:$V$1001,0),MATCH(COLUMNS($AC$1006:AP1006),$AC$1006:$AS$1006,0)), HYPERLINK("#",""), HYPERLINK(CONCATENATE("#metadata!", ADDRESS(INDEX($X$2:$X$1001,MATCH(ROWS($V$2:V548),$V$2:$V$1001,0),0), INDEX($AC$1004:$AS$1004,1,MATCH(COLUMNS($AC$1006:AP1006),$AC$1006:$AS$1006,0)))),"Fix")))</f>
        <v xml:space="preserve"> </v>
      </c>
      <c r="P548" s="4" t="str">
        <f ca="1">IF(OR(INDEX($W$2:$W$1001,MATCH(ROWS($V$2:V548),$V$2:$V$1001,0),1)&gt;=100000,INDEX($AC$1005:$AS$1005,1,MATCH(COLUMNS($AC$1006:AQ1006),$AC$1006:$AS$1006,0))&gt;=100000), " ",IF(INDEX($AC$2:$AS$1001,MATCH(ROWS($V$2:V548),$V$2:$V$1001,0),MATCH(COLUMNS($AC$1006:AQ1006),$AC$1006:$AS$1006,0)), HYPERLINK("#",""), HYPERLINK(CONCATENATE("#metadata!", ADDRESS(INDEX($X$2:$X$1001,MATCH(ROWS($V$2:V548),$V$2:$V$1001,0),0), INDEX($AC$1004:$AS$1004,1,MATCH(COLUMNS($AC$1006:AQ1006),$AC$1006:$AS$1006,0)))),"Fix")))</f>
        <v xml:space="preserve"> </v>
      </c>
      <c r="Q548" s="4" t="str">
        <f ca="1">IF(OR(INDEX($W$2:$W$1001,MATCH(ROWS($V$2:V548),$V$2:$V$1001,0),1)&gt;=100000,INDEX($AC$1005:$AS$1005,1,MATCH(COLUMNS($AC$1006:AR1006),$AC$1006:$AS$1006,0))&gt;=100000), " ",IF(INDEX($AC$2:$AS$1001,MATCH(ROWS($V$2:V548),$V$2:$V$1001,0),MATCH(COLUMNS($AC$1006:AR1006),$AC$1006:$AS$1006,0)), HYPERLINK("#",""), HYPERLINK(CONCATENATE("#metadata!", ADDRESS(INDEX($X$2:$X$1001,MATCH(ROWS($V$2:V548),$V$2:$V$1001,0),0), INDEX($AC$1004:$AS$1004,1,MATCH(COLUMNS($AC$1006:AR1006),$AC$1006:$AS$1006,0)))),"Fix")))</f>
        <v xml:space="preserve"> </v>
      </c>
      <c r="R548" s="4" t="str">
        <f ca="1">IF(OR(INDEX($W$2:$W$1001,MATCH(ROWS($V$2:V548),$V$2:$V$1001,0),1)&gt;=100000,INDEX($AC$1005:$AS$1005,1,MATCH(COLUMNS($AC$1006:AS1006),$AC$1006:$AS$1006,0))&gt;=100000), " ",IF(INDEX($AC$2:$AS$1001,MATCH(ROWS($V$2:V548),$V$2:$V$1001,0),MATCH(COLUMNS($AC$1006:AS1006),$AC$1006:$AS$1006,0)), HYPERLINK("#",""), HYPERLINK(CONCATENATE("#metadata!", ADDRESS(INDEX($X$2:$X$1001,MATCH(ROWS($V$2:V548),$V$2:$V$1001,0),0), INDEX($AC$1004:$AS$1004,1,MATCH(COLUMNS($AC$1006:AS1006),$AC$1006:$AS$1006,0)))),"Fix")))</f>
        <v xml:space="preserve"> </v>
      </c>
      <c r="V548">
        <v>547</v>
      </c>
      <c r="W548">
        <v>100548</v>
      </c>
      <c r="X548">
        <v>548</v>
      </c>
      <c r="Y548" t="b">
        <f t="shared" si="8"/>
        <v>1</v>
      </c>
      <c r="Z548" t="b">
        <f>COUNTBLANK(metadata!B548:R548)=COLUMNS(metadata!B548:R548)</f>
        <v>1</v>
      </c>
      <c r="AA548" t="str">
        <v/>
      </c>
      <c r="AC548" t="b">
        <f ca="1"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AD548" t="b">
        <f>IF(metadata!C548="",FALSE,ISNUMBER(VALUE(metadata!C548)))</f>
        <v>0</v>
      </c>
      <c r="AE548" t="b">
        <f>AND(IF(metadata!D548="",FALSE,TRUE),EXACT(metadata!D548,"years"))</f>
        <v>0</v>
      </c>
      <c r="AF548" t="b">
        <f>OR(AND(IF(metadata!E548="",FALSE,TRUE),OR(EXACT(metadata!E548,"not applicable"),EXACT(metadata!E548,"missing: not collected"),EXACT(metadata!E548,"missing: not provided"),EXACT(metadata!E548,"missing: restricted access"))),AND(IF(metadata!E548="",FALSE,ISNUMBER(VALUE(metadata!E548))),metadata!E548&gt;0))</f>
        <v>0</v>
      </c>
      <c r="AG548" t="b">
        <f>AND(IF(metadata!F548="",FALSE,TRUE),EXACT(metadata!F548,"Not applicable"))</f>
        <v>0</v>
      </c>
      <c r="AH548" t="b">
        <f>AND(IF(metadata!G548="",FALSE,TRUE),EXACT(metadata!G548,"urban biome"))</f>
        <v>0</v>
      </c>
      <c r="AI548" t="b">
        <f>AND(IF(metadata!H548="",FALSE,TRUE),EXACT(metadata!H548,"human-associated habitat"))</f>
        <v>0</v>
      </c>
      <c r="AJ548" t="b">
        <f>AND(IF(metadata!I548="",FALSE,TRUE),OR(EXACT(metadata!I548,"human-associated"),EXACT(metadata!I548,"human-skin"),EXACT(metadata!I548,"human-oral"),EXACT(metadata!I548,"human-gut"),EXACT(metadata!I548,"human-vaginal")))</f>
        <v>0</v>
      </c>
      <c r="AK548" t="b">
        <f>IF(metadata!J548="",FALSE,ISNUMBER(VALUE(metadata!J548)))</f>
        <v>0</v>
      </c>
      <c r="AL548" t="b">
        <f>AND(IF(metadata!K548="",FALSE,TRUE),EXACT(metadata!K548,"cm"))</f>
        <v>0</v>
      </c>
      <c r="AM548" t="b">
        <f>AND(IF(metadata!L548="",FALSE,TRUE),EXACT(metadata!L548,"human"))</f>
        <v>0</v>
      </c>
      <c r="AN548" t="b">
        <f>AND(IF(metadata!M548="",FALSE,TRUE),EXACT(metadata!M548,"Homo sapiens"))</f>
        <v>0</v>
      </c>
      <c r="AO548" t="b">
        <f>AND(IF(metadata!N548="",FALSE,TRUE),EXACT(metadata!N548,"9606"))</f>
        <v>0</v>
      </c>
      <c r="AP548" t="b">
        <f>IF(metadata!O548="",FALSE,TRUE)</f>
        <v>0</v>
      </c>
      <c r="AQ548" t="b">
        <f>IF(metadata!P548="",FALSE,TRUE)</f>
        <v>0</v>
      </c>
      <c r="AR548" t="b">
        <f>IF(metadata!Q548="",FALSE,ISNUMBER(VALUE(metadata!Q548)))</f>
        <v>0</v>
      </c>
      <c r="AS548" t="b">
        <f>AND(IF(metadata!R548="",FALSE,TRUE),EXACT(metadata!R548,"kg"))</f>
        <v>0</v>
      </c>
    </row>
    <row r="549" spans="1:45" x14ac:dyDescent="0.2">
      <c r="A549" s="5" t="str">
        <f ca="1">IF(B549=" "," ",HYPERLINK(CONCATENATE("#metadata!",ADDRESS(INDEX($X$2:$X$1001,MATCH(ROWS($V$2:V549),$V$2:$V$1001,0),0),1)),INDEX($AA$2:$AA$1001,MATCH(ROWS($V$2:V549),$V$2:$V$1001,0),0)))</f>
        <v xml:space="preserve"> </v>
      </c>
      <c r="B549" s="4" t="str">
        <f ca="1">IF(OR(INDEX($W$2:$W$1001,MATCH(ROWS($V$2:V549),$V$2:$V$1001,0),1)&gt;=100000,INDEX($AC$1005:$AS$1005,1,MATCH(COLUMNS($AC$1006:AC1006),$AC$1006:$AS$1006,0))&gt;=100000), " ",IF(INDEX($AC$2:$AS$1001,MATCH(ROWS($V$2:V549),$V$2:$V$1001,0),MATCH(COLUMNS($AC$1006:AC1006),$AC$1006:$AS$1006,0)), HYPERLINK("#",""), HYPERLINK(CONCATENATE("#metadata!", ADDRESS(INDEX($X$2:$X$1001,MATCH(ROWS($V$2:V549),$V$2:$V$1001,0),0), INDEX($AC$1004:$AS$1004,1,MATCH(COLUMNS($AC$1006:AC1006),$AC$1006:$AS$1006,0)))),"Fix")))</f>
        <v xml:space="preserve"> </v>
      </c>
      <c r="C549" s="4" t="str">
        <f ca="1">IF(OR(INDEX($W$2:$W$1001,MATCH(ROWS($V$2:V549),$V$2:$V$1001,0),1)&gt;=100000,INDEX($AC$1005:$AS$1005,1,MATCH(COLUMNS($AC$1006:AD1006),$AC$1006:$AS$1006,0))&gt;=100000), " ",IF(INDEX($AC$2:$AS$1001,MATCH(ROWS($V$2:V549),$V$2:$V$1001,0),MATCH(COLUMNS($AC$1006:AD1006),$AC$1006:$AS$1006,0)), HYPERLINK("#",""), HYPERLINK(CONCATENATE("#metadata!", ADDRESS(INDEX($X$2:$X$1001,MATCH(ROWS($V$2:V549),$V$2:$V$1001,0),0), INDEX($AC$1004:$AS$1004,1,MATCH(COLUMNS($AC$1006:AD1006),$AC$1006:$AS$1006,0)))),"Fix")))</f>
        <v xml:space="preserve"> </v>
      </c>
      <c r="D549" s="4" t="str">
        <f ca="1">IF(OR(INDEX($W$2:$W$1001,MATCH(ROWS($V$2:V549),$V$2:$V$1001,0),1)&gt;=100000,INDEX($AC$1005:$AS$1005,1,MATCH(COLUMNS($AC$1006:AE1006),$AC$1006:$AS$1006,0))&gt;=100000), " ",IF(INDEX($AC$2:$AS$1001,MATCH(ROWS($V$2:V549),$V$2:$V$1001,0),MATCH(COLUMNS($AC$1006:AE1006),$AC$1006:$AS$1006,0)), HYPERLINK("#",""), HYPERLINK(CONCATENATE("#metadata!", ADDRESS(INDEX($X$2:$X$1001,MATCH(ROWS($V$2:V549),$V$2:$V$1001,0),0), INDEX($AC$1004:$AS$1004,1,MATCH(COLUMNS($AC$1006:AE1006),$AC$1006:$AS$1006,0)))),"Fix")))</f>
        <v xml:space="preserve"> </v>
      </c>
      <c r="E549" s="4" t="str">
        <f ca="1">IF(OR(INDEX($W$2:$W$1001,MATCH(ROWS($V$2:V549),$V$2:$V$1001,0),1)&gt;=100000,INDEX($AC$1005:$AS$1005,1,MATCH(COLUMNS($AC$1006:AF1006),$AC$1006:$AS$1006,0))&gt;=100000), " ",IF(INDEX($AC$2:$AS$1001,MATCH(ROWS($V$2:V549),$V$2:$V$1001,0),MATCH(COLUMNS($AC$1006:AF1006),$AC$1006:$AS$1006,0)), HYPERLINK("#",""), HYPERLINK(CONCATENATE("#metadata!", ADDRESS(INDEX($X$2:$X$1001,MATCH(ROWS($V$2:V549),$V$2:$V$1001,0),0), INDEX($AC$1004:$AS$1004,1,MATCH(COLUMNS($AC$1006:AF1006),$AC$1006:$AS$1006,0)))),"Fix")))</f>
        <v xml:space="preserve"> </v>
      </c>
      <c r="F549" s="4" t="str">
        <f ca="1">IF(OR(INDEX($W$2:$W$1001,MATCH(ROWS($V$2:V549),$V$2:$V$1001,0),1)&gt;=100000,INDEX($AC$1005:$AS$1005,1,MATCH(COLUMNS($AC$1006:AG1006),$AC$1006:$AS$1006,0))&gt;=100000), " ",IF(INDEX($AC$2:$AS$1001,MATCH(ROWS($V$2:V549),$V$2:$V$1001,0),MATCH(COLUMNS($AC$1006:AG1006),$AC$1006:$AS$1006,0)), HYPERLINK("#",""), HYPERLINK(CONCATENATE("#metadata!", ADDRESS(INDEX($X$2:$X$1001,MATCH(ROWS($V$2:V549),$V$2:$V$1001,0),0), INDEX($AC$1004:$AS$1004,1,MATCH(COLUMNS($AC$1006:AG1006),$AC$1006:$AS$1006,0)))),"Fix")))</f>
        <v xml:space="preserve"> </v>
      </c>
      <c r="G549" s="4" t="str">
        <f ca="1">IF(OR(INDEX($W$2:$W$1001,MATCH(ROWS($V$2:V549),$V$2:$V$1001,0),1)&gt;=100000,INDEX($AC$1005:$AS$1005,1,MATCH(COLUMNS($AC$1006:AH1006),$AC$1006:$AS$1006,0))&gt;=100000), " ",IF(INDEX($AC$2:$AS$1001,MATCH(ROWS($V$2:V549),$V$2:$V$1001,0),MATCH(COLUMNS($AC$1006:AH1006),$AC$1006:$AS$1006,0)), HYPERLINK("#",""), HYPERLINK(CONCATENATE("#metadata!", ADDRESS(INDEX($X$2:$X$1001,MATCH(ROWS($V$2:V549),$V$2:$V$1001,0),0), INDEX($AC$1004:$AS$1004,1,MATCH(COLUMNS($AC$1006:AH1006),$AC$1006:$AS$1006,0)))),"Fix")))</f>
        <v xml:space="preserve"> </v>
      </c>
      <c r="H549" s="4" t="str">
        <f ca="1">IF(OR(INDEX($W$2:$W$1001,MATCH(ROWS($V$2:V549),$V$2:$V$1001,0),1)&gt;=100000,INDEX($AC$1005:$AS$1005,1,MATCH(COLUMNS($AC$1006:AI1006),$AC$1006:$AS$1006,0))&gt;=100000), " ",IF(INDEX($AC$2:$AS$1001,MATCH(ROWS($V$2:V549),$V$2:$V$1001,0),MATCH(COLUMNS($AC$1006:AI1006),$AC$1006:$AS$1006,0)), HYPERLINK("#",""), HYPERLINK(CONCATENATE("#metadata!", ADDRESS(INDEX($X$2:$X$1001,MATCH(ROWS($V$2:V549),$V$2:$V$1001,0),0), INDEX($AC$1004:$AS$1004,1,MATCH(COLUMNS($AC$1006:AI1006),$AC$1006:$AS$1006,0)))),"Fix")))</f>
        <v xml:space="preserve"> </v>
      </c>
      <c r="I549" s="4" t="str">
        <f ca="1">IF(OR(INDEX($W$2:$W$1001,MATCH(ROWS($V$2:V549),$V$2:$V$1001,0),1)&gt;=100000,INDEX($AC$1005:$AS$1005,1,MATCH(COLUMNS($AC$1006:AJ1006),$AC$1006:$AS$1006,0))&gt;=100000), " ",IF(INDEX($AC$2:$AS$1001,MATCH(ROWS($V$2:V549),$V$2:$V$1001,0),MATCH(COLUMNS($AC$1006:AJ1006),$AC$1006:$AS$1006,0)), HYPERLINK("#",""), HYPERLINK(CONCATENATE("#metadata!", ADDRESS(INDEX($X$2:$X$1001,MATCH(ROWS($V$2:V549),$V$2:$V$1001,0),0), INDEX($AC$1004:$AS$1004,1,MATCH(COLUMNS($AC$1006:AJ1006),$AC$1006:$AS$1006,0)))),"Fix")))</f>
        <v xml:space="preserve"> </v>
      </c>
      <c r="J549" s="4" t="str">
        <f ca="1">IF(OR(INDEX($W$2:$W$1001,MATCH(ROWS($V$2:V549),$V$2:$V$1001,0),1)&gt;=100000,INDEX($AC$1005:$AS$1005,1,MATCH(COLUMNS($AC$1006:AK1006),$AC$1006:$AS$1006,0))&gt;=100000), " ",IF(INDEX($AC$2:$AS$1001,MATCH(ROWS($V$2:V549),$V$2:$V$1001,0),MATCH(COLUMNS($AC$1006:AK1006),$AC$1006:$AS$1006,0)), HYPERLINK("#",""), HYPERLINK(CONCATENATE("#metadata!", ADDRESS(INDEX($X$2:$X$1001,MATCH(ROWS($V$2:V549),$V$2:$V$1001,0),0), INDEX($AC$1004:$AS$1004,1,MATCH(COLUMNS($AC$1006:AK1006),$AC$1006:$AS$1006,0)))),"Fix")))</f>
        <v xml:space="preserve"> </v>
      </c>
      <c r="K549" s="4" t="str">
        <f ca="1">IF(OR(INDEX($W$2:$W$1001,MATCH(ROWS($V$2:V549),$V$2:$V$1001,0),1)&gt;=100000,INDEX($AC$1005:$AS$1005,1,MATCH(COLUMNS($AC$1006:AL1006),$AC$1006:$AS$1006,0))&gt;=100000), " ",IF(INDEX($AC$2:$AS$1001,MATCH(ROWS($V$2:V549),$V$2:$V$1001,0),MATCH(COLUMNS($AC$1006:AL1006),$AC$1006:$AS$1006,0)), HYPERLINK("#",""), HYPERLINK(CONCATENATE("#metadata!", ADDRESS(INDEX($X$2:$X$1001,MATCH(ROWS($V$2:V549),$V$2:$V$1001,0),0), INDEX($AC$1004:$AS$1004,1,MATCH(COLUMNS($AC$1006:AL1006),$AC$1006:$AS$1006,0)))),"Fix")))</f>
        <v xml:space="preserve"> </v>
      </c>
      <c r="L549" s="4" t="str">
        <f ca="1">IF(OR(INDEX($W$2:$W$1001,MATCH(ROWS($V$2:V549),$V$2:$V$1001,0),1)&gt;=100000,INDEX($AC$1005:$AS$1005,1,MATCH(COLUMNS($AC$1006:AM1006),$AC$1006:$AS$1006,0))&gt;=100000), " ",IF(INDEX($AC$2:$AS$1001,MATCH(ROWS($V$2:V549),$V$2:$V$1001,0),MATCH(COLUMNS($AC$1006:AM1006),$AC$1006:$AS$1006,0)), HYPERLINK("#",""), HYPERLINK(CONCATENATE("#metadata!", ADDRESS(INDEX($X$2:$X$1001,MATCH(ROWS($V$2:V549),$V$2:$V$1001,0),0), INDEX($AC$1004:$AS$1004,1,MATCH(COLUMNS($AC$1006:AM1006),$AC$1006:$AS$1006,0)))),"Fix")))</f>
        <v xml:space="preserve"> </v>
      </c>
      <c r="M549" s="4" t="str">
        <f ca="1">IF(OR(INDEX($W$2:$W$1001,MATCH(ROWS($V$2:V549),$V$2:$V$1001,0),1)&gt;=100000,INDEX($AC$1005:$AS$1005,1,MATCH(COLUMNS($AC$1006:AN1006),$AC$1006:$AS$1006,0))&gt;=100000), " ",IF(INDEX($AC$2:$AS$1001,MATCH(ROWS($V$2:V549),$V$2:$V$1001,0),MATCH(COLUMNS($AC$1006:AN1006),$AC$1006:$AS$1006,0)), HYPERLINK("#",""), HYPERLINK(CONCATENATE("#metadata!", ADDRESS(INDEX($X$2:$X$1001,MATCH(ROWS($V$2:V549),$V$2:$V$1001,0),0), INDEX($AC$1004:$AS$1004,1,MATCH(COLUMNS($AC$1006:AN1006),$AC$1006:$AS$1006,0)))),"Fix")))</f>
        <v xml:space="preserve"> </v>
      </c>
      <c r="N549" s="4" t="str">
        <f ca="1">IF(OR(INDEX($W$2:$W$1001,MATCH(ROWS($V$2:V549),$V$2:$V$1001,0),1)&gt;=100000,INDEX($AC$1005:$AS$1005,1,MATCH(COLUMNS($AC$1006:AO1006),$AC$1006:$AS$1006,0))&gt;=100000), " ",IF(INDEX($AC$2:$AS$1001,MATCH(ROWS($V$2:V549),$V$2:$V$1001,0),MATCH(COLUMNS($AC$1006:AO1006),$AC$1006:$AS$1006,0)), HYPERLINK("#",""), HYPERLINK(CONCATENATE("#metadata!", ADDRESS(INDEX($X$2:$X$1001,MATCH(ROWS($V$2:V549),$V$2:$V$1001,0),0), INDEX($AC$1004:$AS$1004,1,MATCH(COLUMNS($AC$1006:AO1006),$AC$1006:$AS$1006,0)))),"Fix")))</f>
        <v xml:space="preserve"> </v>
      </c>
      <c r="O549" s="4" t="str">
        <f ca="1">IF(OR(INDEX($W$2:$W$1001,MATCH(ROWS($V$2:V549),$V$2:$V$1001,0),1)&gt;=100000,INDEX($AC$1005:$AS$1005,1,MATCH(COLUMNS($AC$1006:AP1006),$AC$1006:$AS$1006,0))&gt;=100000), " ",IF(INDEX($AC$2:$AS$1001,MATCH(ROWS($V$2:V549),$V$2:$V$1001,0),MATCH(COLUMNS($AC$1006:AP1006),$AC$1006:$AS$1006,0)), HYPERLINK("#",""), HYPERLINK(CONCATENATE("#metadata!", ADDRESS(INDEX($X$2:$X$1001,MATCH(ROWS($V$2:V549),$V$2:$V$1001,0),0), INDEX($AC$1004:$AS$1004,1,MATCH(COLUMNS($AC$1006:AP1006),$AC$1006:$AS$1006,0)))),"Fix")))</f>
        <v xml:space="preserve"> </v>
      </c>
      <c r="P549" s="4" t="str">
        <f ca="1">IF(OR(INDEX($W$2:$W$1001,MATCH(ROWS($V$2:V549),$V$2:$V$1001,0),1)&gt;=100000,INDEX($AC$1005:$AS$1005,1,MATCH(COLUMNS($AC$1006:AQ1006),$AC$1006:$AS$1006,0))&gt;=100000), " ",IF(INDEX($AC$2:$AS$1001,MATCH(ROWS($V$2:V549),$V$2:$V$1001,0),MATCH(COLUMNS($AC$1006:AQ1006),$AC$1006:$AS$1006,0)), HYPERLINK("#",""), HYPERLINK(CONCATENATE("#metadata!", ADDRESS(INDEX($X$2:$X$1001,MATCH(ROWS($V$2:V549),$V$2:$V$1001,0),0), INDEX($AC$1004:$AS$1004,1,MATCH(COLUMNS($AC$1006:AQ1006),$AC$1006:$AS$1006,0)))),"Fix")))</f>
        <v xml:space="preserve"> </v>
      </c>
      <c r="Q549" s="4" t="str">
        <f ca="1">IF(OR(INDEX($W$2:$W$1001,MATCH(ROWS($V$2:V549),$V$2:$V$1001,0),1)&gt;=100000,INDEX($AC$1005:$AS$1005,1,MATCH(COLUMNS($AC$1006:AR1006),$AC$1006:$AS$1006,0))&gt;=100000), " ",IF(INDEX($AC$2:$AS$1001,MATCH(ROWS($V$2:V549),$V$2:$V$1001,0),MATCH(COLUMNS($AC$1006:AR1006),$AC$1006:$AS$1006,0)), HYPERLINK("#",""), HYPERLINK(CONCATENATE("#metadata!", ADDRESS(INDEX($X$2:$X$1001,MATCH(ROWS($V$2:V549),$V$2:$V$1001,0),0), INDEX($AC$1004:$AS$1004,1,MATCH(COLUMNS($AC$1006:AR1006),$AC$1006:$AS$1006,0)))),"Fix")))</f>
        <v xml:space="preserve"> </v>
      </c>
      <c r="R549" s="4" t="str">
        <f ca="1">IF(OR(INDEX($W$2:$W$1001,MATCH(ROWS($V$2:V549),$V$2:$V$1001,0),1)&gt;=100000,INDEX($AC$1005:$AS$1005,1,MATCH(COLUMNS($AC$1006:AS1006),$AC$1006:$AS$1006,0))&gt;=100000), " ",IF(INDEX($AC$2:$AS$1001,MATCH(ROWS($V$2:V549),$V$2:$V$1001,0),MATCH(COLUMNS($AC$1006:AS1006),$AC$1006:$AS$1006,0)), HYPERLINK("#",""), HYPERLINK(CONCATENATE("#metadata!", ADDRESS(INDEX($X$2:$X$1001,MATCH(ROWS($V$2:V549),$V$2:$V$1001,0),0), INDEX($AC$1004:$AS$1004,1,MATCH(COLUMNS($AC$1006:AS1006),$AC$1006:$AS$1006,0)))),"Fix")))</f>
        <v xml:space="preserve"> </v>
      </c>
      <c r="V549">
        <v>548</v>
      </c>
      <c r="W549">
        <v>100549</v>
      </c>
      <c r="X549">
        <v>549</v>
      </c>
      <c r="Y549" t="b">
        <f t="shared" si="8"/>
        <v>1</v>
      </c>
      <c r="Z549" t="b">
        <f>COUNTBLANK(metadata!B549:R549)=COLUMNS(metadata!B549:R549)</f>
        <v>1</v>
      </c>
      <c r="AA549" t="str">
        <v/>
      </c>
      <c r="AC549" t="b">
        <f ca="1"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AD549" t="b">
        <f>IF(metadata!C549="",FALSE,ISNUMBER(VALUE(metadata!C549)))</f>
        <v>0</v>
      </c>
      <c r="AE549" t="b">
        <f>AND(IF(metadata!D549="",FALSE,TRUE),EXACT(metadata!D549,"years"))</f>
        <v>0</v>
      </c>
      <c r="AF549" t="b">
        <f>OR(AND(IF(metadata!E549="",FALSE,TRUE),OR(EXACT(metadata!E549,"not applicable"),EXACT(metadata!E549,"missing: not collected"),EXACT(metadata!E549,"missing: not provided"),EXACT(metadata!E549,"missing: restricted access"))),AND(IF(metadata!E549="",FALSE,ISNUMBER(VALUE(metadata!E549))),metadata!E549&gt;0))</f>
        <v>0</v>
      </c>
      <c r="AG549" t="b">
        <f>AND(IF(metadata!F549="",FALSE,TRUE),EXACT(metadata!F549,"Not applicable"))</f>
        <v>0</v>
      </c>
      <c r="AH549" t="b">
        <f>AND(IF(metadata!G549="",FALSE,TRUE),EXACT(metadata!G549,"urban biome"))</f>
        <v>0</v>
      </c>
      <c r="AI549" t="b">
        <f>AND(IF(metadata!H549="",FALSE,TRUE),EXACT(metadata!H549,"human-associated habitat"))</f>
        <v>0</v>
      </c>
      <c r="AJ549" t="b">
        <f>AND(IF(metadata!I549="",FALSE,TRUE),OR(EXACT(metadata!I549,"human-associated"),EXACT(metadata!I549,"human-skin"),EXACT(metadata!I549,"human-oral"),EXACT(metadata!I549,"human-gut"),EXACT(metadata!I549,"human-vaginal")))</f>
        <v>0</v>
      </c>
      <c r="AK549" t="b">
        <f>IF(metadata!J549="",FALSE,ISNUMBER(VALUE(metadata!J549)))</f>
        <v>0</v>
      </c>
      <c r="AL549" t="b">
        <f>AND(IF(metadata!K549="",FALSE,TRUE),EXACT(metadata!K549,"cm"))</f>
        <v>0</v>
      </c>
      <c r="AM549" t="b">
        <f>AND(IF(metadata!L549="",FALSE,TRUE),EXACT(metadata!L549,"human"))</f>
        <v>0</v>
      </c>
      <c r="AN549" t="b">
        <f>AND(IF(metadata!M549="",FALSE,TRUE),EXACT(metadata!M549,"Homo sapiens"))</f>
        <v>0</v>
      </c>
      <c r="AO549" t="b">
        <f>AND(IF(metadata!N549="",FALSE,TRUE),EXACT(metadata!N549,"9606"))</f>
        <v>0</v>
      </c>
      <c r="AP549" t="b">
        <f>IF(metadata!O549="",FALSE,TRUE)</f>
        <v>0</v>
      </c>
      <c r="AQ549" t="b">
        <f>IF(metadata!P549="",FALSE,TRUE)</f>
        <v>0</v>
      </c>
      <c r="AR549" t="b">
        <f>IF(metadata!Q549="",FALSE,ISNUMBER(VALUE(metadata!Q549)))</f>
        <v>0</v>
      </c>
      <c r="AS549" t="b">
        <f>AND(IF(metadata!R549="",FALSE,TRUE),EXACT(metadata!R549,"kg"))</f>
        <v>0</v>
      </c>
    </row>
    <row r="550" spans="1:45" x14ac:dyDescent="0.2">
      <c r="A550" s="5" t="str">
        <f ca="1">IF(B550=" "," ",HYPERLINK(CONCATENATE("#metadata!",ADDRESS(INDEX($X$2:$X$1001,MATCH(ROWS($V$2:V550),$V$2:$V$1001,0),0),1)),INDEX($AA$2:$AA$1001,MATCH(ROWS($V$2:V550),$V$2:$V$1001,0),0)))</f>
        <v xml:space="preserve"> </v>
      </c>
      <c r="B550" s="4" t="str">
        <f ca="1">IF(OR(INDEX($W$2:$W$1001,MATCH(ROWS($V$2:V550),$V$2:$V$1001,0),1)&gt;=100000,INDEX($AC$1005:$AS$1005,1,MATCH(COLUMNS($AC$1006:AC1006),$AC$1006:$AS$1006,0))&gt;=100000), " ",IF(INDEX($AC$2:$AS$1001,MATCH(ROWS($V$2:V550),$V$2:$V$1001,0),MATCH(COLUMNS($AC$1006:AC1006),$AC$1006:$AS$1006,0)), HYPERLINK("#",""), HYPERLINK(CONCATENATE("#metadata!", ADDRESS(INDEX($X$2:$X$1001,MATCH(ROWS($V$2:V550),$V$2:$V$1001,0),0), INDEX($AC$1004:$AS$1004,1,MATCH(COLUMNS($AC$1006:AC1006),$AC$1006:$AS$1006,0)))),"Fix")))</f>
        <v xml:space="preserve"> </v>
      </c>
      <c r="C550" s="4" t="str">
        <f ca="1">IF(OR(INDEX($W$2:$W$1001,MATCH(ROWS($V$2:V550),$V$2:$V$1001,0),1)&gt;=100000,INDEX($AC$1005:$AS$1005,1,MATCH(COLUMNS($AC$1006:AD1006),$AC$1006:$AS$1006,0))&gt;=100000), " ",IF(INDEX($AC$2:$AS$1001,MATCH(ROWS($V$2:V550),$V$2:$V$1001,0),MATCH(COLUMNS($AC$1006:AD1006),$AC$1006:$AS$1006,0)), HYPERLINK("#",""), HYPERLINK(CONCATENATE("#metadata!", ADDRESS(INDEX($X$2:$X$1001,MATCH(ROWS($V$2:V550),$V$2:$V$1001,0),0), INDEX($AC$1004:$AS$1004,1,MATCH(COLUMNS($AC$1006:AD1006),$AC$1006:$AS$1006,0)))),"Fix")))</f>
        <v xml:space="preserve"> </v>
      </c>
      <c r="D550" s="4" t="str">
        <f ca="1">IF(OR(INDEX($W$2:$W$1001,MATCH(ROWS($V$2:V550),$V$2:$V$1001,0),1)&gt;=100000,INDEX($AC$1005:$AS$1005,1,MATCH(COLUMNS($AC$1006:AE1006),$AC$1006:$AS$1006,0))&gt;=100000), " ",IF(INDEX($AC$2:$AS$1001,MATCH(ROWS($V$2:V550),$V$2:$V$1001,0),MATCH(COLUMNS($AC$1006:AE1006),$AC$1006:$AS$1006,0)), HYPERLINK("#",""), HYPERLINK(CONCATENATE("#metadata!", ADDRESS(INDEX($X$2:$X$1001,MATCH(ROWS($V$2:V550),$V$2:$V$1001,0),0), INDEX($AC$1004:$AS$1004,1,MATCH(COLUMNS($AC$1006:AE1006),$AC$1006:$AS$1006,0)))),"Fix")))</f>
        <v xml:space="preserve"> </v>
      </c>
      <c r="E550" s="4" t="str">
        <f ca="1">IF(OR(INDEX($W$2:$W$1001,MATCH(ROWS($V$2:V550),$V$2:$V$1001,0),1)&gt;=100000,INDEX($AC$1005:$AS$1005,1,MATCH(COLUMNS($AC$1006:AF1006),$AC$1006:$AS$1006,0))&gt;=100000), " ",IF(INDEX($AC$2:$AS$1001,MATCH(ROWS($V$2:V550),$V$2:$V$1001,0),MATCH(COLUMNS($AC$1006:AF1006),$AC$1006:$AS$1006,0)), HYPERLINK("#",""), HYPERLINK(CONCATENATE("#metadata!", ADDRESS(INDEX($X$2:$X$1001,MATCH(ROWS($V$2:V550),$V$2:$V$1001,0),0), INDEX($AC$1004:$AS$1004,1,MATCH(COLUMNS($AC$1006:AF1006),$AC$1006:$AS$1006,0)))),"Fix")))</f>
        <v xml:space="preserve"> </v>
      </c>
      <c r="F550" s="4" t="str">
        <f ca="1">IF(OR(INDEX($W$2:$W$1001,MATCH(ROWS($V$2:V550),$V$2:$V$1001,0),1)&gt;=100000,INDEX($AC$1005:$AS$1005,1,MATCH(COLUMNS($AC$1006:AG1006),$AC$1006:$AS$1006,0))&gt;=100000), " ",IF(INDEX($AC$2:$AS$1001,MATCH(ROWS($V$2:V550),$V$2:$V$1001,0),MATCH(COLUMNS($AC$1006:AG1006),$AC$1006:$AS$1006,0)), HYPERLINK("#",""), HYPERLINK(CONCATENATE("#metadata!", ADDRESS(INDEX($X$2:$X$1001,MATCH(ROWS($V$2:V550),$V$2:$V$1001,0),0), INDEX($AC$1004:$AS$1004,1,MATCH(COLUMNS($AC$1006:AG1006),$AC$1006:$AS$1006,0)))),"Fix")))</f>
        <v xml:space="preserve"> </v>
      </c>
      <c r="G550" s="4" t="str">
        <f ca="1">IF(OR(INDEX($W$2:$W$1001,MATCH(ROWS($V$2:V550),$V$2:$V$1001,0),1)&gt;=100000,INDEX($AC$1005:$AS$1005,1,MATCH(COLUMNS($AC$1006:AH1006),$AC$1006:$AS$1006,0))&gt;=100000), " ",IF(INDEX($AC$2:$AS$1001,MATCH(ROWS($V$2:V550),$V$2:$V$1001,0),MATCH(COLUMNS($AC$1006:AH1006),$AC$1006:$AS$1006,0)), HYPERLINK("#",""), HYPERLINK(CONCATENATE("#metadata!", ADDRESS(INDEX($X$2:$X$1001,MATCH(ROWS($V$2:V550),$V$2:$V$1001,0),0), INDEX($AC$1004:$AS$1004,1,MATCH(COLUMNS($AC$1006:AH1006),$AC$1006:$AS$1006,0)))),"Fix")))</f>
        <v xml:space="preserve"> </v>
      </c>
      <c r="H550" s="4" t="str">
        <f ca="1">IF(OR(INDEX($W$2:$W$1001,MATCH(ROWS($V$2:V550),$V$2:$V$1001,0),1)&gt;=100000,INDEX($AC$1005:$AS$1005,1,MATCH(COLUMNS($AC$1006:AI1006),$AC$1006:$AS$1006,0))&gt;=100000), " ",IF(INDEX($AC$2:$AS$1001,MATCH(ROWS($V$2:V550),$V$2:$V$1001,0),MATCH(COLUMNS($AC$1006:AI1006),$AC$1006:$AS$1006,0)), HYPERLINK("#",""), HYPERLINK(CONCATENATE("#metadata!", ADDRESS(INDEX($X$2:$X$1001,MATCH(ROWS($V$2:V550),$V$2:$V$1001,0),0), INDEX($AC$1004:$AS$1004,1,MATCH(COLUMNS($AC$1006:AI1006),$AC$1006:$AS$1006,0)))),"Fix")))</f>
        <v xml:space="preserve"> </v>
      </c>
      <c r="I550" s="4" t="str">
        <f ca="1">IF(OR(INDEX($W$2:$W$1001,MATCH(ROWS($V$2:V550),$V$2:$V$1001,0),1)&gt;=100000,INDEX($AC$1005:$AS$1005,1,MATCH(COLUMNS($AC$1006:AJ1006),$AC$1006:$AS$1006,0))&gt;=100000), " ",IF(INDEX($AC$2:$AS$1001,MATCH(ROWS($V$2:V550),$V$2:$V$1001,0),MATCH(COLUMNS($AC$1006:AJ1006),$AC$1006:$AS$1006,0)), HYPERLINK("#",""), HYPERLINK(CONCATENATE("#metadata!", ADDRESS(INDEX($X$2:$X$1001,MATCH(ROWS($V$2:V550),$V$2:$V$1001,0),0), INDEX($AC$1004:$AS$1004,1,MATCH(COLUMNS($AC$1006:AJ1006),$AC$1006:$AS$1006,0)))),"Fix")))</f>
        <v xml:space="preserve"> </v>
      </c>
      <c r="J550" s="4" t="str">
        <f ca="1">IF(OR(INDEX($W$2:$W$1001,MATCH(ROWS($V$2:V550),$V$2:$V$1001,0),1)&gt;=100000,INDEX($AC$1005:$AS$1005,1,MATCH(COLUMNS($AC$1006:AK1006),$AC$1006:$AS$1006,0))&gt;=100000), " ",IF(INDEX($AC$2:$AS$1001,MATCH(ROWS($V$2:V550),$V$2:$V$1001,0),MATCH(COLUMNS($AC$1006:AK1006),$AC$1006:$AS$1006,0)), HYPERLINK("#",""), HYPERLINK(CONCATENATE("#metadata!", ADDRESS(INDEX($X$2:$X$1001,MATCH(ROWS($V$2:V550),$V$2:$V$1001,0),0), INDEX($AC$1004:$AS$1004,1,MATCH(COLUMNS($AC$1006:AK1006),$AC$1006:$AS$1006,0)))),"Fix")))</f>
        <v xml:space="preserve"> </v>
      </c>
      <c r="K550" s="4" t="str">
        <f ca="1">IF(OR(INDEX($W$2:$W$1001,MATCH(ROWS($V$2:V550),$V$2:$V$1001,0),1)&gt;=100000,INDEX($AC$1005:$AS$1005,1,MATCH(COLUMNS($AC$1006:AL1006),$AC$1006:$AS$1006,0))&gt;=100000), " ",IF(INDEX($AC$2:$AS$1001,MATCH(ROWS($V$2:V550),$V$2:$V$1001,0),MATCH(COLUMNS($AC$1006:AL1006),$AC$1006:$AS$1006,0)), HYPERLINK("#",""), HYPERLINK(CONCATENATE("#metadata!", ADDRESS(INDEX($X$2:$X$1001,MATCH(ROWS($V$2:V550),$V$2:$V$1001,0),0), INDEX($AC$1004:$AS$1004,1,MATCH(COLUMNS($AC$1006:AL1006),$AC$1006:$AS$1006,0)))),"Fix")))</f>
        <v xml:space="preserve"> </v>
      </c>
      <c r="L550" s="4" t="str">
        <f ca="1">IF(OR(INDEX($W$2:$W$1001,MATCH(ROWS($V$2:V550),$V$2:$V$1001,0),1)&gt;=100000,INDEX($AC$1005:$AS$1005,1,MATCH(COLUMNS($AC$1006:AM1006),$AC$1006:$AS$1006,0))&gt;=100000), " ",IF(INDEX($AC$2:$AS$1001,MATCH(ROWS($V$2:V550),$V$2:$V$1001,0),MATCH(COLUMNS($AC$1006:AM1006),$AC$1006:$AS$1006,0)), HYPERLINK("#",""), HYPERLINK(CONCATENATE("#metadata!", ADDRESS(INDEX($X$2:$X$1001,MATCH(ROWS($V$2:V550),$V$2:$V$1001,0),0), INDEX($AC$1004:$AS$1004,1,MATCH(COLUMNS($AC$1006:AM1006),$AC$1006:$AS$1006,0)))),"Fix")))</f>
        <v xml:space="preserve"> </v>
      </c>
      <c r="M550" s="4" t="str">
        <f ca="1">IF(OR(INDEX($W$2:$W$1001,MATCH(ROWS($V$2:V550),$V$2:$V$1001,0),1)&gt;=100000,INDEX($AC$1005:$AS$1005,1,MATCH(COLUMNS($AC$1006:AN1006),$AC$1006:$AS$1006,0))&gt;=100000), " ",IF(INDEX($AC$2:$AS$1001,MATCH(ROWS($V$2:V550),$V$2:$V$1001,0),MATCH(COLUMNS($AC$1006:AN1006),$AC$1006:$AS$1006,0)), HYPERLINK("#",""), HYPERLINK(CONCATENATE("#metadata!", ADDRESS(INDEX($X$2:$X$1001,MATCH(ROWS($V$2:V550),$V$2:$V$1001,0),0), INDEX($AC$1004:$AS$1004,1,MATCH(COLUMNS($AC$1006:AN1006),$AC$1006:$AS$1006,0)))),"Fix")))</f>
        <v xml:space="preserve"> </v>
      </c>
      <c r="N550" s="4" t="str">
        <f ca="1">IF(OR(INDEX($W$2:$W$1001,MATCH(ROWS($V$2:V550),$V$2:$V$1001,0),1)&gt;=100000,INDEX($AC$1005:$AS$1005,1,MATCH(COLUMNS($AC$1006:AO1006),$AC$1006:$AS$1006,0))&gt;=100000), " ",IF(INDEX($AC$2:$AS$1001,MATCH(ROWS($V$2:V550),$V$2:$V$1001,0),MATCH(COLUMNS($AC$1006:AO1006),$AC$1006:$AS$1006,0)), HYPERLINK("#",""), HYPERLINK(CONCATENATE("#metadata!", ADDRESS(INDEX($X$2:$X$1001,MATCH(ROWS($V$2:V550),$V$2:$V$1001,0),0), INDEX($AC$1004:$AS$1004,1,MATCH(COLUMNS($AC$1006:AO1006),$AC$1006:$AS$1006,0)))),"Fix")))</f>
        <v xml:space="preserve"> </v>
      </c>
      <c r="O550" s="4" t="str">
        <f ca="1">IF(OR(INDEX($W$2:$W$1001,MATCH(ROWS($V$2:V550),$V$2:$V$1001,0),1)&gt;=100000,INDEX($AC$1005:$AS$1005,1,MATCH(COLUMNS($AC$1006:AP1006),$AC$1006:$AS$1006,0))&gt;=100000), " ",IF(INDEX($AC$2:$AS$1001,MATCH(ROWS($V$2:V550),$V$2:$V$1001,0),MATCH(COLUMNS($AC$1006:AP1006),$AC$1006:$AS$1006,0)), HYPERLINK("#",""), HYPERLINK(CONCATENATE("#metadata!", ADDRESS(INDEX($X$2:$X$1001,MATCH(ROWS($V$2:V550),$V$2:$V$1001,0),0), INDEX($AC$1004:$AS$1004,1,MATCH(COLUMNS($AC$1006:AP1006),$AC$1006:$AS$1006,0)))),"Fix")))</f>
        <v xml:space="preserve"> </v>
      </c>
      <c r="P550" s="4" t="str">
        <f ca="1">IF(OR(INDEX($W$2:$W$1001,MATCH(ROWS($V$2:V550),$V$2:$V$1001,0),1)&gt;=100000,INDEX($AC$1005:$AS$1005,1,MATCH(COLUMNS($AC$1006:AQ1006),$AC$1006:$AS$1006,0))&gt;=100000), " ",IF(INDEX($AC$2:$AS$1001,MATCH(ROWS($V$2:V550),$V$2:$V$1001,0),MATCH(COLUMNS($AC$1006:AQ1006),$AC$1006:$AS$1006,0)), HYPERLINK("#",""), HYPERLINK(CONCATENATE("#metadata!", ADDRESS(INDEX($X$2:$X$1001,MATCH(ROWS($V$2:V550),$V$2:$V$1001,0),0), INDEX($AC$1004:$AS$1004,1,MATCH(COLUMNS($AC$1006:AQ1006),$AC$1006:$AS$1006,0)))),"Fix")))</f>
        <v xml:space="preserve"> </v>
      </c>
      <c r="Q550" s="4" t="str">
        <f ca="1">IF(OR(INDEX($W$2:$W$1001,MATCH(ROWS($V$2:V550),$V$2:$V$1001,0),1)&gt;=100000,INDEX($AC$1005:$AS$1005,1,MATCH(COLUMNS($AC$1006:AR1006),$AC$1006:$AS$1006,0))&gt;=100000), " ",IF(INDEX($AC$2:$AS$1001,MATCH(ROWS($V$2:V550),$V$2:$V$1001,0),MATCH(COLUMNS($AC$1006:AR1006),$AC$1006:$AS$1006,0)), HYPERLINK("#",""), HYPERLINK(CONCATENATE("#metadata!", ADDRESS(INDEX($X$2:$X$1001,MATCH(ROWS($V$2:V550),$V$2:$V$1001,0),0), INDEX($AC$1004:$AS$1004,1,MATCH(COLUMNS($AC$1006:AR1006),$AC$1006:$AS$1006,0)))),"Fix")))</f>
        <v xml:space="preserve"> </v>
      </c>
      <c r="R550" s="4" t="str">
        <f ca="1">IF(OR(INDEX($W$2:$W$1001,MATCH(ROWS($V$2:V550),$V$2:$V$1001,0),1)&gt;=100000,INDEX($AC$1005:$AS$1005,1,MATCH(COLUMNS($AC$1006:AS1006),$AC$1006:$AS$1006,0))&gt;=100000), " ",IF(INDEX($AC$2:$AS$1001,MATCH(ROWS($V$2:V550),$V$2:$V$1001,0),MATCH(COLUMNS($AC$1006:AS1006),$AC$1006:$AS$1006,0)), HYPERLINK("#",""), HYPERLINK(CONCATENATE("#metadata!", ADDRESS(INDEX($X$2:$X$1001,MATCH(ROWS($V$2:V550),$V$2:$V$1001,0),0), INDEX($AC$1004:$AS$1004,1,MATCH(COLUMNS($AC$1006:AS1006),$AC$1006:$AS$1006,0)))),"Fix")))</f>
        <v xml:space="preserve"> </v>
      </c>
      <c r="V550">
        <v>549</v>
      </c>
      <c r="W550">
        <v>100550</v>
      </c>
      <c r="X550">
        <v>550</v>
      </c>
      <c r="Y550" t="b">
        <f t="shared" si="8"/>
        <v>1</v>
      </c>
      <c r="Z550" t="b">
        <f>COUNTBLANK(metadata!B550:R550)=COLUMNS(metadata!B550:R550)</f>
        <v>1</v>
      </c>
      <c r="AA550" t="str">
        <v/>
      </c>
      <c r="AC550" t="b">
        <f ca="1"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AD550" t="b">
        <f>IF(metadata!C550="",FALSE,ISNUMBER(VALUE(metadata!C550)))</f>
        <v>0</v>
      </c>
      <c r="AE550" t="b">
        <f>AND(IF(metadata!D550="",FALSE,TRUE),EXACT(metadata!D550,"years"))</f>
        <v>0</v>
      </c>
      <c r="AF550" t="b">
        <f>OR(AND(IF(metadata!E550="",FALSE,TRUE),OR(EXACT(metadata!E550,"not applicable"),EXACT(metadata!E550,"missing: not collected"),EXACT(metadata!E550,"missing: not provided"),EXACT(metadata!E550,"missing: restricted access"))),AND(IF(metadata!E550="",FALSE,ISNUMBER(VALUE(metadata!E550))),metadata!E550&gt;0))</f>
        <v>0</v>
      </c>
      <c r="AG550" t="b">
        <f>AND(IF(metadata!F550="",FALSE,TRUE),EXACT(metadata!F550,"Not applicable"))</f>
        <v>0</v>
      </c>
      <c r="AH550" t="b">
        <f>AND(IF(metadata!G550="",FALSE,TRUE),EXACT(metadata!G550,"urban biome"))</f>
        <v>0</v>
      </c>
      <c r="AI550" t="b">
        <f>AND(IF(metadata!H550="",FALSE,TRUE),EXACT(metadata!H550,"human-associated habitat"))</f>
        <v>0</v>
      </c>
      <c r="AJ550" t="b">
        <f>AND(IF(metadata!I550="",FALSE,TRUE),OR(EXACT(metadata!I550,"human-associated"),EXACT(metadata!I550,"human-skin"),EXACT(metadata!I550,"human-oral"),EXACT(metadata!I550,"human-gut"),EXACT(metadata!I550,"human-vaginal")))</f>
        <v>0</v>
      </c>
      <c r="AK550" t="b">
        <f>IF(metadata!J550="",FALSE,ISNUMBER(VALUE(metadata!J550)))</f>
        <v>0</v>
      </c>
      <c r="AL550" t="b">
        <f>AND(IF(metadata!K550="",FALSE,TRUE),EXACT(metadata!K550,"cm"))</f>
        <v>0</v>
      </c>
      <c r="AM550" t="b">
        <f>AND(IF(metadata!L550="",FALSE,TRUE),EXACT(metadata!L550,"human"))</f>
        <v>0</v>
      </c>
      <c r="AN550" t="b">
        <f>AND(IF(metadata!M550="",FALSE,TRUE),EXACT(metadata!M550,"Homo sapiens"))</f>
        <v>0</v>
      </c>
      <c r="AO550" t="b">
        <f>AND(IF(metadata!N550="",FALSE,TRUE),EXACT(metadata!N550,"9606"))</f>
        <v>0</v>
      </c>
      <c r="AP550" t="b">
        <f>IF(metadata!O550="",FALSE,TRUE)</f>
        <v>0</v>
      </c>
      <c r="AQ550" t="b">
        <f>IF(metadata!P550="",FALSE,TRUE)</f>
        <v>0</v>
      </c>
      <c r="AR550" t="b">
        <f>IF(metadata!Q550="",FALSE,ISNUMBER(VALUE(metadata!Q550)))</f>
        <v>0</v>
      </c>
      <c r="AS550" t="b">
        <f>AND(IF(metadata!R550="",FALSE,TRUE),EXACT(metadata!R550,"kg"))</f>
        <v>0</v>
      </c>
    </row>
    <row r="551" spans="1:45" x14ac:dyDescent="0.2">
      <c r="A551" s="5" t="str">
        <f ca="1">IF(B551=" "," ",HYPERLINK(CONCATENATE("#metadata!",ADDRESS(INDEX($X$2:$X$1001,MATCH(ROWS($V$2:V551),$V$2:$V$1001,0),0),1)),INDEX($AA$2:$AA$1001,MATCH(ROWS($V$2:V551),$V$2:$V$1001,0),0)))</f>
        <v xml:space="preserve"> </v>
      </c>
      <c r="B551" s="4" t="str">
        <f ca="1">IF(OR(INDEX($W$2:$W$1001,MATCH(ROWS($V$2:V551),$V$2:$V$1001,0),1)&gt;=100000,INDEX($AC$1005:$AS$1005,1,MATCH(COLUMNS($AC$1006:AC1006),$AC$1006:$AS$1006,0))&gt;=100000), " ",IF(INDEX($AC$2:$AS$1001,MATCH(ROWS($V$2:V551),$V$2:$V$1001,0),MATCH(COLUMNS($AC$1006:AC1006),$AC$1006:$AS$1006,0)), HYPERLINK("#",""), HYPERLINK(CONCATENATE("#metadata!", ADDRESS(INDEX($X$2:$X$1001,MATCH(ROWS($V$2:V551),$V$2:$V$1001,0),0), INDEX($AC$1004:$AS$1004,1,MATCH(COLUMNS($AC$1006:AC1006),$AC$1006:$AS$1006,0)))),"Fix")))</f>
        <v xml:space="preserve"> </v>
      </c>
      <c r="C551" s="4" t="str">
        <f ca="1">IF(OR(INDEX($W$2:$W$1001,MATCH(ROWS($V$2:V551),$V$2:$V$1001,0),1)&gt;=100000,INDEX($AC$1005:$AS$1005,1,MATCH(COLUMNS($AC$1006:AD1006),$AC$1006:$AS$1006,0))&gt;=100000), " ",IF(INDEX($AC$2:$AS$1001,MATCH(ROWS($V$2:V551),$V$2:$V$1001,0),MATCH(COLUMNS($AC$1006:AD1006),$AC$1006:$AS$1006,0)), HYPERLINK("#",""), HYPERLINK(CONCATENATE("#metadata!", ADDRESS(INDEX($X$2:$X$1001,MATCH(ROWS($V$2:V551),$V$2:$V$1001,0),0), INDEX($AC$1004:$AS$1004,1,MATCH(COLUMNS($AC$1006:AD1006),$AC$1006:$AS$1006,0)))),"Fix")))</f>
        <v xml:space="preserve"> </v>
      </c>
      <c r="D551" s="4" t="str">
        <f ca="1">IF(OR(INDEX($W$2:$W$1001,MATCH(ROWS($V$2:V551),$V$2:$V$1001,0),1)&gt;=100000,INDEX($AC$1005:$AS$1005,1,MATCH(COLUMNS($AC$1006:AE1006),$AC$1006:$AS$1006,0))&gt;=100000), " ",IF(INDEX($AC$2:$AS$1001,MATCH(ROWS($V$2:V551),$V$2:$V$1001,0),MATCH(COLUMNS($AC$1006:AE1006),$AC$1006:$AS$1006,0)), HYPERLINK("#",""), HYPERLINK(CONCATENATE("#metadata!", ADDRESS(INDEX($X$2:$X$1001,MATCH(ROWS($V$2:V551),$V$2:$V$1001,0),0), INDEX($AC$1004:$AS$1004,1,MATCH(COLUMNS($AC$1006:AE1006),$AC$1006:$AS$1006,0)))),"Fix")))</f>
        <v xml:space="preserve"> </v>
      </c>
      <c r="E551" s="4" t="str">
        <f ca="1">IF(OR(INDEX($W$2:$W$1001,MATCH(ROWS($V$2:V551),$V$2:$V$1001,0),1)&gt;=100000,INDEX($AC$1005:$AS$1005,1,MATCH(COLUMNS($AC$1006:AF1006),$AC$1006:$AS$1006,0))&gt;=100000), " ",IF(INDEX($AC$2:$AS$1001,MATCH(ROWS($V$2:V551),$V$2:$V$1001,0),MATCH(COLUMNS($AC$1006:AF1006),$AC$1006:$AS$1006,0)), HYPERLINK("#",""), HYPERLINK(CONCATENATE("#metadata!", ADDRESS(INDEX($X$2:$X$1001,MATCH(ROWS($V$2:V551),$V$2:$V$1001,0),0), INDEX($AC$1004:$AS$1004,1,MATCH(COLUMNS($AC$1006:AF1006),$AC$1006:$AS$1006,0)))),"Fix")))</f>
        <v xml:space="preserve"> </v>
      </c>
      <c r="F551" s="4" t="str">
        <f ca="1">IF(OR(INDEX($W$2:$W$1001,MATCH(ROWS($V$2:V551),$V$2:$V$1001,0),1)&gt;=100000,INDEX($AC$1005:$AS$1005,1,MATCH(COLUMNS($AC$1006:AG1006),$AC$1006:$AS$1006,0))&gt;=100000), " ",IF(INDEX($AC$2:$AS$1001,MATCH(ROWS($V$2:V551),$V$2:$V$1001,0),MATCH(COLUMNS($AC$1006:AG1006),$AC$1006:$AS$1006,0)), HYPERLINK("#",""), HYPERLINK(CONCATENATE("#metadata!", ADDRESS(INDEX($X$2:$X$1001,MATCH(ROWS($V$2:V551),$V$2:$V$1001,0),0), INDEX($AC$1004:$AS$1004,1,MATCH(COLUMNS($AC$1006:AG1006),$AC$1006:$AS$1006,0)))),"Fix")))</f>
        <v xml:space="preserve"> </v>
      </c>
      <c r="G551" s="4" t="str">
        <f ca="1">IF(OR(INDEX($W$2:$W$1001,MATCH(ROWS($V$2:V551),$V$2:$V$1001,0),1)&gt;=100000,INDEX($AC$1005:$AS$1005,1,MATCH(COLUMNS($AC$1006:AH1006),$AC$1006:$AS$1006,0))&gt;=100000), " ",IF(INDEX($AC$2:$AS$1001,MATCH(ROWS($V$2:V551),$V$2:$V$1001,0),MATCH(COLUMNS($AC$1006:AH1006),$AC$1006:$AS$1006,0)), HYPERLINK("#",""), HYPERLINK(CONCATENATE("#metadata!", ADDRESS(INDEX($X$2:$X$1001,MATCH(ROWS($V$2:V551),$V$2:$V$1001,0),0), INDEX($AC$1004:$AS$1004,1,MATCH(COLUMNS($AC$1006:AH1006),$AC$1006:$AS$1006,0)))),"Fix")))</f>
        <v xml:space="preserve"> </v>
      </c>
      <c r="H551" s="4" t="str">
        <f ca="1">IF(OR(INDEX($W$2:$W$1001,MATCH(ROWS($V$2:V551),$V$2:$V$1001,0),1)&gt;=100000,INDEX($AC$1005:$AS$1005,1,MATCH(COLUMNS($AC$1006:AI1006),$AC$1006:$AS$1006,0))&gt;=100000), " ",IF(INDEX($AC$2:$AS$1001,MATCH(ROWS($V$2:V551),$V$2:$V$1001,0),MATCH(COLUMNS($AC$1006:AI1006),$AC$1006:$AS$1006,0)), HYPERLINK("#",""), HYPERLINK(CONCATENATE("#metadata!", ADDRESS(INDEX($X$2:$X$1001,MATCH(ROWS($V$2:V551),$V$2:$V$1001,0),0), INDEX($AC$1004:$AS$1004,1,MATCH(COLUMNS($AC$1006:AI1006),$AC$1006:$AS$1006,0)))),"Fix")))</f>
        <v xml:space="preserve"> </v>
      </c>
      <c r="I551" s="4" t="str">
        <f ca="1">IF(OR(INDEX($W$2:$W$1001,MATCH(ROWS($V$2:V551),$V$2:$V$1001,0),1)&gt;=100000,INDEX($AC$1005:$AS$1005,1,MATCH(COLUMNS($AC$1006:AJ1006),$AC$1006:$AS$1006,0))&gt;=100000), " ",IF(INDEX($AC$2:$AS$1001,MATCH(ROWS($V$2:V551),$V$2:$V$1001,0),MATCH(COLUMNS($AC$1006:AJ1006),$AC$1006:$AS$1006,0)), HYPERLINK("#",""), HYPERLINK(CONCATENATE("#metadata!", ADDRESS(INDEX($X$2:$X$1001,MATCH(ROWS($V$2:V551),$V$2:$V$1001,0),0), INDEX($AC$1004:$AS$1004,1,MATCH(COLUMNS($AC$1006:AJ1006),$AC$1006:$AS$1006,0)))),"Fix")))</f>
        <v xml:space="preserve"> </v>
      </c>
      <c r="J551" s="4" t="str">
        <f ca="1">IF(OR(INDEX($W$2:$W$1001,MATCH(ROWS($V$2:V551),$V$2:$V$1001,0),1)&gt;=100000,INDEX($AC$1005:$AS$1005,1,MATCH(COLUMNS($AC$1006:AK1006),$AC$1006:$AS$1006,0))&gt;=100000), " ",IF(INDEX($AC$2:$AS$1001,MATCH(ROWS($V$2:V551),$V$2:$V$1001,0),MATCH(COLUMNS($AC$1006:AK1006),$AC$1006:$AS$1006,0)), HYPERLINK("#",""), HYPERLINK(CONCATENATE("#metadata!", ADDRESS(INDEX($X$2:$X$1001,MATCH(ROWS($V$2:V551),$V$2:$V$1001,0),0), INDEX($AC$1004:$AS$1004,1,MATCH(COLUMNS($AC$1006:AK1006),$AC$1006:$AS$1006,0)))),"Fix")))</f>
        <v xml:space="preserve"> </v>
      </c>
      <c r="K551" s="4" t="str">
        <f ca="1">IF(OR(INDEX($W$2:$W$1001,MATCH(ROWS($V$2:V551),$V$2:$V$1001,0),1)&gt;=100000,INDEX($AC$1005:$AS$1005,1,MATCH(COLUMNS($AC$1006:AL1006),$AC$1006:$AS$1006,0))&gt;=100000), " ",IF(INDEX($AC$2:$AS$1001,MATCH(ROWS($V$2:V551),$V$2:$V$1001,0),MATCH(COLUMNS($AC$1006:AL1006),$AC$1006:$AS$1006,0)), HYPERLINK("#",""), HYPERLINK(CONCATENATE("#metadata!", ADDRESS(INDEX($X$2:$X$1001,MATCH(ROWS($V$2:V551),$V$2:$V$1001,0),0), INDEX($AC$1004:$AS$1004,1,MATCH(COLUMNS($AC$1006:AL1006),$AC$1006:$AS$1006,0)))),"Fix")))</f>
        <v xml:space="preserve"> </v>
      </c>
      <c r="L551" s="4" t="str">
        <f ca="1">IF(OR(INDEX($W$2:$W$1001,MATCH(ROWS($V$2:V551),$V$2:$V$1001,0),1)&gt;=100000,INDEX($AC$1005:$AS$1005,1,MATCH(COLUMNS($AC$1006:AM1006),$AC$1006:$AS$1006,0))&gt;=100000), " ",IF(INDEX($AC$2:$AS$1001,MATCH(ROWS($V$2:V551),$V$2:$V$1001,0),MATCH(COLUMNS($AC$1006:AM1006),$AC$1006:$AS$1006,0)), HYPERLINK("#",""), HYPERLINK(CONCATENATE("#metadata!", ADDRESS(INDEX($X$2:$X$1001,MATCH(ROWS($V$2:V551),$V$2:$V$1001,0),0), INDEX($AC$1004:$AS$1004,1,MATCH(COLUMNS($AC$1006:AM1006),$AC$1006:$AS$1006,0)))),"Fix")))</f>
        <v xml:space="preserve"> </v>
      </c>
      <c r="M551" s="4" t="str">
        <f ca="1">IF(OR(INDEX($W$2:$W$1001,MATCH(ROWS($V$2:V551),$V$2:$V$1001,0),1)&gt;=100000,INDEX($AC$1005:$AS$1005,1,MATCH(COLUMNS($AC$1006:AN1006),$AC$1006:$AS$1006,0))&gt;=100000), " ",IF(INDEX($AC$2:$AS$1001,MATCH(ROWS($V$2:V551),$V$2:$V$1001,0),MATCH(COLUMNS($AC$1006:AN1006),$AC$1006:$AS$1006,0)), HYPERLINK("#",""), HYPERLINK(CONCATENATE("#metadata!", ADDRESS(INDEX($X$2:$X$1001,MATCH(ROWS($V$2:V551),$V$2:$V$1001,0),0), INDEX($AC$1004:$AS$1004,1,MATCH(COLUMNS($AC$1006:AN1006),$AC$1006:$AS$1006,0)))),"Fix")))</f>
        <v xml:space="preserve"> </v>
      </c>
      <c r="N551" s="4" t="str">
        <f ca="1">IF(OR(INDEX($W$2:$W$1001,MATCH(ROWS($V$2:V551),$V$2:$V$1001,0),1)&gt;=100000,INDEX($AC$1005:$AS$1005,1,MATCH(COLUMNS($AC$1006:AO1006),$AC$1006:$AS$1006,0))&gt;=100000), " ",IF(INDEX($AC$2:$AS$1001,MATCH(ROWS($V$2:V551),$V$2:$V$1001,0),MATCH(COLUMNS($AC$1006:AO1006),$AC$1006:$AS$1006,0)), HYPERLINK("#",""), HYPERLINK(CONCATENATE("#metadata!", ADDRESS(INDEX($X$2:$X$1001,MATCH(ROWS($V$2:V551),$V$2:$V$1001,0),0), INDEX($AC$1004:$AS$1004,1,MATCH(COLUMNS($AC$1006:AO1006),$AC$1006:$AS$1006,0)))),"Fix")))</f>
        <v xml:space="preserve"> </v>
      </c>
      <c r="O551" s="4" t="str">
        <f ca="1">IF(OR(INDEX($W$2:$W$1001,MATCH(ROWS($V$2:V551),$V$2:$V$1001,0),1)&gt;=100000,INDEX($AC$1005:$AS$1005,1,MATCH(COLUMNS($AC$1006:AP1006),$AC$1006:$AS$1006,0))&gt;=100000), " ",IF(INDEX($AC$2:$AS$1001,MATCH(ROWS($V$2:V551),$V$2:$V$1001,0),MATCH(COLUMNS($AC$1006:AP1006),$AC$1006:$AS$1006,0)), HYPERLINK("#",""), HYPERLINK(CONCATENATE("#metadata!", ADDRESS(INDEX($X$2:$X$1001,MATCH(ROWS($V$2:V551),$V$2:$V$1001,0),0), INDEX($AC$1004:$AS$1004,1,MATCH(COLUMNS($AC$1006:AP1006),$AC$1006:$AS$1006,0)))),"Fix")))</f>
        <v xml:space="preserve"> </v>
      </c>
      <c r="P551" s="4" t="str">
        <f ca="1">IF(OR(INDEX($W$2:$W$1001,MATCH(ROWS($V$2:V551),$V$2:$V$1001,0),1)&gt;=100000,INDEX($AC$1005:$AS$1005,1,MATCH(COLUMNS($AC$1006:AQ1006),$AC$1006:$AS$1006,0))&gt;=100000), " ",IF(INDEX($AC$2:$AS$1001,MATCH(ROWS($V$2:V551),$V$2:$V$1001,0),MATCH(COLUMNS($AC$1006:AQ1006),$AC$1006:$AS$1006,0)), HYPERLINK("#",""), HYPERLINK(CONCATENATE("#metadata!", ADDRESS(INDEX($X$2:$X$1001,MATCH(ROWS($V$2:V551),$V$2:$V$1001,0),0), INDEX($AC$1004:$AS$1004,1,MATCH(COLUMNS($AC$1006:AQ1006),$AC$1006:$AS$1006,0)))),"Fix")))</f>
        <v xml:space="preserve"> </v>
      </c>
      <c r="Q551" s="4" t="str">
        <f ca="1">IF(OR(INDEX($W$2:$W$1001,MATCH(ROWS($V$2:V551),$V$2:$V$1001,0),1)&gt;=100000,INDEX($AC$1005:$AS$1005,1,MATCH(COLUMNS($AC$1006:AR1006),$AC$1006:$AS$1006,0))&gt;=100000), " ",IF(INDEX($AC$2:$AS$1001,MATCH(ROWS($V$2:V551),$V$2:$V$1001,0),MATCH(COLUMNS($AC$1006:AR1006),$AC$1006:$AS$1006,0)), HYPERLINK("#",""), HYPERLINK(CONCATENATE("#metadata!", ADDRESS(INDEX($X$2:$X$1001,MATCH(ROWS($V$2:V551),$V$2:$V$1001,0),0), INDEX($AC$1004:$AS$1004,1,MATCH(COLUMNS($AC$1006:AR1006),$AC$1006:$AS$1006,0)))),"Fix")))</f>
        <v xml:space="preserve"> </v>
      </c>
      <c r="R551" s="4" t="str">
        <f ca="1">IF(OR(INDEX($W$2:$W$1001,MATCH(ROWS($V$2:V551),$V$2:$V$1001,0),1)&gt;=100000,INDEX($AC$1005:$AS$1005,1,MATCH(COLUMNS($AC$1006:AS1006),$AC$1006:$AS$1006,0))&gt;=100000), " ",IF(INDEX($AC$2:$AS$1001,MATCH(ROWS($V$2:V551),$V$2:$V$1001,0),MATCH(COLUMNS($AC$1006:AS1006),$AC$1006:$AS$1006,0)), HYPERLINK("#",""), HYPERLINK(CONCATENATE("#metadata!", ADDRESS(INDEX($X$2:$X$1001,MATCH(ROWS($V$2:V551),$V$2:$V$1001,0),0), INDEX($AC$1004:$AS$1004,1,MATCH(COLUMNS($AC$1006:AS1006),$AC$1006:$AS$1006,0)))),"Fix")))</f>
        <v xml:space="preserve"> </v>
      </c>
      <c r="V551">
        <v>550</v>
      </c>
      <c r="W551">
        <v>100551</v>
      </c>
      <c r="X551">
        <v>551</v>
      </c>
      <c r="Y551" t="b">
        <f t="shared" si="8"/>
        <v>1</v>
      </c>
      <c r="Z551" t="b">
        <f>COUNTBLANK(metadata!B551:R551)=COLUMNS(metadata!B551:R551)</f>
        <v>1</v>
      </c>
      <c r="AA551" t="str">
        <v/>
      </c>
      <c r="AC551" t="b">
        <f ca="1"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AD551" t="b">
        <f>IF(metadata!C551="",FALSE,ISNUMBER(VALUE(metadata!C551)))</f>
        <v>0</v>
      </c>
      <c r="AE551" t="b">
        <f>AND(IF(metadata!D551="",FALSE,TRUE),EXACT(metadata!D551,"years"))</f>
        <v>0</v>
      </c>
      <c r="AF551" t="b">
        <f>OR(AND(IF(metadata!E551="",FALSE,TRUE),OR(EXACT(metadata!E551,"not applicable"),EXACT(metadata!E551,"missing: not collected"),EXACT(metadata!E551,"missing: not provided"),EXACT(metadata!E551,"missing: restricted access"))),AND(IF(metadata!E551="",FALSE,ISNUMBER(VALUE(metadata!E551))),metadata!E551&gt;0))</f>
        <v>0</v>
      </c>
      <c r="AG551" t="b">
        <f>AND(IF(metadata!F551="",FALSE,TRUE),EXACT(metadata!F551,"Not applicable"))</f>
        <v>0</v>
      </c>
      <c r="AH551" t="b">
        <f>AND(IF(metadata!G551="",FALSE,TRUE),EXACT(metadata!G551,"urban biome"))</f>
        <v>0</v>
      </c>
      <c r="AI551" t="b">
        <f>AND(IF(metadata!H551="",FALSE,TRUE),EXACT(metadata!H551,"human-associated habitat"))</f>
        <v>0</v>
      </c>
      <c r="AJ551" t="b">
        <f>AND(IF(metadata!I551="",FALSE,TRUE),OR(EXACT(metadata!I551,"human-associated"),EXACT(metadata!I551,"human-skin"),EXACT(metadata!I551,"human-oral"),EXACT(metadata!I551,"human-gut"),EXACT(metadata!I551,"human-vaginal")))</f>
        <v>0</v>
      </c>
      <c r="AK551" t="b">
        <f>IF(metadata!J551="",FALSE,ISNUMBER(VALUE(metadata!J551)))</f>
        <v>0</v>
      </c>
      <c r="AL551" t="b">
        <f>AND(IF(metadata!K551="",FALSE,TRUE),EXACT(metadata!K551,"cm"))</f>
        <v>0</v>
      </c>
      <c r="AM551" t="b">
        <f>AND(IF(metadata!L551="",FALSE,TRUE),EXACT(metadata!L551,"human"))</f>
        <v>0</v>
      </c>
      <c r="AN551" t="b">
        <f>AND(IF(metadata!M551="",FALSE,TRUE),EXACT(metadata!M551,"Homo sapiens"))</f>
        <v>0</v>
      </c>
      <c r="AO551" t="b">
        <f>AND(IF(metadata!N551="",FALSE,TRUE),EXACT(metadata!N551,"9606"))</f>
        <v>0</v>
      </c>
      <c r="AP551" t="b">
        <f>IF(metadata!O551="",FALSE,TRUE)</f>
        <v>0</v>
      </c>
      <c r="AQ551" t="b">
        <f>IF(metadata!P551="",FALSE,TRUE)</f>
        <v>0</v>
      </c>
      <c r="AR551" t="b">
        <f>IF(metadata!Q551="",FALSE,ISNUMBER(VALUE(metadata!Q551)))</f>
        <v>0</v>
      </c>
      <c r="AS551" t="b">
        <f>AND(IF(metadata!R551="",FALSE,TRUE),EXACT(metadata!R551,"kg"))</f>
        <v>0</v>
      </c>
    </row>
    <row r="552" spans="1:45" x14ac:dyDescent="0.2">
      <c r="A552" s="5" t="str">
        <f ca="1">IF(B552=" "," ",HYPERLINK(CONCATENATE("#metadata!",ADDRESS(INDEX($X$2:$X$1001,MATCH(ROWS($V$2:V552),$V$2:$V$1001,0),0),1)),INDEX($AA$2:$AA$1001,MATCH(ROWS($V$2:V552),$V$2:$V$1001,0),0)))</f>
        <v xml:space="preserve"> </v>
      </c>
      <c r="B552" s="4" t="str">
        <f ca="1">IF(OR(INDEX($W$2:$W$1001,MATCH(ROWS($V$2:V552),$V$2:$V$1001,0),1)&gt;=100000,INDEX($AC$1005:$AS$1005,1,MATCH(COLUMNS($AC$1006:AC1006),$AC$1006:$AS$1006,0))&gt;=100000), " ",IF(INDEX($AC$2:$AS$1001,MATCH(ROWS($V$2:V552),$V$2:$V$1001,0),MATCH(COLUMNS($AC$1006:AC1006),$AC$1006:$AS$1006,0)), HYPERLINK("#",""), HYPERLINK(CONCATENATE("#metadata!", ADDRESS(INDEX($X$2:$X$1001,MATCH(ROWS($V$2:V552),$V$2:$V$1001,0),0), INDEX($AC$1004:$AS$1004,1,MATCH(COLUMNS($AC$1006:AC1006),$AC$1006:$AS$1006,0)))),"Fix")))</f>
        <v xml:space="preserve"> </v>
      </c>
      <c r="C552" s="4" t="str">
        <f ca="1">IF(OR(INDEX($W$2:$W$1001,MATCH(ROWS($V$2:V552),$V$2:$V$1001,0),1)&gt;=100000,INDEX($AC$1005:$AS$1005,1,MATCH(COLUMNS($AC$1006:AD1006),$AC$1006:$AS$1006,0))&gt;=100000), " ",IF(INDEX($AC$2:$AS$1001,MATCH(ROWS($V$2:V552),$V$2:$V$1001,0),MATCH(COLUMNS($AC$1006:AD1006),$AC$1006:$AS$1006,0)), HYPERLINK("#",""), HYPERLINK(CONCATENATE("#metadata!", ADDRESS(INDEX($X$2:$X$1001,MATCH(ROWS($V$2:V552),$V$2:$V$1001,0),0), INDEX($AC$1004:$AS$1004,1,MATCH(COLUMNS($AC$1006:AD1006),$AC$1006:$AS$1006,0)))),"Fix")))</f>
        <v xml:space="preserve"> </v>
      </c>
      <c r="D552" s="4" t="str">
        <f ca="1">IF(OR(INDEX($W$2:$W$1001,MATCH(ROWS($V$2:V552),$V$2:$V$1001,0),1)&gt;=100000,INDEX($AC$1005:$AS$1005,1,MATCH(COLUMNS($AC$1006:AE1006),$AC$1006:$AS$1006,0))&gt;=100000), " ",IF(INDEX($AC$2:$AS$1001,MATCH(ROWS($V$2:V552),$V$2:$V$1001,0),MATCH(COLUMNS($AC$1006:AE1006),$AC$1006:$AS$1006,0)), HYPERLINK("#",""), HYPERLINK(CONCATENATE("#metadata!", ADDRESS(INDEX($X$2:$X$1001,MATCH(ROWS($V$2:V552),$V$2:$V$1001,0),0), INDEX($AC$1004:$AS$1004,1,MATCH(COLUMNS($AC$1006:AE1006),$AC$1006:$AS$1006,0)))),"Fix")))</f>
        <v xml:space="preserve"> </v>
      </c>
      <c r="E552" s="4" t="str">
        <f ca="1">IF(OR(INDEX($W$2:$W$1001,MATCH(ROWS($V$2:V552),$V$2:$V$1001,0),1)&gt;=100000,INDEX($AC$1005:$AS$1005,1,MATCH(COLUMNS($AC$1006:AF1006),$AC$1006:$AS$1006,0))&gt;=100000), " ",IF(INDEX($AC$2:$AS$1001,MATCH(ROWS($V$2:V552),$V$2:$V$1001,0),MATCH(COLUMNS($AC$1006:AF1006),$AC$1006:$AS$1006,0)), HYPERLINK("#",""), HYPERLINK(CONCATENATE("#metadata!", ADDRESS(INDEX($X$2:$X$1001,MATCH(ROWS($V$2:V552),$V$2:$V$1001,0),0), INDEX($AC$1004:$AS$1004,1,MATCH(COLUMNS($AC$1006:AF1006),$AC$1006:$AS$1006,0)))),"Fix")))</f>
        <v xml:space="preserve"> </v>
      </c>
      <c r="F552" s="4" t="str">
        <f ca="1">IF(OR(INDEX($W$2:$W$1001,MATCH(ROWS($V$2:V552),$V$2:$V$1001,0),1)&gt;=100000,INDEX($AC$1005:$AS$1005,1,MATCH(COLUMNS($AC$1006:AG1006),$AC$1006:$AS$1006,0))&gt;=100000), " ",IF(INDEX($AC$2:$AS$1001,MATCH(ROWS($V$2:V552),$V$2:$V$1001,0),MATCH(COLUMNS($AC$1006:AG1006),$AC$1006:$AS$1006,0)), HYPERLINK("#",""), HYPERLINK(CONCATENATE("#metadata!", ADDRESS(INDEX($X$2:$X$1001,MATCH(ROWS($V$2:V552),$V$2:$V$1001,0),0), INDEX($AC$1004:$AS$1004,1,MATCH(COLUMNS($AC$1006:AG1006),$AC$1006:$AS$1006,0)))),"Fix")))</f>
        <v xml:space="preserve"> </v>
      </c>
      <c r="G552" s="4" t="str">
        <f ca="1">IF(OR(INDEX($W$2:$W$1001,MATCH(ROWS($V$2:V552),$V$2:$V$1001,0),1)&gt;=100000,INDEX($AC$1005:$AS$1005,1,MATCH(COLUMNS($AC$1006:AH1006),$AC$1006:$AS$1006,0))&gt;=100000), " ",IF(INDEX($AC$2:$AS$1001,MATCH(ROWS($V$2:V552),$V$2:$V$1001,0),MATCH(COLUMNS($AC$1006:AH1006),$AC$1006:$AS$1006,0)), HYPERLINK("#",""), HYPERLINK(CONCATENATE("#metadata!", ADDRESS(INDEX($X$2:$X$1001,MATCH(ROWS($V$2:V552),$V$2:$V$1001,0),0), INDEX($AC$1004:$AS$1004,1,MATCH(COLUMNS($AC$1006:AH1006),$AC$1006:$AS$1006,0)))),"Fix")))</f>
        <v xml:space="preserve"> </v>
      </c>
      <c r="H552" s="4" t="str">
        <f ca="1">IF(OR(INDEX($W$2:$W$1001,MATCH(ROWS($V$2:V552),$V$2:$V$1001,0),1)&gt;=100000,INDEX($AC$1005:$AS$1005,1,MATCH(COLUMNS($AC$1006:AI1006),$AC$1006:$AS$1006,0))&gt;=100000), " ",IF(INDEX($AC$2:$AS$1001,MATCH(ROWS($V$2:V552),$V$2:$V$1001,0),MATCH(COLUMNS($AC$1006:AI1006),$AC$1006:$AS$1006,0)), HYPERLINK("#",""), HYPERLINK(CONCATENATE("#metadata!", ADDRESS(INDEX($X$2:$X$1001,MATCH(ROWS($V$2:V552),$V$2:$V$1001,0),0), INDEX($AC$1004:$AS$1004,1,MATCH(COLUMNS($AC$1006:AI1006),$AC$1006:$AS$1006,0)))),"Fix")))</f>
        <v xml:space="preserve"> </v>
      </c>
      <c r="I552" s="4" t="str">
        <f ca="1">IF(OR(INDEX($W$2:$W$1001,MATCH(ROWS($V$2:V552),$V$2:$V$1001,0),1)&gt;=100000,INDEX($AC$1005:$AS$1005,1,MATCH(COLUMNS($AC$1006:AJ1006),$AC$1006:$AS$1006,0))&gt;=100000), " ",IF(INDEX($AC$2:$AS$1001,MATCH(ROWS($V$2:V552),$V$2:$V$1001,0),MATCH(COLUMNS($AC$1006:AJ1006),$AC$1006:$AS$1006,0)), HYPERLINK("#",""), HYPERLINK(CONCATENATE("#metadata!", ADDRESS(INDEX($X$2:$X$1001,MATCH(ROWS($V$2:V552),$V$2:$V$1001,0),0), INDEX($AC$1004:$AS$1004,1,MATCH(COLUMNS($AC$1006:AJ1006),$AC$1006:$AS$1006,0)))),"Fix")))</f>
        <v xml:space="preserve"> </v>
      </c>
      <c r="J552" s="4" t="str">
        <f ca="1">IF(OR(INDEX($W$2:$W$1001,MATCH(ROWS($V$2:V552),$V$2:$V$1001,0),1)&gt;=100000,INDEX($AC$1005:$AS$1005,1,MATCH(COLUMNS($AC$1006:AK1006),$AC$1006:$AS$1006,0))&gt;=100000), " ",IF(INDEX($AC$2:$AS$1001,MATCH(ROWS($V$2:V552),$V$2:$V$1001,0),MATCH(COLUMNS($AC$1006:AK1006),$AC$1006:$AS$1006,0)), HYPERLINK("#",""), HYPERLINK(CONCATENATE("#metadata!", ADDRESS(INDEX($X$2:$X$1001,MATCH(ROWS($V$2:V552),$V$2:$V$1001,0),0), INDEX($AC$1004:$AS$1004,1,MATCH(COLUMNS($AC$1006:AK1006),$AC$1006:$AS$1006,0)))),"Fix")))</f>
        <v xml:space="preserve"> </v>
      </c>
      <c r="K552" s="4" t="str">
        <f ca="1">IF(OR(INDEX($W$2:$W$1001,MATCH(ROWS($V$2:V552),$V$2:$V$1001,0),1)&gt;=100000,INDEX($AC$1005:$AS$1005,1,MATCH(COLUMNS($AC$1006:AL1006),$AC$1006:$AS$1006,0))&gt;=100000), " ",IF(INDEX($AC$2:$AS$1001,MATCH(ROWS($V$2:V552),$V$2:$V$1001,0),MATCH(COLUMNS($AC$1006:AL1006),$AC$1006:$AS$1006,0)), HYPERLINK("#",""), HYPERLINK(CONCATENATE("#metadata!", ADDRESS(INDEX($X$2:$X$1001,MATCH(ROWS($V$2:V552),$V$2:$V$1001,0),0), INDEX($AC$1004:$AS$1004,1,MATCH(COLUMNS($AC$1006:AL1006),$AC$1006:$AS$1006,0)))),"Fix")))</f>
        <v xml:space="preserve"> </v>
      </c>
      <c r="L552" s="4" t="str">
        <f ca="1">IF(OR(INDEX($W$2:$W$1001,MATCH(ROWS($V$2:V552),$V$2:$V$1001,0),1)&gt;=100000,INDEX($AC$1005:$AS$1005,1,MATCH(COLUMNS($AC$1006:AM1006),$AC$1006:$AS$1006,0))&gt;=100000), " ",IF(INDEX($AC$2:$AS$1001,MATCH(ROWS($V$2:V552),$V$2:$V$1001,0),MATCH(COLUMNS($AC$1006:AM1006),$AC$1006:$AS$1006,0)), HYPERLINK("#",""), HYPERLINK(CONCATENATE("#metadata!", ADDRESS(INDEX($X$2:$X$1001,MATCH(ROWS($V$2:V552),$V$2:$V$1001,0),0), INDEX($AC$1004:$AS$1004,1,MATCH(COLUMNS($AC$1006:AM1006),$AC$1006:$AS$1006,0)))),"Fix")))</f>
        <v xml:space="preserve"> </v>
      </c>
      <c r="M552" s="4" t="str">
        <f ca="1">IF(OR(INDEX($W$2:$W$1001,MATCH(ROWS($V$2:V552),$V$2:$V$1001,0),1)&gt;=100000,INDEX($AC$1005:$AS$1005,1,MATCH(COLUMNS($AC$1006:AN1006),$AC$1006:$AS$1006,0))&gt;=100000), " ",IF(INDEX($AC$2:$AS$1001,MATCH(ROWS($V$2:V552),$V$2:$V$1001,0),MATCH(COLUMNS($AC$1006:AN1006),$AC$1006:$AS$1006,0)), HYPERLINK("#",""), HYPERLINK(CONCATENATE("#metadata!", ADDRESS(INDEX($X$2:$X$1001,MATCH(ROWS($V$2:V552),$V$2:$V$1001,0),0), INDEX($AC$1004:$AS$1004,1,MATCH(COLUMNS($AC$1006:AN1006),$AC$1006:$AS$1006,0)))),"Fix")))</f>
        <v xml:space="preserve"> </v>
      </c>
      <c r="N552" s="4" t="str">
        <f ca="1">IF(OR(INDEX($W$2:$W$1001,MATCH(ROWS($V$2:V552),$V$2:$V$1001,0),1)&gt;=100000,INDEX($AC$1005:$AS$1005,1,MATCH(COLUMNS($AC$1006:AO1006),$AC$1006:$AS$1006,0))&gt;=100000), " ",IF(INDEX($AC$2:$AS$1001,MATCH(ROWS($V$2:V552),$V$2:$V$1001,0),MATCH(COLUMNS($AC$1006:AO1006),$AC$1006:$AS$1006,0)), HYPERLINK("#",""), HYPERLINK(CONCATENATE("#metadata!", ADDRESS(INDEX($X$2:$X$1001,MATCH(ROWS($V$2:V552),$V$2:$V$1001,0),0), INDEX($AC$1004:$AS$1004,1,MATCH(COLUMNS($AC$1006:AO1006),$AC$1006:$AS$1006,0)))),"Fix")))</f>
        <v xml:space="preserve"> </v>
      </c>
      <c r="O552" s="4" t="str">
        <f ca="1">IF(OR(INDEX($W$2:$W$1001,MATCH(ROWS($V$2:V552),$V$2:$V$1001,0),1)&gt;=100000,INDEX($AC$1005:$AS$1005,1,MATCH(COLUMNS($AC$1006:AP1006),$AC$1006:$AS$1006,0))&gt;=100000), " ",IF(INDEX($AC$2:$AS$1001,MATCH(ROWS($V$2:V552),$V$2:$V$1001,0),MATCH(COLUMNS($AC$1006:AP1006),$AC$1006:$AS$1006,0)), HYPERLINK("#",""), HYPERLINK(CONCATENATE("#metadata!", ADDRESS(INDEX($X$2:$X$1001,MATCH(ROWS($V$2:V552),$V$2:$V$1001,0),0), INDEX($AC$1004:$AS$1004,1,MATCH(COLUMNS($AC$1006:AP1006),$AC$1006:$AS$1006,0)))),"Fix")))</f>
        <v xml:space="preserve"> </v>
      </c>
      <c r="P552" s="4" t="str">
        <f ca="1">IF(OR(INDEX($W$2:$W$1001,MATCH(ROWS($V$2:V552),$V$2:$V$1001,0),1)&gt;=100000,INDEX($AC$1005:$AS$1005,1,MATCH(COLUMNS($AC$1006:AQ1006),$AC$1006:$AS$1006,0))&gt;=100000), " ",IF(INDEX($AC$2:$AS$1001,MATCH(ROWS($V$2:V552),$V$2:$V$1001,0),MATCH(COLUMNS($AC$1006:AQ1006),$AC$1006:$AS$1006,0)), HYPERLINK("#",""), HYPERLINK(CONCATENATE("#metadata!", ADDRESS(INDEX($X$2:$X$1001,MATCH(ROWS($V$2:V552),$V$2:$V$1001,0),0), INDEX($AC$1004:$AS$1004,1,MATCH(COLUMNS($AC$1006:AQ1006),$AC$1006:$AS$1006,0)))),"Fix")))</f>
        <v xml:space="preserve"> </v>
      </c>
      <c r="Q552" s="4" t="str">
        <f ca="1">IF(OR(INDEX($W$2:$W$1001,MATCH(ROWS($V$2:V552),$V$2:$V$1001,0),1)&gt;=100000,INDEX($AC$1005:$AS$1005,1,MATCH(COLUMNS($AC$1006:AR1006),$AC$1006:$AS$1006,0))&gt;=100000), " ",IF(INDEX($AC$2:$AS$1001,MATCH(ROWS($V$2:V552),$V$2:$V$1001,0),MATCH(COLUMNS($AC$1006:AR1006),$AC$1006:$AS$1006,0)), HYPERLINK("#",""), HYPERLINK(CONCATENATE("#metadata!", ADDRESS(INDEX($X$2:$X$1001,MATCH(ROWS($V$2:V552),$V$2:$V$1001,0),0), INDEX($AC$1004:$AS$1004,1,MATCH(COLUMNS($AC$1006:AR1006),$AC$1006:$AS$1006,0)))),"Fix")))</f>
        <v xml:space="preserve"> </v>
      </c>
      <c r="R552" s="4" t="str">
        <f ca="1">IF(OR(INDEX($W$2:$W$1001,MATCH(ROWS($V$2:V552),$V$2:$V$1001,0),1)&gt;=100000,INDEX($AC$1005:$AS$1005,1,MATCH(COLUMNS($AC$1006:AS1006),$AC$1006:$AS$1006,0))&gt;=100000), " ",IF(INDEX($AC$2:$AS$1001,MATCH(ROWS($V$2:V552),$V$2:$V$1001,0),MATCH(COLUMNS($AC$1006:AS1006),$AC$1006:$AS$1006,0)), HYPERLINK("#",""), HYPERLINK(CONCATENATE("#metadata!", ADDRESS(INDEX($X$2:$X$1001,MATCH(ROWS($V$2:V552),$V$2:$V$1001,0),0), INDEX($AC$1004:$AS$1004,1,MATCH(COLUMNS($AC$1006:AS1006),$AC$1006:$AS$1006,0)))),"Fix")))</f>
        <v xml:space="preserve"> </v>
      </c>
      <c r="V552">
        <v>551</v>
      </c>
      <c r="W552">
        <v>100552</v>
      </c>
      <c r="X552">
        <v>552</v>
      </c>
      <c r="Y552" t="b">
        <f t="shared" si="8"/>
        <v>1</v>
      </c>
      <c r="Z552" t="b">
        <f>COUNTBLANK(metadata!B552:R552)=COLUMNS(metadata!B552:R552)</f>
        <v>1</v>
      </c>
      <c r="AA552" t="str">
        <v/>
      </c>
      <c r="AC552" t="b">
        <f ca="1"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AD552" t="b">
        <f>IF(metadata!C552="",FALSE,ISNUMBER(VALUE(metadata!C552)))</f>
        <v>0</v>
      </c>
      <c r="AE552" t="b">
        <f>AND(IF(metadata!D552="",FALSE,TRUE),EXACT(metadata!D552,"years"))</f>
        <v>0</v>
      </c>
      <c r="AF552" t="b">
        <f>OR(AND(IF(metadata!E552="",FALSE,TRUE),OR(EXACT(metadata!E552,"not applicable"),EXACT(metadata!E552,"missing: not collected"),EXACT(metadata!E552,"missing: not provided"),EXACT(metadata!E552,"missing: restricted access"))),AND(IF(metadata!E552="",FALSE,ISNUMBER(VALUE(metadata!E552))),metadata!E552&gt;0))</f>
        <v>0</v>
      </c>
      <c r="AG552" t="b">
        <f>AND(IF(metadata!F552="",FALSE,TRUE),EXACT(metadata!F552,"Not applicable"))</f>
        <v>0</v>
      </c>
      <c r="AH552" t="b">
        <f>AND(IF(metadata!G552="",FALSE,TRUE),EXACT(metadata!G552,"urban biome"))</f>
        <v>0</v>
      </c>
      <c r="AI552" t="b">
        <f>AND(IF(metadata!H552="",FALSE,TRUE),EXACT(metadata!H552,"human-associated habitat"))</f>
        <v>0</v>
      </c>
      <c r="AJ552" t="b">
        <f>AND(IF(metadata!I552="",FALSE,TRUE),OR(EXACT(metadata!I552,"human-associated"),EXACT(metadata!I552,"human-skin"),EXACT(metadata!I552,"human-oral"),EXACT(metadata!I552,"human-gut"),EXACT(metadata!I552,"human-vaginal")))</f>
        <v>0</v>
      </c>
      <c r="AK552" t="b">
        <f>IF(metadata!J552="",FALSE,ISNUMBER(VALUE(metadata!J552)))</f>
        <v>0</v>
      </c>
      <c r="AL552" t="b">
        <f>AND(IF(metadata!K552="",FALSE,TRUE),EXACT(metadata!K552,"cm"))</f>
        <v>0</v>
      </c>
      <c r="AM552" t="b">
        <f>AND(IF(metadata!L552="",FALSE,TRUE),EXACT(metadata!L552,"human"))</f>
        <v>0</v>
      </c>
      <c r="AN552" t="b">
        <f>AND(IF(metadata!M552="",FALSE,TRUE),EXACT(metadata!M552,"Homo sapiens"))</f>
        <v>0</v>
      </c>
      <c r="AO552" t="b">
        <f>AND(IF(metadata!N552="",FALSE,TRUE),EXACT(metadata!N552,"9606"))</f>
        <v>0</v>
      </c>
      <c r="AP552" t="b">
        <f>IF(metadata!O552="",FALSE,TRUE)</f>
        <v>0</v>
      </c>
      <c r="AQ552" t="b">
        <f>IF(metadata!P552="",FALSE,TRUE)</f>
        <v>0</v>
      </c>
      <c r="AR552" t="b">
        <f>IF(metadata!Q552="",FALSE,ISNUMBER(VALUE(metadata!Q552)))</f>
        <v>0</v>
      </c>
      <c r="AS552" t="b">
        <f>AND(IF(metadata!R552="",FALSE,TRUE),EXACT(metadata!R552,"kg"))</f>
        <v>0</v>
      </c>
    </row>
    <row r="553" spans="1:45" x14ac:dyDescent="0.2">
      <c r="A553" s="5" t="str">
        <f ca="1">IF(B553=" "," ",HYPERLINK(CONCATENATE("#metadata!",ADDRESS(INDEX($X$2:$X$1001,MATCH(ROWS($V$2:V553),$V$2:$V$1001,0),0),1)),INDEX($AA$2:$AA$1001,MATCH(ROWS($V$2:V553),$V$2:$V$1001,0),0)))</f>
        <v xml:space="preserve"> </v>
      </c>
      <c r="B553" s="4" t="str">
        <f ca="1">IF(OR(INDEX($W$2:$W$1001,MATCH(ROWS($V$2:V553),$V$2:$V$1001,0),1)&gt;=100000,INDEX($AC$1005:$AS$1005,1,MATCH(COLUMNS($AC$1006:AC1006),$AC$1006:$AS$1006,0))&gt;=100000), " ",IF(INDEX($AC$2:$AS$1001,MATCH(ROWS($V$2:V553),$V$2:$V$1001,0),MATCH(COLUMNS($AC$1006:AC1006),$AC$1006:$AS$1006,0)), HYPERLINK("#",""), HYPERLINK(CONCATENATE("#metadata!", ADDRESS(INDEX($X$2:$X$1001,MATCH(ROWS($V$2:V553),$V$2:$V$1001,0),0), INDEX($AC$1004:$AS$1004,1,MATCH(COLUMNS($AC$1006:AC1006),$AC$1006:$AS$1006,0)))),"Fix")))</f>
        <v xml:space="preserve"> </v>
      </c>
      <c r="C553" s="4" t="str">
        <f ca="1">IF(OR(INDEX($W$2:$W$1001,MATCH(ROWS($V$2:V553),$V$2:$V$1001,0),1)&gt;=100000,INDEX($AC$1005:$AS$1005,1,MATCH(COLUMNS($AC$1006:AD1006),$AC$1006:$AS$1006,0))&gt;=100000), " ",IF(INDEX($AC$2:$AS$1001,MATCH(ROWS($V$2:V553),$V$2:$V$1001,0),MATCH(COLUMNS($AC$1006:AD1006),$AC$1006:$AS$1006,0)), HYPERLINK("#",""), HYPERLINK(CONCATENATE("#metadata!", ADDRESS(INDEX($X$2:$X$1001,MATCH(ROWS($V$2:V553),$V$2:$V$1001,0),0), INDEX($AC$1004:$AS$1004,1,MATCH(COLUMNS($AC$1006:AD1006),$AC$1006:$AS$1006,0)))),"Fix")))</f>
        <v xml:space="preserve"> </v>
      </c>
      <c r="D553" s="4" t="str">
        <f ca="1">IF(OR(INDEX($W$2:$W$1001,MATCH(ROWS($V$2:V553),$V$2:$V$1001,0),1)&gt;=100000,INDEX($AC$1005:$AS$1005,1,MATCH(COLUMNS($AC$1006:AE1006),$AC$1006:$AS$1006,0))&gt;=100000), " ",IF(INDEX($AC$2:$AS$1001,MATCH(ROWS($V$2:V553),$V$2:$V$1001,0),MATCH(COLUMNS($AC$1006:AE1006),$AC$1006:$AS$1006,0)), HYPERLINK("#",""), HYPERLINK(CONCATENATE("#metadata!", ADDRESS(INDEX($X$2:$X$1001,MATCH(ROWS($V$2:V553),$V$2:$V$1001,0),0), INDEX($AC$1004:$AS$1004,1,MATCH(COLUMNS($AC$1006:AE1006),$AC$1006:$AS$1006,0)))),"Fix")))</f>
        <v xml:space="preserve"> </v>
      </c>
      <c r="E553" s="4" t="str">
        <f ca="1">IF(OR(INDEX($W$2:$W$1001,MATCH(ROWS($V$2:V553),$V$2:$V$1001,0),1)&gt;=100000,INDEX($AC$1005:$AS$1005,1,MATCH(COLUMNS($AC$1006:AF1006),$AC$1006:$AS$1006,0))&gt;=100000), " ",IF(INDEX($AC$2:$AS$1001,MATCH(ROWS($V$2:V553),$V$2:$V$1001,0),MATCH(COLUMNS($AC$1006:AF1006),$AC$1006:$AS$1006,0)), HYPERLINK("#",""), HYPERLINK(CONCATENATE("#metadata!", ADDRESS(INDEX($X$2:$X$1001,MATCH(ROWS($V$2:V553),$V$2:$V$1001,0),0), INDEX($AC$1004:$AS$1004,1,MATCH(COLUMNS($AC$1006:AF1006),$AC$1006:$AS$1006,0)))),"Fix")))</f>
        <v xml:space="preserve"> </v>
      </c>
      <c r="F553" s="4" t="str">
        <f ca="1">IF(OR(INDEX($W$2:$W$1001,MATCH(ROWS($V$2:V553),$V$2:$V$1001,0),1)&gt;=100000,INDEX($AC$1005:$AS$1005,1,MATCH(COLUMNS($AC$1006:AG1006),$AC$1006:$AS$1006,0))&gt;=100000), " ",IF(INDEX($AC$2:$AS$1001,MATCH(ROWS($V$2:V553),$V$2:$V$1001,0),MATCH(COLUMNS($AC$1006:AG1006),$AC$1006:$AS$1006,0)), HYPERLINK("#",""), HYPERLINK(CONCATENATE("#metadata!", ADDRESS(INDEX($X$2:$X$1001,MATCH(ROWS($V$2:V553),$V$2:$V$1001,0),0), INDEX($AC$1004:$AS$1004,1,MATCH(COLUMNS($AC$1006:AG1006),$AC$1006:$AS$1006,0)))),"Fix")))</f>
        <v xml:space="preserve"> </v>
      </c>
      <c r="G553" s="4" t="str">
        <f ca="1">IF(OR(INDEX($W$2:$W$1001,MATCH(ROWS($V$2:V553),$V$2:$V$1001,0),1)&gt;=100000,INDEX($AC$1005:$AS$1005,1,MATCH(COLUMNS($AC$1006:AH1006),$AC$1006:$AS$1006,0))&gt;=100000), " ",IF(INDEX($AC$2:$AS$1001,MATCH(ROWS($V$2:V553),$V$2:$V$1001,0),MATCH(COLUMNS($AC$1006:AH1006),$AC$1006:$AS$1006,0)), HYPERLINK("#",""), HYPERLINK(CONCATENATE("#metadata!", ADDRESS(INDEX($X$2:$X$1001,MATCH(ROWS($V$2:V553),$V$2:$V$1001,0),0), INDEX($AC$1004:$AS$1004,1,MATCH(COLUMNS($AC$1006:AH1006),$AC$1006:$AS$1006,0)))),"Fix")))</f>
        <v xml:space="preserve"> </v>
      </c>
      <c r="H553" s="4" t="str">
        <f ca="1">IF(OR(INDEX($W$2:$W$1001,MATCH(ROWS($V$2:V553),$V$2:$V$1001,0),1)&gt;=100000,INDEX($AC$1005:$AS$1005,1,MATCH(COLUMNS($AC$1006:AI1006),$AC$1006:$AS$1006,0))&gt;=100000), " ",IF(INDEX($AC$2:$AS$1001,MATCH(ROWS($V$2:V553),$V$2:$V$1001,0),MATCH(COLUMNS($AC$1006:AI1006),$AC$1006:$AS$1006,0)), HYPERLINK("#",""), HYPERLINK(CONCATENATE("#metadata!", ADDRESS(INDEX($X$2:$X$1001,MATCH(ROWS($V$2:V553),$V$2:$V$1001,0),0), INDEX($AC$1004:$AS$1004,1,MATCH(COLUMNS($AC$1006:AI1006),$AC$1006:$AS$1006,0)))),"Fix")))</f>
        <v xml:space="preserve"> </v>
      </c>
      <c r="I553" s="4" t="str">
        <f ca="1">IF(OR(INDEX($W$2:$W$1001,MATCH(ROWS($V$2:V553),$V$2:$V$1001,0),1)&gt;=100000,INDEX($AC$1005:$AS$1005,1,MATCH(COLUMNS($AC$1006:AJ1006),$AC$1006:$AS$1006,0))&gt;=100000), " ",IF(INDEX($AC$2:$AS$1001,MATCH(ROWS($V$2:V553),$V$2:$V$1001,0),MATCH(COLUMNS($AC$1006:AJ1006),$AC$1006:$AS$1006,0)), HYPERLINK("#",""), HYPERLINK(CONCATENATE("#metadata!", ADDRESS(INDEX($X$2:$X$1001,MATCH(ROWS($V$2:V553),$V$2:$V$1001,0),0), INDEX($AC$1004:$AS$1004,1,MATCH(COLUMNS($AC$1006:AJ1006),$AC$1006:$AS$1006,0)))),"Fix")))</f>
        <v xml:space="preserve"> </v>
      </c>
      <c r="J553" s="4" t="str">
        <f ca="1">IF(OR(INDEX($W$2:$W$1001,MATCH(ROWS($V$2:V553),$V$2:$V$1001,0),1)&gt;=100000,INDEX($AC$1005:$AS$1005,1,MATCH(COLUMNS($AC$1006:AK1006),$AC$1006:$AS$1006,0))&gt;=100000), " ",IF(INDEX($AC$2:$AS$1001,MATCH(ROWS($V$2:V553),$V$2:$V$1001,0),MATCH(COLUMNS($AC$1006:AK1006),$AC$1006:$AS$1006,0)), HYPERLINK("#",""), HYPERLINK(CONCATENATE("#metadata!", ADDRESS(INDEX($X$2:$X$1001,MATCH(ROWS($V$2:V553),$V$2:$V$1001,0),0), INDEX($AC$1004:$AS$1004,1,MATCH(COLUMNS($AC$1006:AK1006),$AC$1006:$AS$1006,0)))),"Fix")))</f>
        <v xml:space="preserve"> </v>
      </c>
      <c r="K553" s="4" t="str">
        <f ca="1">IF(OR(INDEX($W$2:$W$1001,MATCH(ROWS($V$2:V553),$V$2:$V$1001,0),1)&gt;=100000,INDEX($AC$1005:$AS$1005,1,MATCH(COLUMNS($AC$1006:AL1006),$AC$1006:$AS$1006,0))&gt;=100000), " ",IF(INDEX($AC$2:$AS$1001,MATCH(ROWS($V$2:V553),$V$2:$V$1001,0),MATCH(COLUMNS($AC$1006:AL1006),$AC$1006:$AS$1006,0)), HYPERLINK("#",""), HYPERLINK(CONCATENATE("#metadata!", ADDRESS(INDEX($X$2:$X$1001,MATCH(ROWS($V$2:V553),$V$2:$V$1001,0),0), INDEX($AC$1004:$AS$1004,1,MATCH(COLUMNS($AC$1006:AL1006),$AC$1006:$AS$1006,0)))),"Fix")))</f>
        <v xml:space="preserve"> </v>
      </c>
      <c r="L553" s="4" t="str">
        <f ca="1">IF(OR(INDEX($W$2:$W$1001,MATCH(ROWS($V$2:V553),$V$2:$V$1001,0),1)&gt;=100000,INDEX($AC$1005:$AS$1005,1,MATCH(COLUMNS($AC$1006:AM1006),$AC$1006:$AS$1006,0))&gt;=100000), " ",IF(INDEX($AC$2:$AS$1001,MATCH(ROWS($V$2:V553),$V$2:$V$1001,0),MATCH(COLUMNS($AC$1006:AM1006),$AC$1006:$AS$1006,0)), HYPERLINK("#",""), HYPERLINK(CONCATENATE("#metadata!", ADDRESS(INDEX($X$2:$X$1001,MATCH(ROWS($V$2:V553),$V$2:$V$1001,0),0), INDEX($AC$1004:$AS$1004,1,MATCH(COLUMNS($AC$1006:AM1006),$AC$1006:$AS$1006,0)))),"Fix")))</f>
        <v xml:space="preserve"> </v>
      </c>
      <c r="M553" s="4" t="str">
        <f ca="1">IF(OR(INDEX($W$2:$W$1001,MATCH(ROWS($V$2:V553),$V$2:$V$1001,0),1)&gt;=100000,INDEX($AC$1005:$AS$1005,1,MATCH(COLUMNS($AC$1006:AN1006),$AC$1006:$AS$1006,0))&gt;=100000), " ",IF(INDEX($AC$2:$AS$1001,MATCH(ROWS($V$2:V553),$V$2:$V$1001,0),MATCH(COLUMNS($AC$1006:AN1006),$AC$1006:$AS$1006,0)), HYPERLINK("#",""), HYPERLINK(CONCATENATE("#metadata!", ADDRESS(INDEX($X$2:$X$1001,MATCH(ROWS($V$2:V553),$V$2:$V$1001,0),0), INDEX($AC$1004:$AS$1004,1,MATCH(COLUMNS($AC$1006:AN1006),$AC$1006:$AS$1006,0)))),"Fix")))</f>
        <v xml:space="preserve"> </v>
      </c>
      <c r="N553" s="4" t="str">
        <f ca="1">IF(OR(INDEX($W$2:$W$1001,MATCH(ROWS($V$2:V553),$V$2:$V$1001,0),1)&gt;=100000,INDEX($AC$1005:$AS$1005,1,MATCH(COLUMNS($AC$1006:AO1006),$AC$1006:$AS$1006,0))&gt;=100000), " ",IF(INDEX($AC$2:$AS$1001,MATCH(ROWS($V$2:V553),$V$2:$V$1001,0),MATCH(COLUMNS($AC$1006:AO1006),$AC$1006:$AS$1006,0)), HYPERLINK("#",""), HYPERLINK(CONCATENATE("#metadata!", ADDRESS(INDEX($X$2:$X$1001,MATCH(ROWS($V$2:V553),$V$2:$V$1001,0),0), INDEX($AC$1004:$AS$1004,1,MATCH(COLUMNS($AC$1006:AO1006),$AC$1006:$AS$1006,0)))),"Fix")))</f>
        <v xml:space="preserve"> </v>
      </c>
      <c r="O553" s="4" t="str">
        <f ca="1">IF(OR(INDEX($W$2:$W$1001,MATCH(ROWS($V$2:V553),$V$2:$V$1001,0),1)&gt;=100000,INDEX($AC$1005:$AS$1005,1,MATCH(COLUMNS($AC$1006:AP1006),$AC$1006:$AS$1006,0))&gt;=100000), " ",IF(INDEX($AC$2:$AS$1001,MATCH(ROWS($V$2:V553),$V$2:$V$1001,0),MATCH(COLUMNS($AC$1006:AP1006),$AC$1006:$AS$1006,0)), HYPERLINK("#",""), HYPERLINK(CONCATENATE("#metadata!", ADDRESS(INDEX($X$2:$X$1001,MATCH(ROWS($V$2:V553),$V$2:$V$1001,0),0), INDEX($AC$1004:$AS$1004,1,MATCH(COLUMNS($AC$1006:AP1006),$AC$1006:$AS$1006,0)))),"Fix")))</f>
        <v xml:space="preserve"> </v>
      </c>
      <c r="P553" s="4" t="str">
        <f ca="1">IF(OR(INDEX($W$2:$W$1001,MATCH(ROWS($V$2:V553),$V$2:$V$1001,0),1)&gt;=100000,INDEX($AC$1005:$AS$1005,1,MATCH(COLUMNS($AC$1006:AQ1006),$AC$1006:$AS$1006,0))&gt;=100000), " ",IF(INDEX($AC$2:$AS$1001,MATCH(ROWS($V$2:V553),$V$2:$V$1001,0),MATCH(COLUMNS($AC$1006:AQ1006),$AC$1006:$AS$1006,0)), HYPERLINK("#",""), HYPERLINK(CONCATENATE("#metadata!", ADDRESS(INDEX($X$2:$X$1001,MATCH(ROWS($V$2:V553),$V$2:$V$1001,0),0), INDEX($AC$1004:$AS$1004,1,MATCH(COLUMNS($AC$1006:AQ1006),$AC$1006:$AS$1006,0)))),"Fix")))</f>
        <v xml:space="preserve"> </v>
      </c>
      <c r="Q553" s="4" t="str">
        <f ca="1">IF(OR(INDEX($W$2:$W$1001,MATCH(ROWS($V$2:V553),$V$2:$V$1001,0),1)&gt;=100000,INDEX($AC$1005:$AS$1005,1,MATCH(COLUMNS($AC$1006:AR1006),$AC$1006:$AS$1006,0))&gt;=100000), " ",IF(INDEX($AC$2:$AS$1001,MATCH(ROWS($V$2:V553),$V$2:$V$1001,0),MATCH(COLUMNS($AC$1006:AR1006),$AC$1006:$AS$1006,0)), HYPERLINK("#",""), HYPERLINK(CONCATENATE("#metadata!", ADDRESS(INDEX($X$2:$X$1001,MATCH(ROWS($V$2:V553),$V$2:$V$1001,0),0), INDEX($AC$1004:$AS$1004,1,MATCH(COLUMNS($AC$1006:AR1006),$AC$1006:$AS$1006,0)))),"Fix")))</f>
        <v xml:space="preserve"> </v>
      </c>
      <c r="R553" s="4" t="str">
        <f ca="1">IF(OR(INDEX($W$2:$W$1001,MATCH(ROWS($V$2:V553),$V$2:$V$1001,0),1)&gt;=100000,INDEX($AC$1005:$AS$1005,1,MATCH(COLUMNS($AC$1006:AS1006),$AC$1006:$AS$1006,0))&gt;=100000), " ",IF(INDEX($AC$2:$AS$1001,MATCH(ROWS($V$2:V553),$V$2:$V$1001,0),MATCH(COLUMNS($AC$1006:AS1006),$AC$1006:$AS$1006,0)), HYPERLINK("#",""), HYPERLINK(CONCATENATE("#metadata!", ADDRESS(INDEX($X$2:$X$1001,MATCH(ROWS($V$2:V553),$V$2:$V$1001,0),0), INDEX($AC$1004:$AS$1004,1,MATCH(COLUMNS($AC$1006:AS1006),$AC$1006:$AS$1006,0)))),"Fix")))</f>
        <v xml:space="preserve"> </v>
      </c>
      <c r="V553">
        <v>552</v>
      </c>
      <c r="W553">
        <v>100553</v>
      </c>
      <c r="X553">
        <v>553</v>
      </c>
      <c r="Y553" t="b">
        <f t="shared" si="8"/>
        <v>1</v>
      </c>
      <c r="Z553" t="b">
        <f>COUNTBLANK(metadata!B553:R553)=COLUMNS(metadata!B553:R553)</f>
        <v>1</v>
      </c>
      <c r="AA553" t="str">
        <v/>
      </c>
      <c r="AC553" t="b">
        <f ca="1"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AD553" t="b">
        <f>IF(metadata!C553="",FALSE,ISNUMBER(VALUE(metadata!C553)))</f>
        <v>0</v>
      </c>
      <c r="AE553" t="b">
        <f>AND(IF(metadata!D553="",FALSE,TRUE),EXACT(metadata!D553,"years"))</f>
        <v>0</v>
      </c>
      <c r="AF553" t="b">
        <f>OR(AND(IF(metadata!E553="",FALSE,TRUE),OR(EXACT(metadata!E553,"not applicable"),EXACT(metadata!E553,"missing: not collected"),EXACT(metadata!E553,"missing: not provided"),EXACT(metadata!E553,"missing: restricted access"))),AND(IF(metadata!E553="",FALSE,ISNUMBER(VALUE(metadata!E553))),metadata!E553&gt;0))</f>
        <v>0</v>
      </c>
      <c r="AG553" t="b">
        <f>AND(IF(metadata!F553="",FALSE,TRUE),EXACT(metadata!F553,"Not applicable"))</f>
        <v>0</v>
      </c>
      <c r="AH553" t="b">
        <f>AND(IF(metadata!G553="",FALSE,TRUE),EXACT(metadata!G553,"urban biome"))</f>
        <v>0</v>
      </c>
      <c r="AI553" t="b">
        <f>AND(IF(metadata!H553="",FALSE,TRUE),EXACT(metadata!H553,"human-associated habitat"))</f>
        <v>0</v>
      </c>
      <c r="AJ553" t="b">
        <f>AND(IF(metadata!I553="",FALSE,TRUE),OR(EXACT(metadata!I553,"human-associated"),EXACT(metadata!I553,"human-skin"),EXACT(metadata!I553,"human-oral"),EXACT(metadata!I553,"human-gut"),EXACT(metadata!I553,"human-vaginal")))</f>
        <v>0</v>
      </c>
      <c r="AK553" t="b">
        <f>IF(metadata!J553="",FALSE,ISNUMBER(VALUE(metadata!J553)))</f>
        <v>0</v>
      </c>
      <c r="AL553" t="b">
        <f>AND(IF(metadata!K553="",FALSE,TRUE),EXACT(metadata!K553,"cm"))</f>
        <v>0</v>
      </c>
      <c r="AM553" t="b">
        <f>AND(IF(metadata!L553="",FALSE,TRUE),EXACT(metadata!L553,"human"))</f>
        <v>0</v>
      </c>
      <c r="AN553" t="b">
        <f>AND(IF(metadata!M553="",FALSE,TRUE),EXACT(metadata!M553,"Homo sapiens"))</f>
        <v>0</v>
      </c>
      <c r="AO553" t="b">
        <f>AND(IF(metadata!N553="",FALSE,TRUE),EXACT(metadata!N553,"9606"))</f>
        <v>0</v>
      </c>
      <c r="AP553" t="b">
        <f>IF(metadata!O553="",FALSE,TRUE)</f>
        <v>0</v>
      </c>
      <c r="AQ553" t="b">
        <f>IF(metadata!P553="",FALSE,TRUE)</f>
        <v>0</v>
      </c>
      <c r="AR553" t="b">
        <f>IF(metadata!Q553="",FALSE,ISNUMBER(VALUE(metadata!Q553)))</f>
        <v>0</v>
      </c>
      <c r="AS553" t="b">
        <f>AND(IF(metadata!R553="",FALSE,TRUE),EXACT(metadata!R553,"kg"))</f>
        <v>0</v>
      </c>
    </row>
    <row r="554" spans="1:45" x14ac:dyDescent="0.2">
      <c r="A554" s="5" t="str">
        <f ca="1">IF(B554=" "," ",HYPERLINK(CONCATENATE("#metadata!",ADDRESS(INDEX($X$2:$X$1001,MATCH(ROWS($V$2:V554),$V$2:$V$1001,0),0),1)),INDEX($AA$2:$AA$1001,MATCH(ROWS($V$2:V554),$V$2:$V$1001,0),0)))</f>
        <v xml:space="preserve"> </v>
      </c>
      <c r="B554" s="4" t="str">
        <f ca="1">IF(OR(INDEX($W$2:$W$1001,MATCH(ROWS($V$2:V554),$V$2:$V$1001,0),1)&gt;=100000,INDEX($AC$1005:$AS$1005,1,MATCH(COLUMNS($AC$1006:AC1006),$AC$1006:$AS$1006,0))&gt;=100000), " ",IF(INDEX($AC$2:$AS$1001,MATCH(ROWS($V$2:V554),$V$2:$V$1001,0),MATCH(COLUMNS($AC$1006:AC1006),$AC$1006:$AS$1006,0)), HYPERLINK("#",""), HYPERLINK(CONCATENATE("#metadata!", ADDRESS(INDEX($X$2:$X$1001,MATCH(ROWS($V$2:V554),$V$2:$V$1001,0),0), INDEX($AC$1004:$AS$1004,1,MATCH(COLUMNS($AC$1006:AC1006),$AC$1006:$AS$1006,0)))),"Fix")))</f>
        <v xml:space="preserve"> </v>
      </c>
      <c r="C554" s="4" t="str">
        <f ca="1">IF(OR(INDEX($W$2:$W$1001,MATCH(ROWS($V$2:V554),$V$2:$V$1001,0),1)&gt;=100000,INDEX($AC$1005:$AS$1005,1,MATCH(COLUMNS($AC$1006:AD1006),$AC$1006:$AS$1006,0))&gt;=100000), " ",IF(INDEX($AC$2:$AS$1001,MATCH(ROWS($V$2:V554),$V$2:$V$1001,0),MATCH(COLUMNS($AC$1006:AD1006),$AC$1006:$AS$1006,0)), HYPERLINK("#",""), HYPERLINK(CONCATENATE("#metadata!", ADDRESS(INDEX($X$2:$X$1001,MATCH(ROWS($V$2:V554),$V$2:$V$1001,0),0), INDEX($AC$1004:$AS$1004,1,MATCH(COLUMNS($AC$1006:AD1006),$AC$1006:$AS$1006,0)))),"Fix")))</f>
        <v xml:space="preserve"> </v>
      </c>
      <c r="D554" s="4" t="str">
        <f ca="1">IF(OR(INDEX($W$2:$W$1001,MATCH(ROWS($V$2:V554),$V$2:$V$1001,0),1)&gt;=100000,INDEX($AC$1005:$AS$1005,1,MATCH(COLUMNS($AC$1006:AE1006),$AC$1006:$AS$1006,0))&gt;=100000), " ",IF(INDEX($AC$2:$AS$1001,MATCH(ROWS($V$2:V554),$V$2:$V$1001,0),MATCH(COLUMNS($AC$1006:AE1006),$AC$1006:$AS$1006,0)), HYPERLINK("#",""), HYPERLINK(CONCATENATE("#metadata!", ADDRESS(INDEX($X$2:$X$1001,MATCH(ROWS($V$2:V554),$V$2:$V$1001,0),0), INDEX($AC$1004:$AS$1004,1,MATCH(COLUMNS($AC$1006:AE1006),$AC$1006:$AS$1006,0)))),"Fix")))</f>
        <v xml:space="preserve"> </v>
      </c>
      <c r="E554" s="4" t="str">
        <f ca="1">IF(OR(INDEX($W$2:$W$1001,MATCH(ROWS($V$2:V554),$V$2:$V$1001,0),1)&gt;=100000,INDEX($AC$1005:$AS$1005,1,MATCH(COLUMNS($AC$1006:AF1006),$AC$1006:$AS$1006,0))&gt;=100000), " ",IF(INDEX($AC$2:$AS$1001,MATCH(ROWS($V$2:V554),$V$2:$V$1001,0),MATCH(COLUMNS($AC$1006:AF1006),$AC$1006:$AS$1006,0)), HYPERLINK("#",""), HYPERLINK(CONCATENATE("#metadata!", ADDRESS(INDEX($X$2:$X$1001,MATCH(ROWS($V$2:V554),$V$2:$V$1001,0),0), INDEX($AC$1004:$AS$1004,1,MATCH(COLUMNS($AC$1006:AF1006),$AC$1006:$AS$1006,0)))),"Fix")))</f>
        <v xml:space="preserve"> </v>
      </c>
      <c r="F554" s="4" t="str">
        <f ca="1">IF(OR(INDEX($W$2:$W$1001,MATCH(ROWS($V$2:V554),$V$2:$V$1001,0),1)&gt;=100000,INDEX($AC$1005:$AS$1005,1,MATCH(COLUMNS($AC$1006:AG1006),$AC$1006:$AS$1006,0))&gt;=100000), " ",IF(INDEX($AC$2:$AS$1001,MATCH(ROWS($V$2:V554),$V$2:$V$1001,0),MATCH(COLUMNS($AC$1006:AG1006),$AC$1006:$AS$1006,0)), HYPERLINK("#",""), HYPERLINK(CONCATENATE("#metadata!", ADDRESS(INDEX($X$2:$X$1001,MATCH(ROWS($V$2:V554),$V$2:$V$1001,0),0), INDEX($AC$1004:$AS$1004,1,MATCH(COLUMNS($AC$1006:AG1006),$AC$1006:$AS$1006,0)))),"Fix")))</f>
        <v xml:space="preserve"> </v>
      </c>
      <c r="G554" s="4" t="str">
        <f ca="1">IF(OR(INDEX($W$2:$W$1001,MATCH(ROWS($V$2:V554),$V$2:$V$1001,0),1)&gt;=100000,INDEX($AC$1005:$AS$1005,1,MATCH(COLUMNS($AC$1006:AH1006),$AC$1006:$AS$1006,0))&gt;=100000), " ",IF(INDEX($AC$2:$AS$1001,MATCH(ROWS($V$2:V554),$V$2:$V$1001,0),MATCH(COLUMNS($AC$1006:AH1006),$AC$1006:$AS$1006,0)), HYPERLINK("#",""), HYPERLINK(CONCATENATE("#metadata!", ADDRESS(INDEX($X$2:$X$1001,MATCH(ROWS($V$2:V554),$V$2:$V$1001,0),0), INDEX($AC$1004:$AS$1004,1,MATCH(COLUMNS($AC$1006:AH1006),$AC$1006:$AS$1006,0)))),"Fix")))</f>
        <v xml:space="preserve"> </v>
      </c>
      <c r="H554" s="4" t="str">
        <f ca="1">IF(OR(INDEX($W$2:$W$1001,MATCH(ROWS($V$2:V554),$V$2:$V$1001,0),1)&gt;=100000,INDEX($AC$1005:$AS$1005,1,MATCH(COLUMNS($AC$1006:AI1006),$AC$1006:$AS$1006,0))&gt;=100000), " ",IF(INDEX($AC$2:$AS$1001,MATCH(ROWS($V$2:V554),$V$2:$V$1001,0),MATCH(COLUMNS($AC$1006:AI1006),$AC$1006:$AS$1006,0)), HYPERLINK("#",""), HYPERLINK(CONCATENATE("#metadata!", ADDRESS(INDEX($X$2:$X$1001,MATCH(ROWS($V$2:V554),$V$2:$V$1001,0),0), INDEX($AC$1004:$AS$1004,1,MATCH(COLUMNS($AC$1006:AI1006),$AC$1006:$AS$1006,0)))),"Fix")))</f>
        <v xml:space="preserve"> </v>
      </c>
      <c r="I554" s="4" t="str">
        <f ca="1">IF(OR(INDEX($W$2:$W$1001,MATCH(ROWS($V$2:V554),$V$2:$V$1001,0),1)&gt;=100000,INDEX($AC$1005:$AS$1005,1,MATCH(COLUMNS($AC$1006:AJ1006),$AC$1006:$AS$1006,0))&gt;=100000), " ",IF(INDEX($AC$2:$AS$1001,MATCH(ROWS($V$2:V554),$V$2:$V$1001,0),MATCH(COLUMNS($AC$1006:AJ1006),$AC$1006:$AS$1006,0)), HYPERLINK("#",""), HYPERLINK(CONCATENATE("#metadata!", ADDRESS(INDEX($X$2:$X$1001,MATCH(ROWS($V$2:V554),$V$2:$V$1001,0),0), INDEX($AC$1004:$AS$1004,1,MATCH(COLUMNS($AC$1006:AJ1006),$AC$1006:$AS$1006,0)))),"Fix")))</f>
        <v xml:space="preserve"> </v>
      </c>
      <c r="J554" s="4" t="str">
        <f ca="1">IF(OR(INDEX($W$2:$W$1001,MATCH(ROWS($V$2:V554),$V$2:$V$1001,0),1)&gt;=100000,INDEX($AC$1005:$AS$1005,1,MATCH(COLUMNS($AC$1006:AK1006),$AC$1006:$AS$1006,0))&gt;=100000), " ",IF(INDEX($AC$2:$AS$1001,MATCH(ROWS($V$2:V554),$V$2:$V$1001,0),MATCH(COLUMNS($AC$1006:AK1006),$AC$1006:$AS$1006,0)), HYPERLINK("#",""), HYPERLINK(CONCATENATE("#metadata!", ADDRESS(INDEX($X$2:$X$1001,MATCH(ROWS($V$2:V554),$V$2:$V$1001,0),0), INDEX($AC$1004:$AS$1004,1,MATCH(COLUMNS($AC$1006:AK1006),$AC$1006:$AS$1006,0)))),"Fix")))</f>
        <v xml:space="preserve"> </v>
      </c>
      <c r="K554" s="4" t="str">
        <f ca="1">IF(OR(INDEX($W$2:$W$1001,MATCH(ROWS($V$2:V554),$V$2:$V$1001,0),1)&gt;=100000,INDEX($AC$1005:$AS$1005,1,MATCH(COLUMNS($AC$1006:AL1006),$AC$1006:$AS$1006,0))&gt;=100000), " ",IF(INDEX($AC$2:$AS$1001,MATCH(ROWS($V$2:V554),$V$2:$V$1001,0),MATCH(COLUMNS($AC$1006:AL1006),$AC$1006:$AS$1006,0)), HYPERLINK("#",""), HYPERLINK(CONCATENATE("#metadata!", ADDRESS(INDEX($X$2:$X$1001,MATCH(ROWS($V$2:V554),$V$2:$V$1001,0),0), INDEX($AC$1004:$AS$1004,1,MATCH(COLUMNS($AC$1006:AL1006),$AC$1006:$AS$1006,0)))),"Fix")))</f>
        <v xml:space="preserve"> </v>
      </c>
      <c r="L554" s="4" t="str">
        <f ca="1">IF(OR(INDEX($W$2:$W$1001,MATCH(ROWS($V$2:V554),$V$2:$V$1001,0),1)&gt;=100000,INDEX($AC$1005:$AS$1005,1,MATCH(COLUMNS($AC$1006:AM1006),$AC$1006:$AS$1006,0))&gt;=100000), " ",IF(INDEX($AC$2:$AS$1001,MATCH(ROWS($V$2:V554),$V$2:$V$1001,0),MATCH(COLUMNS($AC$1006:AM1006),$AC$1006:$AS$1006,0)), HYPERLINK("#",""), HYPERLINK(CONCATENATE("#metadata!", ADDRESS(INDEX($X$2:$X$1001,MATCH(ROWS($V$2:V554),$V$2:$V$1001,0),0), INDEX($AC$1004:$AS$1004,1,MATCH(COLUMNS($AC$1006:AM1006),$AC$1006:$AS$1006,0)))),"Fix")))</f>
        <v xml:space="preserve"> </v>
      </c>
      <c r="M554" s="4" t="str">
        <f ca="1">IF(OR(INDEX($W$2:$W$1001,MATCH(ROWS($V$2:V554),$V$2:$V$1001,0),1)&gt;=100000,INDEX($AC$1005:$AS$1005,1,MATCH(COLUMNS($AC$1006:AN1006),$AC$1006:$AS$1006,0))&gt;=100000), " ",IF(INDEX($AC$2:$AS$1001,MATCH(ROWS($V$2:V554),$V$2:$V$1001,0),MATCH(COLUMNS($AC$1006:AN1006),$AC$1006:$AS$1006,0)), HYPERLINK("#",""), HYPERLINK(CONCATENATE("#metadata!", ADDRESS(INDEX($X$2:$X$1001,MATCH(ROWS($V$2:V554),$V$2:$V$1001,0),0), INDEX($AC$1004:$AS$1004,1,MATCH(COLUMNS($AC$1006:AN1006),$AC$1006:$AS$1006,0)))),"Fix")))</f>
        <v xml:space="preserve"> </v>
      </c>
      <c r="N554" s="4" t="str">
        <f ca="1">IF(OR(INDEX($W$2:$W$1001,MATCH(ROWS($V$2:V554),$V$2:$V$1001,0),1)&gt;=100000,INDEX($AC$1005:$AS$1005,1,MATCH(COLUMNS($AC$1006:AO1006),$AC$1006:$AS$1006,0))&gt;=100000), " ",IF(INDEX($AC$2:$AS$1001,MATCH(ROWS($V$2:V554),$V$2:$V$1001,0),MATCH(COLUMNS($AC$1006:AO1006),$AC$1006:$AS$1006,0)), HYPERLINK("#",""), HYPERLINK(CONCATENATE("#metadata!", ADDRESS(INDEX($X$2:$X$1001,MATCH(ROWS($V$2:V554),$V$2:$V$1001,0),0), INDEX($AC$1004:$AS$1004,1,MATCH(COLUMNS($AC$1006:AO1006),$AC$1006:$AS$1006,0)))),"Fix")))</f>
        <v xml:space="preserve"> </v>
      </c>
      <c r="O554" s="4" t="str">
        <f ca="1">IF(OR(INDEX($W$2:$W$1001,MATCH(ROWS($V$2:V554),$V$2:$V$1001,0),1)&gt;=100000,INDEX($AC$1005:$AS$1005,1,MATCH(COLUMNS($AC$1006:AP1006),$AC$1006:$AS$1006,0))&gt;=100000), " ",IF(INDEX($AC$2:$AS$1001,MATCH(ROWS($V$2:V554),$V$2:$V$1001,0),MATCH(COLUMNS($AC$1006:AP1006),$AC$1006:$AS$1006,0)), HYPERLINK("#",""), HYPERLINK(CONCATENATE("#metadata!", ADDRESS(INDEX($X$2:$X$1001,MATCH(ROWS($V$2:V554),$V$2:$V$1001,0),0), INDEX($AC$1004:$AS$1004,1,MATCH(COLUMNS($AC$1006:AP1006),$AC$1006:$AS$1006,0)))),"Fix")))</f>
        <v xml:space="preserve"> </v>
      </c>
      <c r="P554" s="4" t="str">
        <f ca="1">IF(OR(INDEX($W$2:$W$1001,MATCH(ROWS($V$2:V554),$V$2:$V$1001,0),1)&gt;=100000,INDEX($AC$1005:$AS$1005,1,MATCH(COLUMNS($AC$1006:AQ1006),$AC$1006:$AS$1006,0))&gt;=100000), " ",IF(INDEX($AC$2:$AS$1001,MATCH(ROWS($V$2:V554),$V$2:$V$1001,0),MATCH(COLUMNS($AC$1006:AQ1006),$AC$1006:$AS$1006,0)), HYPERLINK("#",""), HYPERLINK(CONCATENATE("#metadata!", ADDRESS(INDEX($X$2:$X$1001,MATCH(ROWS($V$2:V554),$V$2:$V$1001,0),0), INDEX($AC$1004:$AS$1004,1,MATCH(COLUMNS($AC$1006:AQ1006),$AC$1006:$AS$1006,0)))),"Fix")))</f>
        <v xml:space="preserve"> </v>
      </c>
      <c r="Q554" s="4" t="str">
        <f ca="1">IF(OR(INDEX($W$2:$W$1001,MATCH(ROWS($V$2:V554),$V$2:$V$1001,0),1)&gt;=100000,INDEX($AC$1005:$AS$1005,1,MATCH(COLUMNS($AC$1006:AR1006),$AC$1006:$AS$1006,0))&gt;=100000), " ",IF(INDEX($AC$2:$AS$1001,MATCH(ROWS($V$2:V554),$V$2:$V$1001,0),MATCH(COLUMNS($AC$1006:AR1006),$AC$1006:$AS$1006,0)), HYPERLINK("#",""), HYPERLINK(CONCATENATE("#metadata!", ADDRESS(INDEX($X$2:$X$1001,MATCH(ROWS($V$2:V554),$V$2:$V$1001,0),0), INDEX($AC$1004:$AS$1004,1,MATCH(COLUMNS($AC$1006:AR1006),$AC$1006:$AS$1006,0)))),"Fix")))</f>
        <v xml:space="preserve"> </v>
      </c>
      <c r="R554" s="4" t="str">
        <f ca="1">IF(OR(INDEX($W$2:$W$1001,MATCH(ROWS($V$2:V554),$V$2:$V$1001,0),1)&gt;=100000,INDEX($AC$1005:$AS$1005,1,MATCH(COLUMNS($AC$1006:AS1006),$AC$1006:$AS$1006,0))&gt;=100000), " ",IF(INDEX($AC$2:$AS$1001,MATCH(ROWS($V$2:V554),$V$2:$V$1001,0),MATCH(COLUMNS($AC$1006:AS1006),$AC$1006:$AS$1006,0)), HYPERLINK("#",""), HYPERLINK(CONCATENATE("#metadata!", ADDRESS(INDEX($X$2:$X$1001,MATCH(ROWS($V$2:V554),$V$2:$V$1001,0),0), INDEX($AC$1004:$AS$1004,1,MATCH(COLUMNS($AC$1006:AS1006),$AC$1006:$AS$1006,0)))),"Fix")))</f>
        <v xml:space="preserve"> </v>
      </c>
      <c r="V554">
        <v>553</v>
      </c>
      <c r="W554">
        <v>100554</v>
      </c>
      <c r="X554">
        <v>554</v>
      </c>
      <c r="Y554" t="b">
        <f t="shared" si="8"/>
        <v>1</v>
      </c>
      <c r="Z554" t="b">
        <f>COUNTBLANK(metadata!B554:R554)=COLUMNS(metadata!B554:R554)</f>
        <v>1</v>
      </c>
      <c r="AA554" t="str">
        <v/>
      </c>
      <c r="AC554" t="b">
        <f ca="1"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AD554" t="b">
        <f>IF(metadata!C554="",FALSE,ISNUMBER(VALUE(metadata!C554)))</f>
        <v>0</v>
      </c>
      <c r="AE554" t="b">
        <f>AND(IF(metadata!D554="",FALSE,TRUE),EXACT(metadata!D554,"years"))</f>
        <v>0</v>
      </c>
      <c r="AF554" t="b">
        <f>OR(AND(IF(metadata!E554="",FALSE,TRUE),OR(EXACT(metadata!E554,"not applicable"),EXACT(metadata!E554,"missing: not collected"),EXACT(metadata!E554,"missing: not provided"),EXACT(metadata!E554,"missing: restricted access"))),AND(IF(metadata!E554="",FALSE,ISNUMBER(VALUE(metadata!E554))),metadata!E554&gt;0))</f>
        <v>0</v>
      </c>
      <c r="AG554" t="b">
        <f>AND(IF(metadata!F554="",FALSE,TRUE),EXACT(metadata!F554,"Not applicable"))</f>
        <v>0</v>
      </c>
      <c r="AH554" t="b">
        <f>AND(IF(metadata!G554="",FALSE,TRUE),EXACT(metadata!G554,"urban biome"))</f>
        <v>0</v>
      </c>
      <c r="AI554" t="b">
        <f>AND(IF(metadata!H554="",FALSE,TRUE),EXACT(metadata!H554,"human-associated habitat"))</f>
        <v>0</v>
      </c>
      <c r="AJ554" t="b">
        <f>AND(IF(metadata!I554="",FALSE,TRUE),OR(EXACT(metadata!I554,"human-associated"),EXACT(metadata!I554,"human-skin"),EXACT(metadata!I554,"human-oral"),EXACT(metadata!I554,"human-gut"),EXACT(metadata!I554,"human-vaginal")))</f>
        <v>0</v>
      </c>
      <c r="AK554" t="b">
        <f>IF(metadata!J554="",FALSE,ISNUMBER(VALUE(metadata!J554)))</f>
        <v>0</v>
      </c>
      <c r="AL554" t="b">
        <f>AND(IF(metadata!K554="",FALSE,TRUE),EXACT(metadata!K554,"cm"))</f>
        <v>0</v>
      </c>
      <c r="AM554" t="b">
        <f>AND(IF(metadata!L554="",FALSE,TRUE),EXACT(metadata!L554,"human"))</f>
        <v>0</v>
      </c>
      <c r="AN554" t="b">
        <f>AND(IF(metadata!M554="",FALSE,TRUE),EXACT(metadata!M554,"Homo sapiens"))</f>
        <v>0</v>
      </c>
      <c r="AO554" t="b">
        <f>AND(IF(metadata!N554="",FALSE,TRUE),EXACT(metadata!N554,"9606"))</f>
        <v>0</v>
      </c>
      <c r="AP554" t="b">
        <f>IF(metadata!O554="",FALSE,TRUE)</f>
        <v>0</v>
      </c>
      <c r="AQ554" t="b">
        <f>IF(metadata!P554="",FALSE,TRUE)</f>
        <v>0</v>
      </c>
      <c r="AR554" t="b">
        <f>IF(metadata!Q554="",FALSE,ISNUMBER(VALUE(metadata!Q554)))</f>
        <v>0</v>
      </c>
      <c r="AS554" t="b">
        <f>AND(IF(metadata!R554="",FALSE,TRUE),EXACT(metadata!R554,"kg"))</f>
        <v>0</v>
      </c>
    </row>
    <row r="555" spans="1:45" x14ac:dyDescent="0.2">
      <c r="A555" s="5" t="str">
        <f ca="1">IF(B555=" "," ",HYPERLINK(CONCATENATE("#metadata!",ADDRESS(INDEX($X$2:$X$1001,MATCH(ROWS($V$2:V555),$V$2:$V$1001,0),0),1)),INDEX($AA$2:$AA$1001,MATCH(ROWS($V$2:V555),$V$2:$V$1001,0),0)))</f>
        <v xml:space="preserve"> </v>
      </c>
      <c r="B555" s="4" t="str">
        <f ca="1">IF(OR(INDEX($W$2:$W$1001,MATCH(ROWS($V$2:V555),$V$2:$V$1001,0),1)&gt;=100000,INDEX($AC$1005:$AS$1005,1,MATCH(COLUMNS($AC$1006:AC1006),$AC$1006:$AS$1006,0))&gt;=100000), " ",IF(INDEX($AC$2:$AS$1001,MATCH(ROWS($V$2:V555),$V$2:$V$1001,0),MATCH(COLUMNS($AC$1006:AC1006),$AC$1006:$AS$1006,0)), HYPERLINK("#",""), HYPERLINK(CONCATENATE("#metadata!", ADDRESS(INDEX($X$2:$X$1001,MATCH(ROWS($V$2:V555),$V$2:$V$1001,0),0), INDEX($AC$1004:$AS$1004,1,MATCH(COLUMNS($AC$1006:AC1006),$AC$1006:$AS$1006,0)))),"Fix")))</f>
        <v xml:space="preserve"> </v>
      </c>
      <c r="C555" s="4" t="str">
        <f ca="1">IF(OR(INDEX($W$2:$W$1001,MATCH(ROWS($V$2:V555),$V$2:$V$1001,0),1)&gt;=100000,INDEX($AC$1005:$AS$1005,1,MATCH(COLUMNS($AC$1006:AD1006),$AC$1006:$AS$1006,0))&gt;=100000), " ",IF(INDEX($AC$2:$AS$1001,MATCH(ROWS($V$2:V555),$V$2:$V$1001,0),MATCH(COLUMNS($AC$1006:AD1006),$AC$1006:$AS$1006,0)), HYPERLINK("#",""), HYPERLINK(CONCATENATE("#metadata!", ADDRESS(INDEX($X$2:$X$1001,MATCH(ROWS($V$2:V555),$V$2:$V$1001,0),0), INDEX($AC$1004:$AS$1004,1,MATCH(COLUMNS($AC$1006:AD1006),$AC$1006:$AS$1006,0)))),"Fix")))</f>
        <v xml:space="preserve"> </v>
      </c>
      <c r="D555" s="4" t="str">
        <f ca="1">IF(OR(INDEX($W$2:$W$1001,MATCH(ROWS($V$2:V555),$V$2:$V$1001,0),1)&gt;=100000,INDEX($AC$1005:$AS$1005,1,MATCH(COLUMNS($AC$1006:AE1006),$AC$1006:$AS$1006,0))&gt;=100000), " ",IF(INDEX($AC$2:$AS$1001,MATCH(ROWS($V$2:V555),$V$2:$V$1001,0),MATCH(COLUMNS($AC$1006:AE1006),$AC$1006:$AS$1006,0)), HYPERLINK("#",""), HYPERLINK(CONCATENATE("#metadata!", ADDRESS(INDEX($X$2:$X$1001,MATCH(ROWS($V$2:V555),$V$2:$V$1001,0),0), INDEX($AC$1004:$AS$1004,1,MATCH(COLUMNS($AC$1006:AE1006),$AC$1006:$AS$1006,0)))),"Fix")))</f>
        <v xml:space="preserve"> </v>
      </c>
      <c r="E555" s="4" t="str">
        <f ca="1">IF(OR(INDEX($W$2:$W$1001,MATCH(ROWS($V$2:V555),$V$2:$V$1001,0),1)&gt;=100000,INDEX($AC$1005:$AS$1005,1,MATCH(COLUMNS($AC$1006:AF1006),$AC$1006:$AS$1006,0))&gt;=100000), " ",IF(INDEX($AC$2:$AS$1001,MATCH(ROWS($V$2:V555),$V$2:$V$1001,0),MATCH(COLUMNS($AC$1006:AF1006),$AC$1006:$AS$1006,0)), HYPERLINK("#",""), HYPERLINK(CONCATENATE("#metadata!", ADDRESS(INDEX($X$2:$X$1001,MATCH(ROWS($V$2:V555),$V$2:$V$1001,0),0), INDEX($AC$1004:$AS$1004,1,MATCH(COLUMNS($AC$1006:AF1006),$AC$1006:$AS$1006,0)))),"Fix")))</f>
        <v xml:space="preserve"> </v>
      </c>
      <c r="F555" s="4" t="str">
        <f ca="1">IF(OR(INDEX($W$2:$W$1001,MATCH(ROWS($V$2:V555),$V$2:$V$1001,0),1)&gt;=100000,INDEX($AC$1005:$AS$1005,1,MATCH(COLUMNS($AC$1006:AG1006),$AC$1006:$AS$1006,0))&gt;=100000), " ",IF(INDEX($AC$2:$AS$1001,MATCH(ROWS($V$2:V555),$V$2:$V$1001,0),MATCH(COLUMNS($AC$1006:AG1006),$AC$1006:$AS$1006,0)), HYPERLINK("#",""), HYPERLINK(CONCATENATE("#metadata!", ADDRESS(INDEX($X$2:$X$1001,MATCH(ROWS($V$2:V555),$V$2:$V$1001,0),0), INDEX($AC$1004:$AS$1004,1,MATCH(COLUMNS($AC$1006:AG1006),$AC$1006:$AS$1006,0)))),"Fix")))</f>
        <v xml:space="preserve"> </v>
      </c>
      <c r="G555" s="4" t="str">
        <f ca="1">IF(OR(INDEX($W$2:$W$1001,MATCH(ROWS($V$2:V555),$V$2:$V$1001,0),1)&gt;=100000,INDEX($AC$1005:$AS$1005,1,MATCH(COLUMNS($AC$1006:AH1006),$AC$1006:$AS$1006,0))&gt;=100000), " ",IF(INDEX($AC$2:$AS$1001,MATCH(ROWS($V$2:V555),$V$2:$V$1001,0),MATCH(COLUMNS($AC$1006:AH1006),$AC$1006:$AS$1006,0)), HYPERLINK("#",""), HYPERLINK(CONCATENATE("#metadata!", ADDRESS(INDEX($X$2:$X$1001,MATCH(ROWS($V$2:V555),$V$2:$V$1001,0),0), INDEX($AC$1004:$AS$1004,1,MATCH(COLUMNS($AC$1006:AH1006),$AC$1006:$AS$1006,0)))),"Fix")))</f>
        <v xml:space="preserve"> </v>
      </c>
      <c r="H555" s="4" t="str">
        <f ca="1">IF(OR(INDEX($W$2:$W$1001,MATCH(ROWS($V$2:V555),$V$2:$V$1001,0),1)&gt;=100000,INDEX($AC$1005:$AS$1005,1,MATCH(COLUMNS($AC$1006:AI1006),$AC$1006:$AS$1006,0))&gt;=100000), " ",IF(INDEX($AC$2:$AS$1001,MATCH(ROWS($V$2:V555),$V$2:$V$1001,0),MATCH(COLUMNS($AC$1006:AI1006),$AC$1006:$AS$1006,0)), HYPERLINK("#",""), HYPERLINK(CONCATENATE("#metadata!", ADDRESS(INDEX($X$2:$X$1001,MATCH(ROWS($V$2:V555),$V$2:$V$1001,0),0), INDEX($AC$1004:$AS$1004,1,MATCH(COLUMNS($AC$1006:AI1006),$AC$1006:$AS$1006,0)))),"Fix")))</f>
        <v xml:space="preserve"> </v>
      </c>
      <c r="I555" s="4" t="str">
        <f ca="1">IF(OR(INDEX($W$2:$W$1001,MATCH(ROWS($V$2:V555),$V$2:$V$1001,0),1)&gt;=100000,INDEX($AC$1005:$AS$1005,1,MATCH(COLUMNS($AC$1006:AJ1006),$AC$1006:$AS$1006,0))&gt;=100000), " ",IF(INDEX($AC$2:$AS$1001,MATCH(ROWS($V$2:V555),$V$2:$V$1001,0),MATCH(COLUMNS($AC$1006:AJ1006),$AC$1006:$AS$1006,0)), HYPERLINK("#",""), HYPERLINK(CONCATENATE("#metadata!", ADDRESS(INDEX($X$2:$X$1001,MATCH(ROWS($V$2:V555),$V$2:$V$1001,0),0), INDEX($AC$1004:$AS$1004,1,MATCH(COLUMNS($AC$1006:AJ1006),$AC$1006:$AS$1006,0)))),"Fix")))</f>
        <v xml:space="preserve"> </v>
      </c>
      <c r="J555" s="4" t="str">
        <f ca="1">IF(OR(INDEX($W$2:$W$1001,MATCH(ROWS($V$2:V555),$V$2:$V$1001,0),1)&gt;=100000,INDEX($AC$1005:$AS$1005,1,MATCH(COLUMNS($AC$1006:AK1006),$AC$1006:$AS$1006,0))&gt;=100000), " ",IF(INDEX($AC$2:$AS$1001,MATCH(ROWS($V$2:V555),$V$2:$V$1001,0),MATCH(COLUMNS($AC$1006:AK1006),$AC$1006:$AS$1006,0)), HYPERLINK("#",""), HYPERLINK(CONCATENATE("#metadata!", ADDRESS(INDEX($X$2:$X$1001,MATCH(ROWS($V$2:V555),$V$2:$V$1001,0),0), INDEX($AC$1004:$AS$1004,1,MATCH(COLUMNS($AC$1006:AK1006),$AC$1006:$AS$1006,0)))),"Fix")))</f>
        <v xml:space="preserve"> </v>
      </c>
      <c r="K555" s="4" t="str">
        <f ca="1">IF(OR(INDEX($W$2:$W$1001,MATCH(ROWS($V$2:V555),$V$2:$V$1001,0),1)&gt;=100000,INDEX($AC$1005:$AS$1005,1,MATCH(COLUMNS($AC$1006:AL1006),$AC$1006:$AS$1006,0))&gt;=100000), " ",IF(INDEX($AC$2:$AS$1001,MATCH(ROWS($V$2:V555),$V$2:$V$1001,0),MATCH(COLUMNS($AC$1006:AL1006),$AC$1006:$AS$1006,0)), HYPERLINK("#",""), HYPERLINK(CONCATENATE("#metadata!", ADDRESS(INDEX($X$2:$X$1001,MATCH(ROWS($V$2:V555),$V$2:$V$1001,0),0), INDEX($AC$1004:$AS$1004,1,MATCH(COLUMNS($AC$1006:AL1006),$AC$1006:$AS$1006,0)))),"Fix")))</f>
        <v xml:space="preserve"> </v>
      </c>
      <c r="L555" s="4" t="str">
        <f ca="1">IF(OR(INDEX($W$2:$W$1001,MATCH(ROWS($V$2:V555),$V$2:$V$1001,0),1)&gt;=100000,INDEX($AC$1005:$AS$1005,1,MATCH(COLUMNS($AC$1006:AM1006),$AC$1006:$AS$1006,0))&gt;=100000), " ",IF(INDEX($AC$2:$AS$1001,MATCH(ROWS($V$2:V555),$V$2:$V$1001,0),MATCH(COLUMNS($AC$1006:AM1006),$AC$1006:$AS$1006,0)), HYPERLINK("#",""), HYPERLINK(CONCATENATE("#metadata!", ADDRESS(INDEX($X$2:$X$1001,MATCH(ROWS($V$2:V555),$V$2:$V$1001,0),0), INDEX($AC$1004:$AS$1004,1,MATCH(COLUMNS($AC$1006:AM1006),$AC$1006:$AS$1006,0)))),"Fix")))</f>
        <v xml:space="preserve"> </v>
      </c>
      <c r="M555" s="4" t="str">
        <f ca="1">IF(OR(INDEX($W$2:$W$1001,MATCH(ROWS($V$2:V555),$V$2:$V$1001,0),1)&gt;=100000,INDEX($AC$1005:$AS$1005,1,MATCH(COLUMNS($AC$1006:AN1006),$AC$1006:$AS$1006,0))&gt;=100000), " ",IF(INDEX($AC$2:$AS$1001,MATCH(ROWS($V$2:V555),$V$2:$V$1001,0),MATCH(COLUMNS($AC$1006:AN1006),$AC$1006:$AS$1006,0)), HYPERLINK("#",""), HYPERLINK(CONCATENATE("#metadata!", ADDRESS(INDEX($X$2:$X$1001,MATCH(ROWS($V$2:V555),$V$2:$V$1001,0),0), INDEX($AC$1004:$AS$1004,1,MATCH(COLUMNS($AC$1006:AN1006),$AC$1006:$AS$1006,0)))),"Fix")))</f>
        <v xml:space="preserve"> </v>
      </c>
      <c r="N555" s="4" t="str">
        <f ca="1">IF(OR(INDEX($W$2:$W$1001,MATCH(ROWS($V$2:V555),$V$2:$V$1001,0),1)&gt;=100000,INDEX($AC$1005:$AS$1005,1,MATCH(COLUMNS($AC$1006:AO1006),$AC$1006:$AS$1006,0))&gt;=100000), " ",IF(INDEX($AC$2:$AS$1001,MATCH(ROWS($V$2:V555),$V$2:$V$1001,0),MATCH(COLUMNS($AC$1006:AO1006),$AC$1006:$AS$1006,0)), HYPERLINK("#",""), HYPERLINK(CONCATENATE("#metadata!", ADDRESS(INDEX($X$2:$X$1001,MATCH(ROWS($V$2:V555),$V$2:$V$1001,0),0), INDEX($AC$1004:$AS$1004,1,MATCH(COLUMNS($AC$1006:AO1006),$AC$1006:$AS$1006,0)))),"Fix")))</f>
        <v xml:space="preserve"> </v>
      </c>
      <c r="O555" s="4" t="str">
        <f ca="1">IF(OR(INDEX($W$2:$W$1001,MATCH(ROWS($V$2:V555),$V$2:$V$1001,0),1)&gt;=100000,INDEX($AC$1005:$AS$1005,1,MATCH(COLUMNS($AC$1006:AP1006),$AC$1006:$AS$1006,0))&gt;=100000), " ",IF(INDEX($AC$2:$AS$1001,MATCH(ROWS($V$2:V555),$V$2:$V$1001,0),MATCH(COLUMNS($AC$1006:AP1006),$AC$1006:$AS$1006,0)), HYPERLINK("#",""), HYPERLINK(CONCATENATE("#metadata!", ADDRESS(INDEX($X$2:$X$1001,MATCH(ROWS($V$2:V555),$V$2:$V$1001,0),0), INDEX($AC$1004:$AS$1004,1,MATCH(COLUMNS($AC$1006:AP1006),$AC$1006:$AS$1006,0)))),"Fix")))</f>
        <v xml:space="preserve"> </v>
      </c>
      <c r="P555" s="4" t="str">
        <f ca="1">IF(OR(INDEX($W$2:$W$1001,MATCH(ROWS($V$2:V555),$V$2:$V$1001,0),1)&gt;=100000,INDEX($AC$1005:$AS$1005,1,MATCH(COLUMNS($AC$1006:AQ1006),$AC$1006:$AS$1006,0))&gt;=100000), " ",IF(INDEX($AC$2:$AS$1001,MATCH(ROWS($V$2:V555),$V$2:$V$1001,0),MATCH(COLUMNS($AC$1006:AQ1006),$AC$1006:$AS$1006,0)), HYPERLINK("#",""), HYPERLINK(CONCATENATE("#metadata!", ADDRESS(INDEX($X$2:$X$1001,MATCH(ROWS($V$2:V555),$V$2:$V$1001,0),0), INDEX($AC$1004:$AS$1004,1,MATCH(COLUMNS($AC$1006:AQ1006),$AC$1006:$AS$1006,0)))),"Fix")))</f>
        <v xml:space="preserve"> </v>
      </c>
      <c r="Q555" s="4" t="str">
        <f ca="1">IF(OR(INDEX($W$2:$W$1001,MATCH(ROWS($V$2:V555),$V$2:$V$1001,0),1)&gt;=100000,INDEX($AC$1005:$AS$1005,1,MATCH(COLUMNS($AC$1006:AR1006),$AC$1006:$AS$1006,0))&gt;=100000), " ",IF(INDEX($AC$2:$AS$1001,MATCH(ROWS($V$2:V555),$V$2:$V$1001,0),MATCH(COLUMNS($AC$1006:AR1006),$AC$1006:$AS$1006,0)), HYPERLINK("#",""), HYPERLINK(CONCATENATE("#metadata!", ADDRESS(INDEX($X$2:$X$1001,MATCH(ROWS($V$2:V555),$V$2:$V$1001,0),0), INDEX($AC$1004:$AS$1004,1,MATCH(COLUMNS($AC$1006:AR1006),$AC$1006:$AS$1006,0)))),"Fix")))</f>
        <v xml:space="preserve"> </v>
      </c>
      <c r="R555" s="4" t="str">
        <f ca="1">IF(OR(INDEX($W$2:$W$1001,MATCH(ROWS($V$2:V555),$V$2:$V$1001,0),1)&gt;=100000,INDEX($AC$1005:$AS$1005,1,MATCH(COLUMNS($AC$1006:AS1006),$AC$1006:$AS$1006,0))&gt;=100000), " ",IF(INDEX($AC$2:$AS$1001,MATCH(ROWS($V$2:V555),$V$2:$V$1001,0),MATCH(COLUMNS($AC$1006:AS1006),$AC$1006:$AS$1006,0)), HYPERLINK("#",""), HYPERLINK(CONCATENATE("#metadata!", ADDRESS(INDEX($X$2:$X$1001,MATCH(ROWS($V$2:V555),$V$2:$V$1001,0),0), INDEX($AC$1004:$AS$1004,1,MATCH(COLUMNS($AC$1006:AS1006),$AC$1006:$AS$1006,0)))),"Fix")))</f>
        <v xml:space="preserve"> </v>
      </c>
      <c r="V555">
        <v>554</v>
      </c>
      <c r="W555">
        <v>100555</v>
      </c>
      <c r="X555">
        <v>555</v>
      </c>
      <c r="Y555" t="b">
        <f t="shared" si="8"/>
        <v>1</v>
      </c>
      <c r="Z555" t="b">
        <f>COUNTBLANK(metadata!B555:R555)=COLUMNS(metadata!B555:R555)</f>
        <v>1</v>
      </c>
      <c r="AA555" t="str">
        <v/>
      </c>
      <c r="AC555" t="b">
        <f ca="1"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AD555" t="b">
        <f>IF(metadata!C555="",FALSE,ISNUMBER(VALUE(metadata!C555)))</f>
        <v>0</v>
      </c>
      <c r="AE555" t="b">
        <f>AND(IF(metadata!D555="",FALSE,TRUE),EXACT(metadata!D555,"years"))</f>
        <v>0</v>
      </c>
      <c r="AF555" t="b">
        <f>OR(AND(IF(metadata!E555="",FALSE,TRUE),OR(EXACT(metadata!E555,"not applicable"),EXACT(metadata!E555,"missing: not collected"),EXACT(metadata!E555,"missing: not provided"),EXACT(metadata!E555,"missing: restricted access"))),AND(IF(metadata!E555="",FALSE,ISNUMBER(VALUE(metadata!E555))),metadata!E555&gt;0))</f>
        <v>0</v>
      </c>
      <c r="AG555" t="b">
        <f>AND(IF(metadata!F555="",FALSE,TRUE),EXACT(metadata!F555,"Not applicable"))</f>
        <v>0</v>
      </c>
      <c r="AH555" t="b">
        <f>AND(IF(metadata!G555="",FALSE,TRUE),EXACT(metadata!G555,"urban biome"))</f>
        <v>0</v>
      </c>
      <c r="AI555" t="b">
        <f>AND(IF(metadata!H555="",FALSE,TRUE),EXACT(metadata!H555,"human-associated habitat"))</f>
        <v>0</v>
      </c>
      <c r="AJ555" t="b">
        <f>AND(IF(metadata!I555="",FALSE,TRUE),OR(EXACT(metadata!I555,"human-associated"),EXACT(metadata!I555,"human-skin"),EXACT(metadata!I555,"human-oral"),EXACT(metadata!I555,"human-gut"),EXACT(metadata!I555,"human-vaginal")))</f>
        <v>0</v>
      </c>
      <c r="AK555" t="b">
        <f>IF(metadata!J555="",FALSE,ISNUMBER(VALUE(metadata!J555)))</f>
        <v>0</v>
      </c>
      <c r="AL555" t="b">
        <f>AND(IF(metadata!K555="",FALSE,TRUE),EXACT(metadata!K555,"cm"))</f>
        <v>0</v>
      </c>
      <c r="AM555" t="b">
        <f>AND(IF(metadata!L555="",FALSE,TRUE),EXACT(metadata!L555,"human"))</f>
        <v>0</v>
      </c>
      <c r="AN555" t="b">
        <f>AND(IF(metadata!M555="",FALSE,TRUE),EXACT(metadata!M555,"Homo sapiens"))</f>
        <v>0</v>
      </c>
      <c r="AO555" t="b">
        <f>AND(IF(metadata!N555="",FALSE,TRUE),EXACT(metadata!N555,"9606"))</f>
        <v>0</v>
      </c>
      <c r="AP555" t="b">
        <f>IF(metadata!O555="",FALSE,TRUE)</f>
        <v>0</v>
      </c>
      <c r="AQ555" t="b">
        <f>IF(metadata!P555="",FALSE,TRUE)</f>
        <v>0</v>
      </c>
      <c r="AR555" t="b">
        <f>IF(metadata!Q555="",FALSE,ISNUMBER(VALUE(metadata!Q555)))</f>
        <v>0</v>
      </c>
      <c r="AS555" t="b">
        <f>AND(IF(metadata!R555="",FALSE,TRUE),EXACT(metadata!R555,"kg"))</f>
        <v>0</v>
      </c>
    </row>
    <row r="556" spans="1:45" x14ac:dyDescent="0.2">
      <c r="A556" s="5" t="str">
        <f ca="1">IF(B556=" "," ",HYPERLINK(CONCATENATE("#metadata!",ADDRESS(INDEX($X$2:$X$1001,MATCH(ROWS($V$2:V556),$V$2:$V$1001,0),0),1)),INDEX($AA$2:$AA$1001,MATCH(ROWS($V$2:V556),$V$2:$V$1001,0),0)))</f>
        <v xml:space="preserve"> </v>
      </c>
      <c r="B556" s="4" t="str">
        <f ca="1">IF(OR(INDEX($W$2:$W$1001,MATCH(ROWS($V$2:V556),$V$2:$V$1001,0),1)&gt;=100000,INDEX($AC$1005:$AS$1005,1,MATCH(COLUMNS($AC$1006:AC1006),$AC$1006:$AS$1006,0))&gt;=100000), " ",IF(INDEX($AC$2:$AS$1001,MATCH(ROWS($V$2:V556),$V$2:$V$1001,0),MATCH(COLUMNS($AC$1006:AC1006),$AC$1006:$AS$1006,0)), HYPERLINK("#",""), HYPERLINK(CONCATENATE("#metadata!", ADDRESS(INDEX($X$2:$X$1001,MATCH(ROWS($V$2:V556),$V$2:$V$1001,0),0), INDEX($AC$1004:$AS$1004,1,MATCH(COLUMNS($AC$1006:AC1006),$AC$1006:$AS$1006,0)))),"Fix")))</f>
        <v xml:space="preserve"> </v>
      </c>
      <c r="C556" s="4" t="str">
        <f ca="1">IF(OR(INDEX($W$2:$W$1001,MATCH(ROWS($V$2:V556),$V$2:$V$1001,0),1)&gt;=100000,INDEX($AC$1005:$AS$1005,1,MATCH(COLUMNS($AC$1006:AD1006),$AC$1006:$AS$1006,0))&gt;=100000), " ",IF(INDEX($AC$2:$AS$1001,MATCH(ROWS($V$2:V556),$V$2:$V$1001,0),MATCH(COLUMNS($AC$1006:AD1006),$AC$1006:$AS$1006,0)), HYPERLINK("#",""), HYPERLINK(CONCATENATE("#metadata!", ADDRESS(INDEX($X$2:$X$1001,MATCH(ROWS($V$2:V556),$V$2:$V$1001,0),0), INDEX($AC$1004:$AS$1004,1,MATCH(COLUMNS($AC$1006:AD1006),$AC$1006:$AS$1006,0)))),"Fix")))</f>
        <v xml:space="preserve"> </v>
      </c>
      <c r="D556" s="4" t="str">
        <f ca="1">IF(OR(INDEX($W$2:$W$1001,MATCH(ROWS($V$2:V556),$V$2:$V$1001,0),1)&gt;=100000,INDEX($AC$1005:$AS$1005,1,MATCH(COLUMNS($AC$1006:AE1006),$AC$1006:$AS$1006,0))&gt;=100000), " ",IF(INDEX($AC$2:$AS$1001,MATCH(ROWS($V$2:V556),$V$2:$V$1001,0),MATCH(COLUMNS($AC$1006:AE1006),$AC$1006:$AS$1006,0)), HYPERLINK("#",""), HYPERLINK(CONCATENATE("#metadata!", ADDRESS(INDEX($X$2:$X$1001,MATCH(ROWS($V$2:V556),$V$2:$V$1001,0),0), INDEX($AC$1004:$AS$1004,1,MATCH(COLUMNS($AC$1006:AE1006),$AC$1006:$AS$1006,0)))),"Fix")))</f>
        <v xml:space="preserve"> </v>
      </c>
      <c r="E556" s="4" t="str">
        <f ca="1">IF(OR(INDEX($W$2:$W$1001,MATCH(ROWS($V$2:V556),$V$2:$V$1001,0),1)&gt;=100000,INDEX($AC$1005:$AS$1005,1,MATCH(COLUMNS($AC$1006:AF1006),$AC$1006:$AS$1006,0))&gt;=100000), " ",IF(INDEX($AC$2:$AS$1001,MATCH(ROWS($V$2:V556),$V$2:$V$1001,0),MATCH(COLUMNS($AC$1006:AF1006),$AC$1006:$AS$1006,0)), HYPERLINK("#",""), HYPERLINK(CONCATENATE("#metadata!", ADDRESS(INDEX($X$2:$X$1001,MATCH(ROWS($V$2:V556),$V$2:$V$1001,0),0), INDEX($AC$1004:$AS$1004,1,MATCH(COLUMNS($AC$1006:AF1006),$AC$1006:$AS$1006,0)))),"Fix")))</f>
        <v xml:space="preserve"> </v>
      </c>
      <c r="F556" s="4" t="str">
        <f ca="1">IF(OR(INDEX($W$2:$W$1001,MATCH(ROWS($V$2:V556),$V$2:$V$1001,0),1)&gt;=100000,INDEX($AC$1005:$AS$1005,1,MATCH(COLUMNS($AC$1006:AG1006),$AC$1006:$AS$1006,0))&gt;=100000), " ",IF(INDEX($AC$2:$AS$1001,MATCH(ROWS($V$2:V556),$V$2:$V$1001,0),MATCH(COLUMNS($AC$1006:AG1006),$AC$1006:$AS$1006,0)), HYPERLINK("#",""), HYPERLINK(CONCATENATE("#metadata!", ADDRESS(INDEX($X$2:$X$1001,MATCH(ROWS($V$2:V556),$V$2:$V$1001,0),0), INDEX($AC$1004:$AS$1004,1,MATCH(COLUMNS($AC$1006:AG1006),$AC$1006:$AS$1006,0)))),"Fix")))</f>
        <v xml:space="preserve"> </v>
      </c>
      <c r="G556" s="4" t="str">
        <f ca="1">IF(OR(INDEX($W$2:$W$1001,MATCH(ROWS($V$2:V556),$V$2:$V$1001,0),1)&gt;=100000,INDEX($AC$1005:$AS$1005,1,MATCH(COLUMNS($AC$1006:AH1006),$AC$1006:$AS$1006,0))&gt;=100000), " ",IF(INDEX($AC$2:$AS$1001,MATCH(ROWS($V$2:V556),$V$2:$V$1001,0),MATCH(COLUMNS($AC$1006:AH1006),$AC$1006:$AS$1006,0)), HYPERLINK("#",""), HYPERLINK(CONCATENATE("#metadata!", ADDRESS(INDEX($X$2:$X$1001,MATCH(ROWS($V$2:V556),$V$2:$V$1001,0),0), INDEX($AC$1004:$AS$1004,1,MATCH(COLUMNS($AC$1006:AH1006),$AC$1006:$AS$1006,0)))),"Fix")))</f>
        <v xml:space="preserve"> </v>
      </c>
      <c r="H556" s="4" t="str">
        <f ca="1">IF(OR(INDEX($W$2:$W$1001,MATCH(ROWS($V$2:V556),$V$2:$V$1001,0),1)&gt;=100000,INDEX($AC$1005:$AS$1005,1,MATCH(COLUMNS($AC$1006:AI1006),$AC$1006:$AS$1006,0))&gt;=100000), " ",IF(INDEX($AC$2:$AS$1001,MATCH(ROWS($V$2:V556),$V$2:$V$1001,0),MATCH(COLUMNS($AC$1006:AI1006),$AC$1006:$AS$1006,0)), HYPERLINK("#",""), HYPERLINK(CONCATENATE("#metadata!", ADDRESS(INDEX($X$2:$X$1001,MATCH(ROWS($V$2:V556),$V$2:$V$1001,0),0), INDEX($AC$1004:$AS$1004,1,MATCH(COLUMNS($AC$1006:AI1006),$AC$1006:$AS$1006,0)))),"Fix")))</f>
        <v xml:space="preserve"> </v>
      </c>
      <c r="I556" s="4" t="str">
        <f ca="1">IF(OR(INDEX($W$2:$W$1001,MATCH(ROWS($V$2:V556),$V$2:$V$1001,0),1)&gt;=100000,INDEX($AC$1005:$AS$1005,1,MATCH(COLUMNS($AC$1006:AJ1006),$AC$1006:$AS$1006,0))&gt;=100000), " ",IF(INDEX($AC$2:$AS$1001,MATCH(ROWS($V$2:V556),$V$2:$V$1001,0),MATCH(COLUMNS($AC$1006:AJ1006),$AC$1006:$AS$1006,0)), HYPERLINK("#",""), HYPERLINK(CONCATENATE("#metadata!", ADDRESS(INDEX($X$2:$X$1001,MATCH(ROWS($V$2:V556),$V$2:$V$1001,0),0), INDEX($AC$1004:$AS$1004,1,MATCH(COLUMNS($AC$1006:AJ1006),$AC$1006:$AS$1006,0)))),"Fix")))</f>
        <v xml:space="preserve"> </v>
      </c>
      <c r="J556" s="4" t="str">
        <f ca="1">IF(OR(INDEX($W$2:$W$1001,MATCH(ROWS($V$2:V556),$V$2:$V$1001,0),1)&gt;=100000,INDEX($AC$1005:$AS$1005,1,MATCH(COLUMNS($AC$1006:AK1006),$AC$1006:$AS$1006,0))&gt;=100000), " ",IF(INDEX($AC$2:$AS$1001,MATCH(ROWS($V$2:V556),$V$2:$V$1001,0),MATCH(COLUMNS($AC$1006:AK1006),$AC$1006:$AS$1006,0)), HYPERLINK("#",""), HYPERLINK(CONCATENATE("#metadata!", ADDRESS(INDEX($X$2:$X$1001,MATCH(ROWS($V$2:V556),$V$2:$V$1001,0),0), INDEX($AC$1004:$AS$1004,1,MATCH(COLUMNS($AC$1006:AK1006),$AC$1006:$AS$1006,0)))),"Fix")))</f>
        <v xml:space="preserve"> </v>
      </c>
      <c r="K556" s="4" t="str">
        <f ca="1">IF(OR(INDEX($W$2:$W$1001,MATCH(ROWS($V$2:V556),$V$2:$V$1001,0),1)&gt;=100000,INDEX($AC$1005:$AS$1005,1,MATCH(COLUMNS($AC$1006:AL1006),$AC$1006:$AS$1006,0))&gt;=100000), " ",IF(INDEX($AC$2:$AS$1001,MATCH(ROWS($V$2:V556),$V$2:$V$1001,0),MATCH(COLUMNS($AC$1006:AL1006),$AC$1006:$AS$1006,0)), HYPERLINK("#",""), HYPERLINK(CONCATENATE("#metadata!", ADDRESS(INDEX($X$2:$X$1001,MATCH(ROWS($V$2:V556),$V$2:$V$1001,0),0), INDEX($AC$1004:$AS$1004,1,MATCH(COLUMNS($AC$1006:AL1006),$AC$1006:$AS$1006,0)))),"Fix")))</f>
        <v xml:space="preserve"> </v>
      </c>
      <c r="L556" s="4" t="str">
        <f ca="1">IF(OR(INDEX($W$2:$W$1001,MATCH(ROWS($V$2:V556),$V$2:$V$1001,0),1)&gt;=100000,INDEX($AC$1005:$AS$1005,1,MATCH(COLUMNS($AC$1006:AM1006),$AC$1006:$AS$1006,0))&gt;=100000), " ",IF(INDEX($AC$2:$AS$1001,MATCH(ROWS($V$2:V556),$V$2:$V$1001,0),MATCH(COLUMNS($AC$1006:AM1006),$AC$1006:$AS$1006,0)), HYPERLINK("#",""), HYPERLINK(CONCATENATE("#metadata!", ADDRESS(INDEX($X$2:$X$1001,MATCH(ROWS($V$2:V556),$V$2:$V$1001,0),0), INDEX($AC$1004:$AS$1004,1,MATCH(COLUMNS($AC$1006:AM1006),$AC$1006:$AS$1006,0)))),"Fix")))</f>
        <v xml:space="preserve"> </v>
      </c>
      <c r="M556" s="4" t="str">
        <f ca="1">IF(OR(INDEX($W$2:$W$1001,MATCH(ROWS($V$2:V556),$V$2:$V$1001,0),1)&gt;=100000,INDEX($AC$1005:$AS$1005,1,MATCH(COLUMNS($AC$1006:AN1006),$AC$1006:$AS$1006,0))&gt;=100000), " ",IF(INDEX($AC$2:$AS$1001,MATCH(ROWS($V$2:V556),$V$2:$V$1001,0),MATCH(COLUMNS($AC$1006:AN1006),$AC$1006:$AS$1006,0)), HYPERLINK("#",""), HYPERLINK(CONCATENATE("#metadata!", ADDRESS(INDEX($X$2:$X$1001,MATCH(ROWS($V$2:V556),$V$2:$V$1001,0),0), INDEX($AC$1004:$AS$1004,1,MATCH(COLUMNS($AC$1006:AN1006),$AC$1006:$AS$1006,0)))),"Fix")))</f>
        <v xml:space="preserve"> </v>
      </c>
      <c r="N556" s="4" t="str">
        <f ca="1">IF(OR(INDEX($W$2:$W$1001,MATCH(ROWS($V$2:V556),$V$2:$V$1001,0),1)&gt;=100000,INDEX($AC$1005:$AS$1005,1,MATCH(COLUMNS($AC$1006:AO1006),$AC$1006:$AS$1006,0))&gt;=100000), " ",IF(INDEX($AC$2:$AS$1001,MATCH(ROWS($V$2:V556),$V$2:$V$1001,0),MATCH(COLUMNS($AC$1006:AO1006),$AC$1006:$AS$1006,0)), HYPERLINK("#",""), HYPERLINK(CONCATENATE("#metadata!", ADDRESS(INDEX($X$2:$X$1001,MATCH(ROWS($V$2:V556),$V$2:$V$1001,0),0), INDEX($AC$1004:$AS$1004,1,MATCH(COLUMNS($AC$1006:AO1006),$AC$1006:$AS$1006,0)))),"Fix")))</f>
        <v xml:space="preserve"> </v>
      </c>
      <c r="O556" s="4" t="str">
        <f ca="1">IF(OR(INDEX($W$2:$W$1001,MATCH(ROWS($V$2:V556),$V$2:$V$1001,0),1)&gt;=100000,INDEX($AC$1005:$AS$1005,1,MATCH(COLUMNS($AC$1006:AP1006),$AC$1006:$AS$1006,0))&gt;=100000), " ",IF(INDEX($AC$2:$AS$1001,MATCH(ROWS($V$2:V556),$V$2:$V$1001,0),MATCH(COLUMNS($AC$1006:AP1006),$AC$1006:$AS$1006,0)), HYPERLINK("#",""), HYPERLINK(CONCATENATE("#metadata!", ADDRESS(INDEX($X$2:$X$1001,MATCH(ROWS($V$2:V556),$V$2:$V$1001,0),0), INDEX($AC$1004:$AS$1004,1,MATCH(COLUMNS($AC$1006:AP1006),$AC$1006:$AS$1006,0)))),"Fix")))</f>
        <v xml:space="preserve"> </v>
      </c>
      <c r="P556" s="4" t="str">
        <f ca="1">IF(OR(INDEX($W$2:$W$1001,MATCH(ROWS($V$2:V556),$V$2:$V$1001,0),1)&gt;=100000,INDEX($AC$1005:$AS$1005,1,MATCH(COLUMNS($AC$1006:AQ1006),$AC$1006:$AS$1006,0))&gt;=100000), " ",IF(INDEX($AC$2:$AS$1001,MATCH(ROWS($V$2:V556),$V$2:$V$1001,0),MATCH(COLUMNS($AC$1006:AQ1006),$AC$1006:$AS$1006,0)), HYPERLINK("#",""), HYPERLINK(CONCATENATE("#metadata!", ADDRESS(INDEX($X$2:$X$1001,MATCH(ROWS($V$2:V556),$V$2:$V$1001,0),0), INDEX($AC$1004:$AS$1004,1,MATCH(COLUMNS($AC$1006:AQ1006),$AC$1006:$AS$1006,0)))),"Fix")))</f>
        <v xml:space="preserve"> </v>
      </c>
      <c r="Q556" s="4" t="str">
        <f ca="1">IF(OR(INDEX($W$2:$W$1001,MATCH(ROWS($V$2:V556),$V$2:$V$1001,0),1)&gt;=100000,INDEX($AC$1005:$AS$1005,1,MATCH(COLUMNS($AC$1006:AR1006),$AC$1006:$AS$1006,0))&gt;=100000), " ",IF(INDEX($AC$2:$AS$1001,MATCH(ROWS($V$2:V556),$V$2:$V$1001,0),MATCH(COLUMNS($AC$1006:AR1006),$AC$1006:$AS$1006,0)), HYPERLINK("#",""), HYPERLINK(CONCATENATE("#metadata!", ADDRESS(INDEX($X$2:$X$1001,MATCH(ROWS($V$2:V556),$V$2:$V$1001,0),0), INDEX($AC$1004:$AS$1004,1,MATCH(COLUMNS($AC$1006:AR1006),$AC$1006:$AS$1006,0)))),"Fix")))</f>
        <v xml:space="preserve"> </v>
      </c>
      <c r="R556" s="4" t="str">
        <f ca="1">IF(OR(INDEX($W$2:$W$1001,MATCH(ROWS($V$2:V556),$V$2:$V$1001,0),1)&gt;=100000,INDEX($AC$1005:$AS$1005,1,MATCH(COLUMNS($AC$1006:AS1006),$AC$1006:$AS$1006,0))&gt;=100000), " ",IF(INDEX($AC$2:$AS$1001,MATCH(ROWS($V$2:V556),$V$2:$V$1001,0),MATCH(COLUMNS($AC$1006:AS1006),$AC$1006:$AS$1006,0)), HYPERLINK("#",""), HYPERLINK(CONCATENATE("#metadata!", ADDRESS(INDEX($X$2:$X$1001,MATCH(ROWS($V$2:V556),$V$2:$V$1001,0),0), INDEX($AC$1004:$AS$1004,1,MATCH(COLUMNS($AC$1006:AS1006),$AC$1006:$AS$1006,0)))),"Fix")))</f>
        <v xml:space="preserve"> </v>
      </c>
      <c r="V556">
        <v>555</v>
      </c>
      <c r="W556">
        <v>100556</v>
      </c>
      <c r="X556">
        <v>556</v>
      </c>
      <c r="Y556" t="b">
        <f t="shared" si="8"/>
        <v>1</v>
      </c>
      <c r="Z556" t="b">
        <f>COUNTBLANK(metadata!B556:R556)=COLUMNS(metadata!B556:R556)</f>
        <v>1</v>
      </c>
      <c r="AA556" t="str">
        <v/>
      </c>
      <c r="AC556" t="b">
        <f ca="1"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AD556" t="b">
        <f>IF(metadata!C556="",FALSE,ISNUMBER(VALUE(metadata!C556)))</f>
        <v>0</v>
      </c>
      <c r="AE556" t="b">
        <f>AND(IF(metadata!D556="",FALSE,TRUE),EXACT(metadata!D556,"years"))</f>
        <v>0</v>
      </c>
      <c r="AF556" t="b">
        <f>OR(AND(IF(metadata!E556="",FALSE,TRUE),OR(EXACT(metadata!E556,"not applicable"),EXACT(metadata!E556,"missing: not collected"),EXACT(metadata!E556,"missing: not provided"),EXACT(metadata!E556,"missing: restricted access"))),AND(IF(metadata!E556="",FALSE,ISNUMBER(VALUE(metadata!E556))),metadata!E556&gt;0))</f>
        <v>0</v>
      </c>
      <c r="AG556" t="b">
        <f>AND(IF(metadata!F556="",FALSE,TRUE),EXACT(metadata!F556,"Not applicable"))</f>
        <v>0</v>
      </c>
      <c r="AH556" t="b">
        <f>AND(IF(metadata!G556="",FALSE,TRUE),EXACT(metadata!G556,"urban biome"))</f>
        <v>0</v>
      </c>
      <c r="AI556" t="b">
        <f>AND(IF(metadata!H556="",FALSE,TRUE),EXACT(metadata!H556,"human-associated habitat"))</f>
        <v>0</v>
      </c>
      <c r="AJ556" t="b">
        <f>AND(IF(metadata!I556="",FALSE,TRUE),OR(EXACT(metadata!I556,"human-associated"),EXACT(metadata!I556,"human-skin"),EXACT(metadata!I556,"human-oral"),EXACT(metadata!I556,"human-gut"),EXACT(metadata!I556,"human-vaginal")))</f>
        <v>0</v>
      </c>
      <c r="AK556" t="b">
        <f>IF(metadata!J556="",FALSE,ISNUMBER(VALUE(metadata!J556)))</f>
        <v>0</v>
      </c>
      <c r="AL556" t="b">
        <f>AND(IF(metadata!K556="",FALSE,TRUE),EXACT(metadata!K556,"cm"))</f>
        <v>0</v>
      </c>
      <c r="AM556" t="b">
        <f>AND(IF(metadata!L556="",FALSE,TRUE),EXACT(metadata!L556,"human"))</f>
        <v>0</v>
      </c>
      <c r="AN556" t="b">
        <f>AND(IF(metadata!M556="",FALSE,TRUE),EXACT(metadata!M556,"Homo sapiens"))</f>
        <v>0</v>
      </c>
      <c r="AO556" t="b">
        <f>AND(IF(metadata!N556="",FALSE,TRUE),EXACT(metadata!N556,"9606"))</f>
        <v>0</v>
      </c>
      <c r="AP556" t="b">
        <f>IF(metadata!O556="",FALSE,TRUE)</f>
        <v>0</v>
      </c>
      <c r="AQ556" t="b">
        <f>IF(metadata!P556="",FALSE,TRUE)</f>
        <v>0</v>
      </c>
      <c r="AR556" t="b">
        <f>IF(metadata!Q556="",FALSE,ISNUMBER(VALUE(metadata!Q556)))</f>
        <v>0</v>
      </c>
      <c r="AS556" t="b">
        <f>AND(IF(metadata!R556="",FALSE,TRUE),EXACT(metadata!R556,"kg"))</f>
        <v>0</v>
      </c>
    </row>
    <row r="557" spans="1:45" x14ac:dyDescent="0.2">
      <c r="A557" s="5" t="str">
        <f ca="1">IF(B557=" "," ",HYPERLINK(CONCATENATE("#metadata!",ADDRESS(INDEX($X$2:$X$1001,MATCH(ROWS($V$2:V557),$V$2:$V$1001,0),0),1)),INDEX($AA$2:$AA$1001,MATCH(ROWS($V$2:V557),$V$2:$V$1001,0),0)))</f>
        <v xml:space="preserve"> </v>
      </c>
      <c r="B557" s="4" t="str">
        <f ca="1">IF(OR(INDEX($W$2:$W$1001,MATCH(ROWS($V$2:V557),$V$2:$V$1001,0),1)&gt;=100000,INDEX($AC$1005:$AS$1005,1,MATCH(COLUMNS($AC$1006:AC1006),$AC$1006:$AS$1006,0))&gt;=100000), " ",IF(INDEX($AC$2:$AS$1001,MATCH(ROWS($V$2:V557),$V$2:$V$1001,0),MATCH(COLUMNS($AC$1006:AC1006),$AC$1006:$AS$1006,0)), HYPERLINK("#",""), HYPERLINK(CONCATENATE("#metadata!", ADDRESS(INDEX($X$2:$X$1001,MATCH(ROWS($V$2:V557),$V$2:$V$1001,0),0), INDEX($AC$1004:$AS$1004,1,MATCH(COLUMNS($AC$1006:AC1006),$AC$1006:$AS$1006,0)))),"Fix")))</f>
        <v xml:space="preserve"> </v>
      </c>
      <c r="C557" s="4" t="str">
        <f ca="1">IF(OR(INDEX($W$2:$W$1001,MATCH(ROWS($V$2:V557),$V$2:$V$1001,0),1)&gt;=100000,INDEX($AC$1005:$AS$1005,1,MATCH(COLUMNS($AC$1006:AD1006),$AC$1006:$AS$1006,0))&gt;=100000), " ",IF(INDEX($AC$2:$AS$1001,MATCH(ROWS($V$2:V557),$V$2:$V$1001,0),MATCH(COLUMNS($AC$1006:AD1006),$AC$1006:$AS$1006,0)), HYPERLINK("#",""), HYPERLINK(CONCATENATE("#metadata!", ADDRESS(INDEX($X$2:$X$1001,MATCH(ROWS($V$2:V557),$V$2:$V$1001,0),0), INDEX($AC$1004:$AS$1004,1,MATCH(COLUMNS($AC$1006:AD1006),$AC$1006:$AS$1006,0)))),"Fix")))</f>
        <v xml:space="preserve"> </v>
      </c>
      <c r="D557" s="4" t="str">
        <f ca="1">IF(OR(INDEX($W$2:$W$1001,MATCH(ROWS($V$2:V557),$V$2:$V$1001,0),1)&gt;=100000,INDEX($AC$1005:$AS$1005,1,MATCH(COLUMNS($AC$1006:AE1006),$AC$1006:$AS$1006,0))&gt;=100000), " ",IF(INDEX($AC$2:$AS$1001,MATCH(ROWS($V$2:V557),$V$2:$V$1001,0),MATCH(COLUMNS($AC$1006:AE1006),$AC$1006:$AS$1006,0)), HYPERLINK("#",""), HYPERLINK(CONCATENATE("#metadata!", ADDRESS(INDEX($X$2:$X$1001,MATCH(ROWS($V$2:V557),$V$2:$V$1001,0),0), INDEX($AC$1004:$AS$1004,1,MATCH(COLUMNS($AC$1006:AE1006),$AC$1006:$AS$1006,0)))),"Fix")))</f>
        <v xml:space="preserve"> </v>
      </c>
      <c r="E557" s="4" t="str">
        <f ca="1">IF(OR(INDEX($W$2:$W$1001,MATCH(ROWS($V$2:V557),$V$2:$V$1001,0),1)&gt;=100000,INDEX($AC$1005:$AS$1005,1,MATCH(COLUMNS($AC$1006:AF1006),$AC$1006:$AS$1006,0))&gt;=100000), " ",IF(INDEX($AC$2:$AS$1001,MATCH(ROWS($V$2:V557),$V$2:$V$1001,0),MATCH(COLUMNS($AC$1006:AF1006),$AC$1006:$AS$1006,0)), HYPERLINK("#",""), HYPERLINK(CONCATENATE("#metadata!", ADDRESS(INDEX($X$2:$X$1001,MATCH(ROWS($V$2:V557),$V$2:$V$1001,0),0), INDEX($AC$1004:$AS$1004,1,MATCH(COLUMNS($AC$1006:AF1006),$AC$1006:$AS$1006,0)))),"Fix")))</f>
        <v xml:space="preserve"> </v>
      </c>
      <c r="F557" s="4" t="str">
        <f ca="1">IF(OR(INDEX($W$2:$W$1001,MATCH(ROWS($V$2:V557),$V$2:$V$1001,0),1)&gt;=100000,INDEX($AC$1005:$AS$1005,1,MATCH(COLUMNS($AC$1006:AG1006),$AC$1006:$AS$1006,0))&gt;=100000), " ",IF(INDEX($AC$2:$AS$1001,MATCH(ROWS($V$2:V557),$V$2:$V$1001,0),MATCH(COLUMNS($AC$1006:AG1006),$AC$1006:$AS$1006,0)), HYPERLINK("#",""), HYPERLINK(CONCATENATE("#metadata!", ADDRESS(INDEX($X$2:$X$1001,MATCH(ROWS($V$2:V557),$V$2:$V$1001,0),0), INDEX($AC$1004:$AS$1004,1,MATCH(COLUMNS($AC$1006:AG1006),$AC$1006:$AS$1006,0)))),"Fix")))</f>
        <v xml:space="preserve"> </v>
      </c>
      <c r="G557" s="4" t="str">
        <f ca="1">IF(OR(INDEX($W$2:$W$1001,MATCH(ROWS($V$2:V557),$V$2:$V$1001,0),1)&gt;=100000,INDEX($AC$1005:$AS$1005,1,MATCH(COLUMNS($AC$1006:AH1006),$AC$1006:$AS$1006,0))&gt;=100000), " ",IF(INDEX($AC$2:$AS$1001,MATCH(ROWS($V$2:V557),$V$2:$V$1001,0),MATCH(COLUMNS($AC$1006:AH1006),$AC$1006:$AS$1006,0)), HYPERLINK("#",""), HYPERLINK(CONCATENATE("#metadata!", ADDRESS(INDEX($X$2:$X$1001,MATCH(ROWS($V$2:V557),$V$2:$V$1001,0),0), INDEX($AC$1004:$AS$1004,1,MATCH(COLUMNS($AC$1006:AH1006),$AC$1006:$AS$1006,0)))),"Fix")))</f>
        <v xml:space="preserve"> </v>
      </c>
      <c r="H557" s="4" t="str">
        <f ca="1">IF(OR(INDEX($W$2:$W$1001,MATCH(ROWS($V$2:V557),$V$2:$V$1001,0),1)&gt;=100000,INDEX($AC$1005:$AS$1005,1,MATCH(COLUMNS($AC$1006:AI1006),$AC$1006:$AS$1006,0))&gt;=100000), " ",IF(INDEX($AC$2:$AS$1001,MATCH(ROWS($V$2:V557),$V$2:$V$1001,0),MATCH(COLUMNS($AC$1006:AI1006),$AC$1006:$AS$1006,0)), HYPERLINK("#",""), HYPERLINK(CONCATENATE("#metadata!", ADDRESS(INDEX($X$2:$X$1001,MATCH(ROWS($V$2:V557),$V$2:$V$1001,0),0), INDEX($AC$1004:$AS$1004,1,MATCH(COLUMNS($AC$1006:AI1006),$AC$1006:$AS$1006,0)))),"Fix")))</f>
        <v xml:space="preserve"> </v>
      </c>
      <c r="I557" s="4" t="str">
        <f ca="1">IF(OR(INDEX($W$2:$W$1001,MATCH(ROWS($V$2:V557),$V$2:$V$1001,0),1)&gt;=100000,INDEX($AC$1005:$AS$1005,1,MATCH(COLUMNS($AC$1006:AJ1006),$AC$1006:$AS$1006,0))&gt;=100000), " ",IF(INDEX($AC$2:$AS$1001,MATCH(ROWS($V$2:V557),$V$2:$V$1001,0),MATCH(COLUMNS($AC$1006:AJ1006),$AC$1006:$AS$1006,0)), HYPERLINK("#",""), HYPERLINK(CONCATENATE("#metadata!", ADDRESS(INDEX($X$2:$X$1001,MATCH(ROWS($V$2:V557),$V$2:$V$1001,0),0), INDEX($AC$1004:$AS$1004,1,MATCH(COLUMNS($AC$1006:AJ1006),$AC$1006:$AS$1006,0)))),"Fix")))</f>
        <v xml:space="preserve"> </v>
      </c>
      <c r="J557" s="4" t="str">
        <f ca="1">IF(OR(INDEX($W$2:$W$1001,MATCH(ROWS($V$2:V557),$V$2:$V$1001,0),1)&gt;=100000,INDEX($AC$1005:$AS$1005,1,MATCH(COLUMNS($AC$1006:AK1006),$AC$1006:$AS$1006,0))&gt;=100000), " ",IF(INDEX($AC$2:$AS$1001,MATCH(ROWS($V$2:V557),$V$2:$V$1001,0),MATCH(COLUMNS($AC$1006:AK1006),$AC$1006:$AS$1006,0)), HYPERLINK("#",""), HYPERLINK(CONCATENATE("#metadata!", ADDRESS(INDEX($X$2:$X$1001,MATCH(ROWS($V$2:V557),$V$2:$V$1001,0),0), INDEX($AC$1004:$AS$1004,1,MATCH(COLUMNS($AC$1006:AK1006),$AC$1006:$AS$1006,0)))),"Fix")))</f>
        <v xml:space="preserve"> </v>
      </c>
      <c r="K557" s="4" t="str">
        <f ca="1">IF(OR(INDEX($W$2:$W$1001,MATCH(ROWS($V$2:V557),$V$2:$V$1001,0),1)&gt;=100000,INDEX($AC$1005:$AS$1005,1,MATCH(COLUMNS($AC$1006:AL1006),$AC$1006:$AS$1006,0))&gt;=100000), " ",IF(INDEX($AC$2:$AS$1001,MATCH(ROWS($V$2:V557),$V$2:$V$1001,0),MATCH(COLUMNS($AC$1006:AL1006),$AC$1006:$AS$1006,0)), HYPERLINK("#",""), HYPERLINK(CONCATENATE("#metadata!", ADDRESS(INDEX($X$2:$X$1001,MATCH(ROWS($V$2:V557),$V$2:$V$1001,0),0), INDEX($AC$1004:$AS$1004,1,MATCH(COLUMNS($AC$1006:AL1006),$AC$1006:$AS$1006,0)))),"Fix")))</f>
        <v xml:space="preserve"> </v>
      </c>
      <c r="L557" s="4" t="str">
        <f ca="1">IF(OR(INDEX($W$2:$W$1001,MATCH(ROWS($V$2:V557),$V$2:$V$1001,0),1)&gt;=100000,INDEX($AC$1005:$AS$1005,1,MATCH(COLUMNS($AC$1006:AM1006),$AC$1006:$AS$1006,0))&gt;=100000), " ",IF(INDEX($AC$2:$AS$1001,MATCH(ROWS($V$2:V557),$V$2:$V$1001,0),MATCH(COLUMNS($AC$1006:AM1006),$AC$1006:$AS$1006,0)), HYPERLINK("#",""), HYPERLINK(CONCATENATE("#metadata!", ADDRESS(INDEX($X$2:$X$1001,MATCH(ROWS($V$2:V557),$V$2:$V$1001,0),0), INDEX($AC$1004:$AS$1004,1,MATCH(COLUMNS($AC$1006:AM1006),$AC$1006:$AS$1006,0)))),"Fix")))</f>
        <v xml:space="preserve"> </v>
      </c>
      <c r="M557" s="4" t="str">
        <f ca="1">IF(OR(INDEX($W$2:$W$1001,MATCH(ROWS($V$2:V557),$V$2:$V$1001,0),1)&gt;=100000,INDEX($AC$1005:$AS$1005,1,MATCH(COLUMNS($AC$1006:AN1006),$AC$1006:$AS$1006,0))&gt;=100000), " ",IF(INDEX($AC$2:$AS$1001,MATCH(ROWS($V$2:V557),$V$2:$V$1001,0),MATCH(COLUMNS($AC$1006:AN1006),$AC$1006:$AS$1006,0)), HYPERLINK("#",""), HYPERLINK(CONCATENATE("#metadata!", ADDRESS(INDEX($X$2:$X$1001,MATCH(ROWS($V$2:V557),$V$2:$V$1001,0),0), INDEX($AC$1004:$AS$1004,1,MATCH(COLUMNS($AC$1006:AN1006),$AC$1006:$AS$1006,0)))),"Fix")))</f>
        <v xml:space="preserve"> </v>
      </c>
      <c r="N557" s="4" t="str">
        <f ca="1">IF(OR(INDEX($W$2:$W$1001,MATCH(ROWS($V$2:V557),$V$2:$V$1001,0),1)&gt;=100000,INDEX($AC$1005:$AS$1005,1,MATCH(COLUMNS($AC$1006:AO1006),$AC$1006:$AS$1006,0))&gt;=100000), " ",IF(INDEX($AC$2:$AS$1001,MATCH(ROWS($V$2:V557),$V$2:$V$1001,0),MATCH(COLUMNS($AC$1006:AO1006),$AC$1006:$AS$1006,0)), HYPERLINK("#",""), HYPERLINK(CONCATENATE("#metadata!", ADDRESS(INDEX($X$2:$X$1001,MATCH(ROWS($V$2:V557),$V$2:$V$1001,0),0), INDEX($AC$1004:$AS$1004,1,MATCH(COLUMNS($AC$1006:AO1006),$AC$1006:$AS$1006,0)))),"Fix")))</f>
        <v xml:space="preserve"> </v>
      </c>
      <c r="O557" s="4" t="str">
        <f ca="1">IF(OR(INDEX($W$2:$W$1001,MATCH(ROWS($V$2:V557),$V$2:$V$1001,0),1)&gt;=100000,INDEX($AC$1005:$AS$1005,1,MATCH(COLUMNS($AC$1006:AP1006),$AC$1006:$AS$1006,0))&gt;=100000), " ",IF(INDEX($AC$2:$AS$1001,MATCH(ROWS($V$2:V557),$V$2:$V$1001,0),MATCH(COLUMNS($AC$1006:AP1006),$AC$1006:$AS$1006,0)), HYPERLINK("#",""), HYPERLINK(CONCATENATE("#metadata!", ADDRESS(INDEX($X$2:$X$1001,MATCH(ROWS($V$2:V557),$V$2:$V$1001,0),0), INDEX($AC$1004:$AS$1004,1,MATCH(COLUMNS($AC$1006:AP1006),$AC$1006:$AS$1006,0)))),"Fix")))</f>
        <v xml:space="preserve"> </v>
      </c>
      <c r="P557" s="4" t="str">
        <f ca="1">IF(OR(INDEX($W$2:$W$1001,MATCH(ROWS($V$2:V557),$V$2:$V$1001,0),1)&gt;=100000,INDEX($AC$1005:$AS$1005,1,MATCH(COLUMNS($AC$1006:AQ1006),$AC$1006:$AS$1006,0))&gt;=100000), " ",IF(INDEX($AC$2:$AS$1001,MATCH(ROWS($V$2:V557),$V$2:$V$1001,0),MATCH(COLUMNS($AC$1006:AQ1006),$AC$1006:$AS$1006,0)), HYPERLINK("#",""), HYPERLINK(CONCATENATE("#metadata!", ADDRESS(INDEX($X$2:$X$1001,MATCH(ROWS($V$2:V557),$V$2:$V$1001,0),0), INDEX($AC$1004:$AS$1004,1,MATCH(COLUMNS($AC$1006:AQ1006),$AC$1006:$AS$1006,0)))),"Fix")))</f>
        <v xml:space="preserve"> </v>
      </c>
      <c r="Q557" s="4" t="str">
        <f ca="1">IF(OR(INDEX($W$2:$W$1001,MATCH(ROWS($V$2:V557),$V$2:$V$1001,0),1)&gt;=100000,INDEX($AC$1005:$AS$1005,1,MATCH(COLUMNS($AC$1006:AR1006),$AC$1006:$AS$1006,0))&gt;=100000), " ",IF(INDEX($AC$2:$AS$1001,MATCH(ROWS($V$2:V557),$V$2:$V$1001,0),MATCH(COLUMNS($AC$1006:AR1006),$AC$1006:$AS$1006,0)), HYPERLINK("#",""), HYPERLINK(CONCATENATE("#metadata!", ADDRESS(INDEX($X$2:$X$1001,MATCH(ROWS($V$2:V557),$V$2:$V$1001,0),0), INDEX($AC$1004:$AS$1004,1,MATCH(COLUMNS($AC$1006:AR1006),$AC$1006:$AS$1006,0)))),"Fix")))</f>
        <v xml:space="preserve"> </v>
      </c>
      <c r="R557" s="4" t="str">
        <f ca="1">IF(OR(INDEX($W$2:$W$1001,MATCH(ROWS($V$2:V557),$V$2:$V$1001,0),1)&gt;=100000,INDEX($AC$1005:$AS$1005,1,MATCH(COLUMNS($AC$1006:AS1006),$AC$1006:$AS$1006,0))&gt;=100000), " ",IF(INDEX($AC$2:$AS$1001,MATCH(ROWS($V$2:V557),$V$2:$V$1001,0),MATCH(COLUMNS($AC$1006:AS1006),$AC$1006:$AS$1006,0)), HYPERLINK("#",""), HYPERLINK(CONCATENATE("#metadata!", ADDRESS(INDEX($X$2:$X$1001,MATCH(ROWS($V$2:V557),$V$2:$V$1001,0),0), INDEX($AC$1004:$AS$1004,1,MATCH(COLUMNS($AC$1006:AS1006),$AC$1006:$AS$1006,0)))),"Fix")))</f>
        <v xml:space="preserve"> </v>
      </c>
      <c r="V557">
        <v>556</v>
      </c>
      <c r="W557">
        <v>100557</v>
      </c>
      <c r="X557">
        <v>557</v>
      </c>
      <c r="Y557" t="b">
        <f t="shared" si="8"/>
        <v>1</v>
      </c>
      <c r="Z557" t="b">
        <f>COUNTBLANK(metadata!B557:R557)=COLUMNS(metadata!B557:R557)</f>
        <v>1</v>
      </c>
      <c r="AA557" t="str">
        <v/>
      </c>
      <c r="AC557" t="b">
        <f ca="1"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AD557" t="b">
        <f>IF(metadata!C557="",FALSE,ISNUMBER(VALUE(metadata!C557)))</f>
        <v>0</v>
      </c>
      <c r="AE557" t="b">
        <f>AND(IF(metadata!D557="",FALSE,TRUE),EXACT(metadata!D557,"years"))</f>
        <v>0</v>
      </c>
      <c r="AF557" t="b">
        <f>OR(AND(IF(metadata!E557="",FALSE,TRUE),OR(EXACT(metadata!E557,"not applicable"),EXACT(metadata!E557,"missing: not collected"),EXACT(metadata!E557,"missing: not provided"),EXACT(metadata!E557,"missing: restricted access"))),AND(IF(metadata!E557="",FALSE,ISNUMBER(VALUE(metadata!E557))),metadata!E557&gt;0))</f>
        <v>0</v>
      </c>
      <c r="AG557" t="b">
        <f>AND(IF(metadata!F557="",FALSE,TRUE),EXACT(metadata!F557,"Not applicable"))</f>
        <v>0</v>
      </c>
      <c r="AH557" t="b">
        <f>AND(IF(metadata!G557="",FALSE,TRUE),EXACT(metadata!G557,"urban biome"))</f>
        <v>0</v>
      </c>
      <c r="AI557" t="b">
        <f>AND(IF(metadata!H557="",FALSE,TRUE),EXACT(metadata!H557,"human-associated habitat"))</f>
        <v>0</v>
      </c>
      <c r="AJ557" t="b">
        <f>AND(IF(metadata!I557="",FALSE,TRUE),OR(EXACT(metadata!I557,"human-associated"),EXACT(metadata!I557,"human-skin"),EXACT(metadata!I557,"human-oral"),EXACT(metadata!I557,"human-gut"),EXACT(metadata!I557,"human-vaginal")))</f>
        <v>0</v>
      </c>
      <c r="AK557" t="b">
        <f>IF(metadata!J557="",FALSE,ISNUMBER(VALUE(metadata!J557)))</f>
        <v>0</v>
      </c>
      <c r="AL557" t="b">
        <f>AND(IF(metadata!K557="",FALSE,TRUE),EXACT(metadata!K557,"cm"))</f>
        <v>0</v>
      </c>
      <c r="AM557" t="b">
        <f>AND(IF(metadata!L557="",FALSE,TRUE),EXACT(metadata!L557,"human"))</f>
        <v>0</v>
      </c>
      <c r="AN557" t="b">
        <f>AND(IF(metadata!M557="",FALSE,TRUE),EXACT(metadata!M557,"Homo sapiens"))</f>
        <v>0</v>
      </c>
      <c r="AO557" t="b">
        <f>AND(IF(metadata!N557="",FALSE,TRUE),EXACT(metadata!N557,"9606"))</f>
        <v>0</v>
      </c>
      <c r="AP557" t="b">
        <f>IF(metadata!O557="",FALSE,TRUE)</f>
        <v>0</v>
      </c>
      <c r="AQ557" t="b">
        <f>IF(metadata!P557="",FALSE,TRUE)</f>
        <v>0</v>
      </c>
      <c r="AR557" t="b">
        <f>IF(metadata!Q557="",FALSE,ISNUMBER(VALUE(metadata!Q557)))</f>
        <v>0</v>
      </c>
      <c r="AS557" t="b">
        <f>AND(IF(metadata!R557="",FALSE,TRUE),EXACT(metadata!R557,"kg"))</f>
        <v>0</v>
      </c>
    </row>
    <row r="558" spans="1:45" x14ac:dyDescent="0.2">
      <c r="A558" s="5" t="str">
        <f ca="1">IF(B558=" "," ",HYPERLINK(CONCATENATE("#metadata!",ADDRESS(INDEX($X$2:$X$1001,MATCH(ROWS($V$2:V558),$V$2:$V$1001,0),0),1)),INDEX($AA$2:$AA$1001,MATCH(ROWS($V$2:V558),$V$2:$V$1001,0),0)))</f>
        <v xml:space="preserve"> </v>
      </c>
      <c r="B558" s="4" t="str">
        <f ca="1">IF(OR(INDEX($W$2:$W$1001,MATCH(ROWS($V$2:V558),$V$2:$V$1001,0),1)&gt;=100000,INDEX($AC$1005:$AS$1005,1,MATCH(COLUMNS($AC$1006:AC1006),$AC$1006:$AS$1006,0))&gt;=100000), " ",IF(INDEX($AC$2:$AS$1001,MATCH(ROWS($V$2:V558),$V$2:$V$1001,0),MATCH(COLUMNS($AC$1006:AC1006),$AC$1006:$AS$1006,0)), HYPERLINK("#",""), HYPERLINK(CONCATENATE("#metadata!", ADDRESS(INDEX($X$2:$X$1001,MATCH(ROWS($V$2:V558),$V$2:$V$1001,0),0), INDEX($AC$1004:$AS$1004,1,MATCH(COLUMNS($AC$1006:AC1006),$AC$1006:$AS$1006,0)))),"Fix")))</f>
        <v xml:space="preserve"> </v>
      </c>
      <c r="C558" s="4" t="str">
        <f ca="1">IF(OR(INDEX($W$2:$W$1001,MATCH(ROWS($V$2:V558),$V$2:$V$1001,0),1)&gt;=100000,INDEX($AC$1005:$AS$1005,1,MATCH(COLUMNS($AC$1006:AD1006),$AC$1006:$AS$1006,0))&gt;=100000), " ",IF(INDEX($AC$2:$AS$1001,MATCH(ROWS($V$2:V558),$V$2:$V$1001,0),MATCH(COLUMNS($AC$1006:AD1006),$AC$1006:$AS$1006,0)), HYPERLINK("#",""), HYPERLINK(CONCATENATE("#metadata!", ADDRESS(INDEX($X$2:$X$1001,MATCH(ROWS($V$2:V558),$V$2:$V$1001,0),0), INDEX($AC$1004:$AS$1004,1,MATCH(COLUMNS($AC$1006:AD1006),$AC$1006:$AS$1006,0)))),"Fix")))</f>
        <v xml:space="preserve"> </v>
      </c>
      <c r="D558" s="4" t="str">
        <f ca="1">IF(OR(INDEX($W$2:$W$1001,MATCH(ROWS($V$2:V558),$V$2:$V$1001,0),1)&gt;=100000,INDEX($AC$1005:$AS$1005,1,MATCH(COLUMNS($AC$1006:AE1006),$AC$1006:$AS$1006,0))&gt;=100000), " ",IF(INDEX($AC$2:$AS$1001,MATCH(ROWS($V$2:V558),$V$2:$V$1001,0),MATCH(COLUMNS($AC$1006:AE1006),$AC$1006:$AS$1006,0)), HYPERLINK("#",""), HYPERLINK(CONCATENATE("#metadata!", ADDRESS(INDEX($X$2:$X$1001,MATCH(ROWS($V$2:V558),$V$2:$V$1001,0),0), INDEX($AC$1004:$AS$1004,1,MATCH(COLUMNS($AC$1006:AE1006),$AC$1006:$AS$1006,0)))),"Fix")))</f>
        <v xml:space="preserve"> </v>
      </c>
      <c r="E558" s="4" t="str">
        <f ca="1">IF(OR(INDEX($W$2:$W$1001,MATCH(ROWS($V$2:V558),$V$2:$V$1001,0),1)&gt;=100000,INDEX($AC$1005:$AS$1005,1,MATCH(COLUMNS($AC$1006:AF1006),$AC$1006:$AS$1006,0))&gt;=100000), " ",IF(INDEX($AC$2:$AS$1001,MATCH(ROWS($V$2:V558),$V$2:$V$1001,0),MATCH(COLUMNS($AC$1006:AF1006),$AC$1006:$AS$1006,0)), HYPERLINK("#",""), HYPERLINK(CONCATENATE("#metadata!", ADDRESS(INDEX($X$2:$X$1001,MATCH(ROWS($V$2:V558),$V$2:$V$1001,0),0), INDEX($AC$1004:$AS$1004,1,MATCH(COLUMNS($AC$1006:AF1006),$AC$1006:$AS$1006,0)))),"Fix")))</f>
        <v xml:space="preserve"> </v>
      </c>
      <c r="F558" s="4" t="str">
        <f ca="1">IF(OR(INDEX($W$2:$W$1001,MATCH(ROWS($V$2:V558),$V$2:$V$1001,0),1)&gt;=100000,INDEX($AC$1005:$AS$1005,1,MATCH(COLUMNS($AC$1006:AG1006),$AC$1006:$AS$1006,0))&gt;=100000), " ",IF(INDEX($AC$2:$AS$1001,MATCH(ROWS($V$2:V558),$V$2:$V$1001,0),MATCH(COLUMNS($AC$1006:AG1006),$AC$1006:$AS$1006,0)), HYPERLINK("#",""), HYPERLINK(CONCATENATE("#metadata!", ADDRESS(INDEX($X$2:$X$1001,MATCH(ROWS($V$2:V558),$V$2:$V$1001,0),0), INDEX($AC$1004:$AS$1004,1,MATCH(COLUMNS($AC$1006:AG1006),$AC$1006:$AS$1006,0)))),"Fix")))</f>
        <v xml:space="preserve"> </v>
      </c>
      <c r="G558" s="4" t="str">
        <f ca="1">IF(OR(INDEX($W$2:$W$1001,MATCH(ROWS($V$2:V558),$V$2:$V$1001,0),1)&gt;=100000,INDEX($AC$1005:$AS$1005,1,MATCH(COLUMNS($AC$1006:AH1006),$AC$1006:$AS$1006,0))&gt;=100000), " ",IF(INDEX($AC$2:$AS$1001,MATCH(ROWS($V$2:V558),$V$2:$V$1001,0),MATCH(COLUMNS($AC$1006:AH1006),$AC$1006:$AS$1006,0)), HYPERLINK("#",""), HYPERLINK(CONCATENATE("#metadata!", ADDRESS(INDEX($X$2:$X$1001,MATCH(ROWS($V$2:V558),$V$2:$V$1001,0),0), INDEX($AC$1004:$AS$1004,1,MATCH(COLUMNS($AC$1006:AH1006),$AC$1006:$AS$1006,0)))),"Fix")))</f>
        <v xml:space="preserve"> </v>
      </c>
      <c r="H558" s="4" t="str">
        <f ca="1">IF(OR(INDEX($W$2:$W$1001,MATCH(ROWS($V$2:V558),$V$2:$V$1001,0),1)&gt;=100000,INDEX($AC$1005:$AS$1005,1,MATCH(COLUMNS($AC$1006:AI1006),$AC$1006:$AS$1006,0))&gt;=100000), " ",IF(INDEX($AC$2:$AS$1001,MATCH(ROWS($V$2:V558),$V$2:$V$1001,0),MATCH(COLUMNS($AC$1006:AI1006),$AC$1006:$AS$1006,0)), HYPERLINK("#",""), HYPERLINK(CONCATENATE("#metadata!", ADDRESS(INDEX($X$2:$X$1001,MATCH(ROWS($V$2:V558),$V$2:$V$1001,0),0), INDEX($AC$1004:$AS$1004,1,MATCH(COLUMNS($AC$1006:AI1006),$AC$1006:$AS$1006,0)))),"Fix")))</f>
        <v xml:space="preserve"> </v>
      </c>
      <c r="I558" s="4" t="str">
        <f ca="1">IF(OR(INDEX($W$2:$W$1001,MATCH(ROWS($V$2:V558),$V$2:$V$1001,0),1)&gt;=100000,INDEX($AC$1005:$AS$1005,1,MATCH(COLUMNS($AC$1006:AJ1006),$AC$1006:$AS$1006,0))&gt;=100000), " ",IF(INDEX($AC$2:$AS$1001,MATCH(ROWS($V$2:V558),$V$2:$V$1001,0),MATCH(COLUMNS($AC$1006:AJ1006),$AC$1006:$AS$1006,0)), HYPERLINK("#",""), HYPERLINK(CONCATENATE("#metadata!", ADDRESS(INDEX($X$2:$X$1001,MATCH(ROWS($V$2:V558),$V$2:$V$1001,0),0), INDEX($AC$1004:$AS$1004,1,MATCH(COLUMNS($AC$1006:AJ1006),$AC$1006:$AS$1006,0)))),"Fix")))</f>
        <v xml:space="preserve"> </v>
      </c>
      <c r="J558" s="4" t="str">
        <f ca="1">IF(OR(INDEX($W$2:$W$1001,MATCH(ROWS($V$2:V558),$V$2:$V$1001,0),1)&gt;=100000,INDEX($AC$1005:$AS$1005,1,MATCH(COLUMNS($AC$1006:AK1006),$AC$1006:$AS$1006,0))&gt;=100000), " ",IF(INDEX($AC$2:$AS$1001,MATCH(ROWS($V$2:V558),$V$2:$V$1001,0),MATCH(COLUMNS($AC$1006:AK1006),$AC$1006:$AS$1006,0)), HYPERLINK("#",""), HYPERLINK(CONCATENATE("#metadata!", ADDRESS(INDEX($X$2:$X$1001,MATCH(ROWS($V$2:V558),$V$2:$V$1001,0),0), INDEX($AC$1004:$AS$1004,1,MATCH(COLUMNS($AC$1006:AK1006),$AC$1006:$AS$1006,0)))),"Fix")))</f>
        <v xml:space="preserve"> </v>
      </c>
      <c r="K558" s="4" t="str">
        <f ca="1">IF(OR(INDEX($W$2:$W$1001,MATCH(ROWS($V$2:V558),$V$2:$V$1001,0),1)&gt;=100000,INDEX($AC$1005:$AS$1005,1,MATCH(COLUMNS($AC$1006:AL1006),$AC$1006:$AS$1006,0))&gt;=100000), " ",IF(INDEX($AC$2:$AS$1001,MATCH(ROWS($V$2:V558),$V$2:$V$1001,0),MATCH(COLUMNS($AC$1006:AL1006),$AC$1006:$AS$1006,0)), HYPERLINK("#",""), HYPERLINK(CONCATENATE("#metadata!", ADDRESS(INDEX($X$2:$X$1001,MATCH(ROWS($V$2:V558),$V$2:$V$1001,0),0), INDEX($AC$1004:$AS$1004,1,MATCH(COLUMNS($AC$1006:AL1006),$AC$1006:$AS$1006,0)))),"Fix")))</f>
        <v xml:space="preserve"> </v>
      </c>
      <c r="L558" s="4" t="str">
        <f ca="1">IF(OR(INDEX($W$2:$W$1001,MATCH(ROWS($V$2:V558),$V$2:$V$1001,0),1)&gt;=100000,INDEX($AC$1005:$AS$1005,1,MATCH(COLUMNS($AC$1006:AM1006),$AC$1006:$AS$1006,0))&gt;=100000), " ",IF(INDEX($AC$2:$AS$1001,MATCH(ROWS($V$2:V558),$V$2:$V$1001,0),MATCH(COLUMNS($AC$1006:AM1006),$AC$1006:$AS$1006,0)), HYPERLINK("#",""), HYPERLINK(CONCATENATE("#metadata!", ADDRESS(INDEX($X$2:$X$1001,MATCH(ROWS($V$2:V558),$V$2:$V$1001,0),0), INDEX($AC$1004:$AS$1004,1,MATCH(COLUMNS($AC$1006:AM1006),$AC$1006:$AS$1006,0)))),"Fix")))</f>
        <v xml:space="preserve"> </v>
      </c>
      <c r="M558" s="4" t="str">
        <f ca="1">IF(OR(INDEX($W$2:$W$1001,MATCH(ROWS($V$2:V558),$V$2:$V$1001,0),1)&gt;=100000,INDEX($AC$1005:$AS$1005,1,MATCH(COLUMNS($AC$1006:AN1006),$AC$1006:$AS$1006,0))&gt;=100000), " ",IF(INDEX($AC$2:$AS$1001,MATCH(ROWS($V$2:V558),$V$2:$V$1001,0),MATCH(COLUMNS($AC$1006:AN1006),$AC$1006:$AS$1006,0)), HYPERLINK("#",""), HYPERLINK(CONCATENATE("#metadata!", ADDRESS(INDEX($X$2:$X$1001,MATCH(ROWS($V$2:V558),$V$2:$V$1001,0),0), INDEX($AC$1004:$AS$1004,1,MATCH(COLUMNS($AC$1006:AN1006),$AC$1006:$AS$1006,0)))),"Fix")))</f>
        <v xml:space="preserve"> </v>
      </c>
      <c r="N558" s="4" t="str">
        <f ca="1">IF(OR(INDEX($W$2:$W$1001,MATCH(ROWS($V$2:V558),$V$2:$V$1001,0),1)&gt;=100000,INDEX($AC$1005:$AS$1005,1,MATCH(COLUMNS($AC$1006:AO1006),$AC$1006:$AS$1006,0))&gt;=100000), " ",IF(INDEX($AC$2:$AS$1001,MATCH(ROWS($V$2:V558),$V$2:$V$1001,0),MATCH(COLUMNS($AC$1006:AO1006),$AC$1006:$AS$1006,0)), HYPERLINK("#",""), HYPERLINK(CONCATENATE("#metadata!", ADDRESS(INDEX($X$2:$X$1001,MATCH(ROWS($V$2:V558),$V$2:$V$1001,0),0), INDEX($AC$1004:$AS$1004,1,MATCH(COLUMNS($AC$1006:AO1006),$AC$1006:$AS$1006,0)))),"Fix")))</f>
        <v xml:space="preserve"> </v>
      </c>
      <c r="O558" s="4" t="str">
        <f ca="1">IF(OR(INDEX($W$2:$W$1001,MATCH(ROWS($V$2:V558),$V$2:$V$1001,0),1)&gt;=100000,INDEX($AC$1005:$AS$1005,1,MATCH(COLUMNS($AC$1006:AP1006),$AC$1006:$AS$1006,0))&gt;=100000), " ",IF(INDEX($AC$2:$AS$1001,MATCH(ROWS($V$2:V558),$V$2:$V$1001,0),MATCH(COLUMNS($AC$1006:AP1006),$AC$1006:$AS$1006,0)), HYPERLINK("#",""), HYPERLINK(CONCATENATE("#metadata!", ADDRESS(INDEX($X$2:$X$1001,MATCH(ROWS($V$2:V558),$V$2:$V$1001,0),0), INDEX($AC$1004:$AS$1004,1,MATCH(COLUMNS($AC$1006:AP1006),$AC$1006:$AS$1006,0)))),"Fix")))</f>
        <v xml:space="preserve"> </v>
      </c>
      <c r="P558" s="4" t="str">
        <f ca="1">IF(OR(INDEX($W$2:$W$1001,MATCH(ROWS($V$2:V558),$V$2:$V$1001,0),1)&gt;=100000,INDEX($AC$1005:$AS$1005,1,MATCH(COLUMNS($AC$1006:AQ1006),$AC$1006:$AS$1006,0))&gt;=100000), " ",IF(INDEX($AC$2:$AS$1001,MATCH(ROWS($V$2:V558),$V$2:$V$1001,0),MATCH(COLUMNS($AC$1006:AQ1006),$AC$1006:$AS$1006,0)), HYPERLINK("#",""), HYPERLINK(CONCATENATE("#metadata!", ADDRESS(INDEX($X$2:$X$1001,MATCH(ROWS($V$2:V558),$V$2:$V$1001,0),0), INDEX($AC$1004:$AS$1004,1,MATCH(COLUMNS($AC$1006:AQ1006),$AC$1006:$AS$1006,0)))),"Fix")))</f>
        <v xml:space="preserve"> </v>
      </c>
      <c r="Q558" s="4" t="str">
        <f ca="1">IF(OR(INDEX($W$2:$W$1001,MATCH(ROWS($V$2:V558),$V$2:$V$1001,0),1)&gt;=100000,INDEX($AC$1005:$AS$1005,1,MATCH(COLUMNS($AC$1006:AR1006),$AC$1006:$AS$1006,0))&gt;=100000), " ",IF(INDEX($AC$2:$AS$1001,MATCH(ROWS($V$2:V558),$V$2:$V$1001,0),MATCH(COLUMNS($AC$1006:AR1006),$AC$1006:$AS$1006,0)), HYPERLINK("#",""), HYPERLINK(CONCATENATE("#metadata!", ADDRESS(INDEX($X$2:$X$1001,MATCH(ROWS($V$2:V558),$V$2:$V$1001,0),0), INDEX($AC$1004:$AS$1004,1,MATCH(COLUMNS($AC$1006:AR1006),$AC$1006:$AS$1006,0)))),"Fix")))</f>
        <v xml:space="preserve"> </v>
      </c>
      <c r="R558" s="4" t="str">
        <f ca="1">IF(OR(INDEX($W$2:$W$1001,MATCH(ROWS($V$2:V558),$V$2:$V$1001,0),1)&gt;=100000,INDEX($AC$1005:$AS$1005,1,MATCH(COLUMNS($AC$1006:AS1006),$AC$1006:$AS$1006,0))&gt;=100000), " ",IF(INDEX($AC$2:$AS$1001,MATCH(ROWS($V$2:V558),$V$2:$V$1001,0),MATCH(COLUMNS($AC$1006:AS1006),$AC$1006:$AS$1006,0)), HYPERLINK("#",""), HYPERLINK(CONCATENATE("#metadata!", ADDRESS(INDEX($X$2:$X$1001,MATCH(ROWS($V$2:V558),$V$2:$V$1001,0),0), INDEX($AC$1004:$AS$1004,1,MATCH(COLUMNS($AC$1006:AS1006),$AC$1006:$AS$1006,0)))),"Fix")))</f>
        <v xml:space="preserve"> </v>
      </c>
      <c r="V558">
        <v>557</v>
      </c>
      <c r="W558">
        <v>100558</v>
      </c>
      <c r="X558">
        <v>558</v>
      </c>
      <c r="Y558" t="b">
        <f t="shared" si="8"/>
        <v>1</v>
      </c>
      <c r="Z558" t="b">
        <f>COUNTBLANK(metadata!B558:R558)=COLUMNS(metadata!B558:R558)</f>
        <v>1</v>
      </c>
      <c r="AA558" t="str">
        <v/>
      </c>
      <c r="AC558" t="b">
        <f ca="1"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AD558" t="b">
        <f>IF(metadata!C558="",FALSE,ISNUMBER(VALUE(metadata!C558)))</f>
        <v>0</v>
      </c>
      <c r="AE558" t="b">
        <f>AND(IF(metadata!D558="",FALSE,TRUE),EXACT(metadata!D558,"years"))</f>
        <v>0</v>
      </c>
      <c r="AF558" t="b">
        <f>OR(AND(IF(metadata!E558="",FALSE,TRUE),OR(EXACT(metadata!E558,"not applicable"),EXACT(metadata!E558,"missing: not collected"),EXACT(metadata!E558,"missing: not provided"),EXACT(metadata!E558,"missing: restricted access"))),AND(IF(metadata!E558="",FALSE,ISNUMBER(VALUE(metadata!E558))),metadata!E558&gt;0))</f>
        <v>0</v>
      </c>
      <c r="AG558" t="b">
        <f>AND(IF(metadata!F558="",FALSE,TRUE),EXACT(metadata!F558,"Not applicable"))</f>
        <v>0</v>
      </c>
      <c r="AH558" t="b">
        <f>AND(IF(metadata!G558="",FALSE,TRUE),EXACT(metadata!G558,"urban biome"))</f>
        <v>0</v>
      </c>
      <c r="AI558" t="b">
        <f>AND(IF(metadata!H558="",FALSE,TRUE),EXACT(metadata!H558,"human-associated habitat"))</f>
        <v>0</v>
      </c>
      <c r="AJ558" t="b">
        <f>AND(IF(metadata!I558="",FALSE,TRUE),OR(EXACT(metadata!I558,"human-associated"),EXACT(metadata!I558,"human-skin"),EXACT(metadata!I558,"human-oral"),EXACT(metadata!I558,"human-gut"),EXACT(metadata!I558,"human-vaginal")))</f>
        <v>0</v>
      </c>
      <c r="AK558" t="b">
        <f>IF(metadata!J558="",FALSE,ISNUMBER(VALUE(metadata!J558)))</f>
        <v>0</v>
      </c>
      <c r="AL558" t="b">
        <f>AND(IF(metadata!K558="",FALSE,TRUE),EXACT(metadata!K558,"cm"))</f>
        <v>0</v>
      </c>
      <c r="AM558" t="b">
        <f>AND(IF(metadata!L558="",FALSE,TRUE),EXACT(metadata!L558,"human"))</f>
        <v>0</v>
      </c>
      <c r="AN558" t="b">
        <f>AND(IF(metadata!M558="",FALSE,TRUE),EXACT(metadata!M558,"Homo sapiens"))</f>
        <v>0</v>
      </c>
      <c r="AO558" t="b">
        <f>AND(IF(metadata!N558="",FALSE,TRUE),EXACT(metadata!N558,"9606"))</f>
        <v>0</v>
      </c>
      <c r="AP558" t="b">
        <f>IF(metadata!O558="",FALSE,TRUE)</f>
        <v>0</v>
      </c>
      <c r="AQ558" t="b">
        <f>IF(metadata!P558="",FALSE,TRUE)</f>
        <v>0</v>
      </c>
      <c r="AR558" t="b">
        <f>IF(metadata!Q558="",FALSE,ISNUMBER(VALUE(metadata!Q558)))</f>
        <v>0</v>
      </c>
      <c r="AS558" t="b">
        <f>AND(IF(metadata!R558="",FALSE,TRUE),EXACT(metadata!R558,"kg"))</f>
        <v>0</v>
      </c>
    </row>
    <row r="559" spans="1:45" x14ac:dyDescent="0.2">
      <c r="A559" s="5" t="str">
        <f ca="1">IF(B559=" "," ",HYPERLINK(CONCATENATE("#metadata!",ADDRESS(INDEX($X$2:$X$1001,MATCH(ROWS($V$2:V559),$V$2:$V$1001,0),0),1)),INDEX($AA$2:$AA$1001,MATCH(ROWS($V$2:V559),$V$2:$V$1001,0),0)))</f>
        <v xml:space="preserve"> </v>
      </c>
      <c r="B559" s="4" t="str">
        <f ca="1">IF(OR(INDEX($W$2:$W$1001,MATCH(ROWS($V$2:V559),$V$2:$V$1001,0),1)&gt;=100000,INDEX($AC$1005:$AS$1005,1,MATCH(COLUMNS($AC$1006:AC1006),$AC$1006:$AS$1006,0))&gt;=100000), " ",IF(INDEX($AC$2:$AS$1001,MATCH(ROWS($V$2:V559),$V$2:$V$1001,0),MATCH(COLUMNS($AC$1006:AC1006),$AC$1006:$AS$1006,0)), HYPERLINK("#",""), HYPERLINK(CONCATENATE("#metadata!", ADDRESS(INDEX($X$2:$X$1001,MATCH(ROWS($V$2:V559),$V$2:$V$1001,0),0), INDEX($AC$1004:$AS$1004,1,MATCH(COLUMNS($AC$1006:AC1006),$AC$1006:$AS$1006,0)))),"Fix")))</f>
        <v xml:space="preserve"> </v>
      </c>
      <c r="C559" s="4" t="str">
        <f ca="1">IF(OR(INDEX($W$2:$W$1001,MATCH(ROWS($V$2:V559),$V$2:$V$1001,0),1)&gt;=100000,INDEX($AC$1005:$AS$1005,1,MATCH(COLUMNS($AC$1006:AD1006),$AC$1006:$AS$1006,0))&gt;=100000), " ",IF(INDEX($AC$2:$AS$1001,MATCH(ROWS($V$2:V559),$V$2:$V$1001,0),MATCH(COLUMNS($AC$1006:AD1006),$AC$1006:$AS$1006,0)), HYPERLINK("#",""), HYPERLINK(CONCATENATE("#metadata!", ADDRESS(INDEX($X$2:$X$1001,MATCH(ROWS($V$2:V559),$V$2:$V$1001,0),0), INDEX($AC$1004:$AS$1004,1,MATCH(COLUMNS($AC$1006:AD1006),$AC$1006:$AS$1006,0)))),"Fix")))</f>
        <v xml:space="preserve"> </v>
      </c>
      <c r="D559" s="4" t="str">
        <f ca="1">IF(OR(INDEX($W$2:$W$1001,MATCH(ROWS($V$2:V559),$V$2:$V$1001,0),1)&gt;=100000,INDEX($AC$1005:$AS$1005,1,MATCH(COLUMNS($AC$1006:AE1006),$AC$1006:$AS$1006,0))&gt;=100000), " ",IF(INDEX($AC$2:$AS$1001,MATCH(ROWS($V$2:V559),$V$2:$V$1001,0),MATCH(COLUMNS($AC$1006:AE1006),$AC$1006:$AS$1006,0)), HYPERLINK("#",""), HYPERLINK(CONCATENATE("#metadata!", ADDRESS(INDEX($X$2:$X$1001,MATCH(ROWS($V$2:V559),$V$2:$V$1001,0),0), INDEX($AC$1004:$AS$1004,1,MATCH(COLUMNS($AC$1006:AE1006),$AC$1006:$AS$1006,0)))),"Fix")))</f>
        <v xml:space="preserve"> </v>
      </c>
      <c r="E559" s="4" t="str">
        <f ca="1">IF(OR(INDEX($W$2:$W$1001,MATCH(ROWS($V$2:V559),$V$2:$V$1001,0),1)&gt;=100000,INDEX($AC$1005:$AS$1005,1,MATCH(COLUMNS($AC$1006:AF1006),$AC$1006:$AS$1006,0))&gt;=100000), " ",IF(INDEX($AC$2:$AS$1001,MATCH(ROWS($V$2:V559),$V$2:$V$1001,0),MATCH(COLUMNS($AC$1006:AF1006),$AC$1006:$AS$1006,0)), HYPERLINK("#",""), HYPERLINK(CONCATENATE("#metadata!", ADDRESS(INDEX($X$2:$X$1001,MATCH(ROWS($V$2:V559),$V$2:$V$1001,0),0), INDEX($AC$1004:$AS$1004,1,MATCH(COLUMNS($AC$1006:AF1006),$AC$1006:$AS$1006,0)))),"Fix")))</f>
        <v xml:space="preserve"> </v>
      </c>
      <c r="F559" s="4" t="str">
        <f ca="1">IF(OR(INDEX($W$2:$W$1001,MATCH(ROWS($V$2:V559),$V$2:$V$1001,0),1)&gt;=100000,INDEX($AC$1005:$AS$1005,1,MATCH(COLUMNS($AC$1006:AG1006),$AC$1006:$AS$1006,0))&gt;=100000), " ",IF(INDEX($AC$2:$AS$1001,MATCH(ROWS($V$2:V559),$V$2:$V$1001,0),MATCH(COLUMNS($AC$1006:AG1006),$AC$1006:$AS$1006,0)), HYPERLINK("#",""), HYPERLINK(CONCATENATE("#metadata!", ADDRESS(INDEX($X$2:$X$1001,MATCH(ROWS($V$2:V559),$V$2:$V$1001,0),0), INDEX($AC$1004:$AS$1004,1,MATCH(COLUMNS($AC$1006:AG1006),$AC$1006:$AS$1006,0)))),"Fix")))</f>
        <v xml:space="preserve"> </v>
      </c>
      <c r="G559" s="4" t="str">
        <f ca="1">IF(OR(INDEX($W$2:$W$1001,MATCH(ROWS($V$2:V559),$V$2:$V$1001,0),1)&gt;=100000,INDEX($AC$1005:$AS$1005,1,MATCH(COLUMNS($AC$1006:AH1006),$AC$1006:$AS$1006,0))&gt;=100000), " ",IF(INDEX($AC$2:$AS$1001,MATCH(ROWS($V$2:V559),$V$2:$V$1001,0),MATCH(COLUMNS($AC$1006:AH1006),$AC$1006:$AS$1006,0)), HYPERLINK("#",""), HYPERLINK(CONCATENATE("#metadata!", ADDRESS(INDEX($X$2:$X$1001,MATCH(ROWS($V$2:V559),$V$2:$V$1001,0),0), INDEX($AC$1004:$AS$1004,1,MATCH(COLUMNS($AC$1006:AH1006),$AC$1006:$AS$1006,0)))),"Fix")))</f>
        <v xml:space="preserve"> </v>
      </c>
      <c r="H559" s="4" t="str">
        <f ca="1">IF(OR(INDEX($W$2:$W$1001,MATCH(ROWS($V$2:V559),$V$2:$V$1001,0),1)&gt;=100000,INDEX($AC$1005:$AS$1005,1,MATCH(COLUMNS($AC$1006:AI1006),$AC$1006:$AS$1006,0))&gt;=100000), " ",IF(INDEX($AC$2:$AS$1001,MATCH(ROWS($V$2:V559),$V$2:$V$1001,0),MATCH(COLUMNS($AC$1006:AI1006),$AC$1006:$AS$1006,0)), HYPERLINK("#",""), HYPERLINK(CONCATENATE("#metadata!", ADDRESS(INDEX($X$2:$X$1001,MATCH(ROWS($V$2:V559),$V$2:$V$1001,0),0), INDEX($AC$1004:$AS$1004,1,MATCH(COLUMNS($AC$1006:AI1006),$AC$1006:$AS$1006,0)))),"Fix")))</f>
        <v xml:space="preserve"> </v>
      </c>
      <c r="I559" s="4" t="str">
        <f ca="1">IF(OR(INDEX($W$2:$W$1001,MATCH(ROWS($V$2:V559),$V$2:$V$1001,0),1)&gt;=100000,INDEX($AC$1005:$AS$1005,1,MATCH(COLUMNS($AC$1006:AJ1006),$AC$1006:$AS$1006,0))&gt;=100000), " ",IF(INDEX($AC$2:$AS$1001,MATCH(ROWS($V$2:V559),$V$2:$V$1001,0),MATCH(COLUMNS($AC$1006:AJ1006),$AC$1006:$AS$1006,0)), HYPERLINK("#",""), HYPERLINK(CONCATENATE("#metadata!", ADDRESS(INDEX($X$2:$X$1001,MATCH(ROWS($V$2:V559),$V$2:$V$1001,0),0), INDEX($AC$1004:$AS$1004,1,MATCH(COLUMNS($AC$1006:AJ1006),$AC$1006:$AS$1006,0)))),"Fix")))</f>
        <v xml:space="preserve"> </v>
      </c>
      <c r="J559" s="4" t="str">
        <f ca="1">IF(OR(INDEX($W$2:$W$1001,MATCH(ROWS($V$2:V559),$V$2:$V$1001,0),1)&gt;=100000,INDEX($AC$1005:$AS$1005,1,MATCH(COLUMNS($AC$1006:AK1006),$AC$1006:$AS$1006,0))&gt;=100000), " ",IF(INDEX($AC$2:$AS$1001,MATCH(ROWS($V$2:V559),$V$2:$V$1001,0),MATCH(COLUMNS($AC$1006:AK1006),$AC$1006:$AS$1006,0)), HYPERLINK("#",""), HYPERLINK(CONCATENATE("#metadata!", ADDRESS(INDEX($X$2:$X$1001,MATCH(ROWS($V$2:V559),$V$2:$V$1001,0),0), INDEX($AC$1004:$AS$1004,1,MATCH(COLUMNS($AC$1006:AK1006),$AC$1006:$AS$1006,0)))),"Fix")))</f>
        <v xml:space="preserve"> </v>
      </c>
      <c r="K559" s="4" t="str">
        <f ca="1">IF(OR(INDEX($W$2:$W$1001,MATCH(ROWS($V$2:V559),$V$2:$V$1001,0),1)&gt;=100000,INDEX($AC$1005:$AS$1005,1,MATCH(COLUMNS($AC$1006:AL1006),$AC$1006:$AS$1006,0))&gt;=100000), " ",IF(INDEX($AC$2:$AS$1001,MATCH(ROWS($V$2:V559),$V$2:$V$1001,0),MATCH(COLUMNS($AC$1006:AL1006),$AC$1006:$AS$1006,0)), HYPERLINK("#",""), HYPERLINK(CONCATENATE("#metadata!", ADDRESS(INDEX($X$2:$X$1001,MATCH(ROWS($V$2:V559),$V$2:$V$1001,0),0), INDEX($AC$1004:$AS$1004,1,MATCH(COLUMNS($AC$1006:AL1006),$AC$1006:$AS$1006,0)))),"Fix")))</f>
        <v xml:space="preserve"> </v>
      </c>
      <c r="L559" s="4" t="str">
        <f ca="1">IF(OR(INDEX($W$2:$W$1001,MATCH(ROWS($V$2:V559),$V$2:$V$1001,0),1)&gt;=100000,INDEX($AC$1005:$AS$1005,1,MATCH(COLUMNS($AC$1006:AM1006),$AC$1006:$AS$1006,0))&gt;=100000), " ",IF(INDEX($AC$2:$AS$1001,MATCH(ROWS($V$2:V559),$V$2:$V$1001,0),MATCH(COLUMNS($AC$1006:AM1006),$AC$1006:$AS$1006,0)), HYPERLINK("#",""), HYPERLINK(CONCATENATE("#metadata!", ADDRESS(INDEX($X$2:$X$1001,MATCH(ROWS($V$2:V559),$V$2:$V$1001,0),0), INDEX($AC$1004:$AS$1004,1,MATCH(COLUMNS($AC$1006:AM1006),$AC$1006:$AS$1006,0)))),"Fix")))</f>
        <v xml:space="preserve"> </v>
      </c>
      <c r="M559" s="4" t="str">
        <f ca="1">IF(OR(INDEX($W$2:$W$1001,MATCH(ROWS($V$2:V559),$V$2:$V$1001,0),1)&gt;=100000,INDEX($AC$1005:$AS$1005,1,MATCH(COLUMNS($AC$1006:AN1006),$AC$1006:$AS$1006,0))&gt;=100000), " ",IF(INDEX($AC$2:$AS$1001,MATCH(ROWS($V$2:V559),$V$2:$V$1001,0),MATCH(COLUMNS($AC$1006:AN1006),$AC$1006:$AS$1006,0)), HYPERLINK("#",""), HYPERLINK(CONCATENATE("#metadata!", ADDRESS(INDEX($X$2:$X$1001,MATCH(ROWS($V$2:V559),$V$2:$V$1001,0),0), INDEX($AC$1004:$AS$1004,1,MATCH(COLUMNS($AC$1006:AN1006),$AC$1006:$AS$1006,0)))),"Fix")))</f>
        <v xml:space="preserve"> </v>
      </c>
      <c r="N559" s="4" t="str">
        <f ca="1">IF(OR(INDEX($W$2:$W$1001,MATCH(ROWS($V$2:V559),$V$2:$V$1001,0),1)&gt;=100000,INDEX($AC$1005:$AS$1005,1,MATCH(COLUMNS($AC$1006:AO1006),$AC$1006:$AS$1006,0))&gt;=100000), " ",IF(INDEX($AC$2:$AS$1001,MATCH(ROWS($V$2:V559),$V$2:$V$1001,0),MATCH(COLUMNS($AC$1006:AO1006),$AC$1006:$AS$1006,0)), HYPERLINK("#",""), HYPERLINK(CONCATENATE("#metadata!", ADDRESS(INDEX($X$2:$X$1001,MATCH(ROWS($V$2:V559),$V$2:$V$1001,0),0), INDEX($AC$1004:$AS$1004,1,MATCH(COLUMNS($AC$1006:AO1006),$AC$1006:$AS$1006,0)))),"Fix")))</f>
        <v xml:space="preserve"> </v>
      </c>
      <c r="O559" s="4" t="str">
        <f ca="1">IF(OR(INDEX($W$2:$W$1001,MATCH(ROWS($V$2:V559),$V$2:$V$1001,0),1)&gt;=100000,INDEX($AC$1005:$AS$1005,1,MATCH(COLUMNS($AC$1006:AP1006),$AC$1006:$AS$1006,0))&gt;=100000), " ",IF(INDEX($AC$2:$AS$1001,MATCH(ROWS($V$2:V559),$V$2:$V$1001,0),MATCH(COLUMNS($AC$1006:AP1006),$AC$1006:$AS$1006,0)), HYPERLINK("#",""), HYPERLINK(CONCATENATE("#metadata!", ADDRESS(INDEX($X$2:$X$1001,MATCH(ROWS($V$2:V559),$V$2:$V$1001,0),0), INDEX($AC$1004:$AS$1004,1,MATCH(COLUMNS($AC$1006:AP1006),$AC$1006:$AS$1006,0)))),"Fix")))</f>
        <v xml:space="preserve"> </v>
      </c>
      <c r="P559" s="4" t="str">
        <f ca="1">IF(OR(INDEX($W$2:$W$1001,MATCH(ROWS($V$2:V559),$V$2:$V$1001,0),1)&gt;=100000,INDEX($AC$1005:$AS$1005,1,MATCH(COLUMNS($AC$1006:AQ1006),$AC$1006:$AS$1006,0))&gt;=100000), " ",IF(INDEX($AC$2:$AS$1001,MATCH(ROWS($V$2:V559),$V$2:$V$1001,0),MATCH(COLUMNS($AC$1006:AQ1006),$AC$1006:$AS$1006,0)), HYPERLINK("#",""), HYPERLINK(CONCATENATE("#metadata!", ADDRESS(INDEX($X$2:$X$1001,MATCH(ROWS($V$2:V559),$V$2:$V$1001,0),0), INDEX($AC$1004:$AS$1004,1,MATCH(COLUMNS($AC$1006:AQ1006),$AC$1006:$AS$1006,0)))),"Fix")))</f>
        <v xml:space="preserve"> </v>
      </c>
      <c r="Q559" s="4" t="str">
        <f ca="1">IF(OR(INDEX($W$2:$W$1001,MATCH(ROWS($V$2:V559),$V$2:$V$1001,0),1)&gt;=100000,INDEX($AC$1005:$AS$1005,1,MATCH(COLUMNS($AC$1006:AR1006),$AC$1006:$AS$1006,0))&gt;=100000), " ",IF(INDEX($AC$2:$AS$1001,MATCH(ROWS($V$2:V559),$V$2:$V$1001,0),MATCH(COLUMNS($AC$1006:AR1006),$AC$1006:$AS$1006,0)), HYPERLINK("#",""), HYPERLINK(CONCATENATE("#metadata!", ADDRESS(INDEX($X$2:$X$1001,MATCH(ROWS($V$2:V559),$V$2:$V$1001,0),0), INDEX($AC$1004:$AS$1004,1,MATCH(COLUMNS($AC$1006:AR1006),$AC$1006:$AS$1006,0)))),"Fix")))</f>
        <v xml:space="preserve"> </v>
      </c>
      <c r="R559" s="4" t="str">
        <f ca="1">IF(OR(INDEX($W$2:$W$1001,MATCH(ROWS($V$2:V559),$V$2:$V$1001,0),1)&gt;=100000,INDEX($AC$1005:$AS$1005,1,MATCH(COLUMNS($AC$1006:AS1006),$AC$1006:$AS$1006,0))&gt;=100000), " ",IF(INDEX($AC$2:$AS$1001,MATCH(ROWS($V$2:V559),$V$2:$V$1001,0),MATCH(COLUMNS($AC$1006:AS1006),$AC$1006:$AS$1006,0)), HYPERLINK("#",""), HYPERLINK(CONCATENATE("#metadata!", ADDRESS(INDEX($X$2:$X$1001,MATCH(ROWS($V$2:V559),$V$2:$V$1001,0),0), INDEX($AC$1004:$AS$1004,1,MATCH(COLUMNS($AC$1006:AS1006),$AC$1006:$AS$1006,0)))),"Fix")))</f>
        <v xml:space="preserve"> </v>
      </c>
      <c r="V559">
        <v>558</v>
      </c>
      <c r="W559">
        <v>100559</v>
      </c>
      <c r="X559">
        <v>559</v>
      </c>
      <c r="Y559" t="b">
        <f t="shared" si="8"/>
        <v>1</v>
      </c>
      <c r="Z559" t="b">
        <f>COUNTBLANK(metadata!B559:R559)=COLUMNS(metadata!B559:R559)</f>
        <v>1</v>
      </c>
      <c r="AA559" t="str">
        <v/>
      </c>
      <c r="AC559" t="b">
        <f ca="1"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AD559" t="b">
        <f>IF(metadata!C559="",FALSE,ISNUMBER(VALUE(metadata!C559)))</f>
        <v>0</v>
      </c>
      <c r="AE559" t="b">
        <f>AND(IF(metadata!D559="",FALSE,TRUE),EXACT(metadata!D559,"years"))</f>
        <v>0</v>
      </c>
      <c r="AF559" t="b">
        <f>OR(AND(IF(metadata!E559="",FALSE,TRUE),OR(EXACT(metadata!E559,"not applicable"),EXACT(metadata!E559,"missing: not collected"),EXACT(metadata!E559,"missing: not provided"),EXACT(metadata!E559,"missing: restricted access"))),AND(IF(metadata!E559="",FALSE,ISNUMBER(VALUE(metadata!E559))),metadata!E559&gt;0))</f>
        <v>0</v>
      </c>
      <c r="AG559" t="b">
        <f>AND(IF(metadata!F559="",FALSE,TRUE),EXACT(metadata!F559,"Not applicable"))</f>
        <v>0</v>
      </c>
      <c r="AH559" t="b">
        <f>AND(IF(metadata!G559="",FALSE,TRUE),EXACT(metadata!G559,"urban biome"))</f>
        <v>0</v>
      </c>
      <c r="AI559" t="b">
        <f>AND(IF(metadata!H559="",FALSE,TRUE),EXACT(metadata!H559,"human-associated habitat"))</f>
        <v>0</v>
      </c>
      <c r="AJ559" t="b">
        <f>AND(IF(metadata!I559="",FALSE,TRUE),OR(EXACT(metadata!I559,"human-associated"),EXACT(metadata!I559,"human-skin"),EXACT(metadata!I559,"human-oral"),EXACT(metadata!I559,"human-gut"),EXACT(metadata!I559,"human-vaginal")))</f>
        <v>0</v>
      </c>
      <c r="AK559" t="b">
        <f>IF(metadata!J559="",FALSE,ISNUMBER(VALUE(metadata!J559)))</f>
        <v>0</v>
      </c>
      <c r="AL559" t="b">
        <f>AND(IF(metadata!K559="",FALSE,TRUE),EXACT(metadata!K559,"cm"))</f>
        <v>0</v>
      </c>
      <c r="AM559" t="b">
        <f>AND(IF(metadata!L559="",FALSE,TRUE),EXACT(metadata!L559,"human"))</f>
        <v>0</v>
      </c>
      <c r="AN559" t="b">
        <f>AND(IF(metadata!M559="",FALSE,TRUE),EXACT(metadata!M559,"Homo sapiens"))</f>
        <v>0</v>
      </c>
      <c r="AO559" t="b">
        <f>AND(IF(metadata!N559="",FALSE,TRUE),EXACT(metadata!N559,"9606"))</f>
        <v>0</v>
      </c>
      <c r="AP559" t="b">
        <f>IF(metadata!O559="",FALSE,TRUE)</f>
        <v>0</v>
      </c>
      <c r="AQ559" t="b">
        <f>IF(metadata!P559="",FALSE,TRUE)</f>
        <v>0</v>
      </c>
      <c r="AR559" t="b">
        <f>IF(metadata!Q559="",FALSE,ISNUMBER(VALUE(metadata!Q559)))</f>
        <v>0</v>
      </c>
      <c r="AS559" t="b">
        <f>AND(IF(metadata!R559="",FALSE,TRUE),EXACT(metadata!R559,"kg"))</f>
        <v>0</v>
      </c>
    </row>
    <row r="560" spans="1:45" x14ac:dyDescent="0.2">
      <c r="A560" s="5" t="str">
        <f ca="1">IF(B560=" "," ",HYPERLINK(CONCATENATE("#metadata!",ADDRESS(INDEX($X$2:$X$1001,MATCH(ROWS($V$2:V560),$V$2:$V$1001,0),0),1)),INDEX($AA$2:$AA$1001,MATCH(ROWS($V$2:V560),$V$2:$V$1001,0),0)))</f>
        <v xml:space="preserve"> </v>
      </c>
      <c r="B560" s="4" t="str">
        <f ca="1">IF(OR(INDEX($W$2:$W$1001,MATCH(ROWS($V$2:V560),$V$2:$V$1001,0),1)&gt;=100000,INDEX($AC$1005:$AS$1005,1,MATCH(COLUMNS($AC$1006:AC1006),$AC$1006:$AS$1006,0))&gt;=100000), " ",IF(INDEX($AC$2:$AS$1001,MATCH(ROWS($V$2:V560),$V$2:$V$1001,0),MATCH(COLUMNS($AC$1006:AC1006),$AC$1006:$AS$1006,0)), HYPERLINK("#",""), HYPERLINK(CONCATENATE("#metadata!", ADDRESS(INDEX($X$2:$X$1001,MATCH(ROWS($V$2:V560),$V$2:$V$1001,0),0), INDEX($AC$1004:$AS$1004,1,MATCH(COLUMNS($AC$1006:AC1006),$AC$1006:$AS$1006,0)))),"Fix")))</f>
        <v xml:space="preserve"> </v>
      </c>
      <c r="C560" s="4" t="str">
        <f ca="1">IF(OR(INDEX($W$2:$W$1001,MATCH(ROWS($V$2:V560),$V$2:$V$1001,0),1)&gt;=100000,INDEX($AC$1005:$AS$1005,1,MATCH(COLUMNS($AC$1006:AD1006),$AC$1006:$AS$1006,0))&gt;=100000), " ",IF(INDEX($AC$2:$AS$1001,MATCH(ROWS($V$2:V560),$V$2:$V$1001,0),MATCH(COLUMNS($AC$1006:AD1006),$AC$1006:$AS$1006,0)), HYPERLINK("#",""), HYPERLINK(CONCATENATE("#metadata!", ADDRESS(INDEX($X$2:$X$1001,MATCH(ROWS($V$2:V560),$V$2:$V$1001,0),0), INDEX($AC$1004:$AS$1004,1,MATCH(COLUMNS($AC$1006:AD1006),$AC$1006:$AS$1006,0)))),"Fix")))</f>
        <v xml:space="preserve"> </v>
      </c>
      <c r="D560" s="4" t="str">
        <f ca="1">IF(OR(INDEX($W$2:$W$1001,MATCH(ROWS($V$2:V560),$V$2:$V$1001,0),1)&gt;=100000,INDEX($AC$1005:$AS$1005,1,MATCH(COLUMNS($AC$1006:AE1006),$AC$1006:$AS$1006,0))&gt;=100000), " ",IF(INDEX($AC$2:$AS$1001,MATCH(ROWS($V$2:V560),$V$2:$V$1001,0),MATCH(COLUMNS($AC$1006:AE1006),$AC$1006:$AS$1006,0)), HYPERLINK("#",""), HYPERLINK(CONCATENATE("#metadata!", ADDRESS(INDEX($X$2:$X$1001,MATCH(ROWS($V$2:V560),$V$2:$V$1001,0),0), INDEX($AC$1004:$AS$1004,1,MATCH(COLUMNS($AC$1006:AE1006),$AC$1006:$AS$1006,0)))),"Fix")))</f>
        <v xml:space="preserve"> </v>
      </c>
      <c r="E560" s="4" t="str">
        <f ca="1">IF(OR(INDEX($W$2:$W$1001,MATCH(ROWS($V$2:V560),$V$2:$V$1001,0),1)&gt;=100000,INDEX($AC$1005:$AS$1005,1,MATCH(COLUMNS($AC$1006:AF1006),$AC$1006:$AS$1006,0))&gt;=100000), " ",IF(INDEX($AC$2:$AS$1001,MATCH(ROWS($V$2:V560),$V$2:$V$1001,0),MATCH(COLUMNS($AC$1006:AF1006),$AC$1006:$AS$1006,0)), HYPERLINK("#",""), HYPERLINK(CONCATENATE("#metadata!", ADDRESS(INDEX($X$2:$X$1001,MATCH(ROWS($V$2:V560),$V$2:$V$1001,0),0), INDEX($AC$1004:$AS$1004,1,MATCH(COLUMNS($AC$1006:AF1006),$AC$1006:$AS$1006,0)))),"Fix")))</f>
        <v xml:space="preserve"> </v>
      </c>
      <c r="F560" s="4" t="str">
        <f ca="1">IF(OR(INDEX($W$2:$W$1001,MATCH(ROWS($V$2:V560),$V$2:$V$1001,0),1)&gt;=100000,INDEX($AC$1005:$AS$1005,1,MATCH(COLUMNS($AC$1006:AG1006),$AC$1006:$AS$1006,0))&gt;=100000), " ",IF(INDEX($AC$2:$AS$1001,MATCH(ROWS($V$2:V560),$V$2:$V$1001,0),MATCH(COLUMNS($AC$1006:AG1006),$AC$1006:$AS$1006,0)), HYPERLINK("#",""), HYPERLINK(CONCATENATE("#metadata!", ADDRESS(INDEX($X$2:$X$1001,MATCH(ROWS($V$2:V560),$V$2:$V$1001,0),0), INDEX($AC$1004:$AS$1004,1,MATCH(COLUMNS($AC$1006:AG1006),$AC$1006:$AS$1006,0)))),"Fix")))</f>
        <v xml:space="preserve"> </v>
      </c>
      <c r="G560" s="4" t="str">
        <f ca="1">IF(OR(INDEX($W$2:$W$1001,MATCH(ROWS($V$2:V560),$V$2:$V$1001,0),1)&gt;=100000,INDEX($AC$1005:$AS$1005,1,MATCH(COLUMNS($AC$1006:AH1006),$AC$1006:$AS$1006,0))&gt;=100000), " ",IF(INDEX($AC$2:$AS$1001,MATCH(ROWS($V$2:V560),$V$2:$V$1001,0),MATCH(COLUMNS($AC$1006:AH1006),$AC$1006:$AS$1006,0)), HYPERLINK("#",""), HYPERLINK(CONCATENATE("#metadata!", ADDRESS(INDEX($X$2:$X$1001,MATCH(ROWS($V$2:V560),$V$2:$V$1001,0),0), INDEX($AC$1004:$AS$1004,1,MATCH(COLUMNS($AC$1006:AH1006),$AC$1006:$AS$1006,0)))),"Fix")))</f>
        <v xml:space="preserve"> </v>
      </c>
      <c r="H560" s="4" t="str">
        <f ca="1">IF(OR(INDEX($W$2:$W$1001,MATCH(ROWS($V$2:V560),$V$2:$V$1001,0),1)&gt;=100000,INDEX($AC$1005:$AS$1005,1,MATCH(COLUMNS($AC$1006:AI1006),$AC$1006:$AS$1006,0))&gt;=100000), " ",IF(INDEX($AC$2:$AS$1001,MATCH(ROWS($V$2:V560),$V$2:$V$1001,0),MATCH(COLUMNS($AC$1006:AI1006),$AC$1006:$AS$1006,0)), HYPERLINK("#",""), HYPERLINK(CONCATENATE("#metadata!", ADDRESS(INDEX($X$2:$X$1001,MATCH(ROWS($V$2:V560),$V$2:$V$1001,0),0), INDEX($AC$1004:$AS$1004,1,MATCH(COLUMNS($AC$1006:AI1006),$AC$1006:$AS$1006,0)))),"Fix")))</f>
        <v xml:space="preserve"> </v>
      </c>
      <c r="I560" s="4" t="str">
        <f ca="1">IF(OR(INDEX($W$2:$W$1001,MATCH(ROWS($V$2:V560),$V$2:$V$1001,0),1)&gt;=100000,INDEX($AC$1005:$AS$1005,1,MATCH(COLUMNS($AC$1006:AJ1006),$AC$1006:$AS$1006,0))&gt;=100000), " ",IF(INDEX($AC$2:$AS$1001,MATCH(ROWS($V$2:V560),$V$2:$V$1001,0),MATCH(COLUMNS($AC$1006:AJ1006),$AC$1006:$AS$1006,0)), HYPERLINK("#",""), HYPERLINK(CONCATENATE("#metadata!", ADDRESS(INDEX($X$2:$X$1001,MATCH(ROWS($V$2:V560),$V$2:$V$1001,0),0), INDEX($AC$1004:$AS$1004,1,MATCH(COLUMNS($AC$1006:AJ1006),$AC$1006:$AS$1006,0)))),"Fix")))</f>
        <v xml:space="preserve"> </v>
      </c>
      <c r="J560" s="4" t="str">
        <f ca="1">IF(OR(INDEX($W$2:$W$1001,MATCH(ROWS($V$2:V560),$V$2:$V$1001,0),1)&gt;=100000,INDEX($AC$1005:$AS$1005,1,MATCH(COLUMNS($AC$1006:AK1006),$AC$1006:$AS$1006,0))&gt;=100000), " ",IF(INDEX($AC$2:$AS$1001,MATCH(ROWS($V$2:V560),$V$2:$V$1001,0),MATCH(COLUMNS($AC$1006:AK1006),$AC$1006:$AS$1006,0)), HYPERLINK("#",""), HYPERLINK(CONCATENATE("#metadata!", ADDRESS(INDEX($X$2:$X$1001,MATCH(ROWS($V$2:V560),$V$2:$V$1001,0),0), INDEX($AC$1004:$AS$1004,1,MATCH(COLUMNS($AC$1006:AK1006),$AC$1006:$AS$1006,0)))),"Fix")))</f>
        <v xml:space="preserve"> </v>
      </c>
      <c r="K560" s="4" t="str">
        <f ca="1">IF(OR(INDEX($W$2:$W$1001,MATCH(ROWS($V$2:V560),$V$2:$V$1001,0),1)&gt;=100000,INDEX($AC$1005:$AS$1005,1,MATCH(COLUMNS($AC$1006:AL1006),$AC$1006:$AS$1006,0))&gt;=100000), " ",IF(INDEX($AC$2:$AS$1001,MATCH(ROWS($V$2:V560),$V$2:$V$1001,0),MATCH(COLUMNS($AC$1006:AL1006),$AC$1006:$AS$1006,0)), HYPERLINK("#",""), HYPERLINK(CONCATENATE("#metadata!", ADDRESS(INDEX($X$2:$X$1001,MATCH(ROWS($V$2:V560),$V$2:$V$1001,0),0), INDEX($AC$1004:$AS$1004,1,MATCH(COLUMNS($AC$1006:AL1006),$AC$1006:$AS$1006,0)))),"Fix")))</f>
        <v xml:space="preserve"> </v>
      </c>
      <c r="L560" s="4" t="str">
        <f ca="1">IF(OR(INDEX($W$2:$W$1001,MATCH(ROWS($V$2:V560),$V$2:$V$1001,0),1)&gt;=100000,INDEX($AC$1005:$AS$1005,1,MATCH(COLUMNS($AC$1006:AM1006),$AC$1006:$AS$1006,0))&gt;=100000), " ",IF(INDEX($AC$2:$AS$1001,MATCH(ROWS($V$2:V560),$V$2:$V$1001,0),MATCH(COLUMNS($AC$1006:AM1006),$AC$1006:$AS$1006,0)), HYPERLINK("#",""), HYPERLINK(CONCATENATE("#metadata!", ADDRESS(INDEX($X$2:$X$1001,MATCH(ROWS($V$2:V560),$V$2:$V$1001,0),0), INDEX($AC$1004:$AS$1004,1,MATCH(COLUMNS($AC$1006:AM1006),$AC$1006:$AS$1006,0)))),"Fix")))</f>
        <v xml:space="preserve"> </v>
      </c>
      <c r="M560" s="4" t="str">
        <f ca="1">IF(OR(INDEX($W$2:$W$1001,MATCH(ROWS($V$2:V560),$V$2:$V$1001,0),1)&gt;=100000,INDEX($AC$1005:$AS$1005,1,MATCH(COLUMNS($AC$1006:AN1006),$AC$1006:$AS$1006,0))&gt;=100000), " ",IF(INDEX($AC$2:$AS$1001,MATCH(ROWS($V$2:V560),$V$2:$V$1001,0),MATCH(COLUMNS($AC$1006:AN1006),$AC$1006:$AS$1006,0)), HYPERLINK("#",""), HYPERLINK(CONCATENATE("#metadata!", ADDRESS(INDEX($X$2:$X$1001,MATCH(ROWS($V$2:V560),$V$2:$V$1001,0),0), INDEX($AC$1004:$AS$1004,1,MATCH(COLUMNS($AC$1006:AN1006),$AC$1006:$AS$1006,0)))),"Fix")))</f>
        <v xml:space="preserve"> </v>
      </c>
      <c r="N560" s="4" t="str">
        <f ca="1">IF(OR(INDEX($W$2:$W$1001,MATCH(ROWS($V$2:V560),$V$2:$V$1001,0),1)&gt;=100000,INDEX($AC$1005:$AS$1005,1,MATCH(COLUMNS($AC$1006:AO1006),$AC$1006:$AS$1006,0))&gt;=100000), " ",IF(INDEX($AC$2:$AS$1001,MATCH(ROWS($V$2:V560),$V$2:$V$1001,0),MATCH(COLUMNS($AC$1006:AO1006),$AC$1006:$AS$1006,0)), HYPERLINK("#",""), HYPERLINK(CONCATENATE("#metadata!", ADDRESS(INDEX($X$2:$X$1001,MATCH(ROWS($V$2:V560),$V$2:$V$1001,0),0), INDEX($AC$1004:$AS$1004,1,MATCH(COLUMNS($AC$1006:AO1006),$AC$1006:$AS$1006,0)))),"Fix")))</f>
        <v xml:space="preserve"> </v>
      </c>
      <c r="O560" s="4" t="str">
        <f ca="1">IF(OR(INDEX($W$2:$W$1001,MATCH(ROWS($V$2:V560),$V$2:$V$1001,0),1)&gt;=100000,INDEX($AC$1005:$AS$1005,1,MATCH(COLUMNS($AC$1006:AP1006),$AC$1006:$AS$1006,0))&gt;=100000), " ",IF(INDEX($AC$2:$AS$1001,MATCH(ROWS($V$2:V560),$V$2:$V$1001,0),MATCH(COLUMNS($AC$1006:AP1006),$AC$1006:$AS$1006,0)), HYPERLINK("#",""), HYPERLINK(CONCATENATE("#metadata!", ADDRESS(INDEX($X$2:$X$1001,MATCH(ROWS($V$2:V560),$V$2:$V$1001,0),0), INDEX($AC$1004:$AS$1004,1,MATCH(COLUMNS($AC$1006:AP1006),$AC$1006:$AS$1006,0)))),"Fix")))</f>
        <v xml:space="preserve"> </v>
      </c>
      <c r="P560" s="4" t="str">
        <f ca="1">IF(OR(INDEX($W$2:$W$1001,MATCH(ROWS($V$2:V560),$V$2:$V$1001,0),1)&gt;=100000,INDEX($AC$1005:$AS$1005,1,MATCH(COLUMNS($AC$1006:AQ1006),$AC$1006:$AS$1006,0))&gt;=100000), " ",IF(INDEX($AC$2:$AS$1001,MATCH(ROWS($V$2:V560),$V$2:$V$1001,0),MATCH(COLUMNS($AC$1006:AQ1006),$AC$1006:$AS$1006,0)), HYPERLINK("#",""), HYPERLINK(CONCATENATE("#metadata!", ADDRESS(INDEX($X$2:$X$1001,MATCH(ROWS($V$2:V560),$V$2:$V$1001,0),0), INDEX($AC$1004:$AS$1004,1,MATCH(COLUMNS($AC$1006:AQ1006),$AC$1006:$AS$1006,0)))),"Fix")))</f>
        <v xml:space="preserve"> </v>
      </c>
      <c r="Q560" s="4" t="str">
        <f ca="1">IF(OR(INDEX($W$2:$W$1001,MATCH(ROWS($V$2:V560),$V$2:$V$1001,0),1)&gt;=100000,INDEX($AC$1005:$AS$1005,1,MATCH(COLUMNS($AC$1006:AR1006),$AC$1006:$AS$1006,0))&gt;=100000), " ",IF(INDEX($AC$2:$AS$1001,MATCH(ROWS($V$2:V560),$V$2:$V$1001,0),MATCH(COLUMNS($AC$1006:AR1006),$AC$1006:$AS$1006,0)), HYPERLINK("#",""), HYPERLINK(CONCATENATE("#metadata!", ADDRESS(INDEX($X$2:$X$1001,MATCH(ROWS($V$2:V560),$V$2:$V$1001,0),0), INDEX($AC$1004:$AS$1004,1,MATCH(COLUMNS($AC$1006:AR1006),$AC$1006:$AS$1006,0)))),"Fix")))</f>
        <v xml:space="preserve"> </v>
      </c>
      <c r="R560" s="4" t="str">
        <f ca="1">IF(OR(INDEX($W$2:$W$1001,MATCH(ROWS($V$2:V560),$V$2:$V$1001,0),1)&gt;=100000,INDEX($AC$1005:$AS$1005,1,MATCH(COLUMNS($AC$1006:AS1006),$AC$1006:$AS$1006,0))&gt;=100000), " ",IF(INDEX($AC$2:$AS$1001,MATCH(ROWS($V$2:V560),$V$2:$V$1001,0),MATCH(COLUMNS($AC$1006:AS1006),$AC$1006:$AS$1006,0)), HYPERLINK("#",""), HYPERLINK(CONCATENATE("#metadata!", ADDRESS(INDEX($X$2:$X$1001,MATCH(ROWS($V$2:V560),$V$2:$V$1001,0),0), INDEX($AC$1004:$AS$1004,1,MATCH(COLUMNS($AC$1006:AS1006),$AC$1006:$AS$1006,0)))),"Fix")))</f>
        <v xml:space="preserve"> </v>
      </c>
      <c r="V560">
        <v>559</v>
      </c>
      <c r="W560">
        <v>100560</v>
      </c>
      <c r="X560">
        <v>560</v>
      </c>
      <c r="Y560" t="b">
        <f t="shared" si="8"/>
        <v>1</v>
      </c>
      <c r="Z560" t="b">
        <f>COUNTBLANK(metadata!B560:R560)=COLUMNS(metadata!B560:R560)</f>
        <v>1</v>
      </c>
      <c r="AA560" t="str">
        <v/>
      </c>
      <c r="AC560" t="b">
        <f ca="1"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AD560" t="b">
        <f>IF(metadata!C560="",FALSE,ISNUMBER(VALUE(metadata!C560)))</f>
        <v>0</v>
      </c>
      <c r="AE560" t="b">
        <f>AND(IF(metadata!D560="",FALSE,TRUE),EXACT(metadata!D560,"years"))</f>
        <v>0</v>
      </c>
      <c r="AF560" t="b">
        <f>OR(AND(IF(metadata!E560="",FALSE,TRUE),OR(EXACT(metadata!E560,"not applicable"),EXACT(metadata!E560,"missing: not collected"),EXACT(metadata!E560,"missing: not provided"),EXACT(metadata!E560,"missing: restricted access"))),AND(IF(metadata!E560="",FALSE,ISNUMBER(VALUE(metadata!E560))),metadata!E560&gt;0))</f>
        <v>0</v>
      </c>
      <c r="AG560" t="b">
        <f>AND(IF(metadata!F560="",FALSE,TRUE),EXACT(metadata!F560,"Not applicable"))</f>
        <v>0</v>
      </c>
      <c r="AH560" t="b">
        <f>AND(IF(metadata!G560="",FALSE,TRUE),EXACT(metadata!G560,"urban biome"))</f>
        <v>0</v>
      </c>
      <c r="AI560" t="b">
        <f>AND(IF(metadata!H560="",FALSE,TRUE),EXACT(metadata!H560,"human-associated habitat"))</f>
        <v>0</v>
      </c>
      <c r="AJ560" t="b">
        <f>AND(IF(metadata!I560="",FALSE,TRUE),OR(EXACT(metadata!I560,"human-associated"),EXACT(metadata!I560,"human-skin"),EXACT(metadata!I560,"human-oral"),EXACT(metadata!I560,"human-gut"),EXACT(metadata!I560,"human-vaginal")))</f>
        <v>0</v>
      </c>
      <c r="AK560" t="b">
        <f>IF(metadata!J560="",FALSE,ISNUMBER(VALUE(metadata!J560)))</f>
        <v>0</v>
      </c>
      <c r="AL560" t="b">
        <f>AND(IF(metadata!K560="",FALSE,TRUE),EXACT(metadata!K560,"cm"))</f>
        <v>0</v>
      </c>
      <c r="AM560" t="b">
        <f>AND(IF(metadata!L560="",FALSE,TRUE),EXACT(metadata!L560,"human"))</f>
        <v>0</v>
      </c>
      <c r="AN560" t="b">
        <f>AND(IF(metadata!M560="",FALSE,TRUE),EXACT(metadata!M560,"Homo sapiens"))</f>
        <v>0</v>
      </c>
      <c r="AO560" t="b">
        <f>AND(IF(metadata!N560="",FALSE,TRUE),EXACT(metadata!N560,"9606"))</f>
        <v>0</v>
      </c>
      <c r="AP560" t="b">
        <f>IF(metadata!O560="",FALSE,TRUE)</f>
        <v>0</v>
      </c>
      <c r="AQ560" t="b">
        <f>IF(metadata!P560="",FALSE,TRUE)</f>
        <v>0</v>
      </c>
      <c r="AR560" t="b">
        <f>IF(metadata!Q560="",FALSE,ISNUMBER(VALUE(metadata!Q560)))</f>
        <v>0</v>
      </c>
      <c r="AS560" t="b">
        <f>AND(IF(metadata!R560="",FALSE,TRUE),EXACT(metadata!R560,"kg"))</f>
        <v>0</v>
      </c>
    </row>
    <row r="561" spans="1:45" x14ac:dyDescent="0.2">
      <c r="A561" s="5" t="str">
        <f ca="1">IF(B561=" "," ",HYPERLINK(CONCATENATE("#metadata!",ADDRESS(INDEX($X$2:$X$1001,MATCH(ROWS($V$2:V561),$V$2:$V$1001,0),0),1)),INDEX($AA$2:$AA$1001,MATCH(ROWS($V$2:V561),$V$2:$V$1001,0),0)))</f>
        <v xml:space="preserve"> </v>
      </c>
      <c r="B561" s="4" t="str">
        <f ca="1">IF(OR(INDEX($W$2:$W$1001,MATCH(ROWS($V$2:V561),$V$2:$V$1001,0),1)&gt;=100000,INDEX($AC$1005:$AS$1005,1,MATCH(COLUMNS($AC$1006:AC1006),$AC$1006:$AS$1006,0))&gt;=100000), " ",IF(INDEX($AC$2:$AS$1001,MATCH(ROWS($V$2:V561),$V$2:$V$1001,0),MATCH(COLUMNS($AC$1006:AC1006),$AC$1006:$AS$1006,0)), HYPERLINK("#",""), HYPERLINK(CONCATENATE("#metadata!", ADDRESS(INDEX($X$2:$X$1001,MATCH(ROWS($V$2:V561),$V$2:$V$1001,0),0), INDEX($AC$1004:$AS$1004,1,MATCH(COLUMNS($AC$1006:AC1006),$AC$1006:$AS$1006,0)))),"Fix")))</f>
        <v xml:space="preserve"> </v>
      </c>
      <c r="C561" s="4" t="str">
        <f ca="1">IF(OR(INDEX($W$2:$W$1001,MATCH(ROWS($V$2:V561),$V$2:$V$1001,0),1)&gt;=100000,INDEX($AC$1005:$AS$1005,1,MATCH(COLUMNS($AC$1006:AD1006),$AC$1006:$AS$1006,0))&gt;=100000), " ",IF(INDEX($AC$2:$AS$1001,MATCH(ROWS($V$2:V561),$V$2:$V$1001,0),MATCH(COLUMNS($AC$1006:AD1006),$AC$1006:$AS$1006,0)), HYPERLINK("#",""), HYPERLINK(CONCATENATE("#metadata!", ADDRESS(INDEX($X$2:$X$1001,MATCH(ROWS($V$2:V561),$V$2:$V$1001,0),0), INDEX($AC$1004:$AS$1004,1,MATCH(COLUMNS($AC$1006:AD1006),$AC$1006:$AS$1006,0)))),"Fix")))</f>
        <v xml:space="preserve"> </v>
      </c>
      <c r="D561" s="4" t="str">
        <f ca="1">IF(OR(INDEX($W$2:$W$1001,MATCH(ROWS($V$2:V561),$V$2:$V$1001,0),1)&gt;=100000,INDEX($AC$1005:$AS$1005,1,MATCH(COLUMNS($AC$1006:AE1006),$AC$1006:$AS$1006,0))&gt;=100000), " ",IF(INDEX($AC$2:$AS$1001,MATCH(ROWS($V$2:V561),$V$2:$V$1001,0),MATCH(COLUMNS($AC$1006:AE1006),$AC$1006:$AS$1006,0)), HYPERLINK("#",""), HYPERLINK(CONCATENATE("#metadata!", ADDRESS(INDEX($X$2:$X$1001,MATCH(ROWS($V$2:V561),$V$2:$V$1001,0),0), INDEX($AC$1004:$AS$1004,1,MATCH(COLUMNS($AC$1006:AE1006),$AC$1006:$AS$1006,0)))),"Fix")))</f>
        <v xml:space="preserve"> </v>
      </c>
      <c r="E561" s="4" t="str">
        <f ca="1">IF(OR(INDEX($W$2:$W$1001,MATCH(ROWS($V$2:V561),$V$2:$V$1001,0),1)&gt;=100000,INDEX($AC$1005:$AS$1005,1,MATCH(COLUMNS($AC$1006:AF1006),$AC$1006:$AS$1006,0))&gt;=100000), " ",IF(INDEX($AC$2:$AS$1001,MATCH(ROWS($V$2:V561),$V$2:$V$1001,0),MATCH(COLUMNS($AC$1006:AF1006),$AC$1006:$AS$1006,0)), HYPERLINK("#",""), HYPERLINK(CONCATENATE("#metadata!", ADDRESS(INDEX($X$2:$X$1001,MATCH(ROWS($V$2:V561),$V$2:$V$1001,0),0), INDEX($AC$1004:$AS$1004,1,MATCH(COLUMNS($AC$1006:AF1006),$AC$1006:$AS$1006,0)))),"Fix")))</f>
        <v xml:space="preserve"> </v>
      </c>
      <c r="F561" s="4" t="str">
        <f ca="1">IF(OR(INDEX($W$2:$W$1001,MATCH(ROWS($V$2:V561),$V$2:$V$1001,0),1)&gt;=100000,INDEX($AC$1005:$AS$1005,1,MATCH(COLUMNS($AC$1006:AG1006),$AC$1006:$AS$1006,0))&gt;=100000), " ",IF(INDEX($AC$2:$AS$1001,MATCH(ROWS($V$2:V561),$V$2:$V$1001,0),MATCH(COLUMNS($AC$1006:AG1006),$AC$1006:$AS$1006,0)), HYPERLINK("#",""), HYPERLINK(CONCATENATE("#metadata!", ADDRESS(INDEX($X$2:$X$1001,MATCH(ROWS($V$2:V561),$V$2:$V$1001,0),0), INDEX($AC$1004:$AS$1004,1,MATCH(COLUMNS($AC$1006:AG1006),$AC$1006:$AS$1006,0)))),"Fix")))</f>
        <v xml:space="preserve"> </v>
      </c>
      <c r="G561" s="4" t="str">
        <f ca="1">IF(OR(INDEX($W$2:$W$1001,MATCH(ROWS($V$2:V561),$V$2:$V$1001,0),1)&gt;=100000,INDEX($AC$1005:$AS$1005,1,MATCH(COLUMNS($AC$1006:AH1006),$AC$1006:$AS$1006,0))&gt;=100000), " ",IF(INDEX($AC$2:$AS$1001,MATCH(ROWS($V$2:V561),$V$2:$V$1001,0),MATCH(COLUMNS($AC$1006:AH1006),$AC$1006:$AS$1006,0)), HYPERLINK("#",""), HYPERLINK(CONCATENATE("#metadata!", ADDRESS(INDEX($X$2:$X$1001,MATCH(ROWS($V$2:V561),$V$2:$V$1001,0),0), INDEX($AC$1004:$AS$1004,1,MATCH(COLUMNS($AC$1006:AH1006),$AC$1006:$AS$1006,0)))),"Fix")))</f>
        <v xml:space="preserve"> </v>
      </c>
      <c r="H561" s="4" t="str">
        <f ca="1">IF(OR(INDEX($W$2:$W$1001,MATCH(ROWS($V$2:V561),$V$2:$V$1001,0),1)&gt;=100000,INDEX($AC$1005:$AS$1005,1,MATCH(COLUMNS($AC$1006:AI1006),$AC$1006:$AS$1006,0))&gt;=100000), " ",IF(INDEX($AC$2:$AS$1001,MATCH(ROWS($V$2:V561),$V$2:$V$1001,0),MATCH(COLUMNS($AC$1006:AI1006),$AC$1006:$AS$1006,0)), HYPERLINK("#",""), HYPERLINK(CONCATENATE("#metadata!", ADDRESS(INDEX($X$2:$X$1001,MATCH(ROWS($V$2:V561),$V$2:$V$1001,0),0), INDEX($AC$1004:$AS$1004,1,MATCH(COLUMNS($AC$1006:AI1006),$AC$1006:$AS$1006,0)))),"Fix")))</f>
        <v xml:space="preserve"> </v>
      </c>
      <c r="I561" s="4" t="str">
        <f ca="1">IF(OR(INDEX($W$2:$W$1001,MATCH(ROWS($V$2:V561),$V$2:$V$1001,0),1)&gt;=100000,INDEX($AC$1005:$AS$1005,1,MATCH(COLUMNS($AC$1006:AJ1006),$AC$1006:$AS$1006,0))&gt;=100000), " ",IF(INDEX($AC$2:$AS$1001,MATCH(ROWS($V$2:V561),$V$2:$V$1001,0),MATCH(COLUMNS($AC$1006:AJ1006),$AC$1006:$AS$1006,0)), HYPERLINK("#",""), HYPERLINK(CONCATENATE("#metadata!", ADDRESS(INDEX($X$2:$X$1001,MATCH(ROWS($V$2:V561),$V$2:$V$1001,0),0), INDEX($AC$1004:$AS$1004,1,MATCH(COLUMNS($AC$1006:AJ1006),$AC$1006:$AS$1006,0)))),"Fix")))</f>
        <v xml:space="preserve"> </v>
      </c>
      <c r="J561" s="4" t="str">
        <f ca="1">IF(OR(INDEX($W$2:$W$1001,MATCH(ROWS($V$2:V561),$V$2:$V$1001,0),1)&gt;=100000,INDEX($AC$1005:$AS$1005,1,MATCH(COLUMNS($AC$1006:AK1006),$AC$1006:$AS$1006,0))&gt;=100000), " ",IF(INDEX($AC$2:$AS$1001,MATCH(ROWS($V$2:V561),$V$2:$V$1001,0),MATCH(COLUMNS($AC$1006:AK1006),$AC$1006:$AS$1006,0)), HYPERLINK("#",""), HYPERLINK(CONCATENATE("#metadata!", ADDRESS(INDEX($X$2:$X$1001,MATCH(ROWS($V$2:V561),$V$2:$V$1001,0),0), INDEX($AC$1004:$AS$1004,1,MATCH(COLUMNS($AC$1006:AK1006),$AC$1006:$AS$1006,0)))),"Fix")))</f>
        <v xml:space="preserve"> </v>
      </c>
      <c r="K561" s="4" t="str">
        <f ca="1">IF(OR(INDEX($W$2:$W$1001,MATCH(ROWS($V$2:V561),$V$2:$V$1001,0),1)&gt;=100000,INDEX($AC$1005:$AS$1005,1,MATCH(COLUMNS($AC$1006:AL1006),$AC$1006:$AS$1006,0))&gt;=100000), " ",IF(INDEX($AC$2:$AS$1001,MATCH(ROWS($V$2:V561),$V$2:$V$1001,0),MATCH(COLUMNS($AC$1006:AL1006),$AC$1006:$AS$1006,0)), HYPERLINK("#",""), HYPERLINK(CONCATENATE("#metadata!", ADDRESS(INDEX($X$2:$X$1001,MATCH(ROWS($V$2:V561),$V$2:$V$1001,0),0), INDEX($AC$1004:$AS$1004,1,MATCH(COLUMNS($AC$1006:AL1006),$AC$1006:$AS$1006,0)))),"Fix")))</f>
        <v xml:space="preserve"> </v>
      </c>
      <c r="L561" s="4" t="str">
        <f ca="1">IF(OR(INDEX($W$2:$W$1001,MATCH(ROWS($V$2:V561),$V$2:$V$1001,0),1)&gt;=100000,INDEX($AC$1005:$AS$1005,1,MATCH(COLUMNS($AC$1006:AM1006),$AC$1006:$AS$1006,0))&gt;=100000), " ",IF(INDEX($AC$2:$AS$1001,MATCH(ROWS($V$2:V561),$V$2:$V$1001,0),MATCH(COLUMNS($AC$1006:AM1006),$AC$1006:$AS$1006,0)), HYPERLINK("#",""), HYPERLINK(CONCATENATE("#metadata!", ADDRESS(INDEX($X$2:$X$1001,MATCH(ROWS($V$2:V561),$V$2:$V$1001,0),0), INDEX($AC$1004:$AS$1004,1,MATCH(COLUMNS($AC$1006:AM1006),$AC$1006:$AS$1006,0)))),"Fix")))</f>
        <v xml:space="preserve"> </v>
      </c>
      <c r="M561" s="4" t="str">
        <f ca="1">IF(OR(INDEX($W$2:$W$1001,MATCH(ROWS($V$2:V561),$V$2:$V$1001,0),1)&gt;=100000,INDEX($AC$1005:$AS$1005,1,MATCH(COLUMNS($AC$1006:AN1006),$AC$1006:$AS$1006,0))&gt;=100000), " ",IF(INDEX($AC$2:$AS$1001,MATCH(ROWS($V$2:V561),$V$2:$V$1001,0),MATCH(COLUMNS($AC$1006:AN1006),$AC$1006:$AS$1006,0)), HYPERLINK("#",""), HYPERLINK(CONCATENATE("#metadata!", ADDRESS(INDEX($X$2:$X$1001,MATCH(ROWS($V$2:V561),$V$2:$V$1001,0),0), INDEX($AC$1004:$AS$1004,1,MATCH(COLUMNS($AC$1006:AN1006),$AC$1006:$AS$1006,0)))),"Fix")))</f>
        <v xml:space="preserve"> </v>
      </c>
      <c r="N561" s="4" t="str">
        <f ca="1">IF(OR(INDEX($W$2:$W$1001,MATCH(ROWS($V$2:V561),$V$2:$V$1001,0),1)&gt;=100000,INDEX($AC$1005:$AS$1005,1,MATCH(COLUMNS($AC$1006:AO1006),$AC$1006:$AS$1006,0))&gt;=100000), " ",IF(INDEX($AC$2:$AS$1001,MATCH(ROWS($V$2:V561),$V$2:$V$1001,0),MATCH(COLUMNS($AC$1006:AO1006),$AC$1006:$AS$1006,0)), HYPERLINK("#",""), HYPERLINK(CONCATENATE("#metadata!", ADDRESS(INDEX($X$2:$X$1001,MATCH(ROWS($V$2:V561),$V$2:$V$1001,0),0), INDEX($AC$1004:$AS$1004,1,MATCH(COLUMNS($AC$1006:AO1006),$AC$1006:$AS$1006,0)))),"Fix")))</f>
        <v xml:space="preserve"> </v>
      </c>
      <c r="O561" s="4" t="str">
        <f ca="1">IF(OR(INDEX($W$2:$W$1001,MATCH(ROWS($V$2:V561),$V$2:$V$1001,0),1)&gt;=100000,INDEX($AC$1005:$AS$1005,1,MATCH(COLUMNS($AC$1006:AP1006),$AC$1006:$AS$1006,0))&gt;=100000), " ",IF(INDEX($AC$2:$AS$1001,MATCH(ROWS($V$2:V561),$V$2:$V$1001,0),MATCH(COLUMNS($AC$1006:AP1006),$AC$1006:$AS$1006,0)), HYPERLINK("#",""), HYPERLINK(CONCATENATE("#metadata!", ADDRESS(INDEX($X$2:$X$1001,MATCH(ROWS($V$2:V561),$V$2:$V$1001,0),0), INDEX($AC$1004:$AS$1004,1,MATCH(COLUMNS($AC$1006:AP1006),$AC$1006:$AS$1006,0)))),"Fix")))</f>
        <v xml:space="preserve"> </v>
      </c>
      <c r="P561" s="4" t="str">
        <f ca="1">IF(OR(INDEX($W$2:$W$1001,MATCH(ROWS($V$2:V561),$V$2:$V$1001,0),1)&gt;=100000,INDEX($AC$1005:$AS$1005,1,MATCH(COLUMNS($AC$1006:AQ1006),$AC$1006:$AS$1006,0))&gt;=100000), " ",IF(INDEX($AC$2:$AS$1001,MATCH(ROWS($V$2:V561),$V$2:$V$1001,0),MATCH(COLUMNS($AC$1006:AQ1006),$AC$1006:$AS$1006,0)), HYPERLINK("#",""), HYPERLINK(CONCATENATE("#metadata!", ADDRESS(INDEX($X$2:$X$1001,MATCH(ROWS($V$2:V561),$V$2:$V$1001,0),0), INDEX($AC$1004:$AS$1004,1,MATCH(COLUMNS($AC$1006:AQ1006),$AC$1006:$AS$1006,0)))),"Fix")))</f>
        <v xml:space="preserve"> </v>
      </c>
      <c r="Q561" s="4" t="str">
        <f ca="1">IF(OR(INDEX($W$2:$W$1001,MATCH(ROWS($V$2:V561),$V$2:$V$1001,0),1)&gt;=100000,INDEX($AC$1005:$AS$1005,1,MATCH(COLUMNS($AC$1006:AR1006),$AC$1006:$AS$1006,0))&gt;=100000), " ",IF(INDEX($AC$2:$AS$1001,MATCH(ROWS($V$2:V561),$V$2:$V$1001,0),MATCH(COLUMNS($AC$1006:AR1006),$AC$1006:$AS$1006,0)), HYPERLINK("#",""), HYPERLINK(CONCATENATE("#metadata!", ADDRESS(INDEX($X$2:$X$1001,MATCH(ROWS($V$2:V561),$V$2:$V$1001,0),0), INDEX($AC$1004:$AS$1004,1,MATCH(COLUMNS($AC$1006:AR1006),$AC$1006:$AS$1006,0)))),"Fix")))</f>
        <v xml:space="preserve"> </v>
      </c>
      <c r="R561" s="4" t="str">
        <f ca="1">IF(OR(INDEX($W$2:$W$1001,MATCH(ROWS($V$2:V561),$V$2:$V$1001,0),1)&gt;=100000,INDEX($AC$1005:$AS$1005,1,MATCH(COLUMNS($AC$1006:AS1006),$AC$1006:$AS$1006,0))&gt;=100000), " ",IF(INDEX($AC$2:$AS$1001,MATCH(ROWS($V$2:V561),$V$2:$V$1001,0),MATCH(COLUMNS($AC$1006:AS1006),$AC$1006:$AS$1006,0)), HYPERLINK("#",""), HYPERLINK(CONCATENATE("#metadata!", ADDRESS(INDEX($X$2:$X$1001,MATCH(ROWS($V$2:V561),$V$2:$V$1001,0),0), INDEX($AC$1004:$AS$1004,1,MATCH(COLUMNS($AC$1006:AS1006),$AC$1006:$AS$1006,0)))),"Fix")))</f>
        <v xml:space="preserve"> </v>
      </c>
      <c r="V561">
        <v>560</v>
      </c>
      <c r="W561">
        <v>100561</v>
      </c>
      <c r="X561">
        <v>561</v>
      </c>
      <c r="Y561" t="b">
        <f t="shared" si="8"/>
        <v>1</v>
      </c>
      <c r="Z561" t="b">
        <f>COUNTBLANK(metadata!B561:R561)=COLUMNS(metadata!B561:R561)</f>
        <v>1</v>
      </c>
      <c r="AA561" t="str">
        <v/>
      </c>
      <c r="AC561" t="b">
        <f ca="1"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AD561" t="b">
        <f>IF(metadata!C561="",FALSE,ISNUMBER(VALUE(metadata!C561)))</f>
        <v>0</v>
      </c>
      <c r="AE561" t="b">
        <f>AND(IF(metadata!D561="",FALSE,TRUE),EXACT(metadata!D561,"years"))</f>
        <v>0</v>
      </c>
      <c r="AF561" t="b">
        <f>OR(AND(IF(metadata!E561="",FALSE,TRUE),OR(EXACT(metadata!E561,"not applicable"),EXACT(metadata!E561,"missing: not collected"),EXACT(metadata!E561,"missing: not provided"),EXACT(metadata!E561,"missing: restricted access"))),AND(IF(metadata!E561="",FALSE,ISNUMBER(VALUE(metadata!E561))),metadata!E561&gt;0))</f>
        <v>0</v>
      </c>
      <c r="AG561" t="b">
        <f>AND(IF(metadata!F561="",FALSE,TRUE),EXACT(metadata!F561,"Not applicable"))</f>
        <v>0</v>
      </c>
      <c r="AH561" t="b">
        <f>AND(IF(metadata!G561="",FALSE,TRUE),EXACT(metadata!G561,"urban biome"))</f>
        <v>0</v>
      </c>
      <c r="AI561" t="b">
        <f>AND(IF(metadata!H561="",FALSE,TRUE),EXACT(metadata!H561,"human-associated habitat"))</f>
        <v>0</v>
      </c>
      <c r="AJ561" t="b">
        <f>AND(IF(metadata!I561="",FALSE,TRUE),OR(EXACT(metadata!I561,"human-associated"),EXACT(metadata!I561,"human-skin"),EXACT(metadata!I561,"human-oral"),EXACT(metadata!I561,"human-gut"),EXACT(metadata!I561,"human-vaginal")))</f>
        <v>0</v>
      </c>
      <c r="AK561" t="b">
        <f>IF(metadata!J561="",FALSE,ISNUMBER(VALUE(metadata!J561)))</f>
        <v>0</v>
      </c>
      <c r="AL561" t="b">
        <f>AND(IF(metadata!K561="",FALSE,TRUE),EXACT(metadata!K561,"cm"))</f>
        <v>0</v>
      </c>
      <c r="AM561" t="b">
        <f>AND(IF(metadata!L561="",FALSE,TRUE),EXACT(metadata!L561,"human"))</f>
        <v>0</v>
      </c>
      <c r="AN561" t="b">
        <f>AND(IF(metadata!M561="",FALSE,TRUE),EXACT(metadata!M561,"Homo sapiens"))</f>
        <v>0</v>
      </c>
      <c r="AO561" t="b">
        <f>AND(IF(metadata!N561="",FALSE,TRUE),EXACT(metadata!N561,"9606"))</f>
        <v>0</v>
      </c>
      <c r="AP561" t="b">
        <f>IF(metadata!O561="",FALSE,TRUE)</f>
        <v>0</v>
      </c>
      <c r="AQ561" t="b">
        <f>IF(metadata!P561="",FALSE,TRUE)</f>
        <v>0</v>
      </c>
      <c r="AR561" t="b">
        <f>IF(metadata!Q561="",FALSE,ISNUMBER(VALUE(metadata!Q561)))</f>
        <v>0</v>
      </c>
      <c r="AS561" t="b">
        <f>AND(IF(metadata!R561="",FALSE,TRUE),EXACT(metadata!R561,"kg"))</f>
        <v>0</v>
      </c>
    </row>
    <row r="562" spans="1:45" x14ac:dyDescent="0.2">
      <c r="A562" s="5" t="str">
        <f ca="1">IF(B562=" "," ",HYPERLINK(CONCATENATE("#metadata!",ADDRESS(INDEX($X$2:$X$1001,MATCH(ROWS($V$2:V562),$V$2:$V$1001,0),0),1)),INDEX($AA$2:$AA$1001,MATCH(ROWS($V$2:V562),$V$2:$V$1001,0),0)))</f>
        <v xml:space="preserve"> </v>
      </c>
      <c r="B562" s="4" t="str">
        <f ca="1">IF(OR(INDEX($W$2:$W$1001,MATCH(ROWS($V$2:V562),$V$2:$V$1001,0),1)&gt;=100000,INDEX($AC$1005:$AS$1005,1,MATCH(COLUMNS($AC$1006:AC1006),$AC$1006:$AS$1006,0))&gt;=100000), " ",IF(INDEX($AC$2:$AS$1001,MATCH(ROWS($V$2:V562),$V$2:$V$1001,0),MATCH(COLUMNS($AC$1006:AC1006),$AC$1006:$AS$1006,0)), HYPERLINK("#",""), HYPERLINK(CONCATENATE("#metadata!", ADDRESS(INDEX($X$2:$X$1001,MATCH(ROWS($V$2:V562),$V$2:$V$1001,0),0), INDEX($AC$1004:$AS$1004,1,MATCH(COLUMNS($AC$1006:AC1006),$AC$1006:$AS$1006,0)))),"Fix")))</f>
        <v xml:space="preserve"> </v>
      </c>
      <c r="C562" s="4" t="str">
        <f ca="1">IF(OR(INDEX($W$2:$W$1001,MATCH(ROWS($V$2:V562),$V$2:$V$1001,0),1)&gt;=100000,INDEX($AC$1005:$AS$1005,1,MATCH(COLUMNS($AC$1006:AD1006),$AC$1006:$AS$1006,0))&gt;=100000), " ",IF(INDEX($AC$2:$AS$1001,MATCH(ROWS($V$2:V562),$V$2:$V$1001,0),MATCH(COLUMNS($AC$1006:AD1006),$AC$1006:$AS$1006,0)), HYPERLINK("#",""), HYPERLINK(CONCATENATE("#metadata!", ADDRESS(INDEX($X$2:$X$1001,MATCH(ROWS($V$2:V562),$V$2:$V$1001,0),0), INDEX($AC$1004:$AS$1004,1,MATCH(COLUMNS($AC$1006:AD1006),$AC$1006:$AS$1006,0)))),"Fix")))</f>
        <v xml:space="preserve"> </v>
      </c>
      <c r="D562" s="4" t="str">
        <f ca="1">IF(OR(INDEX($W$2:$W$1001,MATCH(ROWS($V$2:V562),$V$2:$V$1001,0),1)&gt;=100000,INDEX($AC$1005:$AS$1005,1,MATCH(COLUMNS($AC$1006:AE1006),$AC$1006:$AS$1006,0))&gt;=100000), " ",IF(INDEX($AC$2:$AS$1001,MATCH(ROWS($V$2:V562),$V$2:$V$1001,0),MATCH(COLUMNS($AC$1006:AE1006),$AC$1006:$AS$1006,0)), HYPERLINK("#",""), HYPERLINK(CONCATENATE("#metadata!", ADDRESS(INDEX($X$2:$X$1001,MATCH(ROWS($V$2:V562),$V$2:$V$1001,0),0), INDEX($AC$1004:$AS$1004,1,MATCH(COLUMNS($AC$1006:AE1006),$AC$1006:$AS$1006,0)))),"Fix")))</f>
        <v xml:space="preserve"> </v>
      </c>
      <c r="E562" s="4" t="str">
        <f ca="1">IF(OR(INDEX($W$2:$W$1001,MATCH(ROWS($V$2:V562),$V$2:$V$1001,0),1)&gt;=100000,INDEX($AC$1005:$AS$1005,1,MATCH(COLUMNS($AC$1006:AF1006),$AC$1006:$AS$1006,0))&gt;=100000), " ",IF(INDEX($AC$2:$AS$1001,MATCH(ROWS($V$2:V562),$V$2:$V$1001,0),MATCH(COLUMNS($AC$1006:AF1006),$AC$1006:$AS$1006,0)), HYPERLINK("#",""), HYPERLINK(CONCATENATE("#metadata!", ADDRESS(INDEX($X$2:$X$1001,MATCH(ROWS($V$2:V562),$V$2:$V$1001,0),0), INDEX($AC$1004:$AS$1004,1,MATCH(COLUMNS($AC$1006:AF1006),$AC$1006:$AS$1006,0)))),"Fix")))</f>
        <v xml:space="preserve"> </v>
      </c>
      <c r="F562" s="4" t="str">
        <f ca="1">IF(OR(INDEX($W$2:$W$1001,MATCH(ROWS($V$2:V562),$V$2:$V$1001,0),1)&gt;=100000,INDEX($AC$1005:$AS$1005,1,MATCH(COLUMNS($AC$1006:AG1006),$AC$1006:$AS$1006,0))&gt;=100000), " ",IF(INDEX($AC$2:$AS$1001,MATCH(ROWS($V$2:V562),$V$2:$V$1001,0),MATCH(COLUMNS($AC$1006:AG1006),$AC$1006:$AS$1006,0)), HYPERLINK("#",""), HYPERLINK(CONCATENATE("#metadata!", ADDRESS(INDEX($X$2:$X$1001,MATCH(ROWS($V$2:V562),$V$2:$V$1001,0),0), INDEX($AC$1004:$AS$1004,1,MATCH(COLUMNS($AC$1006:AG1006),$AC$1006:$AS$1006,0)))),"Fix")))</f>
        <v xml:space="preserve"> </v>
      </c>
      <c r="G562" s="4" t="str">
        <f ca="1">IF(OR(INDEX($W$2:$W$1001,MATCH(ROWS($V$2:V562),$V$2:$V$1001,0),1)&gt;=100000,INDEX($AC$1005:$AS$1005,1,MATCH(COLUMNS($AC$1006:AH1006),$AC$1006:$AS$1006,0))&gt;=100000), " ",IF(INDEX($AC$2:$AS$1001,MATCH(ROWS($V$2:V562),$V$2:$V$1001,0),MATCH(COLUMNS($AC$1006:AH1006),$AC$1006:$AS$1006,0)), HYPERLINK("#",""), HYPERLINK(CONCATENATE("#metadata!", ADDRESS(INDEX($X$2:$X$1001,MATCH(ROWS($V$2:V562),$V$2:$V$1001,0),0), INDEX($AC$1004:$AS$1004,1,MATCH(COLUMNS($AC$1006:AH1006),$AC$1006:$AS$1006,0)))),"Fix")))</f>
        <v xml:space="preserve"> </v>
      </c>
      <c r="H562" s="4" t="str">
        <f ca="1">IF(OR(INDEX($W$2:$W$1001,MATCH(ROWS($V$2:V562),$V$2:$V$1001,0),1)&gt;=100000,INDEX($AC$1005:$AS$1005,1,MATCH(COLUMNS($AC$1006:AI1006),$AC$1006:$AS$1006,0))&gt;=100000), " ",IF(INDEX($AC$2:$AS$1001,MATCH(ROWS($V$2:V562),$V$2:$V$1001,0),MATCH(COLUMNS($AC$1006:AI1006),$AC$1006:$AS$1006,0)), HYPERLINK("#",""), HYPERLINK(CONCATENATE("#metadata!", ADDRESS(INDEX($X$2:$X$1001,MATCH(ROWS($V$2:V562),$V$2:$V$1001,0),0), INDEX($AC$1004:$AS$1004,1,MATCH(COLUMNS($AC$1006:AI1006),$AC$1006:$AS$1006,0)))),"Fix")))</f>
        <v xml:space="preserve"> </v>
      </c>
      <c r="I562" s="4" t="str">
        <f ca="1">IF(OR(INDEX($W$2:$W$1001,MATCH(ROWS($V$2:V562),$V$2:$V$1001,0),1)&gt;=100000,INDEX($AC$1005:$AS$1005,1,MATCH(COLUMNS($AC$1006:AJ1006),$AC$1006:$AS$1006,0))&gt;=100000), " ",IF(INDEX($AC$2:$AS$1001,MATCH(ROWS($V$2:V562),$V$2:$V$1001,0),MATCH(COLUMNS($AC$1006:AJ1006),$AC$1006:$AS$1006,0)), HYPERLINK("#",""), HYPERLINK(CONCATENATE("#metadata!", ADDRESS(INDEX($X$2:$X$1001,MATCH(ROWS($V$2:V562),$V$2:$V$1001,0),0), INDEX($AC$1004:$AS$1004,1,MATCH(COLUMNS($AC$1006:AJ1006),$AC$1006:$AS$1006,0)))),"Fix")))</f>
        <v xml:space="preserve"> </v>
      </c>
      <c r="J562" s="4" t="str">
        <f ca="1">IF(OR(INDEX($W$2:$W$1001,MATCH(ROWS($V$2:V562),$V$2:$V$1001,0),1)&gt;=100000,INDEX($AC$1005:$AS$1005,1,MATCH(COLUMNS($AC$1006:AK1006),$AC$1006:$AS$1006,0))&gt;=100000), " ",IF(INDEX($AC$2:$AS$1001,MATCH(ROWS($V$2:V562),$V$2:$V$1001,0),MATCH(COLUMNS($AC$1006:AK1006),$AC$1006:$AS$1006,0)), HYPERLINK("#",""), HYPERLINK(CONCATENATE("#metadata!", ADDRESS(INDEX($X$2:$X$1001,MATCH(ROWS($V$2:V562),$V$2:$V$1001,0),0), INDEX($AC$1004:$AS$1004,1,MATCH(COLUMNS($AC$1006:AK1006),$AC$1006:$AS$1006,0)))),"Fix")))</f>
        <v xml:space="preserve"> </v>
      </c>
      <c r="K562" s="4" t="str">
        <f ca="1">IF(OR(INDEX($W$2:$W$1001,MATCH(ROWS($V$2:V562),$V$2:$V$1001,0),1)&gt;=100000,INDEX($AC$1005:$AS$1005,1,MATCH(COLUMNS($AC$1006:AL1006),$AC$1006:$AS$1006,0))&gt;=100000), " ",IF(INDEX($AC$2:$AS$1001,MATCH(ROWS($V$2:V562),$V$2:$V$1001,0),MATCH(COLUMNS($AC$1006:AL1006),$AC$1006:$AS$1006,0)), HYPERLINK("#",""), HYPERLINK(CONCATENATE("#metadata!", ADDRESS(INDEX($X$2:$X$1001,MATCH(ROWS($V$2:V562),$V$2:$V$1001,0),0), INDEX($AC$1004:$AS$1004,1,MATCH(COLUMNS($AC$1006:AL1006),$AC$1006:$AS$1006,0)))),"Fix")))</f>
        <v xml:space="preserve"> </v>
      </c>
      <c r="L562" s="4" t="str">
        <f ca="1">IF(OR(INDEX($W$2:$W$1001,MATCH(ROWS($V$2:V562),$V$2:$V$1001,0),1)&gt;=100000,INDEX($AC$1005:$AS$1005,1,MATCH(COLUMNS($AC$1006:AM1006),$AC$1006:$AS$1006,0))&gt;=100000), " ",IF(INDEX($AC$2:$AS$1001,MATCH(ROWS($V$2:V562),$V$2:$V$1001,0),MATCH(COLUMNS($AC$1006:AM1006),$AC$1006:$AS$1006,0)), HYPERLINK("#",""), HYPERLINK(CONCATENATE("#metadata!", ADDRESS(INDEX($X$2:$X$1001,MATCH(ROWS($V$2:V562),$V$2:$V$1001,0),0), INDEX($AC$1004:$AS$1004,1,MATCH(COLUMNS($AC$1006:AM1006),$AC$1006:$AS$1006,0)))),"Fix")))</f>
        <v xml:space="preserve"> </v>
      </c>
      <c r="M562" s="4" t="str">
        <f ca="1">IF(OR(INDEX($W$2:$W$1001,MATCH(ROWS($V$2:V562),$V$2:$V$1001,0),1)&gt;=100000,INDEX($AC$1005:$AS$1005,1,MATCH(COLUMNS($AC$1006:AN1006),$AC$1006:$AS$1006,0))&gt;=100000), " ",IF(INDEX($AC$2:$AS$1001,MATCH(ROWS($V$2:V562),$V$2:$V$1001,0),MATCH(COLUMNS($AC$1006:AN1006),$AC$1006:$AS$1006,0)), HYPERLINK("#",""), HYPERLINK(CONCATENATE("#metadata!", ADDRESS(INDEX($X$2:$X$1001,MATCH(ROWS($V$2:V562),$V$2:$V$1001,0),0), INDEX($AC$1004:$AS$1004,1,MATCH(COLUMNS($AC$1006:AN1006),$AC$1006:$AS$1006,0)))),"Fix")))</f>
        <v xml:space="preserve"> </v>
      </c>
      <c r="N562" s="4" t="str">
        <f ca="1">IF(OR(INDEX($W$2:$W$1001,MATCH(ROWS($V$2:V562),$V$2:$V$1001,0),1)&gt;=100000,INDEX($AC$1005:$AS$1005,1,MATCH(COLUMNS($AC$1006:AO1006),$AC$1006:$AS$1006,0))&gt;=100000), " ",IF(INDEX($AC$2:$AS$1001,MATCH(ROWS($V$2:V562),$V$2:$V$1001,0),MATCH(COLUMNS($AC$1006:AO1006),$AC$1006:$AS$1006,0)), HYPERLINK("#",""), HYPERLINK(CONCATENATE("#metadata!", ADDRESS(INDEX($X$2:$X$1001,MATCH(ROWS($V$2:V562),$V$2:$V$1001,0),0), INDEX($AC$1004:$AS$1004,1,MATCH(COLUMNS($AC$1006:AO1006),$AC$1006:$AS$1006,0)))),"Fix")))</f>
        <v xml:space="preserve"> </v>
      </c>
      <c r="O562" s="4" t="str">
        <f ca="1">IF(OR(INDEX($W$2:$W$1001,MATCH(ROWS($V$2:V562),$V$2:$V$1001,0),1)&gt;=100000,INDEX($AC$1005:$AS$1005,1,MATCH(COLUMNS($AC$1006:AP1006),$AC$1006:$AS$1006,0))&gt;=100000), " ",IF(INDEX($AC$2:$AS$1001,MATCH(ROWS($V$2:V562),$V$2:$V$1001,0),MATCH(COLUMNS($AC$1006:AP1006),$AC$1006:$AS$1006,0)), HYPERLINK("#",""), HYPERLINK(CONCATENATE("#metadata!", ADDRESS(INDEX($X$2:$X$1001,MATCH(ROWS($V$2:V562),$V$2:$V$1001,0),0), INDEX($AC$1004:$AS$1004,1,MATCH(COLUMNS($AC$1006:AP1006),$AC$1006:$AS$1006,0)))),"Fix")))</f>
        <v xml:space="preserve"> </v>
      </c>
      <c r="P562" s="4" t="str">
        <f ca="1">IF(OR(INDEX($W$2:$W$1001,MATCH(ROWS($V$2:V562),$V$2:$V$1001,0),1)&gt;=100000,INDEX($AC$1005:$AS$1005,1,MATCH(COLUMNS($AC$1006:AQ1006),$AC$1006:$AS$1006,0))&gt;=100000), " ",IF(INDEX($AC$2:$AS$1001,MATCH(ROWS($V$2:V562),$V$2:$V$1001,0),MATCH(COLUMNS($AC$1006:AQ1006),$AC$1006:$AS$1006,0)), HYPERLINK("#",""), HYPERLINK(CONCATENATE("#metadata!", ADDRESS(INDEX($X$2:$X$1001,MATCH(ROWS($V$2:V562),$V$2:$V$1001,0),0), INDEX($AC$1004:$AS$1004,1,MATCH(COLUMNS($AC$1006:AQ1006),$AC$1006:$AS$1006,0)))),"Fix")))</f>
        <v xml:space="preserve"> </v>
      </c>
      <c r="Q562" s="4" t="str">
        <f ca="1">IF(OR(INDEX($W$2:$W$1001,MATCH(ROWS($V$2:V562),$V$2:$V$1001,0),1)&gt;=100000,INDEX($AC$1005:$AS$1005,1,MATCH(COLUMNS($AC$1006:AR1006),$AC$1006:$AS$1006,0))&gt;=100000), " ",IF(INDEX($AC$2:$AS$1001,MATCH(ROWS($V$2:V562),$V$2:$V$1001,0),MATCH(COLUMNS($AC$1006:AR1006),$AC$1006:$AS$1006,0)), HYPERLINK("#",""), HYPERLINK(CONCATENATE("#metadata!", ADDRESS(INDEX($X$2:$X$1001,MATCH(ROWS($V$2:V562),$V$2:$V$1001,0),0), INDEX($AC$1004:$AS$1004,1,MATCH(COLUMNS($AC$1006:AR1006),$AC$1006:$AS$1006,0)))),"Fix")))</f>
        <v xml:space="preserve"> </v>
      </c>
      <c r="R562" s="4" t="str">
        <f ca="1">IF(OR(INDEX($W$2:$W$1001,MATCH(ROWS($V$2:V562),$V$2:$V$1001,0),1)&gt;=100000,INDEX($AC$1005:$AS$1005,1,MATCH(COLUMNS($AC$1006:AS1006),$AC$1006:$AS$1006,0))&gt;=100000), " ",IF(INDEX($AC$2:$AS$1001,MATCH(ROWS($V$2:V562),$V$2:$V$1001,0),MATCH(COLUMNS($AC$1006:AS1006),$AC$1006:$AS$1006,0)), HYPERLINK("#",""), HYPERLINK(CONCATENATE("#metadata!", ADDRESS(INDEX($X$2:$X$1001,MATCH(ROWS($V$2:V562),$V$2:$V$1001,0),0), INDEX($AC$1004:$AS$1004,1,MATCH(COLUMNS($AC$1006:AS1006),$AC$1006:$AS$1006,0)))),"Fix")))</f>
        <v xml:space="preserve"> </v>
      </c>
      <c r="V562">
        <v>561</v>
      </c>
      <c r="W562">
        <v>100562</v>
      </c>
      <c r="X562">
        <v>562</v>
      </c>
      <c r="Y562" t="b">
        <f t="shared" si="8"/>
        <v>1</v>
      </c>
      <c r="Z562" t="b">
        <f>COUNTBLANK(metadata!B562:R562)=COLUMNS(metadata!B562:R562)</f>
        <v>1</v>
      </c>
      <c r="AA562" t="str">
        <v/>
      </c>
      <c r="AC562" t="b">
        <f ca="1"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AD562" t="b">
        <f>IF(metadata!C562="",FALSE,ISNUMBER(VALUE(metadata!C562)))</f>
        <v>0</v>
      </c>
      <c r="AE562" t="b">
        <f>AND(IF(metadata!D562="",FALSE,TRUE),EXACT(metadata!D562,"years"))</f>
        <v>0</v>
      </c>
      <c r="AF562" t="b">
        <f>OR(AND(IF(metadata!E562="",FALSE,TRUE),OR(EXACT(metadata!E562,"not applicable"),EXACT(metadata!E562,"missing: not collected"),EXACT(metadata!E562,"missing: not provided"),EXACT(metadata!E562,"missing: restricted access"))),AND(IF(metadata!E562="",FALSE,ISNUMBER(VALUE(metadata!E562))),metadata!E562&gt;0))</f>
        <v>0</v>
      </c>
      <c r="AG562" t="b">
        <f>AND(IF(metadata!F562="",FALSE,TRUE),EXACT(metadata!F562,"Not applicable"))</f>
        <v>0</v>
      </c>
      <c r="AH562" t="b">
        <f>AND(IF(metadata!G562="",FALSE,TRUE),EXACT(metadata!G562,"urban biome"))</f>
        <v>0</v>
      </c>
      <c r="AI562" t="b">
        <f>AND(IF(metadata!H562="",FALSE,TRUE),EXACT(metadata!H562,"human-associated habitat"))</f>
        <v>0</v>
      </c>
      <c r="AJ562" t="b">
        <f>AND(IF(metadata!I562="",FALSE,TRUE),OR(EXACT(metadata!I562,"human-associated"),EXACT(metadata!I562,"human-skin"),EXACT(metadata!I562,"human-oral"),EXACT(metadata!I562,"human-gut"),EXACT(metadata!I562,"human-vaginal")))</f>
        <v>0</v>
      </c>
      <c r="AK562" t="b">
        <f>IF(metadata!J562="",FALSE,ISNUMBER(VALUE(metadata!J562)))</f>
        <v>0</v>
      </c>
      <c r="AL562" t="b">
        <f>AND(IF(metadata!K562="",FALSE,TRUE),EXACT(metadata!K562,"cm"))</f>
        <v>0</v>
      </c>
      <c r="AM562" t="b">
        <f>AND(IF(metadata!L562="",FALSE,TRUE),EXACT(metadata!L562,"human"))</f>
        <v>0</v>
      </c>
      <c r="AN562" t="b">
        <f>AND(IF(metadata!M562="",FALSE,TRUE),EXACT(metadata!M562,"Homo sapiens"))</f>
        <v>0</v>
      </c>
      <c r="AO562" t="b">
        <f>AND(IF(metadata!N562="",FALSE,TRUE),EXACT(metadata!N562,"9606"))</f>
        <v>0</v>
      </c>
      <c r="AP562" t="b">
        <f>IF(metadata!O562="",FALSE,TRUE)</f>
        <v>0</v>
      </c>
      <c r="AQ562" t="b">
        <f>IF(metadata!P562="",FALSE,TRUE)</f>
        <v>0</v>
      </c>
      <c r="AR562" t="b">
        <f>IF(metadata!Q562="",FALSE,ISNUMBER(VALUE(metadata!Q562)))</f>
        <v>0</v>
      </c>
      <c r="AS562" t="b">
        <f>AND(IF(metadata!R562="",FALSE,TRUE),EXACT(metadata!R562,"kg"))</f>
        <v>0</v>
      </c>
    </row>
    <row r="563" spans="1:45" x14ac:dyDescent="0.2">
      <c r="A563" s="5" t="str">
        <f ca="1">IF(B563=" "," ",HYPERLINK(CONCATENATE("#metadata!",ADDRESS(INDEX($X$2:$X$1001,MATCH(ROWS($V$2:V563),$V$2:$V$1001,0),0),1)),INDEX($AA$2:$AA$1001,MATCH(ROWS($V$2:V563),$V$2:$V$1001,0),0)))</f>
        <v xml:space="preserve"> </v>
      </c>
      <c r="B563" s="4" t="str">
        <f ca="1">IF(OR(INDEX($W$2:$W$1001,MATCH(ROWS($V$2:V563),$V$2:$V$1001,0),1)&gt;=100000,INDEX($AC$1005:$AS$1005,1,MATCH(COLUMNS($AC$1006:AC1006),$AC$1006:$AS$1006,0))&gt;=100000), " ",IF(INDEX($AC$2:$AS$1001,MATCH(ROWS($V$2:V563),$V$2:$V$1001,0),MATCH(COLUMNS($AC$1006:AC1006),$AC$1006:$AS$1006,0)), HYPERLINK("#",""), HYPERLINK(CONCATENATE("#metadata!", ADDRESS(INDEX($X$2:$X$1001,MATCH(ROWS($V$2:V563),$V$2:$V$1001,0),0), INDEX($AC$1004:$AS$1004,1,MATCH(COLUMNS($AC$1006:AC1006),$AC$1006:$AS$1006,0)))),"Fix")))</f>
        <v xml:space="preserve"> </v>
      </c>
      <c r="C563" s="4" t="str">
        <f ca="1">IF(OR(INDEX($W$2:$W$1001,MATCH(ROWS($V$2:V563),$V$2:$V$1001,0),1)&gt;=100000,INDEX($AC$1005:$AS$1005,1,MATCH(COLUMNS($AC$1006:AD1006),$AC$1006:$AS$1006,0))&gt;=100000), " ",IF(INDEX($AC$2:$AS$1001,MATCH(ROWS($V$2:V563),$V$2:$V$1001,0),MATCH(COLUMNS($AC$1006:AD1006),$AC$1006:$AS$1006,0)), HYPERLINK("#",""), HYPERLINK(CONCATENATE("#metadata!", ADDRESS(INDEX($X$2:$X$1001,MATCH(ROWS($V$2:V563),$V$2:$V$1001,0),0), INDEX($AC$1004:$AS$1004,1,MATCH(COLUMNS($AC$1006:AD1006),$AC$1006:$AS$1006,0)))),"Fix")))</f>
        <v xml:space="preserve"> </v>
      </c>
      <c r="D563" s="4" t="str">
        <f ca="1">IF(OR(INDEX($W$2:$W$1001,MATCH(ROWS($V$2:V563),$V$2:$V$1001,0),1)&gt;=100000,INDEX($AC$1005:$AS$1005,1,MATCH(COLUMNS($AC$1006:AE1006),$AC$1006:$AS$1006,0))&gt;=100000), " ",IF(INDEX($AC$2:$AS$1001,MATCH(ROWS($V$2:V563),$V$2:$V$1001,0),MATCH(COLUMNS($AC$1006:AE1006),$AC$1006:$AS$1006,0)), HYPERLINK("#",""), HYPERLINK(CONCATENATE("#metadata!", ADDRESS(INDEX($X$2:$X$1001,MATCH(ROWS($V$2:V563),$V$2:$V$1001,0),0), INDEX($AC$1004:$AS$1004,1,MATCH(COLUMNS($AC$1006:AE1006),$AC$1006:$AS$1006,0)))),"Fix")))</f>
        <v xml:space="preserve"> </v>
      </c>
      <c r="E563" s="4" t="str">
        <f ca="1">IF(OR(INDEX($W$2:$W$1001,MATCH(ROWS($V$2:V563),$V$2:$V$1001,0),1)&gt;=100000,INDEX($AC$1005:$AS$1005,1,MATCH(COLUMNS($AC$1006:AF1006),$AC$1006:$AS$1006,0))&gt;=100000), " ",IF(INDEX($AC$2:$AS$1001,MATCH(ROWS($V$2:V563),$V$2:$V$1001,0),MATCH(COLUMNS($AC$1006:AF1006),$AC$1006:$AS$1006,0)), HYPERLINK("#",""), HYPERLINK(CONCATENATE("#metadata!", ADDRESS(INDEX($X$2:$X$1001,MATCH(ROWS($V$2:V563),$V$2:$V$1001,0),0), INDEX($AC$1004:$AS$1004,1,MATCH(COLUMNS($AC$1006:AF1006),$AC$1006:$AS$1006,0)))),"Fix")))</f>
        <v xml:space="preserve"> </v>
      </c>
      <c r="F563" s="4" t="str">
        <f ca="1">IF(OR(INDEX($W$2:$W$1001,MATCH(ROWS($V$2:V563),$V$2:$V$1001,0),1)&gt;=100000,INDEX($AC$1005:$AS$1005,1,MATCH(COLUMNS($AC$1006:AG1006),$AC$1006:$AS$1006,0))&gt;=100000), " ",IF(INDEX($AC$2:$AS$1001,MATCH(ROWS($V$2:V563),$V$2:$V$1001,0),MATCH(COLUMNS($AC$1006:AG1006),$AC$1006:$AS$1006,0)), HYPERLINK("#",""), HYPERLINK(CONCATENATE("#metadata!", ADDRESS(INDEX($X$2:$X$1001,MATCH(ROWS($V$2:V563),$V$2:$V$1001,0),0), INDEX($AC$1004:$AS$1004,1,MATCH(COLUMNS($AC$1006:AG1006),$AC$1006:$AS$1006,0)))),"Fix")))</f>
        <v xml:space="preserve"> </v>
      </c>
      <c r="G563" s="4" t="str">
        <f ca="1">IF(OR(INDEX($W$2:$W$1001,MATCH(ROWS($V$2:V563),$V$2:$V$1001,0),1)&gt;=100000,INDEX($AC$1005:$AS$1005,1,MATCH(COLUMNS($AC$1006:AH1006),$AC$1006:$AS$1006,0))&gt;=100000), " ",IF(INDEX($AC$2:$AS$1001,MATCH(ROWS($V$2:V563),$V$2:$V$1001,0),MATCH(COLUMNS($AC$1006:AH1006),$AC$1006:$AS$1006,0)), HYPERLINK("#",""), HYPERLINK(CONCATENATE("#metadata!", ADDRESS(INDEX($X$2:$X$1001,MATCH(ROWS($V$2:V563),$V$2:$V$1001,0),0), INDEX($AC$1004:$AS$1004,1,MATCH(COLUMNS($AC$1006:AH1006),$AC$1006:$AS$1006,0)))),"Fix")))</f>
        <v xml:space="preserve"> </v>
      </c>
      <c r="H563" s="4" t="str">
        <f ca="1">IF(OR(INDEX($W$2:$W$1001,MATCH(ROWS($V$2:V563),$V$2:$V$1001,0),1)&gt;=100000,INDEX($AC$1005:$AS$1005,1,MATCH(COLUMNS($AC$1006:AI1006),$AC$1006:$AS$1006,0))&gt;=100000), " ",IF(INDEX($AC$2:$AS$1001,MATCH(ROWS($V$2:V563),$V$2:$V$1001,0),MATCH(COLUMNS($AC$1006:AI1006),$AC$1006:$AS$1006,0)), HYPERLINK("#",""), HYPERLINK(CONCATENATE("#metadata!", ADDRESS(INDEX($X$2:$X$1001,MATCH(ROWS($V$2:V563),$V$2:$V$1001,0),0), INDEX($AC$1004:$AS$1004,1,MATCH(COLUMNS($AC$1006:AI1006),$AC$1006:$AS$1006,0)))),"Fix")))</f>
        <v xml:space="preserve"> </v>
      </c>
      <c r="I563" s="4" t="str">
        <f ca="1">IF(OR(INDEX($W$2:$W$1001,MATCH(ROWS($V$2:V563),$V$2:$V$1001,0),1)&gt;=100000,INDEX($AC$1005:$AS$1005,1,MATCH(COLUMNS($AC$1006:AJ1006),$AC$1006:$AS$1006,0))&gt;=100000), " ",IF(INDEX($AC$2:$AS$1001,MATCH(ROWS($V$2:V563),$V$2:$V$1001,0),MATCH(COLUMNS($AC$1006:AJ1006),$AC$1006:$AS$1006,0)), HYPERLINK("#",""), HYPERLINK(CONCATENATE("#metadata!", ADDRESS(INDEX($X$2:$X$1001,MATCH(ROWS($V$2:V563),$V$2:$V$1001,0),0), INDEX($AC$1004:$AS$1004,1,MATCH(COLUMNS($AC$1006:AJ1006),$AC$1006:$AS$1006,0)))),"Fix")))</f>
        <v xml:space="preserve"> </v>
      </c>
      <c r="J563" s="4" t="str">
        <f ca="1">IF(OR(INDEX($W$2:$W$1001,MATCH(ROWS($V$2:V563),$V$2:$V$1001,0),1)&gt;=100000,INDEX($AC$1005:$AS$1005,1,MATCH(COLUMNS($AC$1006:AK1006),$AC$1006:$AS$1006,0))&gt;=100000), " ",IF(INDEX($AC$2:$AS$1001,MATCH(ROWS($V$2:V563),$V$2:$V$1001,0),MATCH(COLUMNS($AC$1006:AK1006),$AC$1006:$AS$1006,0)), HYPERLINK("#",""), HYPERLINK(CONCATENATE("#metadata!", ADDRESS(INDEX($X$2:$X$1001,MATCH(ROWS($V$2:V563),$V$2:$V$1001,0),0), INDEX($AC$1004:$AS$1004,1,MATCH(COLUMNS($AC$1006:AK1006),$AC$1006:$AS$1006,0)))),"Fix")))</f>
        <v xml:space="preserve"> </v>
      </c>
      <c r="K563" s="4" t="str">
        <f ca="1">IF(OR(INDEX($W$2:$W$1001,MATCH(ROWS($V$2:V563),$V$2:$V$1001,0),1)&gt;=100000,INDEX($AC$1005:$AS$1005,1,MATCH(COLUMNS($AC$1006:AL1006),$AC$1006:$AS$1006,0))&gt;=100000), " ",IF(INDEX($AC$2:$AS$1001,MATCH(ROWS($V$2:V563),$V$2:$V$1001,0),MATCH(COLUMNS($AC$1006:AL1006),$AC$1006:$AS$1006,0)), HYPERLINK("#",""), HYPERLINK(CONCATENATE("#metadata!", ADDRESS(INDEX($X$2:$X$1001,MATCH(ROWS($V$2:V563),$V$2:$V$1001,0),0), INDEX($AC$1004:$AS$1004,1,MATCH(COLUMNS($AC$1006:AL1006),$AC$1006:$AS$1006,0)))),"Fix")))</f>
        <v xml:space="preserve"> </v>
      </c>
      <c r="L563" s="4" t="str">
        <f ca="1">IF(OR(INDEX($W$2:$W$1001,MATCH(ROWS($V$2:V563),$V$2:$V$1001,0),1)&gt;=100000,INDEX($AC$1005:$AS$1005,1,MATCH(COLUMNS($AC$1006:AM1006),$AC$1006:$AS$1006,0))&gt;=100000), " ",IF(INDEX($AC$2:$AS$1001,MATCH(ROWS($V$2:V563),$V$2:$V$1001,0),MATCH(COLUMNS($AC$1006:AM1006),$AC$1006:$AS$1006,0)), HYPERLINK("#",""), HYPERLINK(CONCATENATE("#metadata!", ADDRESS(INDEX($X$2:$X$1001,MATCH(ROWS($V$2:V563),$V$2:$V$1001,0),0), INDEX($AC$1004:$AS$1004,1,MATCH(COLUMNS($AC$1006:AM1006),$AC$1006:$AS$1006,0)))),"Fix")))</f>
        <v xml:space="preserve"> </v>
      </c>
      <c r="M563" s="4" t="str">
        <f ca="1">IF(OR(INDEX($W$2:$W$1001,MATCH(ROWS($V$2:V563),$V$2:$V$1001,0),1)&gt;=100000,INDEX($AC$1005:$AS$1005,1,MATCH(COLUMNS($AC$1006:AN1006),$AC$1006:$AS$1006,0))&gt;=100000), " ",IF(INDEX($AC$2:$AS$1001,MATCH(ROWS($V$2:V563),$V$2:$V$1001,0),MATCH(COLUMNS($AC$1006:AN1006),$AC$1006:$AS$1006,0)), HYPERLINK("#",""), HYPERLINK(CONCATENATE("#metadata!", ADDRESS(INDEX($X$2:$X$1001,MATCH(ROWS($V$2:V563),$V$2:$V$1001,0),0), INDEX($AC$1004:$AS$1004,1,MATCH(COLUMNS($AC$1006:AN1006),$AC$1006:$AS$1006,0)))),"Fix")))</f>
        <v xml:space="preserve"> </v>
      </c>
      <c r="N563" s="4" t="str">
        <f ca="1">IF(OR(INDEX($W$2:$W$1001,MATCH(ROWS($V$2:V563),$V$2:$V$1001,0),1)&gt;=100000,INDEX($AC$1005:$AS$1005,1,MATCH(COLUMNS($AC$1006:AO1006),$AC$1006:$AS$1006,0))&gt;=100000), " ",IF(INDEX($AC$2:$AS$1001,MATCH(ROWS($V$2:V563),$V$2:$V$1001,0),MATCH(COLUMNS($AC$1006:AO1006),$AC$1006:$AS$1006,0)), HYPERLINK("#",""), HYPERLINK(CONCATENATE("#metadata!", ADDRESS(INDEX($X$2:$X$1001,MATCH(ROWS($V$2:V563),$V$2:$V$1001,0),0), INDEX($AC$1004:$AS$1004,1,MATCH(COLUMNS($AC$1006:AO1006),$AC$1006:$AS$1006,0)))),"Fix")))</f>
        <v xml:space="preserve"> </v>
      </c>
      <c r="O563" s="4" t="str">
        <f ca="1">IF(OR(INDEX($W$2:$W$1001,MATCH(ROWS($V$2:V563),$V$2:$V$1001,0),1)&gt;=100000,INDEX($AC$1005:$AS$1005,1,MATCH(COLUMNS($AC$1006:AP1006),$AC$1006:$AS$1006,0))&gt;=100000), " ",IF(INDEX($AC$2:$AS$1001,MATCH(ROWS($V$2:V563),$V$2:$V$1001,0),MATCH(COLUMNS($AC$1006:AP1006),$AC$1006:$AS$1006,0)), HYPERLINK("#",""), HYPERLINK(CONCATENATE("#metadata!", ADDRESS(INDEX($X$2:$X$1001,MATCH(ROWS($V$2:V563),$V$2:$V$1001,0),0), INDEX($AC$1004:$AS$1004,1,MATCH(COLUMNS($AC$1006:AP1006),$AC$1006:$AS$1006,0)))),"Fix")))</f>
        <v xml:space="preserve"> </v>
      </c>
      <c r="P563" s="4" t="str">
        <f ca="1">IF(OR(INDEX($W$2:$W$1001,MATCH(ROWS($V$2:V563),$V$2:$V$1001,0),1)&gt;=100000,INDEX($AC$1005:$AS$1005,1,MATCH(COLUMNS($AC$1006:AQ1006),$AC$1006:$AS$1006,0))&gt;=100000), " ",IF(INDEX($AC$2:$AS$1001,MATCH(ROWS($V$2:V563),$V$2:$V$1001,0),MATCH(COLUMNS($AC$1006:AQ1006),$AC$1006:$AS$1006,0)), HYPERLINK("#",""), HYPERLINK(CONCATENATE("#metadata!", ADDRESS(INDEX($X$2:$X$1001,MATCH(ROWS($V$2:V563),$V$2:$V$1001,0),0), INDEX($AC$1004:$AS$1004,1,MATCH(COLUMNS($AC$1006:AQ1006),$AC$1006:$AS$1006,0)))),"Fix")))</f>
        <v xml:space="preserve"> </v>
      </c>
      <c r="Q563" s="4" t="str">
        <f ca="1">IF(OR(INDEX($W$2:$W$1001,MATCH(ROWS($V$2:V563),$V$2:$V$1001,0),1)&gt;=100000,INDEX($AC$1005:$AS$1005,1,MATCH(COLUMNS($AC$1006:AR1006),$AC$1006:$AS$1006,0))&gt;=100000), " ",IF(INDEX($AC$2:$AS$1001,MATCH(ROWS($V$2:V563),$V$2:$V$1001,0),MATCH(COLUMNS($AC$1006:AR1006),$AC$1006:$AS$1006,0)), HYPERLINK("#",""), HYPERLINK(CONCATENATE("#metadata!", ADDRESS(INDEX($X$2:$X$1001,MATCH(ROWS($V$2:V563),$V$2:$V$1001,0),0), INDEX($AC$1004:$AS$1004,1,MATCH(COLUMNS($AC$1006:AR1006),$AC$1006:$AS$1006,0)))),"Fix")))</f>
        <v xml:space="preserve"> </v>
      </c>
      <c r="R563" s="4" t="str">
        <f ca="1">IF(OR(INDEX($W$2:$W$1001,MATCH(ROWS($V$2:V563),$V$2:$V$1001,0),1)&gt;=100000,INDEX($AC$1005:$AS$1005,1,MATCH(COLUMNS($AC$1006:AS1006),$AC$1006:$AS$1006,0))&gt;=100000), " ",IF(INDEX($AC$2:$AS$1001,MATCH(ROWS($V$2:V563),$V$2:$V$1001,0),MATCH(COLUMNS($AC$1006:AS1006),$AC$1006:$AS$1006,0)), HYPERLINK("#",""), HYPERLINK(CONCATENATE("#metadata!", ADDRESS(INDEX($X$2:$X$1001,MATCH(ROWS($V$2:V563),$V$2:$V$1001,0),0), INDEX($AC$1004:$AS$1004,1,MATCH(COLUMNS($AC$1006:AS1006),$AC$1006:$AS$1006,0)))),"Fix")))</f>
        <v xml:space="preserve"> </v>
      </c>
      <c r="V563">
        <v>562</v>
      </c>
      <c r="W563">
        <v>100563</v>
      </c>
      <c r="X563">
        <v>563</v>
      </c>
      <c r="Y563" t="b">
        <f t="shared" si="8"/>
        <v>1</v>
      </c>
      <c r="Z563" t="b">
        <f>COUNTBLANK(metadata!B563:R563)=COLUMNS(metadata!B563:R563)</f>
        <v>1</v>
      </c>
      <c r="AA563" t="str">
        <v/>
      </c>
      <c r="AC563" t="b">
        <f ca="1"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AD563" t="b">
        <f>IF(metadata!C563="",FALSE,ISNUMBER(VALUE(metadata!C563)))</f>
        <v>0</v>
      </c>
      <c r="AE563" t="b">
        <f>AND(IF(metadata!D563="",FALSE,TRUE),EXACT(metadata!D563,"years"))</f>
        <v>0</v>
      </c>
      <c r="AF563" t="b">
        <f>OR(AND(IF(metadata!E563="",FALSE,TRUE),OR(EXACT(metadata!E563,"not applicable"),EXACT(metadata!E563,"missing: not collected"),EXACT(metadata!E563,"missing: not provided"),EXACT(metadata!E563,"missing: restricted access"))),AND(IF(metadata!E563="",FALSE,ISNUMBER(VALUE(metadata!E563))),metadata!E563&gt;0))</f>
        <v>0</v>
      </c>
      <c r="AG563" t="b">
        <f>AND(IF(metadata!F563="",FALSE,TRUE),EXACT(metadata!F563,"Not applicable"))</f>
        <v>0</v>
      </c>
      <c r="AH563" t="b">
        <f>AND(IF(metadata!G563="",FALSE,TRUE),EXACT(metadata!G563,"urban biome"))</f>
        <v>0</v>
      </c>
      <c r="AI563" t="b">
        <f>AND(IF(metadata!H563="",FALSE,TRUE),EXACT(metadata!H563,"human-associated habitat"))</f>
        <v>0</v>
      </c>
      <c r="AJ563" t="b">
        <f>AND(IF(metadata!I563="",FALSE,TRUE),OR(EXACT(metadata!I563,"human-associated"),EXACT(metadata!I563,"human-skin"),EXACT(metadata!I563,"human-oral"),EXACT(metadata!I563,"human-gut"),EXACT(metadata!I563,"human-vaginal")))</f>
        <v>0</v>
      </c>
      <c r="AK563" t="b">
        <f>IF(metadata!J563="",FALSE,ISNUMBER(VALUE(metadata!J563)))</f>
        <v>0</v>
      </c>
      <c r="AL563" t="b">
        <f>AND(IF(metadata!K563="",FALSE,TRUE),EXACT(metadata!K563,"cm"))</f>
        <v>0</v>
      </c>
      <c r="AM563" t="b">
        <f>AND(IF(metadata!L563="",FALSE,TRUE),EXACT(metadata!L563,"human"))</f>
        <v>0</v>
      </c>
      <c r="AN563" t="b">
        <f>AND(IF(metadata!M563="",FALSE,TRUE),EXACT(metadata!M563,"Homo sapiens"))</f>
        <v>0</v>
      </c>
      <c r="AO563" t="b">
        <f>AND(IF(metadata!N563="",FALSE,TRUE),EXACT(metadata!N563,"9606"))</f>
        <v>0</v>
      </c>
      <c r="AP563" t="b">
        <f>IF(metadata!O563="",FALSE,TRUE)</f>
        <v>0</v>
      </c>
      <c r="AQ563" t="b">
        <f>IF(metadata!P563="",FALSE,TRUE)</f>
        <v>0</v>
      </c>
      <c r="AR563" t="b">
        <f>IF(metadata!Q563="",FALSE,ISNUMBER(VALUE(metadata!Q563)))</f>
        <v>0</v>
      </c>
      <c r="AS563" t="b">
        <f>AND(IF(metadata!R563="",FALSE,TRUE),EXACT(metadata!R563,"kg"))</f>
        <v>0</v>
      </c>
    </row>
    <row r="564" spans="1:45" x14ac:dyDescent="0.2">
      <c r="A564" s="5" t="str">
        <f ca="1">IF(B564=" "," ",HYPERLINK(CONCATENATE("#metadata!",ADDRESS(INDEX($X$2:$X$1001,MATCH(ROWS($V$2:V564),$V$2:$V$1001,0),0),1)),INDEX($AA$2:$AA$1001,MATCH(ROWS($V$2:V564),$V$2:$V$1001,0),0)))</f>
        <v xml:space="preserve"> </v>
      </c>
      <c r="B564" s="4" t="str">
        <f ca="1">IF(OR(INDEX($W$2:$W$1001,MATCH(ROWS($V$2:V564),$V$2:$V$1001,0),1)&gt;=100000,INDEX($AC$1005:$AS$1005,1,MATCH(COLUMNS($AC$1006:AC1006),$AC$1006:$AS$1006,0))&gt;=100000), " ",IF(INDEX($AC$2:$AS$1001,MATCH(ROWS($V$2:V564),$V$2:$V$1001,0),MATCH(COLUMNS($AC$1006:AC1006),$AC$1006:$AS$1006,0)), HYPERLINK("#",""), HYPERLINK(CONCATENATE("#metadata!", ADDRESS(INDEX($X$2:$X$1001,MATCH(ROWS($V$2:V564),$V$2:$V$1001,0),0), INDEX($AC$1004:$AS$1004,1,MATCH(COLUMNS($AC$1006:AC1006),$AC$1006:$AS$1006,0)))),"Fix")))</f>
        <v xml:space="preserve"> </v>
      </c>
      <c r="C564" s="4" t="str">
        <f ca="1">IF(OR(INDEX($W$2:$W$1001,MATCH(ROWS($V$2:V564),$V$2:$V$1001,0),1)&gt;=100000,INDEX($AC$1005:$AS$1005,1,MATCH(COLUMNS($AC$1006:AD1006),$AC$1006:$AS$1006,0))&gt;=100000), " ",IF(INDEX($AC$2:$AS$1001,MATCH(ROWS($V$2:V564),$V$2:$V$1001,0),MATCH(COLUMNS($AC$1006:AD1006),$AC$1006:$AS$1006,0)), HYPERLINK("#",""), HYPERLINK(CONCATENATE("#metadata!", ADDRESS(INDEX($X$2:$X$1001,MATCH(ROWS($V$2:V564),$V$2:$V$1001,0),0), INDEX($AC$1004:$AS$1004,1,MATCH(COLUMNS($AC$1006:AD1006),$AC$1006:$AS$1006,0)))),"Fix")))</f>
        <v xml:space="preserve"> </v>
      </c>
      <c r="D564" s="4" t="str">
        <f ca="1">IF(OR(INDEX($W$2:$W$1001,MATCH(ROWS($V$2:V564),$V$2:$V$1001,0),1)&gt;=100000,INDEX($AC$1005:$AS$1005,1,MATCH(COLUMNS($AC$1006:AE1006),$AC$1006:$AS$1006,0))&gt;=100000), " ",IF(INDEX($AC$2:$AS$1001,MATCH(ROWS($V$2:V564),$V$2:$V$1001,0),MATCH(COLUMNS($AC$1006:AE1006),$AC$1006:$AS$1006,0)), HYPERLINK("#",""), HYPERLINK(CONCATENATE("#metadata!", ADDRESS(INDEX($X$2:$X$1001,MATCH(ROWS($V$2:V564),$V$2:$V$1001,0),0), INDEX($AC$1004:$AS$1004,1,MATCH(COLUMNS($AC$1006:AE1006),$AC$1006:$AS$1006,0)))),"Fix")))</f>
        <v xml:space="preserve"> </v>
      </c>
      <c r="E564" s="4" t="str">
        <f ca="1">IF(OR(INDEX($W$2:$W$1001,MATCH(ROWS($V$2:V564),$V$2:$V$1001,0),1)&gt;=100000,INDEX($AC$1005:$AS$1005,1,MATCH(COLUMNS($AC$1006:AF1006),$AC$1006:$AS$1006,0))&gt;=100000), " ",IF(INDEX($AC$2:$AS$1001,MATCH(ROWS($V$2:V564),$V$2:$V$1001,0),MATCH(COLUMNS($AC$1006:AF1006),$AC$1006:$AS$1006,0)), HYPERLINK("#",""), HYPERLINK(CONCATENATE("#metadata!", ADDRESS(INDEX($X$2:$X$1001,MATCH(ROWS($V$2:V564),$V$2:$V$1001,0),0), INDEX($AC$1004:$AS$1004,1,MATCH(COLUMNS($AC$1006:AF1006),$AC$1006:$AS$1006,0)))),"Fix")))</f>
        <v xml:space="preserve"> </v>
      </c>
      <c r="F564" s="4" t="str">
        <f ca="1">IF(OR(INDEX($W$2:$W$1001,MATCH(ROWS($V$2:V564),$V$2:$V$1001,0),1)&gt;=100000,INDEX($AC$1005:$AS$1005,1,MATCH(COLUMNS($AC$1006:AG1006),$AC$1006:$AS$1006,0))&gt;=100000), " ",IF(INDEX($AC$2:$AS$1001,MATCH(ROWS($V$2:V564),$V$2:$V$1001,0),MATCH(COLUMNS($AC$1006:AG1006),$AC$1006:$AS$1006,0)), HYPERLINK("#",""), HYPERLINK(CONCATENATE("#metadata!", ADDRESS(INDEX($X$2:$X$1001,MATCH(ROWS($V$2:V564),$V$2:$V$1001,0),0), INDEX($AC$1004:$AS$1004,1,MATCH(COLUMNS($AC$1006:AG1006),$AC$1006:$AS$1006,0)))),"Fix")))</f>
        <v xml:space="preserve"> </v>
      </c>
      <c r="G564" s="4" t="str">
        <f ca="1">IF(OR(INDEX($W$2:$W$1001,MATCH(ROWS($V$2:V564),$V$2:$V$1001,0),1)&gt;=100000,INDEX($AC$1005:$AS$1005,1,MATCH(COLUMNS($AC$1006:AH1006),$AC$1006:$AS$1006,0))&gt;=100000), " ",IF(INDEX($AC$2:$AS$1001,MATCH(ROWS($V$2:V564),$V$2:$V$1001,0),MATCH(COLUMNS($AC$1006:AH1006),$AC$1006:$AS$1006,0)), HYPERLINK("#",""), HYPERLINK(CONCATENATE("#metadata!", ADDRESS(INDEX($X$2:$X$1001,MATCH(ROWS($V$2:V564),$V$2:$V$1001,0),0), INDEX($AC$1004:$AS$1004,1,MATCH(COLUMNS($AC$1006:AH1006),$AC$1006:$AS$1006,0)))),"Fix")))</f>
        <v xml:space="preserve"> </v>
      </c>
      <c r="H564" s="4" t="str">
        <f ca="1">IF(OR(INDEX($W$2:$W$1001,MATCH(ROWS($V$2:V564),$V$2:$V$1001,0),1)&gt;=100000,INDEX($AC$1005:$AS$1005,1,MATCH(COLUMNS($AC$1006:AI1006),$AC$1006:$AS$1006,0))&gt;=100000), " ",IF(INDEX($AC$2:$AS$1001,MATCH(ROWS($V$2:V564),$V$2:$V$1001,0),MATCH(COLUMNS($AC$1006:AI1006),$AC$1006:$AS$1006,0)), HYPERLINK("#",""), HYPERLINK(CONCATENATE("#metadata!", ADDRESS(INDEX($X$2:$X$1001,MATCH(ROWS($V$2:V564),$V$2:$V$1001,0),0), INDEX($AC$1004:$AS$1004,1,MATCH(COLUMNS($AC$1006:AI1006),$AC$1006:$AS$1006,0)))),"Fix")))</f>
        <v xml:space="preserve"> </v>
      </c>
      <c r="I564" s="4" t="str">
        <f ca="1">IF(OR(INDEX($W$2:$W$1001,MATCH(ROWS($V$2:V564),$V$2:$V$1001,0),1)&gt;=100000,INDEX($AC$1005:$AS$1005,1,MATCH(COLUMNS($AC$1006:AJ1006),$AC$1006:$AS$1006,0))&gt;=100000), " ",IF(INDEX($AC$2:$AS$1001,MATCH(ROWS($V$2:V564),$V$2:$V$1001,0),MATCH(COLUMNS($AC$1006:AJ1006),$AC$1006:$AS$1006,0)), HYPERLINK("#",""), HYPERLINK(CONCATENATE("#metadata!", ADDRESS(INDEX($X$2:$X$1001,MATCH(ROWS($V$2:V564),$V$2:$V$1001,0),0), INDEX($AC$1004:$AS$1004,1,MATCH(COLUMNS($AC$1006:AJ1006),$AC$1006:$AS$1006,0)))),"Fix")))</f>
        <v xml:space="preserve"> </v>
      </c>
      <c r="J564" s="4" t="str">
        <f ca="1">IF(OR(INDEX($W$2:$W$1001,MATCH(ROWS($V$2:V564),$V$2:$V$1001,0),1)&gt;=100000,INDEX($AC$1005:$AS$1005,1,MATCH(COLUMNS($AC$1006:AK1006),$AC$1006:$AS$1006,0))&gt;=100000), " ",IF(INDEX($AC$2:$AS$1001,MATCH(ROWS($V$2:V564),$V$2:$V$1001,0),MATCH(COLUMNS($AC$1006:AK1006),$AC$1006:$AS$1006,0)), HYPERLINK("#",""), HYPERLINK(CONCATENATE("#metadata!", ADDRESS(INDEX($X$2:$X$1001,MATCH(ROWS($V$2:V564),$V$2:$V$1001,0),0), INDEX($AC$1004:$AS$1004,1,MATCH(COLUMNS($AC$1006:AK1006),$AC$1006:$AS$1006,0)))),"Fix")))</f>
        <v xml:space="preserve"> </v>
      </c>
      <c r="K564" s="4" t="str">
        <f ca="1">IF(OR(INDEX($W$2:$W$1001,MATCH(ROWS($V$2:V564),$V$2:$V$1001,0),1)&gt;=100000,INDEX($AC$1005:$AS$1005,1,MATCH(COLUMNS($AC$1006:AL1006),$AC$1006:$AS$1006,0))&gt;=100000), " ",IF(INDEX($AC$2:$AS$1001,MATCH(ROWS($V$2:V564),$V$2:$V$1001,0),MATCH(COLUMNS($AC$1006:AL1006),$AC$1006:$AS$1006,0)), HYPERLINK("#",""), HYPERLINK(CONCATENATE("#metadata!", ADDRESS(INDEX($X$2:$X$1001,MATCH(ROWS($V$2:V564),$V$2:$V$1001,0),0), INDEX($AC$1004:$AS$1004,1,MATCH(COLUMNS($AC$1006:AL1006),$AC$1006:$AS$1006,0)))),"Fix")))</f>
        <v xml:space="preserve"> </v>
      </c>
      <c r="L564" s="4" t="str">
        <f ca="1">IF(OR(INDEX($W$2:$W$1001,MATCH(ROWS($V$2:V564),$V$2:$V$1001,0),1)&gt;=100000,INDEX($AC$1005:$AS$1005,1,MATCH(COLUMNS($AC$1006:AM1006),$AC$1006:$AS$1006,0))&gt;=100000), " ",IF(INDEX($AC$2:$AS$1001,MATCH(ROWS($V$2:V564),$V$2:$V$1001,0),MATCH(COLUMNS($AC$1006:AM1006),$AC$1006:$AS$1006,0)), HYPERLINK("#",""), HYPERLINK(CONCATENATE("#metadata!", ADDRESS(INDEX($X$2:$X$1001,MATCH(ROWS($V$2:V564),$V$2:$V$1001,0),0), INDEX($AC$1004:$AS$1004,1,MATCH(COLUMNS($AC$1006:AM1006),$AC$1006:$AS$1006,0)))),"Fix")))</f>
        <v xml:space="preserve"> </v>
      </c>
      <c r="M564" s="4" t="str">
        <f ca="1">IF(OR(INDEX($W$2:$W$1001,MATCH(ROWS($V$2:V564),$V$2:$V$1001,0),1)&gt;=100000,INDEX($AC$1005:$AS$1005,1,MATCH(COLUMNS($AC$1006:AN1006),$AC$1006:$AS$1006,0))&gt;=100000), " ",IF(INDEX($AC$2:$AS$1001,MATCH(ROWS($V$2:V564),$V$2:$V$1001,0),MATCH(COLUMNS($AC$1006:AN1006),$AC$1006:$AS$1006,0)), HYPERLINK("#",""), HYPERLINK(CONCATENATE("#metadata!", ADDRESS(INDEX($X$2:$X$1001,MATCH(ROWS($V$2:V564),$V$2:$V$1001,0),0), INDEX($AC$1004:$AS$1004,1,MATCH(COLUMNS($AC$1006:AN1006),$AC$1006:$AS$1006,0)))),"Fix")))</f>
        <v xml:space="preserve"> </v>
      </c>
      <c r="N564" s="4" t="str">
        <f ca="1">IF(OR(INDEX($W$2:$W$1001,MATCH(ROWS($V$2:V564),$V$2:$V$1001,0),1)&gt;=100000,INDEX($AC$1005:$AS$1005,1,MATCH(COLUMNS($AC$1006:AO1006),$AC$1006:$AS$1006,0))&gt;=100000), " ",IF(INDEX($AC$2:$AS$1001,MATCH(ROWS($V$2:V564),$V$2:$V$1001,0),MATCH(COLUMNS($AC$1006:AO1006),$AC$1006:$AS$1006,0)), HYPERLINK("#",""), HYPERLINK(CONCATENATE("#metadata!", ADDRESS(INDEX($X$2:$X$1001,MATCH(ROWS($V$2:V564),$V$2:$V$1001,0),0), INDEX($AC$1004:$AS$1004,1,MATCH(COLUMNS($AC$1006:AO1006),$AC$1006:$AS$1006,0)))),"Fix")))</f>
        <v xml:space="preserve"> </v>
      </c>
      <c r="O564" s="4" t="str">
        <f ca="1">IF(OR(INDEX($W$2:$W$1001,MATCH(ROWS($V$2:V564),$V$2:$V$1001,0),1)&gt;=100000,INDEX($AC$1005:$AS$1005,1,MATCH(COLUMNS($AC$1006:AP1006),$AC$1006:$AS$1006,0))&gt;=100000), " ",IF(INDEX($AC$2:$AS$1001,MATCH(ROWS($V$2:V564),$V$2:$V$1001,0),MATCH(COLUMNS($AC$1006:AP1006),$AC$1006:$AS$1006,0)), HYPERLINK("#",""), HYPERLINK(CONCATENATE("#metadata!", ADDRESS(INDEX($X$2:$X$1001,MATCH(ROWS($V$2:V564),$V$2:$V$1001,0),0), INDEX($AC$1004:$AS$1004,1,MATCH(COLUMNS($AC$1006:AP1006),$AC$1006:$AS$1006,0)))),"Fix")))</f>
        <v xml:space="preserve"> </v>
      </c>
      <c r="P564" s="4" t="str">
        <f ca="1">IF(OR(INDEX($W$2:$W$1001,MATCH(ROWS($V$2:V564),$V$2:$V$1001,0),1)&gt;=100000,INDEX($AC$1005:$AS$1005,1,MATCH(COLUMNS($AC$1006:AQ1006),$AC$1006:$AS$1006,0))&gt;=100000), " ",IF(INDEX($AC$2:$AS$1001,MATCH(ROWS($V$2:V564),$V$2:$V$1001,0),MATCH(COLUMNS($AC$1006:AQ1006),$AC$1006:$AS$1006,0)), HYPERLINK("#",""), HYPERLINK(CONCATENATE("#metadata!", ADDRESS(INDEX($X$2:$X$1001,MATCH(ROWS($V$2:V564),$V$2:$V$1001,0),0), INDEX($AC$1004:$AS$1004,1,MATCH(COLUMNS($AC$1006:AQ1006),$AC$1006:$AS$1006,0)))),"Fix")))</f>
        <v xml:space="preserve"> </v>
      </c>
      <c r="Q564" s="4" t="str">
        <f ca="1">IF(OR(INDEX($W$2:$W$1001,MATCH(ROWS($V$2:V564),$V$2:$V$1001,0),1)&gt;=100000,INDEX($AC$1005:$AS$1005,1,MATCH(COLUMNS($AC$1006:AR1006),$AC$1006:$AS$1006,0))&gt;=100000), " ",IF(INDEX($AC$2:$AS$1001,MATCH(ROWS($V$2:V564),$V$2:$V$1001,0),MATCH(COLUMNS($AC$1006:AR1006),$AC$1006:$AS$1006,0)), HYPERLINK("#",""), HYPERLINK(CONCATENATE("#metadata!", ADDRESS(INDEX($X$2:$X$1001,MATCH(ROWS($V$2:V564),$V$2:$V$1001,0),0), INDEX($AC$1004:$AS$1004,1,MATCH(COLUMNS($AC$1006:AR1006),$AC$1006:$AS$1006,0)))),"Fix")))</f>
        <v xml:space="preserve"> </v>
      </c>
      <c r="R564" s="4" t="str">
        <f ca="1">IF(OR(INDEX($W$2:$W$1001,MATCH(ROWS($V$2:V564),$V$2:$V$1001,0),1)&gt;=100000,INDEX($AC$1005:$AS$1005,1,MATCH(COLUMNS($AC$1006:AS1006),$AC$1006:$AS$1006,0))&gt;=100000), " ",IF(INDEX($AC$2:$AS$1001,MATCH(ROWS($V$2:V564),$V$2:$V$1001,0),MATCH(COLUMNS($AC$1006:AS1006),$AC$1006:$AS$1006,0)), HYPERLINK("#",""), HYPERLINK(CONCATENATE("#metadata!", ADDRESS(INDEX($X$2:$X$1001,MATCH(ROWS($V$2:V564),$V$2:$V$1001,0),0), INDEX($AC$1004:$AS$1004,1,MATCH(COLUMNS($AC$1006:AS1006),$AC$1006:$AS$1006,0)))),"Fix")))</f>
        <v xml:space="preserve"> </v>
      </c>
      <c r="V564">
        <v>563</v>
      </c>
      <c r="W564">
        <v>100564</v>
      </c>
      <c r="X564">
        <v>564</v>
      </c>
      <c r="Y564" t="b">
        <f t="shared" si="8"/>
        <v>1</v>
      </c>
      <c r="Z564" t="b">
        <f>COUNTBLANK(metadata!B564:R564)=COLUMNS(metadata!B564:R564)</f>
        <v>1</v>
      </c>
      <c r="AA564" t="str">
        <v/>
      </c>
      <c r="AC564" t="b">
        <f ca="1"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AD564" t="b">
        <f>IF(metadata!C564="",FALSE,ISNUMBER(VALUE(metadata!C564)))</f>
        <v>0</v>
      </c>
      <c r="AE564" t="b">
        <f>AND(IF(metadata!D564="",FALSE,TRUE),EXACT(metadata!D564,"years"))</f>
        <v>0</v>
      </c>
      <c r="AF564" t="b">
        <f>OR(AND(IF(metadata!E564="",FALSE,TRUE),OR(EXACT(metadata!E564,"not applicable"),EXACT(metadata!E564,"missing: not collected"),EXACT(metadata!E564,"missing: not provided"),EXACT(metadata!E564,"missing: restricted access"))),AND(IF(metadata!E564="",FALSE,ISNUMBER(VALUE(metadata!E564))),metadata!E564&gt;0))</f>
        <v>0</v>
      </c>
      <c r="AG564" t="b">
        <f>AND(IF(metadata!F564="",FALSE,TRUE),EXACT(metadata!F564,"Not applicable"))</f>
        <v>0</v>
      </c>
      <c r="AH564" t="b">
        <f>AND(IF(metadata!G564="",FALSE,TRUE),EXACT(metadata!G564,"urban biome"))</f>
        <v>0</v>
      </c>
      <c r="AI564" t="b">
        <f>AND(IF(metadata!H564="",FALSE,TRUE),EXACT(metadata!H564,"human-associated habitat"))</f>
        <v>0</v>
      </c>
      <c r="AJ564" t="b">
        <f>AND(IF(metadata!I564="",FALSE,TRUE),OR(EXACT(metadata!I564,"human-associated"),EXACT(metadata!I564,"human-skin"),EXACT(metadata!I564,"human-oral"),EXACT(metadata!I564,"human-gut"),EXACT(metadata!I564,"human-vaginal")))</f>
        <v>0</v>
      </c>
      <c r="AK564" t="b">
        <f>IF(metadata!J564="",FALSE,ISNUMBER(VALUE(metadata!J564)))</f>
        <v>0</v>
      </c>
      <c r="AL564" t="b">
        <f>AND(IF(metadata!K564="",FALSE,TRUE),EXACT(metadata!K564,"cm"))</f>
        <v>0</v>
      </c>
      <c r="AM564" t="b">
        <f>AND(IF(metadata!L564="",FALSE,TRUE),EXACT(metadata!L564,"human"))</f>
        <v>0</v>
      </c>
      <c r="AN564" t="b">
        <f>AND(IF(metadata!M564="",FALSE,TRUE),EXACT(metadata!M564,"Homo sapiens"))</f>
        <v>0</v>
      </c>
      <c r="AO564" t="b">
        <f>AND(IF(metadata!N564="",FALSE,TRUE),EXACT(metadata!N564,"9606"))</f>
        <v>0</v>
      </c>
      <c r="AP564" t="b">
        <f>IF(metadata!O564="",FALSE,TRUE)</f>
        <v>0</v>
      </c>
      <c r="AQ564" t="b">
        <f>IF(metadata!P564="",FALSE,TRUE)</f>
        <v>0</v>
      </c>
      <c r="AR564" t="b">
        <f>IF(metadata!Q564="",FALSE,ISNUMBER(VALUE(metadata!Q564)))</f>
        <v>0</v>
      </c>
      <c r="AS564" t="b">
        <f>AND(IF(metadata!R564="",FALSE,TRUE),EXACT(metadata!R564,"kg"))</f>
        <v>0</v>
      </c>
    </row>
    <row r="565" spans="1:45" x14ac:dyDescent="0.2">
      <c r="A565" s="5" t="str">
        <f ca="1">IF(B565=" "," ",HYPERLINK(CONCATENATE("#metadata!",ADDRESS(INDEX($X$2:$X$1001,MATCH(ROWS($V$2:V565),$V$2:$V$1001,0),0),1)),INDEX($AA$2:$AA$1001,MATCH(ROWS($V$2:V565),$V$2:$V$1001,0),0)))</f>
        <v xml:space="preserve"> </v>
      </c>
      <c r="B565" s="4" t="str">
        <f ca="1">IF(OR(INDEX($W$2:$W$1001,MATCH(ROWS($V$2:V565),$V$2:$V$1001,0),1)&gt;=100000,INDEX($AC$1005:$AS$1005,1,MATCH(COLUMNS($AC$1006:AC1006),$AC$1006:$AS$1006,0))&gt;=100000), " ",IF(INDEX($AC$2:$AS$1001,MATCH(ROWS($V$2:V565),$V$2:$V$1001,0),MATCH(COLUMNS($AC$1006:AC1006),$AC$1006:$AS$1006,0)), HYPERLINK("#",""), HYPERLINK(CONCATENATE("#metadata!", ADDRESS(INDEX($X$2:$X$1001,MATCH(ROWS($V$2:V565),$V$2:$V$1001,0),0), INDEX($AC$1004:$AS$1004,1,MATCH(COLUMNS($AC$1006:AC1006),$AC$1006:$AS$1006,0)))),"Fix")))</f>
        <v xml:space="preserve"> </v>
      </c>
      <c r="C565" s="4" t="str">
        <f ca="1">IF(OR(INDEX($W$2:$W$1001,MATCH(ROWS($V$2:V565),$V$2:$V$1001,0),1)&gt;=100000,INDEX($AC$1005:$AS$1005,1,MATCH(COLUMNS($AC$1006:AD1006),$AC$1006:$AS$1006,0))&gt;=100000), " ",IF(INDEX($AC$2:$AS$1001,MATCH(ROWS($V$2:V565),$V$2:$V$1001,0),MATCH(COLUMNS($AC$1006:AD1006),$AC$1006:$AS$1006,0)), HYPERLINK("#",""), HYPERLINK(CONCATENATE("#metadata!", ADDRESS(INDEX($X$2:$X$1001,MATCH(ROWS($V$2:V565),$V$2:$V$1001,0),0), INDEX($AC$1004:$AS$1004,1,MATCH(COLUMNS($AC$1006:AD1006),$AC$1006:$AS$1006,0)))),"Fix")))</f>
        <v xml:space="preserve"> </v>
      </c>
      <c r="D565" s="4" t="str">
        <f ca="1">IF(OR(INDEX($W$2:$W$1001,MATCH(ROWS($V$2:V565),$V$2:$V$1001,0),1)&gt;=100000,INDEX($AC$1005:$AS$1005,1,MATCH(COLUMNS($AC$1006:AE1006),$AC$1006:$AS$1006,0))&gt;=100000), " ",IF(INDEX($AC$2:$AS$1001,MATCH(ROWS($V$2:V565),$V$2:$V$1001,0),MATCH(COLUMNS($AC$1006:AE1006),$AC$1006:$AS$1006,0)), HYPERLINK("#",""), HYPERLINK(CONCATENATE("#metadata!", ADDRESS(INDEX($X$2:$X$1001,MATCH(ROWS($V$2:V565),$V$2:$V$1001,0),0), INDEX($AC$1004:$AS$1004,1,MATCH(COLUMNS($AC$1006:AE1006),$AC$1006:$AS$1006,0)))),"Fix")))</f>
        <v xml:space="preserve"> </v>
      </c>
      <c r="E565" s="4" t="str">
        <f ca="1">IF(OR(INDEX($W$2:$W$1001,MATCH(ROWS($V$2:V565),$V$2:$V$1001,0),1)&gt;=100000,INDEX($AC$1005:$AS$1005,1,MATCH(COLUMNS($AC$1006:AF1006),$AC$1006:$AS$1006,0))&gt;=100000), " ",IF(INDEX($AC$2:$AS$1001,MATCH(ROWS($V$2:V565),$V$2:$V$1001,0),MATCH(COLUMNS($AC$1006:AF1006),$AC$1006:$AS$1006,0)), HYPERLINK("#",""), HYPERLINK(CONCATENATE("#metadata!", ADDRESS(INDEX($X$2:$X$1001,MATCH(ROWS($V$2:V565),$V$2:$V$1001,0),0), INDEX($AC$1004:$AS$1004,1,MATCH(COLUMNS($AC$1006:AF1006),$AC$1006:$AS$1006,0)))),"Fix")))</f>
        <v xml:space="preserve"> </v>
      </c>
      <c r="F565" s="4" t="str">
        <f ca="1">IF(OR(INDEX($W$2:$W$1001,MATCH(ROWS($V$2:V565),$V$2:$V$1001,0),1)&gt;=100000,INDEX($AC$1005:$AS$1005,1,MATCH(COLUMNS($AC$1006:AG1006),$AC$1006:$AS$1006,0))&gt;=100000), " ",IF(INDEX($AC$2:$AS$1001,MATCH(ROWS($V$2:V565),$V$2:$V$1001,0),MATCH(COLUMNS($AC$1006:AG1006),$AC$1006:$AS$1006,0)), HYPERLINK("#",""), HYPERLINK(CONCATENATE("#metadata!", ADDRESS(INDEX($X$2:$X$1001,MATCH(ROWS($V$2:V565),$V$2:$V$1001,0),0), INDEX($AC$1004:$AS$1004,1,MATCH(COLUMNS($AC$1006:AG1006),$AC$1006:$AS$1006,0)))),"Fix")))</f>
        <v xml:space="preserve"> </v>
      </c>
      <c r="G565" s="4" t="str">
        <f ca="1">IF(OR(INDEX($W$2:$W$1001,MATCH(ROWS($V$2:V565),$V$2:$V$1001,0),1)&gt;=100000,INDEX($AC$1005:$AS$1005,1,MATCH(COLUMNS($AC$1006:AH1006),$AC$1006:$AS$1006,0))&gt;=100000), " ",IF(INDEX($AC$2:$AS$1001,MATCH(ROWS($V$2:V565),$V$2:$V$1001,0),MATCH(COLUMNS($AC$1006:AH1006),$AC$1006:$AS$1006,0)), HYPERLINK("#",""), HYPERLINK(CONCATENATE("#metadata!", ADDRESS(INDEX($X$2:$X$1001,MATCH(ROWS($V$2:V565),$V$2:$V$1001,0),0), INDEX($AC$1004:$AS$1004,1,MATCH(COLUMNS($AC$1006:AH1006),$AC$1006:$AS$1006,0)))),"Fix")))</f>
        <v xml:space="preserve"> </v>
      </c>
      <c r="H565" s="4" t="str">
        <f ca="1">IF(OR(INDEX($W$2:$W$1001,MATCH(ROWS($V$2:V565),$V$2:$V$1001,0),1)&gt;=100000,INDEX($AC$1005:$AS$1005,1,MATCH(COLUMNS($AC$1006:AI1006),$AC$1006:$AS$1006,0))&gt;=100000), " ",IF(INDEX($AC$2:$AS$1001,MATCH(ROWS($V$2:V565),$V$2:$V$1001,0),MATCH(COLUMNS($AC$1006:AI1006),$AC$1006:$AS$1006,0)), HYPERLINK("#",""), HYPERLINK(CONCATENATE("#metadata!", ADDRESS(INDEX($X$2:$X$1001,MATCH(ROWS($V$2:V565),$V$2:$V$1001,0),0), INDEX($AC$1004:$AS$1004,1,MATCH(COLUMNS($AC$1006:AI1006),$AC$1006:$AS$1006,0)))),"Fix")))</f>
        <v xml:space="preserve"> </v>
      </c>
      <c r="I565" s="4" t="str">
        <f ca="1">IF(OR(INDEX($W$2:$W$1001,MATCH(ROWS($V$2:V565),$V$2:$V$1001,0),1)&gt;=100000,INDEX($AC$1005:$AS$1005,1,MATCH(COLUMNS($AC$1006:AJ1006),$AC$1006:$AS$1006,0))&gt;=100000), " ",IF(INDEX($AC$2:$AS$1001,MATCH(ROWS($V$2:V565),$V$2:$V$1001,0),MATCH(COLUMNS($AC$1006:AJ1006),$AC$1006:$AS$1006,0)), HYPERLINK("#",""), HYPERLINK(CONCATENATE("#metadata!", ADDRESS(INDEX($X$2:$X$1001,MATCH(ROWS($V$2:V565),$V$2:$V$1001,0),0), INDEX($AC$1004:$AS$1004,1,MATCH(COLUMNS($AC$1006:AJ1006),$AC$1006:$AS$1006,0)))),"Fix")))</f>
        <v xml:space="preserve"> </v>
      </c>
      <c r="J565" s="4" t="str">
        <f ca="1">IF(OR(INDEX($W$2:$W$1001,MATCH(ROWS($V$2:V565),$V$2:$V$1001,0),1)&gt;=100000,INDEX($AC$1005:$AS$1005,1,MATCH(COLUMNS($AC$1006:AK1006),$AC$1006:$AS$1006,0))&gt;=100000), " ",IF(INDEX($AC$2:$AS$1001,MATCH(ROWS($V$2:V565),$V$2:$V$1001,0),MATCH(COLUMNS($AC$1006:AK1006),$AC$1006:$AS$1006,0)), HYPERLINK("#",""), HYPERLINK(CONCATENATE("#metadata!", ADDRESS(INDEX($X$2:$X$1001,MATCH(ROWS($V$2:V565),$V$2:$V$1001,0),0), INDEX($AC$1004:$AS$1004,1,MATCH(COLUMNS($AC$1006:AK1006),$AC$1006:$AS$1006,0)))),"Fix")))</f>
        <v xml:space="preserve"> </v>
      </c>
      <c r="K565" s="4" t="str">
        <f ca="1">IF(OR(INDEX($W$2:$W$1001,MATCH(ROWS($V$2:V565),$V$2:$V$1001,0),1)&gt;=100000,INDEX($AC$1005:$AS$1005,1,MATCH(COLUMNS($AC$1006:AL1006),$AC$1006:$AS$1006,0))&gt;=100000), " ",IF(INDEX($AC$2:$AS$1001,MATCH(ROWS($V$2:V565),$V$2:$V$1001,0),MATCH(COLUMNS($AC$1006:AL1006),$AC$1006:$AS$1006,0)), HYPERLINK("#",""), HYPERLINK(CONCATENATE("#metadata!", ADDRESS(INDEX($X$2:$X$1001,MATCH(ROWS($V$2:V565),$V$2:$V$1001,0),0), INDEX($AC$1004:$AS$1004,1,MATCH(COLUMNS($AC$1006:AL1006),$AC$1006:$AS$1006,0)))),"Fix")))</f>
        <v xml:space="preserve"> </v>
      </c>
      <c r="L565" s="4" t="str">
        <f ca="1">IF(OR(INDEX($W$2:$W$1001,MATCH(ROWS($V$2:V565),$V$2:$V$1001,0),1)&gt;=100000,INDEX($AC$1005:$AS$1005,1,MATCH(COLUMNS($AC$1006:AM1006),$AC$1006:$AS$1006,0))&gt;=100000), " ",IF(INDEX($AC$2:$AS$1001,MATCH(ROWS($V$2:V565),$V$2:$V$1001,0),MATCH(COLUMNS($AC$1006:AM1006),$AC$1006:$AS$1006,0)), HYPERLINK("#",""), HYPERLINK(CONCATENATE("#metadata!", ADDRESS(INDEX($X$2:$X$1001,MATCH(ROWS($V$2:V565),$V$2:$V$1001,0),0), INDEX($AC$1004:$AS$1004,1,MATCH(COLUMNS($AC$1006:AM1006),$AC$1006:$AS$1006,0)))),"Fix")))</f>
        <v xml:space="preserve"> </v>
      </c>
      <c r="M565" s="4" t="str">
        <f ca="1">IF(OR(INDEX($W$2:$W$1001,MATCH(ROWS($V$2:V565),$V$2:$V$1001,0),1)&gt;=100000,INDEX($AC$1005:$AS$1005,1,MATCH(COLUMNS($AC$1006:AN1006),$AC$1006:$AS$1006,0))&gt;=100000), " ",IF(INDEX($AC$2:$AS$1001,MATCH(ROWS($V$2:V565),$V$2:$V$1001,0),MATCH(COLUMNS($AC$1006:AN1006),$AC$1006:$AS$1006,0)), HYPERLINK("#",""), HYPERLINK(CONCATENATE("#metadata!", ADDRESS(INDEX($X$2:$X$1001,MATCH(ROWS($V$2:V565),$V$2:$V$1001,0),0), INDEX($AC$1004:$AS$1004,1,MATCH(COLUMNS($AC$1006:AN1006),$AC$1006:$AS$1006,0)))),"Fix")))</f>
        <v xml:space="preserve"> </v>
      </c>
      <c r="N565" s="4" t="str">
        <f ca="1">IF(OR(INDEX($W$2:$W$1001,MATCH(ROWS($V$2:V565),$V$2:$V$1001,0),1)&gt;=100000,INDEX($AC$1005:$AS$1005,1,MATCH(COLUMNS($AC$1006:AO1006),$AC$1006:$AS$1006,0))&gt;=100000), " ",IF(INDEX($AC$2:$AS$1001,MATCH(ROWS($V$2:V565),$V$2:$V$1001,0),MATCH(COLUMNS($AC$1006:AO1006),$AC$1006:$AS$1006,0)), HYPERLINK("#",""), HYPERLINK(CONCATENATE("#metadata!", ADDRESS(INDEX($X$2:$X$1001,MATCH(ROWS($V$2:V565),$V$2:$V$1001,0),0), INDEX($AC$1004:$AS$1004,1,MATCH(COLUMNS($AC$1006:AO1006),$AC$1006:$AS$1006,0)))),"Fix")))</f>
        <v xml:space="preserve"> </v>
      </c>
      <c r="O565" s="4" t="str">
        <f ca="1">IF(OR(INDEX($W$2:$W$1001,MATCH(ROWS($V$2:V565),$V$2:$V$1001,0),1)&gt;=100000,INDEX($AC$1005:$AS$1005,1,MATCH(COLUMNS($AC$1006:AP1006),$AC$1006:$AS$1006,0))&gt;=100000), " ",IF(INDEX($AC$2:$AS$1001,MATCH(ROWS($V$2:V565),$V$2:$V$1001,0),MATCH(COLUMNS($AC$1006:AP1006),$AC$1006:$AS$1006,0)), HYPERLINK("#",""), HYPERLINK(CONCATENATE("#metadata!", ADDRESS(INDEX($X$2:$X$1001,MATCH(ROWS($V$2:V565),$V$2:$V$1001,0),0), INDEX($AC$1004:$AS$1004,1,MATCH(COLUMNS($AC$1006:AP1006),$AC$1006:$AS$1006,0)))),"Fix")))</f>
        <v xml:space="preserve"> </v>
      </c>
      <c r="P565" s="4" t="str">
        <f ca="1">IF(OR(INDEX($W$2:$W$1001,MATCH(ROWS($V$2:V565),$V$2:$V$1001,0),1)&gt;=100000,INDEX($AC$1005:$AS$1005,1,MATCH(COLUMNS($AC$1006:AQ1006),$AC$1006:$AS$1006,0))&gt;=100000), " ",IF(INDEX($AC$2:$AS$1001,MATCH(ROWS($V$2:V565),$V$2:$V$1001,0),MATCH(COLUMNS($AC$1006:AQ1006),$AC$1006:$AS$1006,0)), HYPERLINK("#",""), HYPERLINK(CONCATENATE("#metadata!", ADDRESS(INDEX($X$2:$X$1001,MATCH(ROWS($V$2:V565),$V$2:$V$1001,0),0), INDEX($AC$1004:$AS$1004,1,MATCH(COLUMNS($AC$1006:AQ1006),$AC$1006:$AS$1006,0)))),"Fix")))</f>
        <v xml:space="preserve"> </v>
      </c>
      <c r="Q565" s="4" t="str">
        <f ca="1">IF(OR(INDEX($W$2:$W$1001,MATCH(ROWS($V$2:V565),$V$2:$V$1001,0),1)&gt;=100000,INDEX($AC$1005:$AS$1005,1,MATCH(COLUMNS($AC$1006:AR1006),$AC$1006:$AS$1006,0))&gt;=100000), " ",IF(INDEX($AC$2:$AS$1001,MATCH(ROWS($V$2:V565),$V$2:$V$1001,0),MATCH(COLUMNS($AC$1006:AR1006),$AC$1006:$AS$1006,0)), HYPERLINK("#",""), HYPERLINK(CONCATENATE("#metadata!", ADDRESS(INDEX($X$2:$X$1001,MATCH(ROWS($V$2:V565),$V$2:$V$1001,0),0), INDEX($AC$1004:$AS$1004,1,MATCH(COLUMNS($AC$1006:AR1006),$AC$1006:$AS$1006,0)))),"Fix")))</f>
        <v xml:space="preserve"> </v>
      </c>
      <c r="R565" s="4" t="str">
        <f ca="1">IF(OR(INDEX($W$2:$W$1001,MATCH(ROWS($V$2:V565),$V$2:$V$1001,0),1)&gt;=100000,INDEX($AC$1005:$AS$1005,1,MATCH(COLUMNS($AC$1006:AS1006),$AC$1006:$AS$1006,0))&gt;=100000), " ",IF(INDEX($AC$2:$AS$1001,MATCH(ROWS($V$2:V565),$V$2:$V$1001,0),MATCH(COLUMNS($AC$1006:AS1006),$AC$1006:$AS$1006,0)), HYPERLINK("#",""), HYPERLINK(CONCATENATE("#metadata!", ADDRESS(INDEX($X$2:$X$1001,MATCH(ROWS($V$2:V565),$V$2:$V$1001,0),0), INDEX($AC$1004:$AS$1004,1,MATCH(COLUMNS($AC$1006:AS1006),$AC$1006:$AS$1006,0)))),"Fix")))</f>
        <v xml:space="preserve"> </v>
      </c>
      <c r="V565">
        <v>564</v>
      </c>
      <c r="W565">
        <v>100565</v>
      </c>
      <c r="X565">
        <v>565</v>
      </c>
      <c r="Y565" t="b">
        <f t="shared" si="8"/>
        <v>1</v>
      </c>
      <c r="Z565" t="b">
        <f>COUNTBLANK(metadata!B565:R565)=COLUMNS(metadata!B565:R565)</f>
        <v>1</v>
      </c>
      <c r="AA565" t="str">
        <v/>
      </c>
      <c r="AC565" t="b">
        <f ca="1"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AD565" t="b">
        <f>IF(metadata!C565="",FALSE,ISNUMBER(VALUE(metadata!C565)))</f>
        <v>0</v>
      </c>
      <c r="AE565" t="b">
        <f>AND(IF(metadata!D565="",FALSE,TRUE),EXACT(metadata!D565,"years"))</f>
        <v>0</v>
      </c>
      <c r="AF565" t="b">
        <f>OR(AND(IF(metadata!E565="",FALSE,TRUE),OR(EXACT(metadata!E565,"not applicable"),EXACT(metadata!E565,"missing: not collected"),EXACT(metadata!E565,"missing: not provided"),EXACT(metadata!E565,"missing: restricted access"))),AND(IF(metadata!E565="",FALSE,ISNUMBER(VALUE(metadata!E565))),metadata!E565&gt;0))</f>
        <v>0</v>
      </c>
      <c r="AG565" t="b">
        <f>AND(IF(metadata!F565="",FALSE,TRUE),EXACT(metadata!F565,"Not applicable"))</f>
        <v>0</v>
      </c>
      <c r="AH565" t="b">
        <f>AND(IF(metadata!G565="",FALSE,TRUE),EXACT(metadata!G565,"urban biome"))</f>
        <v>0</v>
      </c>
      <c r="AI565" t="b">
        <f>AND(IF(metadata!H565="",FALSE,TRUE),EXACT(metadata!H565,"human-associated habitat"))</f>
        <v>0</v>
      </c>
      <c r="AJ565" t="b">
        <f>AND(IF(metadata!I565="",FALSE,TRUE),OR(EXACT(metadata!I565,"human-associated"),EXACT(metadata!I565,"human-skin"),EXACT(metadata!I565,"human-oral"),EXACT(metadata!I565,"human-gut"),EXACT(metadata!I565,"human-vaginal")))</f>
        <v>0</v>
      </c>
      <c r="AK565" t="b">
        <f>IF(metadata!J565="",FALSE,ISNUMBER(VALUE(metadata!J565)))</f>
        <v>0</v>
      </c>
      <c r="AL565" t="b">
        <f>AND(IF(metadata!K565="",FALSE,TRUE),EXACT(metadata!K565,"cm"))</f>
        <v>0</v>
      </c>
      <c r="AM565" t="b">
        <f>AND(IF(metadata!L565="",FALSE,TRUE),EXACT(metadata!L565,"human"))</f>
        <v>0</v>
      </c>
      <c r="AN565" t="b">
        <f>AND(IF(metadata!M565="",FALSE,TRUE),EXACT(metadata!M565,"Homo sapiens"))</f>
        <v>0</v>
      </c>
      <c r="AO565" t="b">
        <f>AND(IF(metadata!N565="",FALSE,TRUE),EXACT(metadata!N565,"9606"))</f>
        <v>0</v>
      </c>
      <c r="AP565" t="b">
        <f>IF(metadata!O565="",FALSE,TRUE)</f>
        <v>0</v>
      </c>
      <c r="AQ565" t="b">
        <f>IF(metadata!P565="",FALSE,TRUE)</f>
        <v>0</v>
      </c>
      <c r="AR565" t="b">
        <f>IF(metadata!Q565="",FALSE,ISNUMBER(VALUE(metadata!Q565)))</f>
        <v>0</v>
      </c>
      <c r="AS565" t="b">
        <f>AND(IF(metadata!R565="",FALSE,TRUE),EXACT(metadata!R565,"kg"))</f>
        <v>0</v>
      </c>
    </row>
    <row r="566" spans="1:45" x14ac:dyDescent="0.2">
      <c r="A566" s="5" t="str">
        <f ca="1">IF(B566=" "," ",HYPERLINK(CONCATENATE("#metadata!",ADDRESS(INDEX($X$2:$X$1001,MATCH(ROWS($V$2:V566),$V$2:$V$1001,0),0),1)),INDEX($AA$2:$AA$1001,MATCH(ROWS($V$2:V566),$V$2:$V$1001,0),0)))</f>
        <v xml:space="preserve"> </v>
      </c>
      <c r="B566" s="4" t="str">
        <f ca="1">IF(OR(INDEX($W$2:$W$1001,MATCH(ROWS($V$2:V566),$V$2:$V$1001,0),1)&gt;=100000,INDEX($AC$1005:$AS$1005,1,MATCH(COLUMNS($AC$1006:AC1006),$AC$1006:$AS$1006,0))&gt;=100000), " ",IF(INDEX($AC$2:$AS$1001,MATCH(ROWS($V$2:V566),$V$2:$V$1001,0),MATCH(COLUMNS($AC$1006:AC1006),$AC$1006:$AS$1006,0)), HYPERLINK("#",""), HYPERLINK(CONCATENATE("#metadata!", ADDRESS(INDEX($X$2:$X$1001,MATCH(ROWS($V$2:V566),$V$2:$V$1001,0),0), INDEX($AC$1004:$AS$1004,1,MATCH(COLUMNS($AC$1006:AC1006),$AC$1006:$AS$1006,0)))),"Fix")))</f>
        <v xml:space="preserve"> </v>
      </c>
      <c r="C566" s="4" t="str">
        <f ca="1">IF(OR(INDEX($W$2:$W$1001,MATCH(ROWS($V$2:V566),$V$2:$V$1001,0),1)&gt;=100000,INDEX($AC$1005:$AS$1005,1,MATCH(COLUMNS($AC$1006:AD1006),$AC$1006:$AS$1006,0))&gt;=100000), " ",IF(INDEX($AC$2:$AS$1001,MATCH(ROWS($V$2:V566),$V$2:$V$1001,0),MATCH(COLUMNS($AC$1006:AD1006),$AC$1006:$AS$1006,0)), HYPERLINK("#",""), HYPERLINK(CONCATENATE("#metadata!", ADDRESS(INDEX($X$2:$X$1001,MATCH(ROWS($V$2:V566),$V$2:$V$1001,0),0), INDEX($AC$1004:$AS$1004,1,MATCH(COLUMNS($AC$1006:AD1006),$AC$1006:$AS$1006,0)))),"Fix")))</f>
        <v xml:space="preserve"> </v>
      </c>
      <c r="D566" s="4" t="str">
        <f ca="1">IF(OR(INDEX($W$2:$W$1001,MATCH(ROWS($V$2:V566),$V$2:$V$1001,0),1)&gt;=100000,INDEX($AC$1005:$AS$1005,1,MATCH(COLUMNS($AC$1006:AE1006),$AC$1006:$AS$1006,0))&gt;=100000), " ",IF(INDEX($AC$2:$AS$1001,MATCH(ROWS($V$2:V566),$V$2:$V$1001,0),MATCH(COLUMNS($AC$1006:AE1006),$AC$1006:$AS$1006,0)), HYPERLINK("#",""), HYPERLINK(CONCATENATE("#metadata!", ADDRESS(INDEX($X$2:$X$1001,MATCH(ROWS($V$2:V566),$V$2:$V$1001,0),0), INDEX($AC$1004:$AS$1004,1,MATCH(COLUMNS($AC$1006:AE1006),$AC$1006:$AS$1006,0)))),"Fix")))</f>
        <v xml:space="preserve"> </v>
      </c>
      <c r="E566" s="4" t="str">
        <f ca="1">IF(OR(INDEX($W$2:$W$1001,MATCH(ROWS($V$2:V566),$V$2:$V$1001,0),1)&gt;=100000,INDEX($AC$1005:$AS$1005,1,MATCH(COLUMNS($AC$1006:AF1006),$AC$1006:$AS$1006,0))&gt;=100000), " ",IF(INDEX($AC$2:$AS$1001,MATCH(ROWS($V$2:V566),$V$2:$V$1001,0),MATCH(COLUMNS($AC$1006:AF1006),$AC$1006:$AS$1006,0)), HYPERLINK("#",""), HYPERLINK(CONCATENATE("#metadata!", ADDRESS(INDEX($X$2:$X$1001,MATCH(ROWS($V$2:V566),$V$2:$V$1001,0),0), INDEX($AC$1004:$AS$1004,1,MATCH(COLUMNS($AC$1006:AF1006),$AC$1006:$AS$1006,0)))),"Fix")))</f>
        <v xml:space="preserve"> </v>
      </c>
      <c r="F566" s="4" t="str">
        <f ca="1">IF(OR(INDEX($W$2:$W$1001,MATCH(ROWS($V$2:V566),$V$2:$V$1001,0),1)&gt;=100000,INDEX($AC$1005:$AS$1005,1,MATCH(COLUMNS($AC$1006:AG1006),$AC$1006:$AS$1006,0))&gt;=100000), " ",IF(INDEX($AC$2:$AS$1001,MATCH(ROWS($V$2:V566),$V$2:$V$1001,0),MATCH(COLUMNS($AC$1006:AG1006),$AC$1006:$AS$1006,0)), HYPERLINK("#",""), HYPERLINK(CONCATENATE("#metadata!", ADDRESS(INDEX($X$2:$X$1001,MATCH(ROWS($V$2:V566),$V$2:$V$1001,0),0), INDEX($AC$1004:$AS$1004,1,MATCH(COLUMNS($AC$1006:AG1006),$AC$1006:$AS$1006,0)))),"Fix")))</f>
        <v xml:space="preserve"> </v>
      </c>
      <c r="G566" s="4" t="str">
        <f ca="1">IF(OR(INDEX($W$2:$W$1001,MATCH(ROWS($V$2:V566),$V$2:$V$1001,0),1)&gt;=100000,INDEX($AC$1005:$AS$1005,1,MATCH(COLUMNS($AC$1006:AH1006),$AC$1006:$AS$1006,0))&gt;=100000), " ",IF(INDEX($AC$2:$AS$1001,MATCH(ROWS($V$2:V566),$V$2:$V$1001,0),MATCH(COLUMNS($AC$1006:AH1006),$AC$1006:$AS$1006,0)), HYPERLINK("#",""), HYPERLINK(CONCATENATE("#metadata!", ADDRESS(INDEX($X$2:$X$1001,MATCH(ROWS($V$2:V566),$V$2:$V$1001,0),0), INDEX($AC$1004:$AS$1004,1,MATCH(COLUMNS($AC$1006:AH1006),$AC$1006:$AS$1006,0)))),"Fix")))</f>
        <v xml:space="preserve"> </v>
      </c>
      <c r="H566" s="4" t="str">
        <f ca="1">IF(OR(INDEX($W$2:$W$1001,MATCH(ROWS($V$2:V566),$V$2:$V$1001,0),1)&gt;=100000,INDEX($AC$1005:$AS$1005,1,MATCH(COLUMNS($AC$1006:AI1006),$AC$1006:$AS$1006,0))&gt;=100000), " ",IF(INDEX($AC$2:$AS$1001,MATCH(ROWS($V$2:V566),$V$2:$V$1001,0),MATCH(COLUMNS($AC$1006:AI1006),$AC$1006:$AS$1006,0)), HYPERLINK("#",""), HYPERLINK(CONCATENATE("#metadata!", ADDRESS(INDEX($X$2:$X$1001,MATCH(ROWS($V$2:V566),$V$2:$V$1001,0),0), INDEX($AC$1004:$AS$1004,1,MATCH(COLUMNS($AC$1006:AI1006),$AC$1006:$AS$1006,0)))),"Fix")))</f>
        <v xml:space="preserve"> </v>
      </c>
      <c r="I566" s="4" t="str">
        <f ca="1">IF(OR(INDEX($W$2:$W$1001,MATCH(ROWS($V$2:V566),$V$2:$V$1001,0),1)&gt;=100000,INDEX($AC$1005:$AS$1005,1,MATCH(COLUMNS($AC$1006:AJ1006),$AC$1006:$AS$1006,0))&gt;=100000), " ",IF(INDEX($AC$2:$AS$1001,MATCH(ROWS($V$2:V566),$V$2:$V$1001,0),MATCH(COLUMNS($AC$1006:AJ1006),$AC$1006:$AS$1006,0)), HYPERLINK("#",""), HYPERLINK(CONCATENATE("#metadata!", ADDRESS(INDEX($X$2:$X$1001,MATCH(ROWS($V$2:V566),$V$2:$V$1001,0),0), INDEX($AC$1004:$AS$1004,1,MATCH(COLUMNS($AC$1006:AJ1006),$AC$1006:$AS$1006,0)))),"Fix")))</f>
        <v xml:space="preserve"> </v>
      </c>
      <c r="J566" s="4" t="str">
        <f ca="1">IF(OR(INDEX($W$2:$W$1001,MATCH(ROWS($V$2:V566),$V$2:$V$1001,0),1)&gt;=100000,INDEX($AC$1005:$AS$1005,1,MATCH(COLUMNS($AC$1006:AK1006),$AC$1006:$AS$1006,0))&gt;=100000), " ",IF(INDEX($AC$2:$AS$1001,MATCH(ROWS($V$2:V566),$V$2:$V$1001,0),MATCH(COLUMNS($AC$1006:AK1006),$AC$1006:$AS$1006,0)), HYPERLINK("#",""), HYPERLINK(CONCATENATE("#metadata!", ADDRESS(INDEX($X$2:$X$1001,MATCH(ROWS($V$2:V566),$V$2:$V$1001,0),0), INDEX($AC$1004:$AS$1004,1,MATCH(COLUMNS($AC$1006:AK1006),$AC$1006:$AS$1006,0)))),"Fix")))</f>
        <v xml:space="preserve"> </v>
      </c>
      <c r="K566" s="4" t="str">
        <f ca="1">IF(OR(INDEX($W$2:$W$1001,MATCH(ROWS($V$2:V566),$V$2:$V$1001,0),1)&gt;=100000,INDEX($AC$1005:$AS$1005,1,MATCH(COLUMNS($AC$1006:AL1006),$AC$1006:$AS$1006,0))&gt;=100000), " ",IF(INDEX($AC$2:$AS$1001,MATCH(ROWS($V$2:V566),$V$2:$V$1001,0),MATCH(COLUMNS($AC$1006:AL1006),$AC$1006:$AS$1006,0)), HYPERLINK("#",""), HYPERLINK(CONCATENATE("#metadata!", ADDRESS(INDEX($X$2:$X$1001,MATCH(ROWS($V$2:V566),$V$2:$V$1001,0),0), INDEX($AC$1004:$AS$1004,1,MATCH(COLUMNS($AC$1006:AL1006),$AC$1006:$AS$1006,0)))),"Fix")))</f>
        <v xml:space="preserve"> </v>
      </c>
      <c r="L566" s="4" t="str">
        <f ca="1">IF(OR(INDEX($W$2:$W$1001,MATCH(ROWS($V$2:V566),$V$2:$V$1001,0),1)&gt;=100000,INDEX($AC$1005:$AS$1005,1,MATCH(COLUMNS($AC$1006:AM1006),$AC$1006:$AS$1006,0))&gt;=100000), " ",IF(INDEX($AC$2:$AS$1001,MATCH(ROWS($V$2:V566),$V$2:$V$1001,0),MATCH(COLUMNS($AC$1006:AM1006),$AC$1006:$AS$1006,0)), HYPERLINK("#",""), HYPERLINK(CONCATENATE("#metadata!", ADDRESS(INDEX($X$2:$X$1001,MATCH(ROWS($V$2:V566),$V$2:$V$1001,0),0), INDEX($AC$1004:$AS$1004,1,MATCH(COLUMNS($AC$1006:AM1006),$AC$1006:$AS$1006,0)))),"Fix")))</f>
        <v xml:space="preserve"> </v>
      </c>
      <c r="M566" s="4" t="str">
        <f ca="1">IF(OR(INDEX($W$2:$W$1001,MATCH(ROWS($V$2:V566),$V$2:$V$1001,0),1)&gt;=100000,INDEX($AC$1005:$AS$1005,1,MATCH(COLUMNS($AC$1006:AN1006),$AC$1006:$AS$1006,0))&gt;=100000), " ",IF(INDEX($AC$2:$AS$1001,MATCH(ROWS($V$2:V566),$V$2:$V$1001,0),MATCH(COLUMNS($AC$1006:AN1006),$AC$1006:$AS$1006,0)), HYPERLINK("#",""), HYPERLINK(CONCATENATE("#metadata!", ADDRESS(INDEX($X$2:$X$1001,MATCH(ROWS($V$2:V566),$V$2:$V$1001,0),0), INDEX($AC$1004:$AS$1004,1,MATCH(COLUMNS($AC$1006:AN1006),$AC$1006:$AS$1006,0)))),"Fix")))</f>
        <v xml:space="preserve"> </v>
      </c>
      <c r="N566" s="4" t="str">
        <f ca="1">IF(OR(INDEX($W$2:$W$1001,MATCH(ROWS($V$2:V566),$V$2:$V$1001,0),1)&gt;=100000,INDEX($AC$1005:$AS$1005,1,MATCH(COLUMNS($AC$1006:AO1006),$AC$1006:$AS$1006,0))&gt;=100000), " ",IF(INDEX($AC$2:$AS$1001,MATCH(ROWS($V$2:V566),$V$2:$V$1001,0),MATCH(COLUMNS($AC$1006:AO1006),$AC$1006:$AS$1006,0)), HYPERLINK("#",""), HYPERLINK(CONCATENATE("#metadata!", ADDRESS(INDEX($X$2:$X$1001,MATCH(ROWS($V$2:V566),$V$2:$V$1001,0),0), INDEX($AC$1004:$AS$1004,1,MATCH(COLUMNS($AC$1006:AO1006),$AC$1006:$AS$1006,0)))),"Fix")))</f>
        <v xml:space="preserve"> </v>
      </c>
      <c r="O566" s="4" t="str">
        <f ca="1">IF(OR(INDEX($W$2:$W$1001,MATCH(ROWS($V$2:V566),$V$2:$V$1001,0),1)&gt;=100000,INDEX($AC$1005:$AS$1005,1,MATCH(COLUMNS($AC$1006:AP1006),$AC$1006:$AS$1006,0))&gt;=100000), " ",IF(INDEX($AC$2:$AS$1001,MATCH(ROWS($V$2:V566),$V$2:$V$1001,0),MATCH(COLUMNS($AC$1006:AP1006),$AC$1006:$AS$1006,0)), HYPERLINK("#",""), HYPERLINK(CONCATENATE("#metadata!", ADDRESS(INDEX($X$2:$X$1001,MATCH(ROWS($V$2:V566),$V$2:$V$1001,0),0), INDEX($AC$1004:$AS$1004,1,MATCH(COLUMNS($AC$1006:AP1006),$AC$1006:$AS$1006,0)))),"Fix")))</f>
        <v xml:space="preserve"> </v>
      </c>
      <c r="P566" s="4" t="str">
        <f ca="1">IF(OR(INDEX($W$2:$W$1001,MATCH(ROWS($V$2:V566),$V$2:$V$1001,0),1)&gt;=100000,INDEX($AC$1005:$AS$1005,1,MATCH(COLUMNS($AC$1006:AQ1006),$AC$1006:$AS$1006,0))&gt;=100000), " ",IF(INDEX($AC$2:$AS$1001,MATCH(ROWS($V$2:V566),$V$2:$V$1001,0),MATCH(COLUMNS($AC$1006:AQ1006),$AC$1006:$AS$1006,0)), HYPERLINK("#",""), HYPERLINK(CONCATENATE("#metadata!", ADDRESS(INDEX($X$2:$X$1001,MATCH(ROWS($V$2:V566),$V$2:$V$1001,0),0), INDEX($AC$1004:$AS$1004,1,MATCH(COLUMNS($AC$1006:AQ1006),$AC$1006:$AS$1006,0)))),"Fix")))</f>
        <v xml:space="preserve"> </v>
      </c>
      <c r="Q566" s="4" t="str">
        <f ca="1">IF(OR(INDEX($W$2:$W$1001,MATCH(ROWS($V$2:V566),$V$2:$V$1001,0),1)&gt;=100000,INDEX($AC$1005:$AS$1005,1,MATCH(COLUMNS($AC$1006:AR1006),$AC$1006:$AS$1006,0))&gt;=100000), " ",IF(INDEX($AC$2:$AS$1001,MATCH(ROWS($V$2:V566),$V$2:$V$1001,0),MATCH(COLUMNS($AC$1006:AR1006),$AC$1006:$AS$1006,0)), HYPERLINK("#",""), HYPERLINK(CONCATENATE("#metadata!", ADDRESS(INDEX($X$2:$X$1001,MATCH(ROWS($V$2:V566),$V$2:$V$1001,0),0), INDEX($AC$1004:$AS$1004,1,MATCH(COLUMNS($AC$1006:AR1006),$AC$1006:$AS$1006,0)))),"Fix")))</f>
        <v xml:space="preserve"> </v>
      </c>
      <c r="R566" s="4" t="str">
        <f ca="1">IF(OR(INDEX($W$2:$W$1001,MATCH(ROWS($V$2:V566),$V$2:$V$1001,0),1)&gt;=100000,INDEX($AC$1005:$AS$1005,1,MATCH(COLUMNS($AC$1006:AS1006),$AC$1006:$AS$1006,0))&gt;=100000), " ",IF(INDEX($AC$2:$AS$1001,MATCH(ROWS($V$2:V566),$V$2:$V$1001,0),MATCH(COLUMNS($AC$1006:AS1006),$AC$1006:$AS$1006,0)), HYPERLINK("#",""), HYPERLINK(CONCATENATE("#metadata!", ADDRESS(INDEX($X$2:$X$1001,MATCH(ROWS($V$2:V566),$V$2:$V$1001,0),0), INDEX($AC$1004:$AS$1004,1,MATCH(COLUMNS($AC$1006:AS1006),$AC$1006:$AS$1006,0)))),"Fix")))</f>
        <v xml:space="preserve"> </v>
      </c>
      <c r="V566">
        <v>565</v>
      </c>
      <c r="W566">
        <v>100566</v>
      </c>
      <c r="X566">
        <v>566</v>
      </c>
      <c r="Y566" t="b">
        <f t="shared" si="8"/>
        <v>1</v>
      </c>
      <c r="Z566" t="b">
        <f>COUNTBLANK(metadata!B566:R566)=COLUMNS(metadata!B566:R566)</f>
        <v>1</v>
      </c>
      <c r="AA566" t="str">
        <v/>
      </c>
      <c r="AC566" t="b">
        <f ca="1"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AD566" t="b">
        <f>IF(metadata!C566="",FALSE,ISNUMBER(VALUE(metadata!C566)))</f>
        <v>0</v>
      </c>
      <c r="AE566" t="b">
        <f>AND(IF(metadata!D566="",FALSE,TRUE),EXACT(metadata!D566,"years"))</f>
        <v>0</v>
      </c>
      <c r="AF566" t="b">
        <f>OR(AND(IF(metadata!E566="",FALSE,TRUE),OR(EXACT(metadata!E566,"not applicable"),EXACT(metadata!E566,"missing: not collected"),EXACT(metadata!E566,"missing: not provided"),EXACT(metadata!E566,"missing: restricted access"))),AND(IF(metadata!E566="",FALSE,ISNUMBER(VALUE(metadata!E566))),metadata!E566&gt;0))</f>
        <v>0</v>
      </c>
      <c r="AG566" t="b">
        <f>AND(IF(metadata!F566="",FALSE,TRUE),EXACT(metadata!F566,"Not applicable"))</f>
        <v>0</v>
      </c>
      <c r="AH566" t="b">
        <f>AND(IF(metadata!G566="",FALSE,TRUE),EXACT(metadata!G566,"urban biome"))</f>
        <v>0</v>
      </c>
      <c r="AI566" t="b">
        <f>AND(IF(metadata!H566="",FALSE,TRUE),EXACT(metadata!H566,"human-associated habitat"))</f>
        <v>0</v>
      </c>
      <c r="AJ566" t="b">
        <f>AND(IF(metadata!I566="",FALSE,TRUE),OR(EXACT(metadata!I566,"human-associated"),EXACT(metadata!I566,"human-skin"),EXACT(metadata!I566,"human-oral"),EXACT(metadata!I566,"human-gut"),EXACT(metadata!I566,"human-vaginal")))</f>
        <v>0</v>
      </c>
      <c r="AK566" t="b">
        <f>IF(metadata!J566="",FALSE,ISNUMBER(VALUE(metadata!J566)))</f>
        <v>0</v>
      </c>
      <c r="AL566" t="b">
        <f>AND(IF(metadata!K566="",FALSE,TRUE),EXACT(metadata!K566,"cm"))</f>
        <v>0</v>
      </c>
      <c r="AM566" t="b">
        <f>AND(IF(metadata!L566="",FALSE,TRUE),EXACT(metadata!L566,"human"))</f>
        <v>0</v>
      </c>
      <c r="AN566" t="b">
        <f>AND(IF(metadata!M566="",FALSE,TRUE),EXACT(metadata!M566,"Homo sapiens"))</f>
        <v>0</v>
      </c>
      <c r="AO566" t="b">
        <f>AND(IF(metadata!N566="",FALSE,TRUE),EXACT(metadata!N566,"9606"))</f>
        <v>0</v>
      </c>
      <c r="AP566" t="b">
        <f>IF(metadata!O566="",FALSE,TRUE)</f>
        <v>0</v>
      </c>
      <c r="AQ566" t="b">
        <f>IF(metadata!P566="",FALSE,TRUE)</f>
        <v>0</v>
      </c>
      <c r="AR566" t="b">
        <f>IF(metadata!Q566="",FALSE,ISNUMBER(VALUE(metadata!Q566)))</f>
        <v>0</v>
      </c>
      <c r="AS566" t="b">
        <f>AND(IF(metadata!R566="",FALSE,TRUE),EXACT(metadata!R566,"kg"))</f>
        <v>0</v>
      </c>
    </row>
    <row r="567" spans="1:45" x14ac:dyDescent="0.2">
      <c r="A567" s="5" t="str">
        <f ca="1">IF(B567=" "," ",HYPERLINK(CONCATENATE("#metadata!",ADDRESS(INDEX($X$2:$X$1001,MATCH(ROWS($V$2:V567),$V$2:$V$1001,0),0),1)),INDEX($AA$2:$AA$1001,MATCH(ROWS($V$2:V567),$V$2:$V$1001,0),0)))</f>
        <v xml:space="preserve"> </v>
      </c>
      <c r="B567" s="4" t="str">
        <f ca="1">IF(OR(INDEX($W$2:$W$1001,MATCH(ROWS($V$2:V567),$V$2:$V$1001,0),1)&gt;=100000,INDEX($AC$1005:$AS$1005,1,MATCH(COLUMNS($AC$1006:AC1006),$AC$1006:$AS$1006,0))&gt;=100000), " ",IF(INDEX($AC$2:$AS$1001,MATCH(ROWS($V$2:V567),$V$2:$V$1001,0),MATCH(COLUMNS($AC$1006:AC1006),$AC$1006:$AS$1006,0)), HYPERLINK("#",""), HYPERLINK(CONCATENATE("#metadata!", ADDRESS(INDEX($X$2:$X$1001,MATCH(ROWS($V$2:V567),$V$2:$V$1001,0),0), INDEX($AC$1004:$AS$1004,1,MATCH(COLUMNS($AC$1006:AC1006),$AC$1006:$AS$1006,0)))),"Fix")))</f>
        <v xml:space="preserve"> </v>
      </c>
      <c r="C567" s="4" t="str">
        <f ca="1">IF(OR(INDEX($W$2:$W$1001,MATCH(ROWS($V$2:V567),$V$2:$V$1001,0),1)&gt;=100000,INDEX($AC$1005:$AS$1005,1,MATCH(COLUMNS($AC$1006:AD1006),$AC$1006:$AS$1006,0))&gt;=100000), " ",IF(INDEX($AC$2:$AS$1001,MATCH(ROWS($V$2:V567),$V$2:$V$1001,0),MATCH(COLUMNS($AC$1006:AD1006),$AC$1006:$AS$1006,0)), HYPERLINK("#",""), HYPERLINK(CONCATENATE("#metadata!", ADDRESS(INDEX($X$2:$X$1001,MATCH(ROWS($V$2:V567),$V$2:$V$1001,0),0), INDEX($AC$1004:$AS$1004,1,MATCH(COLUMNS($AC$1006:AD1006),$AC$1006:$AS$1006,0)))),"Fix")))</f>
        <v xml:space="preserve"> </v>
      </c>
      <c r="D567" s="4" t="str">
        <f ca="1">IF(OR(INDEX($W$2:$W$1001,MATCH(ROWS($V$2:V567),$V$2:$V$1001,0),1)&gt;=100000,INDEX($AC$1005:$AS$1005,1,MATCH(COLUMNS($AC$1006:AE1006),$AC$1006:$AS$1006,0))&gt;=100000), " ",IF(INDEX($AC$2:$AS$1001,MATCH(ROWS($V$2:V567),$V$2:$V$1001,0),MATCH(COLUMNS($AC$1006:AE1006),$AC$1006:$AS$1006,0)), HYPERLINK("#",""), HYPERLINK(CONCATENATE("#metadata!", ADDRESS(INDEX($X$2:$X$1001,MATCH(ROWS($V$2:V567),$V$2:$V$1001,0),0), INDEX($AC$1004:$AS$1004,1,MATCH(COLUMNS($AC$1006:AE1006),$AC$1006:$AS$1006,0)))),"Fix")))</f>
        <v xml:space="preserve"> </v>
      </c>
      <c r="E567" s="4" t="str">
        <f ca="1">IF(OR(INDEX($W$2:$W$1001,MATCH(ROWS($V$2:V567),$V$2:$V$1001,0),1)&gt;=100000,INDEX($AC$1005:$AS$1005,1,MATCH(COLUMNS($AC$1006:AF1006),$AC$1006:$AS$1006,0))&gt;=100000), " ",IF(INDEX($AC$2:$AS$1001,MATCH(ROWS($V$2:V567),$V$2:$V$1001,0),MATCH(COLUMNS($AC$1006:AF1006),$AC$1006:$AS$1006,0)), HYPERLINK("#",""), HYPERLINK(CONCATENATE("#metadata!", ADDRESS(INDEX($X$2:$X$1001,MATCH(ROWS($V$2:V567),$V$2:$V$1001,0),0), INDEX($AC$1004:$AS$1004,1,MATCH(COLUMNS($AC$1006:AF1006),$AC$1006:$AS$1006,0)))),"Fix")))</f>
        <v xml:space="preserve"> </v>
      </c>
      <c r="F567" s="4" t="str">
        <f ca="1">IF(OR(INDEX($W$2:$W$1001,MATCH(ROWS($V$2:V567),$V$2:$V$1001,0),1)&gt;=100000,INDEX($AC$1005:$AS$1005,1,MATCH(COLUMNS($AC$1006:AG1006),$AC$1006:$AS$1006,0))&gt;=100000), " ",IF(INDEX($AC$2:$AS$1001,MATCH(ROWS($V$2:V567),$V$2:$V$1001,0),MATCH(COLUMNS($AC$1006:AG1006),$AC$1006:$AS$1006,0)), HYPERLINK("#",""), HYPERLINK(CONCATENATE("#metadata!", ADDRESS(INDEX($X$2:$X$1001,MATCH(ROWS($V$2:V567),$V$2:$V$1001,0),0), INDEX($AC$1004:$AS$1004,1,MATCH(COLUMNS($AC$1006:AG1006),$AC$1006:$AS$1006,0)))),"Fix")))</f>
        <v xml:space="preserve"> </v>
      </c>
      <c r="G567" s="4" t="str">
        <f ca="1">IF(OR(INDEX($W$2:$W$1001,MATCH(ROWS($V$2:V567),$V$2:$V$1001,0),1)&gt;=100000,INDEX($AC$1005:$AS$1005,1,MATCH(COLUMNS($AC$1006:AH1006),$AC$1006:$AS$1006,0))&gt;=100000), " ",IF(INDEX($AC$2:$AS$1001,MATCH(ROWS($V$2:V567),$V$2:$V$1001,0),MATCH(COLUMNS($AC$1006:AH1006),$AC$1006:$AS$1006,0)), HYPERLINK("#",""), HYPERLINK(CONCATENATE("#metadata!", ADDRESS(INDEX($X$2:$X$1001,MATCH(ROWS($V$2:V567),$V$2:$V$1001,0),0), INDEX($AC$1004:$AS$1004,1,MATCH(COLUMNS($AC$1006:AH1006),$AC$1006:$AS$1006,0)))),"Fix")))</f>
        <v xml:space="preserve"> </v>
      </c>
      <c r="H567" s="4" t="str">
        <f ca="1">IF(OR(INDEX($W$2:$W$1001,MATCH(ROWS($V$2:V567),$V$2:$V$1001,0),1)&gt;=100000,INDEX($AC$1005:$AS$1005,1,MATCH(COLUMNS($AC$1006:AI1006),$AC$1006:$AS$1006,0))&gt;=100000), " ",IF(INDEX($AC$2:$AS$1001,MATCH(ROWS($V$2:V567),$V$2:$V$1001,0),MATCH(COLUMNS($AC$1006:AI1006),$AC$1006:$AS$1006,0)), HYPERLINK("#",""), HYPERLINK(CONCATENATE("#metadata!", ADDRESS(INDEX($X$2:$X$1001,MATCH(ROWS($V$2:V567),$V$2:$V$1001,0),0), INDEX($AC$1004:$AS$1004,1,MATCH(COLUMNS($AC$1006:AI1006),$AC$1006:$AS$1006,0)))),"Fix")))</f>
        <v xml:space="preserve"> </v>
      </c>
      <c r="I567" s="4" t="str">
        <f ca="1">IF(OR(INDEX($W$2:$W$1001,MATCH(ROWS($V$2:V567),$V$2:$V$1001,0),1)&gt;=100000,INDEX($AC$1005:$AS$1005,1,MATCH(COLUMNS($AC$1006:AJ1006),$AC$1006:$AS$1006,0))&gt;=100000), " ",IF(INDEX($AC$2:$AS$1001,MATCH(ROWS($V$2:V567),$V$2:$V$1001,0),MATCH(COLUMNS($AC$1006:AJ1006),$AC$1006:$AS$1006,0)), HYPERLINK("#",""), HYPERLINK(CONCATENATE("#metadata!", ADDRESS(INDEX($X$2:$X$1001,MATCH(ROWS($V$2:V567),$V$2:$V$1001,0),0), INDEX($AC$1004:$AS$1004,1,MATCH(COLUMNS($AC$1006:AJ1006),$AC$1006:$AS$1006,0)))),"Fix")))</f>
        <v xml:space="preserve"> </v>
      </c>
      <c r="J567" s="4" t="str">
        <f ca="1">IF(OR(INDEX($W$2:$W$1001,MATCH(ROWS($V$2:V567),$V$2:$V$1001,0),1)&gt;=100000,INDEX($AC$1005:$AS$1005,1,MATCH(COLUMNS($AC$1006:AK1006),$AC$1006:$AS$1006,0))&gt;=100000), " ",IF(INDEX($AC$2:$AS$1001,MATCH(ROWS($V$2:V567),$V$2:$V$1001,0),MATCH(COLUMNS($AC$1006:AK1006),$AC$1006:$AS$1006,0)), HYPERLINK("#",""), HYPERLINK(CONCATENATE("#metadata!", ADDRESS(INDEX($X$2:$X$1001,MATCH(ROWS($V$2:V567),$V$2:$V$1001,0),0), INDEX($AC$1004:$AS$1004,1,MATCH(COLUMNS($AC$1006:AK1006),$AC$1006:$AS$1006,0)))),"Fix")))</f>
        <v xml:space="preserve"> </v>
      </c>
      <c r="K567" s="4" t="str">
        <f ca="1">IF(OR(INDEX($W$2:$W$1001,MATCH(ROWS($V$2:V567),$V$2:$V$1001,0),1)&gt;=100000,INDEX($AC$1005:$AS$1005,1,MATCH(COLUMNS($AC$1006:AL1006),$AC$1006:$AS$1006,0))&gt;=100000), " ",IF(INDEX($AC$2:$AS$1001,MATCH(ROWS($V$2:V567),$V$2:$V$1001,0),MATCH(COLUMNS($AC$1006:AL1006),$AC$1006:$AS$1006,0)), HYPERLINK("#",""), HYPERLINK(CONCATENATE("#metadata!", ADDRESS(INDEX($X$2:$X$1001,MATCH(ROWS($V$2:V567),$V$2:$V$1001,0),0), INDEX($AC$1004:$AS$1004,1,MATCH(COLUMNS($AC$1006:AL1006),$AC$1006:$AS$1006,0)))),"Fix")))</f>
        <v xml:space="preserve"> </v>
      </c>
      <c r="L567" s="4" t="str">
        <f ca="1">IF(OR(INDEX($W$2:$W$1001,MATCH(ROWS($V$2:V567),$V$2:$V$1001,0),1)&gt;=100000,INDEX($AC$1005:$AS$1005,1,MATCH(COLUMNS($AC$1006:AM1006),$AC$1006:$AS$1006,0))&gt;=100000), " ",IF(INDEX($AC$2:$AS$1001,MATCH(ROWS($V$2:V567),$V$2:$V$1001,0),MATCH(COLUMNS($AC$1006:AM1006),$AC$1006:$AS$1006,0)), HYPERLINK("#",""), HYPERLINK(CONCATENATE("#metadata!", ADDRESS(INDEX($X$2:$X$1001,MATCH(ROWS($V$2:V567),$V$2:$V$1001,0),0), INDEX($AC$1004:$AS$1004,1,MATCH(COLUMNS($AC$1006:AM1006),$AC$1006:$AS$1006,0)))),"Fix")))</f>
        <v xml:space="preserve"> </v>
      </c>
      <c r="M567" s="4" t="str">
        <f ca="1">IF(OR(INDEX($W$2:$W$1001,MATCH(ROWS($V$2:V567),$V$2:$V$1001,0),1)&gt;=100000,INDEX($AC$1005:$AS$1005,1,MATCH(COLUMNS($AC$1006:AN1006),$AC$1006:$AS$1006,0))&gt;=100000), " ",IF(INDEX($AC$2:$AS$1001,MATCH(ROWS($V$2:V567),$V$2:$V$1001,0),MATCH(COLUMNS($AC$1006:AN1006),$AC$1006:$AS$1006,0)), HYPERLINK("#",""), HYPERLINK(CONCATENATE("#metadata!", ADDRESS(INDEX($X$2:$X$1001,MATCH(ROWS($V$2:V567),$V$2:$V$1001,0),0), INDEX($AC$1004:$AS$1004,1,MATCH(COLUMNS($AC$1006:AN1006),$AC$1006:$AS$1006,0)))),"Fix")))</f>
        <v xml:space="preserve"> </v>
      </c>
      <c r="N567" s="4" t="str">
        <f ca="1">IF(OR(INDEX($W$2:$W$1001,MATCH(ROWS($V$2:V567),$V$2:$V$1001,0),1)&gt;=100000,INDEX($AC$1005:$AS$1005,1,MATCH(COLUMNS($AC$1006:AO1006),$AC$1006:$AS$1006,0))&gt;=100000), " ",IF(INDEX($AC$2:$AS$1001,MATCH(ROWS($V$2:V567),$V$2:$V$1001,0),MATCH(COLUMNS($AC$1006:AO1006),$AC$1006:$AS$1006,0)), HYPERLINK("#",""), HYPERLINK(CONCATENATE("#metadata!", ADDRESS(INDEX($X$2:$X$1001,MATCH(ROWS($V$2:V567),$V$2:$V$1001,0),0), INDEX($AC$1004:$AS$1004,1,MATCH(COLUMNS($AC$1006:AO1006),$AC$1006:$AS$1006,0)))),"Fix")))</f>
        <v xml:space="preserve"> </v>
      </c>
      <c r="O567" s="4" t="str">
        <f ca="1">IF(OR(INDEX($W$2:$W$1001,MATCH(ROWS($V$2:V567),$V$2:$V$1001,0),1)&gt;=100000,INDEX($AC$1005:$AS$1005,1,MATCH(COLUMNS($AC$1006:AP1006),$AC$1006:$AS$1006,0))&gt;=100000), " ",IF(INDEX($AC$2:$AS$1001,MATCH(ROWS($V$2:V567),$V$2:$V$1001,0),MATCH(COLUMNS($AC$1006:AP1006),$AC$1006:$AS$1006,0)), HYPERLINK("#",""), HYPERLINK(CONCATENATE("#metadata!", ADDRESS(INDEX($X$2:$X$1001,MATCH(ROWS($V$2:V567),$V$2:$V$1001,0),0), INDEX($AC$1004:$AS$1004,1,MATCH(COLUMNS($AC$1006:AP1006),$AC$1006:$AS$1006,0)))),"Fix")))</f>
        <v xml:space="preserve"> </v>
      </c>
      <c r="P567" s="4" t="str">
        <f ca="1">IF(OR(INDEX($W$2:$W$1001,MATCH(ROWS($V$2:V567),$V$2:$V$1001,0),1)&gt;=100000,INDEX($AC$1005:$AS$1005,1,MATCH(COLUMNS($AC$1006:AQ1006),$AC$1006:$AS$1006,0))&gt;=100000), " ",IF(INDEX($AC$2:$AS$1001,MATCH(ROWS($V$2:V567),$V$2:$V$1001,0),MATCH(COLUMNS($AC$1006:AQ1006),$AC$1006:$AS$1006,0)), HYPERLINK("#",""), HYPERLINK(CONCATENATE("#metadata!", ADDRESS(INDEX($X$2:$X$1001,MATCH(ROWS($V$2:V567),$V$2:$V$1001,0),0), INDEX($AC$1004:$AS$1004,1,MATCH(COLUMNS($AC$1006:AQ1006),$AC$1006:$AS$1006,0)))),"Fix")))</f>
        <v xml:space="preserve"> </v>
      </c>
      <c r="Q567" s="4" t="str">
        <f ca="1">IF(OR(INDEX($W$2:$W$1001,MATCH(ROWS($V$2:V567),$V$2:$V$1001,0),1)&gt;=100000,INDEX($AC$1005:$AS$1005,1,MATCH(COLUMNS($AC$1006:AR1006),$AC$1006:$AS$1006,0))&gt;=100000), " ",IF(INDEX($AC$2:$AS$1001,MATCH(ROWS($V$2:V567),$V$2:$V$1001,0),MATCH(COLUMNS($AC$1006:AR1006),$AC$1006:$AS$1006,0)), HYPERLINK("#",""), HYPERLINK(CONCATENATE("#metadata!", ADDRESS(INDEX($X$2:$X$1001,MATCH(ROWS($V$2:V567),$V$2:$V$1001,0),0), INDEX($AC$1004:$AS$1004,1,MATCH(COLUMNS($AC$1006:AR1006),$AC$1006:$AS$1006,0)))),"Fix")))</f>
        <v xml:space="preserve"> </v>
      </c>
      <c r="R567" s="4" t="str">
        <f ca="1">IF(OR(INDEX($W$2:$W$1001,MATCH(ROWS($V$2:V567),$V$2:$V$1001,0),1)&gt;=100000,INDEX($AC$1005:$AS$1005,1,MATCH(COLUMNS($AC$1006:AS1006),$AC$1006:$AS$1006,0))&gt;=100000), " ",IF(INDEX($AC$2:$AS$1001,MATCH(ROWS($V$2:V567),$V$2:$V$1001,0),MATCH(COLUMNS($AC$1006:AS1006),$AC$1006:$AS$1006,0)), HYPERLINK("#",""), HYPERLINK(CONCATENATE("#metadata!", ADDRESS(INDEX($X$2:$X$1001,MATCH(ROWS($V$2:V567),$V$2:$V$1001,0),0), INDEX($AC$1004:$AS$1004,1,MATCH(COLUMNS($AC$1006:AS1006),$AC$1006:$AS$1006,0)))),"Fix")))</f>
        <v xml:space="preserve"> </v>
      </c>
      <c r="V567">
        <v>566</v>
      </c>
      <c r="W567">
        <v>100567</v>
      </c>
      <c r="X567">
        <v>567</v>
      </c>
      <c r="Y567" t="b">
        <f t="shared" si="8"/>
        <v>1</v>
      </c>
      <c r="Z567" t="b">
        <f>COUNTBLANK(metadata!B567:R567)=COLUMNS(metadata!B567:R567)</f>
        <v>1</v>
      </c>
      <c r="AA567" t="str">
        <v/>
      </c>
      <c r="AC567" t="b">
        <f ca="1"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AD567" t="b">
        <f>IF(metadata!C567="",FALSE,ISNUMBER(VALUE(metadata!C567)))</f>
        <v>0</v>
      </c>
      <c r="AE567" t="b">
        <f>AND(IF(metadata!D567="",FALSE,TRUE),EXACT(metadata!D567,"years"))</f>
        <v>0</v>
      </c>
      <c r="AF567" t="b">
        <f>OR(AND(IF(metadata!E567="",FALSE,TRUE),OR(EXACT(metadata!E567,"not applicable"),EXACT(metadata!E567,"missing: not collected"),EXACT(metadata!E567,"missing: not provided"),EXACT(metadata!E567,"missing: restricted access"))),AND(IF(metadata!E567="",FALSE,ISNUMBER(VALUE(metadata!E567))),metadata!E567&gt;0))</f>
        <v>0</v>
      </c>
      <c r="AG567" t="b">
        <f>AND(IF(metadata!F567="",FALSE,TRUE),EXACT(metadata!F567,"Not applicable"))</f>
        <v>0</v>
      </c>
      <c r="AH567" t="b">
        <f>AND(IF(metadata!G567="",FALSE,TRUE),EXACT(metadata!G567,"urban biome"))</f>
        <v>0</v>
      </c>
      <c r="AI567" t="b">
        <f>AND(IF(metadata!H567="",FALSE,TRUE),EXACT(metadata!H567,"human-associated habitat"))</f>
        <v>0</v>
      </c>
      <c r="AJ567" t="b">
        <f>AND(IF(metadata!I567="",FALSE,TRUE),OR(EXACT(metadata!I567,"human-associated"),EXACT(metadata!I567,"human-skin"),EXACT(metadata!I567,"human-oral"),EXACT(metadata!I567,"human-gut"),EXACT(metadata!I567,"human-vaginal")))</f>
        <v>0</v>
      </c>
      <c r="AK567" t="b">
        <f>IF(metadata!J567="",FALSE,ISNUMBER(VALUE(metadata!J567)))</f>
        <v>0</v>
      </c>
      <c r="AL567" t="b">
        <f>AND(IF(metadata!K567="",FALSE,TRUE),EXACT(metadata!K567,"cm"))</f>
        <v>0</v>
      </c>
      <c r="AM567" t="b">
        <f>AND(IF(metadata!L567="",FALSE,TRUE),EXACT(metadata!L567,"human"))</f>
        <v>0</v>
      </c>
      <c r="AN567" t="b">
        <f>AND(IF(metadata!M567="",FALSE,TRUE),EXACT(metadata!M567,"Homo sapiens"))</f>
        <v>0</v>
      </c>
      <c r="AO567" t="b">
        <f>AND(IF(metadata!N567="",FALSE,TRUE),EXACT(metadata!N567,"9606"))</f>
        <v>0</v>
      </c>
      <c r="AP567" t="b">
        <f>IF(metadata!O567="",FALSE,TRUE)</f>
        <v>0</v>
      </c>
      <c r="AQ567" t="b">
        <f>IF(metadata!P567="",FALSE,TRUE)</f>
        <v>0</v>
      </c>
      <c r="AR567" t="b">
        <f>IF(metadata!Q567="",FALSE,ISNUMBER(VALUE(metadata!Q567)))</f>
        <v>0</v>
      </c>
      <c r="AS567" t="b">
        <f>AND(IF(metadata!R567="",FALSE,TRUE),EXACT(metadata!R567,"kg"))</f>
        <v>0</v>
      </c>
    </row>
    <row r="568" spans="1:45" x14ac:dyDescent="0.2">
      <c r="A568" s="5" t="str">
        <f ca="1">IF(B568=" "," ",HYPERLINK(CONCATENATE("#metadata!",ADDRESS(INDEX($X$2:$X$1001,MATCH(ROWS($V$2:V568),$V$2:$V$1001,0),0),1)),INDEX($AA$2:$AA$1001,MATCH(ROWS($V$2:V568),$V$2:$V$1001,0),0)))</f>
        <v xml:space="preserve"> </v>
      </c>
      <c r="B568" s="4" t="str">
        <f ca="1">IF(OR(INDEX($W$2:$W$1001,MATCH(ROWS($V$2:V568),$V$2:$V$1001,0),1)&gt;=100000,INDEX($AC$1005:$AS$1005,1,MATCH(COLUMNS($AC$1006:AC1006),$AC$1006:$AS$1006,0))&gt;=100000), " ",IF(INDEX($AC$2:$AS$1001,MATCH(ROWS($V$2:V568),$V$2:$V$1001,0),MATCH(COLUMNS($AC$1006:AC1006),$AC$1006:$AS$1006,0)), HYPERLINK("#",""), HYPERLINK(CONCATENATE("#metadata!", ADDRESS(INDEX($X$2:$X$1001,MATCH(ROWS($V$2:V568),$V$2:$V$1001,0),0), INDEX($AC$1004:$AS$1004,1,MATCH(COLUMNS($AC$1006:AC1006),$AC$1006:$AS$1006,0)))),"Fix")))</f>
        <v xml:space="preserve"> </v>
      </c>
      <c r="C568" s="4" t="str">
        <f ca="1">IF(OR(INDEX($W$2:$W$1001,MATCH(ROWS($V$2:V568),$V$2:$V$1001,0),1)&gt;=100000,INDEX($AC$1005:$AS$1005,1,MATCH(COLUMNS($AC$1006:AD1006),$AC$1006:$AS$1006,0))&gt;=100000), " ",IF(INDEX($AC$2:$AS$1001,MATCH(ROWS($V$2:V568),$V$2:$V$1001,0),MATCH(COLUMNS($AC$1006:AD1006),$AC$1006:$AS$1006,0)), HYPERLINK("#",""), HYPERLINK(CONCATENATE("#metadata!", ADDRESS(INDEX($X$2:$X$1001,MATCH(ROWS($V$2:V568),$V$2:$V$1001,0),0), INDEX($AC$1004:$AS$1004,1,MATCH(COLUMNS($AC$1006:AD1006),$AC$1006:$AS$1006,0)))),"Fix")))</f>
        <v xml:space="preserve"> </v>
      </c>
      <c r="D568" s="4" t="str">
        <f ca="1">IF(OR(INDEX($W$2:$W$1001,MATCH(ROWS($V$2:V568),$V$2:$V$1001,0),1)&gt;=100000,INDEX($AC$1005:$AS$1005,1,MATCH(COLUMNS($AC$1006:AE1006),$AC$1006:$AS$1006,0))&gt;=100000), " ",IF(INDEX($AC$2:$AS$1001,MATCH(ROWS($V$2:V568),$V$2:$V$1001,0),MATCH(COLUMNS($AC$1006:AE1006),$AC$1006:$AS$1006,0)), HYPERLINK("#",""), HYPERLINK(CONCATENATE("#metadata!", ADDRESS(INDEX($X$2:$X$1001,MATCH(ROWS($V$2:V568),$V$2:$V$1001,0),0), INDEX($AC$1004:$AS$1004,1,MATCH(COLUMNS($AC$1006:AE1006),$AC$1006:$AS$1006,0)))),"Fix")))</f>
        <v xml:space="preserve"> </v>
      </c>
      <c r="E568" s="4" t="str">
        <f ca="1">IF(OR(INDEX($W$2:$W$1001,MATCH(ROWS($V$2:V568),$V$2:$V$1001,0),1)&gt;=100000,INDEX($AC$1005:$AS$1005,1,MATCH(COLUMNS($AC$1006:AF1006),$AC$1006:$AS$1006,0))&gt;=100000), " ",IF(INDEX($AC$2:$AS$1001,MATCH(ROWS($V$2:V568),$V$2:$V$1001,0),MATCH(COLUMNS($AC$1006:AF1006),$AC$1006:$AS$1006,0)), HYPERLINK("#",""), HYPERLINK(CONCATENATE("#metadata!", ADDRESS(INDEX($X$2:$X$1001,MATCH(ROWS($V$2:V568),$V$2:$V$1001,0),0), INDEX($AC$1004:$AS$1004,1,MATCH(COLUMNS($AC$1006:AF1006),$AC$1006:$AS$1006,0)))),"Fix")))</f>
        <v xml:space="preserve"> </v>
      </c>
      <c r="F568" s="4" t="str">
        <f ca="1">IF(OR(INDEX($W$2:$W$1001,MATCH(ROWS($V$2:V568),$V$2:$V$1001,0),1)&gt;=100000,INDEX($AC$1005:$AS$1005,1,MATCH(COLUMNS($AC$1006:AG1006),$AC$1006:$AS$1006,0))&gt;=100000), " ",IF(INDEX($AC$2:$AS$1001,MATCH(ROWS($V$2:V568),$V$2:$V$1001,0),MATCH(COLUMNS($AC$1006:AG1006),$AC$1006:$AS$1006,0)), HYPERLINK("#",""), HYPERLINK(CONCATENATE("#metadata!", ADDRESS(INDEX($X$2:$X$1001,MATCH(ROWS($V$2:V568),$V$2:$V$1001,0),0), INDEX($AC$1004:$AS$1004,1,MATCH(COLUMNS($AC$1006:AG1006),$AC$1006:$AS$1006,0)))),"Fix")))</f>
        <v xml:space="preserve"> </v>
      </c>
      <c r="G568" s="4" t="str">
        <f ca="1">IF(OR(INDEX($W$2:$W$1001,MATCH(ROWS($V$2:V568),$V$2:$V$1001,0),1)&gt;=100000,INDEX($AC$1005:$AS$1005,1,MATCH(COLUMNS($AC$1006:AH1006),$AC$1006:$AS$1006,0))&gt;=100000), " ",IF(INDEX($AC$2:$AS$1001,MATCH(ROWS($V$2:V568),$V$2:$V$1001,0),MATCH(COLUMNS($AC$1006:AH1006),$AC$1006:$AS$1006,0)), HYPERLINK("#",""), HYPERLINK(CONCATENATE("#metadata!", ADDRESS(INDEX($X$2:$X$1001,MATCH(ROWS($V$2:V568),$V$2:$V$1001,0),0), INDEX($AC$1004:$AS$1004,1,MATCH(COLUMNS($AC$1006:AH1006),$AC$1006:$AS$1006,0)))),"Fix")))</f>
        <v xml:space="preserve"> </v>
      </c>
      <c r="H568" s="4" t="str">
        <f ca="1">IF(OR(INDEX($W$2:$W$1001,MATCH(ROWS($V$2:V568),$V$2:$V$1001,0),1)&gt;=100000,INDEX($AC$1005:$AS$1005,1,MATCH(COLUMNS($AC$1006:AI1006),$AC$1006:$AS$1006,0))&gt;=100000), " ",IF(INDEX($AC$2:$AS$1001,MATCH(ROWS($V$2:V568),$V$2:$V$1001,0),MATCH(COLUMNS($AC$1006:AI1006),$AC$1006:$AS$1006,0)), HYPERLINK("#",""), HYPERLINK(CONCATENATE("#metadata!", ADDRESS(INDEX($X$2:$X$1001,MATCH(ROWS($V$2:V568),$V$2:$V$1001,0),0), INDEX($AC$1004:$AS$1004,1,MATCH(COLUMNS($AC$1006:AI1006),$AC$1006:$AS$1006,0)))),"Fix")))</f>
        <v xml:space="preserve"> </v>
      </c>
      <c r="I568" s="4" t="str">
        <f ca="1">IF(OR(INDEX($W$2:$W$1001,MATCH(ROWS($V$2:V568),$V$2:$V$1001,0),1)&gt;=100000,INDEX($AC$1005:$AS$1005,1,MATCH(COLUMNS($AC$1006:AJ1006),$AC$1006:$AS$1006,0))&gt;=100000), " ",IF(INDEX($AC$2:$AS$1001,MATCH(ROWS($V$2:V568),$V$2:$V$1001,0),MATCH(COLUMNS($AC$1006:AJ1006),$AC$1006:$AS$1006,0)), HYPERLINK("#",""), HYPERLINK(CONCATENATE("#metadata!", ADDRESS(INDEX($X$2:$X$1001,MATCH(ROWS($V$2:V568),$V$2:$V$1001,0),0), INDEX($AC$1004:$AS$1004,1,MATCH(COLUMNS($AC$1006:AJ1006),$AC$1006:$AS$1006,0)))),"Fix")))</f>
        <v xml:space="preserve"> </v>
      </c>
      <c r="J568" s="4" t="str">
        <f ca="1">IF(OR(INDEX($W$2:$W$1001,MATCH(ROWS($V$2:V568),$V$2:$V$1001,0),1)&gt;=100000,INDEX($AC$1005:$AS$1005,1,MATCH(COLUMNS($AC$1006:AK1006),$AC$1006:$AS$1006,0))&gt;=100000), " ",IF(INDEX($AC$2:$AS$1001,MATCH(ROWS($V$2:V568),$V$2:$V$1001,0),MATCH(COLUMNS($AC$1006:AK1006),$AC$1006:$AS$1006,0)), HYPERLINK("#",""), HYPERLINK(CONCATENATE("#metadata!", ADDRESS(INDEX($X$2:$X$1001,MATCH(ROWS($V$2:V568),$V$2:$V$1001,0),0), INDEX($AC$1004:$AS$1004,1,MATCH(COLUMNS($AC$1006:AK1006),$AC$1006:$AS$1006,0)))),"Fix")))</f>
        <v xml:space="preserve"> </v>
      </c>
      <c r="K568" s="4" t="str">
        <f ca="1">IF(OR(INDEX($W$2:$W$1001,MATCH(ROWS($V$2:V568),$V$2:$V$1001,0),1)&gt;=100000,INDEX($AC$1005:$AS$1005,1,MATCH(COLUMNS($AC$1006:AL1006),$AC$1006:$AS$1006,0))&gt;=100000), " ",IF(INDEX($AC$2:$AS$1001,MATCH(ROWS($V$2:V568),$V$2:$V$1001,0),MATCH(COLUMNS($AC$1006:AL1006),$AC$1006:$AS$1006,0)), HYPERLINK("#",""), HYPERLINK(CONCATENATE("#metadata!", ADDRESS(INDEX($X$2:$X$1001,MATCH(ROWS($V$2:V568),$V$2:$V$1001,0),0), INDEX($AC$1004:$AS$1004,1,MATCH(COLUMNS($AC$1006:AL1006),$AC$1006:$AS$1006,0)))),"Fix")))</f>
        <v xml:space="preserve"> </v>
      </c>
      <c r="L568" s="4" t="str">
        <f ca="1">IF(OR(INDEX($W$2:$W$1001,MATCH(ROWS($V$2:V568),$V$2:$V$1001,0),1)&gt;=100000,INDEX($AC$1005:$AS$1005,1,MATCH(COLUMNS($AC$1006:AM1006),$AC$1006:$AS$1006,0))&gt;=100000), " ",IF(INDEX($AC$2:$AS$1001,MATCH(ROWS($V$2:V568),$V$2:$V$1001,0),MATCH(COLUMNS($AC$1006:AM1006),$AC$1006:$AS$1006,0)), HYPERLINK("#",""), HYPERLINK(CONCATENATE("#metadata!", ADDRESS(INDEX($X$2:$X$1001,MATCH(ROWS($V$2:V568),$V$2:$V$1001,0),0), INDEX($AC$1004:$AS$1004,1,MATCH(COLUMNS($AC$1006:AM1006),$AC$1006:$AS$1006,0)))),"Fix")))</f>
        <v xml:space="preserve"> </v>
      </c>
      <c r="M568" s="4" t="str">
        <f ca="1">IF(OR(INDEX($W$2:$W$1001,MATCH(ROWS($V$2:V568),$V$2:$V$1001,0),1)&gt;=100000,INDEX($AC$1005:$AS$1005,1,MATCH(COLUMNS($AC$1006:AN1006),$AC$1006:$AS$1006,0))&gt;=100000), " ",IF(INDEX($AC$2:$AS$1001,MATCH(ROWS($V$2:V568),$V$2:$V$1001,0),MATCH(COLUMNS($AC$1006:AN1006),$AC$1006:$AS$1006,0)), HYPERLINK("#",""), HYPERLINK(CONCATENATE("#metadata!", ADDRESS(INDEX($X$2:$X$1001,MATCH(ROWS($V$2:V568),$V$2:$V$1001,0),0), INDEX($AC$1004:$AS$1004,1,MATCH(COLUMNS($AC$1006:AN1006),$AC$1006:$AS$1006,0)))),"Fix")))</f>
        <v xml:space="preserve"> </v>
      </c>
      <c r="N568" s="4" t="str">
        <f ca="1">IF(OR(INDEX($W$2:$W$1001,MATCH(ROWS($V$2:V568),$V$2:$V$1001,0),1)&gt;=100000,INDEX($AC$1005:$AS$1005,1,MATCH(COLUMNS($AC$1006:AO1006),$AC$1006:$AS$1006,0))&gt;=100000), " ",IF(INDEX($AC$2:$AS$1001,MATCH(ROWS($V$2:V568),$V$2:$V$1001,0),MATCH(COLUMNS($AC$1006:AO1006),$AC$1006:$AS$1006,0)), HYPERLINK("#",""), HYPERLINK(CONCATENATE("#metadata!", ADDRESS(INDEX($X$2:$X$1001,MATCH(ROWS($V$2:V568),$V$2:$V$1001,0),0), INDEX($AC$1004:$AS$1004,1,MATCH(COLUMNS($AC$1006:AO1006),$AC$1006:$AS$1006,0)))),"Fix")))</f>
        <v xml:space="preserve"> </v>
      </c>
      <c r="O568" s="4" t="str">
        <f ca="1">IF(OR(INDEX($W$2:$W$1001,MATCH(ROWS($V$2:V568),$V$2:$V$1001,0),1)&gt;=100000,INDEX($AC$1005:$AS$1005,1,MATCH(COLUMNS($AC$1006:AP1006),$AC$1006:$AS$1006,0))&gt;=100000), " ",IF(INDEX($AC$2:$AS$1001,MATCH(ROWS($V$2:V568),$V$2:$V$1001,0),MATCH(COLUMNS($AC$1006:AP1006),$AC$1006:$AS$1006,0)), HYPERLINK("#",""), HYPERLINK(CONCATENATE("#metadata!", ADDRESS(INDEX($X$2:$X$1001,MATCH(ROWS($V$2:V568),$V$2:$V$1001,0),0), INDEX($AC$1004:$AS$1004,1,MATCH(COLUMNS($AC$1006:AP1006),$AC$1006:$AS$1006,0)))),"Fix")))</f>
        <v xml:space="preserve"> </v>
      </c>
      <c r="P568" s="4" t="str">
        <f ca="1">IF(OR(INDEX($W$2:$W$1001,MATCH(ROWS($V$2:V568),$V$2:$V$1001,0),1)&gt;=100000,INDEX($AC$1005:$AS$1005,1,MATCH(COLUMNS($AC$1006:AQ1006),$AC$1006:$AS$1006,0))&gt;=100000), " ",IF(INDEX($AC$2:$AS$1001,MATCH(ROWS($V$2:V568),$V$2:$V$1001,0),MATCH(COLUMNS($AC$1006:AQ1006),$AC$1006:$AS$1006,0)), HYPERLINK("#",""), HYPERLINK(CONCATENATE("#metadata!", ADDRESS(INDEX($X$2:$X$1001,MATCH(ROWS($V$2:V568),$V$2:$V$1001,0),0), INDEX($AC$1004:$AS$1004,1,MATCH(COLUMNS($AC$1006:AQ1006),$AC$1006:$AS$1006,0)))),"Fix")))</f>
        <v xml:space="preserve"> </v>
      </c>
      <c r="Q568" s="4" t="str">
        <f ca="1">IF(OR(INDEX($W$2:$W$1001,MATCH(ROWS($V$2:V568),$V$2:$V$1001,0),1)&gt;=100000,INDEX($AC$1005:$AS$1005,1,MATCH(COLUMNS($AC$1006:AR1006),$AC$1006:$AS$1006,0))&gt;=100000), " ",IF(INDEX($AC$2:$AS$1001,MATCH(ROWS($V$2:V568),$V$2:$V$1001,0),MATCH(COLUMNS($AC$1006:AR1006),$AC$1006:$AS$1006,0)), HYPERLINK("#",""), HYPERLINK(CONCATENATE("#metadata!", ADDRESS(INDEX($X$2:$X$1001,MATCH(ROWS($V$2:V568),$V$2:$V$1001,0),0), INDEX($AC$1004:$AS$1004,1,MATCH(COLUMNS($AC$1006:AR1006),$AC$1006:$AS$1006,0)))),"Fix")))</f>
        <v xml:space="preserve"> </v>
      </c>
      <c r="R568" s="4" t="str">
        <f ca="1">IF(OR(INDEX($W$2:$W$1001,MATCH(ROWS($V$2:V568),$V$2:$V$1001,0),1)&gt;=100000,INDEX($AC$1005:$AS$1005,1,MATCH(COLUMNS($AC$1006:AS1006),$AC$1006:$AS$1006,0))&gt;=100000), " ",IF(INDEX($AC$2:$AS$1001,MATCH(ROWS($V$2:V568),$V$2:$V$1001,0),MATCH(COLUMNS($AC$1006:AS1006),$AC$1006:$AS$1006,0)), HYPERLINK("#",""), HYPERLINK(CONCATENATE("#metadata!", ADDRESS(INDEX($X$2:$X$1001,MATCH(ROWS($V$2:V568),$V$2:$V$1001,0),0), INDEX($AC$1004:$AS$1004,1,MATCH(COLUMNS($AC$1006:AS1006),$AC$1006:$AS$1006,0)))),"Fix")))</f>
        <v xml:space="preserve"> </v>
      </c>
      <c r="V568">
        <v>567</v>
      </c>
      <c r="W568">
        <v>100568</v>
      </c>
      <c r="X568">
        <v>568</v>
      </c>
      <c r="Y568" t="b">
        <f t="shared" si="8"/>
        <v>1</v>
      </c>
      <c r="Z568" t="b">
        <f>COUNTBLANK(metadata!B568:R568)=COLUMNS(metadata!B568:R568)</f>
        <v>1</v>
      </c>
      <c r="AA568" t="str">
        <v/>
      </c>
      <c r="AC568" t="b">
        <f ca="1"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AD568" t="b">
        <f>IF(metadata!C568="",FALSE,ISNUMBER(VALUE(metadata!C568)))</f>
        <v>0</v>
      </c>
      <c r="AE568" t="b">
        <f>AND(IF(metadata!D568="",FALSE,TRUE),EXACT(metadata!D568,"years"))</f>
        <v>0</v>
      </c>
      <c r="AF568" t="b">
        <f>OR(AND(IF(metadata!E568="",FALSE,TRUE),OR(EXACT(metadata!E568,"not applicable"),EXACT(metadata!E568,"missing: not collected"),EXACT(metadata!E568,"missing: not provided"),EXACT(metadata!E568,"missing: restricted access"))),AND(IF(metadata!E568="",FALSE,ISNUMBER(VALUE(metadata!E568))),metadata!E568&gt;0))</f>
        <v>0</v>
      </c>
      <c r="AG568" t="b">
        <f>AND(IF(metadata!F568="",FALSE,TRUE),EXACT(metadata!F568,"Not applicable"))</f>
        <v>0</v>
      </c>
      <c r="AH568" t="b">
        <f>AND(IF(metadata!G568="",FALSE,TRUE),EXACT(metadata!G568,"urban biome"))</f>
        <v>0</v>
      </c>
      <c r="AI568" t="b">
        <f>AND(IF(metadata!H568="",FALSE,TRUE),EXACT(metadata!H568,"human-associated habitat"))</f>
        <v>0</v>
      </c>
      <c r="AJ568" t="b">
        <f>AND(IF(metadata!I568="",FALSE,TRUE),OR(EXACT(metadata!I568,"human-associated"),EXACT(metadata!I568,"human-skin"),EXACT(metadata!I568,"human-oral"),EXACT(metadata!I568,"human-gut"),EXACT(metadata!I568,"human-vaginal")))</f>
        <v>0</v>
      </c>
      <c r="AK568" t="b">
        <f>IF(metadata!J568="",FALSE,ISNUMBER(VALUE(metadata!J568)))</f>
        <v>0</v>
      </c>
      <c r="AL568" t="b">
        <f>AND(IF(metadata!K568="",FALSE,TRUE),EXACT(metadata!K568,"cm"))</f>
        <v>0</v>
      </c>
      <c r="AM568" t="b">
        <f>AND(IF(metadata!L568="",FALSE,TRUE),EXACT(metadata!L568,"human"))</f>
        <v>0</v>
      </c>
      <c r="AN568" t="b">
        <f>AND(IF(metadata!M568="",FALSE,TRUE),EXACT(metadata!M568,"Homo sapiens"))</f>
        <v>0</v>
      </c>
      <c r="AO568" t="b">
        <f>AND(IF(metadata!N568="",FALSE,TRUE),EXACT(metadata!N568,"9606"))</f>
        <v>0</v>
      </c>
      <c r="AP568" t="b">
        <f>IF(metadata!O568="",FALSE,TRUE)</f>
        <v>0</v>
      </c>
      <c r="AQ568" t="b">
        <f>IF(metadata!P568="",FALSE,TRUE)</f>
        <v>0</v>
      </c>
      <c r="AR568" t="b">
        <f>IF(metadata!Q568="",FALSE,ISNUMBER(VALUE(metadata!Q568)))</f>
        <v>0</v>
      </c>
      <c r="AS568" t="b">
        <f>AND(IF(metadata!R568="",FALSE,TRUE),EXACT(metadata!R568,"kg"))</f>
        <v>0</v>
      </c>
    </row>
    <row r="569" spans="1:45" x14ac:dyDescent="0.2">
      <c r="A569" s="5" t="str">
        <f ca="1">IF(B569=" "," ",HYPERLINK(CONCATENATE("#metadata!",ADDRESS(INDEX($X$2:$X$1001,MATCH(ROWS($V$2:V569),$V$2:$V$1001,0),0),1)),INDEX($AA$2:$AA$1001,MATCH(ROWS($V$2:V569),$V$2:$V$1001,0),0)))</f>
        <v xml:space="preserve"> </v>
      </c>
      <c r="B569" s="4" t="str">
        <f ca="1">IF(OR(INDEX($W$2:$W$1001,MATCH(ROWS($V$2:V569),$V$2:$V$1001,0),1)&gt;=100000,INDEX($AC$1005:$AS$1005,1,MATCH(COLUMNS($AC$1006:AC1006),$AC$1006:$AS$1006,0))&gt;=100000), " ",IF(INDEX($AC$2:$AS$1001,MATCH(ROWS($V$2:V569),$V$2:$V$1001,0),MATCH(COLUMNS($AC$1006:AC1006),$AC$1006:$AS$1006,0)), HYPERLINK("#",""), HYPERLINK(CONCATENATE("#metadata!", ADDRESS(INDEX($X$2:$X$1001,MATCH(ROWS($V$2:V569),$V$2:$V$1001,0),0), INDEX($AC$1004:$AS$1004,1,MATCH(COLUMNS($AC$1006:AC1006),$AC$1006:$AS$1006,0)))),"Fix")))</f>
        <v xml:space="preserve"> </v>
      </c>
      <c r="C569" s="4" t="str">
        <f ca="1">IF(OR(INDEX($W$2:$W$1001,MATCH(ROWS($V$2:V569),$V$2:$V$1001,0),1)&gt;=100000,INDEX($AC$1005:$AS$1005,1,MATCH(COLUMNS($AC$1006:AD1006),$AC$1006:$AS$1006,0))&gt;=100000), " ",IF(INDEX($AC$2:$AS$1001,MATCH(ROWS($V$2:V569),$V$2:$V$1001,0),MATCH(COLUMNS($AC$1006:AD1006),$AC$1006:$AS$1006,0)), HYPERLINK("#",""), HYPERLINK(CONCATENATE("#metadata!", ADDRESS(INDEX($X$2:$X$1001,MATCH(ROWS($V$2:V569),$V$2:$V$1001,0),0), INDEX($AC$1004:$AS$1004,1,MATCH(COLUMNS($AC$1006:AD1006),$AC$1006:$AS$1006,0)))),"Fix")))</f>
        <v xml:space="preserve"> </v>
      </c>
      <c r="D569" s="4" t="str">
        <f ca="1">IF(OR(INDEX($W$2:$W$1001,MATCH(ROWS($V$2:V569),$V$2:$V$1001,0),1)&gt;=100000,INDEX($AC$1005:$AS$1005,1,MATCH(COLUMNS($AC$1006:AE1006),$AC$1006:$AS$1006,0))&gt;=100000), " ",IF(INDEX($AC$2:$AS$1001,MATCH(ROWS($V$2:V569),$V$2:$V$1001,0),MATCH(COLUMNS($AC$1006:AE1006),$AC$1006:$AS$1006,0)), HYPERLINK("#",""), HYPERLINK(CONCATENATE("#metadata!", ADDRESS(INDEX($X$2:$X$1001,MATCH(ROWS($V$2:V569),$V$2:$V$1001,0),0), INDEX($AC$1004:$AS$1004,1,MATCH(COLUMNS($AC$1006:AE1006),$AC$1006:$AS$1006,0)))),"Fix")))</f>
        <v xml:space="preserve"> </v>
      </c>
      <c r="E569" s="4" t="str">
        <f ca="1">IF(OR(INDEX($W$2:$W$1001,MATCH(ROWS($V$2:V569),$V$2:$V$1001,0),1)&gt;=100000,INDEX($AC$1005:$AS$1005,1,MATCH(COLUMNS($AC$1006:AF1006),$AC$1006:$AS$1006,0))&gt;=100000), " ",IF(INDEX($AC$2:$AS$1001,MATCH(ROWS($V$2:V569),$V$2:$V$1001,0),MATCH(COLUMNS($AC$1006:AF1006),$AC$1006:$AS$1006,0)), HYPERLINK("#",""), HYPERLINK(CONCATENATE("#metadata!", ADDRESS(INDEX($X$2:$X$1001,MATCH(ROWS($V$2:V569),$V$2:$V$1001,0),0), INDEX($AC$1004:$AS$1004,1,MATCH(COLUMNS($AC$1006:AF1006),$AC$1006:$AS$1006,0)))),"Fix")))</f>
        <v xml:space="preserve"> </v>
      </c>
      <c r="F569" s="4" t="str">
        <f ca="1">IF(OR(INDEX($W$2:$W$1001,MATCH(ROWS($V$2:V569),$V$2:$V$1001,0),1)&gt;=100000,INDEX($AC$1005:$AS$1005,1,MATCH(COLUMNS($AC$1006:AG1006),$AC$1006:$AS$1006,0))&gt;=100000), " ",IF(INDEX($AC$2:$AS$1001,MATCH(ROWS($V$2:V569),$V$2:$V$1001,0),MATCH(COLUMNS($AC$1006:AG1006),$AC$1006:$AS$1006,0)), HYPERLINK("#",""), HYPERLINK(CONCATENATE("#metadata!", ADDRESS(INDEX($X$2:$X$1001,MATCH(ROWS($V$2:V569),$V$2:$V$1001,0),0), INDEX($AC$1004:$AS$1004,1,MATCH(COLUMNS($AC$1006:AG1006),$AC$1006:$AS$1006,0)))),"Fix")))</f>
        <v xml:space="preserve"> </v>
      </c>
      <c r="G569" s="4" t="str">
        <f ca="1">IF(OR(INDEX($W$2:$W$1001,MATCH(ROWS($V$2:V569),$V$2:$V$1001,0),1)&gt;=100000,INDEX($AC$1005:$AS$1005,1,MATCH(COLUMNS($AC$1006:AH1006),$AC$1006:$AS$1006,0))&gt;=100000), " ",IF(INDEX($AC$2:$AS$1001,MATCH(ROWS($V$2:V569),$V$2:$V$1001,0),MATCH(COLUMNS($AC$1006:AH1006),$AC$1006:$AS$1006,0)), HYPERLINK("#",""), HYPERLINK(CONCATENATE("#metadata!", ADDRESS(INDEX($X$2:$X$1001,MATCH(ROWS($V$2:V569),$V$2:$V$1001,0),0), INDEX($AC$1004:$AS$1004,1,MATCH(COLUMNS($AC$1006:AH1006),$AC$1006:$AS$1006,0)))),"Fix")))</f>
        <v xml:space="preserve"> </v>
      </c>
      <c r="H569" s="4" t="str">
        <f ca="1">IF(OR(INDEX($W$2:$W$1001,MATCH(ROWS($V$2:V569),$V$2:$V$1001,0),1)&gt;=100000,INDEX($AC$1005:$AS$1005,1,MATCH(COLUMNS($AC$1006:AI1006),$AC$1006:$AS$1006,0))&gt;=100000), " ",IF(INDEX($AC$2:$AS$1001,MATCH(ROWS($V$2:V569),$V$2:$V$1001,0),MATCH(COLUMNS($AC$1006:AI1006),$AC$1006:$AS$1006,0)), HYPERLINK("#",""), HYPERLINK(CONCATENATE("#metadata!", ADDRESS(INDEX($X$2:$X$1001,MATCH(ROWS($V$2:V569),$V$2:$V$1001,0),0), INDEX($AC$1004:$AS$1004,1,MATCH(COLUMNS($AC$1006:AI1006),$AC$1006:$AS$1006,0)))),"Fix")))</f>
        <v xml:space="preserve"> </v>
      </c>
      <c r="I569" s="4" t="str">
        <f ca="1">IF(OR(INDEX($W$2:$W$1001,MATCH(ROWS($V$2:V569),$V$2:$V$1001,0),1)&gt;=100000,INDEX($AC$1005:$AS$1005,1,MATCH(COLUMNS($AC$1006:AJ1006),$AC$1006:$AS$1006,0))&gt;=100000), " ",IF(INDEX($AC$2:$AS$1001,MATCH(ROWS($V$2:V569),$V$2:$V$1001,0),MATCH(COLUMNS($AC$1006:AJ1006),$AC$1006:$AS$1006,0)), HYPERLINK("#",""), HYPERLINK(CONCATENATE("#metadata!", ADDRESS(INDEX($X$2:$X$1001,MATCH(ROWS($V$2:V569),$V$2:$V$1001,0),0), INDEX($AC$1004:$AS$1004,1,MATCH(COLUMNS($AC$1006:AJ1006),$AC$1006:$AS$1006,0)))),"Fix")))</f>
        <v xml:space="preserve"> </v>
      </c>
      <c r="J569" s="4" t="str">
        <f ca="1">IF(OR(INDEX($W$2:$W$1001,MATCH(ROWS($V$2:V569),$V$2:$V$1001,0),1)&gt;=100000,INDEX($AC$1005:$AS$1005,1,MATCH(COLUMNS($AC$1006:AK1006),$AC$1006:$AS$1006,0))&gt;=100000), " ",IF(INDEX($AC$2:$AS$1001,MATCH(ROWS($V$2:V569),$V$2:$V$1001,0),MATCH(COLUMNS($AC$1006:AK1006),$AC$1006:$AS$1006,0)), HYPERLINK("#",""), HYPERLINK(CONCATENATE("#metadata!", ADDRESS(INDEX($X$2:$X$1001,MATCH(ROWS($V$2:V569),$V$2:$V$1001,0),0), INDEX($AC$1004:$AS$1004,1,MATCH(COLUMNS($AC$1006:AK1006),$AC$1006:$AS$1006,0)))),"Fix")))</f>
        <v xml:space="preserve"> </v>
      </c>
      <c r="K569" s="4" t="str">
        <f ca="1">IF(OR(INDEX($W$2:$W$1001,MATCH(ROWS($V$2:V569),$V$2:$V$1001,0),1)&gt;=100000,INDEX($AC$1005:$AS$1005,1,MATCH(COLUMNS($AC$1006:AL1006),$AC$1006:$AS$1006,0))&gt;=100000), " ",IF(INDEX($AC$2:$AS$1001,MATCH(ROWS($V$2:V569),$V$2:$V$1001,0),MATCH(COLUMNS($AC$1006:AL1006),$AC$1006:$AS$1006,0)), HYPERLINK("#",""), HYPERLINK(CONCATENATE("#metadata!", ADDRESS(INDEX($X$2:$X$1001,MATCH(ROWS($V$2:V569),$V$2:$V$1001,0),0), INDEX($AC$1004:$AS$1004,1,MATCH(COLUMNS($AC$1006:AL1006),$AC$1006:$AS$1006,0)))),"Fix")))</f>
        <v xml:space="preserve"> </v>
      </c>
      <c r="L569" s="4" t="str">
        <f ca="1">IF(OR(INDEX($W$2:$W$1001,MATCH(ROWS($V$2:V569),$V$2:$V$1001,0),1)&gt;=100000,INDEX($AC$1005:$AS$1005,1,MATCH(COLUMNS($AC$1006:AM1006),$AC$1006:$AS$1006,0))&gt;=100000), " ",IF(INDEX($AC$2:$AS$1001,MATCH(ROWS($V$2:V569),$V$2:$V$1001,0),MATCH(COLUMNS($AC$1006:AM1006),$AC$1006:$AS$1006,0)), HYPERLINK("#",""), HYPERLINK(CONCATENATE("#metadata!", ADDRESS(INDEX($X$2:$X$1001,MATCH(ROWS($V$2:V569),$V$2:$V$1001,0),0), INDEX($AC$1004:$AS$1004,1,MATCH(COLUMNS($AC$1006:AM1006),$AC$1006:$AS$1006,0)))),"Fix")))</f>
        <v xml:space="preserve"> </v>
      </c>
      <c r="M569" s="4" t="str">
        <f ca="1">IF(OR(INDEX($W$2:$W$1001,MATCH(ROWS($V$2:V569),$V$2:$V$1001,0),1)&gt;=100000,INDEX($AC$1005:$AS$1005,1,MATCH(COLUMNS($AC$1006:AN1006),$AC$1006:$AS$1006,0))&gt;=100000), " ",IF(INDEX($AC$2:$AS$1001,MATCH(ROWS($V$2:V569),$V$2:$V$1001,0),MATCH(COLUMNS($AC$1006:AN1006),$AC$1006:$AS$1006,0)), HYPERLINK("#",""), HYPERLINK(CONCATENATE("#metadata!", ADDRESS(INDEX($X$2:$X$1001,MATCH(ROWS($V$2:V569),$V$2:$V$1001,0),0), INDEX($AC$1004:$AS$1004,1,MATCH(COLUMNS($AC$1006:AN1006),$AC$1006:$AS$1006,0)))),"Fix")))</f>
        <v xml:space="preserve"> </v>
      </c>
      <c r="N569" s="4" t="str">
        <f ca="1">IF(OR(INDEX($W$2:$W$1001,MATCH(ROWS($V$2:V569),$V$2:$V$1001,0),1)&gt;=100000,INDEX($AC$1005:$AS$1005,1,MATCH(COLUMNS($AC$1006:AO1006),$AC$1006:$AS$1006,0))&gt;=100000), " ",IF(INDEX($AC$2:$AS$1001,MATCH(ROWS($V$2:V569),$V$2:$V$1001,0),MATCH(COLUMNS($AC$1006:AO1006),$AC$1006:$AS$1006,0)), HYPERLINK("#",""), HYPERLINK(CONCATENATE("#metadata!", ADDRESS(INDEX($X$2:$X$1001,MATCH(ROWS($V$2:V569),$V$2:$V$1001,0),0), INDEX($AC$1004:$AS$1004,1,MATCH(COLUMNS($AC$1006:AO1006),$AC$1006:$AS$1006,0)))),"Fix")))</f>
        <v xml:space="preserve"> </v>
      </c>
      <c r="O569" s="4" t="str">
        <f ca="1">IF(OR(INDEX($W$2:$W$1001,MATCH(ROWS($V$2:V569),$V$2:$V$1001,0),1)&gt;=100000,INDEX($AC$1005:$AS$1005,1,MATCH(COLUMNS($AC$1006:AP1006),$AC$1006:$AS$1006,0))&gt;=100000), " ",IF(INDEX($AC$2:$AS$1001,MATCH(ROWS($V$2:V569),$V$2:$V$1001,0),MATCH(COLUMNS($AC$1006:AP1006),$AC$1006:$AS$1006,0)), HYPERLINK("#",""), HYPERLINK(CONCATENATE("#metadata!", ADDRESS(INDEX($X$2:$X$1001,MATCH(ROWS($V$2:V569),$V$2:$V$1001,0),0), INDEX($AC$1004:$AS$1004,1,MATCH(COLUMNS($AC$1006:AP1006),$AC$1006:$AS$1006,0)))),"Fix")))</f>
        <v xml:space="preserve"> </v>
      </c>
      <c r="P569" s="4" t="str">
        <f ca="1">IF(OR(INDEX($W$2:$W$1001,MATCH(ROWS($V$2:V569),$V$2:$V$1001,0),1)&gt;=100000,INDEX($AC$1005:$AS$1005,1,MATCH(COLUMNS($AC$1006:AQ1006),$AC$1006:$AS$1006,0))&gt;=100000), " ",IF(INDEX($AC$2:$AS$1001,MATCH(ROWS($V$2:V569),$V$2:$V$1001,0),MATCH(COLUMNS($AC$1006:AQ1006),$AC$1006:$AS$1006,0)), HYPERLINK("#",""), HYPERLINK(CONCATENATE("#metadata!", ADDRESS(INDEX($X$2:$X$1001,MATCH(ROWS($V$2:V569),$V$2:$V$1001,0),0), INDEX($AC$1004:$AS$1004,1,MATCH(COLUMNS($AC$1006:AQ1006),$AC$1006:$AS$1006,0)))),"Fix")))</f>
        <v xml:space="preserve"> </v>
      </c>
      <c r="Q569" s="4" t="str">
        <f ca="1">IF(OR(INDEX($W$2:$W$1001,MATCH(ROWS($V$2:V569),$V$2:$V$1001,0),1)&gt;=100000,INDEX($AC$1005:$AS$1005,1,MATCH(COLUMNS($AC$1006:AR1006),$AC$1006:$AS$1006,0))&gt;=100000), " ",IF(INDEX($AC$2:$AS$1001,MATCH(ROWS($V$2:V569),$V$2:$V$1001,0),MATCH(COLUMNS($AC$1006:AR1006),$AC$1006:$AS$1006,0)), HYPERLINK("#",""), HYPERLINK(CONCATENATE("#metadata!", ADDRESS(INDEX($X$2:$X$1001,MATCH(ROWS($V$2:V569),$V$2:$V$1001,0),0), INDEX($AC$1004:$AS$1004,1,MATCH(COLUMNS($AC$1006:AR1006),$AC$1006:$AS$1006,0)))),"Fix")))</f>
        <v xml:space="preserve"> </v>
      </c>
      <c r="R569" s="4" t="str">
        <f ca="1">IF(OR(INDEX($W$2:$W$1001,MATCH(ROWS($V$2:V569),$V$2:$V$1001,0),1)&gt;=100000,INDEX($AC$1005:$AS$1005,1,MATCH(COLUMNS($AC$1006:AS1006),$AC$1006:$AS$1006,0))&gt;=100000), " ",IF(INDEX($AC$2:$AS$1001,MATCH(ROWS($V$2:V569),$V$2:$V$1001,0),MATCH(COLUMNS($AC$1006:AS1006),$AC$1006:$AS$1006,0)), HYPERLINK("#",""), HYPERLINK(CONCATENATE("#metadata!", ADDRESS(INDEX($X$2:$X$1001,MATCH(ROWS($V$2:V569),$V$2:$V$1001,0),0), INDEX($AC$1004:$AS$1004,1,MATCH(COLUMNS($AC$1006:AS1006),$AC$1006:$AS$1006,0)))),"Fix")))</f>
        <v xml:space="preserve"> </v>
      </c>
      <c r="V569">
        <v>568</v>
      </c>
      <c r="W569">
        <v>100569</v>
      </c>
      <c r="X569">
        <v>569</v>
      </c>
      <c r="Y569" t="b">
        <f t="shared" si="8"/>
        <v>1</v>
      </c>
      <c r="Z569" t="b">
        <f>COUNTBLANK(metadata!B569:R569)=COLUMNS(metadata!B569:R569)</f>
        <v>1</v>
      </c>
      <c r="AA569" t="str">
        <v/>
      </c>
      <c r="AC569" t="b">
        <f ca="1"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AD569" t="b">
        <f>IF(metadata!C569="",FALSE,ISNUMBER(VALUE(metadata!C569)))</f>
        <v>0</v>
      </c>
      <c r="AE569" t="b">
        <f>AND(IF(metadata!D569="",FALSE,TRUE),EXACT(metadata!D569,"years"))</f>
        <v>0</v>
      </c>
      <c r="AF569" t="b">
        <f>OR(AND(IF(metadata!E569="",FALSE,TRUE),OR(EXACT(metadata!E569,"not applicable"),EXACT(metadata!E569,"missing: not collected"),EXACT(metadata!E569,"missing: not provided"),EXACT(metadata!E569,"missing: restricted access"))),AND(IF(metadata!E569="",FALSE,ISNUMBER(VALUE(metadata!E569))),metadata!E569&gt;0))</f>
        <v>0</v>
      </c>
      <c r="AG569" t="b">
        <f>AND(IF(metadata!F569="",FALSE,TRUE),EXACT(metadata!F569,"Not applicable"))</f>
        <v>0</v>
      </c>
      <c r="AH569" t="b">
        <f>AND(IF(metadata!G569="",FALSE,TRUE),EXACT(metadata!G569,"urban biome"))</f>
        <v>0</v>
      </c>
      <c r="AI569" t="b">
        <f>AND(IF(metadata!H569="",FALSE,TRUE),EXACT(metadata!H569,"human-associated habitat"))</f>
        <v>0</v>
      </c>
      <c r="AJ569" t="b">
        <f>AND(IF(metadata!I569="",FALSE,TRUE),OR(EXACT(metadata!I569,"human-associated"),EXACT(metadata!I569,"human-skin"),EXACT(metadata!I569,"human-oral"),EXACT(metadata!I569,"human-gut"),EXACT(metadata!I569,"human-vaginal")))</f>
        <v>0</v>
      </c>
      <c r="AK569" t="b">
        <f>IF(metadata!J569="",FALSE,ISNUMBER(VALUE(metadata!J569)))</f>
        <v>0</v>
      </c>
      <c r="AL569" t="b">
        <f>AND(IF(metadata!K569="",FALSE,TRUE),EXACT(metadata!K569,"cm"))</f>
        <v>0</v>
      </c>
      <c r="AM569" t="b">
        <f>AND(IF(metadata!L569="",FALSE,TRUE),EXACT(metadata!L569,"human"))</f>
        <v>0</v>
      </c>
      <c r="AN569" t="b">
        <f>AND(IF(metadata!M569="",FALSE,TRUE),EXACT(metadata!M569,"Homo sapiens"))</f>
        <v>0</v>
      </c>
      <c r="AO569" t="b">
        <f>AND(IF(metadata!N569="",FALSE,TRUE),EXACT(metadata!N569,"9606"))</f>
        <v>0</v>
      </c>
      <c r="AP569" t="b">
        <f>IF(metadata!O569="",FALSE,TRUE)</f>
        <v>0</v>
      </c>
      <c r="AQ569" t="b">
        <f>IF(metadata!P569="",FALSE,TRUE)</f>
        <v>0</v>
      </c>
      <c r="AR569" t="b">
        <f>IF(metadata!Q569="",FALSE,ISNUMBER(VALUE(metadata!Q569)))</f>
        <v>0</v>
      </c>
      <c r="AS569" t="b">
        <f>AND(IF(metadata!R569="",FALSE,TRUE),EXACT(metadata!R569,"kg"))</f>
        <v>0</v>
      </c>
    </row>
    <row r="570" spans="1:45" x14ac:dyDescent="0.2">
      <c r="A570" s="5" t="str">
        <f ca="1">IF(B570=" "," ",HYPERLINK(CONCATENATE("#metadata!",ADDRESS(INDEX($X$2:$X$1001,MATCH(ROWS($V$2:V570),$V$2:$V$1001,0),0),1)),INDEX($AA$2:$AA$1001,MATCH(ROWS($V$2:V570),$V$2:$V$1001,0),0)))</f>
        <v xml:space="preserve"> </v>
      </c>
      <c r="B570" s="4" t="str">
        <f ca="1">IF(OR(INDEX($W$2:$W$1001,MATCH(ROWS($V$2:V570),$V$2:$V$1001,0),1)&gt;=100000,INDEX($AC$1005:$AS$1005,1,MATCH(COLUMNS($AC$1006:AC1006),$AC$1006:$AS$1006,0))&gt;=100000), " ",IF(INDEX($AC$2:$AS$1001,MATCH(ROWS($V$2:V570),$V$2:$V$1001,0),MATCH(COLUMNS($AC$1006:AC1006),$AC$1006:$AS$1006,0)), HYPERLINK("#",""), HYPERLINK(CONCATENATE("#metadata!", ADDRESS(INDEX($X$2:$X$1001,MATCH(ROWS($V$2:V570),$V$2:$V$1001,0),0), INDEX($AC$1004:$AS$1004,1,MATCH(COLUMNS($AC$1006:AC1006),$AC$1006:$AS$1006,0)))),"Fix")))</f>
        <v xml:space="preserve"> </v>
      </c>
      <c r="C570" s="4" t="str">
        <f ca="1">IF(OR(INDEX($W$2:$W$1001,MATCH(ROWS($V$2:V570),$V$2:$V$1001,0),1)&gt;=100000,INDEX($AC$1005:$AS$1005,1,MATCH(COLUMNS($AC$1006:AD1006),$AC$1006:$AS$1006,0))&gt;=100000), " ",IF(INDEX($AC$2:$AS$1001,MATCH(ROWS($V$2:V570),$V$2:$V$1001,0),MATCH(COLUMNS($AC$1006:AD1006),$AC$1006:$AS$1006,0)), HYPERLINK("#",""), HYPERLINK(CONCATENATE("#metadata!", ADDRESS(INDEX($X$2:$X$1001,MATCH(ROWS($V$2:V570),$V$2:$V$1001,0),0), INDEX($AC$1004:$AS$1004,1,MATCH(COLUMNS($AC$1006:AD1006),$AC$1006:$AS$1006,0)))),"Fix")))</f>
        <v xml:space="preserve"> </v>
      </c>
      <c r="D570" s="4" t="str">
        <f ca="1">IF(OR(INDEX($W$2:$W$1001,MATCH(ROWS($V$2:V570),$V$2:$V$1001,0),1)&gt;=100000,INDEX($AC$1005:$AS$1005,1,MATCH(COLUMNS($AC$1006:AE1006),$AC$1006:$AS$1006,0))&gt;=100000), " ",IF(INDEX($AC$2:$AS$1001,MATCH(ROWS($V$2:V570),$V$2:$V$1001,0),MATCH(COLUMNS($AC$1006:AE1006),$AC$1006:$AS$1006,0)), HYPERLINK("#",""), HYPERLINK(CONCATENATE("#metadata!", ADDRESS(INDEX($X$2:$X$1001,MATCH(ROWS($V$2:V570),$V$2:$V$1001,0),0), INDEX($AC$1004:$AS$1004,1,MATCH(COLUMNS($AC$1006:AE1006),$AC$1006:$AS$1006,0)))),"Fix")))</f>
        <v xml:space="preserve"> </v>
      </c>
      <c r="E570" s="4" t="str">
        <f ca="1">IF(OR(INDEX($W$2:$W$1001,MATCH(ROWS($V$2:V570),$V$2:$V$1001,0),1)&gt;=100000,INDEX($AC$1005:$AS$1005,1,MATCH(COLUMNS($AC$1006:AF1006),$AC$1006:$AS$1006,0))&gt;=100000), " ",IF(INDEX($AC$2:$AS$1001,MATCH(ROWS($V$2:V570),$V$2:$V$1001,0),MATCH(COLUMNS($AC$1006:AF1006),$AC$1006:$AS$1006,0)), HYPERLINK("#",""), HYPERLINK(CONCATENATE("#metadata!", ADDRESS(INDEX($X$2:$X$1001,MATCH(ROWS($V$2:V570),$V$2:$V$1001,0),0), INDEX($AC$1004:$AS$1004,1,MATCH(COLUMNS($AC$1006:AF1006),$AC$1006:$AS$1006,0)))),"Fix")))</f>
        <v xml:space="preserve"> </v>
      </c>
      <c r="F570" s="4" t="str">
        <f ca="1">IF(OR(INDEX($W$2:$W$1001,MATCH(ROWS($V$2:V570),$V$2:$V$1001,0),1)&gt;=100000,INDEX($AC$1005:$AS$1005,1,MATCH(COLUMNS($AC$1006:AG1006),$AC$1006:$AS$1006,0))&gt;=100000), " ",IF(INDEX($AC$2:$AS$1001,MATCH(ROWS($V$2:V570),$V$2:$V$1001,0),MATCH(COLUMNS($AC$1006:AG1006),$AC$1006:$AS$1006,0)), HYPERLINK("#",""), HYPERLINK(CONCATENATE("#metadata!", ADDRESS(INDEX($X$2:$X$1001,MATCH(ROWS($V$2:V570),$V$2:$V$1001,0),0), INDEX($AC$1004:$AS$1004,1,MATCH(COLUMNS($AC$1006:AG1006),$AC$1006:$AS$1006,0)))),"Fix")))</f>
        <v xml:space="preserve"> </v>
      </c>
      <c r="G570" s="4" t="str">
        <f ca="1">IF(OR(INDEX($W$2:$W$1001,MATCH(ROWS($V$2:V570),$V$2:$V$1001,0),1)&gt;=100000,INDEX($AC$1005:$AS$1005,1,MATCH(COLUMNS($AC$1006:AH1006),$AC$1006:$AS$1006,0))&gt;=100000), " ",IF(INDEX($AC$2:$AS$1001,MATCH(ROWS($V$2:V570),$V$2:$V$1001,0),MATCH(COLUMNS($AC$1006:AH1006),$AC$1006:$AS$1006,0)), HYPERLINK("#",""), HYPERLINK(CONCATENATE("#metadata!", ADDRESS(INDEX($X$2:$X$1001,MATCH(ROWS($V$2:V570),$V$2:$V$1001,0),0), INDEX($AC$1004:$AS$1004,1,MATCH(COLUMNS($AC$1006:AH1006),$AC$1006:$AS$1006,0)))),"Fix")))</f>
        <v xml:space="preserve"> </v>
      </c>
      <c r="H570" s="4" t="str">
        <f ca="1">IF(OR(INDEX($W$2:$W$1001,MATCH(ROWS($V$2:V570),$V$2:$V$1001,0),1)&gt;=100000,INDEX($AC$1005:$AS$1005,1,MATCH(COLUMNS($AC$1006:AI1006),$AC$1006:$AS$1006,0))&gt;=100000), " ",IF(INDEX($AC$2:$AS$1001,MATCH(ROWS($V$2:V570),$V$2:$V$1001,0),MATCH(COLUMNS($AC$1006:AI1006),$AC$1006:$AS$1006,0)), HYPERLINK("#",""), HYPERLINK(CONCATENATE("#metadata!", ADDRESS(INDEX($X$2:$X$1001,MATCH(ROWS($V$2:V570),$V$2:$V$1001,0),0), INDEX($AC$1004:$AS$1004,1,MATCH(COLUMNS($AC$1006:AI1006),$AC$1006:$AS$1006,0)))),"Fix")))</f>
        <v xml:space="preserve"> </v>
      </c>
      <c r="I570" s="4" t="str">
        <f ca="1">IF(OR(INDEX($W$2:$W$1001,MATCH(ROWS($V$2:V570),$V$2:$V$1001,0),1)&gt;=100000,INDEX($AC$1005:$AS$1005,1,MATCH(COLUMNS($AC$1006:AJ1006),$AC$1006:$AS$1006,0))&gt;=100000), " ",IF(INDEX($AC$2:$AS$1001,MATCH(ROWS($V$2:V570),$V$2:$V$1001,0),MATCH(COLUMNS($AC$1006:AJ1006),$AC$1006:$AS$1006,0)), HYPERLINK("#",""), HYPERLINK(CONCATENATE("#metadata!", ADDRESS(INDEX($X$2:$X$1001,MATCH(ROWS($V$2:V570),$V$2:$V$1001,0),0), INDEX($AC$1004:$AS$1004,1,MATCH(COLUMNS($AC$1006:AJ1006),$AC$1006:$AS$1006,0)))),"Fix")))</f>
        <v xml:space="preserve"> </v>
      </c>
      <c r="J570" s="4" t="str">
        <f ca="1">IF(OR(INDEX($W$2:$W$1001,MATCH(ROWS($V$2:V570),$V$2:$V$1001,0),1)&gt;=100000,INDEX($AC$1005:$AS$1005,1,MATCH(COLUMNS($AC$1006:AK1006),$AC$1006:$AS$1006,0))&gt;=100000), " ",IF(INDEX($AC$2:$AS$1001,MATCH(ROWS($V$2:V570),$V$2:$V$1001,0),MATCH(COLUMNS($AC$1006:AK1006),$AC$1006:$AS$1006,0)), HYPERLINK("#",""), HYPERLINK(CONCATENATE("#metadata!", ADDRESS(INDEX($X$2:$X$1001,MATCH(ROWS($V$2:V570),$V$2:$V$1001,0),0), INDEX($AC$1004:$AS$1004,1,MATCH(COLUMNS($AC$1006:AK1006),$AC$1006:$AS$1006,0)))),"Fix")))</f>
        <v xml:space="preserve"> </v>
      </c>
      <c r="K570" s="4" t="str">
        <f ca="1">IF(OR(INDEX($W$2:$W$1001,MATCH(ROWS($V$2:V570),$V$2:$V$1001,0),1)&gt;=100000,INDEX($AC$1005:$AS$1005,1,MATCH(COLUMNS($AC$1006:AL1006),$AC$1006:$AS$1006,0))&gt;=100000), " ",IF(INDEX($AC$2:$AS$1001,MATCH(ROWS($V$2:V570),$V$2:$V$1001,0),MATCH(COLUMNS($AC$1006:AL1006),$AC$1006:$AS$1006,0)), HYPERLINK("#",""), HYPERLINK(CONCATENATE("#metadata!", ADDRESS(INDEX($X$2:$X$1001,MATCH(ROWS($V$2:V570),$V$2:$V$1001,0),0), INDEX($AC$1004:$AS$1004,1,MATCH(COLUMNS($AC$1006:AL1006),$AC$1006:$AS$1006,0)))),"Fix")))</f>
        <v xml:space="preserve"> </v>
      </c>
      <c r="L570" s="4" t="str">
        <f ca="1">IF(OR(INDEX($W$2:$W$1001,MATCH(ROWS($V$2:V570),$V$2:$V$1001,0),1)&gt;=100000,INDEX($AC$1005:$AS$1005,1,MATCH(COLUMNS($AC$1006:AM1006),$AC$1006:$AS$1006,0))&gt;=100000), " ",IF(INDEX($AC$2:$AS$1001,MATCH(ROWS($V$2:V570),$V$2:$V$1001,0),MATCH(COLUMNS($AC$1006:AM1006),$AC$1006:$AS$1006,0)), HYPERLINK("#",""), HYPERLINK(CONCATENATE("#metadata!", ADDRESS(INDEX($X$2:$X$1001,MATCH(ROWS($V$2:V570),$V$2:$V$1001,0),0), INDEX($AC$1004:$AS$1004,1,MATCH(COLUMNS($AC$1006:AM1006),$AC$1006:$AS$1006,0)))),"Fix")))</f>
        <v xml:space="preserve"> </v>
      </c>
      <c r="M570" s="4" t="str">
        <f ca="1">IF(OR(INDEX($W$2:$W$1001,MATCH(ROWS($V$2:V570),$V$2:$V$1001,0),1)&gt;=100000,INDEX($AC$1005:$AS$1005,1,MATCH(COLUMNS($AC$1006:AN1006),$AC$1006:$AS$1006,0))&gt;=100000), " ",IF(INDEX($AC$2:$AS$1001,MATCH(ROWS($V$2:V570),$V$2:$V$1001,0),MATCH(COLUMNS($AC$1006:AN1006),$AC$1006:$AS$1006,0)), HYPERLINK("#",""), HYPERLINK(CONCATENATE("#metadata!", ADDRESS(INDEX($X$2:$X$1001,MATCH(ROWS($V$2:V570),$V$2:$V$1001,0),0), INDEX($AC$1004:$AS$1004,1,MATCH(COLUMNS($AC$1006:AN1006),$AC$1006:$AS$1006,0)))),"Fix")))</f>
        <v xml:space="preserve"> </v>
      </c>
      <c r="N570" s="4" t="str">
        <f ca="1">IF(OR(INDEX($W$2:$W$1001,MATCH(ROWS($V$2:V570),$V$2:$V$1001,0),1)&gt;=100000,INDEX($AC$1005:$AS$1005,1,MATCH(COLUMNS($AC$1006:AO1006),$AC$1006:$AS$1006,0))&gt;=100000), " ",IF(INDEX($AC$2:$AS$1001,MATCH(ROWS($V$2:V570),$V$2:$V$1001,0),MATCH(COLUMNS($AC$1006:AO1006),$AC$1006:$AS$1006,0)), HYPERLINK("#",""), HYPERLINK(CONCATENATE("#metadata!", ADDRESS(INDEX($X$2:$X$1001,MATCH(ROWS($V$2:V570),$V$2:$V$1001,0),0), INDEX($AC$1004:$AS$1004,1,MATCH(COLUMNS($AC$1006:AO1006),$AC$1006:$AS$1006,0)))),"Fix")))</f>
        <v xml:space="preserve"> </v>
      </c>
      <c r="O570" s="4" t="str">
        <f ca="1">IF(OR(INDEX($W$2:$W$1001,MATCH(ROWS($V$2:V570),$V$2:$V$1001,0),1)&gt;=100000,INDEX($AC$1005:$AS$1005,1,MATCH(COLUMNS($AC$1006:AP1006),$AC$1006:$AS$1006,0))&gt;=100000), " ",IF(INDEX($AC$2:$AS$1001,MATCH(ROWS($V$2:V570),$V$2:$V$1001,0),MATCH(COLUMNS($AC$1006:AP1006),$AC$1006:$AS$1006,0)), HYPERLINK("#",""), HYPERLINK(CONCATENATE("#metadata!", ADDRESS(INDEX($X$2:$X$1001,MATCH(ROWS($V$2:V570),$V$2:$V$1001,0),0), INDEX($AC$1004:$AS$1004,1,MATCH(COLUMNS($AC$1006:AP1006),$AC$1006:$AS$1006,0)))),"Fix")))</f>
        <v xml:space="preserve"> </v>
      </c>
      <c r="P570" s="4" t="str">
        <f ca="1">IF(OR(INDEX($W$2:$W$1001,MATCH(ROWS($V$2:V570),$V$2:$V$1001,0),1)&gt;=100000,INDEX($AC$1005:$AS$1005,1,MATCH(COLUMNS($AC$1006:AQ1006),$AC$1006:$AS$1006,0))&gt;=100000), " ",IF(INDEX($AC$2:$AS$1001,MATCH(ROWS($V$2:V570),$V$2:$V$1001,0),MATCH(COLUMNS($AC$1006:AQ1006),$AC$1006:$AS$1006,0)), HYPERLINK("#",""), HYPERLINK(CONCATENATE("#metadata!", ADDRESS(INDEX($X$2:$X$1001,MATCH(ROWS($V$2:V570),$V$2:$V$1001,0),0), INDEX($AC$1004:$AS$1004,1,MATCH(COLUMNS($AC$1006:AQ1006),$AC$1006:$AS$1006,0)))),"Fix")))</f>
        <v xml:space="preserve"> </v>
      </c>
      <c r="Q570" s="4" t="str">
        <f ca="1">IF(OR(INDEX($W$2:$W$1001,MATCH(ROWS($V$2:V570),$V$2:$V$1001,0),1)&gt;=100000,INDEX($AC$1005:$AS$1005,1,MATCH(COLUMNS($AC$1006:AR1006),$AC$1006:$AS$1006,0))&gt;=100000), " ",IF(INDEX($AC$2:$AS$1001,MATCH(ROWS($V$2:V570),$V$2:$V$1001,0),MATCH(COLUMNS($AC$1006:AR1006),$AC$1006:$AS$1006,0)), HYPERLINK("#",""), HYPERLINK(CONCATENATE("#metadata!", ADDRESS(INDEX($X$2:$X$1001,MATCH(ROWS($V$2:V570),$V$2:$V$1001,0),0), INDEX($AC$1004:$AS$1004,1,MATCH(COLUMNS($AC$1006:AR1006),$AC$1006:$AS$1006,0)))),"Fix")))</f>
        <v xml:space="preserve"> </v>
      </c>
      <c r="R570" s="4" t="str">
        <f ca="1">IF(OR(INDEX($W$2:$W$1001,MATCH(ROWS($V$2:V570),$V$2:$V$1001,0),1)&gt;=100000,INDEX($AC$1005:$AS$1005,1,MATCH(COLUMNS($AC$1006:AS1006),$AC$1006:$AS$1006,0))&gt;=100000), " ",IF(INDEX($AC$2:$AS$1001,MATCH(ROWS($V$2:V570),$V$2:$V$1001,0),MATCH(COLUMNS($AC$1006:AS1006),$AC$1006:$AS$1006,0)), HYPERLINK("#",""), HYPERLINK(CONCATENATE("#metadata!", ADDRESS(INDEX($X$2:$X$1001,MATCH(ROWS($V$2:V570),$V$2:$V$1001,0),0), INDEX($AC$1004:$AS$1004,1,MATCH(COLUMNS($AC$1006:AS1006),$AC$1006:$AS$1006,0)))),"Fix")))</f>
        <v xml:space="preserve"> </v>
      </c>
      <c r="V570">
        <v>569</v>
      </c>
      <c r="W570">
        <v>100570</v>
      </c>
      <c r="X570">
        <v>570</v>
      </c>
      <c r="Y570" t="b">
        <f t="shared" si="8"/>
        <v>1</v>
      </c>
      <c r="Z570" t="b">
        <f>COUNTBLANK(metadata!B570:R570)=COLUMNS(metadata!B570:R570)</f>
        <v>1</v>
      </c>
      <c r="AA570" t="str">
        <v/>
      </c>
      <c r="AC570" t="b">
        <f ca="1"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AD570" t="b">
        <f>IF(metadata!C570="",FALSE,ISNUMBER(VALUE(metadata!C570)))</f>
        <v>0</v>
      </c>
      <c r="AE570" t="b">
        <f>AND(IF(metadata!D570="",FALSE,TRUE),EXACT(metadata!D570,"years"))</f>
        <v>0</v>
      </c>
      <c r="AF570" t="b">
        <f>OR(AND(IF(metadata!E570="",FALSE,TRUE),OR(EXACT(metadata!E570,"not applicable"),EXACT(metadata!E570,"missing: not collected"),EXACT(metadata!E570,"missing: not provided"),EXACT(metadata!E570,"missing: restricted access"))),AND(IF(metadata!E570="",FALSE,ISNUMBER(VALUE(metadata!E570))),metadata!E570&gt;0))</f>
        <v>0</v>
      </c>
      <c r="AG570" t="b">
        <f>AND(IF(metadata!F570="",FALSE,TRUE),EXACT(metadata!F570,"Not applicable"))</f>
        <v>0</v>
      </c>
      <c r="AH570" t="b">
        <f>AND(IF(metadata!G570="",FALSE,TRUE),EXACT(metadata!G570,"urban biome"))</f>
        <v>0</v>
      </c>
      <c r="AI570" t="b">
        <f>AND(IF(metadata!H570="",FALSE,TRUE),EXACT(metadata!H570,"human-associated habitat"))</f>
        <v>0</v>
      </c>
      <c r="AJ570" t="b">
        <f>AND(IF(metadata!I570="",FALSE,TRUE),OR(EXACT(metadata!I570,"human-associated"),EXACT(metadata!I570,"human-skin"),EXACT(metadata!I570,"human-oral"),EXACT(metadata!I570,"human-gut"),EXACT(metadata!I570,"human-vaginal")))</f>
        <v>0</v>
      </c>
      <c r="AK570" t="b">
        <f>IF(metadata!J570="",FALSE,ISNUMBER(VALUE(metadata!J570)))</f>
        <v>0</v>
      </c>
      <c r="AL570" t="b">
        <f>AND(IF(metadata!K570="",FALSE,TRUE),EXACT(metadata!K570,"cm"))</f>
        <v>0</v>
      </c>
      <c r="AM570" t="b">
        <f>AND(IF(metadata!L570="",FALSE,TRUE),EXACT(metadata!L570,"human"))</f>
        <v>0</v>
      </c>
      <c r="AN570" t="b">
        <f>AND(IF(metadata!M570="",FALSE,TRUE),EXACT(metadata!M570,"Homo sapiens"))</f>
        <v>0</v>
      </c>
      <c r="AO570" t="b">
        <f>AND(IF(metadata!N570="",FALSE,TRUE),EXACT(metadata!N570,"9606"))</f>
        <v>0</v>
      </c>
      <c r="AP570" t="b">
        <f>IF(metadata!O570="",FALSE,TRUE)</f>
        <v>0</v>
      </c>
      <c r="AQ570" t="b">
        <f>IF(metadata!P570="",FALSE,TRUE)</f>
        <v>0</v>
      </c>
      <c r="AR570" t="b">
        <f>IF(metadata!Q570="",FALSE,ISNUMBER(VALUE(metadata!Q570)))</f>
        <v>0</v>
      </c>
      <c r="AS570" t="b">
        <f>AND(IF(metadata!R570="",FALSE,TRUE),EXACT(metadata!R570,"kg"))</f>
        <v>0</v>
      </c>
    </row>
    <row r="571" spans="1:45" x14ac:dyDescent="0.2">
      <c r="A571" s="5" t="str">
        <f ca="1">IF(B571=" "," ",HYPERLINK(CONCATENATE("#metadata!",ADDRESS(INDEX($X$2:$X$1001,MATCH(ROWS($V$2:V571),$V$2:$V$1001,0),0),1)),INDEX($AA$2:$AA$1001,MATCH(ROWS($V$2:V571),$V$2:$V$1001,0),0)))</f>
        <v xml:space="preserve"> </v>
      </c>
      <c r="B571" s="4" t="str">
        <f ca="1">IF(OR(INDEX($W$2:$W$1001,MATCH(ROWS($V$2:V571),$V$2:$V$1001,0),1)&gt;=100000,INDEX($AC$1005:$AS$1005,1,MATCH(COLUMNS($AC$1006:AC1006),$AC$1006:$AS$1006,0))&gt;=100000), " ",IF(INDEX($AC$2:$AS$1001,MATCH(ROWS($V$2:V571),$V$2:$V$1001,0),MATCH(COLUMNS($AC$1006:AC1006),$AC$1006:$AS$1006,0)), HYPERLINK("#",""), HYPERLINK(CONCATENATE("#metadata!", ADDRESS(INDEX($X$2:$X$1001,MATCH(ROWS($V$2:V571),$V$2:$V$1001,0),0), INDEX($AC$1004:$AS$1004,1,MATCH(COLUMNS($AC$1006:AC1006),$AC$1006:$AS$1006,0)))),"Fix")))</f>
        <v xml:space="preserve"> </v>
      </c>
      <c r="C571" s="4" t="str">
        <f ca="1">IF(OR(INDEX($W$2:$W$1001,MATCH(ROWS($V$2:V571),$V$2:$V$1001,0),1)&gt;=100000,INDEX($AC$1005:$AS$1005,1,MATCH(COLUMNS($AC$1006:AD1006),$AC$1006:$AS$1006,0))&gt;=100000), " ",IF(INDEX($AC$2:$AS$1001,MATCH(ROWS($V$2:V571),$V$2:$V$1001,0),MATCH(COLUMNS($AC$1006:AD1006),$AC$1006:$AS$1006,0)), HYPERLINK("#",""), HYPERLINK(CONCATENATE("#metadata!", ADDRESS(INDEX($X$2:$X$1001,MATCH(ROWS($V$2:V571),$V$2:$V$1001,0),0), INDEX($AC$1004:$AS$1004,1,MATCH(COLUMNS($AC$1006:AD1006),$AC$1006:$AS$1006,0)))),"Fix")))</f>
        <v xml:space="preserve"> </v>
      </c>
      <c r="D571" s="4" t="str">
        <f ca="1">IF(OR(INDEX($W$2:$W$1001,MATCH(ROWS($V$2:V571),$V$2:$V$1001,0),1)&gt;=100000,INDEX($AC$1005:$AS$1005,1,MATCH(COLUMNS($AC$1006:AE1006),$AC$1006:$AS$1006,0))&gt;=100000), " ",IF(INDEX($AC$2:$AS$1001,MATCH(ROWS($V$2:V571),$V$2:$V$1001,0),MATCH(COLUMNS($AC$1006:AE1006),$AC$1006:$AS$1006,0)), HYPERLINK("#",""), HYPERLINK(CONCATENATE("#metadata!", ADDRESS(INDEX($X$2:$X$1001,MATCH(ROWS($V$2:V571),$V$2:$V$1001,0),0), INDEX($AC$1004:$AS$1004,1,MATCH(COLUMNS($AC$1006:AE1006),$AC$1006:$AS$1006,0)))),"Fix")))</f>
        <v xml:space="preserve"> </v>
      </c>
      <c r="E571" s="4" t="str">
        <f ca="1">IF(OR(INDEX($W$2:$W$1001,MATCH(ROWS($V$2:V571),$V$2:$V$1001,0),1)&gt;=100000,INDEX($AC$1005:$AS$1005,1,MATCH(COLUMNS($AC$1006:AF1006),$AC$1006:$AS$1006,0))&gt;=100000), " ",IF(INDEX($AC$2:$AS$1001,MATCH(ROWS($V$2:V571),$V$2:$V$1001,0),MATCH(COLUMNS($AC$1006:AF1006),$AC$1006:$AS$1006,0)), HYPERLINK("#",""), HYPERLINK(CONCATENATE("#metadata!", ADDRESS(INDEX($X$2:$X$1001,MATCH(ROWS($V$2:V571),$V$2:$V$1001,0),0), INDEX($AC$1004:$AS$1004,1,MATCH(COLUMNS($AC$1006:AF1006),$AC$1006:$AS$1006,0)))),"Fix")))</f>
        <v xml:space="preserve"> </v>
      </c>
      <c r="F571" s="4" t="str">
        <f ca="1">IF(OR(INDEX($W$2:$W$1001,MATCH(ROWS($V$2:V571),$V$2:$V$1001,0),1)&gt;=100000,INDEX($AC$1005:$AS$1005,1,MATCH(COLUMNS($AC$1006:AG1006),$AC$1006:$AS$1006,0))&gt;=100000), " ",IF(INDEX($AC$2:$AS$1001,MATCH(ROWS($V$2:V571),$V$2:$V$1001,0),MATCH(COLUMNS($AC$1006:AG1006),$AC$1006:$AS$1006,0)), HYPERLINK("#",""), HYPERLINK(CONCATENATE("#metadata!", ADDRESS(INDEX($X$2:$X$1001,MATCH(ROWS($V$2:V571),$V$2:$V$1001,0),0), INDEX($AC$1004:$AS$1004,1,MATCH(COLUMNS($AC$1006:AG1006),$AC$1006:$AS$1006,0)))),"Fix")))</f>
        <v xml:space="preserve"> </v>
      </c>
      <c r="G571" s="4" t="str">
        <f ca="1">IF(OR(INDEX($W$2:$W$1001,MATCH(ROWS($V$2:V571),$V$2:$V$1001,0),1)&gt;=100000,INDEX($AC$1005:$AS$1005,1,MATCH(COLUMNS($AC$1006:AH1006),$AC$1006:$AS$1006,0))&gt;=100000), " ",IF(INDEX($AC$2:$AS$1001,MATCH(ROWS($V$2:V571),$V$2:$V$1001,0),MATCH(COLUMNS($AC$1006:AH1006),$AC$1006:$AS$1006,0)), HYPERLINK("#",""), HYPERLINK(CONCATENATE("#metadata!", ADDRESS(INDEX($X$2:$X$1001,MATCH(ROWS($V$2:V571),$V$2:$V$1001,0),0), INDEX($AC$1004:$AS$1004,1,MATCH(COLUMNS($AC$1006:AH1006),$AC$1006:$AS$1006,0)))),"Fix")))</f>
        <v xml:space="preserve"> </v>
      </c>
      <c r="H571" s="4" t="str">
        <f ca="1">IF(OR(INDEX($W$2:$W$1001,MATCH(ROWS($V$2:V571),$V$2:$V$1001,0),1)&gt;=100000,INDEX($AC$1005:$AS$1005,1,MATCH(COLUMNS($AC$1006:AI1006),$AC$1006:$AS$1006,0))&gt;=100000), " ",IF(INDEX($AC$2:$AS$1001,MATCH(ROWS($V$2:V571),$V$2:$V$1001,0),MATCH(COLUMNS($AC$1006:AI1006),$AC$1006:$AS$1006,0)), HYPERLINK("#",""), HYPERLINK(CONCATENATE("#metadata!", ADDRESS(INDEX($X$2:$X$1001,MATCH(ROWS($V$2:V571),$V$2:$V$1001,0),0), INDEX($AC$1004:$AS$1004,1,MATCH(COLUMNS($AC$1006:AI1006),$AC$1006:$AS$1006,0)))),"Fix")))</f>
        <v xml:space="preserve"> </v>
      </c>
      <c r="I571" s="4" t="str">
        <f ca="1">IF(OR(INDEX($W$2:$W$1001,MATCH(ROWS($V$2:V571),$V$2:$V$1001,0),1)&gt;=100000,INDEX($AC$1005:$AS$1005,1,MATCH(COLUMNS($AC$1006:AJ1006),$AC$1006:$AS$1006,0))&gt;=100000), " ",IF(INDEX($AC$2:$AS$1001,MATCH(ROWS($V$2:V571),$V$2:$V$1001,0),MATCH(COLUMNS($AC$1006:AJ1006),$AC$1006:$AS$1006,0)), HYPERLINK("#",""), HYPERLINK(CONCATENATE("#metadata!", ADDRESS(INDEX($X$2:$X$1001,MATCH(ROWS($V$2:V571),$V$2:$V$1001,0),0), INDEX($AC$1004:$AS$1004,1,MATCH(COLUMNS($AC$1006:AJ1006),$AC$1006:$AS$1006,0)))),"Fix")))</f>
        <v xml:space="preserve"> </v>
      </c>
      <c r="J571" s="4" t="str">
        <f ca="1">IF(OR(INDEX($W$2:$W$1001,MATCH(ROWS($V$2:V571),$V$2:$V$1001,0),1)&gt;=100000,INDEX($AC$1005:$AS$1005,1,MATCH(COLUMNS($AC$1006:AK1006),$AC$1006:$AS$1006,0))&gt;=100000), " ",IF(INDEX($AC$2:$AS$1001,MATCH(ROWS($V$2:V571),$V$2:$V$1001,0),MATCH(COLUMNS($AC$1006:AK1006),$AC$1006:$AS$1006,0)), HYPERLINK("#",""), HYPERLINK(CONCATENATE("#metadata!", ADDRESS(INDEX($X$2:$X$1001,MATCH(ROWS($V$2:V571),$V$2:$V$1001,0),0), INDEX($AC$1004:$AS$1004,1,MATCH(COLUMNS($AC$1006:AK1006),$AC$1006:$AS$1006,0)))),"Fix")))</f>
        <v xml:space="preserve"> </v>
      </c>
      <c r="K571" s="4" t="str">
        <f ca="1">IF(OR(INDEX($W$2:$W$1001,MATCH(ROWS($V$2:V571),$V$2:$V$1001,0),1)&gt;=100000,INDEX($AC$1005:$AS$1005,1,MATCH(COLUMNS($AC$1006:AL1006),$AC$1006:$AS$1006,0))&gt;=100000), " ",IF(INDEX($AC$2:$AS$1001,MATCH(ROWS($V$2:V571),$V$2:$V$1001,0),MATCH(COLUMNS($AC$1006:AL1006),$AC$1006:$AS$1006,0)), HYPERLINK("#",""), HYPERLINK(CONCATENATE("#metadata!", ADDRESS(INDEX($X$2:$X$1001,MATCH(ROWS($V$2:V571),$V$2:$V$1001,0),0), INDEX($AC$1004:$AS$1004,1,MATCH(COLUMNS($AC$1006:AL1006),$AC$1006:$AS$1006,0)))),"Fix")))</f>
        <v xml:space="preserve"> </v>
      </c>
      <c r="L571" s="4" t="str">
        <f ca="1">IF(OR(INDEX($W$2:$W$1001,MATCH(ROWS($V$2:V571),$V$2:$V$1001,0),1)&gt;=100000,INDEX($AC$1005:$AS$1005,1,MATCH(COLUMNS($AC$1006:AM1006),$AC$1006:$AS$1006,0))&gt;=100000), " ",IF(INDEX($AC$2:$AS$1001,MATCH(ROWS($V$2:V571),$V$2:$V$1001,0),MATCH(COLUMNS($AC$1006:AM1006),$AC$1006:$AS$1006,0)), HYPERLINK("#",""), HYPERLINK(CONCATENATE("#metadata!", ADDRESS(INDEX($X$2:$X$1001,MATCH(ROWS($V$2:V571),$V$2:$V$1001,0),0), INDEX($AC$1004:$AS$1004,1,MATCH(COLUMNS($AC$1006:AM1006),$AC$1006:$AS$1006,0)))),"Fix")))</f>
        <v xml:space="preserve"> </v>
      </c>
      <c r="M571" s="4" t="str">
        <f ca="1">IF(OR(INDEX($W$2:$W$1001,MATCH(ROWS($V$2:V571),$V$2:$V$1001,0),1)&gt;=100000,INDEX($AC$1005:$AS$1005,1,MATCH(COLUMNS($AC$1006:AN1006),$AC$1006:$AS$1006,0))&gt;=100000), " ",IF(INDEX($AC$2:$AS$1001,MATCH(ROWS($V$2:V571),$V$2:$V$1001,0),MATCH(COLUMNS($AC$1006:AN1006),$AC$1006:$AS$1006,0)), HYPERLINK("#",""), HYPERLINK(CONCATENATE("#metadata!", ADDRESS(INDEX($X$2:$X$1001,MATCH(ROWS($V$2:V571),$V$2:$V$1001,0),0), INDEX($AC$1004:$AS$1004,1,MATCH(COLUMNS($AC$1006:AN1006),$AC$1006:$AS$1006,0)))),"Fix")))</f>
        <v xml:space="preserve"> </v>
      </c>
      <c r="N571" s="4" t="str">
        <f ca="1">IF(OR(INDEX($W$2:$W$1001,MATCH(ROWS($V$2:V571),$V$2:$V$1001,0),1)&gt;=100000,INDEX($AC$1005:$AS$1005,1,MATCH(COLUMNS($AC$1006:AO1006),$AC$1006:$AS$1006,0))&gt;=100000), " ",IF(INDEX($AC$2:$AS$1001,MATCH(ROWS($V$2:V571),$V$2:$V$1001,0),MATCH(COLUMNS($AC$1006:AO1006),$AC$1006:$AS$1006,0)), HYPERLINK("#",""), HYPERLINK(CONCATENATE("#metadata!", ADDRESS(INDEX($X$2:$X$1001,MATCH(ROWS($V$2:V571),$V$2:$V$1001,0),0), INDEX($AC$1004:$AS$1004,1,MATCH(COLUMNS($AC$1006:AO1006),$AC$1006:$AS$1006,0)))),"Fix")))</f>
        <v xml:space="preserve"> </v>
      </c>
      <c r="O571" s="4" t="str">
        <f ca="1">IF(OR(INDEX($W$2:$W$1001,MATCH(ROWS($V$2:V571),$V$2:$V$1001,0),1)&gt;=100000,INDEX($AC$1005:$AS$1005,1,MATCH(COLUMNS($AC$1006:AP1006),$AC$1006:$AS$1006,0))&gt;=100000), " ",IF(INDEX($AC$2:$AS$1001,MATCH(ROWS($V$2:V571),$V$2:$V$1001,0),MATCH(COLUMNS($AC$1006:AP1006),$AC$1006:$AS$1006,0)), HYPERLINK("#",""), HYPERLINK(CONCATENATE("#metadata!", ADDRESS(INDEX($X$2:$X$1001,MATCH(ROWS($V$2:V571),$V$2:$V$1001,0),0), INDEX($AC$1004:$AS$1004,1,MATCH(COLUMNS($AC$1006:AP1006),$AC$1006:$AS$1006,0)))),"Fix")))</f>
        <v xml:space="preserve"> </v>
      </c>
      <c r="P571" s="4" t="str">
        <f ca="1">IF(OR(INDEX($W$2:$W$1001,MATCH(ROWS($V$2:V571),$V$2:$V$1001,0),1)&gt;=100000,INDEX($AC$1005:$AS$1005,1,MATCH(COLUMNS($AC$1006:AQ1006),$AC$1006:$AS$1006,0))&gt;=100000), " ",IF(INDEX($AC$2:$AS$1001,MATCH(ROWS($V$2:V571),$V$2:$V$1001,0),MATCH(COLUMNS($AC$1006:AQ1006),$AC$1006:$AS$1006,0)), HYPERLINK("#",""), HYPERLINK(CONCATENATE("#metadata!", ADDRESS(INDEX($X$2:$X$1001,MATCH(ROWS($V$2:V571),$V$2:$V$1001,0),0), INDEX($AC$1004:$AS$1004,1,MATCH(COLUMNS($AC$1006:AQ1006),$AC$1006:$AS$1006,0)))),"Fix")))</f>
        <v xml:space="preserve"> </v>
      </c>
      <c r="Q571" s="4" t="str">
        <f ca="1">IF(OR(INDEX($W$2:$W$1001,MATCH(ROWS($V$2:V571),$V$2:$V$1001,0),1)&gt;=100000,INDEX($AC$1005:$AS$1005,1,MATCH(COLUMNS($AC$1006:AR1006),$AC$1006:$AS$1006,0))&gt;=100000), " ",IF(INDEX($AC$2:$AS$1001,MATCH(ROWS($V$2:V571),$V$2:$V$1001,0),MATCH(COLUMNS($AC$1006:AR1006),$AC$1006:$AS$1006,0)), HYPERLINK("#",""), HYPERLINK(CONCATENATE("#metadata!", ADDRESS(INDEX($X$2:$X$1001,MATCH(ROWS($V$2:V571),$V$2:$V$1001,0),0), INDEX($AC$1004:$AS$1004,1,MATCH(COLUMNS($AC$1006:AR1006),$AC$1006:$AS$1006,0)))),"Fix")))</f>
        <v xml:space="preserve"> </v>
      </c>
      <c r="R571" s="4" t="str">
        <f ca="1">IF(OR(INDEX($W$2:$W$1001,MATCH(ROWS($V$2:V571),$V$2:$V$1001,0),1)&gt;=100000,INDEX($AC$1005:$AS$1005,1,MATCH(COLUMNS($AC$1006:AS1006),$AC$1006:$AS$1006,0))&gt;=100000), " ",IF(INDEX($AC$2:$AS$1001,MATCH(ROWS($V$2:V571),$V$2:$V$1001,0),MATCH(COLUMNS($AC$1006:AS1006),$AC$1006:$AS$1006,0)), HYPERLINK("#",""), HYPERLINK(CONCATENATE("#metadata!", ADDRESS(INDEX($X$2:$X$1001,MATCH(ROWS($V$2:V571),$V$2:$V$1001,0),0), INDEX($AC$1004:$AS$1004,1,MATCH(COLUMNS($AC$1006:AS1006),$AC$1006:$AS$1006,0)))),"Fix")))</f>
        <v xml:space="preserve"> </v>
      </c>
      <c r="V571">
        <v>570</v>
      </c>
      <c r="W571">
        <v>100571</v>
      </c>
      <c r="X571">
        <v>571</v>
      </c>
      <c r="Y571" t="b">
        <f t="shared" si="8"/>
        <v>1</v>
      </c>
      <c r="Z571" t="b">
        <f>COUNTBLANK(metadata!B571:R571)=COLUMNS(metadata!B571:R571)</f>
        <v>1</v>
      </c>
      <c r="AA571" t="str">
        <v/>
      </c>
      <c r="AC571" t="b">
        <f ca="1"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AD571" t="b">
        <f>IF(metadata!C571="",FALSE,ISNUMBER(VALUE(metadata!C571)))</f>
        <v>0</v>
      </c>
      <c r="AE571" t="b">
        <f>AND(IF(metadata!D571="",FALSE,TRUE),EXACT(metadata!D571,"years"))</f>
        <v>0</v>
      </c>
      <c r="AF571" t="b">
        <f>OR(AND(IF(metadata!E571="",FALSE,TRUE),OR(EXACT(metadata!E571,"not applicable"),EXACT(metadata!E571,"missing: not collected"),EXACT(metadata!E571,"missing: not provided"),EXACT(metadata!E571,"missing: restricted access"))),AND(IF(metadata!E571="",FALSE,ISNUMBER(VALUE(metadata!E571))),metadata!E571&gt;0))</f>
        <v>0</v>
      </c>
      <c r="AG571" t="b">
        <f>AND(IF(metadata!F571="",FALSE,TRUE),EXACT(metadata!F571,"Not applicable"))</f>
        <v>0</v>
      </c>
      <c r="AH571" t="b">
        <f>AND(IF(metadata!G571="",FALSE,TRUE),EXACT(metadata!G571,"urban biome"))</f>
        <v>0</v>
      </c>
      <c r="AI571" t="b">
        <f>AND(IF(metadata!H571="",FALSE,TRUE),EXACT(metadata!H571,"human-associated habitat"))</f>
        <v>0</v>
      </c>
      <c r="AJ571" t="b">
        <f>AND(IF(metadata!I571="",FALSE,TRUE),OR(EXACT(metadata!I571,"human-associated"),EXACT(metadata!I571,"human-skin"),EXACT(metadata!I571,"human-oral"),EXACT(metadata!I571,"human-gut"),EXACT(metadata!I571,"human-vaginal")))</f>
        <v>0</v>
      </c>
      <c r="AK571" t="b">
        <f>IF(metadata!J571="",FALSE,ISNUMBER(VALUE(metadata!J571)))</f>
        <v>0</v>
      </c>
      <c r="AL571" t="b">
        <f>AND(IF(metadata!K571="",FALSE,TRUE),EXACT(metadata!K571,"cm"))</f>
        <v>0</v>
      </c>
      <c r="AM571" t="b">
        <f>AND(IF(metadata!L571="",FALSE,TRUE),EXACT(metadata!L571,"human"))</f>
        <v>0</v>
      </c>
      <c r="AN571" t="b">
        <f>AND(IF(metadata!M571="",FALSE,TRUE),EXACT(metadata!M571,"Homo sapiens"))</f>
        <v>0</v>
      </c>
      <c r="AO571" t="b">
        <f>AND(IF(metadata!N571="",FALSE,TRUE),EXACT(metadata!N571,"9606"))</f>
        <v>0</v>
      </c>
      <c r="AP571" t="b">
        <f>IF(metadata!O571="",FALSE,TRUE)</f>
        <v>0</v>
      </c>
      <c r="AQ571" t="b">
        <f>IF(metadata!P571="",FALSE,TRUE)</f>
        <v>0</v>
      </c>
      <c r="AR571" t="b">
        <f>IF(metadata!Q571="",FALSE,ISNUMBER(VALUE(metadata!Q571)))</f>
        <v>0</v>
      </c>
      <c r="AS571" t="b">
        <f>AND(IF(metadata!R571="",FALSE,TRUE),EXACT(metadata!R571,"kg"))</f>
        <v>0</v>
      </c>
    </row>
    <row r="572" spans="1:45" x14ac:dyDescent="0.2">
      <c r="A572" s="5" t="str">
        <f ca="1">IF(B572=" "," ",HYPERLINK(CONCATENATE("#metadata!",ADDRESS(INDEX($X$2:$X$1001,MATCH(ROWS($V$2:V572),$V$2:$V$1001,0),0),1)),INDEX($AA$2:$AA$1001,MATCH(ROWS($V$2:V572),$V$2:$V$1001,0),0)))</f>
        <v xml:space="preserve"> </v>
      </c>
      <c r="B572" s="4" t="str">
        <f ca="1">IF(OR(INDEX($W$2:$W$1001,MATCH(ROWS($V$2:V572),$V$2:$V$1001,0),1)&gt;=100000,INDEX($AC$1005:$AS$1005,1,MATCH(COLUMNS($AC$1006:AC1006),$AC$1006:$AS$1006,0))&gt;=100000), " ",IF(INDEX($AC$2:$AS$1001,MATCH(ROWS($V$2:V572),$V$2:$V$1001,0),MATCH(COLUMNS($AC$1006:AC1006),$AC$1006:$AS$1006,0)), HYPERLINK("#",""), HYPERLINK(CONCATENATE("#metadata!", ADDRESS(INDEX($X$2:$X$1001,MATCH(ROWS($V$2:V572),$V$2:$V$1001,0),0), INDEX($AC$1004:$AS$1004,1,MATCH(COLUMNS($AC$1006:AC1006),$AC$1006:$AS$1006,0)))),"Fix")))</f>
        <v xml:space="preserve"> </v>
      </c>
      <c r="C572" s="4" t="str">
        <f ca="1">IF(OR(INDEX($W$2:$W$1001,MATCH(ROWS($V$2:V572),$V$2:$V$1001,0),1)&gt;=100000,INDEX($AC$1005:$AS$1005,1,MATCH(COLUMNS($AC$1006:AD1006),$AC$1006:$AS$1006,0))&gt;=100000), " ",IF(INDEX($AC$2:$AS$1001,MATCH(ROWS($V$2:V572),$V$2:$V$1001,0),MATCH(COLUMNS($AC$1006:AD1006),$AC$1006:$AS$1006,0)), HYPERLINK("#",""), HYPERLINK(CONCATENATE("#metadata!", ADDRESS(INDEX($X$2:$X$1001,MATCH(ROWS($V$2:V572),$V$2:$V$1001,0),0), INDEX($AC$1004:$AS$1004,1,MATCH(COLUMNS($AC$1006:AD1006),$AC$1006:$AS$1006,0)))),"Fix")))</f>
        <v xml:space="preserve"> </v>
      </c>
      <c r="D572" s="4" t="str">
        <f ca="1">IF(OR(INDEX($W$2:$W$1001,MATCH(ROWS($V$2:V572),$V$2:$V$1001,0),1)&gt;=100000,INDEX($AC$1005:$AS$1005,1,MATCH(COLUMNS($AC$1006:AE1006),$AC$1006:$AS$1006,0))&gt;=100000), " ",IF(INDEX($AC$2:$AS$1001,MATCH(ROWS($V$2:V572),$V$2:$V$1001,0),MATCH(COLUMNS($AC$1006:AE1006),$AC$1006:$AS$1006,0)), HYPERLINK("#",""), HYPERLINK(CONCATENATE("#metadata!", ADDRESS(INDEX($X$2:$X$1001,MATCH(ROWS($V$2:V572),$V$2:$V$1001,0),0), INDEX($AC$1004:$AS$1004,1,MATCH(COLUMNS($AC$1006:AE1006),$AC$1006:$AS$1006,0)))),"Fix")))</f>
        <v xml:space="preserve"> </v>
      </c>
      <c r="E572" s="4" t="str">
        <f ca="1">IF(OR(INDEX($W$2:$W$1001,MATCH(ROWS($V$2:V572),$V$2:$V$1001,0),1)&gt;=100000,INDEX($AC$1005:$AS$1005,1,MATCH(COLUMNS($AC$1006:AF1006),$AC$1006:$AS$1006,0))&gt;=100000), " ",IF(INDEX($AC$2:$AS$1001,MATCH(ROWS($V$2:V572),$V$2:$V$1001,0),MATCH(COLUMNS($AC$1006:AF1006),$AC$1006:$AS$1006,0)), HYPERLINK("#",""), HYPERLINK(CONCATENATE("#metadata!", ADDRESS(INDEX($X$2:$X$1001,MATCH(ROWS($V$2:V572),$V$2:$V$1001,0),0), INDEX($AC$1004:$AS$1004,1,MATCH(COLUMNS($AC$1006:AF1006),$AC$1006:$AS$1006,0)))),"Fix")))</f>
        <v xml:space="preserve"> </v>
      </c>
      <c r="F572" s="4" t="str">
        <f ca="1">IF(OR(INDEX($W$2:$W$1001,MATCH(ROWS($V$2:V572),$V$2:$V$1001,0),1)&gt;=100000,INDEX($AC$1005:$AS$1005,1,MATCH(COLUMNS($AC$1006:AG1006),$AC$1006:$AS$1006,0))&gt;=100000), " ",IF(INDEX($AC$2:$AS$1001,MATCH(ROWS($V$2:V572),$V$2:$V$1001,0),MATCH(COLUMNS($AC$1006:AG1006),$AC$1006:$AS$1006,0)), HYPERLINK("#",""), HYPERLINK(CONCATENATE("#metadata!", ADDRESS(INDEX($X$2:$X$1001,MATCH(ROWS($V$2:V572),$V$2:$V$1001,0),0), INDEX($AC$1004:$AS$1004,1,MATCH(COLUMNS($AC$1006:AG1006),$AC$1006:$AS$1006,0)))),"Fix")))</f>
        <v xml:space="preserve"> </v>
      </c>
      <c r="G572" s="4" t="str">
        <f ca="1">IF(OR(INDEX($W$2:$W$1001,MATCH(ROWS($V$2:V572),$V$2:$V$1001,0),1)&gt;=100000,INDEX($AC$1005:$AS$1005,1,MATCH(COLUMNS($AC$1006:AH1006),$AC$1006:$AS$1006,0))&gt;=100000), " ",IF(INDEX($AC$2:$AS$1001,MATCH(ROWS($V$2:V572),$V$2:$V$1001,0),MATCH(COLUMNS($AC$1006:AH1006),$AC$1006:$AS$1006,0)), HYPERLINK("#",""), HYPERLINK(CONCATENATE("#metadata!", ADDRESS(INDEX($X$2:$X$1001,MATCH(ROWS($V$2:V572),$V$2:$V$1001,0),0), INDEX($AC$1004:$AS$1004,1,MATCH(COLUMNS($AC$1006:AH1006),$AC$1006:$AS$1006,0)))),"Fix")))</f>
        <v xml:space="preserve"> </v>
      </c>
      <c r="H572" s="4" t="str">
        <f ca="1">IF(OR(INDEX($W$2:$W$1001,MATCH(ROWS($V$2:V572),$V$2:$V$1001,0),1)&gt;=100000,INDEX($AC$1005:$AS$1005,1,MATCH(COLUMNS($AC$1006:AI1006),$AC$1006:$AS$1006,0))&gt;=100000), " ",IF(INDEX($AC$2:$AS$1001,MATCH(ROWS($V$2:V572),$V$2:$V$1001,0),MATCH(COLUMNS($AC$1006:AI1006),$AC$1006:$AS$1006,0)), HYPERLINK("#",""), HYPERLINK(CONCATENATE("#metadata!", ADDRESS(INDEX($X$2:$X$1001,MATCH(ROWS($V$2:V572),$V$2:$V$1001,0),0), INDEX($AC$1004:$AS$1004,1,MATCH(COLUMNS($AC$1006:AI1006),$AC$1006:$AS$1006,0)))),"Fix")))</f>
        <v xml:space="preserve"> </v>
      </c>
      <c r="I572" s="4" t="str">
        <f ca="1">IF(OR(INDEX($W$2:$W$1001,MATCH(ROWS($V$2:V572),$V$2:$V$1001,0),1)&gt;=100000,INDEX($AC$1005:$AS$1005,1,MATCH(COLUMNS($AC$1006:AJ1006),$AC$1006:$AS$1006,0))&gt;=100000), " ",IF(INDEX($AC$2:$AS$1001,MATCH(ROWS($V$2:V572),$V$2:$V$1001,0),MATCH(COLUMNS($AC$1006:AJ1006),$AC$1006:$AS$1006,0)), HYPERLINK("#",""), HYPERLINK(CONCATENATE("#metadata!", ADDRESS(INDEX($X$2:$X$1001,MATCH(ROWS($V$2:V572),$V$2:$V$1001,0),0), INDEX($AC$1004:$AS$1004,1,MATCH(COLUMNS($AC$1006:AJ1006),$AC$1006:$AS$1006,0)))),"Fix")))</f>
        <v xml:space="preserve"> </v>
      </c>
      <c r="J572" s="4" t="str">
        <f ca="1">IF(OR(INDEX($W$2:$W$1001,MATCH(ROWS($V$2:V572),$V$2:$V$1001,0),1)&gt;=100000,INDEX($AC$1005:$AS$1005,1,MATCH(COLUMNS($AC$1006:AK1006),$AC$1006:$AS$1006,0))&gt;=100000), " ",IF(INDEX($AC$2:$AS$1001,MATCH(ROWS($V$2:V572),$V$2:$V$1001,0),MATCH(COLUMNS($AC$1006:AK1006),$AC$1006:$AS$1006,0)), HYPERLINK("#",""), HYPERLINK(CONCATENATE("#metadata!", ADDRESS(INDEX($X$2:$X$1001,MATCH(ROWS($V$2:V572),$V$2:$V$1001,0),0), INDEX($AC$1004:$AS$1004,1,MATCH(COLUMNS($AC$1006:AK1006),$AC$1006:$AS$1006,0)))),"Fix")))</f>
        <v xml:space="preserve"> </v>
      </c>
      <c r="K572" s="4" t="str">
        <f ca="1">IF(OR(INDEX($W$2:$W$1001,MATCH(ROWS($V$2:V572),$V$2:$V$1001,0),1)&gt;=100000,INDEX($AC$1005:$AS$1005,1,MATCH(COLUMNS($AC$1006:AL1006),$AC$1006:$AS$1006,0))&gt;=100000), " ",IF(INDEX($AC$2:$AS$1001,MATCH(ROWS($V$2:V572),$V$2:$V$1001,0),MATCH(COLUMNS($AC$1006:AL1006),$AC$1006:$AS$1006,0)), HYPERLINK("#",""), HYPERLINK(CONCATENATE("#metadata!", ADDRESS(INDEX($X$2:$X$1001,MATCH(ROWS($V$2:V572),$V$2:$V$1001,0),0), INDEX($AC$1004:$AS$1004,1,MATCH(COLUMNS($AC$1006:AL1006),$AC$1006:$AS$1006,0)))),"Fix")))</f>
        <v xml:space="preserve"> </v>
      </c>
      <c r="L572" s="4" t="str">
        <f ca="1">IF(OR(INDEX($W$2:$W$1001,MATCH(ROWS($V$2:V572),$V$2:$V$1001,0),1)&gt;=100000,INDEX($AC$1005:$AS$1005,1,MATCH(COLUMNS($AC$1006:AM1006),$AC$1006:$AS$1006,0))&gt;=100000), " ",IF(INDEX($AC$2:$AS$1001,MATCH(ROWS($V$2:V572),$V$2:$V$1001,0),MATCH(COLUMNS($AC$1006:AM1006),$AC$1006:$AS$1006,0)), HYPERLINK("#",""), HYPERLINK(CONCATENATE("#metadata!", ADDRESS(INDEX($X$2:$X$1001,MATCH(ROWS($V$2:V572),$V$2:$V$1001,0),0), INDEX($AC$1004:$AS$1004,1,MATCH(COLUMNS($AC$1006:AM1006),$AC$1006:$AS$1006,0)))),"Fix")))</f>
        <v xml:space="preserve"> </v>
      </c>
      <c r="M572" s="4" t="str">
        <f ca="1">IF(OR(INDEX($W$2:$W$1001,MATCH(ROWS($V$2:V572),$V$2:$V$1001,0),1)&gt;=100000,INDEX($AC$1005:$AS$1005,1,MATCH(COLUMNS($AC$1006:AN1006),$AC$1006:$AS$1006,0))&gt;=100000), " ",IF(INDEX($AC$2:$AS$1001,MATCH(ROWS($V$2:V572),$V$2:$V$1001,0),MATCH(COLUMNS($AC$1006:AN1006),$AC$1006:$AS$1006,0)), HYPERLINK("#",""), HYPERLINK(CONCATENATE("#metadata!", ADDRESS(INDEX($X$2:$X$1001,MATCH(ROWS($V$2:V572),$V$2:$V$1001,0),0), INDEX($AC$1004:$AS$1004,1,MATCH(COLUMNS($AC$1006:AN1006),$AC$1006:$AS$1006,0)))),"Fix")))</f>
        <v xml:space="preserve"> </v>
      </c>
      <c r="N572" s="4" t="str">
        <f ca="1">IF(OR(INDEX($W$2:$W$1001,MATCH(ROWS($V$2:V572),$V$2:$V$1001,0),1)&gt;=100000,INDEX($AC$1005:$AS$1005,1,MATCH(COLUMNS($AC$1006:AO1006),$AC$1006:$AS$1006,0))&gt;=100000), " ",IF(INDEX($AC$2:$AS$1001,MATCH(ROWS($V$2:V572),$V$2:$V$1001,0),MATCH(COLUMNS($AC$1006:AO1006),$AC$1006:$AS$1006,0)), HYPERLINK("#",""), HYPERLINK(CONCATENATE("#metadata!", ADDRESS(INDEX($X$2:$X$1001,MATCH(ROWS($V$2:V572),$V$2:$V$1001,0),0), INDEX($AC$1004:$AS$1004,1,MATCH(COLUMNS($AC$1006:AO1006),$AC$1006:$AS$1006,0)))),"Fix")))</f>
        <v xml:space="preserve"> </v>
      </c>
      <c r="O572" s="4" t="str">
        <f ca="1">IF(OR(INDEX($W$2:$W$1001,MATCH(ROWS($V$2:V572),$V$2:$V$1001,0),1)&gt;=100000,INDEX($AC$1005:$AS$1005,1,MATCH(COLUMNS($AC$1006:AP1006),$AC$1006:$AS$1006,0))&gt;=100000), " ",IF(INDEX($AC$2:$AS$1001,MATCH(ROWS($V$2:V572),$V$2:$V$1001,0),MATCH(COLUMNS($AC$1006:AP1006),$AC$1006:$AS$1006,0)), HYPERLINK("#",""), HYPERLINK(CONCATENATE("#metadata!", ADDRESS(INDEX($X$2:$X$1001,MATCH(ROWS($V$2:V572),$V$2:$V$1001,0),0), INDEX($AC$1004:$AS$1004,1,MATCH(COLUMNS($AC$1006:AP1006),$AC$1006:$AS$1006,0)))),"Fix")))</f>
        <v xml:space="preserve"> </v>
      </c>
      <c r="P572" s="4" t="str">
        <f ca="1">IF(OR(INDEX($W$2:$W$1001,MATCH(ROWS($V$2:V572),$V$2:$V$1001,0),1)&gt;=100000,INDEX($AC$1005:$AS$1005,1,MATCH(COLUMNS($AC$1006:AQ1006),$AC$1006:$AS$1006,0))&gt;=100000), " ",IF(INDEX($AC$2:$AS$1001,MATCH(ROWS($V$2:V572),$V$2:$V$1001,0),MATCH(COLUMNS($AC$1006:AQ1006),$AC$1006:$AS$1006,0)), HYPERLINK("#",""), HYPERLINK(CONCATENATE("#metadata!", ADDRESS(INDEX($X$2:$X$1001,MATCH(ROWS($V$2:V572),$V$2:$V$1001,0),0), INDEX($AC$1004:$AS$1004,1,MATCH(COLUMNS($AC$1006:AQ1006),$AC$1006:$AS$1006,0)))),"Fix")))</f>
        <v xml:space="preserve"> </v>
      </c>
      <c r="Q572" s="4" t="str">
        <f ca="1">IF(OR(INDEX($W$2:$W$1001,MATCH(ROWS($V$2:V572),$V$2:$V$1001,0),1)&gt;=100000,INDEX($AC$1005:$AS$1005,1,MATCH(COLUMNS($AC$1006:AR1006),$AC$1006:$AS$1006,0))&gt;=100000), " ",IF(INDEX($AC$2:$AS$1001,MATCH(ROWS($V$2:V572),$V$2:$V$1001,0),MATCH(COLUMNS($AC$1006:AR1006),$AC$1006:$AS$1006,0)), HYPERLINK("#",""), HYPERLINK(CONCATENATE("#metadata!", ADDRESS(INDEX($X$2:$X$1001,MATCH(ROWS($V$2:V572),$V$2:$V$1001,0),0), INDEX($AC$1004:$AS$1004,1,MATCH(COLUMNS($AC$1006:AR1006),$AC$1006:$AS$1006,0)))),"Fix")))</f>
        <v xml:space="preserve"> </v>
      </c>
      <c r="R572" s="4" t="str">
        <f ca="1">IF(OR(INDEX($W$2:$W$1001,MATCH(ROWS($V$2:V572),$V$2:$V$1001,0),1)&gt;=100000,INDEX($AC$1005:$AS$1005,1,MATCH(COLUMNS($AC$1006:AS1006),$AC$1006:$AS$1006,0))&gt;=100000), " ",IF(INDEX($AC$2:$AS$1001,MATCH(ROWS($V$2:V572),$V$2:$V$1001,0),MATCH(COLUMNS($AC$1006:AS1006),$AC$1006:$AS$1006,0)), HYPERLINK("#",""), HYPERLINK(CONCATENATE("#metadata!", ADDRESS(INDEX($X$2:$X$1001,MATCH(ROWS($V$2:V572),$V$2:$V$1001,0),0), INDEX($AC$1004:$AS$1004,1,MATCH(COLUMNS($AC$1006:AS1006),$AC$1006:$AS$1006,0)))),"Fix")))</f>
        <v xml:space="preserve"> </v>
      </c>
      <c r="V572">
        <v>571</v>
      </c>
      <c r="W572">
        <v>100572</v>
      </c>
      <c r="X572">
        <v>572</v>
      </c>
      <c r="Y572" t="b">
        <f t="shared" si="8"/>
        <v>1</v>
      </c>
      <c r="Z572" t="b">
        <f>COUNTBLANK(metadata!B572:R572)=COLUMNS(metadata!B572:R572)</f>
        <v>1</v>
      </c>
      <c r="AA572" t="str">
        <v/>
      </c>
      <c r="AC572" t="b">
        <f ca="1"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AD572" t="b">
        <f>IF(metadata!C572="",FALSE,ISNUMBER(VALUE(metadata!C572)))</f>
        <v>0</v>
      </c>
      <c r="AE572" t="b">
        <f>AND(IF(metadata!D572="",FALSE,TRUE),EXACT(metadata!D572,"years"))</f>
        <v>0</v>
      </c>
      <c r="AF572" t="b">
        <f>OR(AND(IF(metadata!E572="",FALSE,TRUE),OR(EXACT(metadata!E572,"not applicable"),EXACT(metadata!E572,"missing: not collected"),EXACT(metadata!E572,"missing: not provided"),EXACT(metadata!E572,"missing: restricted access"))),AND(IF(metadata!E572="",FALSE,ISNUMBER(VALUE(metadata!E572))),metadata!E572&gt;0))</f>
        <v>0</v>
      </c>
      <c r="AG572" t="b">
        <f>AND(IF(metadata!F572="",FALSE,TRUE),EXACT(metadata!F572,"Not applicable"))</f>
        <v>0</v>
      </c>
      <c r="AH572" t="b">
        <f>AND(IF(metadata!G572="",FALSE,TRUE),EXACT(metadata!G572,"urban biome"))</f>
        <v>0</v>
      </c>
      <c r="AI572" t="b">
        <f>AND(IF(metadata!H572="",FALSE,TRUE),EXACT(metadata!H572,"human-associated habitat"))</f>
        <v>0</v>
      </c>
      <c r="AJ572" t="b">
        <f>AND(IF(metadata!I572="",FALSE,TRUE),OR(EXACT(metadata!I572,"human-associated"),EXACT(metadata!I572,"human-skin"),EXACT(metadata!I572,"human-oral"),EXACT(metadata!I572,"human-gut"),EXACT(metadata!I572,"human-vaginal")))</f>
        <v>0</v>
      </c>
      <c r="AK572" t="b">
        <f>IF(metadata!J572="",FALSE,ISNUMBER(VALUE(metadata!J572)))</f>
        <v>0</v>
      </c>
      <c r="AL572" t="b">
        <f>AND(IF(metadata!K572="",FALSE,TRUE),EXACT(metadata!K572,"cm"))</f>
        <v>0</v>
      </c>
      <c r="AM572" t="b">
        <f>AND(IF(metadata!L572="",FALSE,TRUE),EXACT(metadata!L572,"human"))</f>
        <v>0</v>
      </c>
      <c r="AN572" t="b">
        <f>AND(IF(metadata!M572="",FALSE,TRUE),EXACT(metadata!M572,"Homo sapiens"))</f>
        <v>0</v>
      </c>
      <c r="AO572" t="b">
        <f>AND(IF(metadata!N572="",FALSE,TRUE),EXACT(metadata!N572,"9606"))</f>
        <v>0</v>
      </c>
      <c r="AP572" t="b">
        <f>IF(metadata!O572="",FALSE,TRUE)</f>
        <v>0</v>
      </c>
      <c r="AQ572" t="b">
        <f>IF(metadata!P572="",FALSE,TRUE)</f>
        <v>0</v>
      </c>
      <c r="AR572" t="b">
        <f>IF(metadata!Q572="",FALSE,ISNUMBER(VALUE(metadata!Q572)))</f>
        <v>0</v>
      </c>
      <c r="AS572" t="b">
        <f>AND(IF(metadata!R572="",FALSE,TRUE),EXACT(metadata!R572,"kg"))</f>
        <v>0</v>
      </c>
    </row>
    <row r="573" spans="1:45" x14ac:dyDescent="0.2">
      <c r="A573" s="5" t="str">
        <f ca="1">IF(B573=" "," ",HYPERLINK(CONCATENATE("#metadata!",ADDRESS(INDEX($X$2:$X$1001,MATCH(ROWS($V$2:V573),$V$2:$V$1001,0),0),1)),INDEX($AA$2:$AA$1001,MATCH(ROWS($V$2:V573),$V$2:$V$1001,0),0)))</f>
        <v xml:space="preserve"> </v>
      </c>
      <c r="B573" s="4" t="str">
        <f ca="1">IF(OR(INDEX($W$2:$W$1001,MATCH(ROWS($V$2:V573),$V$2:$V$1001,0),1)&gt;=100000,INDEX($AC$1005:$AS$1005,1,MATCH(COLUMNS($AC$1006:AC1006),$AC$1006:$AS$1006,0))&gt;=100000), " ",IF(INDEX($AC$2:$AS$1001,MATCH(ROWS($V$2:V573),$V$2:$V$1001,0),MATCH(COLUMNS($AC$1006:AC1006),$AC$1006:$AS$1006,0)), HYPERLINK("#",""), HYPERLINK(CONCATENATE("#metadata!", ADDRESS(INDEX($X$2:$X$1001,MATCH(ROWS($V$2:V573),$V$2:$V$1001,0),0), INDEX($AC$1004:$AS$1004,1,MATCH(COLUMNS($AC$1006:AC1006),$AC$1006:$AS$1006,0)))),"Fix")))</f>
        <v xml:space="preserve"> </v>
      </c>
      <c r="C573" s="4" t="str">
        <f ca="1">IF(OR(INDEX($W$2:$W$1001,MATCH(ROWS($V$2:V573),$V$2:$V$1001,0),1)&gt;=100000,INDEX($AC$1005:$AS$1005,1,MATCH(COLUMNS($AC$1006:AD1006),$AC$1006:$AS$1006,0))&gt;=100000), " ",IF(INDEX($AC$2:$AS$1001,MATCH(ROWS($V$2:V573),$V$2:$V$1001,0),MATCH(COLUMNS($AC$1006:AD1006),$AC$1006:$AS$1006,0)), HYPERLINK("#",""), HYPERLINK(CONCATENATE("#metadata!", ADDRESS(INDEX($X$2:$X$1001,MATCH(ROWS($V$2:V573),$V$2:$V$1001,0),0), INDEX($AC$1004:$AS$1004,1,MATCH(COLUMNS($AC$1006:AD1006),$AC$1006:$AS$1006,0)))),"Fix")))</f>
        <v xml:space="preserve"> </v>
      </c>
      <c r="D573" s="4" t="str">
        <f ca="1">IF(OR(INDEX($W$2:$W$1001,MATCH(ROWS($V$2:V573),$V$2:$V$1001,0),1)&gt;=100000,INDEX($AC$1005:$AS$1005,1,MATCH(COLUMNS($AC$1006:AE1006),$AC$1006:$AS$1006,0))&gt;=100000), " ",IF(INDEX($AC$2:$AS$1001,MATCH(ROWS($V$2:V573),$V$2:$V$1001,0),MATCH(COLUMNS($AC$1006:AE1006),$AC$1006:$AS$1006,0)), HYPERLINK("#",""), HYPERLINK(CONCATENATE("#metadata!", ADDRESS(INDEX($X$2:$X$1001,MATCH(ROWS($V$2:V573),$V$2:$V$1001,0),0), INDEX($AC$1004:$AS$1004,1,MATCH(COLUMNS($AC$1006:AE1006),$AC$1006:$AS$1006,0)))),"Fix")))</f>
        <v xml:space="preserve"> </v>
      </c>
      <c r="E573" s="4" t="str">
        <f ca="1">IF(OR(INDEX($W$2:$W$1001,MATCH(ROWS($V$2:V573),$V$2:$V$1001,0),1)&gt;=100000,INDEX($AC$1005:$AS$1005,1,MATCH(COLUMNS($AC$1006:AF1006),$AC$1006:$AS$1006,0))&gt;=100000), " ",IF(INDEX($AC$2:$AS$1001,MATCH(ROWS($V$2:V573),$V$2:$V$1001,0),MATCH(COLUMNS($AC$1006:AF1006),$AC$1006:$AS$1006,0)), HYPERLINK("#",""), HYPERLINK(CONCATENATE("#metadata!", ADDRESS(INDEX($X$2:$X$1001,MATCH(ROWS($V$2:V573),$V$2:$V$1001,0),0), INDEX($AC$1004:$AS$1004,1,MATCH(COLUMNS($AC$1006:AF1006),$AC$1006:$AS$1006,0)))),"Fix")))</f>
        <v xml:space="preserve"> </v>
      </c>
      <c r="F573" s="4" t="str">
        <f ca="1">IF(OR(INDEX($W$2:$W$1001,MATCH(ROWS($V$2:V573),$V$2:$V$1001,0),1)&gt;=100000,INDEX($AC$1005:$AS$1005,1,MATCH(COLUMNS($AC$1006:AG1006),$AC$1006:$AS$1006,0))&gt;=100000), " ",IF(INDEX($AC$2:$AS$1001,MATCH(ROWS($V$2:V573),$V$2:$V$1001,0),MATCH(COLUMNS($AC$1006:AG1006),$AC$1006:$AS$1006,0)), HYPERLINK("#",""), HYPERLINK(CONCATENATE("#metadata!", ADDRESS(INDEX($X$2:$X$1001,MATCH(ROWS($V$2:V573),$V$2:$V$1001,0),0), INDEX($AC$1004:$AS$1004,1,MATCH(COLUMNS($AC$1006:AG1006),$AC$1006:$AS$1006,0)))),"Fix")))</f>
        <v xml:space="preserve"> </v>
      </c>
      <c r="G573" s="4" t="str">
        <f ca="1">IF(OR(INDEX($W$2:$W$1001,MATCH(ROWS($V$2:V573),$V$2:$V$1001,0),1)&gt;=100000,INDEX($AC$1005:$AS$1005,1,MATCH(COLUMNS($AC$1006:AH1006),$AC$1006:$AS$1006,0))&gt;=100000), " ",IF(INDEX($AC$2:$AS$1001,MATCH(ROWS($V$2:V573),$V$2:$V$1001,0),MATCH(COLUMNS($AC$1006:AH1006),$AC$1006:$AS$1006,0)), HYPERLINK("#",""), HYPERLINK(CONCATENATE("#metadata!", ADDRESS(INDEX($X$2:$X$1001,MATCH(ROWS($V$2:V573),$V$2:$V$1001,0),0), INDEX($AC$1004:$AS$1004,1,MATCH(COLUMNS($AC$1006:AH1006),$AC$1006:$AS$1006,0)))),"Fix")))</f>
        <v xml:space="preserve"> </v>
      </c>
      <c r="H573" s="4" t="str">
        <f ca="1">IF(OR(INDEX($W$2:$W$1001,MATCH(ROWS($V$2:V573),$V$2:$V$1001,0),1)&gt;=100000,INDEX($AC$1005:$AS$1005,1,MATCH(COLUMNS($AC$1006:AI1006),$AC$1006:$AS$1006,0))&gt;=100000), " ",IF(INDEX($AC$2:$AS$1001,MATCH(ROWS($V$2:V573),$V$2:$V$1001,0),MATCH(COLUMNS($AC$1006:AI1006),$AC$1006:$AS$1006,0)), HYPERLINK("#",""), HYPERLINK(CONCATENATE("#metadata!", ADDRESS(INDEX($X$2:$X$1001,MATCH(ROWS($V$2:V573),$V$2:$V$1001,0),0), INDEX($AC$1004:$AS$1004,1,MATCH(COLUMNS($AC$1006:AI1006),$AC$1006:$AS$1006,0)))),"Fix")))</f>
        <v xml:space="preserve"> </v>
      </c>
      <c r="I573" s="4" t="str">
        <f ca="1">IF(OR(INDEX($W$2:$W$1001,MATCH(ROWS($V$2:V573),$V$2:$V$1001,0),1)&gt;=100000,INDEX($AC$1005:$AS$1005,1,MATCH(COLUMNS($AC$1006:AJ1006),$AC$1006:$AS$1006,0))&gt;=100000), " ",IF(INDEX($AC$2:$AS$1001,MATCH(ROWS($V$2:V573),$V$2:$V$1001,0),MATCH(COLUMNS($AC$1006:AJ1006),$AC$1006:$AS$1006,0)), HYPERLINK("#",""), HYPERLINK(CONCATENATE("#metadata!", ADDRESS(INDEX($X$2:$X$1001,MATCH(ROWS($V$2:V573),$V$2:$V$1001,0),0), INDEX($AC$1004:$AS$1004,1,MATCH(COLUMNS($AC$1006:AJ1006),$AC$1006:$AS$1006,0)))),"Fix")))</f>
        <v xml:space="preserve"> </v>
      </c>
      <c r="J573" s="4" t="str">
        <f ca="1">IF(OR(INDEX($W$2:$W$1001,MATCH(ROWS($V$2:V573),$V$2:$V$1001,0),1)&gt;=100000,INDEX($AC$1005:$AS$1005,1,MATCH(COLUMNS($AC$1006:AK1006),$AC$1006:$AS$1006,0))&gt;=100000), " ",IF(INDEX($AC$2:$AS$1001,MATCH(ROWS($V$2:V573),$V$2:$V$1001,0),MATCH(COLUMNS($AC$1006:AK1006),$AC$1006:$AS$1006,0)), HYPERLINK("#",""), HYPERLINK(CONCATENATE("#metadata!", ADDRESS(INDEX($X$2:$X$1001,MATCH(ROWS($V$2:V573),$V$2:$V$1001,0),0), INDEX($AC$1004:$AS$1004,1,MATCH(COLUMNS($AC$1006:AK1006),$AC$1006:$AS$1006,0)))),"Fix")))</f>
        <v xml:space="preserve"> </v>
      </c>
      <c r="K573" s="4" t="str">
        <f ca="1">IF(OR(INDEX($W$2:$W$1001,MATCH(ROWS($V$2:V573),$V$2:$V$1001,0),1)&gt;=100000,INDEX($AC$1005:$AS$1005,1,MATCH(COLUMNS($AC$1006:AL1006),$AC$1006:$AS$1006,0))&gt;=100000), " ",IF(INDEX($AC$2:$AS$1001,MATCH(ROWS($V$2:V573),$V$2:$V$1001,0),MATCH(COLUMNS($AC$1006:AL1006),$AC$1006:$AS$1006,0)), HYPERLINK("#",""), HYPERLINK(CONCATENATE("#metadata!", ADDRESS(INDEX($X$2:$X$1001,MATCH(ROWS($V$2:V573),$V$2:$V$1001,0),0), INDEX($AC$1004:$AS$1004,1,MATCH(COLUMNS($AC$1006:AL1006),$AC$1006:$AS$1006,0)))),"Fix")))</f>
        <v xml:space="preserve"> </v>
      </c>
      <c r="L573" s="4" t="str">
        <f ca="1">IF(OR(INDEX($W$2:$W$1001,MATCH(ROWS($V$2:V573),$V$2:$V$1001,0),1)&gt;=100000,INDEX($AC$1005:$AS$1005,1,MATCH(COLUMNS($AC$1006:AM1006),$AC$1006:$AS$1006,0))&gt;=100000), " ",IF(INDEX($AC$2:$AS$1001,MATCH(ROWS($V$2:V573),$V$2:$V$1001,0),MATCH(COLUMNS($AC$1006:AM1006),$AC$1006:$AS$1006,0)), HYPERLINK("#",""), HYPERLINK(CONCATENATE("#metadata!", ADDRESS(INDEX($X$2:$X$1001,MATCH(ROWS($V$2:V573),$V$2:$V$1001,0),0), INDEX($AC$1004:$AS$1004,1,MATCH(COLUMNS($AC$1006:AM1006),$AC$1006:$AS$1006,0)))),"Fix")))</f>
        <v xml:space="preserve"> </v>
      </c>
      <c r="M573" s="4" t="str">
        <f ca="1">IF(OR(INDEX($W$2:$W$1001,MATCH(ROWS($V$2:V573),$V$2:$V$1001,0),1)&gt;=100000,INDEX($AC$1005:$AS$1005,1,MATCH(COLUMNS($AC$1006:AN1006),$AC$1006:$AS$1006,0))&gt;=100000), " ",IF(INDEX($AC$2:$AS$1001,MATCH(ROWS($V$2:V573),$V$2:$V$1001,0),MATCH(COLUMNS($AC$1006:AN1006),$AC$1006:$AS$1006,0)), HYPERLINK("#",""), HYPERLINK(CONCATENATE("#metadata!", ADDRESS(INDEX($X$2:$X$1001,MATCH(ROWS($V$2:V573),$V$2:$V$1001,0),0), INDEX($AC$1004:$AS$1004,1,MATCH(COLUMNS($AC$1006:AN1006),$AC$1006:$AS$1006,0)))),"Fix")))</f>
        <v xml:space="preserve"> </v>
      </c>
      <c r="N573" s="4" t="str">
        <f ca="1">IF(OR(INDEX($W$2:$W$1001,MATCH(ROWS($V$2:V573),$V$2:$V$1001,0),1)&gt;=100000,INDEX($AC$1005:$AS$1005,1,MATCH(COLUMNS($AC$1006:AO1006),$AC$1006:$AS$1006,0))&gt;=100000), " ",IF(INDEX($AC$2:$AS$1001,MATCH(ROWS($V$2:V573),$V$2:$V$1001,0),MATCH(COLUMNS($AC$1006:AO1006),$AC$1006:$AS$1006,0)), HYPERLINK("#",""), HYPERLINK(CONCATENATE("#metadata!", ADDRESS(INDEX($X$2:$X$1001,MATCH(ROWS($V$2:V573),$V$2:$V$1001,0),0), INDEX($AC$1004:$AS$1004,1,MATCH(COLUMNS($AC$1006:AO1006),$AC$1006:$AS$1006,0)))),"Fix")))</f>
        <v xml:space="preserve"> </v>
      </c>
      <c r="O573" s="4" t="str">
        <f ca="1">IF(OR(INDEX($W$2:$W$1001,MATCH(ROWS($V$2:V573),$V$2:$V$1001,0),1)&gt;=100000,INDEX($AC$1005:$AS$1005,1,MATCH(COLUMNS($AC$1006:AP1006),$AC$1006:$AS$1006,0))&gt;=100000), " ",IF(INDEX($AC$2:$AS$1001,MATCH(ROWS($V$2:V573),$V$2:$V$1001,0),MATCH(COLUMNS($AC$1006:AP1006),$AC$1006:$AS$1006,0)), HYPERLINK("#",""), HYPERLINK(CONCATENATE("#metadata!", ADDRESS(INDEX($X$2:$X$1001,MATCH(ROWS($V$2:V573),$V$2:$V$1001,0),0), INDEX($AC$1004:$AS$1004,1,MATCH(COLUMNS($AC$1006:AP1006),$AC$1006:$AS$1006,0)))),"Fix")))</f>
        <v xml:space="preserve"> </v>
      </c>
      <c r="P573" s="4" t="str">
        <f ca="1">IF(OR(INDEX($W$2:$W$1001,MATCH(ROWS($V$2:V573),$V$2:$V$1001,0),1)&gt;=100000,INDEX($AC$1005:$AS$1005,1,MATCH(COLUMNS($AC$1006:AQ1006),$AC$1006:$AS$1006,0))&gt;=100000), " ",IF(INDEX($AC$2:$AS$1001,MATCH(ROWS($V$2:V573),$V$2:$V$1001,0),MATCH(COLUMNS($AC$1006:AQ1006),$AC$1006:$AS$1006,0)), HYPERLINK("#",""), HYPERLINK(CONCATENATE("#metadata!", ADDRESS(INDEX($X$2:$X$1001,MATCH(ROWS($V$2:V573),$V$2:$V$1001,0),0), INDEX($AC$1004:$AS$1004,1,MATCH(COLUMNS($AC$1006:AQ1006),$AC$1006:$AS$1006,0)))),"Fix")))</f>
        <v xml:space="preserve"> </v>
      </c>
      <c r="Q573" s="4" t="str">
        <f ca="1">IF(OR(INDEX($W$2:$W$1001,MATCH(ROWS($V$2:V573),$V$2:$V$1001,0),1)&gt;=100000,INDEX($AC$1005:$AS$1005,1,MATCH(COLUMNS($AC$1006:AR1006),$AC$1006:$AS$1006,0))&gt;=100000), " ",IF(INDEX($AC$2:$AS$1001,MATCH(ROWS($V$2:V573),$V$2:$V$1001,0),MATCH(COLUMNS($AC$1006:AR1006),$AC$1006:$AS$1006,0)), HYPERLINK("#",""), HYPERLINK(CONCATENATE("#metadata!", ADDRESS(INDEX($X$2:$X$1001,MATCH(ROWS($V$2:V573),$V$2:$V$1001,0),0), INDEX($AC$1004:$AS$1004,1,MATCH(COLUMNS($AC$1006:AR1006),$AC$1006:$AS$1006,0)))),"Fix")))</f>
        <v xml:space="preserve"> </v>
      </c>
      <c r="R573" s="4" t="str">
        <f ca="1">IF(OR(INDEX($W$2:$W$1001,MATCH(ROWS($V$2:V573),$V$2:$V$1001,0),1)&gt;=100000,INDEX($AC$1005:$AS$1005,1,MATCH(COLUMNS($AC$1006:AS1006),$AC$1006:$AS$1006,0))&gt;=100000), " ",IF(INDEX($AC$2:$AS$1001,MATCH(ROWS($V$2:V573),$V$2:$V$1001,0),MATCH(COLUMNS($AC$1006:AS1006),$AC$1006:$AS$1006,0)), HYPERLINK("#",""), HYPERLINK(CONCATENATE("#metadata!", ADDRESS(INDEX($X$2:$X$1001,MATCH(ROWS($V$2:V573),$V$2:$V$1001,0),0), INDEX($AC$1004:$AS$1004,1,MATCH(COLUMNS($AC$1006:AS1006),$AC$1006:$AS$1006,0)))),"Fix")))</f>
        <v xml:space="preserve"> </v>
      </c>
      <c r="V573">
        <v>572</v>
      </c>
      <c r="W573">
        <v>100573</v>
      </c>
      <c r="X573">
        <v>573</v>
      </c>
      <c r="Y573" t="b">
        <f t="shared" si="8"/>
        <v>1</v>
      </c>
      <c r="Z573" t="b">
        <f>COUNTBLANK(metadata!B573:R573)=COLUMNS(metadata!B573:R573)</f>
        <v>1</v>
      </c>
      <c r="AA573" t="str">
        <v/>
      </c>
      <c r="AC573" t="b">
        <f ca="1"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AD573" t="b">
        <f>IF(metadata!C573="",FALSE,ISNUMBER(VALUE(metadata!C573)))</f>
        <v>0</v>
      </c>
      <c r="AE573" t="b">
        <f>AND(IF(metadata!D573="",FALSE,TRUE),EXACT(metadata!D573,"years"))</f>
        <v>0</v>
      </c>
      <c r="AF573" t="b">
        <f>OR(AND(IF(metadata!E573="",FALSE,TRUE),OR(EXACT(metadata!E573,"not applicable"),EXACT(metadata!E573,"missing: not collected"),EXACT(metadata!E573,"missing: not provided"),EXACT(metadata!E573,"missing: restricted access"))),AND(IF(metadata!E573="",FALSE,ISNUMBER(VALUE(metadata!E573))),metadata!E573&gt;0))</f>
        <v>0</v>
      </c>
      <c r="AG573" t="b">
        <f>AND(IF(metadata!F573="",FALSE,TRUE),EXACT(metadata!F573,"Not applicable"))</f>
        <v>0</v>
      </c>
      <c r="AH573" t="b">
        <f>AND(IF(metadata!G573="",FALSE,TRUE),EXACT(metadata!G573,"urban biome"))</f>
        <v>0</v>
      </c>
      <c r="AI573" t="b">
        <f>AND(IF(metadata!H573="",FALSE,TRUE),EXACT(metadata!H573,"human-associated habitat"))</f>
        <v>0</v>
      </c>
      <c r="AJ573" t="b">
        <f>AND(IF(metadata!I573="",FALSE,TRUE),OR(EXACT(metadata!I573,"human-associated"),EXACT(metadata!I573,"human-skin"),EXACT(metadata!I573,"human-oral"),EXACT(metadata!I573,"human-gut"),EXACT(metadata!I573,"human-vaginal")))</f>
        <v>0</v>
      </c>
      <c r="AK573" t="b">
        <f>IF(metadata!J573="",FALSE,ISNUMBER(VALUE(metadata!J573)))</f>
        <v>0</v>
      </c>
      <c r="AL573" t="b">
        <f>AND(IF(metadata!K573="",FALSE,TRUE),EXACT(metadata!K573,"cm"))</f>
        <v>0</v>
      </c>
      <c r="AM573" t="b">
        <f>AND(IF(metadata!L573="",FALSE,TRUE),EXACT(metadata!L573,"human"))</f>
        <v>0</v>
      </c>
      <c r="AN573" t="b">
        <f>AND(IF(metadata!M573="",FALSE,TRUE),EXACT(metadata!M573,"Homo sapiens"))</f>
        <v>0</v>
      </c>
      <c r="AO573" t="b">
        <f>AND(IF(metadata!N573="",FALSE,TRUE),EXACT(metadata!N573,"9606"))</f>
        <v>0</v>
      </c>
      <c r="AP573" t="b">
        <f>IF(metadata!O573="",FALSE,TRUE)</f>
        <v>0</v>
      </c>
      <c r="AQ573" t="b">
        <f>IF(metadata!P573="",FALSE,TRUE)</f>
        <v>0</v>
      </c>
      <c r="AR573" t="b">
        <f>IF(metadata!Q573="",FALSE,ISNUMBER(VALUE(metadata!Q573)))</f>
        <v>0</v>
      </c>
      <c r="AS573" t="b">
        <f>AND(IF(metadata!R573="",FALSE,TRUE),EXACT(metadata!R573,"kg"))</f>
        <v>0</v>
      </c>
    </row>
    <row r="574" spans="1:45" x14ac:dyDescent="0.2">
      <c r="A574" s="5" t="str">
        <f ca="1">IF(B574=" "," ",HYPERLINK(CONCATENATE("#metadata!",ADDRESS(INDEX($X$2:$X$1001,MATCH(ROWS($V$2:V574),$V$2:$V$1001,0),0),1)),INDEX($AA$2:$AA$1001,MATCH(ROWS($V$2:V574),$V$2:$V$1001,0),0)))</f>
        <v xml:space="preserve"> </v>
      </c>
      <c r="B574" s="4" t="str">
        <f ca="1">IF(OR(INDEX($W$2:$W$1001,MATCH(ROWS($V$2:V574),$V$2:$V$1001,0),1)&gt;=100000,INDEX($AC$1005:$AS$1005,1,MATCH(COLUMNS($AC$1006:AC1006),$AC$1006:$AS$1006,0))&gt;=100000), " ",IF(INDEX($AC$2:$AS$1001,MATCH(ROWS($V$2:V574),$V$2:$V$1001,0),MATCH(COLUMNS($AC$1006:AC1006),$AC$1006:$AS$1006,0)), HYPERLINK("#",""), HYPERLINK(CONCATENATE("#metadata!", ADDRESS(INDEX($X$2:$X$1001,MATCH(ROWS($V$2:V574),$V$2:$V$1001,0),0), INDEX($AC$1004:$AS$1004,1,MATCH(COLUMNS($AC$1006:AC1006),$AC$1006:$AS$1006,0)))),"Fix")))</f>
        <v xml:space="preserve"> </v>
      </c>
      <c r="C574" s="4" t="str">
        <f ca="1">IF(OR(INDEX($W$2:$W$1001,MATCH(ROWS($V$2:V574),$V$2:$V$1001,0),1)&gt;=100000,INDEX($AC$1005:$AS$1005,1,MATCH(COLUMNS($AC$1006:AD1006),$AC$1006:$AS$1006,0))&gt;=100000), " ",IF(INDEX($AC$2:$AS$1001,MATCH(ROWS($V$2:V574),$V$2:$V$1001,0),MATCH(COLUMNS($AC$1006:AD1006),$AC$1006:$AS$1006,0)), HYPERLINK("#",""), HYPERLINK(CONCATENATE("#metadata!", ADDRESS(INDEX($X$2:$X$1001,MATCH(ROWS($V$2:V574),$V$2:$V$1001,0),0), INDEX($AC$1004:$AS$1004,1,MATCH(COLUMNS($AC$1006:AD1006),$AC$1006:$AS$1006,0)))),"Fix")))</f>
        <v xml:space="preserve"> </v>
      </c>
      <c r="D574" s="4" t="str">
        <f ca="1">IF(OR(INDEX($W$2:$W$1001,MATCH(ROWS($V$2:V574),$V$2:$V$1001,0),1)&gt;=100000,INDEX($AC$1005:$AS$1005,1,MATCH(COLUMNS($AC$1006:AE1006),$AC$1006:$AS$1006,0))&gt;=100000), " ",IF(INDEX($AC$2:$AS$1001,MATCH(ROWS($V$2:V574),$V$2:$V$1001,0),MATCH(COLUMNS($AC$1006:AE1006),$AC$1006:$AS$1006,0)), HYPERLINK("#",""), HYPERLINK(CONCATENATE("#metadata!", ADDRESS(INDEX($X$2:$X$1001,MATCH(ROWS($V$2:V574),$V$2:$V$1001,0),0), INDEX($AC$1004:$AS$1004,1,MATCH(COLUMNS($AC$1006:AE1006),$AC$1006:$AS$1006,0)))),"Fix")))</f>
        <v xml:space="preserve"> </v>
      </c>
      <c r="E574" s="4" t="str">
        <f ca="1">IF(OR(INDEX($W$2:$W$1001,MATCH(ROWS($V$2:V574),$V$2:$V$1001,0),1)&gt;=100000,INDEX($AC$1005:$AS$1005,1,MATCH(COLUMNS($AC$1006:AF1006),$AC$1006:$AS$1006,0))&gt;=100000), " ",IF(INDEX($AC$2:$AS$1001,MATCH(ROWS($V$2:V574),$V$2:$V$1001,0),MATCH(COLUMNS($AC$1006:AF1006),$AC$1006:$AS$1006,0)), HYPERLINK("#",""), HYPERLINK(CONCATENATE("#metadata!", ADDRESS(INDEX($X$2:$X$1001,MATCH(ROWS($V$2:V574),$V$2:$V$1001,0),0), INDEX($AC$1004:$AS$1004,1,MATCH(COLUMNS($AC$1006:AF1006),$AC$1006:$AS$1006,0)))),"Fix")))</f>
        <v xml:space="preserve"> </v>
      </c>
      <c r="F574" s="4" t="str">
        <f ca="1">IF(OR(INDEX($W$2:$W$1001,MATCH(ROWS($V$2:V574),$V$2:$V$1001,0),1)&gt;=100000,INDEX($AC$1005:$AS$1005,1,MATCH(COLUMNS($AC$1006:AG1006),$AC$1006:$AS$1006,0))&gt;=100000), " ",IF(INDEX($AC$2:$AS$1001,MATCH(ROWS($V$2:V574),$V$2:$V$1001,0),MATCH(COLUMNS($AC$1006:AG1006),$AC$1006:$AS$1006,0)), HYPERLINK("#",""), HYPERLINK(CONCATENATE("#metadata!", ADDRESS(INDEX($X$2:$X$1001,MATCH(ROWS($V$2:V574),$V$2:$V$1001,0),0), INDEX($AC$1004:$AS$1004,1,MATCH(COLUMNS($AC$1006:AG1006),$AC$1006:$AS$1006,0)))),"Fix")))</f>
        <v xml:space="preserve"> </v>
      </c>
      <c r="G574" s="4" t="str">
        <f ca="1">IF(OR(INDEX($W$2:$W$1001,MATCH(ROWS($V$2:V574),$V$2:$V$1001,0),1)&gt;=100000,INDEX($AC$1005:$AS$1005,1,MATCH(COLUMNS($AC$1006:AH1006),$AC$1006:$AS$1006,0))&gt;=100000), " ",IF(INDEX($AC$2:$AS$1001,MATCH(ROWS($V$2:V574),$V$2:$V$1001,0),MATCH(COLUMNS($AC$1006:AH1006),$AC$1006:$AS$1006,0)), HYPERLINK("#",""), HYPERLINK(CONCATENATE("#metadata!", ADDRESS(INDEX($X$2:$X$1001,MATCH(ROWS($V$2:V574),$V$2:$V$1001,0),0), INDEX($AC$1004:$AS$1004,1,MATCH(COLUMNS($AC$1006:AH1006),$AC$1006:$AS$1006,0)))),"Fix")))</f>
        <v xml:space="preserve"> </v>
      </c>
      <c r="H574" s="4" t="str">
        <f ca="1">IF(OR(INDEX($W$2:$W$1001,MATCH(ROWS($V$2:V574),$V$2:$V$1001,0),1)&gt;=100000,INDEX($AC$1005:$AS$1005,1,MATCH(COLUMNS($AC$1006:AI1006),$AC$1006:$AS$1006,0))&gt;=100000), " ",IF(INDEX($AC$2:$AS$1001,MATCH(ROWS($V$2:V574),$V$2:$V$1001,0),MATCH(COLUMNS($AC$1006:AI1006),$AC$1006:$AS$1006,0)), HYPERLINK("#",""), HYPERLINK(CONCATENATE("#metadata!", ADDRESS(INDEX($X$2:$X$1001,MATCH(ROWS($V$2:V574),$V$2:$V$1001,0),0), INDEX($AC$1004:$AS$1004,1,MATCH(COLUMNS($AC$1006:AI1006),$AC$1006:$AS$1006,0)))),"Fix")))</f>
        <v xml:space="preserve"> </v>
      </c>
      <c r="I574" s="4" t="str">
        <f ca="1">IF(OR(INDEX($W$2:$W$1001,MATCH(ROWS($V$2:V574),$V$2:$V$1001,0),1)&gt;=100000,INDEX($AC$1005:$AS$1005,1,MATCH(COLUMNS($AC$1006:AJ1006),$AC$1006:$AS$1006,0))&gt;=100000), " ",IF(INDEX($AC$2:$AS$1001,MATCH(ROWS($V$2:V574),$V$2:$V$1001,0),MATCH(COLUMNS($AC$1006:AJ1006),$AC$1006:$AS$1006,0)), HYPERLINK("#",""), HYPERLINK(CONCATENATE("#metadata!", ADDRESS(INDEX($X$2:$X$1001,MATCH(ROWS($V$2:V574),$V$2:$V$1001,0),0), INDEX($AC$1004:$AS$1004,1,MATCH(COLUMNS($AC$1006:AJ1006),$AC$1006:$AS$1006,0)))),"Fix")))</f>
        <v xml:space="preserve"> </v>
      </c>
      <c r="J574" s="4" t="str">
        <f ca="1">IF(OR(INDEX($W$2:$W$1001,MATCH(ROWS($V$2:V574),$V$2:$V$1001,0),1)&gt;=100000,INDEX($AC$1005:$AS$1005,1,MATCH(COLUMNS($AC$1006:AK1006),$AC$1006:$AS$1006,0))&gt;=100000), " ",IF(INDEX($AC$2:$AS$1001,MATCH(ROWS($V$2:V574),$V$2:$V$1001,0),MATCH(COLUMNS($AC$1006:AK1006),$AC$1006:$AS$1006,0)), HYPERLINK("#",""), HYPERLINK(CONCATENATE("#metadata!", ADDRESS(INDEX($X$2:$X$1001,MATCH(ROWS($V$2:V574),$V$2:$V$1001,0),0), INDEX($AC$1004:$AS$1004,1,MATCH(COLUMNS($AC$1006:AK1006),$AC$1006:$AS$1006,0)))),"Fix")))</f>
        <v xml:space="preserve"> </v>
      </c>
      <c r="K574" s="4" t="str">
        <f ca="1">IF(OR(INDEX($W$2:$W$1001,MATCH(ROWS($V$2:V574),$V$2:$V$1001,0),1)&gt;=100000,INDEX($AC$1005:$AS$1005,1,MATCH(COLUMNS($AC$1006:AL1006),$AC$1006:$AS$1006,0))&gt;=100000), " ",IF(INDEX($AC$2:$AS$1001,MATCH(ROWS($V$2:V574),$V$2:$V$1001,0),MATCH(COLUMNS($AC$1006:AL1006),$AC$1006:$AS$1006,0)), HYPERLINK("#",""), HYPERLINK(CONCATENATE("#metadata!", ADDRESS(INDEX($X$2:$X$1001,MATCH(ROWS($V$2:V574),$V$2:$V$1001,0),0), INDEX($AC$1004:$AS$1004,1,MATCH(COLUMNS($AC$1006:AL1006),$AC$1006:$AS$1006,0)))),"Fix")))</f>
        <v xml:space="preserve"> </v>
      </c>
      <c r="L574" s="4" t="str">
        <f ca="1">IF(OR(INDEX($W$2:$W$1001,MATCH(ROWS($V$2:V574),$V$2:$V$1001,0),1)&gt;=100000,INDEX($AC$1005:$AS$1005,1,MATCH(COLUMNS($AC$1006:AM1006),$AC$1006:$AS$1006,0))&gt;=100000), " ",IF(INDEX($AC$2:$AS$1001,MATCH(ROWS($V$2:V574),$V$2:$V$1001,0),MATCH(COLUMNS($AC$1006:AM1006),$AC$1006:$AS$1006,0)), HYPERLINK("#",""), HYPERLINK(CONCATENATE("#metadata!", ADDRESS(INDEX($X$2:$X$1001,MATCH(ROWS($V$2:V574),$V$2:$V$1001,0),0), INDEX($AC$1004:$AS$1004,1,MATCH(COLUMNS($AC$1006:AM1006),$AC$1006:$AS$1006,0)))),"Fix")))</f>
        <v xml:space="preserve"> </v>
      </c>
      <c r="M574" s="4" t="str">
        <f ca="1">IF(OR(INDEX($W$2:$W$1001,MATCH(ROWS($V$2:V574),$V$2:$V$1001,0),1)&gt;=100000,INDEX($AC$1005:$AS$1005,1,MATCH(COLUMNS($AC$1006:AN1006),$AC$1006:$AS$1006,0))&gt;=100000), " ",IF(INDEX($AC$2:$AS$1001,MATCH(ROWS($V$2:V574),$V$2:$V$1001,0),MATCH(COLUMNS($AC$1006:AN1006),$AC$1006:$AS$1006,0)), HYPERLINK("#",""), HYPERLINK(CONCATENATE("#metadata!", ADDRESS(INDEX($X$2:$X$1001,MATCH(ROWS($V$2:V574),$V$2:$V$1001,0),0), INDEX($AC$1004:$AS$1004,1,MATCH(COLUMNS($AC$1006:AN1006),$AC$1006:$AS$1006,0)))),"Fix")))</f>
        <v xml:space="preserve"> </v>
      </c>
      <c r="N574" s="4" t="str">
        <f ca="1">IF(OR(INDEX($W$2:$W$1001,MATCH(ROWS($V$2:V574),$V$2:$V$1001,0),1)&gt;=100000,INDEX($AC$1005:$AS$1005,1,MATCH(COLUMNS($AC$1006:AO1006),$AC$1006:$AS$1006,0))&gt;=100000), " ",IF(INDEX($AC$2:$AS$1001,MATCH(ROWS($V$2:V574),$V$2:$V$1001,0),MATCH(COLUMNS($AC$1006:AO1006),$AC$1006:$AS$1006,0)), HYPERLINK("#",""), HYPERLINK(CONCATENATE("#metadata!", ADDRESS(INDEX($X$2:$X$1001,MATCH(ROWS($V$2:V574),$V$2:$V$1001,0),0), INDEX($AC$1004:$AS$1004,1,MATCH(COLUMNS($AC$1006:AO1006),$AC$1006:$AS$1006,0)))),"Fix")))</f>
        <v xml:space="preserve"> </v>
      </c>
      <c r="O574" s="4" t="str">
        <f ca="1">IF(OR(INDEX($W$2:$W$1001,MATCH(ROWS($V$2:V574),$V$2:$V$1001,0),1)&gt;=100000,INDEX($AC$1005:$AS$1005,1,MATCH(COLUMNS($AC$1006:AP1006),$AC$1006:$AS$1006,0))&gt;=100000), " ",IF(INDEX($AC$2:$AS$1001,MATCH(ROWS($V$2:V574),$V$2:$V$1001,0),MATCH(COLUMNS($AC$1006:AP1006),$AC$1006:$AS$1006,0)), HYPERLINK("#",""), HYPERLINK(CONCATENATE("#metadata!", ADDRESS(INDEX($X$2:$X$1001,MATCH(ROWS($V$2:V574),$V$2:$V$1001,0),0), INDEX($AC$1004:$AS$1004,1,MATCH(COLUMNS($AC$1006:AP1006),$AC$1006:$AS$1006,0)))),"Fix")))</f>
        <v xml:space="preserve"> </v>
      </c>
      <c r="P574" s="4" t="str">
        <f ca="1">IF(OR(INDEX($W$2:$W$1001,MATCH(ROWS($V$2:V574),$V$2:$V$1001,0),1)&gt;=100000,INDEX($AC$1005:$AS$1005,1,MATCH(COLUMNS($AC$1006:AQ1006),$AC$1006:$AS$1006,0))&gt;=100000), " ",IF(INDEX($AC$2:$AS$1001,MATCH(ROWS($V$2:V574),$V$2:$V$1001,0),MATCH(COLUMNS($AC$1006:AQ1006),$AC$1006:$AS$1006,0)), HYPERLINK("#",""), HYPERLINK(CONCATENATE("#metadata!", ADDRESS(INDEX($X$2:$X$1001,MATCH(ROWS($V$2:V574),$V$2:$V$1001,0),0), INDEX($AC$1004:$AS$1004,1,MATCH(COLUMNS($AC$1006:AQ1006),$AC$1006:$AS$1006,0)))),"Fix")))</f>
        <v xml:space="preserve"> </v>
      </c>
      <c r="Q574" s="4" t="str">
        <f ca="1">IF(OR(INDEX($W$2:$W$1001,MATCH(ROWS($V$2:V574),$V$2:$V$1001,0),1)&gt;=100000,INDEX($AC$1005:$AS$1005,1,MATCH(COLUMNS($AC$1006:AR1006),$AC$1006:$AS$1006,0))&gt;=100000), " ",IF(INDEX($AC$2:$AS$1001,MATCH(ROWS($V$2:V574),$V$2:$V$1001,0),MATCH(COLUMNS($AC$1006:AR1006),$AC$1006:$AS$1006,0)), HYPERLINK("#",""), HYPERLINK(CONCATENATE("#metadata!", ADDRESS(INDEX($X$2:$X$1001,MATCH(ROWS($V$2:V574),$V$2:$V$1001,0),0), INDEX($AC$1004:$AS$1004,1,MATCH(COLUMNS($AC$1006:AR1006),$AC$1006:$AS$1006,0)))),"Fix")))</f>
        <v xml:space="preserve"> </v>
      </c>
      <c r="R574" s="4" t="str">
        <f ca="1">IF(OR(INDEX($W$2:$W$1001,MATCH(ROWS($V$2:V574),$V$2:$V$1001,0),1)&gt;=100000,INDEX($AC$1005:$AS$1005,1,MATCH(COLUMNS($AC$1006:AS1006),$AC$1006:$AS$1006,0))&gt;=100000), " ",IF(INDEX($AC$2:$AS$1001,MATCH(ROWS($V$2:V574),$V$2:$V$1001,0),MATCH(COLUMNS($AC$1006:AS1006),$AC$1006:$AS$1006,0)), HYPERLINK("#",""), HYPERLINK(CONCATENATE("#metadata!", ADDRESS(INDEX($X$2:$X$1001,MATCH(ROWS($V$2:V574),$V$2:$V$1001,0),0), INDEX($AC$1004:$AS$1004,1,MATCH(COLUMNS($AC$1006:AS1006),$AC$1006:$AS$1006,0)))),"Fix")))</f>
        <v xml:space="preserve"> </v>
      </c>
      <c r="V574">
        <v>573</v>
      </c>
      <c r="W574">
        <v>100574</v>
      </c>
      <c r="X574">
        <v>574</v>
      </c>
      <c r="Y574" t="b">
        <f t="shared" si="8"/>
        <v>1</v>
      </c>
      <c r="Z574" t="b">
        <f>COUNTBLANK(metadata!B574:R574)=COLUMNS(metadata!B574:R574)</f>
        <v>1</v>
      </c>
      <c r="AA574" t="str">
        <v/>
      </c>
      <c r="AC574" t="b">
        <f ca="1"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AD574" t="b">
        <f>IF(metadata!C574="",FALSE,ISNUMBER(VALUE(metadata!C574)))</f>
        <v>0</v>
      </c>
      <c r="AE574" t="b">
        <f>AND(IF(metadata!D574="",FALSE,TRUE),EXACT(metadata!D574,"years"))</f>
        <v>0</v>
      </c>
      <c r="AF574" t="b">
        <f>OR(AND(IF(metadata!E574="",FALSE,TRUE),OR(EXACT(metadata!E574,"not applicable"),EXACT(metadata!E574,"missing: not collected"),EXACT(metadata!E574,"missing: not provided"),EXACT(metadata!E574,"missing: restricted access"))),AND(IF(metadata!E574="",FALSE,ISNUMBER(VALUE(metadata!E574))),metadata!E574&gt;0))</f>
        <v>0</v>
      </c>
      <c r="AG574" t="b">
        <f>AND(IF(metadata!F574="",FALSE,TRUE),EXACT(metadata!F574,"Not applicable"))</f>
        <v>0</v>
      </c>
      <c r="AH574" t="b">
        <f>AND(IF(metadata!G574="",FALSE,TRUE),EXACT(metadata!G574,"urban biome"))</f>
        <v>0</v>
      </c>
      <c r="AI574" t="b">
        <f>AND(IF(metadata!H574="",FALSE,TRUE),EXACT(metadata!H574,"human-associated habitat"))</f>
        <v>0</v>
      </c>
      <c r="AJ574" t="b">
        <f>AND(IF(metadata!I574="",FALSE,TRUE),OR(EXACT(metadata!I574,"human-associated"),EXACT(metadata!I574,"human-skin"),EXACT(metadata!I574,"human-oral"),EXACT(metadata!I574,"human-gut"),EXACT(metadata!I574,"human-vaginal")))</f>
        <v>0</v>
      </c>
      <c r="AK574" t="b">
        <f>IF(metadata!J574="",FALSE,ISNUMBER(VALUE(metadata!J574)))</f>
        <v>0</v>
      </c>
      <c r="AL574" t="b">
        <f>AND(IF(metadata!K574="",FALSE,TRUE),EXACT(metadata!K574,"cm"))</f>
        <v>0</v>
      </c>
      <c r="AM574" t="b">
        <f>AND(IF(metadata!L574="",FALSE,TRUE),EXACT(metadata!L574,"human"))</f>
        <v>0</v>
      </c>
      <c r="AN574" t="b">
        <f>AND(IF(metadata!M574="",FALSE,TRUE),EXACT(metadata!M574,"Homo sapiens"))</f>
        <v>0</v>
      </c>
      <c r="AO574" t="b">
        <f>AND(IF(metadata!N574="",FALSE,TRUE),EXACT(metadata!N574,"9606"))</f>
        <v>0</v>
      </c>
      <c r="AP574" t="b">
        <f>IF(metadata!O574="",FALSE,TRUE)</f>
        <v>0</v>
      </c>
      <c r="AQ574" t="b">
        <f>IF(metadata!P574="",FALSE,TRUE)</f>
        <v>0</v>
      </c>
      <c r="AR574" t="b">
        <f>IF(metadata!Q574="",FALSE,ISNUMBER(VALUE(metadata!Q574)))</f>
        <v>0</v>
      </c>
      <c r="AS574" t="b">
        <f>AND(IF(metadata!R574="",FALSE,TRUE),EXACT(metadata!R574,"kg"))</f>
        <v>0</v>
      </c>
    </row>
    <row r="575" spans="1:45" x14ac:dyDescent="0.2">
      <c r="A575" s="5" t="str">
        <f ca="1">IF(B575=" "," ",HYPERLINK(CONCATENATE("#metadata!",ADDRESS(INDEX($X$2:$X$1001,MATCH(ROWS($V$2:V575),$V$2:$V$1001,0),0),1)),INDEX($AA$2:$AA$1001,MATCH(ROWS($V$2:V575),$V$2:$V$1001,0),0)))</f>
        <v xml:space="preserve"> </v>
      </c>
      <c r="B575" s="4" t="str">
        <f ca="1">IF(OR(INDEX($W$2:$W$1001,MATCH(ROWS($V$2:V575),$V$2:$V$1001,0),1)&gt;=100000,INDEX($AC$1005:$AS$1005,1,MATCH(COLUMNS($AC$1006:AC1006),$AC$1006:$AS$1006,0))&gt;=100000), " ",IF(INDEX($AC$2:$AS$1001,MATCH(ROWS($V$2:V575),$V$2:$V$1001,0),MATCH(COLUMNS($AC$1006:AC1006),$AC$1006:$AS$1006,0)), HYPERLINK("#",""), HYPERLINK(CONCATENATE("#metadata!", ADDRESS(INDEX($X$2:$X$1001,MATCH(ROWS($V$2:V575),$V$2:$V$1001,0),0), INDEX($AC$1004:$AS$1004,1,MATCH(COLUMNS($AC$1006:AC1006),$AC$1006:$AS$1006,0)))),"Fix")))</f>
        <v xml:space="preserve"> </v>
      </c>
      <c r="C575" s="4" t="str">
        <f ca="1">IF(OR(INDEX($W$2:$W$1001,MATCH(ROWS($V$2:V575),$V$2:$V$1001,0),1)&gt;=100000,INDEX($AC$1005:$AS$1005,1,MATCH(COLUMNS($AC$1006:AD1006),$AC$1006:$AS$1006,0))&gt;=100000), " ",IF(INDEX($AC$2:$AS$1001,MATCH(ROWS($V$2:V575),$V$2:$V$1001,0),MATCH(COLUMNS($AC$1006:AD1006),$AC$1006:$AS$1006,0)), HYPERLINK("#",""), HYPERLINK(CONCATENATE("#metadata!", ADDRESS(INDEX($X$2:$X$1001,MATCH(ROWS($V$2:V575),$V$2:$V$1001,0),0), INDEX($AC$1004:$AS$1004,1,MATCH(COLUMNS($AC$1006:AD1006),$AC$1006:$AS$1006,0)))),"Fix")))</f>
        <v xml:space="preserve"> </v>
      </c>
      <c r="D575" s="4" t="str">
        <f ca="1">IF(OR(INDEX($W$2:$W$1001,MATCH(ROWS($V$2:V575),$V$2:$V$1001,0),1)&gt;=100000,INDEX($AC$1005:$AS$1005,1,MATCH(COLUMNS($AC$1006:AE1006),$AC$1006:$AS$1006,0))&gt;=100000), " ",IF(INDEX($AC$2:$AS$1001,MATCH(ROWS($V$2:V575),$V$2:$V$1001,0),MATCH(COLUMNS($AC$1006:AE1006),$AC$1006:$AS$1006,0)), HYPERLINK("#",""), HYPERLINK(CONCATENATE("#metadata!", ADDRESS(INDEX($X$2:$X$1001,MATCH(ROWS($V$2:V575),$V$2:$V$1001,0),0), INDEX($AC$1004:$AS$1004,1,MATCH(COLUMNS($AC$1006:AE1006),$AC$1006:$AS$1006,0)))),"Fix")))</f>
        <v xml:space="preserve"> </v>
      </c>
      <c r="E575" s="4" t="str">
        <f ca="1">IF(OR(INDEX($W$2:$W$1001,MATCH(ROWS($V$2:V575),$V$2:$V$1001,0),1)&gt;=100000,INDEX($AC$1005:$AS$1005,1,MATCH(COLUMNS($AC$1006:AF1006),$AC$1006:$AS$1006,0))&gt;=100000), " ",IF(INDEX($AC$2:$AS$1001,MATCH(ROWS($V$2:V575),$V$2:$V$1001,0),MATCH(COLUMNS($AC$1006:AF1006),$AC$1006:$AS$1006,0)), HYPERLINK("#",""), HYPERLINK(CONCATENATE("#metadata!", ADDRESS(INDEX($X$2:$X$1001,MATCH(ROWS($V$2:V575),$V$2:$V$1001,0),0), INDEX($AC$1004:$AS$1004,1,MATCH(COLUMNS($AC$1006:AF1006),$AC$1006:$AS$1006,0)))),"Fix")))</f>
        <v xml:space="preserve"> </v>
      </c>
      <c r="F575" s="4" t="str">
        <f ca="1">IF(OR(INDEX($W$2:$W$1001,MATCH(ROWS($V$2:V575),$V$2:$V$1001,0),1)&gt;=100000,INDEX($AC$1005:$AS$1005,1,MATCH(COLUMNS($AC$1006:AG1006),$AC$1006:$AS$1006,0))&gt;=100000), " ",IF(INDEX($AC$2:$AS$1001,MATCH(ROWS($V$2:V575),$V$2:$V$1001,0),MATCH(COLUMNS($AC$1006:AG1006),$AC$1006:$AS$1006,0)), HYPERLINK("#",""), HYPERLINK(CONCATENATE("#metadata!", ADDRESS(INDEX($X$2:$X$1001,MATCH(ROWS($V$2:V575),$V$2:$V$1001,0),0), INDEX($AC$1004:$AS$1004,1,MATCH(COLUMNS($AC$1006:AG1006),$AC$1006:$AS$1006,0)))),"Fix")))</f>
        <v xml:space="preserve"> </v>
      </c>
      <c r="G575" s="4" t="str">
        <f ca="1">IF(OR(INDEX($W$2:$W$1001,MATCH(ROWS($V$2:V575),$V$2:$V$1001,0),1)&gt;=100000,INDEX($AC$1005:$AS$1005,1,MATCH(COLUMNS($AC$1006:AH1006),$AC$1006:$AS$1006,0))&gt;=100000), " ",IF(INDEX($AC$2:$AS$1001,MATCH(ROWS($V$2:V575),$V$2:$V$1001,0),MATCH(COLUMNS($AC$1006:AH1006),$AC$1006:$AS$1006,0)), HYPERLINK("#",""), HYPERLINK(CONCATENATE("#metadata!", ADDRESS(INDEX($X$2:$X$1001,MATCH(ROWS($V$2:V575),$V$2:$V$1001,0),0), INDEX($AC$1004:$AS$1004,1,MATCH(COLUMNS($AC$1006:AH1006),$AC$1006:$AS$1006,0)))),"Fix")))</f>
        <v xml:space="preserve"> </v>
      </c>
      <c r="H575" s="4" t="str">
        <f ca="1">IF(OR(INDEX($W$2:$W$1001,MATCH(ROWS($V$2:V575),$V$2:$V$1001,0),1)&gt;=100000,INDEX($AC$1005:$AS$1005,1,MATCH(COLUMNS($AC$1006:AI1006),$AC$1006:$AS$1006,0))&gt;=100000), " ",IF(INDEX($AC$2:$AS$1001,MATCH(ROWS($V$2:V575),$V$2:$V$1001,0),MATCH(COLUMNS($AC$1006:AI1006),$AC$1006:$AS$1006,0)), HYPERLINK("#",""), HYPERLINK(CONCATENATE("#metadata!", ADDRESS(INDEX($X$2:$X$1001,MATCH(ROWS($V$2:V575),$V$2:$V$1001,0),0), INDEX($AC$1004:$AS$1004,1,MATCH(COLUMNS($AC$1006:AI1006),$AC$1006:$AS$1006,0)))),"Fix")))</f>
        <v xml:space="preserve"> </v>
      </c>
      <c r="I575" s="4" t="str">
        <f ca="1">IF(OR(INDEX($W$2:$W$1001,MATCH(ROWS($V$2:V575),$V$2:$V$1001,0),1)&gt;=100000,INDEX($AC$1005:$AS$1005,1,MATCH(COLUMNS($AC$1006:AJ1006),$AC$1006:$AS$1006,0))&gt;=100000), " ",IF(INDEX($AC$2:$AS$1001,MATCH(ROWS($V$2:V575),$V$2:$V$1001,0),MATCH(COLUMNS($AC$1006:AJ1006),$AC$1006:$AS$1006,0)), HYPERLINK("#",""), HYPERLINK(CONCATENATE("#metadata!", ADDRESS(INDEX($X$2:$X$1001,MATCH(ROWS($V$2:V575),$V$2:$V$1001,0),0), INDEX($AC$1004:$AS$1004,1,MATCH(COLUMNS($AC$1006:AJ1006),$AC$1006:$AS$1006,0)))),"Fix")))</f>
        <v xml:space="preserve"> </v>
      </c>
      <c r="J575" s="4" t="str">
        <f ca="1">IF(OR(INDEX($W$2:$W$1001,MATCH(ROWS($V$2:V575),$V$2:$V$1001,0),1)&gt;=100000,INDEX($AC$1005:$AS$1005,1,MATCH(COLUMNS($AC$1006:AK1006),$AC$1006:$AS$1006,0))&gt;=100000), " ",IF(INDEX($AC$2:$AS$1001,MATCH(ROWS($V$2:V575),$V$2:$V$1001,0),MATCH(COLUMNS($AC$1006:AK1006),$AC$1006:$AS$1006,0)), HYPERLINK("#",""), HYPERLINK(CONCATENATE("#metadata!", ADDRESS(INDEX($X$2:$X$1001,MATCH(ROWS($V$2:V575),$V$2:$V$1001,0),0), INDEX($AC$1004:$AS$1004,1,MATCH(COLUMNS($AC$1006:AK1006),$AC$1006:$AS$1006,0)))),"Fix")))</f>
        <v xml:space="preserve"> </v>
      </c>
      <c r="K575" s="4" t="str">
        <f ca="1">IF(OR(INDEX($W$2:$W$1001,MATCH(ROWS($V$2:V575),$V$2:$V$1001,0),1)&gt;=100000,INDEX($AC$1005:$AS$1005,1,MATCH(COLUMNS($AC$1006:AL1006),$AC$1006:$AS$1006,0))&gt;=100000), " ",IF(INDEX($AC$2:$AS$1001,MATCH(ROWS($V$2:V575),$V$2:$V$1001,0),MATCH(COLUMNS($AC$1006:AL1006),$AC$1006:$AS$1006,0)), HYPERLINK("#",""), HYPERLINK(CONCATENATE("#metadata!", ADDRESS(INDEX($X$2:$X$1001,MATCH(ROWS($V$2:V575),$V$2:$V$1001,0),0), INDEX($AC$1004:$AS$1004,1,MATCH(COLUMNS($AC$1006:AL1006),$AC$1006:$AS$1006,0)))),"Fix")))</f>
        <v xml:space="preserve"> </v>
      </c>
      <c r="L575" s="4" t="str">
        <f ca="1">IF(OR(INDEX($W$2:$W$1001,MATCH(ROWS($V$2:V575),$V$2:$V$1001,0),1)&gt;=100000,INDEX($AC$1005:$AS$1005,1,MATCH(COLUMNS($AC$1006:AM1006),$AC$1006:$AS$1006,0))&gt;=100000), " ",IF(INDEX($AC$2:$AS$1001,MATCH(ROWS($V$2:V575),$V$2:$V$1001,0),MATCH(COLUMNS($AC$1006:AM1006),$AC$1006:$AS$1006,0)), HYPERLINK("#",""), HYPERLINK(CONCATENATE("#metadata!", ADDRESS(INDEX($X$2:$X$1001,MATCH(ROWS($V$2:V575),$V$2:$V$1001,0),0), INDEX($AC$1004:$AS$1004,1,MATCH(COLUMNS($AC$1006:AM1006),$AC$1006:$AS$1006,0)))),"Fix")))</f>
        <v xml:space="preserve"> </v>
      </c>
      <c r="M575" s="4" t="str">
        <f ca="1">IF(OR(INDEX($W$2:$W$1001,MATCH(ROWS($V$2:V575),$V$2:$V$1001,0),1)&gt;=100000,INDEX($AC$1005:$AS$1005,1,MATCH(COLUMNS($AC$1006:AN1006),$AC$1006:$AS$1006,0))&gt;=100000), " ",IF(INDEX($AC$2:$AS$1001,MATCH(ROWS($V$2:V575),$V$2:$V$1001,0),MATCH(COLUMNS($AC$1006:AN1006),$AC$1006:$AS$1006,0)), HYPERLINK("#",""), HYPERLINK(CONCATENATE("#metadata!", ADDRESS(INDEX($X$2:$X$1001,MATCH(ROWS($V$2:V575),$V$2:$V$1001,0),0), INDEX($AC$1004:$AS$1004,1,MATCH(COLUMNS($AC$1006:AN1006),$AC$1006:$AS$1006,0)))),"Fix")))</f>
        <v xml:space="preserve"> </v>
      </c>
      <c r="N575" s="4" t="str">
        <f ca="1">IF(OR(INDEX($W$2:$W$1001,MATCH(ROWS($V$2:V575),$V$2:$V$1001,0),1)&gt;=100000,INDEX($AC$1005:$AS$1005,1,MATCH(COLUMNS($AC$1006:AO1006),$AC$1006:$AS$1006,0))&gt;=100000), " ",IF(INDEX($AC$2:$AS$1001,MATCH(ROWS($V$2:V575),$V$2:$V$1001,0),MATCH(COLUMNS($AC$1006:AO1006),$AC$1006:$AS$1006,0)), HYPERLINK("#",""), HYPERLINK(CONCATENATE("#metadata!", ADDRESS(INDEX($X$2:$X$1001,MATCH(ROWS($V$2:V575),$V$2:$V$1001,0),0), INDEX($AC$1004:$AS$1004,1,MATCH(COLUMNS($AC$1006:AO1006),$AC$1006:$AS$1006,0)))),"Fix")))</f>
        <v xml:space="preserve"> </v>
      </c>
      <c r="O575" s="4" t="str">
        <f ca="1">IF(OR(INDEX($W$2:$W$1001,MATCH(ROWS($V$2:V575),$V$2:$V$1001,0),1)&gt;=100000,INDEX($AC$1005:$AS$1005,1,MATCH(COLUMNS($AC$1006:AP1006),$AC$1006:$AS$1006,0))&gt;=100000), " ",IF(INDEX($AC$2:$AS$1001,MATCH(ROWS($V$2:V575),$V$2:$V$1001,0),MATCH(COLUMNS($AC$1006:AP1006),$AC$1006:$AS$1006,0)), HYPERLINK("#",""), HYPERLINK(CONCATENATE("#metadata!", ADDRESS(INDEX($X$2:$X$1001,MATCH(ROWS($V$2:V575),$V$2:$V$1001,0),0), INDEX($AC$1004:$AS$1004,1,MATCH(COLUMNS($AC$1006:AP1006),$AC$1006:$AS$1006,0)))),"Fix")))</f>
        <v xml:space="preserve"> </v>
      </c>
      <c r="P575" s="4" t="str">
        <f ca="1">IF(OR(INDEX($W$2:$W$1001,MATCH(ROWS($V$2:V575),$V$2:$V$1001,0),1)&gt;=100000,INDEX($AC$1005:$AS$1005,1,MATCH(COLUMNS($AC$1006:AQ1006),$AC$1006:$AS$1006,0))&gt;=100000), " ",IF(INDEX($AC$2:$AS$1001,MATCH(ROWS($V$2:V575),$V$2:$V$1001,0),MATCH(COLUMNS($AC$1006:AQ1006),$AC$1006:$AS$1006,0)), HYPERLINK("#",""), HYPERLINK(CONCATENATE("#metadata!", ADDRESS(INDEX($X$2:$X$1001,MATCH(ROWS($V$2:V575),$V$2:$V$1001,0),0), INDEX($AC$1004:$AS$1004,1,MATCH(COLUMNS($AC$1006:AQ1006),$AC$1006:$AS$1006,0)))),"Fix")))</f>
        <v xml:space="preserve"> </v>
      </c>
      <c r="Q575" s="4" t="str">
        <f ca="1">IF(OR(INDEX($W$2:$W$1001,MATCH(ROWS($V$2:V575),$V$2:$V$1001,0),1)&gt;=100000,INDEX($AC$1005:$AS$1005,1,MATCH(COLUMNS($AC$1006:AR1006),$AC$1006:$AS$1006,0))&gt;=100000), " ",IF(INDEX($AC$2:$AS$1001,MATCH(ROWS($V$2:V575),$V$2:$V$1001,0),MATCH(COLUMNS($AC$1006:AR1006),$AC$1006:$AS$1006,0)), HYPERLINK("#",""), HYPERLINK(CONCATENATE("#metadata!", ADDRESS(INDEX($X$2:$X$1001,MATCH(ROWS($V$2:V575),$V$2:$V$1001,0),0), INDEX($AC$1004:$AS$1004,1,MATCH(COLUMNS($AC$1006:AR1006),$AC$1006:$AS$1006,0)))),"Fix")))</f>
        <v xml:space="preserve"> </v>
      </c>
      <c r="R575" s="4" t="str">
        <f ca="1">IF(OR(INDEX($W$2:$W$1001,MATCH(ROWS($V$2:V575),$V$2:$V$1001,0),1)&gt;=100000,INDEX($AC$1005:$AS$1005,1,MATCH(COLUMNS($AC$1006:AS1006),$AC$1006:$AS$1006,0))&gt;=100000), " ",IF(INDEX($AC$2:$AS$1001,MATCH(ROWS($V$2:V575),$V$2:$V$1001,0),MATCH(COLUMNS($AC$1006:AS1006),$AC$1006:$AS$1006,0)), HYPERLINK("#",""), HYPERLINK(CONCATENATE("#metadata!", ADDRESS(INDEX($X$2:$X$1001,MATCH(ROWS($V$2:V575),$V$2:$V$1001,0),0), INDEX($AC$1004:$AS$1004,1,MATCH(COLUMNS($AC$1006:AS1006),$AC$1006:$AS$1006,0)))),"Fix")))</f>
        <v xml:space="preserve"> </v>
      </c>
      <c r="V575">
        <v>574</v>
      </c>
      <c r="W575">
        <v>100575</v>
      </c>
      <c r="X575">
        <v>575</v>
      </c>
      <c r="Y575" t="b">
        <f t="shared" si="8"/>
        <v>1</v>
      </c>
      <c r="Z575" t="b">
        <f>COUNTBLANK(metadata!B575:R575)=COLUMNS(metadata!B575:R575)</f>
        <v>1</v>
      </c>
      <c r="AA575" t="str">
        <v/>
      </c>
      <c r="AC575" t="b">
        <f ca="1"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AD575" t="b">
        <f>IF(metadata!C575="",FALSE,ISNUMBER(VALUE(metadata!C575)))</f>
        <v>0</v>
      </c>
      <c r="AE575" t="b">
        <f>AND(IF(metadata!D575="",FALSE,TRUE),EXACT(metadata!D575,"years"))</f>
        <v>0</v>
      </c>
      <c r="AF575" t="b">
        <f>OR(AND(IF(metadata!E575="",FALSE,TRUE),OR(EXACT(metadata!E575,"not applicable"),EXACT(metadata!E575,"missing: not collected"),EXACT(metadata!E575,"missing: not provided"),EXACT(metadata!E575,"missing: restricted access"))),AND(IF(metadata!E575="",FALSE,ISNUMBER(VALUE(metadata!E575))),metadata!E575&gt;0))</f>
        <v>0</v>
      </c>
      <c r="AG575" t="b">
        <f>AND(IF(metadata!F575="",FALSE,TRUE),EXACT(metadata!F575,"Not applicable"))</f>
        <v>0</v>
      </c>
      <c r="AH575" t="b">
        <f>AND(IF(metadata!G575="",FALSE,TRUE),EXACT(metadata!G575,"urban biome"))</f>
        <v>0</v>
      </c>
      <c r="AI575" t="b">
        <f>AND(IF(metadata!H575="",FALSE,TRUE),EXACT(metadata!H575,"human-associated habitat"))</f>
        <v>0</v>
      </c>
      <c r="AJ575" t="b">
        <f>AND(IF(metadata!I575="",FALSE,TRUE),OR(EXACT(metadata!I575,"human-associated"),EXACT(metadata!I575,"human-skin"),EXACT(metadata!I575,"human-oral"),EXACT(metadata!I575,"human-gut"),EXACT(metadata!I575,"human-vaginal")))</f>
        <v>0</v>
      </c>
      <c r="AK575" t="b">
        <f>IF(metadata!J575="",FALSE,ISNUMBER(VALUE(metadata!J575)))</f>
        <v>0</v>
      </c>
      <c r="AL575" t="b">
        <f>AND(IF(metadata!K575="",FALSE,TRUE),EXACT(metadata!K575,"cm"))</f>
        <v>0</v>
      </c>
      <c r="AM575" t="b">
        <f>AND(IF(metadata!L575="",FALSE,TRUE),EXACT(metadata!L575,"human"))</f>
        <v>0</v>
      </c>
      <c r="AN575" t="b">
        <f>AND(IF(metadata!M575="",FALSE,TRUE),EXACT(metadata!M575,"Homo sapiens"))</f>
        <v>0</v>
      </c>
      <c r="AO575" t="b">
        <f>AND(IF(metadata!N575="",FALSE,TRUE),EXACT(metadata!N575,"9606"))</f>
        <v>0</v>
      </c>
      <c r="AP575" t="b">
        <f>IF(metadata!O575="",FALSE,TRUE)</f>
        <v>0</v>
      </c>
      <c r="AQ575" t="b">
        <f>IF(metadata!P575="",FALSE,TRUE)</f>
        <v>0</v>
      </c>
      <c r="AR575" t="b">
        <f>IF(metadata!Q575="",FALSE,ISNUMBER(VALUE(metadata!Q575)))</f>
        <v>0</v>
      </c>
      <c r="AS575" t="b">
        <f>AND(IF(metadata!R575="",FALSE,TRUE),EXACT(metadata!R575,"kg"))</f>
        <v>0</v>
      </c>
    </row>
    <row r="576" spans="1:45" x14ac:dyDescent="0.2">
      <c r="A576" s="5" t="str">
        <f ca="1">IF(B576=" "," ",HYPERLINK(CONCATENATE("#metadata!",ADDRESS(INDEX($X$2:$X$1001,MATCH(ROWS($V$2:V576),$V$2:$V$1001,0),0),1)),INDEX($AA$2:$AA$1001,MATCH(ROWS($V$2:V576),$V$2:$V$1001,0),0)))</f>
        <v xml:space="preserve"> </v>
      </c>
      <c r="B576" s="4" t="str">
        <f ca="1">IF(OR(INDEX($W$2:$W$1001,MATCH(ROWS($V$2:V576),$V$2:$V$1001,0),1)&gt;=100000,INDEX($AC$1005:$AS$1005,1,MATCH(COLUMNS($AC$1006:AC1006),$AC$1006:$AS$1006,0))&gt;=100000), " ",IF(INDEX($AC$2:$AS$1001,MATCH(ROWS($V$2:V576),$V$2:$V$1001,0),MATCH(COLUMNS($AC$1006:AC1006),$AC$1006:$AS$1006,0)), HYPERLINK("#",""), HYPERLINK(CONCATENATE("#metadata!", ADDRESS(INDEX($X$2:$X$1001,MATCH(ROWS($V$2:V576),$V$2:$V$1001,0),0), INDEX($AC$1004:$AS$1004,1,MATCH(COLUMNS($AC$1006:AC1006),$AC$1006:$AS$1006,0)))),"Fix")))</f>
        <v xml:space="preserve"> </v>
      </c>
      <c r="C576" s="4" t="str">
        <f ca="1">IF(OR(INDEX($W$2:$W$1001,MATCH(ROWS($V$2:V576),$V$2:$V$1001,0),1)&gt;=100000,INDEX($AC$1005:$AS$1005,1,MATCH(COLUMNS($AC$1006:AD1006),$AC$1006:$AS$1006,0))&gt;=100000), " ",IF(INDEX($AC$2:$AS$1001,MATCH(ROWS($V$2:V576),$V$2:$V$1001,0),MATCH(COLUMNS($AC$1006:AD1006),$AC$1006:$AS$1006,0)), HYPERLINK("#",""), HYPERLINK(CONCATENATE("#metadata!", ADDRESS(INDEX($X$2:$X$1001,MATCH(ROWS($V$2:V576),$V$2:$V$1001,0),0), INDEX($AC$1004:$AS$1004,1,MATCH(COLUMNS($AC$1006:AD1006),$AC$1006:$AS$1006,0)))),"Fix")))</f>
        <v xml:space="preserve"> </v>
      </c>
      <c r="D576" s="4" t="str">
        <f ca="1">IF(OR(INDEX($W$2:$W$1001,MATCH(ROWS($V$2:V576),$V$2:$V$1001,0),1)&gt;=100000,INDEX($AC$1005:$AS$1005,1,MATCH(COLUMNS($AC$1006:AE1006),$AC$1006:$AS$1006,0))&gt;=100000), " ",IF(INDEX($AC$2:$AS$1001,MATCH(ROWS($V$2:V576),$V$2:$V$1001,0),MATCH(COLUMNS($AC$1006:AE1006),$AC$1006:$AS$1006,0)), HYPERLINK("#",""), HYPERLINK(CONCATENATE("#metadata!", ADDRESS(INDEX($X$2:$X$1001,MATCH(ROWS($V$2:V576),$V$2:$V$1001,0),0), INDEX($AC$1004:$AS$1004,1,MATCH(COLUMNS($AC$1006:AE1006),$AC$1006:$AS$1006,0)))),"Fix")))</f>
        <v xml:space="preserve"> </v>
      </c>
      <c r="E576" s="4" t="str">
        <f ca="1">IF(OR(INDEX($W$2:$W$1001,MATCH(ROWS($V$2:V576),$V$2:$V$1001,0),1)&gt;=100000,INDEX($AC$1005:$AS$1005,1,MATCH(COLUMNS($AC$1006:AF1006),$AC$1006:$AS$1006,0))&gt;=100000), " ",IF(INDEX($AC$2:$AS$1001,MATCH(ROWS($V$2:V576),$V$2:$V$1001,0),MATCH(COLUMNS($AC$1006:AF1006),$AC$1006:$AS$1006,0)), HYPERLINK("#",""), HYPERLINK(CONCATENATE("#metadata!", ADDRESS(INDEX($X$2:$X$1001,MATCH(ROWS($V$2:V576),$V$2:$V$1001,0),0), INDEX($AC$1004:$AS$1004,1,MATCH(COLUMNS($AC$1006:AF1006),$AC$1006:$AS$1006,0)))),"Fix")))</f>
        <v xml:space="preserve"> </v>
      </c>
      <c r="F576" s="4" t="str">
        <f ca="1">IF(OR(INDEX($W$2:$W$1001,MATCH(ROWS($V$2:V576),$V$2:$V$1001,0),1)&gt;=100000,INDEX($AC$1005:$AS$1005,1,MATCH(COLUMNS($AC$1006:AG1006),$AC$1006:$AS$1006,0))&gt;=100000), " ",IF(INDEX($AC$2:$AS$1001,MATCH(ROWS($V$2:V576),$V$2:$V$1001,0),MATCH(COLUMNS($AC$1006:AG1006),$AC$1006:$AS$1006,0)), HYPERLINK("#",""), HYPERLINK(CONCATENATE("#metadata!", ADDRESS(INDEX($X$2:$X$1001,MATCH(ROWS($V$2:V576),$V$2:$V$1001,0),0), INDEX($AC$1004:$AS$1004,1,MATCH(COLUMNS($AC$1006:AG1006),$AC$1006:$AS$1006,0)))),"Fix")))</f>
        <v xml:space="preserve"> </v>
      </c>
      <c r="G576" s="4" t="str">
        <f ca="1">IF(OR(INDEX($W$2:$W$1001,MATCH(ROWS($V$2:V576),$V$2:$V$1001,0),1)&gt;=100000,INDEX($AC$1005:$AS$1005,1,MATCH(COLUMNS($AC$1006:AH1006),$AC$1006:$AS$1006,0))&gt;=100000), " ",IF(INDEX($AC$2:$AS$1001,MATCH(ROWS($V$2:V576),$V$2:$V$1001,0),MATCH(COLUMNS($AC$1006:AH1006),$AC$1006:$AS$1006,0)), HYPERLINK("#",""), HYPERLINK(CONCATENATE("#metadata!", ADDRESS(INDEX($X$2:$X$1001,MATCH(ROWS($V$2:V576),$V$2:$V$1001,0),0), INDEX($AC$1004:$AS$1004,1,MATCH(COLUMNS($AC$1006:AH1006),$AC$1006:$AS$1006,0)))),"Fix")))</f>
        <v xml:space="preserve"> </v>
      </c>
      <c r="H576" s="4" t="str">
        <f ca="1">IF(OR(INDEX($W$2:$W$1001,MATCH(ROWS($V$2:V576),$V$2:$V$1001,0),1)&gt;=100000,INDEX($AC$1005:$AS$1005,1,MATCH(COLUMNS($AC$1006:AI1006),$AC$1006:$AS$1006,0))&gt;=100000), " ",IF(INDEX($AC$2:$AS$1001,MATCH(ROWS($V$2:V576),$V$2:$V$1001,0),MATCH(COLUMNS($AC$1006:AI1006),$AC$1006:$AS$1006,0)), HYPERLINK("#",""), HYPERLINK(CONCATENATE("#metadata!", ADDRESS(INDEX($X$2:$X$1001,MATCH(ROWS($V$2:V576),$V$2:$V$1001,0),0), INDEX($AC$1004:$AS$1004,1,MATCH(COLUMNS($AC$1006:AI1006),$AC$1006:$AS$1006,0)))),"Fix")))</f>
        <v xml:space="preserve"> </v>
      </c>
      <c r="I576" s="4" t="str">
        <f ca="1">IF(OR(INDEX($W$2:$W$1001,MATCH(ROWS($V$2:V576),$V$2:$V$1001,0),1)&gt;=100000,INDEX($AC$1005:$AS$1005,1,MATCH(COLUMNS($AC$1006:AJ1006),$AC$1006:$AS$1006,0))&gt;=100000), " ",IF(INDEX($AC$2:$AS$1001,MATCH(ROWS($V$2:V576),$V$2:$V$1001,0),MATCH(COLUMNS($AC$1006:AJ1006),$AC$1006:$AS$1006,0)), HYPERLINK("#",""), HYPERLINK(CONCATENATE("#metadata!", ADDRESS(INDEX($X$2:$X$1001,MATCH(ROWS($V$2:V576),$V$2:$V$1001,0),0), INDEX($AC$1004:$AS$1004,1,MATCH(COLUMNS($AC$1006:AJ1006),$AC$1006:$AS$1006,0)))),"Fix")))</f>
        <v xml:space="preserve"> </v>
      </c>
      <c r="J576" s="4" t="str">
        <f ca="1">IF(OR(INDEX($W$2:$W$1001,MATCH(ROWS($V$2:V576),$V$2:$V$1001,0),1)&gt;=100000,INDEX($AC$1005:$AS$1005,1,MATCH(COLUMNS($AC$1006:AK1006),$AC$1006:$AS$1006,0))&gt;=100000), " ",IF(INDEX($AC$2:$AS$1001,MATCH(ROWS($V$2:V576),$V$2:$V$1001,0),MATCH(COLUMNS($AC$1006:AK1006),$AC$1006:$AS$1006,0)), HYPERLINK("#",""), HYPERLINK(CONCATENATE("#metadata!", ADDRESS(INDEX($X$2:$X$1001,MATCH(ROWS($V$2:V576),$V$2:$V$1001,0),0), INDEX($AC$1004:$AS$1004,1,MATCH(COLUMNS($AC$1006:AK1006),$AC$1006:$AS$1006,0)))),"Fix")))</f>
        <v xml:space="preserve"> </v>
      </c>
      <c r="K576" s="4" t="str">
        <f ca="1">IF(OR(INDEX($W$2:$W$1001,MATCH(ROWS($V$2:V576),$V$2:$V$1001,0),1)&gt;=100000,INDEX($AC$1005:$AS$1005,1,MATCH(COLUMNS($AC$1006:AL1006),$AC$1006:$AS$1006,0))&gt;=100000), " ",IF(INDEX($AC$2:$AS$1001,MATCH(ROWS($V$2:V576),$V$2:$V$1001,0),MATCH(COLUMNS($AC$1006:AL1006),$AC$1006:$AS$1006,0)), HYPERLINK("#",""), HYPERLINK(CONCATENATE("#metadata!", ADDRESS(INDEX($X$2:$X$1001,MATCH(ROWS($V$2:V576),$V$2:$V$1001,0),0), INDEX($AC$1004:$AS$1004,1,MATCH(COLUMNS($AC$1006:AL1006),$AC$1006:$AS$1006,0)))),"Fix")))</f>
        <v xml:space="preserve"> </v>
      </c>
      <c r="L576" s="4" t="str">
        <f ca="1">IF(OR(INDEX($W$2:$W$1001,MATCH(ROWS($V$2:V576),$V$2:$V$1001,0),1)&gt;=100000,INDEX($AC$1005:$AS$1005,1,MATCH(COLUMNS($AC$1006:AM1006),$AC$1006:$AS$1006,0))&gt;=100000), " ",IF(INDEX($AC$2:$AS$1001,MATCH(ROWS($V$2:V576),$V$2:$V$1001,0),MATCH(COLUMNS($AC$1006:AM1006),$AC$1006:$AS$1006,0)), HYPERLINK("#",""), HYPERLINK(CONCATENATE("#metadata!", ADDRESS(INDEX($X$2:$X$1001,MATCH(ROWS($V$2:V576),$V$2:$V$1001,0),0), INDEX($AC$1004:$AS$1004,1,MATCH(COLUMNS($AC$1006:AM1006),$AC$1006:$AS$1006,0)))),"Fix")))</f>
        <v xml:space="preserve"> </v>
      </c>
      <c r="M576" s="4" t="str">
        <f ca="1">IF(OR(INDEX($W$2:$W$1001,MATCH(ROWS($V$2:V576),$V$2:$V$1001,0),1)&gt;=100000,INDEX($AC$1005:$AS$1005,1,MATCH(COLUMNS($AC$1006:AN1006),$AC$1006:$AS$1006,0))&gt;=100000), " ",IF(INDEX($AC$2:$AS$1001,MATCH(ROWS($V$2:V576),$V$2:$V$1001,0),MATCH(COLUMNS($AC$1006:AN1006),$AC$1006:$AS$1006,0)), HYPERLINK("#",""), HYPERLINK(CONCATENATE("#metadata!", ADDRESS(INDEX($X$2:$X$1001,MATCH(ROWS($V$2:V576),$V$2:$V$1001,0),0), INDEX($AC$1004:$AS$1004,1,MATCH(COLUMNS($AC$1006:AN1006),$AC$1006:$AS$1006,0)))),"Fix")))</f>
        <v xml:space="preserve"> </v>
      </c>
      <c r="N576" s="4" t="str">
        <f ca="1">IF(OR(INDEX($W$2:$W$1001,MATCH(ROWS($V$2:V576),$V$2:$V$1001,0),1)&gt;=100000,INDEX($AC$1005:$AS$1005,1,MATCH(COLUMNS($AC$1006:AO1006),$AC$1006:$AS$1006,0))&gt;=100000), " ",IF(INDEX($AC$2:$AS$1001,MATCH(ROWS($V$2:V576),$V$2:$V$1001,0),MATCH(COLUMNS($AC$1006:AO1006),$AC$1006:$AS$1006,0)), HYPERLINK("#",""), HYPERLINK(CONCATENATE("#metadata!", ADDRESS(INDEX($X$2:$X$1001,MATCH(ROWS($V$2:V576),$V$2:$V$1001,0),0), INDEX($AC$1004:$AS$1004,1,MATCH(COLUMNS($AC$1006:AO1006),$AC$1006:$AS$1006,0)))),"Fix")))</f>
        <v xml:space="preserve"> </v>
      </c>
      <c r="O576" s="4" t="str">
        <f ca="1">IF(OR(INDEX($W$2:$W$1001,MATCH(ROWS($V$2:V576),$V$2:$V$1001,0),1)&gt;=100000,INDEX($AC$1005:$AS$1005,1,MATCH(COLUMNS($AC$1006:AP1006),$AC$1006:$AS$1006,0))&gt;=100000), " ",IF(INDEX($AC$2:$AS$1001,MATCH(ROWS($V$2:V576),$V$2:$V$1001,0),MATCH(COLUMNS($AC$1006:AP1006),$AC$1006:$AS$1006,0)), HYPERLINK("#",""), HYPERLINK(CONCATENATE("#metadata!", ADDRESS(INDEX($X$2:$X$1001,MATCH(ROWS($V$2:V576),$V$2:$V$1001,0),0), INDEX($AC$1004:$AS$1004,1,MATCH(COLUMNS($AC$1006:AP1006),$AC$1006:$AS$1006,0)))),"Fix")))</f>
        <v xml:space="preserve"> </v>
      </c>
      <c r="P576" s="4" t="str">
        <f ca="1">IF(OR(INDEX($W$2:$W$1001,MATCH(ROWS($V$2:V576),$V$2:$V$1001,0),1)&gt;=100000,INDEX($AC$1005:$AS$1005,1,MATCH(COLUMNS($AC$1006:AQ1006),$AC$1006:$AS$1006,0))&gt;=100000), " ",IF(INDEX($AC$2:$AS$1001,MATCH(ROWS($V$2:V576),$V$2:$V$1001,0),MATCH(COLUMNS($AC$1006:AQ1006),$AC$1006:$AS$1006,0)), HYPERLINK("#",""), HYPERLINK(CONCATENATE("#metadata!", ADDRESS(INDEX($X$2:$X$1001,MATCH(ROWS($V$2:V576),$V$2:$V$1001,0),0), INDEX($AC$1004:$AS$1004,1,MATCH(COLUMNS($AC$1006:AQ1006),$AC$1006:$AS$1006,0)))),"Fix")))</f>
        <v xml:space="preserve"> </v>
      </c>
      <c r="Q576" s="4" t="str">
        <f ca="1">IF(OR(INDEX($W$2:$W$1001,MATCH(ROWS($V$2:V576),$V$2:$V$1001,0),1)&gt;=100000,INDEX($AC$1005:$AS$1005,1,MATCH(COLUMNS($AC$1006:AR1006),$AC$1006:$AS$1006,0))&gt;=100000), " ",IF(INDEX($AC$2:$AS$1001,MATCH(ROWS($V$2:V576),$V$2:$V$1001,0),MATCH(COLUMNS($AC$1006:AR1006),$AC$1006:$AS$1006,0)), HYPERLINK("#",""), HYPERLINK(CONCATENATE("#metadata!", ADDRESS(INDEX($X$2:$X$1001,MATCH(ROWS($V$2:V576),$V$2:$V$1001,0),0), INDEX($AC$1004:$AS$1004,1,MATCH(COLUMNS($AC$1006:AR1006),$AC$1006:$AS$1006,0)))),"Fix")))</f>
        <v xml:space="preserve"> </v>
      </c>
      <c r="R576" s="4" t="str">
        <f ca="1">IF(OR(INDEX($W$2:$W$1001,MATCH(ROWS($V$2:V576),$V$2:$V$1001,0),1)&gt;=100000,INDEX($AC$1005:$AS$1005,1,MATCH(COLUMNS($AC$1006:AS1006),$AC$1006:$AS$1006,0))&gt;=100000), " ",IF(INDEX($AC$2:$AS$1001,MATCH(ROWS($V$2:V576),$V$2:$V$1001,0),MATCH(COLUMNS($AC$1006:AS1006),$AC$1006:$AS$1006,0)), HYPERLINK("#",""), HYPERLINK(CONCATENATE("#metadata!", ADDRESS(INDEX($X$2:$X$1001,MATCH(ROWS($V$2:V576),$V$2:$V$1001,0),0), INDEX($AC$1004:$AS$1004,1,MATCH(COLUMNS($AC$1006:AS1006),$AC$1006:$AS$1006,0)))),"Fix")))</f>
        <v xml:space="preserve"> </v>
      </c>
      <c r="V576">
        <v>575</v>
      </c>
      <c r="W576">
        <v>100576</v>
      </c>
      <c r="X576">
        <v>576</v>
      </c>
      <c r="Y576" t="b">
        <f t="shared" si="8"/>
        <v>1</v>
      </c>
      <c r="Z576" t="b">
        <f>COUNTBLANK(metadata!B576:R576)=COLUMNS(metadata!B576:R576)</f>
        <v>1</v>
      </c>
      <c r="AA576" t="str">
        <v/>
      </c>
      <c r="AC576" t="b">
        <f ca="1"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AD576" t="b">
        <f>IF(metadata!C576="",FALSE,ISNUMBER(VALUE(metadata!C576)))</f>
        <v>0</v>
      </c>
      <c r="AE576" t="b">
        <f>AND(IF(metadata!D576="",FALSE,TRUE),EXACT(metadata!D576,"years"))</f>
        <v>0</v>
      </c>
      <c r="AF576" t="b">
        <f>OR(AND(IF(metadata!E576="",FALSE,TRUE),OR(EXACT(metadata!E576,"not applicable"),EXACT(metadata!E576,"missing: not collected"),EXACT(metadata!E576,"missing: not provided"),EXACT(metadata!E576,"missing: restricted access"))),AND(IF(metadata!E576="",FALSE,ISNUMBER(VALUE(metadata!E576))),metadata!E576&gt;0))</f>
        <v>0</v>
      </c>
      <c r="AG576" t="b">
        <f>AND(IF(metadata!F576="",FALSE,TRUE),EXACT(metadata!F576,"Not applicable"))</f>
        <v>0</v>
      </c>
      <c r="AH576" t="b">
        <f>AND(IF(metadata!G576="",FALSE,TRUE),EXACT(metadata!G576,"urban biome"))</f>
        <v>0</v>
      </c>
      <c r="AI576" t="b">
        <f>AND(IF(metadata!H576="",FALSE,TRUE),EXACT(metadata!H576,"human-associated habitat"))</f>
        <v>0</v>
      </c>
      <c r="AJ576" t="b">
        <f>AND(IF(metadata!I576="",FALSE,TRUE),OR(EXACT(metadata!I576,"human-associated"),EXACT(metadata!I576,"human-skin"),EXACT(metadata!I576,"human-oral"),EXACT(metadata!I576,"human-gut"),EXACT(metadata!I576,"human-vaginal")))</f>
        <v>0</v>
      </c>
      <c r="AK576" t="b">
        <f>IF(metadata!J576="",FALSE,ISNUMBER(VALUE(metadata!J576)))</f>
        <v>0</v>
      </c>
      <c r="AL576" t="b">
        <f>AND(IF(metadata!K576="",FALSE,TRUE),EXACT(metadata!K576,"cm"))</f>
        <v>0</v>
      </c>
      <c r="AM576" t="b">
        <f>AND(IF(metadata!L576="",FALSE,TRUE),EXACT(metadata!L576,"human"))</f>
        <v>0</v>
      </c>
      <c r="AN576" t="b">
        <f>AND(IF(metadata!M576="",FALSE,TRUE),EXACT(metadata!M576,"Homo sapiens"))</f>
        <v>0</v>
      </c>
      <c r="AO576" t="b">
        <f>AND(IF(metadata!N576="",FALSE,TRUE),EXACT(metadata!N576,"9606"))</f>
        <v>0</v>
      </c>
      <c r="AP576" t="b">
        <f>IF(metadata!O576="",FALSE,TRUE)</f>
        <v>0</v>
      </c>
      <c r="AQ576" t="b">
        <f>IF(metadata!P576="",FALSE,TRUE)</f>
        <v>0</v>
      </c>
      <c r="AR576" t="b">
        <f>IF(metadata!Q576="",FALSE,ISNUMBER(VALUE(metadata!Q576)))</f>
        <v>0</v>
      </c>
      <c r="AS576" t="b">
        <f>AND(IF(metadata!R576="",FALSE,TRUE),EXACT(metadata!R576,"kg"))</f>
        <v>0</v>
      </c>
    </row>
    <row r="577" spans="1:45" x14ac:dyDescent="0.2">
      <c r="A577" s="5" t="str">
        <f ca="1">IF(B577=" "," ",HYPERLINK(CONCATENATE("#metadata!",ADDRESS(INDEX($X$2:$X$1001,MATCH(ROWS($V$2:V577),$V$2:$V$1001,0),0),1)),INDEX($AA$2:$AA$1001,MATCH(ROWS($V$2:V577),$V$2:$V$1001,0),0)))</f>
        <v xml:space="preserve"> </v>
      </c>
      <c r="B577" s="4" t="str">
        <f ca="1">IF(OR(INDEX($W$2:$W$1001,MATCH(ROWS($V$2:V577),$V$2:$V$1001,0),1)&gt;=100000,INDEX($AC$1005:$AS$1005,1,MATCH(COLUMNS($AC$1006:AC1006),$AC$1006:$AS$1006,0))&gt;=100000), " ",IF(INDEX($AC$2:$AS$1001,MATCH(ROWS($V$2:V577),$V$2:$V$1001,0),MATCH(COLUMNS($AC$1006:AC1006),$AC$1006:$AS$1006,0)), HYPERLINK("#",""), HYPERLINK(CONCATENATE("#metadata!", ADDRESS(INDEX($X$2:$X$1001,MATCH(ROWS($V$2:V577),$V$2:$V$1001,0),0), INDEX($AC$1004:$AS$1004,1,MATCH(COLUMNS($AC$1006:AC1006),$AC$1006:$AS$1006,0)))),"Fix")))</f>
        <v xml:space="preserve"> </v>
      </c>
      <c r="C577" s="4" t="str">
        <f ca="1">IF(OR(INDEX($W$2:$W$1001,MATCH(ROWS($V$2:V577),$V$2:$V$1001,0),1)&gt;=100000,INDEX($AC$1005:$AS$1005,1,MATCH(COLUMNS($AC$1006:AD1006),$AC$1006:$AS$1006,0))&gt;=100000), " ",IF(INDEX($AC$2:$AS$1001,MATCH(ROWS($V$2:V577),$V$2:$V$1001,0),MATCH(COLUMNS($AC$1006:AD1006),$AC$1006:$AS$1006,0)), HYPERLINK("#",""), HYPERLINK(CONCATENATE("#metadata!", ADDRESS(INDEX($X$2:$X$1001,MATCH(ROWS($V$2:V577),$V$2:$V$1001,0),0), INDEX($AC$1004:$AS$1004,1,MATCH(COLUMNS($AC$1006:AD1006),$AC$1006:$AS$1006,0)))),"Fix")))</f>
        <v xml:space="preserve"> </v>
      </c>
      <c r="D577" s="4" t="str">
        <f ca="1">IF(OR(INDEX($W$2:$W$1001,MATCH(ROWS($V$2:V577),$V$2:$V$1001,0),1)&gt;=100000,INDEX($AC$1005:$AS$1005,1,MATCH(COLUMNS($AC$1006:AE1006),$AC$1006:$AS$1006,0))&gt;=100000), " ",IF(INDEX($AC$2:$AS$1001,MATCH(ROWS($V$2:V577),$V$2:$V$1001,0),MATCH(COLUMNS($AC$1006:AE1006),$AC$1006:$AS$1006,0)), HYPERLINK("#",""), HYPERLINK(CONCATENATE("#metadata!", ADDRESS(INDEX($X$2:$X$1001,MATCH(ROWS($V$2:V577),$V$2:$V$1001,0),0), INDEX($AC$1004:$AS$1004,1,MATCH(COLUMNS($AC$1006:AE1006),$AC$1006:$AS$1006,0)))),"Fix")))</f>
        <v xml:space="preserve"> </v>
      </c>
      <c r="E577" s="4" t="str">
        <f ca="1">IF(OR(INDEX($W$2:$W$1001,MATCH(ROWS($V$2:V577),$V$2:$V$1001,0),1)&gt;=100000,INDEX($AC$1005:$AS$1005,1,MATCH(COLUMNS($AC$1006:AF1006),$AC$1006:$AS$1006,0))&gt;=100000), " ",IF(INDEX($AC$2:$AS$1001,MATCH(ROWS($V$2:V577),$V$2:$V$1001,0),MATCH(COLUMNS($AC$1006:AF1006),$AC$1006:$AS$1006,0)), HYPERLINK("#",""), HYPERLINK(CONCATENATE("#metadata!", ADDRESS(INDEX($X$2:$X$1001,MATCH(ROWS($V$2:V577),$V$2:$V$1001,0),0), INDEX($AC$1004:$AS$1004,1,MATCH(COLUMNS($AC$1006:AF1006),$AC$1006:$AS$1006,0)))),"Fix")))</f>
        <v xml:space="preserve"> </v>
      </c>
      <c r="F577" s="4" t="str">
        <f ca="1">IF(OR(INDEX($W$2:$W$1001,MATCH(ROWS($V$2:V577),$V$2:$V$1001,0),1)&gt;=100000,INDEX($AC$1005:$AS$1005,1,MATCH(COLUMNS($AC$1006:AG1006),$AC$1006:$AS$1006,0))&gt;=100000), " ",IF(INDEX($AC$2:$AS$1001,MATCH(ROWS($V$2:V577),$V$2:$V$1001,0),MATCH(COLUMNS($AC$1006:AG1006),$AC$1006:$AS$1006,0)), HYPERLINK("#",""), HYPERLINK(CONCATENATE("#metadata!", ADDRESS(INDEX($X$2:$X$1001,MATCH(ROWS($V$2:V577),$V$2:$V$1001,0),0), INDEX($AC$1004:$AS$1004,1,MATCH(COLUMNS($AC$1006:AG1006),$AC$1006:$AS$1006,0)))),"Fix")))</f>
        <v xml:space="preserve"> </v>
      </c>
      <c r="G577" s="4" t="str">
        <f ca="1">IF(OR(INDEX($W$2:$W$1001,MATCH(ROWS($V$2:V577),$V$2:$V$1001,0),1)&gt;=100000,INDEX($AC$1005:$AS$1005,1,MATCH(COLUMNS($AC$1006:AH1006),$AC$1006:$AS$1006,0))&gt;=100000), " ",IF(INDEX($AC$2:$AS$1001,MATCH(ROWS($V$2:V577),$V$2:$V$1001,0),MATCH(COLUMNS($AC$1006:AH1006),$AC$1006:$AS$1006,0)), HYPERLINK("#",""), HYPERLINK(CONCATENATE("#metadata!", ADDRESS(INDEX($X$2:$X$1001,MATCH(ROWS($V$2:V577),$V$2:$V$1001,0),0), INDEX($AC$1004:$AS$1004,1,MATCH(COLUMNS($AC$1006:AH1006),$AC$1006:$AS$1006,0)))),"Fix")))</f>
        <v xml:space="preserve"> </v>
      </c>
      <c r="H577" s="4" t="str">
        <f ca="1">IF(OR(INDEX($W$2:$W$1001,MATCH(ROWS($V$2:V577),$V$2:$V$1001,0),1)&gt;=100000,INDEX($AC$1005:$AS$1005,1,MATCH(COLUMNS($AC$1006:AI1006),$AC$1006:$AS$1006,0))&gt;=100000), " ",IF(INDEX($AC$2:$AS$1001,MATCH(ROWS($V$2:V577),$V$2:$V$1001,0),MATCH(COLUMNS($AC$1006:AI1006),$AC$1006:$AS$1006,0)), HYPERLINK("#",""), HYPERLINK(CONCATENATE("#metadata!", ADDRESS(INDEX($X$2:$X$1001,MATCH(ROWS($V$2:V577),$V$2:$V$1001,0),0), INDEX($AC$1004:$AS$1004,1,MATCH(COLUMNS($AC$1006:AI1006),$AC$1006:$AS$1006,0)))),"Fix")))</f>
        <v xml:space="preserve"> </v>
      </c>
      <c r="I577" s="4" t="str">
        <f ca="1">IF(OR(INDEX($W$2:$W$1001,MATCH(ROWS($V$2:V577),$V$2:$V$1001,0),1)&gt;=100000,INDEX($AC$1005:$AS$1005,1,MATCH(COLUMNS($AC$1006:AJ1006),$AC$1006:$AS$1006,0))&gt;=100000), " ",IF(INDEX($AC$2:$AS$1001,MATCH(ROWS($V$2:V577),$V$2:$V$1001,0),MATCH(COLUMNS($AC$1006:AJ1006),$AC$1006:$AS$1006,0)), HYPERLINK("#",""), HYPERLINK(CONCATENATE("#metadata!", ADDRESS(INDEX($X$2:$X$1001,MATCH(ROWS($V$2:V577),$V$2:$V$1001,0),0), INDEX($AC$1004:$AS$1004,1,MATCH(COLUMNS($AC$1006:AJ1006),$AC$1006:$AS$1006,0)))),"Fix")))</f>
        <v xml:space="preserve"> </v>
      </c>
      <c r="J577" s="4" t="str">
        <f ca="1">IF(OR(INDEX($W$2:$W$1001,MATCH(ROWS($V$2:V577),$V$2:$V$1001,0),1)&gt;=100000,INDEX($AC$1005:$AS$1005,1,MATCH(COLUMNS($AC$1006:AK1006),$AC$1006:$AS$1006,0))&gt;=100000), " ",IF(INDEX($AC$2:$AS$1001,MATCH(ROWS($V$2:V577),$V$2:$V$1001,0),MATCH(COLUMNS($AC$1006:AK1006),$AC$1006:$AS$1006,0)), HYPERLINK("#",""), HYPERLINK(CONCATENATE("#metadata!", ADDRESS(INDEX($X$2:$X$1001,MATCH(ROWS($V$2:V577),$V$2:$V$1001,0),0), INDEX($AC$1004:$AS$1004,1,MATCH(COLUMNS($AC$1006:AK1006),$AC$1006:$AS$1006,0)))),"Fix")))</f>
        <v xml:space="preserve"> </v>
      </c>
      <c r="K577" s="4" t="str">
        <f ca="1">IF(OR(INDEX($W$2:$W$1001,MATCH(ROWS($V$2:V577),$V$2:$V$1001,0),1)&gt;=100000,INDEX($AC$1005:$AS$1005,1,MATCH(COLUMNS($AC$1006:AL1006),$AC$1006:$AS$1006,0))&gt;=100000), " ",IF(INDEX($AC$2:$AS$1001,MATCH(ROWS($V$2:V577),$V$2:$V$1001,0),MATCH(COLUMNS($AC$1006:AL1006),$AC$1006:$AS$1006,0)), HYPERLINK("#",""), HYPERLINK(CONCATENATE("#metadata!", ADDRESS(INDEX($X$2:$X$1001,MATCH(ROWS($V$2:V577),$V$2:$V$1001,0),0), INDEX($AC$1004:$AS$1004,1,MATCH(COLUMNS($AC$1006:AL1006),$AC$1006:$AS$1006,0)))),"Fix")))</f>
        <v xml:space="preserve"> </v>
      </c>
      <c r="L577" s="4" t="str">
        <f ca="1">IF(OR(INDEX($W$2:$W$1001,MATCH(ROWS($V$2:V577),$V$2:$V$1001,0),1)&gt;=100000,INDEX($AC$1005:$AS$1005,1,MATCH(COLUMNS($AC$1006:AM1006),$AC$1006:$AS$1006,0))&gt;=100000), " ",IF(INDEX($AC$2:$AS$1001,MATCH(ROWS($V$2:V577),$V$2:$V$1001,0),MATCH(COLUMNS($AC$1006:AM1006),$AC$1006:$AS$1006,0)), HYPERLINK("#",""), HYPERLINK(CONCATENATE("#metadata!", ADDRESS(INDEX($X$2:$X$1001,MATCH(ROWS($V$2:V577),$V$2:$V$1001,0),0), INDEX($AC$1004:$AS$1004,1,MATCH(COLUMNS($AC$1006:AM1006),$AC$1006:$AS$1006,0)))),"Fix")))</f>
        <v xml:space="preserve"> </v>
      </c>
      <c r="M577" s="4" t="str">
        <f ca="1">IF(OR(INDEX($W$2:$W$1001,MATCH(ROWS($V$2:V577),$V$2:$V$1001,0),1)&gt;=100000,INDEX($AC$1005:$AS$1005,1,MATCH(COLUMNS($AC$1006:AN1006),$AC$1006:$AS$1006,0))&gt;=100000), " ",IF(INDEX($AC$2:$AS$1001,MATCH(ROWS($V$2:V577),$V$2:$V$1001,0),MATCH(COLUMNS($AC$1006:AN1006),$AC$1006:$AS$1006,0)), HYPERLINK("#",""), HYPERLINK(CONCATENATE("#metadata!", ADDRESS(INDEX($X$2:$X$1001,MATCH(ROWS($V$2:V577),$V$2:$V$1001,0),0), INDEX($AC$1004:$AS$1004,1,MATCH(COLUMNS($AC$1006:AN1006),$AC$1006:$AS$1006,0)))),"Fix")))</f>
        <v xml:space="preserve"> </v>
      </c>
      <c r="N577" s="4" t="str">
        <f ca="1">IF(OR(INDEX($W$2:$W$1001,MATCH(ROWS($V$2:V577),$V$2:$V$1001,0),1)&gt;=100000,INDEX($AC$1005:$AS$1005,1,MATCH(COLUMNS($AC$1006:AO1006),$AC$1006:$AS$1006,0))&gt;=100000), " ",IF(INDEX($AC$2:$AS$1001,MATCH(ROWS($V$2:V577),$V$2:$V$1001,0),MATCH(COLUMNS($AC$1006:AO1006),$AC$1006:$AS$1006,0)), HYPERLINK("#",""), HYPERLINK(CONCATENATE("#metadata!", ADDRESS(INDEX($X$2:$X$1001,MATCH(ROWS($V$2:V577),$V$2:$V$1001,0),0), INDEX($AC$1004:$AS$1004,1,MATCH(COLUMNS($AC$1006:AO1006),$AC$1006:$AS$1006,0)))),"Fix")))</f>
        <v xml:space="preserve"> </v>
      </c>
      <c r="O577" s="4" t="str">
        <f ca="1">IF(OR(INDEX($W$2:$W$1001,MATCH(ROWS($V$2:V577),$V$2:$V$1001,0),1)&gt;=100000,INDEX($AC$1005:$AS$1005,1,MATCH(COLUMNS($AC$1006:AP1006),$AC$1006:$AS$1006,0))&gt;=100000), " ",IF(INDEX($AC$2:$AS$1001,MATCH(ROWS($V$2:V577),$V$2:$V$1001,0),MATCH(COLUMNS($AC$1006:AP1006),$AC$1006:$AS$1006,0)), HYPERLINK("#",""), HYPERLINK(CONCATENATE("#metadata!", ADDRESS(INDEX($X$2:$X$1001,MATCH(ROWS($V$2:V577),$V$2:$V$1001,0),0), INDEX($AC$1004:$AS$1004,1,MATCH(COLUMNS($AC$1006:AP1006),$AC$1006:$AS$1006,0)))),"Fix")))</f>
        <v xml:space="preserve"> </v>
      </c>
      <c r="P577" s="4" t="str">
        <f ca="1">IF(OR(INDEX($W$2:$W$1001,MATCH(ROWS($V$2:V577),$V$2:$V$1001,0),1)&gt;=100000,INDEX($AC$1005:$AS$1005,1,MATCH(COLUMNS($AC$1006:AQ1006),$AC$1006:$AS$1006,0))&gt;=100000), " ",IF(INDEX($AC$2:$AS$1001,MATCH(ROWS($V$2:V577),$V$2:$V$1001,0),MATCH(COLUMNS($AC$1006:AQ1006),$AC$1006:$AS$1006,0)), HYPERLINK("#",""), HYPERLINK(CONCATENATE("#metadata!", ADDRESS(INDEX($X$2:$X$1001,MATCH(ROWS($V$2:V577),$V$2:$V$1001,0),0), INDEX($AC$1004:$AS$1004,1,MATCH(COLUMNS($AC$1006:AQ1006),$AC$1006:$AS$1006,0)))),"Fix")))</f>
        <v xml:space="preserve"> </v>
      </c>
      <c r="Q577" s="4" t="str">
        <f ca="1">IF(OR(INDEX($W$2:$W$1001,MATCH(ROWS($V$2:V577),$V$2:$V$1001,0),1)&gt;=100000,INDEX($AC$1005:$AS$1005,1,MATCH(COLUMNS($AC$1006:AR1006),$AC$1006:$AS$1006,0))&gt;=100000), " ",IF(INDEX($AC$2:$AS$1001,MATCH(ROWS($V$2:V577),$V$2:$V$1001,0),MATCH(COLUMNS($AC$1006:AR1006),$AC$1006:$AS$1006,0)), HYPERLINK("#",""), HYPERLINK(CONCATENATE("#metadata!", ADDRESS(INDEX($X$2:$X$1001,MATCH(ROWS($V$2:V577),$V$2:$V$1001,0),0), INDEX($AC$1004:$AS$1004,1,MATCH(COLUMNS($AC$1006:AR1006),$AC$1006:$AS$1006,0)))),"Fix")))</f>
        <v xml:space="preserve"> </v>
      </c>
      <c r="R577" s="4" t="str">
        <f ca="1">IF(OR(INDEX($W$2:$W$1001,MATCH(ROWS($V$2:V577),$V$2:$V$1001,0),1)&gt;=100000,INDEX($AC$1005:$AS$1005,1,MATCH(COLUMNS($AC$1006:AS1006),$AC$1006:$AS$1006,0))&gt;=100000), " ",IF(INDEX($AC$2:$AS$1001,MATCH(ROWS($V$2:V577),$V$2:$V$1001,0),MATCH(COLUMNS($AC$1006:AS1006),$AC$1006:$AS$1006,0)), HYPERLINK("#",""), HYPERLINK(CONCATENATE("#metadata!", ADDRESS(INDEX($X$2:$X$1001,MATCH(ROWS($V$2:V577),$V$2:$V$1001,0),0), INDEX($AC$1004:$AS$1004,1,MATCH(COLUMNS($AC$1006:AS1006),$AC$1006:$AS$1006,0)))),"Fix")))</f>
        <v xml:space="preserve"> </v>
      </c>
      <c r="V577">
        <v>576</v>
      </c>
      <c r="W577">
        <v>100577</v>
      </c>
      <c r="X577">
        <v>577</v>
      </c>
      <c r="Y577" t="b">
        <f t="shared" si="8"/>
        <v>1</v>
      </c>
      <c r="Z577" t="b">
        <f>COUNTBLANK(metadata!B577:R577)=COLUMNS(metadata!B577:R577)</f>
        <v>1</v>
      </c>
      <c r="AA577" t="str">
        <v/>
      </c>
      <c r="AC577" t="b">
        <f ca="1"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AD577" t="b">
        <f>IF(metadata!C577="",FALSE,ISNUMBER(VALUE(metadata!C577)))</f>
        <v>0</v>
      </c>
      <c r="AE577" t="b">
        <f>AND(IF(metadata!D577="",FALSE,TRUE),EXACT(metadata!D577,"years"))</f>
        <v>0</v>
      </c>
      <c r="AF577" t="b">
        <f>OR(AND(IF(metadata!E577="",FALSE,TRUE),OR(EXACT(metadata!E577,"not applicable"),EXACT(metadata!E577,"missing: not collected"),EXACT(metadata!E577,"missing: not provided"),EXACT(metadata!E577,"missing: restricted access"))),AND(IF(metadata!E577="",FALSE,ISNUMBER(VALUE(metadata!E577))),metadata!E577&gt;0))</f>
        <v>0</v>
      </c>
      <c r="AG577" t="b">
        <f>AND(IF(metadata!F577="",FALSE,TRUE),EXACT(metadata!F577,"Not applicable"))</f>
        <v>0</v>
      </c>
      <c r="AH577" t="b">
        <f>AND(IF(metadata!G577="",FALSE,TRUE),EXACT(metadata!G577,"urban biome"))</f>
        <v>0</v>
      </c>
      <c r="AI577" t="b">
        <f>AND(IF(metadata!H577="",FALSE,TRUE),EXACT(metadata!H577,"human-associated habitat"))</f>
        <v>0</v>
      </c>
      <c r="AJ577" t="b">
        <f>AND(IF(metadata!I577="",FALSE,TRUE),OR(EXACT(metadata!I577,"human-associated"),EXACT(metadata!I577,"human-skin"),EXACT(metadata!I577,"human-oral"),EXACT(metadata!I577,"human-gut"),EXACT(metadata!I577,"human-vaginal")))</f>
        <v>0</v>
      </c>
      <c r="AK577" t="b">
        <f>IF(metadata!J577="",FALSE,ISNUMBER(VALUE(metadata!J577)))</f>
        <v>0</v>
      </c>
      <c r="AL577" t="b">
        <f>AND(IF(metadata!K577="",FALSE,TRUE),EXACT(metadata!K577,"cm"))</f>
        <v>0</v>
      </c>
      <c r="AM577" t="b">
        <f>AND(IF(metadata!L577="",FALSE,TRUE),EXACT(metadata!L577,"human"))</f>
        <v>0</v>
      </c>
      <c r="AN577" t="b">
        <f>AND(IF(metadata!M577="",FALSE,TRUE),EXACT(metadata!M577,"Homo sapiens"))</f>
        <v>0</v>
      </c>
      <c r="AO577" t="b">
        <f>AND(IF(metadata!N577="",FALSE,TRUE),EXACT(metadata!N577,"9606"))</f>
        <v>0</v>
      </c>
      <c r="AP577" t="b">
        <f>IF(metadata!O577="",FALSE,TRUE)</f>
        <v>0</v>
      </c>
      <c r="AQ577" t="b">
        <f>IF(metadata!P577="",FALSE,TRUE)</f>
        <v>0</v>
      </c>
      <c r="AR577" t="b">
        <f>IF(metadata!Q577="",FALSE,ISNUMBER(VALUE(metadata!Q577)))</f>
        <v>0</v>
      </c>
      <c r="AS577" t="b">
        <f>AND(IF(metadata!R577="",FALSE,TRUE),EXACT(metadata!R577,"kg"))</f>
        <v>0</v>
      </c>
    </row>
    <row r="578" spans="1:45" x14ac:dyDescent="0.2">
      <c r="A578" s="5" t="str">
        <f ca="1">IF(B578=" "," ",HYPERLINK(CONCATENATE("#metadata!",ADDRESS(INDEX($X$2:$X$1001,MATCH(ROWS($V$2:V578),$V$2:$V$1001,0),0),1)),INDEX($AA$2:$AA$1001,MATCH(ROWS($V$2:V578),$V$2:$V$1001,0),0)))</f>
        <v xml:space="preserve"> </v>
      </c>
      <c r="B578" s="4" t="str">
        <f ca="1">IF(OR(INDEX($W$2:$W$1001,MATCH(ROWS($V$2:V578),$V$2:$V$1001,0),1)&gt;=100000,INDEX($AC$1005:$AS$1005,1,MATCH(COLUMNS($AC$1006:AC1006),$AC$1006:$AS$1006,0))&gt;=100000), " ",IF(INDEX($AC$2:$AS$1001,MATCH(ROWS($V$2:V578),$V$2:$V$1001,0),MATCH(COLUMNS($AC$1006:AC1006),$AC$1006:$AS$1006,0)), HYPERLINK("#",""), HYPERLINK(CONCATENATE("#metadata!", ADDRESS(INDEX($X$2:$X$1001,MATCH(ROWS($V$2:V578),$V$2:$V$1001,0),0), INDEX($AC$1004:$AS$1004,1,MATCH(COLUMNS($AC$1006:AC1006),$AC$1006:$AS$1006,0)))),"Fix")))</f>
        <v xml:space="preserve"> </v>
      </c>
      <c r="C578" s="4" t="str">
        <f ca="1">IF(OR(INDEX($W$2:$W$1001,MATCH(ROWS($V$2:V578),$V$2:$V$1001,0),1)&gt;=100000,INDEX($AC$1005:$AS$1005,1,MATCH(COLUMNS($AC$1006:AD1006),$AC$1006:$AS$1006,0))&gt;=100000), " ",IF(INDEX($AC$2:$AS$1001,MATCH(ROWS($V$2:V578),$V$2:$V$1001,0),MATCH(COLUMNS($AC$1006:AD1006),$AC$1006:$AS$1006,0)), HYPERLINK("#",""), HYPERLINK(CONCATENATE("#metadata!", ADDRESS(INDEX($X$2:$X$1001,MATCH(ROWS($V$2:V578),$V$2:$V$1001,0),0), INDEX($AC$1004:$AS$1004,1,MATCH(COLUMNS($AC$1006:AD1006),$AC$1006:$AS$1006,0)))),"Fix")))</f>
        <v xml:space="preserve"> </v>
      </c>
      <c r="D578" s="4" t="str">
        <f ca="1">IF(OR(INDEX($W$2:$W$1001,MATCH(ROWS($V$2:V578),$V$2:$V$1001,0),1)&gt;=100000,INDEX($AC$1005:$AS$1005,1,MATCH(COLUMNS($AC$1006:AE1006),$AC$1006:$AS$1006,0))&gt;=100000), " ",IF(INDEX($AC$2:$AS$1001,MATCH(ROWS($V$2:V578),$V$2:$V$1001,0),MATCH(COLUMNS($AC$1006:AE1006),$AC$1006:$AS$1006,0)), HYPERLINK("#",""), HYPERLINK(CONCATENATE("#metadata!", ADDRESS(INDEX($X$2:$X$1001,MATCH(ROWS($V$2:V578),$V$2:$V$1001,0),0), INDEX($AC$1004:$AS$1004,1,MATCH(COLUMNS($AC$1006:AE1006),$AC$1006:$AS$1006,0)))),"Fix")))</f>
        <v xml:space="preserve"> </v>
      </c>
      <c r="E578" s="4" t="str">
        <f ca="1">IF(OR(INDEX($W$2:$W$1001,MATCH(ROWS($V$2:V578),$V$2:$V$1001,0),1)&gt;=100000,INDEX($AC$1005:$AS$1005,1,MATCH(COLUMNS($AC$1006:AF1006),$AC$1006:$AS$1006,0))&gt;=100000), " ",IF(INDEX($AC$2:$AS$1001,MATCH(ROWS($V$2:V578),$V$2:$V$1001,0),MATCH(COLUMNS($AC$1006:AF1006),$AC$1006:$AS$1006,0)), HYPERLINK("#",""), HYPERLINK(CONCATENATE("#metadata!", ADDRESS(INDEX($X$2:$X$1001,MATCH(ROWS($V$2:V578),$V$2:$V$1001,0),0), INDEX($AC$1004:$AS$1004,1,MATCH(COLUMNS($AC$1006:AF1006),$AC$1006:$AS$1006,0)))),"Fix")))</f>
        <v xml:space="preserve"> </v>
      </c>
      <c r="F578" s="4" t="str">
        <f ca="1">IF(OR(INDEX($W$2:$W$1001,MATCH(ROWS($V$2:V578),$V$2:$V$1001,0),1)&gt;=100000,INDEX($AC$1005:$AS$1005,1,MATCH(COLUMNS($AC$1006:AG1006),$AC$1006:$AS$1006,0))&gt;=100000), " ",IF(INDEX($AC$2:$AS$1001,MATCH(ROWS($V$2:V578),$V$2:$V$1001,0),MATCH(COLUMNS($AC$1006:AG1006),$AC$1006:$AS$1006,0)), HYPERLINK("#",""), HYPERLINK(CONCATENATE("#metadata!", ADDRESS(INDEX($X$2:$X$1001,MATCH(ROWS($V$2:V578),$V$2:$V$1001,0),0), INDEX($AC$1004:$AS$1004,1,MATCH(COLUMNS($AC$1006:AG1006),$AC$1006:$AS$1006,0)))),"Fix")))</f>
        <v xml:space="preserve"> </v>
      </c>
      <c r="G578" s="4" t="str">
        <f ca="1">IF(OR(INDEX($W$2:$W$1001,MATCH(ROWS($V$2:V578),$V$2:$V$1001,0),1)&gt;=100000,INDEX($AC$1005:$AS$1005,1,MATCH(COLUMNS($AC$1006:AH1006),$AC$1006:$AS$1006,0))&gt;=100000), " ",IF(INDEX($AC$2:$AS$1001,MATCH(ROWS($V$2:V578),$V$2:$V$1001,0),MATCH(COLUMNS($AC$1006:AH1006),$AC$1006:$AS$1006,0)), HYPERLINK("#",""), HYPERLINK(CONCATENATE("#metadata!", ADDRESS(INDEX($X$2:$X$1001,MATCH(ROWS($V$2:V578),$V$2:$V$1001,0),0), INDEX($AC$1004:$AS$1004,1,MATCH(COLUMNS($AC$1006:AH1006),$AC$1006:$AS$1006,0)))),"Fix")))</f>
        <v xml:space="preserve"> </v>
      </c>
      <c r="H578" s="4" t="str">
        <f ca="1">IF(OR(INDEX($W$2:$W$1001,MATCH(ROWS($V$2:V578),$V$2:$V$1001,0),1)&gt;=100000,INDEX($AC$1005:$AS$1005,1,MATCH(COLUMNS($AC$1006:AI1006),$AC$1006:$AS$1006,0))&gt;=100000), " ",IF(INDEX($AC$2:$AS$1001,MATCH(ROWS($V$2:V578),$V$2:$V$1001,0),MATCH(COLUMNS($AC$1006:AI1006),$AC$1006:$AS$1006,0)), HYPERLINK("#",""), HYPERLINK(CONCATENATE("#metadata!", ADDRESS(INDEX($X$2:$X$1001,MATCH(ROWS($V$2:V578),$V$2:$V$1001,0),0), INDEX($AC$1004:$AS$1004,1,MATCH(COLUMNS($AC$1006:AI1006),$AC$1006:$AS$1006,0)))),"Fix")))</f>
        <v xml:space="preserve"> </v>
      </c>
      <c r="I578" s="4" t="str">
        <f ca="1">IF(OR(INDEX($W$2:$W$1001,MATCH(ROWS($V$2:V578),$V$2:$V$1001,0),1)&gt;=100000,INDEX($AC$1005:$AS$1005,1,MATCH(COLUMNS($AC$1006:AJ1006),$AC$1006:$AS$1006,0))&gt;=100000), " ",IF(INDEX($AC$2:$AS$1001,MATCH(ROWS($V$2:V578),$V$2:$V$1001,0),MATCH(COLUMNS($AC$1006:AJ1006),$AC$1006:$AS$1006,0)), HYPERLINK("#",""), HYPERLINK(CONCATENATE("#metadata!", ADDRESS(INDEX($X$2:$X$1001,MATCH(ROWS($V$2:V578),$V$2:$V$1001,0),0), INDEX($AC$1004:$AS$1004,1,MATCH(COLUMNS($AC$1006:AJ1006),$AC$1006:$AS$1006,0)))),"Fix")))</f>
        <v xml:space="preserve"> </v>
      </c>
      <c r="J578" s="4" t="str">
        <f ca="1">IF(OR(INDEX($W$2:$W$1001,MATCH(ROWS($V$2:V578),$V$2:$V$1001,0),1)&gt;=100000,INDEX($AC$1005:$AS$1005,1,MATCH(COLUMNS($AC$1006:AK1006),$AC$1006:$AS$1006,0))&gt;=100000), " ",IF(INDEX($AC$2:$AS$1001,MATCH(ROWS($V$2:V578),$V$2:$V$1001,0),MATCH(COLUMNS($AC$1006:AK1006),$AC$1006:$AS$1006,0)), HYPERLINK("#",""), HYPERLINK(CONCATENATE("#metadata!", ADDRESS(INDEX($X$2:$X$1001,MATCH(ROWS($V$2:V578),$V$2:$V$1001,0),0), INDEX($AC$1004:$AS$1004,1,MATCH(COLUMNS($AC$1006:AK1006),$AC$1006:$AS$1006,0)))),"Fix")))</f>
        <v xml:space="preserve"> </v>
      </c>
      <c r="K578" s="4" t="str">
        <f ca="1">IF(OR(INDEX($W$2:$W$1001,MATCH(ROWS($V$2:V578),$V$2:$V$1001,0),1)&gt;=100000,INDEX($AC$1005:$AS$1005,1,MATCH(COLUMNS($AC$1006:AL1006),$AC$1006:$AS$1006,0))&gt;=100000), " ",IF(INDEX($AC$2:$AS$1001,MATCH(ROWS($V$2:V578),$V$2:$V$1001,0),MATCH(COLUMNS($AC$1006:AL1006),$AC$1006:$AS$1006,0)), HYPERLINK("#",""), HYPERLINK(CONCATENATE("#metadata!", ADDRESS(INDEX($X$2:$X$1001,MATCH(ROWS($V$2:V578),$V$2:$V$1001,0),0), INDEX($AC$1004:$AS$1004,1,MATCH(COLUMNS($AC$1006:AL1006),$AC$1006:$AS$1006,0)))),"Fix")))</f>
        <v xml:space="preserve"> </v>
      </c>
      <c r="L578" s="4" t="str">
        <f ca="1">IF(OR(INDEX($W$2:$W$1001,MATCH(ROWS($V$2:V578),$V$2:$V$1001,0),1)&gt;=100000,INDEX($AC$1005:$AS$1005,1,MATCH(COLUMNS($AC$1006:AM1006),$AC$1006:$AS$1006,0))&gt;=100000), " ",IF(INDEX($AC$2:$AS$1001,MATCH(ROWS($V$2:V578),$V$2:$V$1001,0),MATCH(COLUMNS($AC$1006:AM1006),$AC$1006:$AS$1006,0)), HYPERLINK("#",""), HYPERLINK(CONCATENATE("#metadata!", ADDRESS(INDEX($X$2:$X$1001,MATCH(ROWS($V$2:V578),$V$2:$V$1001,0),0), INDEX($AC$1004:$AS$1004,1,MATCH(COLUMNS($AC$1006:AM1006),$AC$1006:$AS$1006,0)))),"Fix")))</f>
        <v xml:space="preserve"> </v>
      </c>
      <c r="M578" s="4" t="str">
        <f ca="1">IF(OR(INDEX($W$2:$W$1001,MATCH(ROWS($V$2:V578),$V$2:$V$1001,0),1)&gt;=100000,INDEX($AC$1005:$AS$1005,1,MATCH(COLUMNS($AC$1006:AN1006),$AC$1006:$AS$1006,0))&gt;=100000), " ",IF(INDEX($AC$2:$AS$1001,MATCH(ROWS($V$2:V578),$V$2:$V$1001,0),MATCH(COLUMNS($AC$1006:AN1006),$AC$1006:$AS$1006,0)), HYPERLINK("#",""), HYPERLINK(CONCATENATE("#metadata!", ADDRESS(INDEX($X$2:$X$1001,MATCH(ROWS($V$2:V578),$V$2:$V$1001,0),0), INDEX($AC$1004:$AS$1004,1,MATCH(COLUMNS($AC$1006:AN1006),$AC$1006:$AS$1006,0)))),"Fix")))</f>
        <v xml:space="preserve"> </v>
      </c>
      <c r="N578" s="4" t="str">
        <f ca="1">IF(OR(INDEX($W$2:$W$1001,MATCH(ROWS($V$2:V578),$V$2:$V$1001,0),1)&gt;=100000,INDEX($AC$1005:$AS$1005,1,MATCH(COLUMNS($AC$1006:AO1006),$AC$1006:$AS$1006,0))&gt;=100000), " ",IF(INDEX($AC$2:$AS$1001,MATCH(ROWS($V$2:V578),$V$2:$V$1001,0),MATCH(COLUMNS($AC$1006:AO1006),$AC$1006:$AS$1006,0)), HYPERLINK("#",""), HYPERLINK(CONCATENATE("#metadata!", ADDRESS(INDEX($X$2:$X$1001,MATCH(ROWS($V$2:V578),$V$2:$V$1001,0),0), INDEX($AC$1004:$AS$1004,1,MATCH(COLUMNS($AC$1006:AO1006),$AC$1006:$AS$1006,0)))),"Fix")))</f>
        <v xml:space="preserve"> </v>
      </c>
      <c r="O578" s="4" t="str">
        <f ca="1">IF(OR(INDEX($W$2:$W$1001,MATCH(ROWS($V$2:V578),$V$2:$V$1001,0),1)&gt;=100000,INDEX($AC$1005:$AS$1005,1,MATCH(COLUMNS($AC$1006:AP1006),$AC$1006:$AS$1006,0))&gt;=100000), " ",IF(INDEX($AC$2:$AS$1001,MATCH(ROWS($V$2:V578),$V$2:$V$1001,0),MATCH(COLUMNS($AC$1006:AP1006),$AC$1006:$AS$1006,0)), HYPERLINK("#",""), HYPERLINK(CONCATENATE("#metadata!", ADDRESS(INDEX($X$2:$X$1001,MATCH(ROWS($V$2:V578),$V$2:$V$1001,0),0), INDEX($AC$1004:$AS$1004,1,MATCH(COLUMNS($AC$1006:AP1006),$AC$1006:$AS$1006,0)))),"Fix")))</f>
        <v xml:space="preserve"> </v>
      </c>
      <c r="P578" s="4" t="str">
        <f ca="1">IF(OR(INDEX($W$2:$W$1001,MATCH(ROWS($V$2:V578),$V$2:$V$1001,0),1)&gt;=100000,INDEX($AC$1005:$AS$1005,1,MATCH(COLUMNS($AC$1006:AQ1006),$AC$1006:$AS$1006,0))&gt;=100000), " ",IF(INDEX($AC$2:$AS$1001,MATCH(ROWS($V$2:V578),$V$2:$V$1001,0),MATCH(COLUMNS($AC$1006:AQ1006),$AC$1006:$AS$1006,0)), HYPERLINK("#",""), HYPERLINK(CONCATENATE("#metadata!", ADDRESS(INDEX($X$2:$X$1001,MATCH(ROWS($V$2:V578),$V$2:$V$1001,0),0), INDEX($AC$1004:$AS$1004,1,MATCH(COLUMNS($AC$1006:AQ1006),$AC$1006:$AS$1006,0)))),"Fix")))</f>
        <v xml:space="preserve"> </v>
      </c>
      <c r="Q578" s="4" t="str">
        <f ca="1">IF(OR(INDEX($W$2:$W$1001,MATCH(ROWS($V$2:V578),$V$2:$V$1001,0),1)&gt;=100000,INDEX($AC$1005:$AS$1005,1,MATCH(COLUMNS($AC$1006:AR1006),$AC$1006:$AS$1006,0))&gt;=100000), " ",IF(INDEX($AC$2:$AS$1001,MATCH(ROWS($V$2:V578),$V$2:$V$1001,0),MATCH(COLUMNS($AC$1006:AR1006),$AC$1006:$AS$1006,0)), HYPERLINK("#",""), HYPERLINK(CONCATENATE("#metadata!", ADDRESS(INDEX($X$2:$X$1001,MATCH(ROWS($V$2:V578),$V$2:$V$1001,0),0), INDEX($AC$1004:$AS$1004,1,MATCH(COLUMNS($AC$1006:AR1006),$AC$1006:$AS$1006,0)))),"Fix")))</f>
        <v xml:space="preserve"> </v>
      </c>
      <c r="R578" s="4" t="str">
        <f ca="1">IF(OR(INDEX($W$2:$W$1001,MATCH(ROWS($V$2:V578),$V$2:$V$1001,0),1)&gt;=100000,INDEX($AC$1005:$AS$1005,1,MATCH(COLUMNS($AC$1006:AS1006),$AC$1006:$AS$1006,0))&gt;=100000), " ",IF(INDEX($AC$2:$AS$1001,MATCH(ROWS($V$2:V578),$V$2:$V$1001,0),MATCH(COLUMNS($AC$1006:AS1006),$AC$1006:$AS$1006,0)), HYPERLINK("#",""), HYPERLINK(CONCATENATE("#metadata!", ADDRESS(INDEX($X$2:$X$1001,MATCH(ROWS($V$2:V578),$V$2:$V$1001,0),0), INDEX($AC$1004:$AS$1004,1,MATCH(COLUMNS($AC$1006:AS1006),$AC$1006:$AS$1006,0)))),"Fix")))</f>
        <v xml:space="preserve"> </v>
      </c>
      <c r="V578">
        <v>577</v>
      </c>
      <c r="W578">
        <v>100578</v>
      </c>
      <c r="X578">
        <v>578</v>
      </c>
      <c r="Y578" t="b">
        <f t="shared" ref="Y578:Y641" si="9">IF(Z578,TRUE,AND(AC578:AS578))</f>
        <v>1</v>
      </c>
      <c r="Z578" t="b">
        <f>COUNTBLANK(metadata!B578:R578)=COLUMNS(metadata!B578:R578)</f>
        <v>1</v>
      </c>
      <c r="AA578" t="str">
        <v/>
      </c>
      <c r="AC578" t="b">
        <f ca="1"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AD578" t="b">
        <f>IF(metadata!C578="",FALSE,ISNUMBER(VALUE(metadata!C578)))</f>
        <v>0</v>
      </c>
      <c r="AE578" t="b">
        <f>AND(IF(metadata!D578="",FALSE,TRUE),EXACT(metadata!D578,"years"))</f>
        <v>0</v>
      </c>
      <c r="AF578" t="b">
        <f>OR(AND(IF(metadata!E578="",FALSE,TRUE),OR(EXACT(metadata!E578,"not applicable"),EXACT(metadata!E578,"missing: not collected"),EXACT(metadata!E578,"missing: not provided"),EXACT(metadata!E578,"missing: restricted access"))),AND(IF(metadata!E578="",FALSE,ISNUMBER(VALUE(metadata!E578))),metadata!E578&gt;0))</f>
        <v>0</v>
      </c>
      <c r="AG578" t="b">
        <f>AND(IF(metadata!F578="",FALSE,TRUE),EXACT(metadata!F578,"Not applicable"))</f>
        <v>0</v>
      </c>
      <c r="AH578" t="b">
        <f>AND(IF(metadata!G578="",FALSE,TRUE),EXACT(metadata!G578,"urban biome"))</f>
        <v>0</v>
      </c>
      <c r="AI578" t="b">
        <f>AND(IF(metadata!H578="",FALSE,TRUE),EXACT(metadata!H578,"human-associated habitat"))</f>
        <v>0</v>
      </c>
      <c r="AJ578" t="b">
        <f>AND(IF(metadata!I578="",FALSE,TRUE),OR(EXACT(metadata!I578,"human-associated"),EXACT(metadata!I578,"human-skin"),EXACT(metadata!I578,"human-oral"),EXACT(metadata!I578,"human-gut"),EXACT(metadata!I578,"human-vaginal")))</f>
        <v>0</v>
      </c>
      <c r="AK578" t="b">
        <f>IF(metadata!J578="",FALSE,ISNUMBER(VALUE(metadata!J578)))</f>
        <v>0</v>
      </c>
      <c r="AL578" t="b">
        <f>AND(IF(metadata!K578="",FALSE,TRUE),EXACT(metadata!K578,"cm"))</f>
        <v>0</v>
      </c>
      <c r="AM578" t="b">
        <f>AND(IF(metadata!L578="",FALSE,TRUE),EXACT(metadata!L578,"human"))</f>
        <v>0</v>
      </c>
      <c r="AN578" t="b">
        <f>AND(IF(metadata!M578="",FALSE,TRUE),EXACT(metadata!M578,"Homo sapiens"))</f>
        <v>0</v>
      </c>
      <c r="AO578" t="b">
        <f>AND(IF(metadata!N578="",FALSE,TRUE),EXACT(metadata!N578,"9606"))</f>
        <v>0</v>
      </c>
      <c r="AP578" t="b">
        <f>IF(metadata!O578="",FALSE,TRUE)</f>
        <v>0</v>
      </c>
      <c r="AQ578" t="b">
        <f>IF(metadata!P578="",FALSE,TRUE)</f>
        <v>0</v>
      </c>
      <c r="AR578" t="b">
        <f>IF(metadata!Q578="",FALSE,ISNUMBER(VALUE(metadata!Q578)))</f>
        <v>0</v>
      </c>
      <c r="AS578" t="b">
        <f>AND(IF(metadata!R578="",FALSE,TRUE),EXACT(metadata!R578,"kg"))</f>
        <v>0</v>
      </c>
    </row>
    <row r="579" spans="1:45" x14ac:dyDescent="0.2">
      <c r="A579" s="5" t="str">
        <f ca="1">IF(B579=" "," ",HYPERLINK(CONCATENATE("#metadata!",ADDRESS(INDEX($X$2:$X$1001,MATCH(ROWS($V$2:V579),$V$2:$V$1001,0),0),1)),INDEX($AA$2:$AA$1001,MATCH(ROWS($V$2:V579),$V$2:$V$1001,0),0)))</f>
        <v xml:space="preserve"> </v>
      </c>
      <c r="B579" s="4" t="str">
        <f ca="1">IF(OR(INDEX($W$2:$W$1001,MATCH(ROWS($V$2:V579),$V$2:$V$1001,0),1)&gt;=100000,INDEX($AC$1005:$AS$1005,1,MATCH(COLUMNS($AC$1006:AC1006),$AC$1006:$AS$1006,0))&gt;=100000), " ",IF(INDEX($AC$2:$AS$1001,MATCH(ROWS($V$2:V579),$V$2:$V$1001,0),MATCH(COLUMNS($AC$1006:AC1006),$AC$1006:$AS$1006,0)), HYPERLINK("#",""), HYPERLINK(CONCATENATE("#metadata!", ADDRESS(INDEX($X$2:$X$1001,MATCH(ROWS($V$2:V579),$V$2:$V$1001,0),0), INDEX($AC$1004:$AS$1004,1,MATCH(COLUMNS($AC$1006:AC1006),$AC$1006:$AS$1006,0)))),"Fix")))</f>
        <v xml:space="preserve"> </v>
      </c>
      <c r="C579" s="4" t="str">
        <f ca="1">IF(OR(INDEX($W$2:$W$1001,MATCH(ROWS($V$2:V579),$V$2:$V$1001,0),1)&gt;=100000,INDEX($AC$1005:$AS$1005,1,MATCH(COLUMNS($AC$1006:AD1006),$AC$1006:$AS$1006,0))&gt;=100000), " ",IF(INDEX($AC$2:$AS$1001,MATCH(ROWS($V$2:V579),$V$2:$V$1001,0),MATCH(COLUMNS($AC$1006:AD1006),$AC$1006:$AS$1006,0)), HYPERLINK("#",""), HYPERLINK(CONCATENATE("#metadata!", ADDRESS(INDEX($X$2:$X$1001,MATCH(ROWS($V$2:V579),$V$2:$V$1001,0),0), INDEX($AC$1004:$AS$1004,1,MATCH(COLUMNS($AC$1006:AD1006),$AC$1006:$AS$1006,0)))),"Fix")))</f>
        <v xml:space="preserve"> </v>
      </c>
      <c r="D579" s="4" t="str">
        <f ca="1">IF(OR(INDEX($W$2:$W$1001,MATCH(ROWS($V$2:V579),$V$2:$V$1001,0),1)&gt;=100000,INDEX($AC$1005:$AS$1005,1,MATCH(COLUMNS($AC$1006:AE1006),$AC$1006:$AS$1006,0))&gt;=100000), " ",IF(INDEX($AC$2:$AS$1001,MATCH(ROWS($V$2:V579),$V$2:$V$1001,0),MATCH(COLUMNS($AC$1006:AE1006),$AC$1006:$AS$1006,0)), HYPERLINK("#",""), HYPERLINK(CONCATENATE("#metadata!", ADDRESS(INDEX($X$2:$X$1001,MATCH(ROWS($V$2:V579),$V$2:$V$1001,0),0), INDEX($AC$1004:$AS$1004,1,MATCH(COLUMNS($AC$1006:AE1006),$AC$1006:$AS$1006,0)))),"Fix")))</f>
        <v xml:space="preserve"> </v>
      </c>
      <c r="E579" s="4" t="str">
        <f ca="1">IF(OR(INDEX($W$2:$W$1001,MATCH(ROWS($V$2:V579),$V$2:$V$1001,0),1)&gt;=100000,INDEX($AC$1005:$AS$1005,1,MATCH(COLUMNS($AC$1006:AF1006),$AC$1006:$AS$1006,0))&gt;=100000), " ",IF(INDEX($AC$2:$AS$1001,MATCH(ROWS($V$2:V579),$V$2:$V$1001,0),MATCH(COLUMNS($AC$1006:AF1006),$AC$1006:$AS$1006,0)), HYPERLINK("#",""), HYPERLINK(CONCATENATE("#metadata!", ADDRESS(INDEX($X$2:$X$1001,MATCH(ROWS($V$2:V579),$V$2:$V$1001,0),0), INDEX($AC$1004:$AS$1004,1,MATCH(COLUMNS($AC$1006:AF1006),$AC$1006:$AS$1006,0)))),"Fix")))</f>
        <v xml:space="preserve"> </v>
      </c>
      <c r="F579" s="4" t="str">
        <f ca="1">IF(OR(INDEX($W$2:$W$1001,MATCH(ROWS($V$2:V579),$V$2:$V$1001,0),1)&gt;=100000,INDEX($AC$1005:$AS$1005,1,MATCH(COLUMNS($AC$1006:AG1006),$AC$1006:$AS$1006,0))&gt;=100000), " ",IF(INDEX($AC$2:$AS$1001,MATCH(ROWS($V$2:V579),$V$2:$V$1001,0),MATCH(COLUMNS($AC$1006:AG1006),$AC$1006:$AS$1006,0)), HYPERLINK("#",""), HYPERLINK(CONCATENATE("#metadata!", ADDRESS(INDEX($X$2:$X$1001,MATCH(ROWS($V$2:V579),$V$2:$V$1001,0),0), INDEX($AC$1004:$AS$1004,1,MATCH(COLUMNS($AC$1006:AG1006),$AC$1006:$AS$1006,0)))),"Fix")))</f>
        <v xml:space="preserve"> </v>
      </c>
      <c r="G579" s="4" t="str">
        <f ca="1">IF(OR(INDEX($W$2:$W$1001,MATCH(ROWS($V$2:V579),$V$2:$V$1001,0),1)&gt;=100000,INDEX($AC$1005:$AS$1005,1,MATCH(COLUMNS($AC$1006:AH1006),$AC$1006:$AS$1006,0))&gt;=100000), " ",IF(INDEX($AC$2:$AS$1001,MATCH(ROWS($V$2:V579),$V$2:$V$1001,0),MATCH(COLUMNS($AC$1006:AH1006),$AC$1006:$AS$1006,0)), HYPERLINK("#",""), HYPERLINK(CONCATENATE("#metadata!", ADDRESS(INDEX($X$2:$X$1001,MATCH(ROWS($V$2:V579),$V$2:$V$1001,0),0), INDEX($AC$1004:$AS$1004,1,MATCH(COLUMNS($AC$1006:AH1006),$AC$1006:$AS$1006,0)))),"Fix")))</f>
        <v xml:space="preserve"> </v>
      </c>
      <c r="H579" s="4" t="str">
        <f ca="1">IF(OR(INDEX($W$2:$W$1001,MATCH(ROWS($V$2:V579),$V$2:$V$1001,0),1)&gt;=100000,INDEX($AC$1005:$AS$1005,1,MATCH(COLUMNS($AC$1006:AI1006),$AC$1006:$AS$1006,0))&gt;=100000), " ",IF(INDEX($AC$2:$AS$1001,MATCH(ROWS($V$2:V579),$V$2:$V$1001,0),MATCH(COLUMNS($AC$1006:AI1006),$AC$1006:$AS$1006,0)), HYPERLINK("#",""), HYPERLINK(CONCATENATE("#metadata!", ADDRESS(INDEX($X$2:$X$1001,MATCH(ROWS($V$2:V579),$V$2:$V$1001,0),0), INDEX($AC$1004:$AS$1004,1,MATCH(COLUMNS($AC$1006:AI1006),$AC$1006:$AS$1006,0)))),"Fix")))</f>
        <v xml:space="preserve"> </v>
      </c>
      <c r="I579" s="4" t="str">
        <f ca="1">IF(OR(INDEX($W$2:$W$1001,MATCH(ROWS($V$2:V579),$V$2:$V$1001,0),1)&gt;=100000,INDEX($AC$1005:$AS$1005,1,MATCH(COLUMNS($AC$1006:AJ1006),$AC$1006:$AS$1006,0))&gt;=100000), " ",IF(INDEX($AC$2:$AS$1001,MATCH(ROWS($V$2:V579),$V$2:$V$1001,0),MATCH(COLUMNS($AC$1006:AJ1006),$AC$1006:$AS$1006,0)), HYPERLINK("#",""), HYPERLINK(CONCATENATE("#metadata!", ADDRESS(INDEX($X$2:$X$1001,MATCH(ROWS($V$2:V579),$V$2:$V$1001,0),0), INDEX($AC$1004:$AS$1004,1,MATCH(COLUMNS($AC$1006:AJ1006),$AC$1006:$AS$1006,0)))),"Fix")))</f>
        <v xml:space="preserve"> </v>
      </c>
      <c r="J579" s="4" t="str">
        <f ca="1">IF(OR(INDEX($W$2:$W$1001,MATCH(ROWS($V$2:V579),$V$2:$V$1001,0),1)&gt;=100000,INDEX($AC$1005:$AS$1005,1,MATCH(COLUMNS($AC$1006:AK1006),$AC$1006:$AS$1006,0))&gt;=100000), " ",IF(INDEX($AC$2:$AS$1001,MATCH(ROWS($V$2:V579),$V$2:$V$1001,0),MATCH(COLUMNS($AC$1006:AK1006),$AC$1006:$AS$1006,0)), HYPERLINK("#",""), HYPERLINK(CONCATENATE("#metadata!", ADDRESS(INDEX($X$2:$X$1001,MATCH(ROWS($V$2:V579),$V$2:$V$1001,0),0), INDEX($AC$1004:$AS$1004,1,MATCH(COLUMNS($AC$1006:AK1006),$AC$1006:$AS$1006,0)))),"Fix")))</f>
        <v xml:space="preserve"> </v>
      </c>
      <c r="K579" s="4" t="str">
        <f ca="1">IF(OR(INDEX($W$2:$W$1001,MATCH(ROWS($V$2:V579),$V$2:$V$1001,0),1)&gt;=100000,INDEX($AC$1005:$AS$1005,1,MATCH(COLUMNS($AC$1006:AL1006),$AC$1006:$AS$1006,0))&gt;=100000), " ",IF(INDEX($AC$2:$AS$1001,MATCH(ROWS($V$2:V579),$V$2:$V$1001,0),MATCH(COLUMNS($AC$1006:AL1006),$AC$1006:$AS$1006,0)), HYPERLINK("#",""), HYPERLINK(CONCATENATE("#metadata!", ADDRESS(INDEX($X$2:$X$1001,MATCH(ROWS($V$2:V579),$V$2:$V$1001,0),0), INDEX($AC$1004:$AS$1004,1,MATCH(COLUMNS($AC$1006:AL1006),$AC$1006:$AS$1006,0)))),"Fix")))</f>
        <v xml:space="preserve"> </v>
      </c>
      <c r="L579" s="4" t="str">
        <f ca="1">IF(OR(INDEX($W$2:$W$1001,MATCH(ROWS($V$2:V579),$V$2:$V$1001,0),1)&gt;=100000,INDEX($AC$1005:$AS$1005,1,MATCH(COLUMNS($AC$1006:AM1006),$AC$1006:$AS$1006,0))&gt;=100000), " ",IF(INDEX($AC$2:$AS$1001,MATCH(ROWS($V$2:V579),$V$2:$V$1001,0),MATCH(COLUMNS($AC$1006:AM1006),$AC$1006:$AS$1006,0)), HYPERLINK("#",""), HYPERLINK(CONCATENATE("#metadata!", ADDRESS(INDEX($X$2:$X$1001,MATCH(ROWS($V$2:V579),$V$2:$V$1001,0),0), INDEX($AC$1004:$AS$1004,1,MATCH(COLUMNS($AC$1006:AM1006),$AC$1006:$AS$1006,0)))),"Fix")))</f>
        <v xml:space="preserve"> </v>
      </c>
      <c r="M579" s="4" t="str">
        <f ca="1">IF(OR(INDEX($W$2:$W$1001,MATCH(ROWS($V$2:V579),$V$2:$V$1001,0),1)&gt;=100000,INDEX($AC$1005:$AS$1005,1,MATCH(COLUMNS($AC$1006:AN1006),$AC$1006:$AS$1006,0))&gt;=100000), " ",IF(INDEX($AC$2:$AS$1001,MATCH(ROWS($V$2:V579),$V$2:$V$1001,0),MATCH(COLUMNS($AC$1006:AN1006),$AC$1006:$AS$1006,0)), HYPERLINK("#",""), HYPERLINK(CONCATENATE("#metadata!", ADDRESS(INDEX($X$2:$X$1001,MATCH(ROWS($V$2:V579),$V$2:$V$1001,0),0), INDEX($AC$1004:$AS$1004,1,MATCH(COLUMNS($AC$1006:AN1006),$AC$1006:$AS$1006,0)))),"Fix")))</f>
        <v xml:space="preserve"> </v>
      </c>
      <c r="N579" s="4" t="str">
        <f ca="1">IF(OR(INDEX($W$2:$W$1001,MATCH(ROWS($V$2:V579),$V$2:$V$1001,0),1)&gt;=100000,INDEX($AC$1005:$AS$1005,1,MATCH(COLUMNS($AC$1006:AO1006),$AC$1006:$AS$1006,0))&gt;=100000), " ",IF(INDEX($AC$2:$AS$1001,MATCH(ROWS($V$2:V579),$V$2:$V$1001,0),MATCH(COLUMNS($AC$1006:AO1006),$AC$1006:$AS$1006,0)), HYPERLINK("#",""), HYPERLINK(CONCATENATE("#metadata!", ADDRESS(INDEX($X$2:$X$1001,MATCH(ROWS($V$2:V579),$V$2:$V$1001,0),0), INDEX($AC$1004:$AS$1004,1,MATCH(COLUMNS($AC$1006:AO1006),$AC$1006:$AS$1006,0)))),"Fix")))</f>
        <v xml:space="preserve"> </v>
      </c>
      <c r="O579" s="4" t="str">
        <f ca="1">IF(OR(INDEX($W$2:$W$1001,MATCH(ROWS($V$2:V579),$V$2:$V$1001,0),1)&gt;=100000,INDEX($AC$1005:$AS$1005,1,MATCH(COLUMNS($AC$1006:AP1006),$AC$1006:$AS$1006,0))&gt;=100000), " ",IF(INDEX($AC$2:$AS$1001,MATCH(ROWS($V$2:V579),$V$2:$V$1001,0),MATCH(COLUMNS($AC$1006:AP1006),$AC$1006:$AS$1006,0)), HYPERLINK("#",""), HYPERLINK(CONCATENATE("#metadata!", ADDRESS(INDEX($X$2:$X$1001,MATCH(ROWS($V$2:V579),$V$2:$V$1001,0),0), INDEX($AC$1004:$AS$1004,1,MATCH(COLUMNS($AC$1006:AP1006),$AC$1006:$AS$1006,0)))),"Fix")))</f>
        <v xml:space="preserve"> </v>
      </c>
      <c r="P579" s="4" t="str">
        <f ca="1">IF(OR(INDEX($W$2:$W$1001,MATCH(ROWS($V$2:V579),$V$2:$V$1001,0),1)&gt;=100000,INDEX($AC$1005:$AS$1005,1,MATCH(COLUMNS($AC$1006:AQ1006),$AC$1006:$AS$1006,0))&gt;=100000), " ",IF(INDEX($AC$2:$AS$1001,MATCH(ROWS($V$2:V579),$V$2:$V$1001,0),MATCH(COLUMNS($AC$1006:AQ1006),$AC$1006:$AS$1006,0)), HYPERLINK("#",""), HYPERLINK(CONCATENATE("#metadata!", ADDRESS(INDEX($X$2:$X$1001,MATCH(ROWS($V$2:V579),$V$2:$V$1001,0),0), INDEX($AC$1004:$AS$1004,1,MATCH(COLUMNS($AC$1006:AQ1006),$AC$1006:$AS$1006,0)))),"Fix")))</f>
        <v xml:space="preserve"> </v>
      </c>
      <c r="Q579" s="4" t="str">
        <f ca="1">IF(OR(INDEX($W$2:$W$1001,MATCH(ROWS($V$2:V579),$V$2:$V$1001,0),1)&gt;=100000,INDEX($AC$1005:$AS$1005,1,MATCH(COLUMNS($AC$1006:AR1006),$AC$1006:$AS$1006,0))&gt;=100000), " ",IF(INDEX($AC$2:$AS$1001,MATCH(ROWS($V$2:V579),$V$2:$V$1001,0),MATCH(COLUMNS($AC$1006:AR1006),$AC$1006:$AS$1006,0)), HYPERLINK("#",""), HYPERLINK(CONCATENATE("#metadata!", ADDRESS(INDEX($X$2:$X$1001,MATCH(ROWS($V$2:V579),$V$2:$V$1001,0),0), INDEX($AC$1004:$AS$1004,1,MATCH(COLUMNS($AC$1006:AR1006),$AC$1006:$AS$1006,0)))),"Fix")))</f>
        <v xml:space="preserve"> </v>
      </c>
      <c r="R579" s="4" t="str">
        <f ca="1">IF(OR(INDEX($W$2:$W$1001,MATCH(ROWS($V$2:V579),$V$2:$V$1001,0),1)&gt;=100000,INDEX($AC$1005:$AS$1005,1,MATCH(COLUMNS($AC$1006:AS1006),$AC$1006:$AS$1006,0))&gt;=100000), " ",IF(INDEX($AC$2:$AS$1001,MATCH(ROWS($V$2:V579),$V$2:$V$1001,0),MATCH(COLUMNS($AC$1006:AS1006),$AC$1006:$AS$1006,0)), HYPERLINK("#",""), HYPERLINK(CONCATENATE("#metadata!", ADDRESS(INDEX($X$2:$X$1001,MATCH(ROWS($V$2:V579),$V$2:$V$1001,0),0), INDEX($AC$1004:$AS$1004,1,MATCH(COLUMNS($AC$1006:AS1006),$AC$1006:$AS$1006,0)))),"Fix")))</f>
        <v xml:space="preserve"> </v>
      </c>
      <c r="V579">
        <v>578</v>
      </c>
      <c r="W579">
        <v>100579</v>
      </c>
      <c r="X579">
        <v>579</v>
      </c>
      <c r="Y579" t="b">
        <f t="shared" si="9"/>
        <v>1</v>
      </c>
      <c r="Z579" t="b">
        <f>COUNTBLANK(metadata!B579:R579)=COLUMNS(metadata!B579:R579)</f>
        <v>1</v>
      </c>
      <c r="AA579" t="str">
        <v/>
      </c>
      <c r="AC579" t="b">
        <f ca="1"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AD579" t="b">
        <f>IF(metadata!C579="",FALSE,ISNUMBER(VALUE(metadata!C579)))</f>
        <v>0</v>
      </c>
      <c r="AE579" t="b">
        <f>AND(IF(metadata!D579="",FALSE,TRUE),EXACT(metadata!D579,"years"))</f>
        <v>0</v>
      </c>
      <c r="AF579" t="b">
        <f>OR(AND(IF(metadata!E579="",FALSE,TRUE),OR(EXACT(metadata!E579,"not applicable"),EXACT(metadata!E579,"missing: not collected"),EXACT(metadata!E579,"missing: not provided"),EXACT(metadata!E579,"missing: restricted access"))),AND(IF(metadata!E579="",FALSE,ISNUMBER(VALUE(metadata!E579))),metadata!E579&gt;0))</f>
        <v>0</v>
      </c>
      <c r="AG579" t="b">
        <f>AND(IF(metadata!F579="",FALSE,TRUE),EXACT(metadata!F579,"Not applicable"))</f>
        <v>0</v>
      </c>
      <c r="AH579" t="b">
        <f>AND(IF(metadata!G579="",FALSE,TRUE),EXACT(metadata!G579,"urban biome"))</f>
        <v>0</v>
      </c>
      <c r="AI579" t="b">
        <f>AND(IF(metadata!H579="",FALSE,TRUE),EXACT(metadata!H579,"human-associated habitat"))</f>
        <v>0</v>
      </c>
      <c r="AJ579" t="b">
        <f>AND(IF(metadata!I579="",FALSE,TRUE),OR(EXACT(metadata!I579,"human-associated"),EXACT(metadata!I579,"human-skin"),EXACT(metadata!I579,"human-oral"),EXACT(metadata!I579,"human-gut"),EXACT(metadata!I579,"human-vaginal")))</f>
        <v>0</v>
      </c>
      <c r="AK579" t="b">
        <f>IF(metadata!J579="",FALSE,ISNUMBER(VALUE(metadata!J579)))</f>
        <v>0</v>
      </c>
      <c r="AL579" t="b">
        <f>AND(IF(metadata!K579="",FALSE,TRUE),EXACT(metadata!K579,"cm"))</f>
        <v>0</v>
      </c>
      <c r="AM579" t="b">
        <f>AND(IF(metadata!L579="",FALSE,TRUE),EXACT(metadata!L579,"human"))</f>
        <v>0</v>
      </c>
      <c r="AN579" t="b">
        <f>AND(IF(metadata!M579="",FALSE,TRUE),EXACT(metadata!M579,"Homo sapiens"))</f>
        <v>0</v>
      </c>
      <c r="AO579" t="b">
        <f>AND(IF(metadata!N579="",FALSE,TRUE),EXACT(metadata!N579,"9606"))</f>
        <v>0</v>
      </c>
      <c r="AP579" t="b">
        <f>IF(metadata!O579="",FALSE,TRUE)</f>
        <v>0</v>
      </c>
      <c r="AQ579" t="b">
        <f>IF(metadata!P579="",FALSE,TRUE)</f>
        <v>0</v>
      </c>
      <c r="AR579" t="b">
        <f>IF(metadata!Q579="",FALSE,ISNUMBER(VALUE(metadata!Q579)))</f>
        <v>0</v>
      </c>
      <c r="AS579" t="b">
        <f>AND(IF(metadata!R579="",FALSE,TRUE),EXACT(metadata!R579,"kg"))</f>
        <v>0</v>
      </c>
    </row>
    <row r="580" spans="1:45" x14ac:dyDescent="0.2">
      <c r="A580" s="5" t="str">
        <f ca="1">IF(B580=" "," ",HYPERLINK(CONCATENATE("#metadata!",ADDRESS(INDEX($X$2:$X$1001,MATCH(ROWS($V$2:V580),$V$2:$V$1001,0),0),1)),INDEX($AA$2:$AA$1001,MATCH(ROWS($V$2:V580),$V$2:$V$1001,0),0)))</f>
        <v xml:space="preserve"> </v>
      </c>
      <c r="B580" s="4" t="str">
        <f ca="1">IF(OR(INDEX($W$2:$W$1001,MATCH(ROWS($V$2:V580),$V$2:$V$1001,0),1)&gt;=100000,INDEX($AC$1005:$AS$1005,1,MATCH(COLUMNS($AC$1006:AC1006),$AC$1006:$AS$1006,0))&gt;=100000), " ",IF(INDEX($AC$2:$AS$1001,MATCH(ROWS($V$2:V580),$V$2:$V$1001,0),MATCH(COLUMNS($AC$1006:AC1006),$AC$1006:$AS$1006,0)), HYPERLINK("#",""), HYPERLINK(CONCATENATE("#metadata!", ADDRESS(INDEX($X$2:$X$1001,MATCH(ROWS($V$2:V580),$V$2:$V$1001,0),0), INDEX($AC$1004:$AS$1004,1,MATCH(COLUMNS($AC$1006:AC1006),$AC$1006:$AS$1006,0)))),"Fix")))</f>
        <v xml:space="preserve"> </v>
      </c>
      <c r="C580" s="4" t="str">
        <f ca="1">IF(OR(INDEX($W$2:$W$1001,MATCH(ROWS($V$2:V580),$V$2:$V$1001,0),1)&gt;=100000,INDEX($AC$1005:$AS$1005,1,MATCH(COLUMNS($AC$1006:AD1006),$AC$1006:$AS$1006,0))&gt;=100000), " ",IF(INDEX($AC$2:$AS$1001,MATCH(ROWS($V$2:V580),$V$2:$V$1001,0),MATCH(COLUMNS($AC$1006:AD1006),$AC$1006:$AS$1006,0)), HYPERLINK("#",""), HYPERLINK(CONCATENATE("#metadata!", ADDRESS(INDEX($X$2:$X$1001,MATCH(ROWS($V$2:V580),$V$2:$V$1001,0),0), INDEX($AC$1004:$AS$1004,1,MATCH(COLUMNS($AC$1006:AD1006),$AC$1006:$AS$1006,0)))),"Fix")))</f>
        <v xml:space="preserve"> </v>
      </c>
      <c r="D580" s="4" t="str">
        <f ca="1">IF(OR(INDEX($W$2:$W$1001,MATCH(ROWS($V$2:V580),$V$2:$V$1001,0),1)&gt;=100000,INDEX($AC$1005:$AS$1005,1,MATCH(COLUMNS($AC$1006:AE1006),$AC$1006:$AS$1006,0))&gt;=100000), " ",IF(INDEX($AC$2:$AS$1001,MATCH(ROWS($V$2:V580),$V$2:$V$1001,0),MATCH(COLUMNS($AC$1006:AE1006),$AC$1006:$AS$1006,0)), HYPERLINK("#",""), HYPERLINK(CONCATENATE("#metadata!", ADDRESS(INDEX($X$2:$X$1001,MATCH(ROWS($V$2:V580),$V$2:$V$1001,0),0), INDEX($AC$1004:$AS$1004,1,MATCH(COLUMNS($AC$1006:AE1006),$AC$1006:$AS$1006,0)))),"Fix")))</f>
        <v xml:space="preserve"> </v>
      </c>
      <c r="E580" s="4" t="str">
        <f ca="1">IF(OR(INDEX($W$2:$W$1001,MATCH(ROWS($V$2:V580),$V$2:$V$1001,0),1)&gt;=100000,INDEX($AC$1005:$AS$1005,1,MATCH(COLUMNS($AC$1006:AF1006),$AC$1006:$AS$1006,0))&gt;=100000), " ",IF(INDEX($AC$2:$AS$1001,MATCH(ROWS($V$2:V580),$V$2:$V$1001,0),MATCH(COLUMNS($AC$1006:AF1006),$AC$1006:$AS$1006,0)), HYPERLINK("#",""), HYPERLINK(CONCATENATE("#metadata!", ADDRESS(INDEX($X$2:$X$1001,MATCH(ROWS($V$2:V580),$V$2:$V$1001,0),0), INDEX($AC$1004:$AS$1004,1,MATCH(COLUMNS($AC$1006:AF1006),$AC$1006:$AS$1006,0)))),"Fix")))</f>
        <v xml:space="preserve"> </v>
      </c>
      <c r="F580" s="4" t="str">
        <f ca="1">IF(OR(INDEX($W$2:$W$1001,MATCH(ROWS($V$2:V580),$V$2:$V$1001,0),1)&gt;=100000,INDEX($AC$1005:$AS$1005,1,MATCH(COLUMNS($AC$1006:AG1006),$AC$1006:$AS$1006,0))&gt;=100000), " ",IF(INDEX($AC$2:$AS$1001,MATCH(ROWS($V$2:V580),$V$2:$V$1001,0),MATCH(COLUMNS($AC$1006:AG1006),$AC$1006:$AS$1006,0)), HYPERLINK("#",""), HYPERLINK(CONCATENATE("#metadata!", ADDRESS(INDEX($X$2:$X$1001,MATCH(ROWS($V$2:V580),$V$2:$V$1001,0),0), INDEX($AC$1004:$AS$1004,1,MATCH(COLUMNS($AC$1006:AG1006),$AC$1006:$AS$1006,0)))),"Fix")))</f>
        <v xml:space="preserve"> </v>
      </c>
      <c r="G580" s="4" t="str">
        <f ca="1">IF(OR(INDEX($W$2:$W$1001,MATCH(ROWS($V$2:V580),$V$2:$V$1001,0),1)&gt;=100000,INDEX($AC$1005:$AS$1005,1,MATCH(COLUMNS($AC$1006:AH1006),$AC$1006:$AS$1006,0))&gt;=100000), " ",IF(INDEX($AC$2:$AS$1001,MATCH(ROWS($V$2:V580),$V$2:$V$1001,0),MATCH(COLUMNS($AC$1006:AH1006),$AC$1006:$AS$1006,0)), HYPERLINK("#",""), HYPERLINK(CONCATENATE("#metadata!", ADDRESS(INDEX($X$2:$X$1001,MATCH(ROWS($V$2:V580),$V$2:$V$1001,0),0), INDEX($AC$1004:$AS$1004,1,MATCH(COLUMNS($AC$1006:AH1006),$AC$1006:$AS$1006,0)))),"Fix")))</f>
        <v xml:space="preserve"> </v>
      </c>
      <c r="H580" s="4" t="str">
        <f ca="1">IF(OR(INDEX($W$2:$W$1001,MATCH(ROWS($V$2:V580),$V$2:$V$1001,0),1)&gt;=100000,INDEX($AC$1005:$AS$1005,1,MATCH(COLUMNS($AC$1006:AI1006),$AC$1006:$AS$1006,0))&gt;=100000), " ",IF(INDEX($AC$2:$AS$1001,MATCH(ROWS($V$2:V580),$V$2:$V$1001,0),MATCH(COLUMNS($AC$1006:AI1006),$AC$1006:$AS$1006,0)), HYPERLINK("#",""), HYPERLINK(CONCATENATE("#metadata!", ADDRESS(INDEX($X$2:$X$1001,MATCH(ROWS($V$2:V580),$V$2:$V$1001,0),0), INDEX($AC$1004:$AS$1004,1,MATCH(COLUMNS($AC$1006:AI1006),$AC$1006:$AS$1006,0)))),"Fix")))</f>
        <v xml:space="preserve"> </v>
      </c>
      <c r="I580" s="4" t="str">
        <f ca="1">IF(OR(INDEX($W$2:$W$1001,MATCH(ROWS($V$2:V580),$V$2:$V$1001,0),1)&gt;=100000,INDEX($AC$1005:$AS$1005,1,MATCH(COLUMNS($AC$1006:AJ1006),$AC$1006:$AS$1006,0))&gt;=100000), " ",IF(INDEX($AC$2:$AS$1001,MATCH(ROWS($V$2:V580),$V$2:$V$1001,0),MATCH(COLUMNS($AC$1006:AJ1006),$AC$1006:$AS$1006,0)), HYPERLINK("#",""), HYPERLINK(CONCATENATE("#metadata!", ADDRESS(INDEX($X$2:$X$1001,MATCH(ROWS($V$2:V580),$V$2:$V$1001,0),0), INDEX($AC$1004:$AS$1004,1,MATCH(COLUMNS($AC$1006:AJ1006),$AC$1006:$AS$1006,0)))),"Fix")))</f>
        <v xml:space="preserve"> </v>
      </c>
      <c r="J580" s="4" t="str">
        <f ca="1">IF(OR(INDEX($W$2:$W$1001,MATCH(ROWS($V$2:V580),$V$2:$V$1001,0),1)&gt;=100000,INDEX($AC$1005:$AS$1005,1,MATCH(COLUMNS($AC$1006:AK1006),$AC$1006:$AS$1006,0))&gt;=100000), " ",IF(INDEX($AC$2:$AS$1001,MATCH(ROWS($V$2:V580),$V$2:$V$1001,0),MATCH(COLUMNS($AC$1006:AK1006),$AC$1006:$AS$1006,0)), HYPERLINK("#",""), HYPERLINK(CONCATENATE("#metadata!", ADDRESS(INDEX($X$2:$X$1001,MATCH(ROWS($V$2:V580),$V$2:$V$1001,0),0), INDEX($AC$1004:$AS$1004,1,MATCH(COLUMNS($AC$1006:AK1006),$AC$1006:$AS$1006,0)))),"Fix")))</f>
        <v xml:space="preserve"> </v>
      </c>
      <c r="K580" s="4" t="str">
        <f ca="1">IF(OR(INDEX($W$2:$W$1001,MATCH(ROWS($V$2:V580),$V$2:$V$1001,0),1)&gt;=100000,INDEX($AC$1005:$AS$1005,1,MATCH(COLUMNS($AC$1006:AL1006),$AC$1006:$AS$1006,0))&gt;=100000), " ",IF(INDEX($AC$2:$AS$1001,MATCH(ROWS($V$2:V580),$V$2:$V$1001,0),MATCH(COLUMNS($AC$1006:AL1006),$AC$1006:$AS$1006,0)), HYPERLINK("#",""), HYPERLINK(CONCATENATE("#metadata!", ADDRESS(INDEX($X$2:$X$1001,MATCH(ROWS($V$2:V580),$V$2:$V$1001,0),0), INDEX($AC$1004:$AS$1004,1,MATCH(COLUMNS($AC$1006:AL1006),$AC$1006:$AS$1006,0)))),"Fix")))</f>
        <v xml:space="preserve"> </v>
      </c>
      <c r="L580" s="4" t="str">
        <f ca="1">IF(OR(INDEX($W$2:$W$1001,MATCH(ROWS($V$2:V580),$V$2:$V$1001,0),1)&gt;=100000,INDEX($AC$1005:$AS$1005,1,MATCH(COLUMNS($AC$1006:AM1006),$AC$1006:$AS$1006,0))&gt;=100000), " ",IF(INDEX($AC$2:$AS$1001,MATCH(ROWS($V$2:V580),$V$2:$V$1001,0),MATCH(COLUMNS($AC$1006:AM1006),$AC$1006:$AS$1006,0)), HYPERLINK("#",""), HYPERLINK(CONCATENATE("#metadata!", ADDRESS(INDEX($X$2:$X$1001,MATCH(ROWS($V$2:V580),$V$2:$V$1001,0),0), INDEX($AC$1004:$AS$1004,1,MATCH(COLUMNS($AC$1006:AM1006),$AC$1006:$AS$1006,0)))),"Fix")))</f>
        <v xml:space="preserve"> </v>
      </c>
      <c r="M580" s="4" t="str">
        <f ca="1">IF(OR(INDEX($W$2:$W$1001,MATCH(ROWS($V$2:V580),$V$2:$V$1001,0),1)&gt;=100000,INDEX($AC$1005:$AS$1005,1,MATCH(COLUMNS($AC$1006:AN1006),$AC$1006:$AS$1006,0))&gt;=100000), " ",IF(INDEX($AC$2:$AS$1001,MATCH(ROWS($V$2:V580),$V$2:$V$1001,0),MATCH(COLUMNS($AC$1006:AN1006),$AC$1006:$AS$1006,0)), HYPERLINK("#",""), HYPERLINK(CONCATENATE("#metadata!", ADDRESS(INDEX($X$2:$X$1001,MATCH(ROWS($V$2:V580),$V$2:$V$1001,0),0), INDEX($AC$1004:$AS$1004,1,MATCH(COLUMNS($AC$1006:AN1006),$AC$1006:$AS$1006,0)))),"Fix")))</f>
        <v xml:space="preserve"> </v>
      </c>
      <c r="N580" s="4" t="str">
        <f ca="1">IF(OR(INDEX($W$2:$W$1001,MATCH(ROWS($V$2:V580),$V$2:$V$1001,0),1)&gt;=100000,INDEX($AC$1005:$AS$1005,1,MATCH(COLUMNS($AC$1006:AO1006),$AC$1006:$AS$1006,0))&gt;=100000), " ",IF(INDEX($AC$2:$AS$1001,MATCH(ROWS($V$2:V580),$V$2:$V$1001,0),MATCH(COLUMNS($AC$1006:AO1006),$AC$1006:$AS$1006,0)), HYPERLINK("#",""), HYPERLINK(CONCATENATE("#metadata!", ADDRESS(INDEX($X$2:$X$1001,MATCH(ROWS($V$2:V580),$V$2:$V$1001,0),0), INDEX($AC$1004:$AS$1004,1,MATCH(COLUMNS($AC$1006:AO1006),$AC$1006:$AS$1006,0)))),"Fix")))</f>
        <v xml:space="preserve"> </v>
      </c>
      <c r="O580" s="4" t="str">
        <f ca="1">IF(OR(INDEX($W$2:$W$1001,MATCH(ROWS($V$2:V580),$V$2:$V$1001,0),1)&gt;=100000,INDEX($AC$1005:$AS$1005,1,MATCH(COLUMNS($AC$1006:AP1006),$AC$1006:$AS$1006,0))&gt;=100000), " ",IF(INDEX($AC$2:$AS$1001,MATCH(ROWS($V$2:V580),$V$2:$V$1001,0),MATCH(COLUMNS($AC$1006:AP1006),$AC$1006:$AS$1006,0)), HYPERLINK("#",""), HYPERLINK(CONCATENATE("#metadata!", ADDRESS(INDEX($X$2:$X$1001,MATCH(ROWS($V$2:V580),$V$2:$V$1001,0),0), INDEX($AC$1004:$AS$1004,1,MATCH(COLUMNS($AC$1006:AP1006),$AC$1006:$AS$1006,0)))),"Fix")))</f>
        <v xml:space="preserve"> </v>
      </c>
      <c r="P580" s="4" t="str">
        <f ca="1">IF(OR(INDEX($W$2:$W$1001,MATCH(ROWS($V$2:V580),$V$2:$V$1001,0),1)&gt;=100000,INDEX($AC$1005:$AS$1005,1,MATCH(COLUMNS($AC$1006:AQ1006),$AC$1006:$AS$1006,0))&gt;=100000), " ",IF(INDEX($AC$2:$AS$1001,MATCH(ROWS($V$2:V580),$V$2:$V$1001,0),MATCH(COLUMNS($AC$1006:AQ1006),$AC$1006:$AS$1006,0)), HYPERLINK("#",""), HYPERLINK(CONCATENATE("#metadata!", ADDRESS(INDEX($X$2:$X$1001,MATCH(ROWS($V$2:V580),$V$2:$V$1001,0),0), INDEX($AC$1004:$AS$1004,1,MATCH(COLUMNS($AC$1006:AQ1006),$AC$1006:$AS$1006,0)))),"Fix")))</f>
        <v xml:space="preserve"> </v>
      </c>
      <c r="Q580" s="4" t="str">
        <f ca="1">IF(OR(INDEX($W$2:$W$1001,MATCH(ROWS($V$2:V580),$V$2:$V$1001,0),1)&gt;=100000,INDEX($AC$1005:$AS$1005,1,MATCH(COLUMNS($AC$1006:AR1006),$AC$1006:$AS$1006,0))&gt;=100000), " ",IF(INDEX($AC$2:$AS$1001,MATCH(ROWS($V$2:V580),$V$2:$V$1001,0),MATCH(COLUMNS($AC$1006:AR1006),$AC$1006:$AS$1006,0)), HYPERLINK("#",""), HYPERLINK(CONCATENATE("#metadata!", ADDRESS(INDEX($X$2:$X$1001,MATCH(ROWS($V$2:V580),$V$2:$V$1001,0),0), INDEX($AC$1004:$AS$1004,1,MATCH(COLUMNS($AC$1006:AR1006),$AC$1006:$AS$1006,0)))),"Fix")))</f>
        <v xml:space="preserve"> </v>
      </c>
      <c r="R580" s="4" t="str">
        <f ca="1">IF(OR(INDEX($W$2:$W$1001,MATCH(ROWS($V$2:V580),$V$2:$V$1001,0),1)&gt;=100000,INDEX($AC$1005:$AS$1005,1,MATCH(COLUMNS($AC$1006:AS1006),$AC$1006:$AS$1006,0))&gt;=100000), " ",IF(INDEX($AC$2:$AS$1001,MATCH(ROWS($V$2:V580),$V$2:$V$1001,0),MATCH(COLUMNS($AC$1006:AS1006),$AC$1006:$AS$1006,0)), HYPERLINK("#",""), HYPERLINK(CONCATENATE("#metadata!", ADDRESS(INDEX($X$2:$X$1001,MATCH(ROWS($V$2:V580),$V$2:$V$1001,0),0), INDEX($AC$1004:$AS$1004,1,MATCH(COLUMNS($AC$1006:AS1006),$AC$1006:$AS$1006,0)))),"Fix")))</f>
        <v xml:space="preserve"> </v>
      </c>
      <c r="V580">
        <v>579</v>
      </c>
      <c r="W580">
        <v>100580</v>
      </c>
      <c r="X580">
        <v>580</v>
      </c>
      <c r="Y580" t="b">
        <f t="shared" si="9"/>
        <v>1</v>
      </c>
      <c r="Z580" t="b">
        <f>COUNTBLANK(metadata!B580:R580)=COLUMNS(metadata!B580:R580)</f>
        <v>1</v>
      </c>
      <c r="AA580" t="str">
        <v/>
      </c>
      <c r="AC580" t="b">
        <f ca="1"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AD580" t="b">
        <f>IF(metadata!C580="",FALSE,ISNUMBER(VALUE(metadata!C580)))</f>
        <v>0</v>
      </c>
      <c r="AE580" t="b">
        <f>AND(IF(metadata!D580="",FALSE,TRUE),EXACT(metadata!D580,"years"))</f>
        <v>0</v>
      </c>
      <c r="AF580" t="b">
        <f>OR(AND(IF(metadata!E580="",FALSE,TRUE),OR(EXACT(metadata!E580,"not applicable"),EXACT(metadata!E580,"missing: not collected"),EXACT(metadata!E580,"missing: not provided"),EXACT(metadata!E580,"missing: restricted access"))),AND(IF(metadata!E580="",FALSE,ISNUMBER(VALUE(metadata!E580))),metadata!E580&gt;0))</f>
        <v>0</v>
      </c>
      <c r="AG580" t="b">
        <f>AND(IF(metadata!F580="",FALSE,TRUE),EXACT(metadata!F580,"Not applicable"))</f>
        <v>0</v>
      </c>
      <c r="AH580" t="b">
        <f>AND(IF(metadata!G580="",FALSE,TRUE),EXACT(metadata!G580,"urban biome"))</f>
        <v>0</v>
      </c>
      <c r="AI580" t="b">
        <f>AND(IF(metadata!H580="",FALSE,TRUE),EXACT(metadata!H580,"human-associated habitat"))</f>
        <v>0</v>
      </c>
      <c r="AJ580" t="b">
        <f>AND(IF(metadata!I580="",FALSE,TRUE),OR(EXACT(metadata!I580,"human-associated"),EXACT(metadata!I580,"human-skin"),EXACT(metadata!I580,"human-oral"),EXACT(metadata!I580,"human-gut"),EXACT(metadata!I580,"human-vaginal")))</f>
        <v>0</v>
      </c>
      <c r="AK580" t="b">
        <f>IF(metadata!J580="",FALSE,ISNUMBER(VALUE(metadata!J580)))</f>
        <v>0</v>
      </c>
      <c r="AL580" t="b">
        <f>AND(IF(metadata!K580="",FALSE,TRUE),EXACT(metadata!K580,"cm"))</f>
        <v>0</v>
      </c>
      <c r="AM580" t="b">
        <f>AND(IF(metadata!L580="",FALSE,TRUE),EXACT(metadata!L580,"human"))</f>
        <v>0</v>
      </c>
      <c r="AN580" t="b">
        <f>AND(IF(metadata!M580="",FALSE,TRUE),EXACT(metadata!M580,"Homo sapiens"))</f>
        <v>0</v>
      </c>
      <c r="AO580" t="b">
        <f>AND(IF(metadata!N580="",FALSE,TRUE),EXACT(metadata!N580,"9606"))</f>
        <v>0</v>
      </c>
      <c r="AP580" t="b">
        <f>IF(metadata!O580="",FALSE,TRUE)</f>
        <v>0</v>
      </c>
      <c r="AQ580" t="b">
        <f>IF(metadata!P580="",FALSE,TRUE)</f>
        <v>0</v>
      </c>
      <c r="AR580" t="b">
        <f>IF(metadata!Q580="",FALSE,ISNUMBER(VALUE(metadata!Q580)))</f>
        <v>0</v>
      </c>
      <c r="AS580" t="b">
        <f>AND(IF(metadata!R580="",FALSE,TRUE),EXACT(metadata!R580,"kg"))</f>
        <v>0</v>
      </c>
    </row>
    <row r="581" spans="1:45" x14ac:dyDescent="0.2">
      <c r="A581" s="5" t="str">
        <f ca="1">IF(B581=" "," ",HYPERLINK(CONCATENATE("#metadata!",ADDRESS(INDEX($X$2:$X$1001,MATCH(ROWS($V$2:V581),$V$2:$V$1001,0),0),1)),INDEX($AA$2:$AA$1001,MATCH(ROWS($V$2:V581),$V$2:$V$1001,0),0)))</f>
        <v xml:space="preserve"> </v>
      </c>
      <c r="B581" s="4" t="str">
        <f ca="1">IF(OR(INDEX($W$2:$W$1001,MATCH(ROWS($V$2:V581),$V$2:$V$1001,0),1)&gt;=100000,INDEX($AC$1005:$AS$1005,1,MATCH(COLUMNS($AC$1006:AC1006),$AC$1006:$AS$1006,0))&gt;=100000), " ",IF(INDEX($AC$2:$AS$1001,MATCH(ROWS($V$2:V581),$V$2:$V$1001,0),MATCH(COLUMNS($AC$1006:AC1006),$AC$1006:$AS$1006,0)), HYPERLINK("#",""), HYPERLINK(CONCATENATE("#metadata!", ADDRESS(INDEX($X$2:$X$1001,MATCH(ROWS($V$2:V581),$V$2:$V$1001,0),0), INDEX($AC$1004:$AS$1004,1,MATCH(COLUMNS($AC$1006:AC1006),$AC$1006:$AS$1006,0)))),"Fix")))</f>
        <v xml:space="preserve"> </v>
      </c>
      <c r="C581" s="4" t="str">
        <f ca="1">IF(OR(INDEX($W$2:$W$1001,MATCH(ROWS($V$2:V581),$V$2:$V$1001,0),1)&gt;=100000,INDEX($AC$1005:$AS$1005,1,MATCH(COLUMNS($AC$1006:AD1006),$AC$1006:$AS$1006,0))&gt;=100000), " ",IF(INDEX($AC$2:$AS$1001,MATCH(ROWS($V$2:V581),$V$2:$V$1001,0),MATCH(COLUMNS($AC$1006:AD1006),$AC$1006:$AS$1006,0)), HYPERLINK("#",""), HYPERLINK(CONCATENATE("#metadata!", ADDRESS(INDEX($X$2:$X$1001,MATCH(ROWS($V$2:V581),$V$2:$V$1001,0),0), INDEX($AC$1004:$AS$1004,1,MATCH(COLUMNS($AC$1006:AD1006),$AC$1006:$AS$1006,0)))),"Fix")))</f>
        <v xml:space="preserve"> </v>
      </c>
      <c r="D581" s="4" t="str">
        <f ca="1">IF(OR(INDEX($W$2:$W$1001,MATCH(ROWS($V$2:V581),$V$2:$V$1001,0),1)&gt;=100000,INDEX($AC$1005:$AS$1005,1,MATCH(COLUMNS($AC$1006:AE1006),$AC$1006:$AS$1006,0))&gt;=100000), " ",IF(INDEX($AC$2:$AS$1001,MATCH(ROWS($V$2:V581),$V$2:$V$1001,0),MATCH(COLUMNS($AC$1006:AE1006),$AC$1006:$AS$1006,0)), HYPERLINK("#",""), HYPERLINK(CONCATENATE("#metadata!", ADDRESS(INDEX($X$2:$X$1001,MATCH(ROWS($V$2:V581),$V$2:$V$1001,0),0), INDEX($AC$1004:$AS$1004,1,MATCH(COLUMNS($AC$1006:AE1006),$AC$1006:$AS$1006,0)))),"Fix")))</f>
        <v xml:space="preserve"> </v>
      </c>
      <c r="E581" s="4" t="str">
        <f ca="1">IF(OR(INDEX($W$2:$W$1001,MATCH(ROWS($V$2:V581),$V$2:$V$1001,0),1)&gt;=100000,INDEX($AC$1005:$AS$1005,1,MATCH(COLUMNS($AC$1006:AF1006),$AC$1006:$AS$1006,0))&gt;=100000), " ",IF(INDEX($AC$2:$AS$1001,MATCH(ROWS($V$2:V581),$V$2:$V$1001,0),MATCH(COLUMNS($AC$1006:AF1006),$AC$1006:$AS$1006,0)), HYPERLINK("#",""), HYPERLINK(CONCATENATE("#metadata!", ADDRESS(INDEX($X$2:$X$1001,MATCH(ROWS($V$2:V581),$V$2:$V$1001,0),0), INDEX($AC$1004:$AS$1004,1,MATCH(COLUMNS($AC$1006:AF1006),$AC$1006:$AS$1006,0)))),"Fix")))</f>
        <v xml:space="preserve"> </v>
      </c>
      <c r="F581" s="4" t="str">
        <f ca="1">IF(OR(INDEX($W$2:$W$1001,MATCH(ROWS($V$2:V581),$V$2:$V$1001,0),1)&gt;=100000,INDEX($AC$1005:$AS$1005,1,MATCH(COLUMNS($AC$1006:AG1006),$AC$1006:$AS$1006,0))&gt;=100000), " ",IF(INDEX($AC$2:$AS$1001,MATCH(ROWS($V$2:V581),$V$2:$V$1001,0),MATCH(COLUMNS($AC$1006:AG1006),$AC$1006:$AS$1006,0)), HYPERLINK("#",""), HYPERLINK(CONCATENATE("#metadata!", ADDRESS(INDEX($X$2:$X$1001,MATCH(ROWS($V$2:V581),$V$2:$V$1001,0),0), INDEX($AC$1004:$AS$1004,1,MATCH(COLUMNS($AC$1006:AG1006),$AC$1006:$AS$1006,0)))),"Fix")))</f>
        <v xml:space="preserve"> </v>
      </c>
      <c r="G581" s="4" t="str">
        <f ca="1">IF(OR(INDEX($W$2:$W$1001,MATCH(ROWS($V$2:V581),$V$2:$V$1001,0),1)&gt;=100000,INDEX($AC$1005:$AS$1005,1,MATCH(COLUMNS($AC$1006:AH1006),$AC$1006:$AS$1006,0))&gt;=100000), " ",IF(INDEX($AC$2:$AS$1001,MATCH(ROWS($V$2:V581),$V$2:$V$1001,0),MATCH(COLUMNS($AC$1006:AH1006),$AC$1006:$AS$1006,0)), HYPERLINK("#",""), HYPERLINK(CONCATENATE("#metadata!", ADDRESS(INDEX($X$2:$X$1001,MATCH(ROWS($V$2:V581),$V$2:$V$1001,0),0), INDEX($AC$1004:$AS$1004,1,MATCH(COLUMNS($AC$1006:AH1006),$AC$1006:$AS$1006,0)))),"Fix")))</f>
        <v xml:space="preserve"> </v>
      </c>
      <c r="H581" s="4" t="str">
        <f ca="1">IF(OR(INDEX($W$2:$W$1001,MATCH(ROWS($V$2:V581),$V$2:$V$1001,0),1)&gt;=100000,INDEX($AC$1005:$AS$1005,1,MATCH(COLUMNS($AC$1006:AI1006),$AC$1006:$AS$1006,0))&gt;=100000), " ",IF(INDEX($AC$2:$AS$1001,MATCH(ROWS($V$2:V581),$V$2:$V$1001,0),MATCH(COLUMNS($AC$1006:AI1006),$AC$1006:$AS$1006,0)), HYPERLINK("#",""), HYPERLINK(CONCATENATE("#metadata!", ADDRESS(INDEX($X$2:$X$1001,MATCH(ROWS($V$2:V581),$V$2:$V$1001,0),0), INDEX($AC$1004:$AS$1004,1,MATCH(COLUMNS($AC$1006:AI1006),$AC$1006:$AS$1006,0)))),"Fix")))</f>
        <v xml:space="preserve"> </v>
      </c>
      <c r="I581" s="4" t="str">
        <f ca="1">IF(OR(INDEX($W$2:$W$1001,MATCH(ROWS($V$2:V581),$V$2:$V$1001,0),1)&gt;=100000,INDEX($AC$1005:$AS$1005,1,MATCH(COLUMNS($AC$1006:AJ1006),$AC$1006:$AS$1006,0))&gt;=100000), " ",IF(INDEX($AC$2:$AS$1001,MATCH(ROWS($V$2:V581),$V$2:$V$1001,0),MATCH(COLUMNS($AC$1006:AJ1006),$AC$1006:$AS$1006,0)), HYPERLINK("#",""), HYPERLINK(CONCATENATE("#metadata!", ADDRESS(INDEX($X$2:$X$1001,MATCH(ROWS($V$2:V581),$V$2:$V$1001,0),0), INDEX($AC$1004:$AS$1004,1,MATCH(COLUMNS($AC$1006:AJ1006),$AC$1006:$AS$1006,0)))),"Fix")))</f>
        <v xml:space="preserve"> </v>
      </c>
      <c r="J581" s="4" t="str">
        <f ca="1">IF(OR(INDEX($W$2:$W$1001,MATCH(ROWS($V$2:V581),$V$2:$V$1001,0),1)&gt;=100000,INDEX($AC$1005:$AS$1005,1,MATCH(COLUMNS($AC$1006:AK1006),$AC$1006:$AS$1006,0))&gt;=100000), " ",IF(INDEX($AC$2:$AS$1001,MATCH(ROWS($V$2:V581),$V$2:$V$1001,0),MATCH(COLUMNS($AC$1006:AK1006),$AC$1006:$AS$1006,0)), HYPERLINK("#",""), HYPERLINK(CONCATENATE("#metadata!", ADDRESS(INDEX($X$2:$X$1001,MATCH(ROWS($V$2:V581),$V$2:$V$1001,0),0), INDEX($AC$1004:$AS$1004,1,MATCH(COLUMNS($AC$1006:AK1006),$AC$1006:$AS$1006,0)))),"Fix")))</f>
        <v xml:space="preserve"> </v>
      </c>
      <c r="K581" s="4" t="str">
        <f ca="1">IF(OR(INDEX($W$2:$W$1001,MATCH(ROWS($V$2:V581),$V$2:$V$1001,0),1)&gt;=100000,INDEX($AC$1005:$AS$1005,1,MATCH(COLUMNS($AC$1006:AL1006),$AC$1006:$AS$1006,0))&gt;=100000), " ",IF(INDEX($AC$2:$AS$1001,MATCH(ROWS($V$2:V581),$V$2:$V$1001,0),MATCH(COLUMNS($AC$1006:AL1006),$AC$1006:$AS$1006,0)), HYPERLINK("#",""), HYPERLINK(CONCATENATE("#metadata!", ADDRESS(INDEX($X$2:$X$1001,MATCH(ROWS($V$2:V581),$V$2:$V$1001,0),0), INDEX($AC$1004:$AS$1004,1,MATCH(COLUMNS($AC$1006:AL1006),$AC$1006:$AS$1006,0)))),"Fix")))</f>
        <v xml:space="preserve"> </v>
      </c>
      <c r="L581" s="4" t="str">
        <f ca="1">IF(OR(INDEX($W$2:$W$1001,MATCH(ROWS($V$2:V581),$V$2:$V$1001,0),1)&gt;=100000,INDEX($AC$1005:$AS$1005,1,MATCH(COLUMNS($AC$1006:AM1006),$AC$1006:$AS$1006,0))&gt;=100000), " ",IF(INDEX($AC$2:$AS$1001,MATCH(ROWS($V$2:V581),$V$2:$V$1001,0),MATCH(COLUMNS($AC$1006:AM1006),$AC$1006:$AS$1006,0)), HYPERLINK("#",""), HYPERLINK(CONCATENATE("#metadata!", ADDRESS(INDEX($X$2:$X$1001,MATCH(ROWS($V$2:V581),$V$2:$V$1001,0),0), INDEX($AC$1004:$AS$1004,1,MATCH(COLUMNS($AC$1006:AM1006),$AC$1006:$AS$1006,0)))),"Fix")))</f>
        <v xml:space="preserve"> </v>
      </c>
      <c r="M581" s="4" t="str">
        <f ca="1">IF(OR(INDEX($W$2:$W$1001,MATCH(ROWS($V$2:V581),$V$2:$V$1001,0),1)&gt;=100000,INDEX($AC$1005:$AS$1005,1,MATCH(COLUMNS($AC$1006:AN1006),$AC$1006:$AS$1006,0))&gt;=100000), " ",IF(INDEX($AC$2:$AS$1001,MATCH(ROWS($V$2:V581),$V$2:$V$1001,0),MATCH(COLUMNS($AC$1006:AN1006),$AC$1006:$AS$1006,0)), HYPERLINK("#",""), HYPERLINK(CONCATENATE("#metadata!", ADDRESS(INDEX($X$2:$X$1001,MATCH(ROWS($V$2:V581),$V$2:$V$1001,0),0), INDEX($AC$1004:$AS$1004,1,MATCH(COLUMNS($AC$1006:AN1006),$AC$1006:$AS$1006,0)))),"Fix")))</f>
        <v xml:space="preserve"> </v>
      </c>
      <c r="N581" s="4" t="str">
        <f ca="1">IF(OR(INDEX($W$2:$W$1001,MATCH(ROWS($V$2:V581),$V$2:$V$1001,0),1)&gt;=100000,INDEX($AC$1005:$AS$1005,1,MATCH(COLUMNS($AC$1006:AO1006),$AC$1006:$AS$1006,0))&gt;=100000), " ",IF(INDEX($AC$2:$AS$1001,MATCH(ROWS($V$2:V581),$V$2:$V$1001,0),MATCH(COLUMNS($AC$1006:AO1006),$AC$1006:$AS$1006,0)), HYPERLINK("#",""), HYPERLINK(CONCATENATE("#metadata!", ADDRESS(INDEX($X$2:$X$1001,MATCH(ROWS($V$2:V581),$V$2:$V$1001,0),0), INDEX($AC$1004:$AS$1004,1,MATCH(COLUMNS($AC$1006:AO1006),$AC$1006:$AS$1006,0)))),"Fix")))</f>
        <v xml:space="preserve"> </v>
      </c>
      <c r="O581" s="4" t="str">
        <f ca="1">IF(OR(INDEX($W$2:$W$1001,MATCH(ROWS($V$2:V581),$V$2:$V$1001,0),1)&gt;=100000,INDEX($AC$1005:$AS$1005,1,MATCH(COLUMNS($AC$1006:AP1006),$AC$1006:$AS$1006,0))&gt;=100000), " ",IF(INDEX($AC$2:$AS$1001,MATCH(ROWS($V$2:V581),$V$2:$V$1001,0),MATCH(COLUMNS($AC$1006:AP1006),$AC$1006:$AS$1006,0)), HYPERLINK("#",""), HYPERLINK(CONCATENATE("#metadata!", ADDRESS(INDEX($X$2:$X$1001,MATCH(ROWS($V$2:V581),$V$2:$V$1001,0),0), INDEX($AC$1004:$AS$1004,1,MATCH(COLUMNS($AC$1006:AP1006),$AC$1006:$AS$1006,0)))),"Fix")))</f>
        <v xml:space="preserve"> </v>
      </c>
      <c r="P581" s="4" t="str">
        <f ca="1">IF(OR(INDEX($W$2:$W$1001,MATCH(ROWS($V$2:V581),$V$2:$V$1001,0),1)&gt;=100000,INDEX($AC$1005:$AS$1005,1,MATCH(COLUMNS($AC$1006:AQ1006),$AC$1006:$AS$1006,0))&gt;=100000), " ",IF(INDEX($AC$2:$AS$1001,MATCH(ROWS($V$2:V581),$V$2:$V$1001,0),MATCH(COLUMNS($AC$1006:AQ1006),$AC$1006:$AS$1006,0)), HYPERLINK("#",""), HYPERLINK(CONCATENATE("#metadata!", ADDRESS(INDEX($X$2:$X$1001,MATCH(ROWS($V$2:V581),$V$2:$V$1001,0),0), INDEX($AC$1004:$AS$1004,1,MATCH(COLUMNS($AC$1006:AQ1006),$AC$1006:$AS$1006,0)))),"Fix")))</f>
        <v xml:space="preserve"> </v>
      </c>
      <c r="Q581" s="4" t="str">
        <f ca="1">IF(OR(INDEX($W$2:$W$1001,MATCH(ROWS($V$2:V581),$V$2:$V$1001,0),1)&gt;=100000,INDEX($AC$1005:$AS$1005,1,MATCH(COLUMNS($AC$1006:AR1006),$AC$1006:$AS$1006,0))&gt;=100000), " ",IF(INDEX($AC$2:$AS$1001,MATCH(ROWS($V$2:V581),$V$2:$V$1001,0),MATCH(COLUMNS($AC$1006:AR1006),$AC$1006:$AS$1006,0)), HYPERLINK("#",""), HYPERLINK(CONCATENATE("#metadata!", ADDRESS(INDEX($X$2:$X$1001,MATCH(ROWS($V$2:V581),$V$2:$V$1001,0),0), INDEX($AC$1004:$AS$1004,1,MATCH(COLUMNS($AC$1006:AR1006),$AC$1006:$AS$1006,0)))),"Fix")))</f>
        <v xml:space="preserve"> </v>
      </c>
      <c r="R581" s="4" t="str">
        <f ca="1">IF(OR(INDEX($W$2:$W$1001,MATCH(ROWS($V$2:V581),$V$2:$V$1001,0),1)&gt;=100000,INDEX($AC$1005:$AS$1005,1,MATCH(COLUMNS($AC$1006:AS1006),$AC$1006:$AS$1006,0))&gt;=100000), " ",IF(INDEX($AC$2:$AS$1001,MATCH(ROWS($V$2:V581),$V$2:$V$1001,0),MATCH(COLUMNS($AC$1006:AS1006),$AC$1006:$AS$1006,0)), HYPERLINK("#",""), HYPERLINK(CONCATENATE("#metadata!", ADDRESS(INDEX($X$2:$X$1001,MATCH(ROWS($V$2:V581),$V$2:$V$1001,0),0), INDEX($AC$1004:$AS$1004,1,MATCH(COLUMNS($AC$1006:AS1006),$AC$1006:$AS$1006,0)))),"Fix")))</f>
        <v xml:space="preserve"> </v>
      </c>
      <c r="V581">
        <v>580</v>
      </c>
      <c r="W581">
        <v>100581</v>
      </c>
      <c r="X581">
        <v>581</v>
      </c>
      <c r="Y581" t="b">
        <f t="shared" si="9"/>
        <v>1</v>
      </c>
      <c r="Z581" t="b">
        <f>COUNTBLANK(metadata!B581:R581)=COLUMNS(metadata!B581:R581)</f>
        <v>1</v>
      </c>
      <c r="AA581" t="str">
        <v/>
      </c>
      <c r="AC581" t="b">
        <f ca="1"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AD581" t="b">
        <f>IF(metadata!C581="",FALSE,ISNUMBER(VALUE(metadata!C581)))</f>
        <v>0</v>
      </c>
      <c r="AE581" t="b">
        <f>AND(IF(metadata!D581="",FALSE,TRUE),EXACT(metadata!D581,"years"))</f>
        <v>0</v>
      </c>
      <c r="AF581" t="b">
        <f>OR(AND(IF(metadata!E581="",FALSE,TRUE),OR(EXACT(metadata!E581,"not applicable"),EXACT(metadata!E581,"missing: not collected"),EXACT(metadata!E581,"missing: not provided"),EXACT(metadata!E581,"missing: restricted access"))),AND(IF(metadata!E581="",FALSE,ISNUMBER(VALUE(metadata!E581))),metadata!E581&gt;0))</f>
        <v>0</v>
      </c>
      <c r="AG581" t="b">
        <f>AND(IF(metadata!F581="",FALSE,TRUE),EXACT(metadata!F581,"Not applicable"))</f>
        <v>0</v>
      </c>
      <c r="AH581" t="b">
        <f>AND(IF(metadata!G581="",FALSE,TRUE),EXACT(metadata!G581,"urban biome"))</f>
        <v>0</v>
      </c>
      <c r="AI581" t="b">
        <f>AND(IF(metadata!H581="",FALSE,TRUE),EXACT(metadata!H581,"human-associated habitat"))</f>
        <v>0</v>
      </c>
      <c r="AJ581" t="b">
        <f>AND(IF(metadata!I581="",FALSE,TRUE),OR(EXACT(metadata!I581,"human-associated"),EXACT(metadata!I581,"human-skin"),EXACT(metadata!I581,"human-oral"),EXACT(metadata!I581,"human-gut"),EXACT(metadata!I581,"human-vaginal")))</f>
        <v>0</v>
      </c>
      <c r="AK581" t="b">
        <f>IF(metadata!J581="",FALSE,ISNUMBER(VALUE(metadata!J581)))</f>
        <v>0</v>
      </c>
      <c r="AL581" t="b">
        <f>AND(IF(metadata!K581="",FALSE,TRUE),EXACT(metadata!K581,"cm"))</f>
        <v>0</v>
      </c>
      <c r="AM581" t="b">
        <f>AND(IF(metadata!L581="",FALSE,TRUE),EXACT(metadata!L581,"human"))</f>
        <v>0</v>
      </c>
      <c r="AN581" t="b">
        <f>AND(IF(metadata!M581="",FALSE,TRUE),EXACT(metadata!M581,"Homo sapiens"))</f>
        <v>0</v>
      </c>
      <c r="AO581" t="b">
        <f>AND(IF(metadata!N581="",FALSE,TRUE),EXACT(metadata!N581,"9606"))</f>
        <v>0</v>
      </c>
      <c r="AP581" t="b">
        <f>IF(metadata!O581="",FALSE,TRUE)</f>
        <v>0</v>
      </c>
      <c r="AQ581" t="b">
        <f>IF(metadata!P581="",FALSE,TRUE)</f>
        <v>0</v>
      </c>
      <c r="AR581" t="b">
        <f>IF(metadata!Q581="",FALSE,ISNUMBER(VALUE(metadata!Q581)))</f>
        <v>0</v>
      </c>
      <c r="AS581" t="b">
        <f>AND(IF(metadata!R581="",FALSE,TRUE),EXACT(metadata!R581,"kg"))</f>
        <v>0</v>
      </c>
    </row>
    <row r="582" spans="1:45" x14ac:dyDescent="0.2">
      <c r="A582" s="5" t="str">
        <f ca="1">IF(B582=" "," ",HYPERLINK(CONCATENATE("#metadata!",ADDRESS(INDEX($X$2:$X$1001,MATCH(ROWS($V$2:V582),$V$2:$V$1001,0),0),1)),INDEX($AA$2:$AA$1001,MATCH(ROWS($V$2:V582),$V$2:$V$1001,0),0)))</f>
        <v xml:space="preserve"> </v>
      </c>
      <c r="B582" s="4" t="str">
        <f ca="1">IF(OR(INDEX($W$2:$W$1001,MATCH(ROWS($V$2:V582),$V$2:$V$1001,0),1)&gt;=100000,INDEX($AC$1005:$AS$1005,1,MATCH(COLUMNS($AC$1006:AC1006),$AC$1006:$AS$1006,0))&gt;=100000), " ",IF(INDEX($AC$2:$AS$1001,MATCH(ROWS($V$2:V582),$V$2:$V$1001,0),MATCH(COLUMNS($AC$1006:AC1006),$AC$1006:$AS$1006,0)), HYPERLINK("#",""), HYPERLINK(CONCATENATE("#metadata!", ADDRESS(INDEX($X$2:$X$1001,MATCH(ROWS($V$2:V582),$V$2:$V$1001,0),0), INDEX($AC$1004:$AS$1004,1,MATCH(COLUMNS($AC$1006:AC1006),$AC$1006:$AS$1006,0)))),"Fix")))</f>
        <v xml:space="preserve"> </v>
      </c>
      <c r="C582" s="4" t="str">
        <f ca="1">IF(OR(INDEX($W$2:$W$1001,MATCH(ROWS($V$2:V582),$V$2:$V$1001,0),1)&gt;=100000,INDEX($AC$1005:$AS$1005,1,MATCH(COLUMNS($AC$1006:AD1006),$AC$1006:$AS$1006,0))&gt;=100000), " ",IF(INDEX($AC$2:$AS$1001,MATCH(ROWS($V$2:V582),$V$2:$V$1001,0),MATCH(COLUMNS($AC$1006:AD1006),$AC$1006:$AS$1006,0)), HYPERLINK("#",""), HYPERLINK(CONCATENATE("#metadata!", ADDRESS(INDEX($X$2:$X$1001,MATCH(ROWS($V$2:V582),$V$2:$V$1001,0),0), INDEX($AC$1004:$AS$1004,1,MATCH(COLUMNS($AC$1006:AD1006),$AC$1006:$AS$1006,0)))),"Fix")))</f>
        <v xml:space="preserve"> </v>
      </c>
      <c r="D582" s="4" t="str">
        <f ca="1">IF(OR(INDEX($W$2:$W$1001,MATCH(ROWS($V$2:V582),$V$2:$V$1001,0),1)&gt;=100000,INDEX($AC$1005:$AS$1005,1,MATCH(COLUMNS($AC$1006:AE1006),$AC$1006:$AS$1006,0))&gt;=100000), " ",IF(INDEX($AC$2:$AS$1001,MATCH(ROWS($V$2:V582),$V$2:$V$1001,0),MATCH(COLUMNS($AC$1006:AE1006),$AC$1006:$AS$1006,0)), HYPERLINK("#",""), HYPERLINK(CONCATENATE("#metadata!", ADDRESS(INDEX($X$2:$X$1001,MATCH(ROWS($V$2:V582),$V$2:$V$1001,0),0), INDEX($AC$1004:$AS$1004,1,MATCH(COLUMNS($AC$1006:AE1006),$AC$1006:$AS$1006,0)))),"Fix")))</f>
        <v xml:space="preserve"> </v>
      </c>
      <c r="E582" s="4" t="str">
        <f ca="1">IF(OR(INDEX($W$2:$W$1001,MATCH(ROWS($V$2:V582),$V$2:$V$1001,0),1)&gt;=100000,INDEX($AC$1005:$AS$1005,1,MATCH(COLUMNS($AC$1006:AF1006),$AC$1006:$AS$1006,0))&gt;=100000), " ",IF(INDEX($AC$2:$AS$1001,MATCH(ROWS($V$2:V582),$V$2:$V$1001,0),MATCH(COLUMNS($AC$1006:AF1006),$AC$1006:$AS$1006,0)), HYPERLINK("#",""), HYPERLINK(CONCATENATE("#metadata!", ADDRESS(INDEX($X$2:$X$1001,MATCH(ROWS($V$2:V582),$V$2:$V$1001,0),0), INDEX($AC$1004:$AS$1004,1,MATCH(COLUMNS($AC$1006:AF1006),$AC$1006:$AS$1006,0)))),"Fix")))</f>
        <v xml:space="preserve"> </v>
      </c>
      <c r="F582" s="4" t="str">
        <f ca="1">IF(OR(INDEX($W$2:$W$1001,MATCH(ROWS($V$2:V582),$V$2:$V$1001,0),1)&gt;=100000,INDEX($AC$1005:$AS$1005,1,MATCH(COLUMNS($AC$1006:AG1006),$AC$1006:$AS$1006,0))&gt;=100000), " ",IF(INDEX($AC$2:$AS$1001,MATCH(ROWS($V$2:V582),$V$2:$V$1001,0),MATCH(COLUMNS($AC$1006:AG1006),$AC$1006:$AS$1006,0)), HYPERLINK("#",""), HYPERLINK(CONCATENATE("#metadata!", ADDRESS(INDEX($X$2:$X$1001,MATCH(ROWS($V$2:V582),$V$2:$V$1001,0),0), INDEX($AC$1004:$AS$1004,1,MATCH(COLUMNS($AC$1006:AG1006),$AC$1006:$AS$1006,0)))),"Fix")))</f>
        <v xml:space="preserve"> </v>
      </c>
      <c r="G582" s="4" t="str">
        <f ca="1">IF(OR(INDEX($W$2:$W$1001,MATCH(ROWS($V$2:V582),$V$2:$V$1001,0),1)&gt;=100000,INDEX($AC$1005:$AS$1005,1,MATCH(COLUMNS($AC$1006:AH1006),$AC$1006:$AS$1006,0))&gt;=100000), " ",IF(INDEX($AC$2:$AS$1001,MATCH(ROWS($V$2:V582),$V$2:$V$1001,0),MATCH(COLUMNS($AC$1006:AH1006),$AC$1006:$AS$1006,0)), HYPERLINK("#",""), HYPERLINK(CONCATENATE("#metadata!", ADDRESS(INDEX($X$2:$X$1001,MATCH(ROWS($V$2:V582),$V$2:$V$1001,0),0), INDEX($AC$1004:$AS$1004,1,MATCH(COLUMNS($AC$1006:AH1006),$AC$1006:$AS$1006,0)))),"Fix")))</f>
        <v xml:space="preserve"> </v>
      </c>
      <c r="H582" s="4" t="str">
        <f ca="1">IF(OR(INDEX($W$2:$W$1001,MATCH(ROWS($V$2:V582),$V$2:$V$1001,0),1)&gt;=100000,INDEX($AC$1005:$AS$1005,1,MATCH(COLUMNS($AC$1006:AI1006),$AC$1006:$AS$1006,0))&gt;=100000), " ",IF(INDEX($AC$2:$AS$1001,MATCH(ROWS($V$2:V582),$V$2:$V$1001,0),MATCH(COLUMNS($AC$1006:AI1006),$AC$1006:$AS$1006,0)), HYPERLINK("#",""), HYPERLINK(CONCATENATE("#metadata!", ADDRESS(INDEX($X$2:$X$1001,MATCH(ROWS($V$2:V582),$V$2:$V$1001,0),0), INDEX($AC$1004:$AS$1004,1,MATCH(COLUMNS($AC$1006:AI1006),$AC$1006:$AS$1006,0)))),"Fix")))</f>
        <v xml:space="preserve"> </v>
      </c>
      <c r="I582" s="4" t="str">
        <f ca="1">IF(OR(INDEX($W$2:$W$1001,MATCH(ROWS($V$2:V582),$V$2:$V$1001,0),1)&gt;=100000,INDEX($AC$1005:$AS$1005,1,MATCH(COLUMNS($AC$1006:AJ1006),$AC$1006:$AS$1006,0))&gt;=100000), " ",IF(INDEX($AC$2:$AS$1001,MATCH(ROWS($V$2:V582),$V$2:$V$1001,0),MATCH(COLUMNS($AC$1006:AJ1006),$AC$1006:$AS$1006,0)), HYPERLINK("#",""), HYPERLINK(CONCATENATE("#metadata!", ADDRESS(INDEX($X$2:$X$1001,MATCH(ROWS($V$2:V582),$V$2:$V$1001,0),0), INDEX($AC$1004:$AS$1004,1,MATCH(COLUMNS($AC$1006:AJ1006),$AC$1006:$AS$1006,0)))),"Fix")))</f>
        <v xml:space="preserve"> </v>
      </c>
      <c r="J582" s="4" t="str">
        <f ca="1">IF(OR(INDEX($W$2:$W$1001,MATCH(ROWS($V$2:V582),$V$2:$V$1001,0),1)&gt;=100000,INDEX($AC$1005:$AS$1005,1,MATCH(COLUMNS($AC$1006:AK1006),$AC$1006:$AS$1006,0))&gt;=100000), " ",IF(INDEX($AC$2:$AS$1001,MATCH(ROWS($V$2:V582),$V$2:$V$1001,0),MATCH(COLUMNS($AC$1006:AK1006),$AC$1006:$AS$1006,0)), HYPERLINK("#",""), HYPERLINK(CONCATENATE("#metadata!", ADDRESS(INDEX($X$2:$X$1001,MATCH(ROWS($V$2:V582),$V$2:$V$1001,0),0), INDEX($AC$1004:$AS$1004,1,MATCH(COLUMNS($AC$1006:AK1006),$AC$1006:$AS$1006,0)))),"Fix")))</f>
        <v xml:space="preserve"> </v>
      </c>
      <c r="K582" s="4" t="str">
        <f ca="1">IF(OR(INDEX($W$2:$W$1001,MATCH(ROWS($V$2:V582),$V$2:$V$1001,0),1)&gt;=100000,INDEX($AC$1005:$AS$1005,1,MATCH(COLUMNS($AC$1006:AL1006),$AC$1006:$AS$1006,0))&gt;=100000), " ",IF(INDEX($AC$2:$AS$1001,MATCH(ROWS($V$2:V582),$V$2:$V$1001,0),MATCH(COLUMNS($AC$1006:AL1006),$AC$1006:$AS$1006,0)), HYPERLINK("#",""), HYPERLINK(CONCATENATE("#metadata!", ADDRESS(INDEX($X$2:$X$1001,MATCH(ROWS($V$2:V582),$V$2:$V$1001,0),0), INDEX($AC$1004:$AS$1004,1,MATCH(COLUMNS($AC$1006:AL1006),$AC$1006:$AS$1006,0)))),"Fix")))</f>
        <v xml:space="preserve"> </v>
      </c>
      <c r="L582" s="4" t="str">
        <f ca="1">IF(OR(INDEX($W$2:$W$1001,MATCH(ROWS($V$2:V582),$V$2:$V$1001,0),1)&gt;=100000,INDEX($AC$1005:$AS$1005,1,MATCH(COLUMNS($AC$1006:AM1006),$AC$1006:$AS$1006,0))&gt;=100000), " ",IF(INDEX($AC$2:$AS$1001,MATCH(ROWS($V$2:V582),$V$2:$V$1001,0),MATCH(COLUMNS($AC$1006:AM1006),$AC$1006:$AS$1006,0)), HYPERLINK("#",""), HYPERLINK(CONCATENATE("#metadata!", ADDRESS(INDEX($X$2:$X$1001,MATCH(ROWS($V$2:V582),$V$2:$V$1001,0),0), INDEX($AC$1004:$AS$1004,1,MATCH(COLUMNS($AC$1006:AM1006),$AC$1006:$AS$1006,0)))),"Fix")))</f>
        <v xml:space="preserve"> </v>
      </c>
      <c r="M582" s="4" t="str">
        <f ca="1">IF(OR(INDEX($W$2:$W$1001,MATCH(ROWS($V$2:V582),$V$2:$V$1001,0),1)&gt;=100000,INDEX($AC$1005:$AS$1005,1,MATCH(COLUMNS($AC$1006:AN1006),$AC$1006:$AS$1006,0))&gt;=100000), " ",IF(INDEX($AC$2:$AS$1001,MATCH(ROWS($V$2:V582),$V$2:$V$1001,0),MATCH(COLUMNS($AC$1006:AN1006),$AC$1006:$AS$1006,0)), HYPERLINK("#",""), HYPERLINK(CONCATENATE("#metadata!", ADDRESS(INDEX($X$2:$X$1001,MATCH(ROWS($V$2:V582),$V$2:$V$1001,0),0), INDEX($AC$1004:$AS$1004,1,MATCH(COLUMNS($AC$1006:AN1006),$AC$1006:$AS$1006,0)))),"Fix")))</f>
        <v xml:space="preserve"> </v>
      </c>
      <c r="N582" s="4" t="str">
        <f ca="1">IF(OR(INDEX($W$2:$W$1001,MATCH(ROWS($V$2:V582),$V$2:$V$1001,0),1)&gt;=100000,INDEX($AC$1005:$AS$1005,1,MATCH(COLUMNS($AC$1006:AO1006),$AC$1006:$AS$1006,0))&gt;=100000), " ",IF(INDEX($AC$2:$AS$1001,MATCH(ROWS($V$2:V582),$V$2:$V$1001,0),MATCH(COLUMNS($AC$1006:AO1006),$AC$1006:$AS$1006,0)), HYPERLINK("#",""), HYPERLINK(CONCATENATE("#metadata!", ADDRESS(INDEX($X$2:$X$1001,MATCH(ROWS($V$2:V582),$V$2:$V$1001,0),0), INDEX($AC$1004:$AS$1004,1,MATCH(COLUMNS($AC$1006:AO1006),$AC$1006:$AS$1006,0)))),"Fix")))</f>
        <v xml:space="preserve"> </v>
      </c>
      <c r="O582" s="4" t="str">
        <f ca="1">IF(OR(INDEX($W$2:$W$1001,MATCH(ROWS($V$2:V582),$V$2:$V$1001,0),1)&gt;=100000,INDEX($AC$1005:$AS$1005,1,MATCH(COLUMNS($AC$1006:AP1006),$AC$1006:$AS$1006,0))&gt;=100000), " ",IF(INDEX($AC$2:$AS$1001,MATCH(ROWS($V$2:V582),$V$2:$V$1001,0),MATCH(COLUMNS($AC$1006:AP1006),$AC$1006:$AS$1006,0)), HYPERLINK("#",""), HYPERLINK(CONCATENATE("#metadata!", ADDRESS(INDEX($X$2:$X$1001,MATCH(ROWS($V$2:V582),$V$2:$V$1001,0),0), INDEX($AC$1004:$AS$1004,1,MATCH(COLUMNS($AC$1006:AP1006),$AC$1006:$AS$1006,0)))),"Fix")))</f>
        <v xml:space="preserve"> </v>
      </c>
      <c r="P582" s="4" t="str">
        <f ca="1">IF(OR(INDEX($W$2:$W$1001,MATCH(ROWS($V$2:V582),$V$2:$V$1001,0),1)&gt;=100000,INDEX($AC$1005:$AS$1005,1,MATCH(COLUMNS($AC$1006:AQ1006),$AC$1006:$AS$1006,0))&gt;=100000), " ",IF(INDEX($AC$2:$AS$1001,MATCH(ROWS($V$2:V582),$V$2:$V$1001,0),MATCH(COLUMNS($AC$1006:AQ1006),$AC$1006:$AS$1006,0)), HYPERLINK("#",""), HYPERLINK(CONCATENATE("#metadata!", ADDRESS(INDEX($X$2:$X$1001,MATCH(ROWS($V$2:V582),$V$2:$V$1001,0),0), INDEX($AC$1004:$AS$1004,1,MATCH(COLUMNS($AC$1006:AQ1006),$AC$1006:$AS$1006,0)))),"Fix")))</f>
        <v xml:space="preserve"> </v>
      </c>
      <c r="Q582" s="4" t="str">
        <f ca="1">IF(OR(INDEX($W$2:$W$1001,MATCH(ROWS($V$2:V582),$V$2:$V$1001,0),1)&gt;=100000,INDEX($AC$1005:$AS$1005,1,MATCH(COLUMNS($AC$1006:AR1006),$AC$1006:$AS$1006,0))&gt;=100000), " ",IF(INDEX($AC$2:$AS$1001,MATCH(ROWS($V$2:V582),$V$2:$V$1001,0),MATCH(COLUMNS($AC$1006:AR1006),$AC$1006:$AS$1006,0)), HYPERLINK("#",""), HYPERLINK(CONCATENATE("#metadata!", ADDRESS(INDEX($X$2:$X$1001,MATCH(ROWS($V$2:V582),$V$2:$V$1001,0),0), INDEX($AC$1004:$AS$1004,1,MATCH(COLUMNS($AC$1006:AR1006),$AC$1006:$AS$1006,0)))),"Fix")))</f>
        <v xml:space="preserve"> </v>
      </c>
      <c r="R582" s="4" t="str">
        <f ca="1">IF(OR(INDEX($W$2:$W$1001,MATCH(ROWS($V$2:V582),$V$2:$V$1001,0),1)&gt;=100000,INDEX($AC$1005:$AS$1005,1,MATCH(COLUMNS($AC$1006:AS1006),$AC$1006:$AS$1006,0))&gt;=100000), " ",IF(INDEX($AC$2:$AS$1001,MATCH(ROWS($V$2:V582),$V$2:$V$1001,0),MATCH(COLUMNS($AC$1006:AS1006),$AC$1006:$AS$1006,0)), HYPERLINK("#",""), HYPERLINK(CONCATENATE("#metadata!", ADDRESS(INDEX($X$2:$X$1001,MATCH(ROWS($V$2:V582),$V$2:$V$1001,0),0), INDEX($AC$1004:$AS$1004,1,MATCH(COLUMNS($AC$1006:AS1006),$AC$1006:$AS$1006,0)))),"Fix")))</f>
        <v xml:space="preserve"> </v>
      </c>
      <c r="V582">
        <v>581</v>
      </c>
      <c r="W582">
        <v>100582</v>
      </c>
      <c r="X582">
        <v>582</v>
      </c>
      <c r="Y582" t="b">
        <f t="shared" si="9"/>
        <v>1</v>
      </c>
      <c r="Z582" t="b">
        <f>COUNTBLANK(metadata!B582:R582)=COLUMNS(metadata!B582:R582)</f>
        <v>1</v>
      </c>
      <c r="AA582" t="str">
        <v/>
      </c>
      <c r="AC582" t="b">
        <f ca="1"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AD582" t="b">
        <f>IF(metadata!C582="",FALSE,ISNUMBER(VALUE(metadata!C582)))</f>
        <v>0</v>
      </c>
      <c r="AE582" t="b">
        <f>AND(IF(metadata!D582="",FALSE,TRUE),EXACT(metadata!D582,"years"))</f>
        <v>0</v>
      </c>
      <c r="AF582" t="b">
        <f>OR(AND(IF(metadata!E582="",FALSE,TRUE),OR(EXACT(metadata!E582,"not applicable"),EXACT(metadata!E582,"missing: not collected"),EXACT(metadata!E582,"missing: not provided"),EXACT(metadata!E582,"missing: restricted access"))),AND(IF(metadata!E582="",FALSE,ISNUMBER(VALUE(metadata!E582))),metadata!E582&gt;0))</f>
        <v>0</v>
      </c>
      <c r="AG582" t="b">
        <f>AND(IF(metadata!F582="",FALSE,TRUE),EXACT(metadata!F582,"Not applicable"))</f>
        <v>0</v>
      </c>
      <c r="AH582" t="b">
        <f>AND(IF(metadata!G582="",FALSE,TRUE),EXACT(metadata!G582,"urban biome"))</f>
        <v>0</v>
      </c>
      <c r="AI582" t="b">
        <f>AND(IF(metadata!H582="",FALSE,TRUE),EXACT(metadata!H582,"human-associated habitat"))</f>
        <v>0</v>
      </c>
      <c r="AJ582" t="b">
        <f>AND(IF(metadata!I582="",FALSE,TRUE),OR(EXACT(metadata!I582,"human-associated"),EXACT(metadata!I582,"human-skin"),EXACT(metadata!I582,"human-oral"),EXACT(metadata!I582,"human-gut"),EXACT(metadata!I582,"human-vaginal")))</f>
        <v>0</v>
      </c>
      <c r="AK582" t="b">
        <f>IF(metadata!J582="",FALSE,ISNUMBER(VALUE(metadata!J582)))</f>
        <v>0</v>
      </c>
      <c r="AL582" t="b">
        <f>AND(IF(metadata!K582="",FALSE,TRUE),EXACT(metadata!K582,"cm"))</f>
        <v>0</v>
      </c>
      <c r="AM582" t="b">
        <f>AND(IF(metadata!L582="",FALSE,TRUE),EXACT(metadata!L582,"human"))</f>
        <v>0</v>
      </c>
      <c r="AN582" t="b">
        <f>AND(IF(metadata!M582="",FALSE,TRUE),EXACT(metadata!M582,"Homo sapiens"))</f>
        <v>0</v>
      </c>
      <c r="AO582" t="b">
        <f>AND(IF(metadata!N582="",FALSE,TRUE),EXACT(metadata!N582,"9606"))</f>
        <v>0</v>
      </c>
      <c r="AP582" t="b">
        <f>IF(metadata!O582="",FALSE,TRUE)</f>
        <v>0</v>
      </c>
      <c r="AQ582" t="b">
        <f>IF(metadata!P582="",FALSE,TRUE)</f>
        <v>0</v>
      </c>
      <c r="AR582" t="b">
        <f>IF(metadata!Q582="",FALSE,ISNUMBER(VALUE(metadata!Q582)))</f>
        <v>0</v>
      </c>
      <c r="AS582" t="b">
        <f>AND(IF(metadata!R582="",FALSE,TRUE),EXACT(metadata!R582,"kg"))</f>
        <v>0</v>
      </c>
    </row>
    <row r="583" spans="1:45" x14ac:dyDescent="0.2">
      <c r="A583" s="5" t="str">
        <f ca="1">IF(B583=" "," ",HYPERLINK(CONCATENATE("#metadata!",ADDRESS(INDEX($X$2:$X$1001,MATCH(ROWS($V$2:V583),$V$2:$V$1001,0),0),1)),INDEX($AA$2:$AA$1001,MATCH(ROWS($V$2:V583),$V$2:$V$1001,0),0)))</f>
        <v xml:space="preserve"> </v>
      </c>
      <c r="B583" s="4" t="str">
        <f ca="1">IF(OR(INDEX($W$2:$W$1001,MATCH(ROWS($V$2:V583),$V$2:$V$1001,0),1)&gt;=100000,INDEX($AC$1005:$AS$1005,1,MATCH(COLUMNS($AC$1006:AC1006),$AC$1006:$AS$1006,0))&gt;=100000), " ",IF(INDEX($AC$2:$AS$1001,MATCH(ROWS($V$2:V583),$V$2:$V$1001,0),MATCH(COLUMNS($AC$1006:AC1006),$AC$1006:$AS$1006,0)), HYPERLINK("#",""), HYPERLINK(CONCATENATE("#metadata!", ADDRESS(INDEX($X$2:$X$1001,MATCH(ROWS($V$2:V583),$V$2:$V$1001,0),0), INDEX($AC$1004:$AS$1004,1,MATCH(COLUMNS($AC$1006:AC1006),$AC$1006:$AS$1006,0)))),"Fix")))</f>
        <v xml:space="preserve"> </v>
      </c>
      <c r="C583" s="4" t="str">
        <f ca="1">IF(OR(INDEX($W$2:$W$1001,MATCH(ROWS($V$2:V583),$V$2:$V$1001,0),1)&gt;=100000,INDEX($AC$1005:$AS$1005,1,MATCH(COLUMNS($AC$1006:AD1006),$AC$1006:$AS$1006,0))&gt;=100000), " ",IF(INDEX($AC$2:$AS$1001,MATCH(ROWS($V$2:V583),$V$2:$V$1001,0),MATCH(COLUMNS($AC$1006:AD1006),$AC$1006:$AS$1006,0)), HYPERLINK("#",""), HYPERLINK(CONCATENATE("#metadata!", ADDRESS(INDEX($X$2:$X$1001,MATCH(ROWS($V$2:V583),$V$2:$V$1001,0),0), INDEX($AC$1004:$AS$1004,1,MATCH(COLUMNS($AC$1006:AD1006),$AC$1006:$AS$1006,0)))),"Fix")))</f>
        <v xml:space="preserve"> </v>
      </c>
      <c r="D583" s="4" t="str">
        <f ca="1">IF(OR(INDEX($W$2:$W$1001,MATCH(ROWS($V$2:V583),$V$2:$V$1001,0),1)&gt;=100000,INDEX($AC$1005:$AS$1005,1,MATCH(COLUMNS($AC$1006:AE1006),$AC$1006:$AS$1006,0))&gt;=100000), " ",IF(INDEX($AC$2:$AS$1001,MATCH(ROWS($V$2:V583),$V$2:$V$1001,0),MATCH(COLUMNS($AC$1006:AE1006),$AC$1006:$AS$1006,0)), HYPERLINK("#",""), HYPERLINK(CONCATENATE("#metadata!", ADDRESS(INDEX($X$2:$X$1001,MATCH(ROWS($V$2:V583),$V$2:$V$1001,0),0), INDEX($AC$1004:$AS$1004,1,MATCH(COLUMNS($AC$1006:AE1006),$AC$1006:$AS$1006,0)))),"Fix")))</f>
        <v xml:space="preserve"> </v>
      </c>
      <c r="E583" s="4" t="str">
        <f ca="1">IF(OR(INDEX($W$2:$W$1001,MATCH(ROWS($V$2:V583),$V$2:$V$1001,0),1)&gt;=100000,INDEX($AC$1005:$AS$1005,1,MATCH(COLUMNS($AC$1006:AF1006),$AC$1006:$AS$1006,0))&gt;=100000), " ",IF(INDEX($AC$2:$AS$1001,MATCH(ROWS($V$2:V583),$V$2:$V$1001,0),MATCH(COLUMNS($AC$1006:AF1006),$AC$1006:$AS$1006,0)), HYPERLINK("#",""), HYPERLINK(CONCATENATE("#metadata!", ADDRESS(INDEX($X$2:$X$1001,MATCH(ROWS($V$2:V583),$V$2:$V$1001,0),0), INDEX($AC$1004:$AS$1004,1,MATCH(COLUMNS($AC$1006:AF1006),$AC$1006:$AS$1006,0)))),"Fix")))</f>
        <v xml:space="preserve"> </v>
      </c>
      <c r="F583" s="4" t="str">
        <f ca="1">IF(OR(INDEX($W$2:$W$1001,MATCH(ROWS($V$2:V583),$V$2:$V$1001,0),1)&gt;=100000,INDEX($AC$1005:$AS$1005,1,MATCH(COLUMNS($AC$1006:AG1006),$AC$1006:$AS$1006,0))&gt;=100000), " ",IF(INDEX($AC$2:$AS$1001,MATCH(ROWS($V$2:V583),$V$2:$V$1001,0),MATCH(COLUMNS($AC$1006:AG1006),$AC$1006:$AS$1006,0)), HYPERLINK("#",""), HYPERLINK(CONCATENATE("#metadata!", ADDRESS(INDEX($X$2:$X$1001,MATCH(ROWS($V$2:V583),$V$2:$V$1001,0),0), INDEX($AC$1004:$AS$1004,1,MATCH(COLUMNS($AC$1006:AG1006),$AC$1006:$AS$1006,0)))),"Fix")))</f>
        <v xml:space="preserve"> </v>
      </c>
      <c r="G583" s="4" t="str">
        <f ca="1">IF(OR(INDEX($W$2:$W$1001,MATCH(ROWS($V$2:V583),$V$2:$V$1001,0),1)&gt;=100000,INDEX($AC$1005:$AS$1005,1,MATCH(COLUMNS($AC$1006:AH1006),$AC$1006:$AS$1006,0))&gt;=100000), " ",IF(INDEX($AC$2:$AS$1001,MATCH(ROWS($V$2:V583),$V$2:$V$1001,0),MATCH(COLUMNS($AC$1006:AH1006),$AC$1006:$AS$1006,0)), HYPERLINK("#",""), HYPERLINK(CONCATENATE("#metadata!", ADDRESS(INDEX($X$2:$X$1001,MATCH(ROWS($V$2:V583),$V$2:$V$1001,0),0), INDEX($AC$1004:$AS$1004,1,MATCH(COLUMNS($AC$1006:AH1006),$AC$1006:$AS$1006,0)))),"Fix")))</f>
        <v xml:space="preserve"> </v>
      </c>
      <c r="H583" s="4" t="str">
        <f ca="1">IF(OR(INDEX($W$2:$W$1001,MATCH(ROWS($V$2:V583),$V$2:$V$1001,0),1)&gt;=100000,INDEX($AC$1005:$AS$1005,1,MATCH(COLUMNS($AC$1006:AI1006),$AC$1006:$AS$1006,0))&gt;=100000), " ",IF(INDEX($AC$2:$AS$1001,MATCH(ROWS($V$2:V583),$V$2:$V$1001,0),MATCH(COLUMNS($AC$1006:AI1006),$AC$1006:$AS$1006,0)), HYPERLINK("#",""), HYPERLINK(CONCATENATE("#metadata!", ADDRESS(INDEX($X$2:$X$1001,MATCH(ROWS($V$2:V583),$V$2:$V$1001,0),0), INDEX($AC$1004:$AS$1004,1,MATCH(COLUMNS($AC$1006:AI1006),$AC$1006:$AS$1006,0)))),"Fix")))</f>
        <v xml:space="preserve"> </v>
      </c>
      <c r="I583" s="4" t="str">
        <f ca="1">IF(OR(INDEX($W$2:$W$1001,MATCH(ROWS($V$2:V583),$V$2:$V$1001,0),1)&gt;=100000,INDEX($AC$1005:$AS$1005,1,MATCH(COLUMNS($AC$1006:AJ1006),$AC$1006:$AS$1006,0))&gt;=100000), " ",IF(INDEX($AC$2:$AS$1001,MATCH(ROWS($V$2:V583),$V$2:$V$1001,0),MATCH(COLUMNS($AC$1006:AJ1006),$AC$1006:$AS$1006,0)), HYPERLINK("#",""), HYPERLINK(CONCATENATE("#metadata!", ADDRESS(INDEX($X$2:$X$1001,MATCH(ROWS($V$2:V583),$V$2:$V$1001,0),0), INDEX($AC$1004:$AS$1004,1,MATCH(COLUMNS($AC$1006:AJ1006),$AC$1006:$AS$1006,0)))),"Fix")))</f>
        <v xml:space="preserve"> </v>
      </c>
      <c r="J583" s="4" t="str">
        <f ca="1">IF(OR(INDEX($W$2:$W$1001,MATCH(ROWS($V$2:V583),$V$2:$V$1001,0),1)&gt;=100000,INDEX($AC$1005:$AS$1005,1,MATCH(COLUMNS($AC$1006:AK1006),$AC$1006:$AS$1006,0))&gt;=100000), " ",IF(INDEX($AC$2:$AS$1001,MATCH(ROWS($V$2:V583),$V$2:$V$1001,0),MATCH(COLUMNS($AC$1006:AK1006),$AC$1006:$AS$1006,0)), HYPERLINK("#",""), HYPERLINK(CONCATENATE("#metadata!", ADDRESS(INDEX($X$2:$X$1001,MATCH(ROWS($V$2:V583),$V$2:$V$1001,0),0), INDEX($AC$1004:$AS$1004,1,MATCH(COLUMNS($AC$1006:AK1006),$AC$1006:$AS$1006,0)))),"Fix")))</f>
        <v xml:space="preserve"> </v>
      </c>
      <c r="K583" s="4" t="str">
        <f ca="1">IF(OR(INDEX($W$2:$W$1001,MATCH(ROWS($V$2:V583),$V$2:$V$1001,0),1)&gt;=100000,INDEX($AC$1005:$AS$1005,1,MATCH(COLUMNS($AC$1006:AL1006),$AC$1006:$AS$1006,0))&gt;=100000), " ",IF(INDEX($AC$2:$AS$1001,MATCH(ROWS($V$2:V583),$V$2:$V$1001,0),MATCH(COLUMNS($AC$1006:AL1006),$AC$1006:$AS$1006,0)), HYPERLINK("#",""), HYPERLINK(CONCATENATE("#metadata!", ADDRESS(INDEX($X$2:$X$1001,MATCH(ROWS($V$2:V583),$V$2:$V$1001,0),0), INDEX($AC$1004:$AS$1004,1,MATCH(COLUMNS($AC$1006:AL1006),$AC$1006:$AS$1006,0)))),"Fix")))</f>
        <v xml:space="preserve"> </v>
      </c>
      <c r="L583" s="4" t="str">
        <f ca="1">IF(OR(INDEX($W$2:$W$1001,MATCH(ROWS($V$2:V583),$V$2:$V$1001,0),1)&gt;=100000,INDEX($AC$1005:$AS$1005,1,MATCH(COLUMNS($AC$1006:AM1006),$AC$1006:$AS$1006,0))&gt;=100000), " ",IF(INDEX($AC$2:$AS$1001,MATCH(ROWS($V$2:V583),$V$2:$V$1001,0),MATCH(COLUMNS($AC$1006:AM1006),$AC$1006:$AS$1006,0)), HYPERLINK("#",""), HYPERLINK(CONCATENATE("#metadata!", ADDRESS(INDEX($X$2:$X$1001,MATCH(ROWS($V$2:V583),$V$2:$V$1001,0),0), INDEX($AC$1004:$AS$1004,1,MATCH(COLUMNS($AC$1006:AM1006),$AC$1006:$AS$1006,0)))),"Fix")))</f>
        <v xml:space="preserve"> </v>
      </c>
      <c r="M583" s="4" t="str">
        <f ca="1">IF(OR(INDEX($W$2:$W$1001,MATCH(ROWS($V$2:V583),$V$2:$V$1001,0),1)&gt;=100000,INDEX($AC$1005:$AS$1005,1,MATCH(COLUMNS($AC$1006:AN1006),$AC$1006:$AS$1006,0))&gt;=100000), " ",IF(INDEX($AC$2:$AS$1001,MATCH(ROWS($V$2:V583),$V$2:$V$1001,0),MATCH(COLUMNS($AC$1006:AN1006),$AC$1006:$AS$1006,0)), HYPERLINK("#",""), HYPERLINK(CONCATENATE("#metadata!", ADDRESS(INDEX($X$2:$X$1001,MATCH(ROWS($V$2:V583),$V$2:$V$1001,0),0), INDEX($AC$1004:$AS$1004,1,MATCH(COLUMNS($AC$1006:AN1006),$AC$1006:$AS$1006,0)))),"Fix")))</f>
        <v xml:space="preserve"> </v>
      </c>
      <c r="N583" s="4" t="str">
        <f ca="1">IF(OR(INDEX($W$2:$W$1001,MATCH(ROWS($V$2:V583),$V$2:$V$1001,0),1)&gt;=100000,INDEX($AC$1005:$AS$1005,1,MATCH(COLUMNS($AC$1006:AO1006),$AC$1006:$AS$1006,0))&gt;=100000), " ",IF(INDEX($AC$2:$AS$1001,MATCH(ROWS($V$2:V583),$V$2:$V$1001,0),MATCH(COLUMNS($AC$1006:AO1006),$AC$1006:$AS$1006,0)), HYPERLINK("#",""), HYPERLINK(CONCATENATE("#metadata!", ADDRESS(INDEX($X$2:$X$1001,MATCH(ROWS($V$2:V583),$V$2:$V$1001,0),0), INDEX($AC$1004:$AS$1004,1,MATCH(COLUMNS($AC$1006:AO1006),$AC$1006:$AS$1006,0)))),"Fix")))</f>
        <v xml:space="preserve"> </v>
      </c>
      <c r="O583" s="4" t="str">
        <f ca="1">IF(OR(INDEX($W$2:$W$1001,MATCH(ROWS($V$2:V583),$V$2:$V$1001,0),1)&gt;=100000,INDEX($AC$1005:$AS$1005,1,MATCH(COLUMNS($AC$1006:AP1006),$AC$1006:$AS$1006,0))&gt;=100000), " ",IF(INDEX($AC$2:$AS$1001,MATCH(ROWS($V$2:V583),$V$2:$V$1001,0),MATCH(COLUMNS($AC$1006:AP1006),$AC$1006:$AS$1006,0)), HYPERLINK("#",""), HYPERLINK(CONCATENATE("#metadata!", ADDRESS(INDEX($X$2:$X$1001,MATCH(ROWS($V$2:V583),$V$2:$V$1001,0),0), INDEX($AC$1004:$AS$1004,1,MATCH(COLUMNS($AC$1006:AP1006),$AC$1006:$AS$1006,0)))),"Fix")))</f>
        <v xml:space="preserve"> </v>
      </c>
      <c r="P583" s="4" t="str">
        <f ca="1">IF(OR(INDEX($W$2:$W$1001,MATCH(ROWS($V$2:V583),$V$2:$V$1001,0),1)&gt;=100000,INDEX($AC$1005:$AS$1005,1,MATCH(COLUMNS($AC$1006:AQ1006),$AC$1006:$AS$1006,0))&gt;=100000), " ",IF(INDEX($AC$2:$AS$1001,MATCH(ROWS($V$2:V583),$V$2:$V$1001,0),MATCH(COLUMNS($AC$1006:AQ1006),$AC$1006:$AS$1006,0)), HYPERLINK("#",""), HYPERLINK(CONCATENATE("#metadata!", ADDRESS(INDEX($X$2:$X$1001,MATCH(ROWS($V$2:V583),$V$2:$V$1001,0),0), INDEX($AC$1004:$AS$1004,1,MATCH(COLUMNS($AC$1006:AQ1006),$AC$1006:$AS$1006,0)))),"Fix")))</f>
        <v xml:space="preserve"> </v>
      </c>
      <c r="Q583" s="4" t="str">
        <f ca="1">IF(OR(INDEX($W$2:$W$1001,MATCH(ROWS($V$2:V583),$V$2:$V$1001,0),1)&gt;=100000,INDEX($AC$1005:$AS$1005,1,MATCH(COLUMNS($AC$1006:AR1006),$AC$1006:$AS$1006,0))&gt;=100000), " ",IF(INDEX($AC$2:$AS$1001,MATCH(ROWS($V$2:V583),$V$2:$V$1001,0),MATCH(COLUMNS($AC$1006:AR1006),$AC$1006:$AS$1006,0)), HYPERLINK("#",""), HYPERLINK(CONCATENATE("#metadata!", ADDRESS(INDEX($X$2:$X$1001,MATCH(ROWS($V$2:V583),$V$2:$V$1001,0),0), INDEX($AC$1004:$AS$1004,1,MATCH(COLUMNS($AC$1006:AR1006),$AC$1006:$AS$1006,0)))),"Fix")))</f>
        <v xml:space="preserve"> </v>
      </c>
      <c r="R583" s="4" t="str">
        <f ca="1">IF(OR(INDEX($W$2:$W$1001,MATCH(ROWS($V$2:V583),$V$2:$V$1001,0),1)&gt;=100000,INDEX($AC$1005:$AS$1005,1,MATCH(COLUMNS($AC$1006:AS1006),$AC$1006:$AS$1006,0))&gt;=100000), " ",IF(INDEX($AC$2:$AS$1001,MATCH(ROWS($V$2:V583),$V$2:$V$1001,0),MATCH(COLUMNS($AC$1006:AS1006),$AC$1006:$AS$1006,0)), HYPERLINK("#",""), HYPERLINK(CONCATENATE("#metadata!", ADDRESS(INDEX($X$2:$X$1001,MATCH(ROWS($V$2:V583),$V$2:$V$1001,0),0), INDEX($AC$1004:$AS$1004,1,MATCH(COLUMNS($AC$1006:AS1006),$AC$1006:$AS$1006,0)))),"Fix")))</f>
        <v xml:space="preserve"> </v>
      </c>
      <c r="V583">
        <v>582</v>
      </c>
      <c r="W583">
        <v>100583</v>
      </c>
      <c r="X583">
        <v>583</v>
      </c>
      <c r="Y583" t="b">
        <f t="shared" si="9"/>
        <v>1</v>
      </c>
      <c r="Z583" t="b">
        <f>COUNTBLANK(metadata!B583:R583)=COLUMNS(metadata!B583:R583)</f>
        <v>1</v>
      </c>
      <c r="AA583" t="str">
        <v/>
      </c>
      <c r="AC583" t="b">
        <f ca="1"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AD583" t="b">
        <f>IF(metadata!C583="",FALSE,ISNUMBER(VALUE(metadata!C583)))</f>
        <v>0</v>
      </c>
      <c r="AE583" t="b">
        <f>AND(IF(metadata!D583="",FALSE,TRUE),EXACT(metadata!D583,"years"))</f>
        <v>0</v>
      </c>
      <c r="AF583" t="b">
        <f>OR(AND(IF(metadata!E583="",FALSE,TRUE),OR(EXACT(metadata!E583,"not applicable"),EXACT(metadata!E583,"missing: not collected"),EXACT(metadata!E583,"missing: not provided"),EXACT(metadata!E583,"missing: restricted access"))),AND(IF(metadata!E583="",FALSE,ISNUMBER(VALUE(metadata!E583))),metadata!E583&gt;0))</f>
        <v>0</v>
      </c>
      <c r="AG583" t="b">
        <f>AND(IF(metadata!F583="",FALSE,TRUE),EXACT(metadata!F583,"Not applicable"))</f>
        <v>0</v>
      </c>
      <c r="AH583" t="b">
        <f>AND(IF(metadata!G583="",FALSE,TRUE),EXACT(metadata!G583,"urban biome"))</f>
        <v>0</v>
      </c>
      <c r="AI583" t="b">
        <f>AND(IF(metadata!H583="",FALSE,TRUE),EXACT(metadata!H583,"human-associated habitat"))</f>
        <v>0</v>
      </c>
      <c r="AJ583" t="b">
        <f>AND(IF(metadata!I583="",FALSE,TRUE),OR(EXACT(metadata!I583,"human-associated"),EXACT(metadata!I583,"human-skin"),EXACT(metadata!I583,"human-oral"),EXACT(metadata!I583,"human-gut"),EXACT(metadata!I583,"human-vaginal")))</f>
        <v>0</v>
      </c>
      <c r="AK583" t="b">
        <f>IF(metadata!J583="",FALSE,ISNUMBER(VALUE(metadata!J583)))</f>
        <v>0</v>
      </c>
      <c r="AL583" t="b">
        <f>AND(IF(metadata!K583="",FALSE,TRUE),EXACT(metadata!K583,"cm"))</f>
        <v>0</v>
      </c>
      <c r="AM583" t="b">
        <f>AND(IF(metadata!L583="",FALSE,TRUE),EXACT(metadata!L583,"human"))</f>
        <v>0</v>
      </c>
      <c r="AN583" t="b">
        <f>AND(IF(metadata!M583="",FALSE,TRUE),EXACT(metadata!M583,"Homo sapiens"))</f>
        <v>0</v>
      </c>
      <c r="AO583" t="b">
        <f>AND(IF(metadata!N583="",FALSE,TRUE),EXACT(metadata!N583,"9606"))</f>
        <v>0</v>
      </c>
      <c r="AP583" t="b">
        <f>IF(metadata!O583="",FALSE,TRUE)</f>
        <v>0</v>
      </c>
      <c r="AQ583" t="b">
        <f>IF(metadata!P583="",FALSE,TRUE)</f>
        <v>0</v>
      </c>
      <c r="AR583" t="b">
        <f>IF(metadata!Q583="",FALSE,ISNUMBER(VALUE(metadata!Q583)))</f>
        <v>0</v>
      </c>
      <c r="AS583" t="b">
        <f>AND(IF(metadata!R583="",FALSE,TRUE),EXACT(metadata!R583,"kg"))</f>
        <v>0</v>
      </c>
    </row>
    <row r="584" spans="1:45" x14ac:dyDescent="0.2">
      <c r="A584" s="5" t="str">
        <f ca="1">IF(B584=" "," ",HYPERLINK(CONCATENATE("#metadata!",ADDRESS(INDEX($X$2:$X$1001,MATCH(ROWS($V$2:V584),$V$2:$V$1001,0),0),1)),INDEX($AA$2:$AA$1001,MATCH(ROWS($V$2:V584),$V$2:$V$1001,0),0)))</f>
        <v xml:space="preserve"> </v>
      </c>
      <c r="B584" s="4" t="str">
        <f ca="1">IF(OR(INDEX($W$2:$W$1001,MATCH(ROWS($V$2:V584),$V$2:$V$1001,0),1)&gt;=100000,INDEX($AC$1005:$AS$1005,1,MATCH(COLUMNS($AC$1006:AC1006),$AC$1006:$AS$1006,0))&gt;=100000), " ",IF(INDEX($AC$2:$AS$1001,MATCH(ROWS($V$2:V584),$V$2:$V$1001,0),MATCH(COLUMNS($AC$1006:AC1006),$AC$1006:$AS$1006,0)), HYPERLINK("#",""), HYPERLINK(CONCATENATE("#metadata!", ADDRESS(INDEX($X$2:$X$1001,MATCH(ROWS($V$2:V584),$V$2:$V$1001,0),0), INDEX($AC$1004:$AS$1004,1,MATCH(COLUMNS($AC$1006:AC1006),$AC$1006:$AS$1006,0)))),"Fix")))</f>
        <v xml:space="preserve"> </v>
      </c>
      <c r="C584" s="4" t="str">
        <f ca="1">IF(OR(INDEX($W$2:$W$1001,MATCH(ROWS($V$2:V584),$V$2:$V$1001,0),1)&gt;=100000,INDEX($AC$1005:$AS$1005,1,MATCH(COLUMNS($AC$1006:AD1006),$AC$1006:$AS$1006,0))&gt;=100000), " ",IF(INDEX($AC$2:$AS$1001,MATCH(ROWS($V$2:V584),$V$2:$V$1001,0),MATCH(COLUMNS($AC$1006:AD1006),$AC$1006:$AS$1006,0)), HYPERLINK("#",""), HYPERLINK(CONCATENATE("#metadata!", ADDRESS(INDEX($X$2:$X$1001,MATCH(ROWS($V$2:V584),$V$2:$V$1001,0),0), INDEX($AC$1004:$AS$1004,1,MATCH(COLUMNS($AC$1006:AD1006),$AC$1006:$AS$1006,0)))),"Fix")))</f>
        <v xml:space="preserve"> </v>
      </c>
      <c r="D584" s="4" t="str">
        <f ca="1">IF(OR(INDEX($W$2:$W$1001,MATCH(ROWS($V$2:V584),$V$2:$V$1001,0),1)&gt;=100000,INDEX($AC$1005:$AS$1005,1,MATCH(COLUMNS($AC$1006:AE1006),$AC$1006:$AS$1006,0))&gt;=100000), " ",IF(INDEX($AC$2:$AS$1001,MATCH(ROWS($V$2:V584),$V$2:$V$1001,0),MATCH(COLUMNS($AC$1006:AE1006),$AC$1006:$AS$1006,0)), HYPERLINK("#",""), HYPERLINK(CONCATENATE("#metadata!", ADDRESS(INDEX($X$2:$X$1001,MATCH(ROWS($V$2:V584),$V$2:$V$1001,0),0), INDEX($AC$1004:$AS$1004,1,MATCH(COLUMNS($AC$1006:AE1006),$AC$1006:$AS$1006,0)))),"Fix")))</f>
        <v xml:space="preserve"> </v>
      </c>
      <c r="E584" s="4" t="str">
        <f ca="1">IF(OR(INDEX($W$2:$W$1001,MATCH(ROWS($V$2:V584),$V$2:$V$1001,0),1)&gt;=100000,INDEX($AC$1005:$AS$1005,1,MATCH(COLUMNS($AC$1006:AF1006),$AC$1006:$AS$1006,0))&gt;=100000), " ",IF(INDEX($AC$2:$AS$1001,MATCH(ROWS($V$2:V584),$V$2:$V$1001,0),MATCH(COLUMNS($AC$1006:AF1006),$AC$1006:$AS$1006,0)), HYPERLINK("#",""), HYPERLINK(CONCATENATE("#metadata!", ADDRESS(INDEX($X$2:$X$1001,MATCH(ROWS($V$2:V584),$V$2:$V$1001,0),0), INDEX($AC$1004:$AS$1004,1,MATCH(COLUMNS($AC$1006:AF1006),$AC$1006:$AS$1006,0)))),"Fix")))</f>
        <v xml:space="preserve"> </v>
      </c>
      <c r="F584" s="4" t="str">
        <f ca="1">IF(OR(INDEX($W$2:$W$1001,MATCH(ROWS($V$2:V584),$V$2:$V$1001,0),1)&gt;=100000,INDEX($AC$1005:$AS$1005,1,MATCH(COLUMNS($AC$1006:AG1006),$AC$1006:$AS$1006,0))&gt;=100000), " ",IF(INDEX($AC$2:$AS$1001,MATCH(ROWS($V$2:V584),$V$2:$V$1001,0),MATCH(COLUMNS($AC$1006:AG1006),$AC$1006:$AS$1006,0)), HYPERLINK("#",""), HYPERLINK(CONCATENATE("#metadata!", ADDRESS(INDEX($X$2:$X$1001,MATCH(ROWS($V$2:V584),$V$2:$V$1001,0),0), INDEX($AC$1004:$AS$1004,1,MATCH(COLUMNS($AC$1006:AG1006),$AC$1006:$AS$1006,0)))),"Fix")))</f>
        <v xml:space="preserve"> </v>
      </c>
      <c r="G584" s="4" t="str">
        <f ca="1">IF(OR(INDEX($W$2:$W$1001,MATCH(ROWS($V$2:V584),$V$2:$V$1001,0),1)&gt;=100000,INDEX($AC$1005:$AS$1005,1,MATCH(COLUMNS($AC$1006:AH1006),$AC$1006:$AS$1006,0))&gt;=100000), " ",IF(INDEX($AC$2:$AS$1001,MATCH(ROWS($V$2:V584),$V$2:$V$1001,0),MATCH(COLUMNS($AC$1006:AH1006),$AC$1006:$AS$1006,0)), HYPERLINK("#",""), HYPERLINK(CONCATENATE("#metadata!", ADDRESS(INDEX($X$2:$X$1001,MATCH(ROWS($V$2:V584),$V$2:$V$1001,0),0), INDEX($AC$1004:$AS$1004,1,MATCH(COLUMNS($AC$1006:AH1006),$AC$1006:$AS$1006,0)))),"Fix")))</f>
        <v xml:space="preserve"> </v>
      </c>
      <c r="H584" s="4" t="str">
        <f ca="1">IF(OR(INDEX($W$2:$W$1001,MATCH(ROWS($V$2:V584),$V$2:$V$1001,0),1)&gt;=100000,INDEX($AC$1005:$AS$1005,1,MATCH(COLUMNS($AC$1006:AI1006),$AC$1006:$AS$1006,0))&gt;=100000), " ",IF(INDEX($AC$2:$AS$1001,MATCH(ROWS($V$2:V584),$V$2:$V$1001,0),MATCH(COLUMNS($AC$1006:AI1006),$AC$1006:$AS$1006,0)), HYPERLINK("#",""), HYPERLINK(CONCATENATE("#metadata!", ADDRESS(INDEX($X$2:$X$1001,MATCH(ROWS($V$2:V584),$V$2:$V$1001,0),0), INDEX($AC$1004:$AS$1004,1,MATCH(COLUMNS($AC$1006:AI1006),$AC$1006:$AS$1006,0)))),"Fix")))</f>
        <v xml:space="preserve"> </v>
      </c>
      <c r="I584" s="4" t="str">
        <f ca="1">IF(OR(INDEX($W$2:$W$1001,MATCH(ROWS($V$2:V584),$V$2:$V$1001,0),1)&gt;=100000,INDEX($AC$1005:$AS$1005,1,MATCH(COLUMNS($AC$1006:AJ1006),$AC$1006:$AS$1006,0))&gt;=100000), " ",IF(INDEX($AC$2:$AS$1001,MATCH(ROWS($V$2:V584),$V$2:$V$1001,0),MATCH(COLUMNS($AC$1006:AJ1006),$AC$1006:$AS$1006,0)), HYPERLINK("#",""), HYPERLINK(CONCATENATE("#metadata!", ADDRESS(INDEX($X$2:$X$1001,MATCH(ROWS($V$2:V584),$V$2:$V$1001,0),0), INDEX($AC$1004:$AS$1004,1,MATCH(COLUMNS($AC$1006:AJ1006),$AC$1006:$AS$1006,0)))),"Fix")))</f>
        <v xml:space="preserve"> </v>
      </c>
      <c r="J584" s="4" t="str">
        <f ca="1">IF(OR(INDEX($W$2:$W$1001,MATCH(ROWS($V$2:V584),$V$2:$V$1001,0),1)&gt;=100000,INDEX($AC$1005:$AS$1005,1,MATCH(COLUMNS($AC$1006:AK1006),$AC$1006:$AS$1006,0))&gt;=100000), " ",IF(INDEX($AC$2:$AS$1001,MATCH(ROWS($V$2:V584),$V$2:$V$1001,0),MATCH(COLUMNS($AC$1006:AK1006),$AC$1006:$AS$1006,0)), HYPERLINK("#",""), HYPERLINK(CONCATENATE("#metadata!", ADDRESS(INDEX($X$2:$X$1001,MATCH(ROWS($V$2:V584),$V$2:$V$1001,0),0), INDEX($AC$1004:$AS$1004,1,MATCH(COLUMNS($AC$1006:AK1006),$AC$1006:$AS$1006,0)))),"Fix")))</f>
        <v xml:space="preserve"> </v>
      </c>
      <c r="K584" s="4" t="str">
        <f ca="1">IF(OR(INDEX($W$2:$W$1001,MATCH(ROWS($V$2:V584),$V$2:$V$1001,0),1)&gt;=100000,INDEX($AC$1005:$AS$1005,1,MATCH(COLUMNS($AC$1006:AL1006),$AC$1006:$AS$1006,0))&gt;=100000), " ",IF(INDEX($AC$2:$AS$1001,MATCH(ROWS($V$2:V584),$V$2:$V$1001,0),MATCH(COLUMNS($AC$1006:AL1006),$AC$1006:$AS$1006,0)), HYPERLINK("#",""), HYPERLINK(CONCATENATE("#metadata!", ADDRESS(INDEX($X$2:$X$1001,MATCH(ROWS($V$2:V584),$V$2:$V$1001,0),0), INDEX($AC$1004:$AS$1004,1,MATCH(COLUMNS($AC$1006:AL1006),$AC$1006:$AS$1006,0)))),"Fix")))</f>
        <v xml:space="preserve"> </v>
      </c>
      <c r="L584" s="4" t="str">
        <f ca="1">IF(OR(INDEX($W$2:$W$1001,MATCH(ROWS($V$2:V584),$V$2:$V$1001,0),1)&gt;=100000,INDEX($AC$1005:$AS$1005,1,MATCH(COLUMNS($AC$1006:AM1006),$AC$1006:$AS$1006,0))&gt;=100000), " ",IF(INDEX($AC$2:$AS$1001,MATCH(ROWS($V$2:V584),$V$2:$V$1001,0),MATCH(COLUMNS($AC$1006:AM1006),$AC$1006:$AS$1006,0)), HYPERLINK("#",""), HYPERLINK(CONCATENATE("#metadata!", ADDRESS(INDEX($X$2:$X$1001,MATCH(ROWS($V$2:V584),$V$2:$V$1001,0),0), INDEX($AC$1004:$AS$1004,1,MATCH(COLUMNS($AC$1006:AM1006),$AC$1006:$AS$1006,0)))),"Fix")))</f>
        <v xml:space="preserve"> </v>
      </c>
      <c r="M584" s="4" t="str">
        <f ca="1">IF(OR(INDEX($W$2:$W$1001,MATCH(ROWS($V$2:V584),$V$2:$V$1001,0),1)&gt;=100000,INDEX($AC$1005:$AS$1005,1,MATCH(COLUMNS($AC$1006:AN1006),$AC$1006:$AS$1006,0))&gt;=100000), " ",IF(INDEX($AC$2:$AS$1001,MATCH(ROWS($V$2:V584),$V$2:$V$1001,0),MATCH(COLUMNS($AC$1006:AN1006),$AC$1006:$AS$1006,0)), HYPERLINK("#",""), HYPERLINK(CONCATENATE("#metadata!", ADDRESS(INDEX($X$2:$X$1001,MATCH(ROWS($V$2:V584),$V$2:$V$1001,0),0), INDEX($AC$1004:$AS$1004,1,MATCH(COLUMNS($AC$1006:AN1006),$AC$1006:$AS$1006,0)))),"Fix")))</f>
        <v xml:space="preserve"> </v>
      </c>
      <c r="N584" s="4" t="str">
        <f ca="1">IF(OR(INDEX($W$2:$W$1001,MATCH(ROWS($V$2:V584),$V$2:$V$1001,0),1)&gt;=100000,INDEX($AC$1005:$AS$1005,1,MATCH(COLUMNS($AC$1006:AO1006),$AC$1006:$AS$1006,0))&gt;=100000), " ",IF(INDEX($AC$2:$AS$1001,MATCH(ROWS($V$2:V584),$V$2:$V$1001,0),MATCH(COLUMNS($AC$1006:AO1006),$AC$1006:$AS$1006,0)), HYPERLINK("#",""), HYPERLINK(CONCATENATE("#metadata!", ADDRESS(INDEX($X$2:$X$1001,MATCH(ROWS($V$2:V584),$V$2:$V$1001,0),0), INDEX($AC$1004:$AS$1004,1,MATCH(COLUMNS($AC$1006:AO1006),$AC$1006:$AS$1006,0)))),"Fix")))</f>
        <v xml:space="preserve"> </v>
      </c>
      <c r="O584" s="4" t="str">
        <f ca="1">IF(OR(INDEX($W$2:$W$1001,MATCH(ROWS($V$2:V584),$V$2:$V$1001,0),1)&gt;=100000,INDEX($AC$1005:$AS$1005,1,MATCH(COLUMNS($AC$1006:AP1006),$AC$1006:$AS$1006,0))&gt;=100000), " ",IF(INDEX($AC$2:$AS$1001,MATCH(ROWS($V$2:V584),$V$2:$V$1001,0),MATCH(COLUMNS($AC$1006:AP1006),$AC$1006:$AS$1006,0)), HYPERLINK("#",""), HYPERLINK(CONCATENATE("#metadata!", ADDRESS(INDEX($X$2:$X$1001,MATCH(ROWS($V$2:V584),$V$2:$V$1001,0),0), INDEX($AC$1004:$AS$1004,1,MATCH(COLUMNS($AC$1006:AP1006),$AC$1006:$AS$1006,0)))),"Fix")))</f>
        <v xml:space="preserve"> </v>
      </c>
      <c r="P584" s="4" t="str">
        <f ca="1">IF(OR(INDEX($W$2:$W$1001,MATCH(ROWS($V$2:V584),$V$2:$V$1001,0),1)&gt;=100000,INDEX($AC$1005:$AS$1005,1,MATCH(COLUMNS($AC$1006:AQ1006),$AC$1006:$AS$1006,0))&gt;=100000), " ",IF(INDEX($AC$2:$AS$1001,MATCH(ROWS($V$2:V584),$V$2:$V$1001,0),MATCH(COLUMNS($AC$1006:AQ1006),$AC$1006:$AS$1006,0)), HYPERLINK("#",""), HYPERLINK(CONCATENATE("#metadata!", ADDRESS(INDEX($X$2:$X$1001,MATCH(ROWS($V$2:V584),$V$2:$V$1001,0),0), INDEX($AC$1004:$AS$1004,1,MATCH(COLUMNS($AC$1006:AQ1006),$AC$1006:$AS$1006,0)))),"Fix")))</f>
        <v xml:space="preserve"> </v>
      </c>
      <c r="Q584" s="4" t="str">
        <f ca="1">IF(OR(INDEX($W$2:$W$1001,MATCH(ROWS($V$2:V584),$V$2:$V$1001,0),1)&gt;=100000,INDEX($AC$1005:$AS$1005,1,MATCH(COLUMNS($AC$1006:AR1006),$AC$1006:$AS$1006,0))&gt;=100000), " ",IF(INDEX($AC$2:$AS$1001,MATCH(ROWS($V$2:V584),$V$2:$V$1001,0),MATCH(COLUMNS($AC$1006:AR1006),$AC$1006:$AS$1006,0)), HYPERLINK("#",""), HYPERLINK(CONCATENATE("#metadata!", ADDRESS(INDEX($X$2:$X$1001,MATCH(ROWS($V$2:V584),$V$2:$V$1001,0),0), INDEX($AC$1004:$AS$1004,1,MATCH(COLUMNS($AC$1006:AR1006),$AC$1006:$AS$1006,0)))),"Fix")))</f>
        <v xml:space="preserve"> </v>
      </c>
      <c r="R584" s="4" t="str">
        <f ca="1">IF(OR(INDEX($W$2:$W$1001,MATCH(ROWS($V$2:V584),$V$2:$V$1001,0),1)&gt;=100000,INDEX($AC$1005:$AS$1005,1,MATCH(COLUMNS($AC$1006:AS1006),$AC$1006:$AS$1006,0))&gt;=100000), " ",IF(INDEX($AC$2:$AS$1001,MATCH(ROWS($V$2:V584),$V$2:$V$1001,0),MATCH(COLUMNS($AC$1006:AS1006),$AC$1006:$AS$1006,0)), HYPERLINK("#",""), HYPERLINK(CONCATENATE("#metadata!", ADDRESS(INDEX($X$2:$X$1001,MATCH(ROWS($V$2:V584),$V$2:$V$1001,0),0), INDEX($AC$1004:$AS$1004,1,MATCH(COLUMNS($AC$1006:AS1006),$AC$1006:$AS$1006,0)))),"Fix")))</f>
        <v xml:space="preserve"> </v>
      </c>
      <c r="V584">
        <v>583</v>
      </c>
      <c r="W584">
        <v>100584</v>
      </c>
      <c r="X584">
        <v>584</v>
      </c>
      <c r="Y584" t="b">
        <f t="shared" si="9"/>
        <v>1</v>
      </c>
      <c r="Z584" t="b">
        <f>COUNTBLANK(metadata!B584:R584)=COLUMNS(metadata!B584:R584)</f>
        <v>1</v>
      </c>
      <c r="AA584" t="str">
        <v/>
      </c>
      <c r="AC584" t="b">
        <f ca="1"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AD584" t="b">
        <f>IF(metadata!C584="",FALSE,ISNUMBER(VALUE(metadata!C584)))</f>
        <v>0</v>
      </c>
      <c r="AE584" t="b">
        <f>AND(IF(metadata!D584="",FALSE,TRUE),EXACT(metadata!D584,"years"))</f>
        <v>0</v>
      </c>
      <c r="AF584" t="b">
        <f>OR(AND(IF(metadata!E584="",FALSE,TRUE),OR(EXACT(metadata!E584,"not applicable"),EXACT(metadata!E584,"missing: not collected"),EXACT(metadata!E584,"missing: not provided"),EXACT(metadata!E584,"missing: restricted access"))),AND(IF(metadata!E584="",FALSE,ISNUMBER(VALUE(metadata!E584))),metadata!E584&gt;0))</f>
        <v>0</v>
      </c>
      <c r="AG584" t="b">
        <f>AND(IF(metadata!F584="",FALSE,TRUE),EXACT(metadata!F584,"Not applicable"))</f>
        <v>0</v>
      </c>
      <c r="AH584" t="b">
        <f>AND(IF(metadata!G584="",FALSE,TRUE),EXACT(metadata!G584,"urban biome"))</f>
        <v>0</v>
      </c>
      <c r="AI584" t="b">
        <f>AND(IF(metadata!H584="",FALSE,TRUE),EXACT(metadata!H584,"human-associated habitat"))</f>
        <v>0</v>
      </c>
      <c r="AJ584" t="b">
        <f>AND(IF(metadata!I584="",FALSE,TRUE),OR(EXACT(metadata!I584,"human-associated"),EXACT(metadata!I584,"human-skin"),EXACT(metadata!I584,"human-oral"),EXACT(metadata!I584,"human-gut"),EXACT(metadata!I584,"human-vaginal")))</f>
        <v>0</v>
      </c>
      <c r="AK584" t="b">
        <f>IF(metadata!J584="",FALSE,ISNUMBER(VALUE(metadata!J584)))</f>
        <v>0</v>
      </c>
      <c r="AL584" t="b">
        <f>AND(IF(metadata!K584="",FALSE,TRUE),EXACT(metadata!K584,"cm"))</f>
        <v>0</v>
      </c>
      <c r="AM584" t="b">
        <f>AND(IF(metadata!L584="",FALSE,TRUE),EXACT(metadata!L584,"human"))</f>
        <v>0</v>
      </c>
      <c r="AN584" t="b">
        <f>AND(IF(metadata!M584="",FALSE,TRUE),EXACT(metadata!M584,"Homo sapiens"))</f>
        <v>0</v>
      </c>
      <c r="AO584" t="b">
        <f>AND(IF(metadata!N584="",FALSE,TRUE),EXACT(metadata!N584,"9606"))</f>
        <v>0</v>
      </c>
      <c r="AP584" t="b">
        <f>IF(metadata!O584="",FALSE,TRUE)</f>
        <v>0</v>
      </c>
      <c r="AQ584" t="b">
        <f>IF(metadata!P584="",FALSE,TRUE)</f>
        <v>0</v>
      </c>
      <c r="AR584" t="b">
        <f>IF(metadata!Q584="",FALSE,ISNUMBER(VALUE(metadata!Q584)))</f>
        <v>0</v>
      </c>
      <c r="AS584" t="b">
        <f>AND(IF(metadata!R584="",FALSE,TRUE),EXACT(metadata!R584,"kg"))</f>
        <v>0</v>
      </c>
    </row>
    <row r="585" spans="1:45" x14ac:dyDescent="0.2">
      <c r="A585" s="5" t="str">
        <f ca="1">IF(B585=" "," ",HYPERLINK(CONCATENATE("#metadata!",ADDRESS(INDEX($X$2:$X$1001,MATCH(ROWS($V$2:V585),$V$2:$V$1001,0),0),1)),INDEX($AA$2:$AA$1001,MATCH(ROWS($V$2:V585),$V$2:$V$1001,0),0)))</f>
        <v xml:space="preserve"> </v>
      </c>
      <c r="B585" s="4" t="str">
        <f ca="1">IF(OR(INDEX($W$2:$W$1001,MATCH(ROWS($V$2:V585),$V$2:$V$1001,0),1)&gt;=100000,INDEX($AC$1005:$AS$1005,1,MATCH(COLUMNS($AC$1006:AC1006),$AC$1006:$AS$1006,0))&gt;=100000), " ",IF(INDEX($AC$2:$AS$1001,MATCH(ROWS($V$2:V585),$V$2:$V$1001,0),MATCH(COLUMNS($AC$1006:AC1006),$AC$1006:$AS$1006,0)), HYPERLINK("#",""), HYPERLINK(CONCATENATE("#metadata!", ADDRESS(INDEX($X$2:$X$1001,MATCH(ROWS($V$2:V585),$V$2:$V$1001,0),0), INDEX($AC$1004:$AS$1004,1,MATCH(COLUMNS($AC$1006:AC1006),$AC$1006:$AS$1006,0)))),"Fix")))</f>
        <v xml:space="preserve"> </v>
      </c>
      <c r="C585" s="4" t="str">
        <f ca="1">IF(OR(INDEX($W$2:$W$1001,MATCH(ROWS($V$2:V585),$V$2:$V$1001,0),1)&gt;=100000,INDEX($AC$1005:$AS$1005,1,MATCH(COLUMNS($AC$1006:AD1006),$AC$1006:$AS$1006,0))&gt;=100000), " ",IF(INDEX($AC$2:$AS$1001,MATCH(ROWS($V$2:V585),$V$2:$V$1001,0),MATCH(COLUMNS($AC$1006:AD1006),$AC$1006:$AS$1006,0)), HYPERLINK("#",""), HYPERLINK(CONCATENATE("#metadata!", ADDRESS(INDEX($X$2:$X$1001,MATCH(ROWS($V$2:V585),$V$2:$V$1001,0),0), INDEX($AC$1004:$AS$1004,1,MATCH(COLUMNS($AC$1006:AD1006),$AC$1006:$AS$1006,0)))),"Fix")))</f>
        <v xml:space="preserve"> </v>
      </c>
      <c r="D585" s="4" t="str">
        <f ca="1">IF(OR(INDEX($W$2:$W$1001,MATCH(ROWS($V$2:V585),$V$2:$V$1001,0),1)&gt;=100000,INDEX($AC$1005:$AS$1005,1,MATCH(COLUMNS($AC$1006:AE1006),$AC$1006:$AS$1006,0))&gt;=100000), " ",IF(INDEX($AC$2:$AS$1001,MATCH(ROWS($V$2:V585),$V$2:$V$1001,0),MATCH(COLUMNS($AC$1006:AE1006),$AC$1006:$AS$1006,0)), HYPERLINK("#",""), HYPERLINK(CONCATENATE("#metadata!", ADDRESS(INDEX($X$2:$X$1001,MATCH(ROWS($V$2:V585),$V$2:$V$1001,0),0), INDEX($AC$1004:$AS$1004,1,MATCH(COLUMNS($AC$1006:AE1006),$AC$1006:$AS$1006,0)))),"Fix")))</f>
        <v xml:space="preserve"> </v>
      </c>
      <c r="E585" s="4" t="str">
        <f ca="1">IF(OR(INDEX($W$2:$W$1001,MATCH(ROWS($V$2:V585),$V$2:$V$1001,0),1)&gt;=100000,INDEX($AC$1005:$AS$1005,1,MATCH(COLUMNS($AC$1006:AF1006),$AC$1006:$AS$1006,0))&gt;=100000), " ",IF(INDEX($AC$2:$AS$1001,MATCH(ROWS($V$2:V585),$V$2:$V$1001,0),MATCH(COLUMNS($AC$1006:AF1006),$AC$1006:$AS$1006,0)), HYPERLINK("#",""), HYPERLINK(CONCATENATE("#metadata!", ADDRESS(INDEX($X$2:$X$1001,MATCH(ROWS($V$2:V585),$V$2:$V$1001,0),0), INDEX($AC$1004:$AS$1004,1,MATCH(COLUMNS($AC$1006:AF1006),$AC$1006:$AS$1006,0)))),"Fix")))</f>
        <v xml:space="preserve"> </v>
      </c>
      <c r="F585" s="4" t="str">
        <f ca="1">IF(OR(INDEX($W$2:$W$1001,MATCH(ROWS($V$2:V585),$V$2:$V$1001,0),1)&gt;=100000,INDEX($AC$1005:$AS$1005,1,MATCH(COLUMNS($AC$1006:AG1006),$AC$1006:$AS$1006,0))&gt;=100000), " ",IF(INDEX($AC$2:$AS$1001,MATCH(ROWS($V$2:V585),$V$2:$V$1001,0),MATCH(COLUMNS($AC$1006:AG1006),$AC$1006:$AS$1006,0)), HYPERLINK("#",""), HYPERLINK(CONCATENATE("#metadata!", ADDRESS(INDEX($X$2:$X$1001,MATCH(ROWS($V$2:V585),$V$2:$V$1001,0),0), INDEX($AC$1004:$AS$1004,1,MATCH(COLUMNS($AC$1006:AG1006),$AC$1006:$AS$1006,0)))),"Fix")))</f>
        <v xml:space="preserve"> </v>
      </c>
      <c r="G585" s="4" t="str">
        <f ca="1">IF(OR(INDEX($W$2:$W$1001,MATCH(ROWS($V$2:V585),$V$2:$V$1001,0),1)&gt;=100000,INDEX($AC$1005:$AS$1005,1,MATCH(COLUMNS($AC$1006:AH1006),$AC$1006:$AS$1006,0))&gt;=100000), " ",IF(INDEX($AC$2:$AS$1001,MATCH(ROWS($V$2:V585),$V$2:$V$1001,0),MATCH(COLUMNS($AC$1006:AH1006),$AC$1006:$AS$1006,0)), HYPERLINK("#",""), HYPERLINK(CONCATENATE("#metadata!", ADDRESS(INDEX($X$2:$X$1001,MATCH(ROWS($V$2:V585),$V$2:$V$1001,0),0), INDEX($AC$1004:$AS$1004,1,MATCH(COLUMNS($AC$1006:AH1006),$AC$1006:$AS$1006,0)))),"Fix")))</f>
        <v xml:space="preserve"> </v>
      </c>
      <c r="H585" s="4" t="str">
        <f ca="1">IF(OR(INDEX($W$2:$W$1001,MATCH(ROWS($V$2:V585),$V$2:$V$1001,0),1)&gt;=100000,INDEX($AC$1005:$AS$1005,1,MATCH(COLUMNS($AC$1006:AI1006),$AC$1006:$AS$1006,0))&gt;=100000), " ",IF(INDEX($AC$2:$AS$1001,MATCH(ROWS($V$2:V585),$V$2:$V$1001,0),MATCH(COLUMNS($AC$1006:AI1006),$AC$1006:$AS$1006,0)), HYPERLINK("#",""), HYPERLINK(CONCATENATE("#metadata!", ADDRESS(INDEX($X$2:$X$1001,MATCH(ROWS($V$2:V585),$V$2:$V$1001,0),0), INDEX($AC$1004:$AS$1004,1,MATCH(COLUMNS($AC$1006:AI1006),$AC$1006:$AS$1006,0)))),"Fix")))</f>
        <v xml:space="preserve"> </v>
      </c>
      <c r="I585" s="4" t="str">
        <f ca="1">IF(OR(INDEX($W$2:$W$1001,MATCH(ROWS($V$2:V585),$V$2:$V$1001,0),1)&gt;=100000,INDEX($AC$1005:$AS$1005,1,MATCH(COLUMNS($AC$1006:AJ1006),$AC$1006:$AS$1006,0))&gt;=100000), " ",IF(INDEX($AC$2:$AS$1001,MATCH(ROWS($V$2:V585),$V$2:$V$1001,0),MATCH(COLUMNS($AC$1006:AJ1006),$AC$1006:$AS$1006,0)), HYPERLINK("#",""), HYPERLINK(CONCATENATE("#metadata!", ADDRESS(INDEX($X$2:$X$1001,MATCH(ROWS($V$2:V585),$V$2:$V$1001,0),0), INDEX($AC$1004:$AS$1004,1,MATCH(COLUMNS($AC$1006:AJ1006),$AC$1006:$AS$1006,0)))),"Fix")))</f>
        <v xml:space="preserve"> </v>
      </c>
      <c r="J585" s="4" t="str">
        <f ca="1">IF(OR(INDEX($W$2:$W$1001,MATCH(ROWS($V$2:V585),$V$2:$V$1001,0),1)&gt;=100000,INDEX($AC$1005:$AS$1005,1,MATCH(COLUMNS($AC$1006:AK1006),$AC$1006:$AS$1006,0))&gt;=100000), " ",IF(INDEX($AC$2:$AS$1001,MATCH(ROWS($V$2:V585),$V$2:$V$1001,0),MATCH(COLUMNS($AC$1006:AK1006),$AC$1006:$AS$1006,0)), HYPERLINK("#",""), HYPERLINK(CONCATENATE("#metadata!", ADDRESS(INDEX($X$2:$X$1001,MATCH(ROWS($V$2:V585),$V$2:$V$1001,0),0), INDEX($AC$1004:$AS$1004,1,MATCH(COLUMNS($AC$1006:AK1006),$AC$1006:$AS$1006,0)))),"Fix")))</f>
        <v xml:space="preserve"> </v>
      </c>
      <c r="K585" s="4" t="str">
        <f ca="1">IF(OR(INDEX($W$2:$W$1001,MATCH(ROWS($V$2:V585),$V$2:$V$1001,0),1)&gt;=100000,INDEX($AC$1005:$AS$1005,1,MATCH(COLUMNS($AC$1006:AL1006),$AC$1006:$AS$1006,0))&gt;=100000), " ",IF(INDEX($AC$2:$AS$1001,MATCH(ROWS($V$2:V585),$V$2:$V$1001,0),MATCH(COLUMNS($AC$1006:AL1006),$AC$1006:$AS$1006,0)), HYPERLINK("#",""), HYPERLINK(CONCATENATE("#metadata!", ADDRESS(INDEX($X$2:$X$1001,MATCH(ROWS($V$2:V585),$V$2:$V$1001,0),0), INDEX($AC$1004:$AS$1004,1,MATCH(COLUMNS($AC$1006:AL1006),$AC$1006:$AS$1006,0)))),"Fix")))</f>
        <v xml:space="preserve"> </v>
      </c>
      <c r="L585" s="4" t="str">
        <f ca="1">IF(OR(INDEX($W$2:$W$1001,MATCH(ROWS($V$2:V585),$V$2:$V$1001,0),1)&gt;=100000,INDEX($AC$1005:$AS$1005,1,MATCH(COLUMNS($AC$1006:AM1006),$AC$1006:$AS$1006,0))&gt;=100000), " ",IF(INDEX($AC$2:$AS$1001,MATCH(ROWS($V$2:V585),$V$2:$V$1001,0),MATCH(COLUMNS($AC$1006:AM1006),$AC$1006:$AS$1006,0)), HYPERLINK("#",""), HYPERLINK(CONCATENATE("#metadata!", ADDRESS(INDEX($X$2:$X$1001,MATCH(ROWS($V$2:V585),$V$2:$V$1001,0),0), INDEX($AC$1004:$AS$1004,1,MATCH(COLUMNS($AC$1006:AM1006),$AC$1006:$AS$1006,0)))),"Fix")))</f>
        <v xml:space="preserve"> </v>
      </c>
      <c r="M585" s="4" t="str">
        <f ca="1">IF(OR(INDEX($W$2:$W$1001,MATCH(ROWS($V$2:V585),$V$2:$V$1001,0),1)&gt;=100000,INDEX($AC$1005:$AS$1005,1,MATCH(COLUMNS($AC$1006:AN1006),$AC$1006:$AS$1006,0))&gt;=100000), " ",IF(INDEX($AC$2:$AS$1001,MATCH(ROWS($V$2:V585),$V$2:$V$1001,0),MATCH(COLUMNS($AC$1006:AN1006),$AC$1006:$AS$1006,0)), HYPERLINK("#",""), HYPERLINK(CONCATENATE("#metadata!", ADDRESS(INDEX($X$2:$X$1001,MATCH(ROWS($V$2:V585),$V$2:$V$1001,0),0), INDEX($AC$1004:$AS$1004,1,MATCH(COLUMNS($AC$1006:AN1006),$AC$1006:$AS$1006,0)))),"Fix")))</f>
        <v xml:space="preserve"> </v>
      </c>
      <c r="N585" s="4" t="str">
        <f ca="1">IF(OR(INDEX($W$2:$W$1001,MATCH(ROWS($V$2:V585),$V$2:$V$1001,0),1)&gt;=100000,INDEX($AC$1005:$AS$1005,1,MATCH(COLUMNS($AC$1006:AO1006),$AC$1006:$AS$1006,0))&gt;=100000), " ",IF(INDEX($AC$2:$AS$1001,MATCH(ROWS($V$2:V585),$V$2:$V$1001,0),MATCH(COLUMNS($AC$1006:AO1006),$AC$1006:$AS$1006,0)), HYPERLINK("#",""), HYPERLINK(CONCATENATE("#metadata!", ADDRESS(INDEX($X$2:$X$1001,MATCH(ROWS($V$2:V585),$V$2:$V$1001,0),0), INDEX($AC$1004:$AS$1004,1,MATCH(COLUMNS($AC$1006:AO1006),$AC$1006:$AS$1006,0)))),"Fix")))</f>
        <v xml:space="preserve"> </v>
      </c>
      <c r="O585" s="4" t="str">
        <f ca="1">IF(OR(INDEX($W$2:$W$1001,MATCH(ROWS($V$2:V585),$V$2:$V$1001,0),1)&gt;=100000,INDEX($AC$1005:$AS$1005,1,MATCH(COLUMNS($AC$1006:AP1006),$AC$1006:$AS$1006,0))&gt;=100000), " ",IF(INDEX($AC$2:$AS$1001,MATCH(ROWS($V$2:V585),$V$2:$V$1001,0),MATCH(COLUMNS($AC$1006:AP1006),$AC$1006:$AS$1006,0)), HYPERLINK("#",""), HYPERLINK(CONCATENATE("#metadata!", ADDRESS(INDEX($X$2:$X$1001,MATCH(ROWS($V$2:V585),$V$2:$V$1001,0),0), INDEX($AC$1004:$AS$1004,1,MATCH(COLUMNS($AC$1006:AP1006),$AC$1006:$AS$1006,0)))),"Fix")))</f>
        <v xml:space="preserve"> </v>
      </c>
      <c r="P585" s="4" t="str">
        <f ca="1">IF(OR(INDEX($W$2:$W$1001,MATCH(ROWS($V$2:V585),$V$2:$V$1001,0),1)&gt;=100000,INDEX($AC$1005:$AS$1005,1,MATCH(COLUMNS($AC$1006:AQ1006),$AC$1006:$AS$1006,0))&gt;=100000), " ",IF(INDEX($AC$2:$AS$1001,MATCH(ROWS($V$2:V585),$V$2:$V$1001,0),MATCH(COLUMNS($AC$1006:AQ1006),$AC$1006:$AS$1006,0)), HYPERLINK("#",""), HYPERLINK(CONCATENATE("#metadata!", ADDRESS(INDEX($X$2:$X$1001,MATCH(ROWS($V$2:V585),$V$2:$V$1001,0),0), INDEX($AC$1004:$AS$1004,1,MATCH(COLUMNS($AC$1006:AQ1006),$AC$1006:$AS$1006,0)))),"Fix")))</f>
        <v xml:space="preserve"> </v>
      </c>
      <c r="Q585" s="4" t="str">
        <f ca="1">IF(OR(INDEX($W$2:$W$1001,MATCH(ROWS($V$2:V585),$V$2:$V$1001,0),1)&gt;=100000,INDEX($AC$1005:$AS$1005,1,MATCH(COLUMNS($AC$1006:AR1006),$AC$1006:$AS$1006,0))&gt;=100000), " ",IF(INDEX($AC$2:$AS$1001,MATCH(ROWS($V$2:V585),$V$2:$V$1001,0),MATCH(COLUMNS($AC$1006:AR1006),$AC$1006:$AS$1006,0)), HYPERLINK("#",""), HYPERLINK(CONCATENATE("#metadata!", ADDRESS(INDEX($X$2:$X$1001,MATCH(ROWS($V$2:V585),$V$2:$V$1001,0),0), INDEX($AC$1004:$AS$1004,1,MATCH(COLUMNS($AC$1006:AR1006),$AC$1006:$AS$1006,0)))),"Fix")))</f>
        <v xml:space="preserve"> </v>
      </c>
      <c r="R585" s="4" t="str">
        <f ca="1">IF(OR(INDEX($W$2:$W$1001,MATCH(ROWS($V$2:V585),$V$2:$V$1001,0),1)&gt;=100000,INDEX($AC$1005:$AS$1005,1,MATCH(COLUMNS($AC$1006:AS1006),$AC$1006:$AS$1006,0))&gt;=100000), " ",IF(INDEX($AC$2:$AS$1001,MATCH(ROWS($V$2:V585),$V$2:$V$1001,0),MATCH(COLUMNS($AC$1006:AS1006),$AC$1006:$AS$1006,0)), HYPERLINK("#",""), HYPERLINK(CONCATENATE("#metadata!", ADDRESS(INDEX($X$2:$X$1001,MATCH(ROWS($V$2:V585),$V$2:$V$1001,0),0), INDEX($AC$1004:$AS$1004,1,MATCH(COLUMNS($AC$1006:AS1006),$AC$1006:$AS$1006,0)))),"Fix")))</f>
        <v xml:space="preserve"> </v>
      </c>
      <c r="V585">
        <v>584</v>
      </c>
      <c r="W585">
        <v>100585</v>
      </c>
      <c r="X585">
        <v>585</v>
      </c>
      <c r="Y585" t="b">
        <f t="shared" si="9"/>
        <v>1</v>
      </c>
      <c r="Z585" t="b">
        <f>COUNTBLANK(metadata!B585:R585)=COLUMNS(metadata!B585:R585)</f>
        <v>1</v>
      </c>
      <c r="AA585" t="str">
        <v/>
      </c>
      <c r="AC585" t="b">
        <f ca="1"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AD585" t="b">
        <f>IF(metadata!C585="",FALSE,ISNUMBER(VALUE(metadata!C585)))</f>
        <v>0</v>
      </c>
      <c r="AE585" t="b">
        <f>AND(IF(metadata!D585="",FALSE,TRUE),EXACT(metadata!D585,"years"))</f>
        <v>0</v>
      </c>
      <c r="AF585" t="b">
        <f>OR(AND(IF(metadata!E585="",FALSE,TRUE),OR(EXACT(metadata!E585,"not applicable"),EXACT(metadata!E585,"missing: not collected"),EXACT(metadata!E585,"missing: not provided"),EXACT(metadata!E585,"missing: restricted access"))),AND(IF(metadata!E585="",FALSE,ISNUMBER(VALUE(metadata!E585))),metadata!E585&gt;0))</f>
        <v>0</v>
      </c>
      <c r="AG585" t="b">
        <f>AND(IF(metadata!F585="",FALSE,TRUE),EXACT(metadata!F585,"Not applicable"))</f>
        <v>0</v>
      </c>
      <c r="AH585" t="b">
        <f>AND(IF(metadata!G585="",FALSE,TRUE),EXACT(metadata!G585,"urban biome"))</f>
        <v>0</v>
      </c>
      <c r="AI585" t="b">
        <f>AND(IF(metadata!H585="",FALSE,TRUE),EXACT(metadata!H585,"human-associated habitat"))</f>
        <v>0</v>
      </c>
      <c r="AJ585" t="b">
        <f>AND(IF(metadata!I585="",FALSE,TRUE),OR(EXACT(metadata!I585,"human-associated"),EXACT(metadata!I585,"human-skin"),EXACT(metadata!I585,"human-oral"),EXACT(metadata!I585,"human-gut"),EXACT(metadata!I585,"human-vaginal")))</f>
        <v>0</v>
      </c>
      <c r="AK585" t="b">
        <f>IF(metadata!J585="",FALSE,ISNUMBER(VALUE(metadata!J585)))</f>
        <v>0</v>
      </c>
      <c r="AL585" t="b">
        <f>AND(IF(metadata!K585="",FALSE,TRUE),EXACT(metadata!K585,"cm"))</f>
        <v>0</v>
      </c>
      <c r="AM585" t="b">
        <f>AND(IF(metadata!L585="",FALSE,TRUE),EXACT(metadata!L585,"human"))</f>
        <v>0</v>
      </c>
      <c r="AN585" t="b">
        <f>AND(IF(metadata!M585="",FALSE,TRUE),EXACT(metadata!M585,"Homo sapiens"))</f>
        <v>0</v>
      </c>
      <c r="AO585" t="b">
        <f>AND(IF(metadata!N585="",FALSE,TRUE),EXACT(metadata!N585,"9606"))</f>
        <v>0</v>
      </c>
      <c r="AP585" t="b">
        <f>IF(metadata!O585="",FALSE,TRUE)</f>
        <v>0</v>
      </c>
      <c r="AQ585" t="b">
        <f>IF(metadata!P585="",FALSE,TRUE)</f>
        <v>0</v>
      </c>
      <c r="AR585" t="b">
        <f>IF(metadata!Q585="",FALSE,ISNUMBER(VALUE(metadata!Q585)))</f>
        <v>0</v>
      </c>
      <c r="AS585" t="b">
        <f>AND(IF(metadata!R585="",FALSE,TRUE),EXACT(metadata!R585,"kg"))</f>
        <v>0</v>
      </c>
    </row>
    <row r="586" spans="1:45" x14ac:dyDescent="0.2">
      <c r="A586" s="5" t="str">
        <f ca="1">IF(B586=" "," ",HYPERLINK(CONCATENATE("#metadata!",ADDRESS(INDEX($X$2:$X$1001,MATCH(ROWS($V$2:V586),$V$2:$V$1001,0),0),1)),INDEX($AA$2:$AA$1001,MATCH(ROWS($V$2:V586),$V$2:$V$1001,0),0)))</f>
        <v xml:space="preserve"> </v>
      </c>
      <c r="B586" s="4" t="str">
        <f ca="1">IF(OR(INDEX($W$2:$W$1001,MATCH(ROWS($V$2:V586),$V$2:$V$1001,0),1)&gt;=100000,INDEX($AC$1005:$AS$1005,1,MATCH(COLUMNS($AC$1006:AC1006),$AC$1006:$AS$1006,0))&gt;=100000), " ",IF(INDEX($AC$2:$AS$1001,MATCH(ROWS($V$2:V586),$V$2:$V$1001,0),MATCH(COLUMNS($AC$1006:AC1006),$AC$1006:$AS$1006,0)), HYPERLINK("#",""), HYPERLINK(CONCATENATE("#metadata!", ADDRESS(INDEX($X$2:$X$1001,MATCH(ROWS($V$2:V586),$V$2:$V$1001,0),0), INDEX($AC$1004:$AS$1004,1,MATCH(COLUMNS($AC$1006:AC1006),$AC$1006:$AS$1006,0)))),"Fix")))</f>
        <v xml:space="preserve"> </v>
      </c>
      <c r="C586" s="4" t="str">
        <f ca="1">IF(OR(INDEX($W$2:$W$1001,MATCH(ROWS($V$2:V586),$V$2:$V$1001,0),1)&gt;=100000,INDEX($AC$1005:$AS$1005,1,MATCH(COLUMNS($AC$1006:AD1006),$AC$1006:$AS$1006,0))&gt;=100000), " ",IF(INDEX($AC$2:$AS$1001,MATCH(ROWS($V$2:V586),$V$2:$V$1001,0),MATCH(COLUMNS($AC$1006:AD1006),$AC$1006:$AS$1006,0)), HYPERLINK("#",""), HYPERLINK(CONCATENATE("#metadata!", ADDRESS(INDEX($X$2:$X$1001,MATCH(ROWS($V$2:V586),$V$2:$V$1001,0),0), INDEX($AC$1004:$AS$1004,1,MATCH(COLUMNS($AC$1006:AD1006),$AC$1006:$AS$1006,0)))),"Fix")))</f>
        <v xml:space="preserve"> </v>
      </c>
      <c r="D586" s="4" t="str">
        <f ca="1">IF(OR(INDEX($W$2:$W$1001,MATCH(ROWS($V$2:V586),$V$2:$V$1001,0),1)&gt;=100000,INDEX($AC$1005:$AS$1005,1,MATCH(COLUMNS($AC$1006:AE1006),$AC$1006:$AS$1006,0))&gt;=100000), " ",IF(INDEX($AC$2:$AS$1001,MATCH(ROWS($V$2:V586),$V$2:$V$1001,0),MATCH(COLUMNS($AC$1006:AE1006),$AC$1006:$AS$1006,0)), HYPERLINK("#",""), HYPERLINK(CONCATENATE("#metadata!", ADDRESS(INDEX($X$2:$X$1001,MATCH(ROWS($V$2:V586),$V$2:$V$1001,0),0), INDEX($AC$1004:$AS$1004,1,MATCH(COLUMNS($AC$1006:AE1006),$AC$1006:$AS$1006,0)))),"Fix")))</f>
        <v xml:space="preserve"> </v>
      </c>
      <c r="E586" s="4" t="str">
        <f ca="1">IF(OR(INDEX($W$2:$W$1001,MATCH(ROWS($V$2:V586),$V$2:$V$1001,0),1)&gt;=100000,INDEX($AC$1005:$AS$1005,1,MATCH(COLUMNS($AC$1006:AF1006),$AC$1006:$AS$1006,0))&gt;=100000), " ",IF(INDEX($AC$2:$AS$1001,MATCH(ROWS($V$2:V586),$V$2:$V$1001,0),MATCH(COLUMNS($AC$1006:AF1006),$AC$1006:$AS$1006,0)), HYPERLINK("#",""), HYPERLINK(CONCATENATE("#metadata!", ADDRESS(INDEX($X$2:$X$1001,MATCH(ROWS($V$2:V586),$V$2:$V$1001,0),0), INDEX($AC$1004:$AS$1004,1,MATCH(COLUMNS($AC$1006:AF1006),$AC$1006:$AS$1006,0)))),"Fix")))</f>
        <v xml:space="preserve"> </v>
      </c>
      <c r="F586" s="4" t="str">
        <f ca="1">IF(OR(INDEX($W$2:$W$1001,MATCH(ROWS($V$2:V586),$V$2:$V$1001,0),1)&gt;=100000,INDEX($AC$1005:$AS$1005,1,MATCH(COLUMNS($AC$1006:AG1006),$AC$1006:$AS$1006,0))&gt;=100000), " ",IF(INDEX($AC$2:$AS$1001,MATCH(ROWS($V$2:V586),$V$2:$V$1001,0),MATCH(COLUMNS($AC$1006:AG1006),$AC$1006:$AS$1006,0)), HYPERLINK("#",""), HYPERLINK(CONCATENATE("#metadata!", ADDRESS(INDEX($X$2:$X$1001,MATCH(ROWS($V$2:V586),$V$2:$V$1001,0),0), INDEX($AC$1004:$AS$1004,1,MATCH(COLUMNS($AC$1006:AG1006),$AC$1006:$AS$1006,0)))),"Fix")))</f>
        <v xml:space="preserve"> </v>
      </c>
      <c r="G586" s="4" t="str">
        <f ca="1">IF(OR(INDEX($W$2:$W$1001,MATCH(ROWS($V$2:V586),$V$2:$V$1001,0),1)&gt;=100000,INDEX($AC$1005:$AS$1005,1,MATCH(COLUMNS($AC$1006:AH1006),$AC$1006:$AS$1006,0))&gt;=100000), " ",IF(INDEX($AC$2:$AS$1001,MATCH(ROWS($V$2:V586),$V$2:$V$1001,0),MATCH(COLUMNS($AC$1006:AH1006),$AC$1006:$AS$1006,0)), HYPERLINK("#",""), HYPERLINK(CONCATENATE("#metadata!", ADDRESS(INDEX($X$2:$X$1001,MATCH(ROWS($V$2:V586),$V$2:$V$1001,0),0), INDEX($AC$1004:$AS$1004,1,MATCH(COLUMNS($AC$1006:AH1006),$AC$1006:$AS$1006,0)))),"Fix")))</f>
        <v xml:space="preserve"> </v>
      </c>
      <c r="H586" s="4" t="str">
        <f ca="1">IF(OR(INDEX($W$2:$W$1001,MATCH(ROWS($V$2:V586),$V$2:$V$1001,0),1)&gt;=100000,INDEX($AC$1005:$AS$1005,1,MATCH(COLUMNS($AC$1006:AI1006),$AC$1006:$AS$1006,0))&gt;=100000), " ",IF(INDEX($AC$2:$AS$1001,MATCH(ROWS($V$2:V586),$V$2:$V$1001,0),MATCH(COLUMNS($AC$1006:AI1006),$AC$1006:$AS$1006,0)), HYPERLINK("#",""), HYPERLINK(CONCATENATE("#metadata!", ADDRESS(INDEX($X$2:$X$1001,MATCH(ROWS($V$2:V586),$V$2:$V$1001,0),0), INDEX($AC$1004:$AS$1004,1,MATCH(COLUMNS($AC$1006:AI1006),$AC$1006:$AS$1006,0)))),"Fix")))</f>
        <v xml:space="preserve"> </v>
      </c>
      <c r="I586" s="4" t="str">
        <f ca="1">IF(OR(INDEX($W$2:$W$1001,MATCH(ROWS($V$2:V586),$V$2:$V$1001,0),1)&gt;=100000,INDEX($AC$1005:$AS$1005,1,MATCH(COLUMNS($AC$1006:AJ1006),$AC$1006:$AS$1006,0))&gt;=100000), " ",IF(INDEX($AC$2:$AS$1001,MATCH(ROWS($V$2:V586),$V$2:$V$1001,0),MATCH(COLUMNS($AC$1006:AJ1006),$AC$1006:$AS$1006,0)), HYPERLINK("#",""), HYPERLINK(CONCATENATE("#metadata!", ADDRESS(INDEX($X$2:$X$1001,MATCH(ROWS($V$2:V586),$V$2:$V$1001,0),0), INDEX($AC$1004:$AS$1004,1,MATCH(COLUMNS($AC$1006:AJ1006),$AC$1006:$AS$1006,0)))),"Fix")))</f>
        <v xml:space="preserve"> </v>
      </c>
      <c r="J586" s="4" t="str">
        <f ca="1">IF(OR(INDEX($W$2:$W$1001,MATCH(ROWS($V$2:V586),$V$2:$V$1001,0),1)&gt;=100000,INDEX($AC$1005:$AS$1005,1,MATCH(COLUMNS($AC$1006:AK1006),$AC$1006:$AS$1006,0))&gt;=100000), " ",IF(INDEX($AC$2:$AS$1001,MATCH(ROWS($V$2:V586),$V$2:$V$1001,0),MATCH(COLUMNS($AC$1006:AK1006),$AC$1006:$AS$1006,0)), HYPERLINK("#",""), HYPERLINK(CONCATENATE("#metadata!", ADDRESS(INDEX($X$2:$X$1001,MATCH(ROWS($V$2:V586),$V$2:$V$1001,0),0), INDEX($AC$1004:$AS$1004,1,MATCH(COLUMNS($AC$1006:AK1006),$AC$1006:$AS$1006,0)))),"Fix")))</f>
        <v xml:space="preserve"> </v>
      </c>
      <c r="K586" s="4" t="str">
        <f ca="1">IF(OR(INDEX($W$2:$W$1001,MATCH(ROWS($V$2:V586),$V$2:$V$1001,0),1)&gt;=100000,INDEX($AC$1005:$AS$1005,1,MATCH(COLUMNS($AC$1006:AL1006),$AC$1006:$AS$1006,0))&gt;=100000), " ",IF(INDEX($AC$2:$AS$1001,MATCH(ROWS($V$2:V586),$V$2:$V$1001,0),MATCH(COLUMNS($AC$1006:AL1006),$AC$1006:$AS$1006,0)), HYPERLINK("#",""), HYPERLINK(CONCATENATE("#metadata!", ADDRESS(INDEX($X$2:$X$1001,MATCH(ROWS($V$2:V586),$V$2:$V$1001,0),0), INDEX($AC$1004:$AS$1004,1,MATCH(COLUMNS($AC$1006:AL1006),$AC$1006:$AS$1006,0)))),"Fix")))</f>
        <v xml:space="preserve"> </v>
      </c>
      <c r="L586" s="4" t="str">
        <f ca="1">IF(OR(INDEX($W$2:$W$1001,MATCH(ROWS($V$2:V586),$V$2:$V$1001,0),1)&gt;=100000,INDEX($AC$1005:$AS$1005,1,MATCH(COLUMNS($AC$1006:AM1006),$AC$1006:$AS$1006,0))&gt;=100000), " ",IF(INDEX($AC$2:$AS$1001,MATCH(ROWS($V$2:V586),$V$2:$V$1001,0),MATCH(COLUMNS($AC$1006:AM1006),$AC$1006:$AS$1006,0)), HYPERLINK("#",""), HYPERLINK(CONCATENATE("#metadata!", ADDRESS(INDEX($X$2:$X$1001,MATCH(ROWS($V$2:V586),$V$2:$V$1001,0),0), INDEX($AC$1004:$AS$1004,1,MATCH(COLUMNS($AC$1006:AM1006),$AC$1006:$AS$1006,0)))),"Fix")))</f>
        <v xml:space="preserve"> </v>
      </c>
      <c r="M586" s="4" t="str">
        <f ca="1">IF(OR(INDEX($W$2:$W$1001,MATCH(ROWS($V$2:V586),$V$2:$V$1001,0),1)&gt;=100000,INDEX($AC$1005:$AS$1005,1,MATCH(COLUMNS($AC$1006:AN1006),$AC$1006:$AS$1006,0))&gt;=100000), " ",IF(INDEX($AC$2:$AS$1001,MATCH(ROWS($V$2:V586),$V$2:$V$1001,0),MATCH(COLUMNS($AC$1006:AN1006),$AC$1006:$AS$1006,0)), HYPERLINK("#",""), HYPERLINK(CONCATENATE("#metadata!", ADDRESS(INDEX($X$2:$X$1001,MATCH(ROWS($V$2:V586),$V$2:$V$1001,0),0), INDEX($AC$1004:$AS$1004,1,MATCH(COLUMNS($AC$1006:AN1006),$AC$1006:$AS$1006,0)))),"Fix")))</f>
        <v xml:space="preserve"> </v>
      </c>
      <c r="N586" s="4" t="str">
        <f ca="1">IF(OR(INDEX($W$2:$W$1001,MATCH(ROWS($V$2:V586),$V$2:$V$1001,0),1)&gt;=100000,INDEX($AC$1005:$AS$1005,1,MATCH(COLUMNS($AC$1006:AO1006),$AC$1006:$AS$1006,0))&gt;=100000), " ",IF(INDEX($AC$2:$AS$1001,MATCH(ROWS($V$2:V586),$V$2:$V$1001,0),MATCH(COLUMNS($AC$1006:AO1006),$AC$1006:$AS$1006,0)), HYPERLINK("#",""), HYPERLINK(CONCATENATE("#metadata!", ADDRESS(INDEX($X$2:$X$1001,MATCH(ROWS($V$2:V586),$V$2:$V$1001,0),0), INDEX($AC$1004:$AS$1004,1,MATCH(COLUMNS($AC$1006:AO1006),$AC$1006:$AS$1006,0)))),"Fix")))</f>
        <v xml:space="preserve"> </v>
      </c>
      <c r="O586" s="4" t="str">
        <f ca="1">IF(OR(INDEX($W$2:$W$1001,MATCH(ROWS($V$2:V586),$V$2:$V$1001,0),1)&gt;=100000,INDEX($AC$1005:$AS$1005,1,MATCH(COLUMNS($AC$1006:AP1006),$AC$1006:$AS$1006,0))&gt;=100000), " ",IF(INDEX($AC$2:$AS$1001,MATCH(ROWS($V$2:V586),$V$2:$V$1001,0),MATCH(COLUMNS($AC$1006:AP1006),$AC$1006:$AS$1006,0)), HYPERLINK("#",""), HYPERLINK(CONCATENATE("#metadata!", ADDRESS(INDEX($X$2:$X$1001,MATCH(ROWS($V$2:V586),$V$2:$V$1001,0),0), INDEX($AC$1004:$AS$1004,1,MATCH(COLUMNS($AC$1006:AP1006),$AC$1006:$AS$1006,0)))),"Fix")))</f>
        <v xml:space="preserve"> </v>
      </c>
      <c r="P586" s="4" t="str">
        <f ca="1">IF(OR(INDEX($W$2:$W$1001,MATCH(ROWS($V$2:V586),$V$2:$V$1001,0),1)&gt;=100000,INDEX($AC$1005:$AS$1005,1,MATCH(COLUMNS($AC$1006:AQ1006),$AC$1006:$AS$1006,0))&gt;=100000), " ",IF(INDEX($AC$2:$AS$1001,MATCH(ROWS($V$2:V586),$V$2:$V$1001,0),MATCH(COLUMNS($AC$1006:AQ1006),$AC$1006:$AS$1006,0)), HYPERLINK("#",""), HYPERLINK(CONCATENATE("#metadata!", ADDRESS(INDEX($X$2:$X$1001,MATCH(ROWS($V$2:V586),$V$2:$V$1001,0),0), INDEX($AC$1004:$AS$1004,1,MATCH(COLUMNS($AC$1006:AQ1006),$AC$1006:$AS$1006,0)))),"Fix")))</f>
        <v xml:space="preserve"> </v>
      </c>
      <c r="Q586" s="4" t="str">
        <f ca="1">IF(OR(INDEX($W$2:$W$1001,MATCH(ROWS($V$2:V586),$V$2:$V$1001,0),1)&gt;=100000,INDEX($AC$1005:$AS$1005,1,MATCH(COLUMNS($AC$1006:AR1006),$AC$1006:$AS$1006,0))&gt;=100000), " ",IF(INDEX($AC$2:$AS$1001,MATCH(ROWS($V$2:V586),$V$2:$V$1001,0),MATCH(COLUMNS($AC$1006:AR1006),$AC$1006:$AS$1006,0)), HYPERLINK("#",""), HYPERLINK(CONCATENATE("#metadata!", ADDRESS(INDEX($X$2:$X$1001,MATCH(ROWS($V$2:V586),$V$2:$V$1001,0),0), INDEX($AC$1004:$AS$1004,1,MATCH(COLUMNS($AC$1006:AR1006),$AC$1006:$AS$1006,0)))),"Fix")))</f>
        <v xml:space="preserve"> </v>
      </c>
      <c r="R586" s="4" t="str">
        <f ca="1">IF(OR(INDEX($W$2:$W$1001,MATCH(ROWS($V$2:V586),$V$2:$V$1001,0),1)&gt;=100000,INDEX($AC$1005:$AS$1005,1,MATCH(COLUMNS($AC$1006:AS1006),$AC$1006:$AS$1006,0))&gt;=100000), " ",IF(INDEX($AC$2:$AS$1001,MATCH(ROWS($V$2:V586),$V$2:$V$1001,0),MATCH(COLUMNS($AC$1006:AS1006),$AC$1006:$AS$1006,0)), HYPERLINK("#",""), HYPERLINK(CONCATENATE("#metadata!", ADDRESS(INDEX($X$2:$X$1001,MATCH(ROWS($V$2:V586),$V$2:$V$1001,0),0), INDEX($AC$1004:$AS$1004,1,MATCH(COLUMNS($AC$1006:AS1006),$AC$1006:$AS$1006,0)))),"Fix")))</f>
        <v xml:space="preserve"> </v>
      </c>
      <c r="V586">
        <v>585</v>
      </c>
      <c r="W586">
        <v>100586</v>
      </c>
      <c r="X586">
        <v>586</v>
      </c>
      <c r="Y586" t="b">
        <f t="shared" si="9"/>
        <v>1</v>
      </c>
      <c r="Z586" t="b">
        <f>COUNTBLANK(metadata!B586:R586)=COLUMNS(metadata!B586:R586)</f>
        <v>1</v>
      </c>
      <c r="AA586" t="str">
        <v/>
      </c>
      <c r="AC586" t="b">
        <f ca="1"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AD586" t="b">
        <f>IF(metadata!C586="",FALSE,ISNUMBER(VALUE(metadata!C586)))</f>
        <v>0</v>
      </c>
      <c r="AE586" t="b">
        <f>AND(IF(metadata!D586="",FALSE,TRUE),EXACT(metadata!D586,"years"))</f>
        <v>0</v>
      </c>
      <c r="AF586" t="b">
        <f>OR(AND(IF(metadata!E586="",FALSE,TRUE),OR(EXACT(metadata!E586,"not applicable"),EXACT(metadata!E586,"missing: not collected"),EXACT(metadata!E586,"missing: not provided"),EXACT(metadata!E586,"missing: restricted access"))),AND(IF(metadata!E586="",FALSE,ISNUMBER(VALUE(metadata!E586))),metadata!E586&gt;0))</f>
        <v>0</v>
      </c>
      <c r="AG586" t="b">
        <f>AND(IF(metadata!F586="",FALSE,TRUE),EXACT(metadata!F586,"Not applicable"))</f>
        <v>0</v>
      </c>
      <c r="AH586" t="b">
        <f>AND(IF(metadata!G586="",FALSE,TRUE),EXACT(metadata!G586,"urban biome"))</f>
        <v>0</v>
      </c>
      <c r="AI586" t="b">
        <f>AND(IF(metadata!H586="",FALSE,TRUE),EXACT(metadata!H586,"human-associated habitat"))</f>
        <v>0</v>
      </c>
      <c r="AJ586" t="b">
        <f>AND(IF(metadata!I586="",FALSE,TRUE),OR(EXACT(metadata!I586,"human-associated"),EXACT(metadata!I586,"human-skin"),EXACT(metadata!I586,"human-oral"),EXACT(metadata!I586,"human-gut"),EXACT(metadata!I586,"human-vaginal")))</f>
        <v>0</v>
      </c>
      <c r="AK586" t="b">
        <f>IF(metadata!J586="",FALSE,ISNUMBER(VALUE(metadata!J586)))</f>
        <v>0</v>
      </c>
      <c r="AL586" t="b">
        <f>AND(IF(metadata!K586="",FALSE,TRUE),EXACT(metadata!K586,"cm"))</f>
        <v>0</v>
      </c>
      <c r="AM586" t="b">
        <f>AND(IF(metadata!L586="",FALSE,TRUE),EXACT(metadata!L586,"human"))</f>
        <v>0</v>
      </c>
      <c r="AN586" t="b">
        <f>AND(IF(metadata!M586="",FALSE,TRUE),EXACT(metadata!M586,"Homo sapiens"))</f>
        <v>0</v>
      </c>
      <c r="AO586" t="b">
        <f>AND(IF(metadata!N586="",FALSE,TRUE),EXACT(metadata!N586,"9606"))</f>
        <v>0</v>
      </c>
      <c r="AP586" t="b">
        <f>IF(metadata!O586="",FALSE,TRUE)</f>
        <v>0</v>
      </c>
      <c r="AQ586" t="b">
        <f>IF(metadata!P586="",FALSE,TRUE)</f>
        <v>0</v>
      </c>
      <c r="AR586" t="b">
        <f>IF(metadata!Q586="",FALSE,ISNUMBER(VALUE(metadata!Q586)))</f>
        <v>0</v>
      </c>
      <c r="AS586" t="b">
        <f>AND(IF(metadata!R586="",FALSE,TRUE),EXACT(metadata!R586,"kg"))</f>
        <v>0</v>
      </c>
    </row>
    <row r="587" spans="1:45" x14ac:dyDescent="0.2">
      <c r="A587" s="5" t="str">
        <f ca="1">IF(B587=" "," ",HYPERLINK(CONCATENATE("#metadata!",ADDRESS(INDEX($X$2:$X$1001,MATCH(ROWS($V$2:V587),$V$2:$V$1001,0),0),1)),INDEX($AA$2:$AA$1001,MATCH(ROWS($V$2:V587),$V$2:$V$1001,0),0)))</f>
        <v xml:space="preserve"> </v>
      </c>
      <c r="B587" s="4" t="str">
        <f ca="1">IF(OR(INDEX($W$2:$W$1001,MATCH(ROWS($V$2:V587),$V$2:$V$1001,0),1)&gt;=100000,INDEX($AC$1005:$AS$1005,1,MATCH(COLUMNS($AC$1006:AC1006),$AC$1006:$AS$1006,0))&gt;=100000), " ",IF(INDEX($AC$2:$AS$1001,MATCH(ROWS($V$2:V587),$V$2:$V$1001,0),MATCH(COLUMNS($AC$1006:AC1006),$AC$1006:$AS$1006,0)), HYPERLINK("#",""), HYPERLINK(CONCATENATE("#metadata!", ADDRESS(INDEX($X$2:$X$1001,MATCH(ROWS($V$2:V587),$V$2:$V$1001,0),0), INDEX($AC$1004:$AS$1004,1,MATCH(COLUMNS($AC$1006:AC1006),$AC$1006:$AS$1006,0)))),"Fix")))</f>
        <v xml:space="preserve"> </v>
      </c>
      <c r="C587" s="4" t="str">
        <f ca="1">IF(OR(INDEX($W$2:$W$1001,MATCH(ROWS($V$2:V587),$V$2:$V$1001,0),1)&gt;=100000,INDEX($AC$1005:$AS$1005,1,MATCH(COLUMNS($AC$1006:AD1006),$AC$1006:$AS$1006,0))&gt;=100000), " ",IF(INDEX($AC$2:$AS$1001,MATCH(ROWS($V$2:V587),$V$2:$V$1001,0),MATCH(COLUMNS($AC$1006:AD1006),$AC$1006:$AS$1006,0)), HYPERLINK("#",""), HYPERLINK(CONCATENATE("#metadata!", ADDRESS(INDEX($X$2:$X$1001,MATCH(ROWS($V$2:V587),$V$2:$V$1001,0),0), INDEX($AC$1004:$AS$1004,1,MATCH(COLUMNS($AC$1006:AD1006),$AC$1006:$AS$1006,0)))),"Fix")))</f>
        <v xml:space="preserve"> </v>
      </c>
      <c r="D587" s="4" t="str">
        <f ca="1">IF(OR(INDEX($W$2:$W$1001,MATCH(ROWS($V$2:V587),$V$2:$V$1001,0),1)&gt;=100000,INDEX($AC$1005:$AS$1005,1,MATCH(COLUMNS($AC$1006:AE1006),$AC$1006:$AS$1006,0))&gt;=100000), " ",IF(INDEX($AC$2:$AS$1001,MATCH(ROWS($V$2:V587),$V$2:$V$1001,0),MATCH(COLUMNS($AC$1006:AE1006),$AC$1006:$AS$1006,0)), HYPERLINK("#",""), HYPERLINK(CONCATENATE("#metadata!", ADDRESS(INDEX($X$2:$X$1001,MATCH(ROWS($V$2:V587),$V$2:$V$1001,0),0), INDEX($AC$1004:$AS$1004,1,MATCH(COLUMNS($AC$1006:AE1006),$AC$1006:$AS$1006,0)))),"Fix")))</f>
        <v xml:space="preserve"> </v>
      </c>
      <c r="E587" s="4" t="str">
        <f ca="1">IF(OR(INDEX($W$2:$W$1001,MATCH(ROWS($V$2:V587),$V$2:$V$1001,0),1)&gt;=100000,INDEX($AC$1005:$AS$1005,1,MATCH(COLUMNS($AC$1006:AF1006),$AC$1006:$AS$1006,0))&gt;=100000), " ",IF(INDEX($AC$2:$AS$1001,MATCH(ROWS($V$2:V587),$V$2:$V$1001,0),MATCH(COLUMNS($AC$1006:AF1006),$AC$1006:$AS$1006,0)), HYPERLINK("#",""), HYPERLINK(CONCATENATE("#metadata!", ADDRESS(INDEX($X$2:$X$1001,MATCH(ROWS($V$2:V587),$V$2:$V$1001,0),0), INDEX($AC$1004:$AS$1004,1,MATCH(COLUMNS($AC$1006:AF1006),$AC$1006:$AS$1006,0)))),"Fix")))</f>
        <v xml:space="preserve"> </v>
      </c>
      <c r="F587" s="4" t="str">
        <f ca="1">IF(OR(INDEX($W$2:$W$1001,MATCH(ROWS($V$2:V587),$V$2:$V$1001,0),1)&gt;=100000,INDEX($AC$1005:$AS$1005,1,MATCH(COLUMNS($AC$1006:AG1006),$AC$1006:$AS$1006,0))&gt;=100000), " ",IF(INDEX($AC$2:$AS$1001,MATCH(ROWS($V$2:V587),$V$2:$V$1001,0),MATCH(COLUMNS($AC$1006:AG1006),$AC$1006:$AS$1006,0)), HYPERLINK("#",""), HYPERLINK(CONCATENATE("#metadata!", ADDRESS(INDEX($X$2:$X$1001,MATCH(ROWS($V$2:V587),$V$2:$V$1001,0),0), INDEX($AC$1004:$AS$1004,1,MATCH(COLUMNS($AC$1006:AG1006),$AC$1006:$AS$1006,0)))),"Fix")))</f>
        <v xml:space="preserve"> </v>
      </c>
      <c r="G587" s="4" t="str">
        <f ca="1">IF(OR(INDEX($W$2:$W$1001,MATCH(ROWS($V$2:V587),$V$2:$V$1001,0),1)&gt;=100000,INDEX($AC$1005:$AS$1005,1,MATCH(COLUMNS($AC$1006:AH1006),$AC$1006:$AS$1006,0))&gt;=100000), " ",IF(INDEX($AC$2:$AS$1001,MATCH(ROWS($V$2:V587),$V$2:$V$1001,0),MATCH(COLUMNS($AC$1006:AH1006),$AC$1006:$AS$1006,0)), HYPERLINK("#",""), HYPERLINK(CONCATENATE("#metadata!", ADDRESS(INDEX($X$2:$X$1001,MATCH(ROWS($V$2:V587),$V$2:$V$1001,0),0), INDEX($AC$1004:$AS$1004,1,MATCH(COLUMNS($AC$1006:AH1006),$AC$1006:$AS$1006,0)))),"Fix")))</f>
        <v xml:space="preserve"> </v>
      </c>
      <c r="H587" s="4" t="str">
        <f ca="1">IF(OR(INDEX($W$2:$W$1001,MATCH(ROWS($V$2:V587),$V$2:$V$1001,0),1)&gt;=100000,INDEX($AC$1005:$AS$1005,1,MATCH(COLUMNS($AC$1006:AI1006),$AC$1006:$AS$1006,0))&gt;=100000), " ",IF(INDEX($AC$2:$AS$1001,MATCH(ROWS($V$2:V587),$V$2:$V$1001,0),MATCH(COLUMNS($AC$1006:AI1006),$AC$1006:$AS$1006,0)), HYPERLINK("#",""), HYPERLINK(CONCATENATE("#metadata!", ADDRESS(INDEX($X$2:$X$1001,MATCH(ROWS($V$2:V587),$V$2:$V$1001,0),0), INDEX($AC$1004:$AS$1004,1,MATCH(COLUMNS($AC$1006:AI1006),$AC$1006:$AS$1006,0)))),"Fix")))</f>
        <v xml:space="preserve"> </v>
      </c>
      <c r="I587" s="4" t="str">
        <f ca="1">IF(OR(INDEX($W$2:$W$1001,MATCH(ROWS($V$2:V587),$V$2:$V$1001,0),1)&gt;=100000,INDEX($AC$1005:$AS$1005,1,MATCH(COLUMNS($AC$1006:AJ1006),$AC$1006:$AS$1006,0))&gt;=100000), " ",IF(INDEX($AC$2:$AS$1001,MATCH(ROWS($V$2:V587),$V$2:$V$1001,0),MATCH(COLUMNS($AC$1006:AJ1006),$AC$1006:$AS$1006,0)), HYPERLINK("#",""), HYPERLINK(CONCATENATE("#metadata!", ADDRESS(INDEX($X$2:$X$1001,MATCH(ROWS($V$2:V587),$V$2:$V$1001,0),0), INDEX($AC$1004:$AS$1004,1,MATCH(COLUMNS($AC$1006:AJ1006),$AC$1006:$AS$1006,0)))),"Fix")))</f>
        <v xml:space="preserve"> </v>
      </c>
      <c r="J587" s="4" t="str">
        <f ca="1">IF(OR(INDEX($W$2:$W$1001,MATCH(ROWS($V$2:V587),$V$2:$V$1001,0),1)&gt;=100000,INDEX($AC$1005:$AS$1005,1,MATCH(COLUMNS($AC$1006:AK1006),$AC$1006:$AS$1006,0))&gt;=100000), " ",IF(INDEX($AC$2:$AS$1001,MATCH(ROWS($V$2:V587),$V$2:$V$1001,0),MATCH(COLUMNS($AC$1006:AK1006),$AC$1006:$AS$1006,0)), HYPERLINK("#",""), HYPERLINK(CONCATENATE("#metadata!", ADDRESS(INDEX($X$2:$X$1001,MATCH(ROWS($V$2:V587),$V$2:$V$1001,0),0), INDEX($AC$1004:$AS$1004,1,MATCH(COLUMNS($AC$1006:AK1006),$AC$1006:$AS$1006,0)))),"Fix")))</f>
        <v xml:space="preserve"> </v>
      </c>
      <c r="K587" s="4" t="str">
        <f ca="1">IF(OR(INDEX($W$2:$W$1001,MATCH(ROWS($V$2:V587),$V$2:$V$1001,0),1)&gt;=100000,INDEX($AC$1005:$AS$1005,1,MATCH(COLUMNS($AC$1006:AL1006),$AC$1006:$AS$1006,0))&gt;=100000), " ",IF(INDEX($AC$2:$AS$1001,MATCH(ROWS($V$2:V587),$V$2:$V$1001,0),MATCH(COLUMNS($AC$1006:AL1006),$AC$1006:$AS$1006,0)), HYPERLINK("#",""), HYPERLINK(CONCATENATE("#metadata!", ADDRESS(INDEX($X$2:$X$1001,MATCH(ROWS($V$2:V587),$V$2:$V$1001,0),0), INDEX($AC$1004:$AS$1004,1,MATCH(COLUMNS($AC$1006:AL1006),$AC$1006:$AS$1006,0)))),"Fix")))</f>
        <v xml:space="preserve"> </v>
      </c>
      <c r="L587" s="4" t="str">
        <f ca="1">IF(OR(INDEX($W$2:$W$1001,MATCH(ROWS($V$2:V587),$V$2:$V$1001,0),1)&gt;=100000,INDEX($AC$1005:$AS$1005,1,MATCH(COLUMNS($AC$1006:AM1006),$AC$1006:$AS$1006,0))&gt;=100000), " ",IF(INDEX($AC$2:$AS$1001,MATCH(ROWS($V$2:V587),$V$2:$V$1001,0),MATCH(COLUMNS($AC$1006:AM1006),$AC$1006:$AS$1006,0)), HYPERLINK("#",""), HYPERLINK(CONCATENATE("#metadata!", ADDRESS(INDEX($X$2:$X$1001,MATCH(ROWS($V$2:V587),$V$2:$V$1001,0),0), INDEX($AC$1004:$AS$1004,1,MATCH(COLUMNS($AC$1006:AM1006),$AC$1006:$AS$1006,0)))),"Fix")))</f>
        <v xml:space="preserve"> </v>
      </c>
      <c r="M587" s="4" t="str">
        <f ca="1">IF(OR(INDEX($W$2:$W$1001,MATCH(ROWS($V$2:V587),$V$2:$V$1001,0),1)&gt;=100000,INDEX($AC$1005:$AS$1005,1,MATCH(COLUMNS($AC$1006:AN1006),$AC$1006:$AS$1006,0))&gt;=100000), " ",IF(INDEX($AC$2:$AS$1001,MATCH(ROWS($V$2:V587),$V$2:$V$1001,0),MATCH(COLUMNS($AC$1006:AN1006),$AC$1006:$AS$1006,0)), HYPERLINK("#",""), HYPERLINK(CONCATENATE("#metadata!", ADDRESS(INDEX($X$2:$X$1001,MATCH(ROWS($V$2:V587),$V$2:$V$1001,0),0), INDEX($AC$1004:$AS$1004,1,MATCH(COLUMNS($AC$1006:AN1006),$AC$1006:$AS$1006,0)))),"Fix")))</f>
        <v xml:space="preserve"> </v>
      </c>
      <c r="N587" s="4" t="str">
        <f ca="1">IF(OR(INDEX($W$2:$W$1001,MATCH(ROWS($V$2:V587),$V$2:$V$1001,0),1)&gt;=100000,INDEX($AC$1005:$AS$1005,1,MATCH(COLUMNS($AC$1006:AO1006),$AC$1006:$AS$1006,0))&gt;=100000), " ",IF(INDEX($AC$2:$AS$1001,MATCH(ROWS($V$2:V587),$V$2:$V$1001,0),MATCH(COLUMNS($AC$1006:AO1006),$AC$1006:$AS$1006,0)), HYPERLINK("#",""), HYPERLINK(CONCATENATE("#metadata!", ADDRESS(INDEX($X$2:$X$1001,MATCH(ROWS($V$2:V587),$V$2:$V$1001,0),0), INDEX($AC$1004:$AS$1004,1,MATCH(COLUMNS($AC$1006:AO1006),$AC$1006:$AS$1006,0)))),"Fix")))</f>
        <v xml:space="preserve"> </v>
      </c>
      <c r="O587" s="4" t="str">
        <f ca="1">IF(OR(INDEX($W$2:$W$1001,MATCH(ROWS($V$2:V587),$V$2:$V$1001,0),1)&gt;=100000,INDEX($AC$1005:$AS$1005,1,MATCH(COLUMNS($AC$1006:AP1006),$AC$1006:$AS$1006,0))&gt;=100000), " ",IF(INDEX($AC$2:$AS$1001,MATCH(ROWS($V$2:V587),$V$2:$V$1001,0),MATCH(COLUMNS($AC$1006:AP1006),$AC$1006:$AS$1006,0)), HYPERLINK("#",""), HYPERLINK(CONCATENATE("#metadata!", ADDRESS(INDEX($X$2:$X$1001,MATCH(ROWS($V$2:V587),$V$2:$V$1001,0),0), INDEX($AC$1004:$AS$1004,1,MATCH(COLUMNS($AC$1006:AP1006),$AC$1006:$AS$1006,0)))),"Fix")))</f>
        <v xml:space="preserve"> </v>
      </c>
      <c r="P587" s="4" t="str">
        <f ca="1">IF(OR(INDEX($W$2:$W$1001,MATCH(ROWS($V$2:V587),$V$2:$V$1001,0),1)&gt;=100000,INDEX($AC$1005:$AS$1005,1,MATCH(COLUMNS($AC$1006:AQ1006),$AC$1006:$AS$1006,0))&gt;=100000), " ",IF(INDEX($AC$2:$AS$1001,MATCH(ROWS($V$2:V587),$V$2:$V$1001,0),MATCH(COLUMNS($AC$1006:AQ1006),$AC$1006:$AS$1006,0)), HYPERLINK("#",""), HYPERLINK(CONCATENATE("#metadata!", ADDRESS(INDEX($X$2:$X$1001,MATCH(ROWS($V$2:V587),$V$2:$V$1001,0),0), INDEX($AC$1004:$AS$1004,1,MATCH(COLUMNS($AC$1006:AQ1006),$AC$1006:$AS$1006,0)))),"Fix")))</f>
        <v xml:space="preserve"> </v>
      </c>
      <c r="Q587" s="4" t="str">
        <f ca="1">IF(OR(INDEX($W$2:$W$1001,MATCH(ROWS($V$2:V587),$V$2:$V$1001,0),1)&gt;=100000,INDEX($AC$1005:$AS$1005,1,MATCH(COLUMNS($AC$1006:AR1006),$AC$1006:$AS$1006,0))&gt;=100000), " ",IF(INDEX($AC$2:$AS$1001,MATCH(ROWS($V$2:V587),$V$2:$V$1001,0),MATCH(COLUMNS($AC$1006:AR1006),$AC$1006:$AS$1006,0)), HYPERLINK("#",""), HYPERLINK(CONCATENATE("#metadata!", ADDRESS(INDEX($X$2:$X$1001,MATCH(ROWS($V$2:V587),$V$2:$V$1001,0),0), INDEX($AC$1004:$AS$1004,1,MATCH(COLUMNS($AC$1006:AR1006),$AC$1006:$AS$1006,0)))),"Fix")))</f>
        <v xml:space="preserve"> </v>
      </c>
      <c r="R587" s="4" t="str">
        <f ca="1">IF(OR(INDEX($W$2:$W$1001,MATCH(ROWS($V$2:V587),$V$2:$V$1001,0),1)&gt;=100000,INDEX($AC$1005:$AS$1005,1,MATCH(COLUMNS($AC$1006:AS1006),$AC$1006:$AS$1006,0))&gt;=100000), " ",IF(INDEX($AC$2:$AS$1001,MATCH(ROWS($V$2:V587),$V$2:$V$1001,0),MATCH(COLUMNS($AC$1006:AS1006),$AC$1006:$AS$1006,0)), HYPERLINK("#",""), HYPERLINK(CONCATENATE("#metadata!", ADDRESS(INDEX($X$2:$X$1001,MATCH(ROWS($V$2:V587),$V$2:$V$1001,0),0), INDEX($AC$1004:$AS$1004,1,MATCH(COLUMNS($AC$1006:AS1006),$AC$1006:$AS$1006,0)))),"Fix")))</f>
        <v xml:space="preserve"> </v>
      </c>
      <c r="V587">
        <v>586</v>
      </c>
      <c r="W587">
        <v>100587</v>
      </c>
      <c r="X587">
        <v>587</v>
      </c>
      <c r="Y587" t="b">
        <f t="shared" si="9"/>
        <v>1</v>
      </c>
      <c r="Z587" t="b">
        <f>COUNTBLANK(metadata!B587:R587)=COLUMNS(metadata!B587:R587)</f>
        <v>1</v>
      </c>
      <c r="AA587" t="str">
        <v/>
      </c>
      <c r="AC587" t="b">
        <f ca="1"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AD587" t="b">
        <f>IF(metadata!C587="",FALSE,ISNUMBER(VALUE(metadata!C587)))</f>
        <v>0</v>
      </c>
      <c r="AE587" t="b">
        <f>AND(IF(metadata!D587="",FALSE,TRUE),EXACT(metadata!D587,"years"))</f>
        <v>0</v>
      </c>
      <c r="AF587" t="b">
        <f>OR(AND(IF(metadata!E587="",FALSE,TRUE),OR(EXACT(metadata!E587,"not applicable"),EXACT(metadata!E587,"missing: not collected"),EXACT(metadata!E587,"missing: not provided"),EXACT(metadata!E587,"missing: restricted access"))),AND(IF(metadata!E587="",FALSE,ISNUMBER(VALUE(metadata!E587))),metadata!E587&gt;0))</f>
        <v>0</v>
      </c>
      <c r="AG587" t="b">
        <f>AND(IF(metadata!F587="",FALSE,TRUE),EXACT(metadata!F587,"Not applicable"))</f>
        <v>0</v>
      </c>
      <c r="AH587" t="b">
        <f>AND(IF(metadata!G587="",FALSE,TRUE),EXACT(metadata!G587,"urban biome"))</f>
        <v>0</v>
      </c>
      <c r="AI587" t="b">
        <f>AND(IF(metadata!H587="",FALSE,TRUE),EXACT(metadata!H587,"human-associated habitat"))</f>
        <v>0</v>
      </c>
      <c r="AJ587" t="b">
        <f>AND(IF(metadata!I587="",FALSE,TRUE),OR(EXACT(metadata!I587,"human-associated"),EXACT(metadata!I587,"human-skin"),EXACT(metadata!I587,"human-oral"),EXACT(metadata!I587,"human-gut"),EXACT(metadata!I587,"human-vaginal")))</f>
        <v>0</v>
      </c>
      <c r="AK587" t="b">
        <f>IF(metadata!J587="",FALSE,ISNUMBER(VALUE(metadata!J587)))</f>
        <v>0</v>
      </c>
      <c r="AL587" t="b">
        <f>AND(IF(metadata!K587="",FALSE,TRUE),EXACT(metadata!K587,"cm"))</f>
        <v>0</v>
      </c>
      <c r="AM587" t="b">
        <f>AND(IF(metadata!L587="",FALSE,TRUE),EXACT(metadata!L587,"human"))</f>
        <v>0</v>
      </c>
      <c r="AN587" t="b">
        <f>AND(IF(metadata!M587="",FALSE,TRUE),EXACT(metadata!M587,"Homo sapiens"))</f>
        <v>0</v>
      </c>
      <c r="AO587" t="b">
        <f>AND(IF(metadata!N587="",FALSE,TRUE),EXACT(metadata!N587,"9606"))</f>
        <v>0</v>
      </c>
      <c r="AP587" t="b">
        <f>IF(metadata!O587="",FALSE,TRUE)</f>
        <v>0</v>
      </c>
      <c r="AQ587" t="b">
        <f>IF(metadata!P587="",FALSE,TRUE)</f>
        <v>0</v>
      </c>
      <c r="AR587" t="b">
        <f>IF(metadata!Q587="",FALSE,ISNUMBER(VALUE(metadata!Q587)))</f>
        <v>0</v>
      </c>
      <c r="AS587" t="b">
        <f>AND(IF(metadata!R587="",FALSE,TRUE),EXACT(metadata!R587,"kg"))</f>
        <v>0</v>
      </c>
    </row>
    <row r="588" spans="1:45" x14ac:dyDescent="0.2">
      <c r="A588" s="5" t="str">
        <f ca="1">IF(B588=" "," ",HYPERLINK(CONCATENATE("#metadata!",ADDRESS(INDEX($X$2:$X$1001,MATCH(ROWS($V$2:V588),$V$2:$V$1001,0),0),1)),INDEX($AA$2:$AA$1001,MATCH(ROWS($V$2:V588),$V$2:$V$1001,0),0)))</f>
        <v xml:space="preserve"> </v>
      </c>
      <c r="B588" s="4" t="str">
        <f ca="1">IF(OR(INDEX($W$2:$W$1001,MATCH(ROWS($V$2:V588),$V$2:$V$1001,0),1)&gt;=100000,INDEX($AC$1005:$AS$1005,1,MATCH(COLUMNS($AC$1006:AC1006),$AC$1006:$AS$1006,0))&gt;=100000), " ",IF(INDEX($AC$2:$AS$1001,MATCH(ROWS($V$2:V588),$V$2:$V$1001,0),MATCH(COLUMNS($AC$1006:AC1006),$AC$1006:$AS$1006,0)), HYPERLINK("#",""), HYPERLINK(CONCATENATE("#metadata!", ADDRESS(INDEX($X$2:$X$1001,MATCH(ROWS($V$2:V588),$V$2:$V$1001,0),0), INDEX($AC$1004:$AS$1004,1,MATCH(COLUMNS($AC$1006:AC1006),$AC$1006:$AS$1006,0)))),"Fix")))</f>
        <v xml:space="preserve"> </v>
      </c>
      <c r="C588" s="4" t="str">
        <f ca="1">IF(OR(INDEX($W$2:$W$1001,MATCH(ROWS($V$2:V588),$V$2:$V$1001,0),1)&gt;=100000,INDEX($AC$1005:$AS$1005,1,MATCH(COLUMNS($AC$1006:AD1006),$AC$1006:$AS$1006,0))&gt;=100000), " ",IF(INDEX($AC$2:$AS$1001,MATCH(ROWS($V$2:V588),$V$2:$V$1001,0),MATCH(COLUMNS($AC$1006:AD1006),$AC$1006:$AS$1006,0)), HYPERLINK("#",""), HYPERLINK(CONCATENATE("#metadata!", ADDRESS(INDEX($X$2:$X$1001,MATCH(ROWS($V$2:V588),$V$2:$V$1001,0),0), INDEX($AC$1004:$AS$1004,1,MATCH(COLUMNS($AC$1006:AD1006),$AC$1006:$AS$1006,0)))),"Fix")))</f>
        <v xml:space="preserve"> </v>
      </c>
      <c r="D588" s="4" t="str">
        <f ca="1">IF(OR(INDEX($W$2:$W$1001,MATCH(ROWS($V$2:V588),$V$2:$V$1001,0),1)&gt;=100000,INDEX($AC$1005:$AS$1005,1,MATCH(COLUMNS($AC$1006:AE1006),$AC$1006:$AS$1006,0))&gt;=100000), " ",IF(INDEX($AC$2:$AS$1001,MATCH(ROWS($V$2:V588),$V$2:$V$1001,0),MATCH(COLUMNS($AC$1006:AE1006),$AC$1006:$AS$1006,0)), HYPERLINK("#",""), HYPERLINK(CONCATENATE("#metadata!", ADDRESS(INDEX($X$2:$X$1001,MATCH(ROWS($V$2:V588),$V$2:$V$1001,0),0), INDEX($AC$1004:$AS$1004,1,MATCH(COLUMNS($AC$1006:AE1006),$AC$1006:$AS$1006,0)))),"Fix")))</f>
        <v xml:space="preserve"> </v>
      </c>
      <c r="E588" s="4" t="str">
        <f ca="1">IF(OR(INDEX($W$2:$W$1001,MATCH(ROWS($V$2:V588),$V$2:$V$1001,0),1)&gt;=100000,INDEX($AC$1005:$AS$1005,1,MATCH(COLUMNS($AC$1006:AF1006),$AC$1006:$AS$1006,0))&gt;=100000), " ",IF(INDEX($AC$2:$AS$1001,MATCH(ROWS($V$2:V588),$V$2:$V$1001,0),MATCH(COLUMNS($AC$1006:AF1006),$AC$1006:$AS$1006,0)), HYPERLINK("#",""), HYPERLINK(CONCATENATE("#metadata!", ADDRESS(INDEX($X$2:$X$1001,MATCH(ROWS($V$2:V588),$V$2:$V$1001,0),0), INDEX($AC$1004:$AS$1004,1,MATCH(COLUMNS($AC$1006:AF1006),$AC$1006:$AS$1006,0)))),"Fix")))</f>
        <v xml:space="preserve"> </v>
      </c>
      <c r="F588" s="4" t="str">
        <f ca="1">IF(OR(INDEX($W$2:$W$1001,MATCH(ROWS($V$2:V588),$V$2:$V$1001,0),1)&gt;=100000,INDEX($AC$1005:$AS$1005,1,MATCH(COLUMNS($AC$1006:AG1006),$AC$1006:$AS$1006,0))&gt;=100000), " ",IF(INDEX($AC$2:$AS$1001,MATCH(ROWS($V$2:V588),$V$2:$V$1001,0),MATCH(COLUMNS($AC$1006:AG1006),$AC$1006:$AS$1006,0)), HYPERLINK("#",""), HYPERLINK(CONCATENATE("#metadata!", ADDRESS(INDEX($X$2:$X$1001,MATCH(ROWS($V$2:V588),$V$2:$V$1001,0),0), INDEX($AC$1004:$AS$1004,1,MATCH(COLUMNS($AC$1006:AG1006),$AC$1006:$AS$1006,0)))),"Fix")))</f>
        <v xml:space="preserve"> </v>
      </c>
      <c r="G588" s="4" t="str">
        <f ca="1">IF(OR(INDEX($W$2:$W$1001,MATCH(ROWS($V$2:V588),$V$2:$V$1001,0),1)&gt;=100000,INDEX($AC$1005:$AS$1005,1,MATCH(COLUMNS($AC$1006:AH1006),$AC$1006:$AS$1006,0))&gt;=100000), " ",IF(INDEX($AC$2:$AS$1001,MATCH(ROWS($V$2:V588),$V$2:$V$1001,0),MATCH(COLUMNS($AC$1006:AH1006),$AC$1006:$AS$1006,0)), HYPERLINK("#",""), HYPERLINK(CONCATENATE("#metadata!", ADDRESS(INDEX($X$2:$X$1001,MATCH(ROWS($V$2:V588),$V$2:$V$1001,0),0), INDEX($AC$1004:$AS$1004,1,MATCH(COLUMNS($AC$1006:AH1006),$AC$1006:$AS$1006,0)))),"Fix")))</f>
        <v xml:space="preserve"> </v>
      </c>
      <c r="H588" s="4" t="str">
        <f ca="1">IF(OR(INDEX($W$2:$W$1001,MATCH(ROWS($V$2:V588),$V$2:$V$1001,0),1)&gt;=100000,INDEX($AC$1005:$AS$1005,1,MATCH(COLUMNS($AC$1006:AI1006),$AC$1006:$AS$1006,0))&gt;=100000), " ",IF(INDEX($AC$2:$AS$1001,MATCH(ROWS($V$2:V588),$V$2:$V$1001,0),MATCH(COLUMNS($AC$1006:AI1006),$AC$1006:$AS$1006,0)), HYPERLINK("#",""), HYPERLINK(CONCATENATE("#metadata!", ADDRESS(INDEX($X$2:$X$1001,MATCH(ROWS($V$2:V588),$V$2:$V$1001,0),0), INDEX($AC$1004:$AS$1004,1,MATCH(COLUMNS($AC$1006:AI1006),$AC$1006:$AS$1006,0)))),"Fix")))</f>
        <v xml:space="preserve"> </v>
      </c>
      <c r="I588" s="4" t="str">
        <f ca="1">IF(OR(INDEX($W$2:$W$1001,MATCH(ROWS($V$2:V588),$V$2:$V$1001,0),1)&gt;=100000,INDEX($AC$1005:$AS$1005,1,MATCH(COLUMNS($AC$1006:AJ1006),$AC$1006:$AS$1006,0))&gt;=100000), " ",IF(INDEX($AC$2:$AS$1001,MATCH(ROWS($V$2:V588),$V$2:$V$1001,0),MATCH(COLUMNS($AC$1006:AJ1006),$AC$1006:$AS$1006,0)), HYPERLINK("#",""), HYPERLINK(CONCATENATE("#metadata!", ADDRESS(INDEX($X$2:$X$1001,MATCH(ROWS($V$2:V588),$V$2:$V$1001,0),0), INDEX($AC$1004:$AS$1004,1,MATCH(COLUMNS($AC$1006:AJ1006),$AC$1006:$AS$1006,0)))),"Fix")))</f>
        <v xml:space="preserve"> </v>
      </c>
      <c r="J588" s="4" t="str">
        <f ca="1">IF(OR(INDEX($W$2:$W$1001,MATCH(ROWS($V$2:V588),$V$2:$V$1001,0),1)&gt;=100000,INDEX($AC$1005:$AS$1005,1,MATCH(COLUMNS($AC$1006:AK1006),$AC$1006:$AS$1006,0))&gt;=100000), " ",IF(INDEX($AC$2:$AS$1001,MATCH(ROWS($V$2:V588),$V$2:$V$1001,0),MATCH(COLUMNS($AC$1006:AK1006),$AC$1006:$AS$1006,0)), HYPERLINK("#",""), HYPERLINK(CONCATENATE("#metadata!", ADDRESS(INDEX($X$2:$X$1001,MATCH(ROWS($V$2:V588),$V$2:$V$1001,0),0), INDEX($AC$1004:$AS$1004,1,MATCH(COLUMNS($AC$1006:AK1006),$AC$1006:$AS$1006,0)))),"Fix")))</f>
        <v xml:space="preserve"> </v>
      </c>
      <c r="K588" s="4" t="str">
        <f ca="1">IF(OR(INDEX($W$2:$W$1001,MATCH(ROWS($V$2:V588),$V$2:$V$1001,0),1)&gt;=100000,INDEX($AC$1005:$AS$1005,1,MATCH(COLUMNS($AC$1006:AL1006),$AC$1006:$AS$1006,0))&gt;=100000), " ",IF(INDEX($AC$2:$AS$1001,MATCH(ROWS($V$2:V588),$V$2:$V$1001,0),MATCH(COLUMNS($AC$1006:AL1006),$AC$1006:$AS$1006,0)), HYPERLINK("#",""), HYPERLINK(CONCATENATE("#metadata!", ADDRESS(INDEX($X$2:$X$1001,MATCH(ROWS($V$2:V588),$V$2:$V$1001,0),0), INDEX($AC$1004:$AS$1004,1,MATCH(COLUMNS($AC$1006:AL1006),$AC$1006:$AS$1006,0)))),"Fix")))</f>
        <v xml:space="preserve"> </v>
      </c>
      <c r="L588" s="4" t="str">
        <f ca="1">IF(OR(INDEX($W$2:$W$1001,MATCH(ROWS($V$2:V588),$V$2:$V$1001,0),1)&gt;=100000,INDEX($AC$1005:$AS$1005,1,MATCH(COLUMNS($AC$1006:AM1006),$AC$1006:$AS$1006,0))&gt;=100000), " ",IF(INDEX($AC$2:$AS$1001,MATCH(ROWS($V$2:V588),$V$2:$V$1001,0),MATCH(COLUMNS($AC$1006:AM1006),$AC$1006:$AS$1006,0)), HYPERLINK("#",""), HYPERLINK(CONCATENATE("#metadata!", ADDRESS(INDEX($X$2:$X$1001,MATCH(ROWS($V$2:V588),$V$2:$V$1001,0),0), INDEX($AC$1004:$AS$1004,1,MATCH(COLUMNS($AC$1006:AM1006),$AC$1006:$AS$1006,0)))),"Fix")))</f>
        <v xml:space="preserve"> </v>
      </c>
      <c r="M588" s="4" t="str">
        <f ca="1">IF(OR(INDEX($W$2:$W$1001,MATCH(ROWS($V$2:V588),$V$2:$V$1001,0),1)&gt;=100000,INDEX($AC$1005:$AS$1005,1,MATCH(COLUMNS($AC$1006:AN1006),$AC$1006:$AS$1006,0))&gt;=100000), " ",IF(INDEX($AC$2:$AS$1001,MATCH(ROWS($V$2:V588),$V$2:$V$1001,0),MATCH(COLUMNS($AC$1006:AN1006),$AC$1006:$AS$1006,0)), HYPERLINK("#",""), HYPERLINK(CONCATENATE("#metadata!", ADDRESS(INDEX($X$2:$X$1001,MATCH(ROWS($V$2:V588),$V$2:$V$1001,0),0), INDEX($AC$1004:$AS$1004,1,MATCH(COLUMNS($AC$1006:AN1006),$AC$1006:$AS$1006,0)))),"Fix")))</f>
        <v xml:space="preserve"> </v>
      </c>
      <c r="N588" s="4" t="str">
        <f ca="1">IF(OR(INDEX($W$2:$W$1001,MATCH(ROWS($V$2:V588),$V$2:$V$1001,0),1)&gt;=100000,INDEX($AC$1005:$AS$1005,1,MATCH(COLUMNS($AC$1006:AO1006),$AC$1006:$AS$1006,0))&gt;=100000), " ",IF(INDEX($AC$2:$AS$1001,MATCH(ROWS($V$2:V588),$V$2:$V$1001,0),MATCH(COLUMNS($AC$1006:AO1006),$AC$1006:$AS$1006,0)), HYPERLINK("#",""), HYPERLINK(CONCATENATE("#metadata!", ADDRESS(INDEX($X$2:$X$1001,MATCH(ROWS($V$2:V588),$V$2:$V$1001,0),0), INDEX($AC$1004:$AS$1004,1,MATCH(COLUMNS($AC$1006:AO1006),$AC$1006:$AS$1006,0)))),"Fix")))</f>
        <v xml:space="preserve"> </v>
      </c>
      <c r="O588" s="4" t="str">
        <f ca="1">IF(OR(INDEX($W$2:$W$1001,MATCH(ROWS($V$2:V588),$V$2:$V$1001,0),1)&gt;=100000,INDEX($AC$1005:$AS$1005,1,MATCH(COLUMNS($AC$1006:AP1006),$AC$1006:$AS$1006,0))&gt;=100000), " ",IF(INDEX($AC$2:$AS$1001,MATCH(ROWS($V$2:V588),$V$2:$V$1001,0),MATCH(COLUMNS($AC$1006:AP1006),$AC$1006:$AS$1006,0)), HYPERLINK("#",""), HYPERLINK(CONCATENATE("#metadata!", ADDRESS(INDEX($X$2:$X$1001,MATCH(ROWS($V$2:V588),$V$2:$V$1001,0),0), INDEX($AC$1004:$AS$1004,1,MATCH(COLUMNS($AC$1006:AP1006),$AC$1006:$AS$1006,0)))),"Fix")))</f>
        <v xml:space="preserve"> </v>
      </c>
      <c r="P588" s="4" t="str">
        <f ca="1">IF(OR(INDEX($W$2:$W$1001,MATCH(ROWS($V$2:V588),$V$2:$V$1001,0),1)&gt;=100000,INDEX($AC$1005:$AS$1005,1,MATCH(COLUMNS($AC$1006:AQ1006),$AC$1006:$AS$1006,0))&gt;=100000), " ",IF(INDEX($AC$2:$AS$1001,MATCH(ROWS($V$2:V588),$V$2:$V$1001,0),MATCH(COLUMNS($AC$1006:AQ1006),$AC$1006:$AS$1006,0)), HYPERLINK("#",""), HYPERLINK(CONCATENATE("#metadata!", ADDRESS(INDEX($X$2:$X$1001,MATCH(ROWS($V$2:V588),$V$2:$V$1001,0),0), INDEX($AC$1004:$AS$1004,1,MATCH(COLUMNS($AC$1006:AQ1006),$AC$1006:$AS$1006,0)))),"Fix")))</f>
        <v xml:space="preserve"> </v>
      </c>
      <c r="Q588" s="4" t="str">
        <f ca="1">IF(OR(INDEX($W$2:$W$1001,MATCH(ROWS($V$2:V588),$V$2:$V$1001,0),1)&gt;=100000,INDEX($AC$1005:$AS$1005,1,MATCH(COLUMNS($AC$1006:AR1006),$AC$1006:$AS$1006,0))&gt;=100000), " ",IF(INDEX($AC$2:$AS$1001,MATCH(ROWS($V$2:V588),$V$2:$V$1001,0),MATCH(COLUMNS($AC$1006:AR1006),$AC$1006:$AS$1006,0)), HYPERLINK("#",""), HYPERLINK(CONCATENATE("#metadata!", ADDRESS(INDEX($X$2:$X$1001,MATCH(ROWS($V$2:V588),$V$2:$V$1001,0),0), INDEX($AC$1004:$AS$1004,1,MATCH(COLUMNS($AC$1006:AR1006),$AC$1006:$AS$1006,0)))),"Fix")))</f>
        <v xml:space="preserve"> </v>
      </c>
      <c r="R588" s="4" t="str">
        <f ca="1">IF(OR(INDEX($W$2:$W$1001,MATCH(ROWS($V$2:V588),$V$2:$V$1001,0),1)&gt;=100000,INDEX($AC$1005:$AS$1005,1,MATCH(COLUMNS($AC$1006:AS1006),$AC$1006:$AS$1006,0))&gt;=100000), " ",IF(INDEX($AC$2:$AS$1001,MATCH(ROWS($V$2:V588),$V$2:$V$1001,0),MATCH(COLUMNS($AC$1006:AS1006),$AC$1006:$AS$1006,0)), HYPERLINK("#",""), HYPERLINK(CONCATENATE("#metadata!", ADDRESS(INDEX($X$2:$X$1001,MATCH(ROWS($V$2:V588),$V$2:$V$1001,0),0), INDEX($AC$1004:$AS$1004,1,MATCH(COLUMNS($AC$1006:AS1006),$AC$1006:$AS$1006,0)))),"Fix")))</f>
        <v xml:space="preserve"> </v>
      </c>
      <c r="V588">
        <v>587</v>
      </c>
      <c r="W588">
        <v>100588</v>
      </c>
      <c r="X588">
        <v>588</v>
      </c>
      <c r="Y588" t="b">
        <f t="shared" si="9"/>
        <v>1</v>
      </c>
      <c r="Z588" t="b">
        <f>COUNTBLANK(metadata!B588:R588)=COLUMNS(metadata!B588:R588)</f>
        <v>1</v>
      </c>
      <c r="AA588" t="str">
        <v/>
      </c>
      <c r="AC588" t="b">
        <f ca="1"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AD588" t="b">
        <f>IF(metadata!C588="",FALSE,ISNUMBER(VALUE(metadata!C588)))</f>
        <v>0</v>
      </c>
      <c r="AE588" t="b">
        <f>AND(IF(metadata!D588="",FALSE,TRUE),EXACT(metadata!D588,"years"))</f>
        <v>0</v>
      </c>
      <c r="AF588" t="b">
        <f>OR(AND(IF(metadata!E588="",FALSE,TRUE),OR(EXACT(metadata!E588,"not applicable"),EXACT(metadata!E588,"missing: not collected"),EXACT(metadata!E588,"missing: not provided"),EXACT(metadata!E588,"missing: restricted access"))),AND(IF(metadata!E588="",FALSE,ISNUMBER(VALUE(metadata!E588))),metadata!E588&gt;0))</f>
        <v>0</v>
      </c>
      <c r="AG588" t="b">
        <f>AND(IF(metadata!F588="",FALSE,TRUE),EXACT(metadata!F588,"Not applicable"))</f>
        <v>0</v>
      </c>
      <c r="AH588" t="b">
        <f>AND(IF(metadata!G588="",FALSE,TRUE),EXACT(metadata!G588,"urban biome"))</f>
        <v>0</v>
      </c>
      <c r="AI588" t="b">
        <f>AND(IF(metadata!H588="",FALSE,TRUE),EXACT(metadata!H588,"human-associated habitat"))</f>
        <v>0</v>
      </c>
      <c r="AJ588" t="b">
        <f>AND(IF(metadata!I588="",FALSE,TRUE),OR(EXACT(metadata!I588,"human-associated"),EXACT(metadata!I588,"human-skin"),EXACT(metadata!I588,"human-oral"),EXACT(metadata!I588,"human-gut"),EXACT(metadata!I588,"human-vaginal")))</f>
        <v>0</v>
      </c>
      <c r="AK588" t="b">
        <f>IF(metadata!J588="",FALSE,ISNUMBER(VALUE(metadata!J588)))</f>
        <v>0</v>
      </c>
      <c r="AL588" t="b">
        <f>AND(IF(metadata!K588="",FALSE,TRUE),EXACT(metadata!K588,"cm"))</f>
        <v>0</v>
      </c>
      <c r="AM588" t="b">
        <f>AND(IF(metadata!L588="",FALSE,TRUE),EXACT(metadata!L588,"human"))</f>
        <v>0</v>
      </c>
      <c r="AN588" t="b">
        <f>AND(IF(metadata!M588="",FALSE,TRUE),EXACT(metadata!M588,"Homo sapiens"))</f>
        <v>0</v>
      </c>
      <c r="AO588" t="b">
        <f>AND(IF(metadata!N588="",FALSE,TRUE),EXACT(metadata!N588,"9606"))</f>
        <v>0</v>
      </c>
      <c r="AP588" t="b">
        <f>IF(metadata!O588="",FALSE,TRUE)</f>
        <v>0</v>
      </c>
      <c r="AQ588" t="b">
        <f>IF(metadata!P588="",FALSE,TRUE)</f>
        <v>0</v>
      </c>
      <c r="AR588" t="b">
        <f>IF(metadata!Q588="",FALSE,ISNUMBER(VALUE(metadata!Q588)))</f>
        <v>0</v>
      </c>
      <c r="AS588" t="b">
        <f>AND(IF(metadata!R588="",FALSE,TRUE),EXACT(metadata!R588,"kg"))</f>
        <v>0</v>
      </c>
    </row>
    <row r="589" spans="1:45" x14ac:dyDescent="0.2">
      <c r="A589" s="5" t="str">
        <f ca="1">IF(B589=" "," ",HYPERLINK(CONCATENATE("#metadata!",ADDRESS(INDEX($X$2:$X$1001,MATCH(ROWS($V$2:V589),$V$2:$V$1001,0),0),1)),INDEX($AA$2:$AA$1001,MATCH(ROWS($V$2:V589),$V$2:$V$1001,0),0)))</f>
        <v xml:space="preserve"> </v>
      </c>
      <c r="B589" s="4" t="str">
        <f ca="1">IF(OR(INDEX($W$2:$W$1001,MATCH(ROWS($V$2:V589),$V$2:$V$1001,0),1)&gt;=100000,INDEX($AC$1005:$AS$1005,1,MATCH(COLUMNS($AC$1006:AC1006),$AC$1006:$AS$1006,0))&gt;=100000), " ",IF(INDEX($AC$2:$AS$1001,MATCH(ROWS($V$2:V589),$V$2:$V$1001,0),MATCH(COLUMNS($AC$1006:AC1006),$AC$1006:$AS$1006,0)), HYPERLINK("#",""), HYPERLINK(CONCATENATE("#metadata!", ADDRESS(INDEX($X$2:$X$1001,MATCH(ROWS($V$2:V589),$V$2:$V$1001,0),0), INDEX($AC$1004:$AS$1004,1,MATCH(COLUMNS($AC$1006:AC1006),$AC$1006:$AS$1006,0)))),"Fix")))</f>
        <v xml:space="preserve"> </v>
      </c>
      <c r="C589" s="4" t="str">
        <f ca="1">IF(OR(INDEX($W$2:$W$1001,MATCH(ROWS($V$2:V589),$V$2:$V$1001,0),1)&gt;=100000,INDEX($AC$1005:$AS$1005,1,MATCH(COLUMNS($AC$1006:AD1006),$AC$1006:$AS$1006,0))&gt;=100000), " ",IF(INDEX($AC$2:$AS$1001,MATCH(ROWS($V$2:V589),$V$2:$V$1001,0),MATCH(COLUMNS($AC$1006:AD1006),$AC$1006:$AS$1006,0)), HYPERLINK("#",""), HYPERLINK(CONCATENATE("#metadata!", ADDRESS(INDEX($X$2:$X$1001,MATCH(ROWS($V$2:V589),$V$2:$V$1001,0),0), INDEX($AC$1004:$AS$1004,1,MATCH(COLUMNS($AC$1006:AD1006),$AC$1006:$AS$1006,0)))),"Fix")))</f>
        <v xml:space="preserve"> </v>
      </c>
      <c r="D589" s="4" t="str">
        <f ca="1">IF(OR(INDEX($W$2:$W$1001,MATCH(ROWS($V$2:V589),$V$2:$V$1001,0),1)&gt;=100000,INDEX($AC$1005:$AS$1005,1,MATCH(COLUMNS($AC$1006:AE1006),$AC$1006:$AS$1006,0))&gt;=100000), " ",IF(INDEX($AC$2:$AS$1001,MATCH(ROWS($V$2:V589),$V$2:$V$1001,0),MATCH(COLUMNS($AC$1006:AE1006),$AC$1006:$AS$1006,0)), HYPERLINK("#",""), HYPERLINK(CONCATENATE("#metadata!", ADDRESS(INDEX($X$2:$X$1001,MATCH(ROWS($V$2:V589),$V$2:$V$1001,0),0), INDEX($AC$1004:$AS$1004,1,MATCH(COLUMNS($AC$1006:AE1006),$AC$1006:$AS$1006,0)))),"Fix")))</f>
        <v xml:space="preserve"> </v>
      </c>
      <c r="E589" s="4" t="str">
        <f ca="1">IF(OR(INDEX($W$2:$W$1001,MATCH(ROWS($V$2:V589),$V$2:$V$1001,0),1)&gt;=100000,INDEX($AC$1005:$AS$1005,1,MATCH(COLUMNS($AC$1006:AF1006),$AC$1006:$AS$1006,0))&gt;=100000), " ",IF(INDEX($AC$2:$AS$1001,MATCH(ROWS($V$2:V589),$V$2:$V$1001,0),MATCH(COLUMNS($AC$1006:AF1006),$AC$1006:$AS$1006,0)), HYPERLINK("#",""), HYPERLINK(CONCATENATE("#metadata!", ADDRESS(INDEX($X$2:$X$1001,MATCH(ROWS($V$2:V589),$V$2:$V$1001,0),0), INDEX($AC$1004:$AS$1004,1,MATCH(COLUMNS($AC$1006:AF1006),$AC$1006:$AS$1006,0)))),"Fix")))</f>
        <v xml:space="preserve"> </v>
      </c>
      <c r="F589" s="4" t="str">
        <f ca="1">IF(OR(INDEX($W$2:$W$1001,MATCH(ROWS($V$2:V589),$V$2:$V$1001,0),1)&gt;=100000,INDEX($AC$1005:$AS$1005,1,MATCH(COLUMNS($AC$1006:AG1006),$AC$1006:$AS$1006,0))&gt;=100000), " ",IF(INDEX($AC$2:$AS$1001,MATCH(ROWS($V$2:V589),$V$2:$V$1001,0),MATCH(COLUMNS($AC$1006:AG1006),$AC$1006:$AS$1006,0)), HYPERLINK("#",""), HYPERLINK(CONCATENATE("#metadata!", ADDRESS(INDEX($X$2:$X$1001,MATCH(ROWS($V$2:V589),$V$2:$V$1001,0),0), INDEX($AC$1004:$AS$1004,1,MATCH(COLUMNS($AC$1006:AG1006),$AC$1006:$AS$1006,0)))),"Fix")))</f>
        <v xml:space="preserve"> </v>
      </c>
      <c r="G589" s="4" t="str">
        <f ca="1">IF(OR(INDEX($W$2:$W$1001,MATCH(ROWS($V$2:V589),$V$2:$V$1001,0),1)&gt;=100000,INDEX($AC$1005:$AS$1005,1,MATCH(COLUMNS($AC$1006:AH1006),$AC$1006:$AS$1006,0))&gt;=100000), " ",IF(INDEX($AC$2:$AS$1001,MATCH(ROWS($V$2:V589),$V$2:$V$1001,0),MATCH(COLUMNS($AC$1006:AH1006),$AC$1006:$AS$1006,0)), HYPERLINK("#",""), HYPERLINK(CONCATENATE("#metadata!", ADDRESS(INDEX($X$2:$X$1001,MATCH(ROWS($V$2:V589),$V$2:$V$1001,0),0), INDEX($AC$1004:$AS$1004,1,MATCH(COLUMNS($AC$1006:AH1006),$AC$1006:$AS$1006,0)))),"Fix")))</f>
        <v xml:space="preserve"> </v>
      </c>
      <c r="H589" s="4" t="str">
        <f ca="1">IF(OR(INDEX($W$2:$W$1001,MATCH(ROWS($V$2:V589),$V$2:$V$1001,0),1)&gt;=100000,INDEX($AC$1005:$AS$1005,1,MATCH(COLUMNS($AC$1006:AI1006),$AC$1006:$AS$1006,0))&gt;=100000), " ",IF(INDEX($AC$2:$AS$1001,MATCH(ROWS($V$2:V589),$V$2:$V$1001,0),MATCH(COLUMNS($AC$1006:AI1006),$AC$1006:$AS$1006,0)), HYPERLINK("#",""), HYPERLINK(CONCATENATE("#metadata!", ADDRESS(INDEX($X$2:$X$1001,MATCH(ROWS($V$2:V589),$V$2:$V$1001,0),0), INDEX($AC$1004:$AS$1004,1,MATCH(COLUMNS($AC$1006:AI1006),$AC$1006:$AS$1006,0)))),"Fix")))</f>
        <v xml:space="preserve"> </v>
      </c>
      <c r="I589" s="4" t="str">
        <f ca="1">IF(OR(INDEX($W$2:$W$1001,MATCH(ROWS($V$2:V589),$V$2:$V$1001,0),1)&gt;=100000,INDEX($AC$1005:$AS$1005,1,MATCH(COLUMNS($AC$1006:AJ1006),$AC$1006:$AS$1006,0))&gt;=100000), " ",IF(INDEX($AC$2:$AS$1001,MATCH(ROWS($V$2:V589),$V$2:$V$1001,0),MATCH(COLUMNS($AC$1006:AJ1006),$AC$1006:$AS$1006,0)), HYPERLINK("#",""), HYPERLINK(CONCATENATE("#metadata!", ADDRESS(INDEX($X$2:$X$1001,MATCH(ROWS($V$2:V589),$V$2:$V$1001,0),0), INDEX($AC$1004:$AS$1004,1,MATCH(COLUMNS($AC$1006:AJ1006),$AC$1006:$AS$1006,0)))),"Fix")))</f>
        <v xml:space="preserve"> </v>
      </c>
      <c r="J589" s="4" t="str">
        <f ca="1">IF(OR(INDEX($W$2:$W$1001,MATCH(ROWS($V$2:V589),$V$2:$V$1001,0),1)&gt;=100000,INDEX($AC$1005:$AS$1005,1,MATCH(COLUMNS($AC$1006:AK1006),$AC$1006:$AS$1006,0))&gt;=100000), " ",IF(INDEX($AC$2:$AS$1001,MATCH(ROWS($V$2:V589),$V$2:$V$1001,0),MATCH(COLUMNS($AC$1006:AK1006),$AC$1006:$AS$1006,0)), HYPERLINK("#",""), HYPERLINK(CONCATENATE("#metadata!", ADDRESS(INDEX($X$2:$X$1001,MATCH(ROWS($V$2:V589),$V$2:$V$1001,0),0), INDEX($AC$1004:$AS$1004,1,MATCH(COLUMNS($AC$1006:AK1006),$AC$1006:$AS$1006,0)))),"Fix")))</f>
        <v xml:space="preserve"> </v>
      </c>
      <c r="K589" s="4" t="str">
        <f ca="1">IF(OR(INDEX($W$2:$W$1001,MATCH(ROWS($V$2:V589),$V$2:$V$1001,0),1)&gt;=100000,INDEX($AC$1005:$AS$1005,1,MATCH(COLUMNS($AC$1006:AL1006),$AC$1006:$AS$1006,0))&gt;=100000), " ",IF(INDEX($AC$2:$AS$1001,MATCH(ROWS($V$2:V589),$V$2:$V$1001,0),MATCH(COLUMNS($AC$1006:AL1006),$AC$1006:$AS$1006,0)), HYPERLINK("#",""), HYPERLINK(CONCATENATE("#metadata!", ADDRESS(INDEX($X$2:$X$1001,MATCH(ROWS($V$2:V589),$V$2:$V$1001,0),0), INDEX($AC$1004:$AS$1004,1,MATCH(COLUMNS($AC$1006:AL1006),$AC$1006:$AS$1006,0)))),"Fix")))</f>
        <v xml:space="preserve"> </v>
      </c>
      <c r="L589" s="4" t="str">
        <f ca="1">IF(OR(INDEX($W$2:$W$1001,MATCH(ROWS($V$2:V589),$V$2:$V$1001,0),1)&gt;=100000,INDEX($AC$1005:$AS$1005,1,MATCH(COLUMNS($AC$1006:AM1006),$AC$1006:$AS$1006,0))&gt;=100000), " ",IF(INDEX($AC$2:$AS$1001,MATCH(ROWS($V$2:V589),$V$2:$V$1001,0),MATCH(COLUMNS($AC$1006:AM1006),$AC$1006:$AS$1006,0)), HYPERLINK("#",""), HYPERLINK(CONCATENATE("#metadata!", ADDRESS(INDEX($X$2:$X$1001,MATCH(ROWS($V$2:V589),$V$2:$V$1001,0),0), INDEX($AC$1004:$AS$1004,1,MATCH(COLUMNS($AC$1006:AM1006),$AC$1006:$AS$1006,0)))),"Fix")))</f>
        <v xml:space="preserve"> </v>
      </c>
      <c r="M589" s="4" t="str">
        <f ca="1">IF(OR(INDEX($W$2:$W$1001,MATCH(ROWS($V$2:V589),$V$2:$V$1001,0),1)&gt;=100000,INDEX($AC$1005:$AS$1005,1,MATCH(COLUMNS($AC$1006:AN1006),$AC$1006:$AS$1006,0))&gt;=100000), " ",IF(INDEX($AC$2:$AS$1001,MATCH(ROWS($V$2:V589),$V$2:$V$1001,0),MATCH(COLUMNS($AC$1006:AN1006),$AC$1006:$AS$1006,0)), HYPERLINK("#",""), HYPERLINK(CONCATENATE("#metadata!", ADDRESS(INDEX($X$2:$X$1001,MATCH(ROWS($V$2:V589),$V$2:$V$1001,0),0), INDEX($AC$1004:$AS$1004,1,MATCH(COLUMNS($AC$1006:AN1006),$AC$1006:$AS$1006,0)))),"Fix")))</f>
        <v xml:space="preserve"> </v>
      </c>
      <c r="N589" s="4" t="str">
        <f ca="1">IF(OR(INDEX($W$2:$W$1001,MATCH(ROWS($V$2:V589),$V$2:$V$1001,0),1)&gt;=100000,INDEX($AC$1005:$AS$1005,1,MATCH(COLUMNS($AC$1006:AO1006),$AC$1006:$AS$1006,0))&gt;=100000), " ",IF(INDEX($AC$2:$AS$1001,MATCH(ROWS($V$2:V589),$V$2:$V$1001,0),MATCH(COLUMNS($AC$1006:AO1006),$AC$1006:$AS$1006,0)), HYPERLINK("#",""), HYPERLINK(CONCATENATE("#metadata!", ADDRESS(INDEX($X$2:$X$1001,MATCH(ROWS($V$2:V589),$V$2:$V$1001,0),0), INDEX($AC$1004:$AS$1004,1,MATCH(COLUMNS($AC$1006:AO1006),$AC$1006:$AS$1006,0)))),"Fix")))</f>
        <v xml:space="preserve"> </v>
      </c>
      <c r="O589" s="4" t="str">
        <f ca="1">IF(OR(INDEX($W$2:$W$1001,MATCH(ROWS($V$2:V589),$V$2:$V$1001,0),1)&gt;=100000,INDEX($AC$1005:$AS$1005,1,MATCH(COLUMNS($AC$1006:AP1006),$AC$1006:$AS$1006,0))&gt;=100000), " ",IF(INDEX($AC$2:$AS$1001,MATCH(ROWS($V$2:V589),$V$2:$V$1001,0),MATCH(COLUMNS($AC$1006:AP1006),$AC$1006:$AS$1006,0)), HYPERLINK("#",""), HYPERLINK(CONCATENATE("#metadata!", ADDRESS(INDEX($X$2:$X$1001,MATCH(ROWS($V$2:V589),$V$2:$V$1001,0),0), INDEX($AC$1004:$AS$1004,1,MATCH(COLUMNS($AC$1006:AP1006),$AC$1006:$AS$1006,0)))),"Fix")))</f>
        <v xml:space="preserve"> </v>
      </c>
      <c r="P589" s="4" t="str">
        <f ca="1">IF(OR(INDEX($W$2:$W$1001,MATCH(ROWS($V$2:V589),$V$2:$V$1001,0),1)&gt;=100000,INDEX($AC$1005:$AS$1005,1,MATCH(COLUMNS($AC$1006:AQ1006),$AC$1006:$AS$1006,0))&gt;=100000), " ",IF(INDEX($AC$2:$AS$1001,MATCH(ROWS($V$2:V589),$V$2:$V$1001,0),MATCH(COLUMNS($AC$1006:AQ1006),$AC$1006:$AS$1006,0)), HYPERLINK("#",""), HYPERLINK(CONCATENATE("#metadata!", ADDRESS(INDEX($X$2:$X$1001,MATCH(ROWS($V$2:V589),$V$2:$V$1001,0),0), INDEX($AC$1004:$AS$1004,1,MATCH(COLUMNS($AC$1006:AQ1006),$AC$1006:$AS$1006,0)))),"Fix")))</f>
        <v xml:space="preserve"> </v>
      </c>
      <c r="Q589" s="4" t="str">
        <f ca="1">IF(OR(INDEX($W$2:$W$1001,MATCH(ROWS($V$2:V589),$V$2:$V$1001,0),1)&gt;=100000,INDEX($AC$1005:$AS$1005,1,MATCH(COLUMNS($AC$1006:AR1006),$AC$1006:$AS$1006,0))&gt;=100000), " ",IF(INDEX($AC$2:$AS$1001,MATCH(ROWS($V$2:V589),$V$2:$V$1001,0),MATCH(COLUMNS($AC$1006:AR1006),$AC$1006:$AS$1006,0)), HYPERLINK("#",""), HYPERLINK(CONCATENATE("#metadata!", ADDRESS(INDEX($X$2:$X$1001,MATCH(ROWS($V$2:V589),$V$2:$V$1001,0),0), INDEX($AC$1004:$AS$1004,1,MATCH(COLUMNS($AC$1006:AR1006),$AC$1006:$AS$1006,0)))),"Fix")))</f>
        <v xml:space="preserve"> </v>
      </c>
      <c r="R589" s="4" t="str">
        <f ca="1">IF(OR(INDEX($W$2:$W$1001,MATCH(ROWS($V$2:V589),$V$2:$V$1001,0),1)&gt;=100000,INDEX($AC$1005:$AS$1005,1,MATCH(COLUMNS($AC$1006:AS1006),$AC$1006:$AS$1006,0))&gt;=100000), " ",IF(INDEX($AC$2:$AS$1001,MATCH(ROWS($V$2:V589),$V$2:$V$1001,0),MATCH(COLUMNS($AC$1006:AS1006),$AC$1006:$AS$1006,0)), HYPERLINK("#",""), HYPERLINK(CONCATENATE("#metadata!", ADDRESS(INDEX($X$2:$X$1001,MATCH(ROWS($V$2:V589),$V$2:$V$1001,0),0), INDEX($AC$1004:$AS$1004,1,MATCH(COLUMNS($AC$1006:AS1006),$AC$1006:$AS$1006,0)))),"Fix")))</f>
        <v xml:space="preserve"> </v>
      </c>
      <c r="V589">
        <v>588</v>
      </c>
      <c r="W589">
        <v>100589</v>
      </c>
      <c r="X589">
        <v>589</v>
      </c>
      <c r="Y589" t="b">
        <f t="shared" si="9"/>
        <v>1</v>
      </c>
      <c r="Z589" t="b">
        <f>COUNTBLANK(metadata!B589:R589)=COLUMNS(metadata!B589:R589)</f>
        <v>1</v>
      </c>
      <c r="AA589" t="str">
        <v/>
      </c>
      <c r="AC589" t="b">
        <f ca="1"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AD589" t="b">
        <f>IF(metadata!C589="",FALSE,ISNUMBER(VALUE(metadata!C589)))</f>
        <v>0</v>
      </c>
      <c r="AE589" t="b">
        <f>AND(IF(metadata!D589="",FALSE,TRUE),EXACT(metadata!D589,"years"))</f>
        <v>0</v>
      </c>
      <c r="AF589" t="b">
        <f>OR(AND(IF(metadata!E589="",FALSE,TRUE),OR(EXACT(metadata!E589,"not applicable"),EXACT(metadata!E589,"missing: not collected"),EXACT(metadata!E589,"missing: not provided"),EXACT(metadata!E589,"missing: restricted access"))),AND(IF(metadata!E589="",FALSE,ISNUMBER(VALUE(metadata!E589))),metadata!E589&gt;0))</f>
        <v>0</v>
      </c>
      <c r="AG589" t="b">
        <f>AND(IF(metadata!F589="",FALSE,TRUE),EXACT(metadata!F589,"Not applicable"))</f>
        <v>0</v>
      </c>
      <c r="AH589" t="b">
        <f>AND(IF(metadata!G589="",FALSE,TRUE),EXACT(metadata!G589,"urban biome"))</f>
        <v>0</v>
      </c>
      <c r="AI589" t="b">
        <f>AND(IF(metadata!H589="",FALSE,TRUE),EXACT(metadata!H589,"human-associated habitat"))</f>
        <v>0</v>
      </c>
      <c r="AJ589" t="b">
        <f>AND(IF(metadata!I589="",FALSE,TRUE),OR(EXACT(metadata!I589,"human-associated"),EXACT(metadata!I589,"human-skin"),EXACT(metadata!I589,"human-oral"),EXACT(metadata!I589,"human-gut"),EXACT(metadata!I589,"human-vaginal")))</f>
        <v>0</v>
      </c>
      <c r="AK589" t="b">
        <f>IF(metadata!J589="",FALSE,ISNUMBER(VALUE(metadata!J589)))</f>
        <v>0</v>
      </c>
      <c r="AL589" t="b">
        <f>AND(IF(metadata!K589="",FALSE,TRUE),EXACT(metadata!K589,"cm"))</f>
        <v>0</v>
      </c>
      <c r="AM589" t="b">
        <f>AND(IF(metadata!L589="",FALSE,TRUE),EXACT(metadata!L589,"human"))</f>
        <v>0</v>
      </c>
      <c r="AN589" t="b">
        <f>AND(IF(metadata!M589="",FALSE,TRUE),EXACT(metadata!M589,"Homo sapiens"))</f>
        <v>0</v>
      </c>
      <c r="AO589" t="b">
        <f>AND(IF(metadata!N589="",FALSE,TRUE),EXACT(metadata!N589,"9606"))</f>
        <v>0</v>
      </c>
      <c r="AP589" t="b">
        <f>IF(metadata!O589="",FALSE,TRUE)</f>
        <v>0</v>
      </c>
      <c r="AQ589" t="b">
        <f>IF(metadata!P589="",FALSE,TRUE)</f>
        <v>0</v>
      </c>
      <c r="AR589" t="b">
        <f>IF(metadata!Q589="",FALSE,ISNUMBER(VALUE(metadata!Q589)))</f>
        <v>0</v>
      </c>
      <c r="AS589" t="b">
        <f>AND(IF(metadata!R589="",FALSE,TRUE),EXACT(metadata!R589,"kg"))</f>
        <v>0</v>
      </c>
    </row>
    <row r="590" spans="1:45" x14ac:dyDescent="0.2">
      <c r="A590" s="5" t="str">
        <f ca="1">IF(B590=" "," ",HYPERLINK(CONCATENATE("#metadata!",ADDRESS(INDEX($X$2:$X$1001,MATCH(ROWS($V$2:V590),$V$2:$V$1001,0),0),1)),INDEX($AA$2:$AA$1001,MATCH(ROWS($V$2:V590),$V$2:$V$1001,0),0)))</f>
        <v xml:space="preserve"> </v>
      </c>
      <c r="B590" s="4" t="str">
        <f ca="1">IF(OR(INDEX($W$2:$W$1001,MATCH(ROWS($V$2:V590),$V$2:$V$1001,0),1)&gt;=100000,INDEX($AC$1005:$AS$1005,1,MATCH(COLUMNS($AC$1006:AC1006),$AC$1006:$AS$1006,0))&gt;=100000), " ",IF(INDEX($AC$2:$AS$1001,MATCH(ROWS($V$2:V590),$V$2:$V$1001,0),MATCH(COLUMNS($AC$1006:AC1006),$AC$1006:$AS$1006,0)), HYPERLINK("#",""), HYPERLINK(CONCATENATE("#metadata!", ADDRESS(INDEX($X$2:$X$1001,MATCH(ROWS($V$2:V590),$V$2:$V$1001,0),0), INDEX($AC$1004:$AS$1004,1,MATCH(COLUMNS($AC$1006:AC1006),$AC$1006:$AS$1006,0)))),"Fix")))</f>
        <v xml:space="preserve"> </v>
      </c>
      <c r="C590" s="4" t="str">
        <f ca="1">IF(OR(INDEX($W$2:$W$1001,MATCH(ROWS($V$2:V590),$V$2:$V$1001,0),1)&gt;=100000,INDEX($AC$1005:$AS$1005,1,MATCH(COLUMNS($AC$1006:AD1006),$AC$1006:$AS$1006,0))&gt;=100000), " ",IF(INDEX($AC$2:$AS$1001,MATCH(ROWS($V$2:V590),$V$2:$V$1001,0),MATCH(COLUMNS($AC$1006:AD1006),$AC$1006:$AS$1006,0)), HYPERLINK("#",""), HYPERLINK(CONCATENATE("#metadata!", ADDRESS(INDEX($X$2:$X$1001,MATCH(ROWS($V$2:V590),$V$2:$V$1001,0),0), INDEX($AC$1004:$AS$1004,1,MATCH(COLUMNS($AC$1006:AD1006),$AC$1006:$AS$1006,0)))),"Fix")))</f>
        <v xml:space="preserve"> </v>
      </c>
      <c r="D590" s="4" t="str">
        <f ca="1">IF(OR(INDEX($W$2:$W$1001,MATCH(ROWS($V$2:V590),$V$2:$V$1001,0),1)&gt;=100000,INDEX($AC$1005:$AS$1005,1,MATCH(COLUMNS($AC$1006:AE1006),$AC$1006:$AS$1006,0))&gt;=100000), " ",IF(INDEX($AC$2:$AS$1001,MATCH(ROWS($V$2:V590),$V$2:$V$1001,0),MATCH(COLUMNS($AC$1006:AE1006),$AC$1006:$AS$1006,0)), HYPERLINK("#",""), HYPERLINK(CONCATENATE("#metadata!", ADDRESS(INDEX($X$2:$X$1001,MATCH(ROWS($V$2:V590),$V$2:$V$1001,0),0), INDEX($AC$1004:$AS$1004,1,MATCH(COLUMNS($AC$1006:AE1006),$AC$1006:$AS$1006,0)))),"Fix")))</f>
        <v xml:space="preserve"> </v>
      </c>
      <c r="E590" s="4" t="str">
        <f ca="1">IF(OR(INDEX($W$2:$W$1001,MATCH(ROWS($V$2:V590),$V$2:$V$1001,0),1)&gt;=100000,INDEX($AC$1005:$AS$1005,1,MATCH(COLUMNS($AC$1006:AF1006),$AC$1006:$AS$1006,0))&gt;=100000), " ",IF(INDEX($AC$2:$AS$1001,MATCH(ROWS($V$2:V590),$V$2:$V$1001,0),MATCH(COLUMNS($AC$1006:AF1006),$AC$1006:$AS$1006,0)), HYPERLINK("#",""), HYPERLINK(CONCATENATE("#metadata!", ADDRESS(INDEX($X$2:$X$1001,MATCH(ROWS($V$2:V590),$V$2:$V$1001,0),0), INDEX($AC$1004:$AS$1004,1,MATCH(COLUMNS($AC$1006:AF1006),$AC$1006:$AS$1006,0)))),"Fix")))</f>
        <v xml:space="preserve"> </v>
      </c>
      <c r="F590" s="4" t="str">
        <f ca="1">IF(OR(INDEX($W$2:$W$1001,MATCH(ROWS($V$2:V590),$V$2:$V$1001,0),1)&gt;=100000,INDEX($AC$1005:$AS$1005,1,MATCH(COLUMNS($AC$1006:AG1006),$AC$1006:$AS$1006,0))&gt;=100000), " ",IF(INDEX($AC$2:$AS$1001,MATCH(ROWS($V$2:V590),$V$2:$V$1001,0),MATCH(COLUMNS($AC$1006:AG1006),$AC$1006:$AS$1006,0)), HYPERLINK("#",""), HYPERLINK(CONCATENATE("#metadata!", ADDRESS(INDEX($X$2:$X$1001,MATCH(ROWS($V$2:V590),$V$2:$V$1001,0),0), INDEX($AC$1004:$AS$1004,1,MATCH(COLUMNS($AC$1006:AG1006),$AC$1006:$AS$1006,0)))),"Fix")))</f>
        <v xml:space="preserve"> </v>
      </c>
      <c r="G590" s="4" t="str">
        <f ca="1">IF(OR(INDEX($W$2:$W$1001,MATCH(ROWS($V$2:V590),$V$2:$V$1001,0),1)&gt;=100000,INDEX($AC$1005:$AS$1005,1,MATCH(COLUMNS($AC$1006:AH1006),$AC$1006:$AS$1006,0))&gt;=100000), " ",IF(INDEX($AC$2:$AS$1001,MATCH(ROWS($V$2:V590),$V$2:$V$1001,0),MATCH(COLUMNS($AC$1006:AH1006),$AC$1006:$AS$1006,0)), HYPERLINK("#",""), HYPERLINK(CONCATENATE("#metadata!", ADDRESS(INDEX($X$2:$X$1001,MATCH(ROWS($V$2:V590),$V$2:$V$1001,0),0), INDEX($AC$1004:$AS$1004,1,MATCH(COLUMNS($AC$1006:AH1006),$AC$1006:$AS$1006,0)))),"Fix")))</f>
        <v xml:space="preserve"> </v>
      </c>
      <c r="H590" s="4" t="str">
        <f ca="1">IF(OR(INDEX($W$2:$W$1001,MATCH(ROWS($V$2:V590),$V$2:$V$1001,0),1)&gt;=100000,INDEX($AC$1005:$AS$1005,1,MATCH(COLUMNS($AC$1006:AI1006),$AC$1006:$AS$1006,0))&gt;=100000), " ",IF(INDEX($AC$2:$AS$1001,MATCH(ROWS($V$2:V590),$V$2:$V$1001,0),MATCH(COLUMNS($AC$1006:AI1006),$AC$1006:$AS$1006,0)), HYPERLINK("#",""), HYPERLINK(CONCATENATE("#metadata!", ADDRESS(INDEX($X$2:$X$1001,MATCH(ROWS($V$2:V590),$V$2:$V$1001,0),0), INDEX($AC$1004:$AS$1004,1,MATCH(COLUMNS($AC$1006:AI1006),$AC$1006:$AS$1006,0)))),"Fix")))</f>
        <v xml:space="preserve"> </v>
      </c>
      <c r="I590" s="4" t="str">
        <f ca="1">IF(OR(INDEX($W$2:$W$1001,MATCH(ROWS($V$2:V590),$V$2:$V$1001,0),1)&gt;=100000,INDEX($AC$1005:$AS$1005,1,MATCH(COLUMNS($AC$1006:AJ1006),$AC$1006:$AS$1006,0))&gt;=100000), " ",IF(INDEX($AC$2:$AS$1001,MATCH(ROWS($V$2:V590),$V$2:$V$1001,0),MATCH(COLUMNS($AC$1006:AJ1006),$AC$1006:$AS$1006,0)), HYPERLINK("#",""), HYPERLINK(CONCATENATE("#metadata!", ADDRESS(INDEX($X$2:$X$1001,MATCH(ROWS($V$2:V590),$V$2:$V$1001,0),0), INDEX($AC$1004:$AS$1004,1,MATCH(COLUMNS($AC$1006:AJ1006),$AC$1006:$AS$1006,0)))),"Fix")))</f>
        <v xml:space="preserve"> </v>
      </c>
      <c r="J590" s="4" t="str">
        <f ca="1">IF(OR(INDEX($W$2:$W$1001,MATCH(ROWS($V$2:V590),$V$2:$V$1001,0),1)&gt;=100000,INDEX($AC$1005:$AS$1005,1,MATCH(COLUMNS($AC$1006:AK1006),$AC$1006:$AS$1006,0))&gt;=100000), " ",IF(INDEX($AC$2:$AS$1001,MATCH(ROWS($V$2:V590),$V$2:$V$1001,0),MATCH(COLUMNS($AC$1006:AK1006),$AC$1006:$AS$1006,0)), HYPERLINK("#",""), HYPERLINK(CONCATENATE("#metadata!", ADDRESS(INDEX($X$2:$X$1001,MATCH(ROWS($V$2:V590),$V$2:$V$1001,0),0), INDEX($AC$1004:$AS$1004,1,MATCH(COLUMNS($AC$1006:AK1006),$AC$1006:$AS$1006,0)))),"Fix")))</f>
        <v xml:space="preserve"> </v>
      </c>
      <c r="K590" s="4" t="str">
        <f ca="1">IF(OR(INDEX($W$2:$W$1001,MATCH(ROWS($V$2:V590),$V$2:$V$1001,0),1)&gt;=100000,INDEX($AC$1005:$AS$1005,1,MATCH(COLUMNS($AC$1006:AL1006),$AC$1006:$AS$1006,0))&gt;=100000), " ",IF(INDEX($AC$2:$AS$1001,MATCH(ROWS($V$2:V590),$V$2:$V$1001,0),MATCH(COLUMNS($AC$1006:AL1006),$AC$1006:$AS$1006,0)), HYPERLINK("#",""), HYPERLINK(CONCATENATE("#metadata!", ADDRESS(INDEX($X$2:$X$1001,MATCH(ROWS($V$2:V590),$V$2:$V$1001,0),0), INDEX($AC$1004:$AS$1004,1,MATCH(COLUMNS($AC$1006:AL1006),$AC$1006:$AS$1006,0)))),"Fix")))</f>
        <v xml:space="preserve"> </v>
      </c>
      <c r="L590" s="4" t="str">
        <f ca="1">IF(OR(INDEX($W$2:$W$1001,MATCH(ROWS($V$2:V590),$V$2:$V$1001,0),1)&gt;=100000,INDEX($AC$1005:$AS$1005,1,MATCH(COLUMNS($AC$1006:AM1006),$AC$1006:$AS$1006,0))&gt;=100000), " ",IF(INDEX($AC$2:$AS$1001,MATCH(ROWS($V$2:V590),$V$2:$V$1001,0),MATCH(COLUMNS($AC$1006:AM1006),$AC$1006:$AS$1006,0)), HYPERLINK("#",""), HYPERLINK(CONCATENATE("#metadata!", ADDRESS(INDEX($X$2:$X$1001,MATCH(ROWS($V$2:V590),$V$2:$V$1001,0),0), INDEX($AC$1004:$AS$1004,1,MATCH(COLUMNS($AC$1006:AM1006),$AC$1006:$AS$1006,0)))),"Fix")))</f>
        <v xml:space="preserve"> </v>
      </c>
      <c r="M590" s="4" t="str">
        <f ca="1">IF(OR(INDEX($W$2:$W$1001,MATCH(ROWS($V$2:V590),$V$2:$V$1001,0),1)&gt;=100000,INDEX($AC$1005:$AS$1005,1,MATCH(COLUMNS($AC$1006:AN1006),$AC$1006:$AS$1006,0))&gt;=100000), " ",IF(INDEX($AC$2:$AS$1001,MATCH(ROWS($V$2:V590),$V$2:$V$1001,0),MATCH(COLUMNS($AC$1006:AN1006),$AC$1006:$AS$1006,0)), HYPERLINK("#",""), HYPERLINK(CONCATENATE("#metadata!", ADDRESS(INDEX($X$2:$X$1001,MATCH(ROWS($V$2:V590),$V$2:$V$1001,0),0), INDEX($AC$1004:$AS$1004,1,MATCH(COLUMNS($AC$1006:AN1006),$AC$1006:$AS$1006,0)))),"Fix")))</f>
        <v xml:space="preserve"> </v>
      </c>
      <c r="N590" s="4" t="str">
        <f ca="1">IF(OR(INDEX($W$2:$W$1001,MATCH(ROWS($V$2:V590),$V$2:$V$1001,0),1)&gt;=100000,INDEX($AC$1005:$AS$1005,1,MATCH(COLUMNS($AC$1006:AO1006),$AC$1006:$AS$1006,0))&gt;=100000), " ",IF(INDEX($AC$2:$AS$1001,MATCH(ROWS($V$2:V590),$V$2:$V$1001,0),MATCH(COLUMNS($AC$1006:AO1006),$AC$1006:$AS$1006,0)), HYPERLINK("#",""), HYPERLINK(CONCATENATE("#metadata!", ADDRESS(INDEX($X$2:$X$1001,MATCH(ROWS($V$2:V590),$V$2:$V$1001,0),0), INDEX($AC$1004:$AS$1004,1,MATCH(COLUMNS($AC$1006:AO1006),$AC$1006:$AS$1006,0)))),"Fix")))</f>
        <v xml:space="preserve"> </v>
      </c>
      <c r="O590" s="4" t="str">
        <f ca="1">IF(OR(INDEX($W$2:$W$1001,MATCH(ROWS($V$2:V590),$V$2:$V$1001,0),1)&gt;=100000,INDEX($AC$1005:$AS$1005,1,MATCH(COLUMNS($AC$1006:AP1006),$AC$1006:$AS$1006,0))&gt;=100000), " ",IF(INDEX($AC$2:$AS$1001,MATCH(ROWS($V$2:V590),$V$2:$V$1001,0),MATCH(COLUMNS($AC$1006:AP1006),$AC$1006:$AS$1006,0)), HYPERLINK("#",""), HYPERLINK(CONCATENATE("#metadata!", ADDRESS(INDEX($X$2:$X$1001,MATCH(ROWS($V$2:V590),$V$2:$V$1001,0),0), INDEX($AC$1004:$AS$1004,1,MATCH(COLUMNS($AC$1006:AP1006),$AC$1006:$AS$1006,0)))),"Fix")))</f>
        <v xml:space="preserve"> </v>
      </c>
      <c r="P590" s="4" t="str">
        <f ca="1">IF(OR(INDEX($W$2:$W$1001,MATCH(ROWS($V$2:V590),$V$2:$V$1001,0),1)&gt;=100000,INDEX($AC$1005:$AS$1005,1,MATCH(COLUMNS($AC$1006:AQ1006),$AC$1006:$AS$1006,0))&gt;=100000), " ",IF(INDEX($AC$2:$AS$1001,MATCH(ROWS($V$2:V590),$V$2:$V$1001,0),MATCH(COLUMNS($AC$1006:AQ1006),$AC$1006:$AS$1006,0)), HYPERLINK("#",""), HYPERLINK(CONCATENATE("#metadata!", ADDRESS(INDEX($X$2:$X$1001,MATCH(ROWS($V$2:V590),$V$2:$V$1001,0),0), INDEX($AC$1004:$AS$1004,1,MATCH(COLUMNS($AC$1006:AQ1006),$AC$1006:$AS$1006,0)))),"Fix")))</f>
        <v xml:space="preserve"> </v>
      </c>
      <c r="Q590" s="4" t="str">
        <f ca="1">IF(OR(INDEX($W$2:$W$1001,MATCH(ROWS($V$2:V590),$V$2:$V$1001,0),1)&gt;=100000,INDEX($AC$1005:$AS$1005,1,MATCH(COLUMNS($AC$1006:AR1006),$AC$1006:$AS$1006,0))&gt;=100000), " ",IF(INDEX($AC$2:$AS$1001,MATCH(ROWS($V$2:V590),$V$2:$V$1001,0),MATCH(COLUMNS($AC$1006:AR1006),$AC$1006:$AS$1006,0)), HYPERLINK("#",""), HYPERLINK(CONCATENATE("#metadata!", ADDRESS(INDEX($X$2:$X$1001,MATCH(ROWS($V$2:V590),$V$2:$V$1001,0),0), INDEX($AC$1004:$AS$1004,1,MATCH(COLUMNS($AC$1006:AR1006),$AC$1006:$AS$1006,0)))),"Fix")))</f>
        <v xml:space="preserve"> </v>
      </c>
      <c r="R590" s="4" t="str">
        <f ca="1">IF(OR(INDEX($W$2:$W$1001,MATCH(ROWS($V$2:V590),$V$2:$V$1001,0),1)&gt;=100000,INDEX($AC$1005:$AS$1005,1,MATCH(COLUMNS($AC$1006:AS1006),$AC$1006:$AS$1006,0))&gt;=100000), " ",IF(INDEX($AC$2:$AS$1001,MATCH(ROWS($V$2:V590),$V$2:$V$1001,0),MATCH(COLUMNS($AC$1006:AS1006),$AC$1006:$AS$1006,0)), HYPERLINK("#",""), HYPERLINK(CONCATENATE("#metadata!", ADDRESS(INDEX($X$2:$X$1001,MATCH(ROWS($V$2:V590),$V$2:$V$1001,0),0), INDEX($AC$1004:$AS$1004,1,MATCH(COLUMNS($AC$1006:AS1006),$AC$1006:$AS$1006,0)))),"Fix")))</f>
        <v xml:space="preserve"> </v>
      </c>
      <c r="V590">
        <v>589</v>
      </c>
      <c r="W590">
        <v>100590</v>
      </c>
      <c r="X590">
        <v>590</v>
      </c>
      <c r="Y590" t="b">
        <f t="shared" si="9"/>
        <v>1</v>
      </c>
      <c r="Z590" t="b">
        <f>COUNTBLANK(metadata!B590:R590)=COLUMNS(metadata!B590:R590)</f>
        <v>1</v>
      </c>
      <c r="AA590" t="str">
        <v/>
      </c>
      <c r="AC590" t="b">
        <f ca="1"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AD590" t="b">
        <f>IF(metadata!C590="",FALSE,ISNUMBER(VALUE(metadata!C590)))</f>
        <v>0</v>
      </c>
      <c r="AE590" t="b">
        <f>AND(IF(metadata!D590="",FALSE,TRUE),EXACT(metadata!D590,"years"))</f>
        <v>0</v>
      </c>
      <c r="AF590" t="b">
        <f>OR(AND(IF(metadata!E590="",FALSE,TRUE),OR(EXACT(metadata!E590,"not applicable"),EXACT(metadata!E590,"missing: not collected"),EXACT(metadata!E590,"missing: not provided"),EXACT(metadata!E590,"missing: restricted access"))),AND(IF(metadata!E590="",FALSE,ISNUMBER(VALUE(metadata!E590))),metadata!E590&gt;0))</f>
        <v>0</v>
      </c>
      <c r="AG590" t="b">
        <f>AND(IF(metadata!F590="",FALSE,TRUE),EXACT(metadata!F590,"Not applicable"))</f>
        <v>0</v>
      </c>
      <c r="AH590" t="b">
        <f>AND(IF(metadata!G590="",FALSE,TRUE),EXACT(metadata!G590,"urban biome"))</f>
        <v>0</v>
      </c>
      <c r="AI590" t="b">
        <f>AND(IF(metadata!H590="",FALSE,TRUE),EXACT(metadata!H590,"human-associated habitat"))</f>
        <v>0</v>
      </c>
      <c r="AJ590" t="b">
        <f>AND(IF(metadata!I590="",FALSE,TRUE),OR(EXACT(metadata!I590,"human-associated"),EXACT(metadata!I590,"human-skin"),EXACT(metadata!I590,"human-oral"),EXACT(metadata!I590,"human-gut"),EXACT(metadata!I590,"human-vaginal")))</f>
        <v>0</v>
      </c>
      <c r="AK590" t="b">
        <f>IF(metadata!J590="",FALSE,ISNUMBER(VALUE(metadata!J590)))</f>
        <v>0</v>
      </c>
      <c r="AL590" t="b">
        <f>AND(IF(metadata!K590="",FALSE,TRUE),EXACT(metadata!K590,"cm"))</f>
        <v>0</v>
      </c>
      <c r="AM590" t="b">
        <f>AND(IF(metadata!L590="",FALSE,TRUE),EXACT(metadata!L590,"human"))</f>
        <v>0</v>
      </c>
      <c r="AN590" t="b">
        <f>AND(IF(metadata!M590="",FALSE,TRUE),EXACT(metadata!M590,"Homo sapiens"))</f>
        <v>0</v>
      </c>
      <c r="AO590" t="b">
        <f>AND(IF(metadata!N590="",FALSE,TRUE),EXACT(metadata!N590,"9606"))</f>
        <v>0</v>
      </c>
      <c r="AP590" t="b">
        <f>IF(metadata!O590="",FALSE,TRUE)</f>
        <v>0</v>
      </c>
      <c r="AQ590" t="b">
        <f>IF(metadata!P590="",FALSE,TRUE)</f>
        <v>0</v>
      </c>
      <c r="AR590" t="b">
        <f>IF(metadata!Q590="",FALSE,ISNUMBER(VALUE(metadata!Q590)))</f>
        <v>0</v>
      </c>
      <c r="AS590" t="b">
        <f>AND(IF(metadata!R590="",FALSE,TRUE),EXACT(metadata!R590,"kg"))</f>
        <v>0</v>
      </c>
    </row>
    <row r="591" spans="1:45" x14ac:dyDescent="0.2">
      <c r="A591" s="5" t="str">
        <f ca="1">IF(B591=" "," ",HYPERLINK(CONCATENATE("#metadata!",ADDRESS(INDEX($X$2:$X$1001,MATCH(ROWS($V$2:V591),$V$2:$V$1001,0),0),1)),INDEX($AA$2:$AA$1001,MATCH(ROWS($V$2:V591),$V$2:$V$1001,0),0)))</f>
        <v xml:space="preserve"> </v>
      </c>
      <c r="B591" s="4" t="str">
        <f ca="1">IF(OR(INDEX($W$2:$W$1001,MATCH(ROWS($V$2:V591),$V$2:$V$1001,0),1)&gt;=100000,INDEX($AC$1005:$AS$1005,1,MATCH(COLUMNS($AC$1006:AC1006),$AC$1006:$AS$1006,0))&gt;=100000), " ",IF(INDEX($AC$2:$AS$1001,MATCH(ROWS($V$2:V591),$V$2:$V$1001,0),MATCH(COLUMNS($AC$1006:AC1006),$AC$1006:$AS$1006,0)), HYPERLINK("#",""), HYPERLINK(CONCATENATE("#metadata!", ADDRESS(INDEX($X$2:$X$1001,MATCH(ROWS($V$2:V591),$V$2:$V$1001,0),0), INDEX($AC$1004:$AS$1004,1,MATCH(COLUMNS($AC$1006:AC1006),$AC$1006:$AS$1006,0)))),"Fix")))</f>
        <v xml:space="preserve"> </v>
      </c>
      <c r="C591" s="4" t="str">
        <f ca="1">IF(OR(INDEX($W$2:$W$1001,MATCH(ROWS($V$2:V591),$V$2:$V$1001,0),1)&gt;=100000,INDEX($AC$1005:$AS$1005,1,MATCH(COLUMNS($AC$1006:AD1006),$AC$1006:$AS$1006,0))&gt;=100000), " ",IF(INDEX($AC$2:$AS$1001,MATCH(ROWS($V$2:V591),$V$2:$V$1001,0),MATCH(COLUMNS($AC$1006:AD1006),$AC$1006:$AS$1006,0)), HYPERLINK("#",""), HYPERLINK(CONCATENATE("#metadata!", ADDRESS(INDEX($X$2:$X$1001,MATCH(ROWS($V$2:V591),$V$2:$V$1001,0),0), INDEX($AC$1004:$AS$1004,1,MATCH(COLUMNS($AC$1006:AD1006),$AC$1006:$AS$1006,0)))),"Fix")))</f>
        <v xml:space="preserve"> </v>
      </c>
      <c r="D591" s="4" t="str">
        <f ca="1">IF(OR(INDEX($W$2:$W$1001,MATCH(ROWS($V$2:V591),$V$2:$V$1001,0),1)&gt;=100000,INDEX($AC$1005:$AS$1005,1,MATCH(COLUMNS($AC$1006:AE1006),$AC$1006:$AS$1006,0))&gt;=100000), " ",IF(INDEX($AC$2:$AS$1001,MATCH(ROWS($V$2:V591),$V$2:$V$1001,0),MATCH(COLUMNS($AC$1006:AE1006),$AC$1006:$AS$1006,0)), HYPERLINK("#",""), HYPERLINK(CONCATENATE("#metadata!", ADDRESS(INDEX($X$2:$X$1001,MATCH(ROWS($V$2:V591),$V$2:$V$1001,0),0), INDEX($AC$1004:$AS$1004,1,MATCH(COLUMNS($AC$1006:AE1006),$AC$1006:$AS$1006,0)))),"Fix")))</f>
        <v xml:space="preserve"> </v>
      </c>
      <c r="E591" s="4" t="str">
        <f ca="1">IF(OR(INDEX($W$2:$W$1001,MATCH(ROWS($V$2:V591),$V$2:$V$1001,0),1)&gt;=100000,INDEX($AC$1005:$AS$1005,1,MATCH(COLUMNS($AC$1006:AF1006),$AC$1006:$AS$1006,0))&gt;=100000), " ",IF(INDEX($AC$2:$AS$1001,MATCH(ROWS($V$2:V591),$V$2:$V$1001,0),MATCH(COLUMNS($AC$1006:AF1006),$AC$1006:$AS$1006,0)), HYPERLINK("#",""), HYPERLINK(CONCATENATE("#metadata!", ADDRESS(INDEX($X$2:$X$1001,MATCH(ROWS($V$2:V591),$V$2:$V$1001,0),0), INDEX($AC$1004:$AS$1004,1,MATCH(COLUMNS($AC$1006:AF1006),$AC$1006:$AS$1006,0)))),"Fix")))</f>
        <v xml:space="preserve"> </v>
      </c>
      <c r="F591" s="4" t="str">
        <f ca="1">IF(OR(INDEX($W$2:$W$1001,MATCH(ROWS($V$2:V591),$V$2:$V$1001,0),1)&gt;=100000,INDEX($AC$1005:$AS$1005,1,MATCH(COLUMNS($AC$1006:AG1006),$AC$1006:$AS$1006,0))&gt;=100000), " ",IF(INDEX($AC$2:$AS$1001,MATCH(ROWS($V$2:V591),$V$2:$V$1001,0),MATCH(COLUMNS($AC$1006:AG1006),$AC$1006:$AS$1006,0)), HYPERLINK("#",""), HYPERLINK(CONCATENATE("#metadata!", ADDRESS(INDEX($X$2:$X$1001,MATCH(ROWS($V$2:V591),$V$2:$V$1001,0),0), INDEX($AC$1004:$AS$1004,1,MATCH(COLUMNS($AC$1006:AG1006),$AC$1006:$AS$1006,0)))),"Fix")))</f>
        <v xml:space="preserve"> </v>
      </c>
      <c r="G591" s="4" t="str">
        <f ca="1">IF(OR(INDEX($W$2:$W$1001,MATCH(ROWS($V$2:V591),$V$2:$V$1001,0),1)&gt;=100000,INDEX($AC$1005:$AS$1005,1,MATCH(COLUMNS($AC$1006:AH1006),$AC$1006:$AS$1006,0))&gt;=100000), " ",IF(INDEX($AC$2:$AS$1001,MATCH(ROWS($V$2:V591),$V$2:$V$1001,0),MATCH(COLUMNS($AC$1006:AH1006),$AC$1006:$AS$1006,0)), HYPERLINK("#",""), HYPERLINK(CONCATENATE("#metadata!", ADDRESS(INDEX($X$2:$X$1001,MATCH(ROWS($V$2:V591),$V$2:$V$1001,0),0), INDEX($AC$1004:$AS$1004,1,MATCH(COLUMNS($AC$1006:AH1006),$AC$1006:$AS$1006,0)))),"Fix")))</f>
        <v xml:space="preserve"> </v>
      </c>
      <c r="H591" s="4" t="str">
        <f ca="1">IF(OR(INDEX($W$2:$W$1001,MATCH(ROWS($V$2:V591),$V$2:$V$1001,0),1)&gt;=100000,INDEX($AC$1005:$AS$1005,1,MATCH(COLUMNS($AC$1006:AI1006),$AC$1006:$AS$1006,0))&gt;=100000), " ",IF(INDEX($AC$2:$AS$1001,MATCH(ROWS($V$2:V591),$V$2:$V$1001,0),MATCH(COLUMNS($AC$1006:AI1006),$AC$1006:$AS$1006,0)), HYPERLINK("#",""), HYPERLINK(CONCATENATE("#metadata!", ADDRESS(INDEX($X$2:$X$1001,MATCH(ROWS($V$2:V591),$V$2:$V$1001,0),0), INDEX($AC$1004:$AS$1004,1,MATCH(COLUMNS($AC$1006:AI1006),$AC$1006:$AS$1006,0)))),"Fix")))</f>
        <v xml:space="preserve"> </v>
      </c>
      <c r="I591" s="4" t="str">
        <f ca="1">IF(OR(INDEX($W$2:$W$1001,MATCH(ROWS($V$2:V591),$V$2:$V$1001,0),1)&gt;=100000,INDEX($AC$1005:$AS$1005,1,MATCH(COLUMNS($AC$1006:AJ1006),$AC$1006:$AS$1006,0))&gt;=100000), " ",IF(INDEX($AC$2:$AS$1001,MATCH(ROWS($V$2:V591),$V$2:$V$1001,0),MATCH(COLUMNS($AC$1006:AJ1006),$AC$1006:$AS$1006,0)), HYPERLINK("#",""), HYPERLINK(CONCATENATE("#metadata!", ADDRESS(INDEX($X$2:$X$1001,MATCH(ROWS($V$2:V591),$V$2:$V$1001,0),0), INDEX($AC$1004:$AS$1004,1,MATCH(COLUMNS($AC$1006:AJ1006),$AC$1006:$AS$1006,0)))),"Fix")))</f>
        <v xml:space="preserve"> </v>
      </c>
      <c r="J591" s="4" t="str">
        <f ca="1">IF(OR(INDEX($W$2:$W$1001,MATCH(ROWS($V$2:V591),$V$2:$V$1001,0),1)&gt;=100000,INDEX($AC$1005:$AS$1005,1,MATCH(COLUMNS($AC$1006:AK1006),$AC$1006:$AS$1006,0))&gt;=100000), " ",IF(INDEX($AC$2:$AS$1001,MATCH(ROWS($V$2:V591),$V$2:$V$1001,0),MATCH(COLUMNS($AC$1006:AK1006),$AC$1006:$AS$1006,0)), HYPERLINK("#",""), HYPERLINK(CONCATENATE("#metadata!", ADDRESS(INDEX($X$2:$X$1001,MATCH(ROWS($V$2:V591),$V$2:$V$1001,0),0), INDEX($AC$1004:$AS$1004,1,MATCH(COLUMNS($AC$1006:AK1006),$AC$1006:$AS$1006,0)))),"Fix")))</f>
        <v xml:space="preserve"> </v>
      </c>
      <c r="K591" s="4" t="str">
        <f ca="1">IF(OR(INDEX($W$2:$W$1001,MATCH(ROWS($V$2:V591),$V$2:$V$1001,0),1)&gt;=100000,INDEX($AC$1005:$AS$1005,1,MATCH(COLUMNS($AC$1006:AL1006),$AC$1006:$AS$1006,0))&gt;=100000), " ",IF(INDEX($AC$2:$AS$1001,MATCH(ROWS($V$2:V591),$V$2:$V$1001,0),MATCH(COLUMNS($AC$1006:AL1006),$AC$1006:$AS$1006,0)), HYPERLINK("#",""), HYPERLINK(CONCATENATE("#metadata!", ADDRESS(INDEX($X$2:$X$1001,MATCH(ROWS($V$2:V591),$V$2:$V$1001,0),0), INDEX($AC$1004:$AS$1004,1,MATCH(COLUMNS($AC$1006:AL1006),$AC$1006:$AS$1006,0)))),"Fix")))</f>
        <v xml:space="preserve"> </v>
      </c>
      <c r="L591" s="4" t="str">
        <f ca="1">IF(OR(INDEX($W$2:$W$1001,MATCH(ROWS($V$2:V591),$V$2:$V$1001,0),1)&gt;=100000,INDEX($AC$1005:$AS$1005,1,MATCH(COLUMNS($AC$1006:AM1006),$AC$1006:$AS$1006,0))&gt;=100000), " ",IF(INDEX($AC$2:$AS$1001,MATCH(ROWS($V$2:V591),$V$2:$V$1001,0),MATCH(COLUMNS($AC$1006:AM1006),$AC$1006:$AS$1006,0)), HYPERLINK("#",""), HYPERLINK(CONCATENATE("#metadata!", ADDRESS(INDEX($X$2:$X$1001,MATCH(ROWS($V$2:V591),$V$2:$V$1001,0),0), INDEX($AC$1004:$AS$1004,1,MATCH(COLUMNS($AC$1006:AM1006),$AC$1006:$AS$1006,0)))),"Fix")))</f>
        <v xml:space="preserve"> </v>
      </c>
      <c r="M591" s="4" t="str">
        <f ca="1">IF(OR(INDEX($W$2:$W$1001,MATCH(ROWS($V$2:V591),$V$2:$V$1001,0),1)&gt;=100000,INDEX($AC$1005:$AS$1005,1,MATCH(COLUMNS($AC$1006:AN1006),$AC$1006:$AS$1006,0))&gt;=100000), " ",IF(INDEX($AC$2:$AS$1001,MATCH(ROWS($V$2:V591),$V$2:$V$1001,0),MATCH(COLUMNS($AC$1006:AN1006),$AC$1006:$AS$1006,0)), HYPERLINK("#",""), HYPERLINK(CONCATENATE("#metadata!", ADDRESS(INDEX($X$2:$X$1001,MATCH(ROWS($V$2:V591),$V$2:$V$1001,0),0), INDEX($AC$1004:$AS$1004,1,MATCH(COLUMNS($AC$1006:AN1006),$AC$1006:$AS$1006,0)))),"Fix")))</f>
        <v xml:space="preserve"> </v>
      </c>
      <c r="N591" s="4" t="str">
        <f ca="1">IF(OR(INDEX($W$2:$W$1001,MATCH(ROWS($V$2:V591),$V$2:$V$1001,0),1)&gt;=100000,INDEX($AC$1005:$AS$1005,1,MATCH(COLUMNS($AC$1006:AO1006),$AC$1006:$AS$1006,0))&gt;=100000), " ",IF(INDEX($AC$2:$AS$1001,MATCH(ROWS($V$2:V591),$V$2:$V$1001,0),MATCH(COLUMNS($AC$1006:AO1006),$AC$1006:$AS$1006,0)), HYPERLINK("#",""), HYPERLINK(CONCATENATE("#metadata!", ADDRESS(INDEX($X$2:$X$1001,MATCH(ROWS($V$2:V591),$V$2:$V$1001,0),0), INDEX($AC$1004:$AS$1004,1,MATCH(COLUMNS($AC$1006:AO1006),$AC$1006:$AS$1006,0)))),"Fix")))</f>
        <v xml:space="preserve"> </v>
      </c>
      <c r="O591" s="4" t="str">
        <f ca="1">IF(OR(INDEX($W$2:$W$1001,MATCH(ROWS($V$2:V591),$V$2:$V$1001,0),1)&gt;=100000,INDEX($AC$1005:$AS$1005,1,MATCH(COLUMNS($AC$1006:AP1006),$AC$1006:$AS$1006,0))&gt;=100000), " ",IF(INDEX($AC$2:$AS$1001,MATCH(ROWS($V$2:V591),$V$2:$V$1001,0),MATCH(COLUMNS($AC$1006:AP1006),$AC$1006:$AS$1006,0)), HYPERLINK("#",""), HYPERLINK(CONCATENATE("#metadata!", ADDRESS(INDEX($X$2:$X$1001,MATCH(ROWS($V$2:V591),$V$2:$V$1001,0),0), INDEX($AC$1004:$AS$1004,1,MATCH(COLUMNS($AC$1006:AP1006),$AC$1006:$AS$1006,0)))),"Fix")))</f>
        <v xml:space="preserve"> </v>
      </c>
      <c r="P591" s="4" t="str">
        <f ca="1">IF(OR(INDEX($W$2:$W$1001,MATCH(ROWS($V$2:V591),$V$2:$V$1001,0),1)&gt;=100000,INDEX($AC$1005:$AS$1005,1,MATCH(COLUMNS($AC$1006:AQ1006),$AC$1006:$AS$1006,0))&gt;=100000), " ",IF(INDEX($AC$2:$AS$1001,MATCH(ROWS($V$2:V591),$V$2:$V$1001,0),MATCH(COLUMNS($AC$1006:AQ1006),$AC$1006:$AS$1006,0)), HYPERLINK("#",""), HYPERLINK(CONCATENATE("#metadata!", ADDRESS(INDEX($X$2:$X$1001,MATCH(ROWS($V$2:V591),$V$2:$V$1001,0),0), INDEX($AC$1004:$AS$1004,1,MATCH(COLUMNS($AC$1006:AQ1006),$AC$1006:$AS$1006,0)))),"Fix")))</f>
        <v xml:space="preserve"> </v>
      </c>
      <c r="Q591" s="4" t="str">
        <f ca="1">IF(OR(INDEX($W$2:$W$1001,MATCH(ROWS($V$2:V591),$V$2:$V$1001,0),1)&gt;=100000,INDEX($AC$1005:$AS$1005,1,MATCH(COLUMNS($AC$1006:AR1006),$AC$1006:$AS$1006,0))&gt;=100000), " ",IF(INDEX($AC$2:$AS$1001,MATCH(ROWS($V$2:V591),$V$2:$V$1001,0),MATCH(COLUMNS($AC$1006:AR1006),$AC$1006:$AS$1006,0)), HYPERLINK("#",""), HYPERLINK(CONCATENATE("#metadata!", ADDRESS(INDEX($X$2:$X$1001,MATCH(ROWS($V$2:V591),$V$2:$V$1001,0),0), INDEX($AC$1004:$AS$1004,1,MATCH(COLUMNS($AC$1006:AR1006),$AC$1006:$AS$1006,0)))),"Fix")))</f>
        <v xml:space="preserve"> </v>
      </c>
      <c r="R591" s="4" t="str">
        <f ca="1">IF(OR(INDEX($W$2:$W$1001,MATCH(ROWS($V$2:V591),$V$2:$V$1001,0),1)&gt;=100000,INDEX($AC$1005:$AS$1005,1,MATCH(COLUMNS($AC$1006:AS1006),$AC$1006:$AS$1006,0))&gt;=100000), " ",IF(INDEX($AC$2:$AS$1001,MATCH(ROWS($V$2:V591),$V$2:$V$1001,0),MATCH(COLUMNS($AC$1006:AS1006),$AC$1006:$AS$1006,0)), HYPERLINK("#",""), HYPERLINK(CONCATENATE("#metadata!", ADDRESS(INDEX($X$2:$X$1001,MATCH(ROWS($V$2:V591),$V$2:$V$1001,0),0), INDEX($AC$1004:$AS$1004,1,MATCH(COLUMNS($AC$1006:AS1006),$AC$1006:$AS$1006,0)))),"Fix")))</f>
        <v xml:space="preserve"> </v>
      </c>
      <c r="V591">
        <v>590</v>
      </c>
      <c r="W591">
        <v>100591</v>
      </c>
      <c r="X591">
        <v>591</v>
      </c>
      <c r="Y591" t="b">
        <f t="shared" si="9"/>
        <v>1</v>
      </c>
      <c r="Z591" t="b">
        <f>COUNTBLANK(metadata!B591:R591)=COLUMNS(metadata!B591:R591)</f>
        <v>1</v>
      </c>
      <c r="AA591" t="str">
        <v/>
      </c>
      <c r="AC591" t="b">
        <f ca="1"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AD591" t="b">
        <f>IF(metadata!C591="",FALSE,ISNUMBER(VALUE(metadata!C591)))</f>
        <v>0</v>
      </c>
      <c r="AE591" t="b">
        <f>AND(IF(metadata!D591="",FALSE,TRUE),EXACT(metadata!D591,"years"))</f>
        <v>0</v>
      </c>
      <c r="AF591" t="b">
        <f>OR(AND(IF(metadata!E591="",FALSE,TRUE),OR(EXACT(metadata!E591,"not applicable"),EXACT(metadata!E591,"missing: not collected"),EXACT(metadata!E591,"missing: not provided"),EXACT(metadata!E591,"missing: restricted access"))),AND(IF(metadata!E591="",FALSE,ISNUMBER(VALUE(metadata!E591))),metadata!E591&gt;0))</f>
        <v>0</v>
      </c>
      <c r="AG591" t="b">
        <f>AND(IF(metadata!F591="",FALSE,TRUE),EXACT(metadata!F591,"Not applicable"))</f>
        <v>0</v>
      </c>
      <c r="AH591" t="b">
        <f>AND(IF(metadata!G591="",FALSE,TRUE),EXACT(metadata!G591,"urban biome"))</f>
        <v>0</v>
      </c>
      <c r="AI591" t="b">
        <f>AND(IF(metadata!H591="",FALSE,TRUE),EXACT(metadata!H591,"human-associated habitat"))</f>
        <v>0</v>
      </c>
      <c r="AJ591" t="b">
        <f>AND(IF(metadata!I591="",FALSE,TRUE),OR(EXACT(metadata!I591,"human-associated"),EXACT(metadata!I591,"human-skin"),EXACT(metadata!I591,"human-oral"),EXACT(metadata!I591,"human-gut"),EXACT(metadata!I591,"human-vaginal")))</f>
        <v>0</v>
      </c>
      <c r="AK591" t="b">
        <f>IF(metadata!J591="",FALSE,ISNUMBER(VALUE(metadata!J591)))</f>
        <v>0</v>
      </c>
      <c r="AL591" t="b">
        <f>AND(IF(metadata!K591="",FALSE,TRUE),EXACT(metadata!K591,"cm"))</f>
        <v>0</v>
      </c>
      <c r="AM591" t="b">
        <f>AND(IF(metadata!L591="",FALSE,TRUE),EXACT(metadata!L591,"human"))</f>
        <v>0</v>
      </c>
      <c r="AN591" t="b">
        <f>AND(IF(metadata!M591="",FALSE,TRUE),EXACT(metadata!M591,"Homo sapiens"))</f>
        <v>0</v>
      </c>
      <c r="AO591" t="b">
        <f>AND(IF(metadata!N591="",FALSE,TRUE),EXACT(metadata!N591,"9606"))</f>
        <v>0</v>
      </c>
      <c r="AP591" t="b">
        <f>IF(metadata!O591="",FALSE,TRUE)</f>
        <v>0</v>
      </c>
      <c r="AQ591" t="b">
        <f>IF(metadata!P591="",FALSE,TRUE)</f>
        <v>0</v>
      </c>
      <c r="AR591" t="b">
        <f>IF(metadata!Q591="",FALSE,ISNUMBER(VALUE(metadata!Q591)))</f>
        <v>0</v>
      </c>
      <c r="AS591" t="b">
        <f>AND(IF(metadata!R591="",FALSE,TRUE),EXACT(metadata!R591,"kg"))</f>
        <v>0</v>
      </c>
    </row>
    <row r="592" spans="1:45" x14ac:dyDescent="0.2">
      <c r="A592" s="5" t="str">
        <f ca="1">IF(B592=" "," ",HYPERLINK(CONCATENATE("#metadata!",ADDRESS(INDEX($X$2:$X$1001,MATCH(ROWS($V$2:V592),$V$2:$V$1001,0),0),1)),INDEX($AA$2:$AA$1001,MATCH(ROWS($V$2:V592),$V$2:$V$1001,0),0)))</f>
        <v xml:space="preserve"> </v>
      </c>
      <c r="B592" s="4" t="str">
        <f ca="1">IF(OR(INDEX($W$2:$W$1001,MATCH(ROWS($V$2:V592),$V$2:$V$1001,0),1)&gt;=100000,INDEX($AC$1005:$AS$1005,1,MATCH(COLUMNS($AC$1006:AC1006),$AC$1006:$AS$1006,0))&gt;=100000), " ",IF(INDEX($AC$2:$AS$1001,MATCH(ROWS($V$2:V592),$V$2:$V$1001,0),MATCH(COLUMNS($AC$1006:AC1006),$AC$1006:$AS$1006,0)), HYPERLINK("#",""), HYPERLINK(CONCATENATE("#metadata!", ADDRESS(INDEX($X$2:$X$1001,MATCH(ROWS($V$2:V592),$V$2:$V$1001,0),0), INDEX($AC$1004:$AS$1004,1,MATCH(COLUMNS($AC$1006:AC1006),$AC$1006:$AS$1006,0)))),"Fix")))</f>
        <v xml:space="preserve"> </v>
      </c>
      <c r="C592" s="4" t="str">
        <f ca="1">IF(OR(INDEX($W$2:$W$1001,MATCH(ROWS($V$2:V592),$V$2:$V$1001,0),1)&gt;=100000,INDEX($AC$1005:$AS$1005,1,MATCH(COLUMNS($AC$1006:AD1006),$AC$1006:$AS$1006,0))&gt;=100000), " ",IF(INDEX($AC$2:$AS$1001,MATCH(ROWS($V$2:V592),$V$2:$V$1001,0),MATCH(COLUMNS($AC$1006:AD1006),$AC$1006:$AS$1006,0)), HYPERLINK("#",""), HYPERLINK(CONCATENATE("#metadata!", ADDRESS(INDEX($X$2:$X$1001,MATCH(ROWS($V$2:V592),$V$2:$V$1001,0),0), INDEX($AC$1004:$AS$1004,1,MATCH(COLUMNS($AC$1006:AD1006),$AC$1006:$AS$1006,0)))),"Fix")))</f>
        <v xml:space="preserve"> </v>
      </c>
      <c r="D592" s="4" t="str">
        <f ca="1">IF(OR(INDEX($W$2:$W$1001,MATCH(ROWS($V$2:V592),$V$2:$V$1001,0),1)&gt;=100000,INDEX($AC$1005:$AS$1005,1,MATCH(COLUMNS($AC$1006:AE1006),$AC$1006:$AS$1006,0))&gt;=100000), " ",IF(INDEX($AC$2:$AS$1001,MATCH(ROWS($V$2:V592),$V$2:$V$1001,0),MATCH(COLUMNS($AC$1006:AE1006),$AC$1006:$AS$1006,0)), HYPERLINK("#",""), HYPERLINK(CONCATENATE("#metadata!", ADDRESS(INDEX($X$2:$X$1001,MATCH(ROWS($V$2:V592),$V$2:$V$1001,0),0), INDEX($AC$1004:$AS$1004,1,MATCH(COLUMNS($AC$1006:AE1006),$AC$1006:$AS$1006,0)))),"Fix")))</f>
        <v xml:space="preserve"> </v>
      </c>
      <c r="E592" s="4" t="str">
        <f ca="1">IF(OR(INDEX($W$2:$W$1001,MATCH(ROWS($V$2:V592),$V$2:$V$1001,0),1)&gt;=100000,INDEX($AC$1005:$AS$1005,1,MATCH(COLUMNS($AC$1006:AF1006),$AC$1006:$AS$1006,0))&gt;=100000), " ",IF(INDEX($AC$2:$AS$1001,MATCH(ROWS($V$2:V592),$V$2:$V$1001,0),MATCH(COLUMNS($AC$1006:AF1006),$AC$1006:$AS$1006,0)), HYPERLINK("#",""), HYPERLINK(CONCATENATE("#metadata!", ADDRESS(INDEX($X$2:$X$1001,MATCH(ROWS($V$2:V592),$V$2:$V$1001,0),0), INDEX($AC$1004:$AS$1004,1,MATCH(COLUMNS($AC$1006:AF1006),$AC$1006:$AS$1006,0)))),"Fix")))</f>
        <v xml:space="preserve"> </v>
      </c>
      <c r="F592" s="4" t="str">
        <f ca="1">IF(OR(INDEX($W$2:$W$1001,MATCH(ROWS($V$2:V592),$V$2:$V$1001,0),1)&gt;=100000,INDEX($AC$1005:$AS$1005,1,MATCH(COLUMNS($AC$1006:AG1006),$AC$1006:$AS$1006,0))&gt;=100000), " ",IF(INDEX($AC$2:$AS$1001,MATCH(ROWS($V$2:V592),$V$2:$V$1001,0),MATCH(COLUMNS($AC$1006:AG1006),$AC$1006:$AS$1006,0)), HYPERLINK("#",""), HYPERLINK(CONCATENATE("#metadata!", ADDRESS(INDEX($X$2:$X$1001,MATCH(ROWS($V$2:V592),$V$2:$V$1001,0),0), INDEX($AC$1004:$AS$1004,1,MATCH(COLUMNS($AC$1006:AG1006),$AC$1006:$AS$1006,0)))),"Fix")))</f>
        <v xml:space="preserve"> </v>
      </c>
      <c r="G592" s="4" t="str">
        <f ca="1">IF(OR(INDEX($W$2:$W$1001,MATCH(ROWS($V$2:V592),$V$2:$V$1001,0),1)&gt;=100000,INDEX($AC$1005:$AS$1005,1,MATCH(COLUMNS($AC$1006:AH1006),$AC$1006:$AS$1006,0))&gt;=100000), " ",IF(INDEX($AC$2:$AS$1001,MATCH(ROWS($V$2:V592),$V$2:$V$1001,0),MATCH(COLUMNS($AC$1006:AH1006),$AC$1006:$AS$1006,0)), HYPERLINK("#",""), HYPERLINK(CONCATENATE("#metadata!", ADDRESS(INDEX($X$2:$X$1001,MATCH(ROWS($V$2:V592),$V$2:$V$1001,0),0), INDEX($AC$1004:$AS$1004,1,MATCH(COLUMNS($AC$1006:AH1006),$AC$1006:$AS$1006,0)))),"Fix")))</f>
        <v xml:space="preserve"> </v>
      </c>
      <c r="H592" s="4" t="str">
        <f ca="1">IF(OR(INDEX($W$2:$W$1001,MATCH(ROWS($V$2:V592),$V$2:$V$1001,0),1)&gt;=100000,INDEX($AC$1005:$AS$1005,1,MATCH(COLUMNS($AC$1006:AI1006),$AC$1006:$AS$1006,0))&gt;=100000), " ",IF(INDEX($AC$2:$AS$1001,MATCH(ROWS($V$2:V592),$V$2:$V$1001,0),MATCH(COLUMNS($AC$1006:AI1006),$AC$1006:$AS$1006,0)), HYPERLINK("#",""), HYPERLINK(CONCATENATE("#metadata!", ADDRESS(INDEX($X$2:$X$1001,MATCH(ROWS($V$2:V592),$V$2:$V$1001,0),0), INDEX($AC$1004:$AS$1004,1,MATCH(COLUMNS($AC$1006:AI1006),$AC$1006:$AS$1006,0)))),"Fix")))</f>
        <v xml:space="preserve"> </v>
      </c>
      <c r="I592" s="4" t="str">
        <f ca="1">IF(OR(INDEX($W$2:$W$1001,MATCH(ROWS($V$2:V592),$V$2:$V$1001,0),1)&gt;=100000,INDEX($AC$1005:$AS$1005,1,MATCH(COLUMNS($AC$1006:AJ1006),$AC$1006:$AS$1006,0))&gt;=100000), " ",IF(INDEX($AC$2:$AS$1001,MATCH(ROWS($V$2:V592),$V$2:$V$1001,0),MATCH(COLUMNS($AC$1006:AJ1006),$AC$1006:$AS$1006,0)), HYPERLINK("#",""), HYPERLINK(CONCATENATE("#metadata!", ADDRESS(INDEX($X$2:$X$1001,MATCH(ROWS($V$2:V592),$V$2:$V$1001,0),0), INDEX($AC$1004:$AS$1004,1,MATCH(COLUMNS($AC$1006:AJ1006),$AC$1006:$AS$1006,0)))),"Fix")))</f>
        <v xml:space="preserve"> </v>
      </c>
      <c r="J592" s="4" t="str">
        <f ca="1">IF(OR(INDEX($W$2:$W$1001,MATCH(ROWS($V$2:V592),$V$2:$V$1001,0),1)&gt;=100000,INDEX($AC$1005:$AS$1005,1,MATCH(COLUMNS($AC$1006:AK1006),$AC$1006:$AS$1006,0))&gt;=100000), " ",IF(INDEX($AC$2:$AS$1001,MATCH(ROWS($V$2:V592),$V$2:$V$1001,0),MATCH(COLUMNS($AC$1006:AK1006),$AC$1006:$AS$1006,0)), HYPERLINK("#",""), HYPERLINK(CONCATENATE("#metadata!", ADDRESS(INDEX($X$2:$X$1001,MATCH(ROWS($V$2:V592),$V$2:$V$1001,0),0), INDEX($AC$1004:$AS$1004,1,MATCH(COLUMNS($AC$1006:AK1006),$AC$1006:$AS$1006,0)))),"Fix")))</f>
        <v xml:space="preserve"> </v>
      </c>
      <c r="K592" s="4" t="str">
        <f ca="1">IF(OR(INDEX($W$2:$W$1001,MATCH(ROWS($V$2:V592),$V$2:$V$1001,0),1)&gt;=100000,INDEX($AC$1005:$AS$1005,1,MATCH(COLUMNS($AC$1006:AL1006),$AC$1006:$AS$1006,0))&gt;=100000), " ",IF(INDEX($AC$2:$AS$1001,MATCH(ROWS($V$2:V592),$V$2:$V$1001,0),MATCH(COLUMNS($AC$1006:AL1006),$AC$1006:$AS$1006,0)), HYPERLINK("#",""), HYPERLINK(CONCATENATE("#metadata!", ADDRESS(INDEX($X$2:$X$1001,MATCH(ROWS($V$2:V592),$V$2:$V$1001,0),0), INDEX($AC$1004:$AS$1004,1,MATCH(COLUMNS($AC$1006:AL1006),$AC$1006:$AS$1006,0)))),"Fix")))</f>
        <v xml:space="preserve"> </v>
      </c>
      <c r="L592" s="4" t="str">
        <f ca="1">IF(OR(INDEX($W$2:$W$1001,MATCH(ROWS($V$2:V592),$V$2:$V$1001,0),1)&gt;=100000,INDEX($AC$1005:$AS$1005,1,MATCH(COLUMNS($AC$1006:AM1006),$AC$1006:$AS$1006,0))&gt;=100000), " ",IF(INDEX($AC$2:$AS$1001,MATCH(ROWS($V$2:V592),$V$2:$V$1001,0),MATCH(COLUMNS($AC$1006:AM1006),$AC$1006:$AS$1006,0)), HYPERLINK("#",""), HYPERLINK(CONCATENATE("#metadata!", ADDRESS(INDEX($X$2:$X$1001,MATCH(ROWS($V$2:V592),$V$2:$V$1001,0),0), INDEX($AC$1004:$AS$1004,1,MATCH(COLUMNS($AC$1006:AM1006),$AC$1006:$AS$1006,0)))),"Fix")))</f>
        <v xml:space="preserve"> </v>
      </c>
      <c r="M592" s="4" t="str">
        <f ca="1">IF(OR(INDEX($W$2:$W$1001,MATCH(ROWS($V$2:V592),$V$2:$V$1001,0),1)&gt;=100000,INDEX($AC$1005:$AS$1005,1,MATCH(COLUMNS($AC$1006:AN1006),$AC$1006:$AS$1006,0))&gt;=100000), " ",IF(INDEX($AC$2:$AS$1001,MATCH(ROWS($V$2:V592),$V$2:$V$1001,0),MATCH(COLUMNS($AC$1006:AN1006),$AC$1006:$AS$1006,0)), HYPERLINK("#",""), HYPERLINK(CONCATENATE("#metadata!", ADDRESS(INDEX($X$2:$X$1001,MATCH(ROWS($V$2:V592),$V$2:$V$1001,0),0), INDEX($AC$1004:$AS$1004,1,MATCH(COLUMNS($AC$1006:AN1006),$AC$1006:$AS$1006,0)))),"Fix")))</f>
        <v xml:space="preserve"> </v>
      </c>
      <c r="N592" s="4" t="str">
        <f ca="1">IF(OR(INDEX($W$2:$W$1001,MATCH(ROWS($V$2:V592),$V$2:$V$1001,0),1)&gt;=100000,INDEX($AC$1005:$AS$1005,1,MATCH(COLUMNS($AC$1006:AO1006),$AC$1006:$AS$1006,0))&gt;=100000), " ",IF(INDEX($AC$2:$AS$1001,MATCH(ROWS($V$2:V592),$V$2:$V$1001,0),MATCH(COLUMNS($AC$1006:AO1006),$AC$1006:$AS$1006,0)), HYPERLINK("#",""), HYPERLINK(CONCATENATE("#metadata!", ADDRESS(INDEX($X$2:$X$1001,MATCH(ROWS($V$2:V592),$V$2:$V$1001,0),0), INDEX($AC$1004:$AS$1004,1,MATCH(COLUMNS($AC$1006:AO1006),$AC$1006:$AS$1006,0)))),"Fix")))</f>
        <v xml:space="preserve"> </v>
      </c>
      <c r="O592" s="4" t="str">
        <f ca="1">IF(OR(INDEX($W$2:$W$1001,MATCH(ROWS($V$2:V592),$V$2:$V$1001,0),1)&gt;=100000,INDEX($AC$1005:$AS$1005,1,MATCH(COLUMNS($AC$1006:AP1006),$AC$1006:$AS$1006,0))&gt;=100000), " ",IF(INDEX($AC$2:$AS$1001,MATCH(ROWS($V$2:V592),$V$2:$V$1001,0),MATCH(COLUMNS($AC$1006:AP1006),$AC$1006:$AS$1006,0)), HYPERLINK("#",""), HYPERLINK(CONCATENATE("#metadata!", ADDRESS(INDEX($X$2:$X$1001,MATCH(ROWS($V$2:V592),$V$2:$V$1001,0),0), INDEX($AC$1004:$AS$1004,1,MATCH(COLUMNS($AC$1006:AP1006),$AC$1006:$AS$1006,0)))),"Fix")))</f>
        <v xml:space="preserve"> </v>
      </c>
      <c r="P592" s="4" t="str">
        <f ca="1">IF(OR(INDEX($W$2:$W$1001,MATCH(ROWS($V$2:V592),$V$2:$V$1001,0),1)&gt;=100000,INDEX($AC$1005:$AS$1005,1,MATCH(COLUMNS($AC$1006:AQ1006),$AC$1006:$AS$1006,0))&gt;=100000), " ",IF(INDEX($AC$2:$AS$1001,MATCH(ROWS($V$2:V592),$V$2:$V$1001,0),MATCH(COLUMNS($AC$1006:AQ1006),$AC$1006:$AS$1006,0)), HYPERLINK("#",""), HYPERLINK(CONCATENATE("#metadata!", ADDRESS(INDEX($X$2:$X$1001,MATCH(ROWS($V$2:V592),$V$2:$V$1001,0),0), INDEX($AC$1004:$AS$1004,1,MATCH(COLUMNS($AC$1006:AQ1006),$AC$1006:$AS$1006,0)))),"Fix")))</f>
        <v xml:space="preserve"> </v>
      </c>
      <c r="Q592" s="4" t="str">
        <f ca="1">IF(OR(INDEX($W$2:$W$1001,MATCH(ROWS($V$2:V592),$V$2:$V$1001,0),1)&gt;=100000,INDEX($AC$1005:$AS$1005,1,MATCH(COLUMNS($AC$1006:AR1006),$AC$1006:$AS$1006,0))&gt;=100000), " ",IF(INDEX($AC$2:$AS$1001,MATCH(ROWS($V$2:V592),$V$2:$V$1001,0),MATCH(COLUMNS($AC$1006:AR1006),$AC$1006:$AS$1006,0)), HYPERLINK("#",""), HYPERLINK(CONCATENATE("#metadata!", ADDRESS(INDEX($X$2:$X$1001,MATCH(ROWS($V$2:V592),$V$2:$V$1001,0),0), INDEX($AC$1004:$AS$1004,1,MATCH(COLUMNS($AC$1006:AR1006),$AC$1006:$AS$1006,0)))),"Fix")))</f>
        <v xml:space="preserve"> </v>
      </c>
      <c r="R592" s="4" t="str">
        <f ca="1">IF(OR(INDEX($W$2:$W$1001,MATCH(ROWS($V$2:V592),$V$2:$V$1001,0),1)&gt;=100000,INDEX($AC$1005:$AS$1005,1,MATCH(COLUMNS($AC$1006:AS1006),$AC$1006:$AS$1006,0))&gt;=100000), " ",IF(INDEX($AC$2:$AS$1001,MATCH(ROWS($V$2:V592),$V$2:$V$1001,0),MATCH(COLUMNS($AC$1006:AS1006),$AC$1006:$AS$1006,0)), HYPERLINK("#",""), HYPERLINK(CONCATENATE("#metadata!", ADDRESS(INDEX($X$2:$X$1001,MATCH(ROWS($V$2:V592),$V$2:$V$1001,0),0), INDEX($AC$1004:$AS$1004,1,MATCH(COLUMNS($AC$1006:AS1006),$AC$1006:$AS$1006,0)))),"Fix")))</f>
        <v xml:space="preserve"> </v>
      </c>
      <c r="V592">
        <v>591</v>
      </c>
      <c r="W592">
        <v>100592</v>
      </c>
      <c r="X592">
        <v>592</v>
      </c>
      <c r="Y592" t="b">
        <f t="shared" si="9"/>
        <v>1</v>
      </c>
      <c r="Z592" t="b">
        <f>COUNTBLANK(metadata!B592:R592)=COLUMNS(metadata!B592:R592)</f>
        <v>1</v>
      </c>
      <c r="AA592" t="str">
        <v/>
      </c>
      <c r="AC592" t="b">
        <f ca="1"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AD592" t="b">
        <f>IF(metadata!C592="",FALSE,ISNUMBER(VALUE(metadata!C592)))</f>
        <v>0</v>
      </c>
      <c r="AE592" t="b">
        <f>AND(IF(metadata!D592="",FALSE,TRUE),EXACT(metadata!D592,"years"))</f>
        <v>0</v>
      </c>
      <c r="AF592" t="b">
        <f>OR(AND(IF(metadata!E592="",FALSE,TRUE),OR(EXACT(metadata!E592,"not applicable"),EXACT(metadata!E592,"missing: not collected"),EXACT(metadata!E592,"missing: not provided"),EXACT(metadata!E592,"missing: restricted access"))),AND(IF(metadata!E592="",FALSE,ISNUMBER(VALUE(metadata!E592))),metadata!E592&gt;0))</f>
        <v>0</v>
      </c>
      <c r="AG592" t="b">
        <f>AND(IF(metadata!F592="",FALSE,TRUE),EXACT(metadata!F592,"Not applicable"))</f>
        <v>0</v>
      </c>
      <c r="AH592" t="b">
        <f>AND(IF(metadata!G592="",FALSE,TRUE),EXACT(metadata!G592,"urban biome"))</f>
        <v>0</v>
      </c>
      <c r="AI592" t="b">
        <f>AND(IF(metadata!H592="",FALSE,TRUE),EXACT(metadata!H592,"human-associated habitat"))</f>
        <v>0</v>
      </c>
      <c r="AJ592" t="b">
        <f>AND(IF(metadata!I592="",FALSE,TRUE),OR(EXACT(metadata!I592,"human-associated"),EXACT(metadata!I592,"human-skin"),EXACT(metadata!I592,"human-oral"),EXACT(metadata!I592,"human-gut"),EXACT(metadata!I592,"human-vaginal")))</f>
        <v>0</v>
      </c>
      <c r="AK592" t="b">
        <f>IF(metadata!J592="",FALSE,ISNUMBER(VALUE(metadata!J592)))</f>
        <v>0</v>
      </c>
      <c r="AL592" t="b">
        <f>AND(IF(metadata!K592="",FALSE,TRUE),EXACT(metadata!K592,"cm"))</f>
        <v>0</v>
      </c>
      <c r="AM592" t="b">
        <f>AND(IF(metadata!L592="",FALSE,TRUE),EXACT(metadata!L592,"human"))</f>
        <v>0</v>
      </c>
      <c r="AN592" t="b">
        <f>AND(IF(metadata!M592="",FALSE,TRUE),EXACT(metadata!M592,"Homo sapiens"))</f>
        <v>0</v>
      </c>
      <c r="AO592" t="b">
        <f>AND(IF(metadata!N592="",FALSE,TRUE),EXACT(metadata!N592,"9606"))</f>
        <v>0</v>
      </c>
      <c r="AP592" t="b">
        <f>IF(metadata!O592="",FALSE,TRUE)</f>
        <v>0</v>
      </c>
      <c r="AQ592" t="b">
        <f>IF(metadata!P592="",FALSE,TRUE)</f>
        <v>0</v>
      </c>
      <c r="AR592" t="b">
        <f>IF(metadata!Q592="",FALSE,ISNUMBER(VALUE(metadata!Q592)))</f>
        <v>0</v>
      </c>
      <c r="AS592" t="b">
        <f>AND(IF(metadata!R592="",FALSE,TRUE),EXACT(metadata!R592,"kg"))</f>
        <v>0</v>
      </c>
    </row>
    <row r="593" spans="1:45" x14ac:dyDescent="0.2">
      <c r="A593" s="5" t="str">
        <f ca="1">IF(B593=" "," ",HYPERLINK(CONCATENATE("#metadata!",ADDRESS(INDEX($X$2:$X$1001,MATCH(ROWS($V$2:V593),$V$2:$V$1001,0),0),1)),INDEX($AA$2:$AA$1001,MATCH(ROWS($V$2:V593),$V$2:$V$1001,0),0)))</f>
        <v xml:space="preserve"> </v>
      </c>
      <c r="B593" s="4" t="str">
        <f ca="1">IF(OR(INDEX($W$2:$W$1001,MATCH(ROWS($V$2:V593),$V$2:$V$1001,0),1)&gt;=100000,INDEX($AC$1005:$AS$1005,1,MATCH(COLUMNS($AC$1006:AC1006),$AC$1006:$AS$1006,0))&gt;=100000), " ",IF(INDEX($AC$2:$AS$1001,MATCH(ROWS($V$2:V593),$V$2:$V$1001,0),MATCH(COLUMNS($AC$1006:AC1006),$AC$1006:$AS$1006,0)), HYPERLINK("#",""), HYPERLINK(CONCATENATE("#metadata!", ADDRESS(INDEX($X$2:$X$1001,MATCH(ROWS($V$2:V593),$V$2:$V$1001,0),0), INDEX($AC$1004:$AS$1004,1,MATCH(COLUMNS($AC$1006:AC1006),$AC$1006:$AS$1006,0)))),"Fix")))</f>
        <v xml:space="preserve"> </v>
      </c>
      <c r="C593" s="4" t="str">
        <f ca="1">IF(OR(INDEX($W$2:$W$1001,MATCH(ROWS($V$2:V593),$V$2:$V$1001,0),1)&gt;=100000,INDEX($AC$1005:$AS$1005,1,MATCH(COLUMNS($AC$1006:AD1006),$AC$1006:$AS$1006,0))&gt;=100000), " ",IF(INDEX($AC$2:$AS$1001,MATCH(ROWS($V$2:V593),$V$2:$V$1001,0),MATCH(COLUMNS($AC$1006:AD1006),$AC$1006:$AS$1006,0)), HYPERLINK("#",""), HYPERLINK(CONCATENATE("#metadata!", ADDRESS(INDEX($X$2:$X$1001,MATCH(ROWS($V$2:V593),$V$2:$V$1001,0),0), INDEX($AC$1004:$AS$1004,1,MATCH(COLUMNS($AC$1006:AD1006),$AC$1006:$AS$1006,0)))),"Fix")))</f>
        <v xml:space="preserve"> </v>
      </c>
      <c r="D593" s="4" t="str">
        <f ca="1">IF(OR(INDEX($W$2:$W$1001,MATCH(ROWS($V$2:V593),$V$2:$V$1001,0),1)&gt;=100000,INDEX($AC$1005:$AS$1005,1,MATCH(COLUMNS($AC$1006:AE1006),$AC$1006:$AS$1006,0))&gt;=100000), " ",IF(INDEX($AC$2:$AS$1001,MATCH(ROWS($V$2:V593),$V$2:$V$1001,0),MATCH(COLUMNS($AC$1006:AE1006),$AC$1006:$AS$1006,0)), HYPERLINK("#",""), HYPERLINK(CONCATENATE("#metadata!", ADDRESS(INDEX($X$2:$X$1001,MATCH(ROWS($V$2:V593),$V$2:$V$1001,0),0), INDEX($AC$1004:$AS$1004,1,MATCH(COLUMNS($AC$1006:AE1006),$AC$1006:$AS$1006,0)))),"Fix")))</f>
        <v xml:space="preserve"> </v>
      </c>
      <c r="E593" s="4" t="str">
        <f ca="1">IF(OR(INDEX($W$2:$W$1001,MATCH(ROWS($V$2:V593),$V$2:$V$1001,0),1)&gt;=100000,INDEX($AC$1005:$AS$1005,1,MATCH(COLUMNS($AC$1006:AF1006),$AC$1006:$AS$1006,0))&gt;=100000), " ",IF(INDEX($AC$2:$AS$1001,MATCH(ROWS($V$2:V593),$V$2:$V$1001,0),MATCH(COLUMNS($AC$1006:AF1006),$AC$1006:$AS$1006,0)), HYPERLINK("#",""), HYPERLINK(CONCATENATE("#metadata!", ADDRESS(INDEX($X$2:$X$1001,MATCH(ROWS($V$2:V593),$V$2:$V$1001,0),0), INDEX($AC$1004:$AS$1004,1,MATCH(COLUMNS($AC$1006:AF1006),$AC$1006:$AS$1006,0)))),"Fix")))</f>
        <v xml:space="preserve"> </v>
      </c>
      <c r="F593" s="4" t="str">
        <f ca="1">IF(OR(INDEX($W$2:$W$1001,MATCH(ROWS($V$2:V593),$V$2:$V$1001,0),1)&gt;=100000,INDEX($AC$1005:$AS$1005,1,MATCH(COLUMNS($AC$1006:AG1006),$AC$1006:$AS$1006,0))&gt;=100000), " ",IF(INDEX($AC$2:$AS$1001,MATCH(ROWS($V$2:V593),$V$2:$V$1001,0),MATCH(COLUMNS($AC$1006:AG1006),$AC$1006:$AS$1006,0)), HYPERLINK("#",""), HYPERLINK(CONCATENATE("#metadata!", ADDRESS(INDEX($X$2:$X$1001,MATCH(ROWS($V$2:V593),$V$2:$V$1001,0),0), INDEX($AC$1004:$AS$1004,1,MATCH(COLUMNS($AC$1006:AG1006),$AC$1006:$AS$1006,0)))),"Fix")))</f>
        <v xml:space="preserve"> </v>
      </c>
      <c r="G593" s="4" t="str">
        <f ca="1">IF(OR(INDEX($W$2:$W$1001,MATCH(ROWS($V$2:V593),$V$2:$V$1001,0),1)&gt;=100000,INDEX($AC$1005:$AS$1005,1,MATCH(COLUMNS($AC$1006:AH1006),$AC$1006:$AS$1006,0))&gt;=100000), " ",IF(INDEX($AC$2:$AS$1001,MATCH(ROWS($V$2:V593),$V$2:$V$1001,0),MATCH(COLUMNS($AC$1006:AH1006),$AC$1006:$AS$1006,0)), HYPERLINK("#",""), HYPERLINK(CONCATENATE("#metadata!", ADDRESS(INDEX($X$2:$X$1001,MATCH(ROWS($V$2:V593),$V$2:$V$1001,0),0), INDEX($AC$1004:$AS$1004,1,MATCH(COLUMNS($AC$1006:AH1006),$AC$1006:$AS$1006,0)))),"Fix")))</f>
        <v xml:space="preserve"> </v>
      </c>
      <c r="H593" s="4" t="str">
        <f ca="1">IF(OR(INDEX($W$2:$W$1001,MATCH(ROWS($V$2:V593),$V$2:$V$1001,0),1)&gt;=100000,INDEX($AC$1005:$AS$1005,1,MATCH(COLUMNS($AC$1006:AI1006),$AC$1006:$AS$1006,0))&gt;=100000), " ",IF(INDEX($AC$2:$AS$1001,MATCH(ROWS($V$2:V593),$V$2:$V$1001,0),MATCH(COLUMNS($AC$1006:AI1006),$AC$1006:$AS$1006,0)), HYPERLINK("#",""), HYPERLINK(CONCATENATE("#metadata!", ADDRESS(INDEX($X$2:$X$1001,MATCH(ROWS($V$2:V593),$V$2:$V$1001,0),0), INDEX($AC$1004:$AS$1004,1,MATCH(COLUMNS($AC$1006:AI1006),$AC$1006:$AS$1006,0)))),"Fix")))</f>
        <v xml:space="preserve"> </v>
      </c>
      <c r="I593" s="4" t="str">
        <f ca="1">IF(OR(INDEX($W$2:$W$1001,MATCH(ROWS($V$2:V593),$V$2:$V$1001,0),1)&gt;=100000,INDEX($AC$1005:$AS$1005,1,MATCH(COLUMNS($AC$1006:AJ1006),$AC$1006:$AS$1006,0))&gt;=100000), " ",IF(INDEX($AC$2:$AS$1001,MATCH(ROWS($V$2:V593),$V$2:$V$1001,0),MATCH(COLUMNS($AC$1006:AJ1006),$AC$1006:$AS$1006,0)), HYPERLINK("#",""), HYPERLINK(CONCATENATE("#metadata!", ADDRESS(INDEX($X$2:$X$1001,MATCH(ROWS($V$2:V593),$V$2:$V$1001,0),0), INDEX($AC$1004:$AS$1004,1,MATCH(COLUMNS($AC$1006:AJ1006),$AC$1006:$AS$1006,0)))),"Fix")))</f>
        <v xml:space="preserve"> </v>
      </c>
      <c r="J593" s="4" t="str">
        <f ca="1">IF(OR(INDEX($W$2:$W$1001,MATCH(ROWS($V$2:V593),$V$2:$V$1001,0),1)&gt;=100000,INDEX($AC$1005:$AS$1005,1,MATCH(COLUMNS($AC$1006:AK1006),$AC$1006:$AS$1006,0))&gt;=100000), " ",IF(INDEX($AC$2:$AS$1001,MATCH(ROWS($V$2:V593),$V$2:$V$1001,0),MATCH(COLUMNS($AC$1006:AK1006),$AC$1006:$AS$1006,0)), HYPERLINK("#",""), HYPERLINK(CONCATENATE("#metadata!", ADDRESS(INDEX($X$2:$X$1001,MATCH(ROWS($V$2:V593),$V$2:$V$1001,0),0), INDEX($AC$1004:$AS$1004,1,MATCH(COLUMNS($AC$1006:AK1006),$AC$1006:$AS$1006,0)))),"Fix")))</f>
        <v xml:space="preserve"> </v>
      </c>
      <c r="K593" s="4" t="str">
        <f ca="1">IF(OR(INDEX($W$2:$W$1001,MATCH(ROWS($V$2:V593),$V$2:$V$1001,0),1)&gt;=100000,INDEX($AC$1005:$AS$1005,1,MATCH(COLUMNS($AC$1006:AL1006),$AC$1006:$AS$1006,0))&gt;=100000), " ",IF(INDEX($AC$2:$AS$1001,MATCH(ROWS($V$2:V593),$V$2:$V$1001,0),MATCH(COLUMNS($AC$1006:AL1006),$AC$1006:$AS$1006,0)), HYPERLINK("#",""), HYPERLINK(CONCATENATE("#metadata!", ADDRESS(INDEX($X$2:$X$1001,MATCH(ROWS($V$2:V593),$V$2:$V$1001,0),0), INDEX($AC$1004:$AS$1004,1,MATCH(COLUMNS($AC$1006:AL1006),$AC$1006:$AS$1006,0)))),"Fix")))</f>
        <v xml:space="preserve"> </v>
      </c>
      <c r="L593" s="4" t="str">
        <f ca="1">IF(OR(INDEX($W$2:$W$1001,MATCH(ROWS($V$2:V593),$V$2:$V$1001,0),1)&gt;=100000,INDEX($AC$1005:$AS$1005,1,MATCH(COLUMNS($AC$1006:AM1006),$AC$1006:$AS$1006,0))&gt;=100000), " ",IF(INDEX($AC$2:$AS$1001,MATCH(ROWS($V$2:V593),$V$2:$V$1001,0),MATCH(COLUMNS($AC$1006:AM1006),$AC$1006:$AS$1006,0)), HYPERLINK("#",""), HYPERLINK(CONCATENATE("#metadata!", ADDRESS(INDEX($X$2:$X$1001,MATCH(ROWS($V$2:V593),$V$2:$V$1001,0),0), INDEX($AC$1004:$AS$1004,1,MATCH(COLUMNS($AC$1006:AM1006),$AC$1006:$AS$1006,0)))),"Fix")))</f>
        <v xml:space="preserve"> </v>
      </c>
      <c r="M593" s="4" t="str">
        <f ca="1">IF(OR(INDEX($W$2:$W$1001,MATCH(ROWS($V$2:V593),$V$2:$V$1001,0),1)&gt;=100000,INDEX($AC$1005:$AS$1005,1,MATCH(COLUMNS($AC$1006:AN1006),$AC$1006:$AS$1006,0))&gt;=100000), " ",IF(INDEX($AC$2:$AS$1001,MATCH(ROWS($V$2:V593),$V$2:$V$1001,0),MATCH(COLUMNS($AC$1006:AN1006),$AC$1006:$AS$1006,0)), HYPERLINK("#",""), HYPERLINK(CONCATENATE("#metadata!", ADDRESS(INDEX($X$2:$X$1001,MATCH(ROWS($V$2:V593),$V$2:$V$1001,0),0), INDEX($AC$1004:$AS$1004,1,MATCH(COLUMNS($AC$1006:AN1006),$AC$1006:$AS$1006,0)))),"Fix")))</f>
        <v xml:space="preserve"> </v>
      </c>
      <c r="N593" s="4" t="str">
        <f ca="1">IF(OR(INDEX($W$2:$W$1001,MATCH(ROWS($V$2:V593),$V$2:$V$1001,0),1)&gt;=100000,INDEX($AC$1005:$AS$1005,1,MATCH(COLUMNS($AC$1006:AO1006),$AC$1006:$AS$1006,0))&gt;=100000), " ",IF(INDEX($AC$2:$AS$1001,MATCH(ROWS($V$2:V593),$V$2:$V$1001,0),MATCH(COLUMNS($AC$1006:AO1006),$AC$1006:$AS$1006,0)), HYPERLINK("#",""), HYPERLINK(CONCATENATE("#metadata!", ADDRESS(INDEX($X$2:$X$1001,MATCH(ROWS($V$2:V593),$V$2:$V$1001,0),0), INDEX($AC$1004:$AS$1004,1,MATCH(COLUMNS($AC$1006:AO1006),$AC$1006:$AS$1006,0)))),"Fix")))</f>
        <v xml:space="preserve"> </v>
      </c>
      <c r="O593" s="4" t="str">
        <f ca="1">IF(OR(INDEX($W$2:$W$1001,MATCH(ROWS($V$2:V593),$V$2:$V$1001,0),1)&gt;=100000,INDEX($AC$1005:$AS$1005,1,MATCH(COLUMNS($AC$1006:AP1006),$AC$1006:$AS$1006,0))&gt;=100000), " ",IF(INDEX($AC$2:$AS$1001,MATCH(ROWS($V$2:V593),$V$2:$V$1001,0),MATCH(COLUMNS($AC$1006:AP1006),$AC$1006:$AS$1006,0)), HYPERLINK("#",""), HYPERLINK(CONCATENATE("#metadata!", ADDRESS(INDEX($X$2:$X$1001,MATCH(ROWS($V$2:V593),$V$2:$V$1001,0),0), INDEX($AC$1004:$AS$1004,1,MATCH(COLUMNS($AC$1006:AP1006),$AC$1006:$AS$1006,0)))),"Fix")))</f>
        <v xml:space="preserve"> </v>
      </c>
      <c r="P593" s="4" t="str">
        <f ca="1">IF(OR(INDEX($W$2:$W$1001,MATCH(ROWS($V$2:V593),$V$2:$V$1001,0),1)&gt;=100000,INDEX($AC$1005:$AS$1005,1,MATCH(COLUMNS($AC$1006:AQ1006),$AC$1006:$AS$1006,0))&gt;=100000), " ",IF(INDEX($AC$2:$AS$1001,MATCH(ROWS($V$2:V593),$V$2:$V$1001,0),MATCH(COLUMNS($AC$1006:AQ1006),$AC$1006:$AS$1006,0)), HYPERLINK("#",""), HYPERLINK(CONCATENATE("#metadata!", ADDRESS(INDEX($X$2:$X$1001,MATCH(ROWS($V$2:V593),$V$2:$V$1001,0),0), INDEX($AC$1004:$AS$1004,1,MATCH(COLUMNS($AC$1006:AQ1006),$AC$1006:$AS$1006,0)))),"Fix")))</f>
        <v xml:space="preserve"> </v>
      </c>
      <c r="Q593" s="4" t="str">
        <f ca="1">IF(OR(INDEX($W$2:$W$1001,MATCH(ROWS($V$2:V593),$V$2:$V$1001,0),1)&gt;=100000,INDEX($AC$1005:$AS$1005,1,MATCH(COLUMNS($AC$1006:AR1006),$AC$1006:$AS$1006,0))&gt;=100000), " ",IF(INDEX($AC$2:$AS$1001,MATCH(ROWS($V$2:V593),$V$2:$V$1001,0),MATCH(COLUMNS($AC$1006:AR1006),$AC$1006:$AS$1006,0)), HYPERLINK("#",""), HYPERLINK(CONCATENATE("#metadata!", ADDRESS(INDEX($X$2:$X$1001,MATCH(ROWS($V$2:V593),$V$2:$V$1001,0),0), INDEX($AC$1004:$AS$1004,1,MATCH(COLUMNS($AC$1006:AR1006),$AC$1006:$AS$1006,0)))),"Fix")))</f>
        <v xml:space="preserve"> </v>
      </c>
      <c r="R593" s="4" t="str">
        <f ca="1">IF(OR(INDEX($W$2:$W$1001,MATCH(ROWS($V$2:V593),$V$2:$V$1001,0),1)&gt;=100000,INDEX($AC$1005:$AS$1005,1,MATCH(COLUMNS($AC$1006:AS1006),$AC$1006:$AS$1006,0))&gt;=100000), " ",IF(INDEX($AC$2:$AS$1001,MATCH(ROWS($V$2:V593),$V$2:$V$1001,0),MATCH(COLUMNS($AC$1006:AS1006),$AC$1006:$AS$1006,0)), HYPERLINK("#",""), HYPERLINK(CONCATENATE("#metadata!", ADDRESS(INDEX($X$2:$X$1001,MATCH(ROWS($V$2:V593),$V$2:$V$1001,0),0), INDEX($AC$1004:$AS$1004,1,MATCH(COLUMNS($AC$1006:AS1006),$AC$1006:$AS$1006,0)))),"Fix")))</f>
        <v xml:space="preserve"> </v>
      </c>
      <c r="V593">
        <v>592</v>
      </c>
      <c r="W593">
        <v>100593</v>
      </c>
      <c r="X593">
        <v>593</v>
      </c>
      <c r="Y593" t="b">
        <f t="shared" si="9"/>
        <v>1</v>
      </c>
      <c r="Z593" t="b">
        <f>COUNTBLANK(metadata!B593:R593)=COLUMNS(metadata!B593:R593)</f>
        <v>1</v>
      </c>
      <c r="AA593" t="str">
        <v/>
      </c>
      <c r="AC593" t="b">
        <f ca="1"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AD593" t="b">
        <f>IF(metadata!C593="",FALSE,ISNUMBER(VALUE(metadata!C593)))</f>
        <v>0</v>
      </c>
      <c r="AE593" t="b">
        <f>AND(IF(metadata!D593="",FALSE,TRUE),EXACT(metadata!D593,"years"))</f>
        <v>0</v>
      </c>
      <c r="AF593" t="b">
        <f>OR(AND(IF(metadata!E593="",FALSE,TRUE),OR(EXACT(metadata!E593,"not applicable"),EXACT(metadata!E593,"missing: not collected"),EXACT(metadata!E593,"missing: not provided"),EXACT(metadata!E593,"missing: restricted access"))),AND(IF(metadata!E593="",FALSE,ISNUMBER(VALUE(metadata!E593))),metadata!E593&gt;0))</f>
        <v>0</v>
      </c>
      <c r="AG593" t="b">
        <f>AND(IF(metadata!F593="",FALSE,TRUE),EXACT(metadata!F593,"Not applicable"))</f>
        <v>0</v>
      </c>
      <c r="AH593" t="b">
        <f>AND(IF(metadata!G593="",FALSE,TRUE),EXACT(metadata!G593,"urban biome"))</f>
        <v>0</v>
      </c>
      <c r="AI593" t="b">
        <f>AND(IF(metadata!H593="",FALSE,TRUE),EXACT(metadata!H593,"human-associated habitat"))</f>
        <v>0</v>
      </c>
      <c r="AJ593" t="b">
        <f>AND(IF(metadata!I593="",FALSE,TRUE),OR(EXACT(metadata!I593,"human-associated"),EXACT(metadata!I593,"human-skin"),EXACT(metadata!I593,"human-oral"),EXACT(metadata!I593,"human-gut"),EXACT(metadata!I593,"human-vaginal")))</f>
        <v>0</v>
      </c>
      <c r="AK593" t="b">
        <f>IF(metadata!J593="",FALSE,ISNUMBER(VALUE(metadata!J593)))</f>
        <v>0</v>
      </c>
      <c r="AL593" t="b">
        <f>AND(IF(metadata!K593="",FALSE,TRUE),EXACT(metadata!K593,"cm"))</f>
        <v>0</v>
      </c>
      <c r="AM593" t="b">
        <f>AND(IF(metadata!L593="",FALSE,TRUE),EXACT(metadata!L593,"human"))</f>
        <v>0</v>
      </c>
      <c r="AN593" t="b">
        <f>AND(IF(metadata!M593="",FALSE,TRUE),EXACT(metadata!M593,"Homo sapiens"))</f>
        <v>0</v>
      </c>
      <c r="AO593" t="b">
        <f>AND(IF(metadata!N593="",FALSE,TRUE),EXACT(metadata!N593,"9606"))</f>
        <v>0</v>
      </c>
      <c r="AP593" t="b">
        <f>IF(metadata!O593="",FALSE,TRUE)</f>
        <v>0</v>
      </c>
      <c r="AQ593" t="b">
        <f>IF(metadata!P593="",FALSE,TRUE)</f>
        <v>0</v>
      </c>
      <c r="AR593" t="b">
        <f>IF(metadata!Q593="",FALSE,ISNUMBER(VALUE(metadata!Q593)))</f>
        <v>0</v>
      </c>
      <c r="AS593" t="b">
        <f>AND(IF(metadata!R593="",FALSE,TRUE),EXACT(metadata!R593,"kg"))</f>
        <v>0</v>
      </c>
    </row>
    <row r="594" spans="1:45" x14ac:dyDescent="0.2">
      <c r="A594" s="5" t="str">
        <f ca="1">IF(B594=" "," ",HYPERLINK(CONCATENATE("#metadata!",ADDRESS(INDEX($X$2:$X$1001,MATCH(ROWS($V$2:V594),$V$2:$V$1001,0),0),1)),INDEX($AA$2:$AA$1001,MATCH(ROWS($V$2:V594),$V$2:$V$1001,0),0)))</f>
        <v xml:space="preserve"> </v>
      </c>
      <c r="B594" s="4" t="str">
        <f ca="1">IF(OR(INDEX($W$2:$W$1001,MATCH(ROWS($V$2:V594),$V$2:$V$1001,0),1)&gt;=100000,INDEX($AC$1005:$AS$1005,1,MATCH(COLUMNS($AC$1006:AC1006),$AC$1006:$AS$1006,0))&gt;=100000), " ",IF(INDEX($AC$2:$AS$1001,MATCH(ROWS($V$2:V594),$V$2:$V$1001,0),MATCH(COLUMNS($AC$1006:AC1006),$AC$1006:$AS$1006,0)), HYPERLINK("#",""), HYPERLINK(CONCATENATE("#metadata!", ADDRESS(INDEX($X$2:$X$1001,MATCH(ROWS($V$2:V594),$V$2:$V$1001,0),0), INDEX($AC$1004:$AS$1004,1,MATCH(COLUMNS($AC$1006:AC1006),$AC$1006:$AS$1006,0)))),"Fix")))</f>
        <v xml:space="preserve"> </v>
      </c>
      <c r="C594" s="4" t="str">
        <f ca="1">IF(OR(INDEX($W$2:$W$1001,MATCH(ROWS($V$2:V594),$V$2:$V$1001,0),1)&gt;=100000,INDEX($AC$1005:$AS$1005,1,MATCH(COLUMNS($AC$1006:AD1006),$AC$1006:$AS$1006,0))&gt;=100000), " ",IF(INDEX($AC$2:$AS$1001,MATCH(ROWS($V$2:V594),$V$2:$V$1001,0),MATCH(COLUMNS($AC$1006:AD1006),$AC$1006:$AS$1006,0)), HYPERLINK("#",""), HYPERLINK(CONCATENATE("#metadata!", ADDRESS(INDEX($X$2:$X$1001,MATCH(ROWS($V$2:V594),$V$2:$V$1001,0),0), INDEX($AC$1004:$AS$1004,1,MATCH(COLUMNS($AC$1006:AD1006),$AC$1006:$AS$1006,0)))),"Fix")))</f>
        <v xml:space="preserve"> </v>
      </c>
      <c r="D594" s="4" t="str">
        <f ca="1">IF(OR(INDEX($W$2:$W$1001,MATCH(ROWS($V$2:V594),$V$2:$V$1001,0),1)&gt;=100000,INDEX($AC$1005:$AS$1005,1,MATCH(COLUMNS($AC$1006:AE1006),$AC$1006:$AS$1006,0))&gt;=100000), " ",IF(INDEX($AC$2:$AS$1001,MATCH(ROWS($V$2:V594),$V$2:$V$1001,0),MATCH(COLUMNS($AC$1006:AE1006),$AC$1006:$AS$1006,0)), HYPERLINK("#",""), HYPERLINK(CONCATENATE("#metadata!", ADDRESS(INDEX($X$2:$X$1001,MATCH(ROWS($V$2:V594),$V$2:$V$1001,0),0), INDEX($AC$1004:$AS$1004,1,MATCH(COLUMNS($AC$1006:AE1006),$AC$1006:$AS$1006,0)))),"Fix")))</f>
        <v xml:space="preserve"> </v>
      </c>
      <c r="E594" s="4" t="str">
        <f ca="1">IF(OR(INDEX($W$2:$W$1001,MATCH(ROWS($V$2:V594),$V$2:$V$1001,0),1)&gt;=100000,INDEX($AC$1005:$AS$1005,1,MATCH(COLUMNS($AC$1006:AF1006),$AC$1006:$AS$1006,0))&gt;=100000), " ",IF(INDEX($AC$2:$AS$1001,MATCH(ROWS($V$2:V594),$V$2:$V$1001,0),MATCH(COLUMNS($AC$1006:AF1006),$AC$1006:$AS$1006,0)), HYPERLINK("#",""), HYPERLINK(CONCATENATE("#metadata!", ADDRESS(INDEX($X$2:$X$1001,MATCH(ROWS($V$2:V594),$V$2:$V$1001,0),0), INDEX($AC$1004:$AS$1004,1,MATCH(COLUMNS($AC$1006:AF1006),$AC$1006:$AS$1006,0)))),"Fix")))</f>
        <v xml:space="preserve"> </v>
      </c>
      <c r="F594" s="4" t="str">
        <f ca="1">IF(OR(INDEX($W$2:$W$1001,MATCH(ROWS($V$2:V594),$V$2:$V$1001,0),1)&gt;=100000,INDEX($AC$1005:$AS$1005,1,MATCH(COLUMNS($AC$1006:AG1006),$AC$1006:$AS$1006,0))&gt;=100000), " ",IF(INDEX($AC$2:$AS$1001,MATCH(ROWS($V$2:V594),$V$2:$V$1001,0),MATCH(COLUMNS($AC$1006:AG1006),$AC$1006:$AS$1006,0)), HYPERLINK("#",""), HYPERLINK(CONCATENATE("#metadata!", ADDRESS(INDEX($X$2:$X$1001,MATCH(ROWS($V$2:V594),$V$2:$V$1001,0),0), INDEX($AC$1004:$AS$1004,1,MATCH(COLUMNS($AC$1006:AG1006),$AC$1006:$AS$1006,0)))),"Fix")))</f>
        <v xml:space="preserve"> </v>
      </c>
      <c r="G594" s="4" t="str">
        <f ca="1">IF(OR(INDEX($W$2:$W$1001,MATCH(ROWS($V$2:V594),$V$2:$V$1001,0),1)&gt;=100000,INDEX($AC$1005:$AS$1005,1,MATCH(COLUMNS($AC$1006:AH1006),$AC$1006:$AS$1006,0))&gt;=100000), " ",IF(INDEX($AC$2:$AS$1001,MATCH(ROWS($V$2:V594),$V$2:$V$1001,0),MATCH(COLUMNS($AC$1006:AH1006),$AC$1006:$AS$1006,0)), HYPERLINK("#",""), HYPERLINK(CONCATENATE("#metadata!", ADDRESS(INDEX($X$2:$X$1001,MATCH(ROWS($V$2:V594),$V$2:$V$1001,0),0), INDEX($AC$1004:$AS$1004,1,MATCH(COLUMNS($AC$1006:AH1006),$AC$1006:$AS$1006,0)))),"Fix")))</f>
        <v xml:space="preserve"> </v>
      </c>
      <c r="H594" s="4" t="str">
        <f ca="1">IF(OR(INDEX($W$2:$W$1001,MATCH(ROWS($V$2:V594),$V$2:$V$1001,0),1)&gt;=100000,INDEX($AC$1005:$AS$1005,1,MATCH(COLUMNS($AC$1006:AI1006),$AC$1006:$AS$1006,0))&gt;=100000), " ",IF(INDEX($AC$2:$AS$1001,MATCH(ROWS($V$2:V594),$V$2:$V$1001,0),MATCH(COLUMNS($AC$1006:AI1006),$AC$1006:$AS$1006,0)), HYPERLINK("#",""), HYPERLINK(CONCATENATE("#metadata!", ADDRESS(INDEX($X$2:$X$1001,MATCH(ROWS($V$2:V594),$V$2:$V$1001,0),0), INDEX($AC$1004:$AS$1004,1,MATCH(COLUMNS($AC$1006:AI1006),$AC$1006:$AS$1006,0)))),"Fix")))</f>
        <v xml:space="preserve"> </v>
      </c>
      <c r="I594" s="4" t="str">
        <f ca="1">IF(OR(INDEX($W$2:$W$1001,MATCH(ROWS($V$2:V594),$V$2:$V$1001,0),1)&gt;=100000,INDEX($AC$1005:$AS$1005,1,MATCH(COLUMNS($AC$1006:AJ1006),$AC$1006:$AS$1006,0))&gt;=100000), " ",IF(INDEX($AC$2:$AS$1001,MATCH(ROWS($V$2:V594),$V$2:$V$1001,0),MATCH(COLUMNS($AC$1006:AJ1006),$AC$1006:$AS$1006,0)), HYPERLINK("#",""), HYPERLINK(CONCATENATE("#metadata!", ADDRESS(INDEX($X$2:$X$1001,MATCH(ROWS($V$2:V594),$V$2:$V$1001,0),0), INDEX($AC$1004:$AS$1004,1,MATCH(COLUMNS($AC$1006:AJ1006),$AC$1006:$AS$1006,0)))),"Fix")))</f>
        <v xml:space="preserve"> </v>
      </c>
      <c r="J594" s="4" t="str">
        <f ca="1">IF(OR(INDEX($W$2:$W$1001,MATCH(ROWS($V$2:V594),$V$2:$V$1001,0),1)&gt;=100000,INDEX($AC$1005:$AS$1005,1,MATCH(COLUMNS($AC$1006:AK1006),$AC$1006:$AS$1006,0))&gt;=100000), " ",IF(INDEX($AC$2:$AS$1001,MATCH(ROWS($V$2:V594),$V$2:$V$1001,0),MATCH(COLUMNS($AC$1006:AK1006),$AC$1006:$AS$1006,0)), HYPERLINK("#",""), HYPERLINK(CONCATENATE("#metadata!", ADDRESS(INDEX($X$2:$X$1001,MATCH(ROWS($V$2:V594),$V$2:$V$1001,0),0), INDEX($AC$1004:$AS$1004,1,MATCH(COLUMNS($AC$1006:AK1006),$AC$1006:$AS$1006,0)))),"Fix")))</f>
        <v xml:space="preserve"> </v>
      </c>
      <c r="K594" s="4" t="str">
        <f ca="1">IF(OR(INDEX($W$2:$W$1001,MATCH(ROWS($V$2:V594),$V$2:$V$1001,0),1)&gt;=100000,INDEX($AC$1005:$AS$1005,1,MATCH(COLUMNS($AC$1006:AL1006),$AC$1006:$AS$1006,0))&gt;=100000), " ",IF(INDEX($AC$2:$AS$1001,MATCH(ROWS($V$2:V594),$V$2:$V$1001,0),MATCH(COLUMNS($AC$1006:AL1006),$AC$1006:$AS$1006,0)), HYPERLINK("#",""), HYPERLINK(CONCATENATE("#metadata!", ADDRESS(INDEX($X$2:$X$1001,MATCH(ROWS($V$2:V594),$V$2:$V$1001,0),0), INDEX($AC$1004:$AS$1004,1,MATCH(COLUMNS($AC$1006:AL1006),$AC$1006:$AS$1006,0)))),"Fix")))</f>
        <v xml:space="preserve"> </v>
      </c>
      <c r="L594" s="4" t="str">
        <f ca="1">IF(OR(INDEX($W$2:$W$1001,MATCH(ROWS($V$2:V594),$V$2:$V$1001,0),1)&gt;=100000,INDEX($AC$1005:$AS$1005,1,MATCH(COLUMNS($AC$1006:AM1006),$AC$1006:$AS$1006,0))&gt;=100000), " ",IF(INDEX($AC$2:$AS$1001,MATCH(ROWS($V$2:V594),$V$2:$V$1001,0),MATCH(COLUMNS($AC$1006:AM1006),$AC$1006:$AS$1006,0)), HYPERLINK("#",""), HYPERLINK(CONCATENATE("#metadata!", ADDRESS(INDEX($X$2:$X$1001,MATCH(ROWS($V$2:V594),$V$2:$V$1001,0),0), INDEX($AC$1004:$AS$1004,1,MATCH(COLUMNS($AC$1006:AM1006),$AC$1006:$AS$1006,0)))),"Fix")))</f>
        <v xml:space="preserve"> </v>
      </c>
      <c r="M594" s="4" t="str">
        <f ca="1">IF(OR(INDEX($W$2:$W$1001,MATCH(ROWS($V$2:V594),$V$2:$V$1001,0),1)&gt;=100000,INDEX($AC$1005:$AS$1005,1,MATCH(COLUMNS($AC$1006:AN1006),$AC$1006:$AS$1006,0))&gt;=100000), " ",IF(INDEX($AC$2:$AS$1001,MATCH(ROWS($V$2:V594),$V$2:$V$1001,0),MATCH(COLUMNS($AC$1006:AN1006),$AC$1006:$AS$1006,0)), HYPERLINK("#",""), HYPERLINK(CONCATENATE("#metadata!", ADDRESS(INDEX($X$2:$X$1001,MATCH(ROWS($V$2:V594),$V$2:$V$1001,0),0), INDEX($AC$1004:$AS$1004,1,MATCH(COLUMNS($AC$1006:AN1006),$AC$1006:$AS$1006,0)))),"Fix")))</f>
        <v xml:space="preserve"> </v>
      </c>
      <c r="N594" s="4" t="str">
        <f ca="1">IF(OR(INDEX($W$2:$W$1001,MATCH(ROWS($V$2:V594),$V$2:$V$1001,0),1)&gt;=100000,INDEX($AC$1005:$AS$1005,1,MATCH(COLUMNS($AC$1006:AO1006),$AC$1006:$AS$1006,0))&gt;=100000), " ",IF(INDEX($AC$2:$AS$1001,MATCH(ROWS($V$2:V594),$V$2:$V$1001,0),MATCH(COLUMNS($AC$1006:AO1006),$AC$1006:$AS$1006,0)), HYPERLINK("#",""), HYPERLINK(CONCATENATE("#metadata!", ADDRESS(INDEX($X$2:$X$1001,MATCH(ROWS($V$2:V594),$V$2:$V$1001,0),0), INDEX($AC$1004:$AS$1004,1,MATCH(COLUMNS($AC$1006:AO1006),$AC$1006:$AS$1006,0)))),"Fix")))</f>
        <v xml:space="preserve"> </v>
      </c>
      <c r="O594" s="4" t="str">
        <f ca="1">IF(OR(INDEX($W$2:$W$1001,MATCH(ROWS($V$2:V594),$V$2:$V$1001,0),1)&gt;=100000,INDEX($AC$1005:$AS$1005,1,MATCH(COLUMNS($AC$1006:AP1006),$AC$1006:$AS$1006,0))&gt;=100000), " ",IF(INDEX($AC$2:$AS$1001,MATCH(ROWS($V$2:V594),$V$2:$V$1001,0),MATCH(COLUMNS($AC$1006:AP1006),$AC$1006:$AS$1006,0)), HYPERLINK("#",""), HYPERLINK(CONCATENATE("#metadata!", ADDRESS(INDEX($X$2:$X$1001,MATCH(ROWS($V$2:V594),$V$2:$V$1001,0),0), INDEX($AC$1004:$AS$1004,1,MATCH(COLUMNS($AC$1006:AP1006),$AC$1006:$AS$1006,0)))),"Fix")))</f>
        <v xml:space="preserve"> </v>
      </c>
      <c r="P594" s="4" t="str">
        <f ca="1">IF(OR(INDEX($W$2:$W$1001,MATCH(ROWS($V$2:V594),$V$2:$V$1001,0),1)&gt;=100000,INDEX($AC$1005:$AS$1005,1,MATCH(COLUMNS($AC$1006:AQ1006),$AC$1006:$AS$1006,0))&gt;=100000), " ",IF(INDEX($AC$2:$AS$1001,MATCH(ROWS($V$2:V594),$V$2:$V$1001,0),MATCH(COLUMNS($AC$1006:AQ1006),$AC$1006:$AS$1006,0)), HYPERLINK("#",""), HYPERLINK(CONCATENATE("#metadata!", ADDRESS(INDEX($X$2:$X$1001,MATCH(ROWS($V$2:V594),$V$2:$V$1001,0),0), INDEX($AC$1004:$AS$1004,1,MATCH(COLUMNS($AC$1006:AQ1006),$AC$1006:$AS$1006,0)))),"Fix")))</f>
        <v xml:space="preserve"> </v>
      </c>
      <c r="Q594" s="4" t="str">
        <f ca="1">IF(OR(INDEX($W$2:$W$1001,MATCH(ROWS($V$2:V594),$V$2:$V$1001,0),1)&gt;=100000,INDEX($AC$1005:$AS$1005,1,MATCH(COLUMNS($AC$1006:AR1006),$AC$1006:$AS$1006,0))&gt;=100000), " ",IF(INDEX($AC$2:$AS$1001,MATCH(ROWS($V$2:V594),$V$2:$V$1001,0),MATCH(COLUMNS($AC$1006:AR1006),$AC$1006:$AS$1006,0)), HYPERLINK("#",""), HYPERLINK(CONCATENATE("#metadata!", ADDRESS(INDEX($X$2:$X$1001,MATCH(ROWS($V$2:V594),$V$2:$V$1001,0),0), INDEX($AC$1004:$AS$1004,1,MATCH(COLUMNS($AC$1006:AR1006),$AC$1006:$AS$1006,0)))),"Fix")))</f>
        <v xml:space="preserve"> </v>
      </c>
      <c r="R594" s="4" t="str">
        <f ca="1">IF(OR(INDEX($W$2:$W$1001,MATCH(ROWS($V$2:V594),$V$2:$V$1001,0),1)&gt;=100000,INDEX($AC$1005:$AS$1005,1,MATCH(COLUMNS($AC$1006:AS1006),$AC$1006:$AS$1006,0))&gt;=100000), " ",IF(INDEX($AC$2:$AS$1001,MATCH(ROWS($V$2:V594),$V$2:$V$1001,0),MATCH(COLUMNS($AC$1006:AS1006),$AC$1006:$AS$1006,0)), HYPERLINK("#",""), HYPERLINK(CONCATENATE("#metadata!", ADDRESS(INDEX($X$2:$X$1001,MATCH(ROWS($V$2:V594),$V$2:$V$1001,0),0), INDEX($AC$1004:$AS$1004,1,MATCH(COLUMNS($AC$1006:AS1006),$AC$1006:$AS$1006,0)))),"Fix")))</f>
        <v xml:space="preserve"> </v>
      </c>
      <c r="V594">
        <v>593</v>
      </c>
      <c r="W594">
        <v>100594</v>
      </c>
      <c r="X594">
        <v>594</v>
      </c>
      <c r="Y594" t="b">
        <f t="shared" si="9"/>
        <v>1</v>
      </c>
      <c r="Z594" t="b">
        <f>COUNTBLANK(metadata!B594:R594)=COLUMNS(metadata!B594:R594)</f>
        <v>1</v>
      </c>
      <c r="AA594" t="str">
        <v/>
      </c>
      <c r="AC594" t="b">
        <f ca="1"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AD594" t="b">
        <f>IF(metadata!C594="",FALSE,ISNUMBER(VALUE(metadata!C594)))</f>
        <v>0</v>
      </c>
      <c r="AE594" t="b">
        <f>AND(IF(metadata!D594="",FALSE,TRUE),EXACT(metadata!D594,"years"))</f>
        <v>0</v>
      </c>
      <c r="AF594" t="b">
        <f>OR(AND(IF(metadata!E594="",FALSE,TRUE),OR(EXACT(metadata!E594,"not applicable"),EXACT(metadata!E594,"missing: not collected"),EXACT(metadata!E594,"missing: not provided"),EXACT(metadata!E594,"missing: restricted access"))),AND(IF(metadata!E594="",FALSE,ISNUMBER(VALUE(metadata!E594))),metadata!E594&gt;0))</f>
        <v>0</v>
      </c>
      <c r="AG594" t="b">
        <f>AND(IF(metadata!F594="",FALSE,TRUE),EXACT(metadata!F594,"Not applicable"))</f>
        <v>0</v>
      </c>
      <c r="AH594" t="b">
        <f>AND(IF(metadata!G594="",FALSE,TRUE),EXACT(metadata!G594,"urban biome"))</f>
        <v>0</v>
      </c>
      <c r="AI594" t="b">
        <f>AND(IF(metadata!H594="",FALSE,TRUE),EXACT(metadata!H594,"human-associated habitat"))</f>
        <v>0</v>
      </c>
      <c r="AJ594" t="b">
        <f>AND(IF(metadata!I594="",FALSE,TRUE),OR(EXACT(metadata!I594,"human-associated"),EXACT(metadata!I594,"human-skin"),EXACT(metadata!I594,"human-oral"),EXACT(metadata!I594,"human-gut"),EXACT(metadata!I594,"human-vaginal")))</f>
        <v>0</v>
      </c>
      <c r="AK594" t="b">
        <f>IF(metadata!J594="",FALSE,ISNUMBER(VALUE(metadata!J594)))</f>
        <v>0</v>
      </c>
      <c r="AL594" t="b">
        <f>AND(IF(metadata!K594="",FALSE,TRUE),EXACT(metadata!K594,"cm"))</f>
        <v>0</v>
      </c>
      <c r="AM594" t="b">
        <f>AND(IF(metadata!L594="",FALSE,TRUE),EXACT(metadata!L594,"human"))</f>
        <v>0</v>
      </c>
      <c r="AN594" t="b">
        <f>AND(IF(metadata!M594="",FALSE,TRUE),EXACT(metadata!M594,"Homo sapiens"))</f>
        <v>0</v>
      </c>
      <c r="AO594" t="b">
        <f>AND(IF(metadata!N594="",FALSE,TRUE),EXACT(metadata!N594,"9606"))</f>
        <v>0</v>
      </c>
      <c r="AP594" t="b">
        <f>IF(metadata!O594="",FALSE,TRUE)</f>
        <v>0</v>
      </c>
      <c r="AQ594" t="b">
        <f>IF(metadata!P594="",FALSE,TRUE)</f>
        <v>0</v>
      </c>
      <c r="AR594" t="b">
        <f>IF(metadata!Q594="",FALSE,ISNUMBER(VALUE(metadata!Q594)))</f>
        <v>0</v>
      </c>
      <c r="AS594" t="b">
        <f>AND(IF(metadata!R594="",FALSE,TRUE),EXACT(metadata!R594,"kg"))</f>
        <v>0</v>
      </c>
    </row>
    <row r="595" spans="1:45" x14ac:dyDescent="0.2">
      <c r="A595" s="5" t="str">
        <f ca="1">IF(B595=" "," ",HYPERLINK(CONCATENATE("#metadata!",ADDRESS(INDEX($X$2:$X$1001,MATCH(ROWS($V$2:V595),$V$2:$V$1001,0),0),1)),INDEX($AA$2:$AA$1001,MATCH(ROWS($V$2:V595),$V$2:$V$1001,0),0)))</f>
        <v xml:space="preserve"> </v>
      </c>
      <c r="B595" s="4" t="str">
        <f ca="1">IF(OR(INDEX($W$2:$W$1001,MATCH(ROWS($V$2:V595),$V$2:$V$1001,0),1)&gt;=100000,INDEX($AC$1005:$AS$1005,1,MATCH(COLUMNS($AC$1006:AC1006),$AC$1006:$AS$1006,0))&gt;=100000), " ",IF(INDEX($AC$2:$AS$1001,MATCH(ROWS($V$2:V595),$V$2:$V$1001,0),MATCH(COLUMNS($AC$1006:AC1006),$AC$1006:$AS$1006,0)), HYPERLINK("#",""), HYPERLINK(CONCATENATE("#metadata!", ADDRESS(INDEX($X$2:$X$1001,MATCH(ROWS($V$2:V595),$V$2:$V$1001,0),0), INDEX($AC$1004:$AS$1004,1,MATCH(COLUMNS($AC$1006:AC1006),$AC$1006:$AS$1006,0)))),"Fix")))</f>
        <v xml:space="preserve"> </v>
      </c>
      <c r="C595" s="4" t="str">
        <f ca="1">IF(OR(INDEX($W$2:$W$1001,MATCH(ROWS($V$2:V595),$V$2:$V$1001,0),1)&gt;=100000,INDEX($AC$1005:$AS$1005,1,MATCH(COLUMNS($AC$1006:AD1006),$AC$1006:$AS$1006,0))&gt;=100000), " ",IF(INDEX($AC$2:$AS$1001,MATCH(ROWS($V$2:V595),$V$2:$V$1001,0),MATCH(COLUMNS($AC$1006:AD1006),$AC$1006:$AS$1006,0)), HYPERLINK("#",""), HYPERLINK(CONCATENATE("#metadata!", ADDRESS(INDEX($X$2:$X$1001,MATCH(ROWS($V$2:V595),$V$2:$V$1001,0),0), INDEX($AC$1004:$AS$1004,1,MATCH(COLUMNS($AC$1006:AD1006),$AC$1006:$AS$1006,0)))),"Fix")))</f>
        <v xml:space="preserve"> </v>
      </c>
      <c r="D595" s="4" t="str">
        <f ca="1">IF(OR(INDEX($W$2:$W$1001,MATCH(ROWS($V$2:V595),$V$2:$V$1001,0),1)&gt;=100000,INDEX($AC$1005:$AS$1005,1,MATCH(COLUMNS($AC$1006:AE1006),$AC$1006:$AS$1006,0))&gt;=100000), " ",IF(INDEX($AC$2:$AS$1001,MATCH(ROWS($V$2:V595),$V$2:$V$1001,0),MATCH(COLUMNS($AC$1006:AE1006),$AC$1006:$AS$1006,0)), HYPERLINK("#",""), HYPERLINK(CONCATENATE("#metadata!", ADDRESS(INDEX($X$2:$X$1001,MATCH(ROWS($V$2:V595),$V$2:$V$1001,0),0), INDEX($AC$1004:$AS$1004,1,MATCH(COLUMNS($AC$1006:AE1006),$AC$1006:$AS$1006,0)))),"Fix")))</f>
        <v xml:space="preserve"> </v>
      </c>
      <c r="E595" s="4" t="str">
        <f ca="1">IF(OR(INDEX($W$2:$W$1001,MATCH(ROWS($V$2:V595),$V$2:$V$1001,0),1)&gt;=100000,INDEX($AC$1005:$AS$1005,1,MATCH(COLUMNS($AC$1006:AF1006),$AC$1006:$AS$1006,0))&gt;=100000), " ",IF(INDEX($AC$2:$AS$1001,MATCH(ROWS($V$2:V595),$V$2:$V$1001,0),MATCH(COLUMNS($AC$1006:AF1006),$AC$1006:$AS$1006,0)), HYPERLINK("#",""), HYPERLINK(CONCATENATE("#metadata!", ADDRESS(INDEX($X$2:$X$1001,MATCH(ROWS($V$2:V595),$V$2:$V$1001,0),0), INDEX($AC$1004:$AS$1004,1,MATCH(COLUMNS($AC$1006:AF1006),$AC$1006:$AS$1006,0)))),"Fix")))</f>
        <v xml:space="preserve"> </v>
      </c>
      <c r="F595" s="4" t="str">
        <f ca="1">IF(OR(INDEX($W$2:$W$1001,MATCH(ROWS($V$2:V595),$V$2:$V$1001,0),1)&gt;=100000,INDEX($AC$1005:$AS$1005,1,MATCH(COLUMNS($AC$1006:AG1006),$AC$1006:$AS$1006,0))&gt;=100000), " ",IF(INDEX($AC$2:$AS$1001,MATCH(ROWS($V$2:V595),$V$2:$V$1001,0),MATCH(COLUMNS($AC$1006:AG1006),$AC$1006:$AS$1006,0)), HYPERLINK("#",""), HYPERLINK(CONCATENATE("#metadata!", ADDRESS(INDEX($X$2:$X$1001,MATCH(ROWS($V$2:V595),$V$2:$V$1001,0),0), INDEX($AC$1004:$AS$1004,1,MATCH(COLUMNS($AC$1006:AG1006),$AC$1006:$AS$1006,0)))),"Fix")))</f>
        <v xml:space="preserve"> </v>
      </c>
      <c r="G595" s="4" t="str">
        <f ca="1">IF(OR(INDEX($W$2:$W$1001,MATCH(ROWS($V$2:V595),$V$2:$V$1001,0),1)&gt;=100000,INDEX($AC$1005:$AS$1005,1,MATCH(COLUMNS($AC$1006:AH1006),$AC$1006:$AS$1006,0))&gt;=100000), " ",IF(INDEX($AC$2:$AS$1001,MATCH(ROWS($V$2:V595),$V$2:$V$1001,0),MATCH(COLUMNS($AC$1006:AH1006),$AC$1006:$AS$1006,0)), HYPERLINK("#",""), HYPERLINK(CONCATENATE("#metadata!", ADDRESS(INDEX($X$2:$X$1001,MATCH(ROWS($V$2:V595),$V$2:$V$1001,0),0), INDEX($AC$1004:$AS$1004,1,MATCH(COLUMNS($AC$1006:AH1006),$AC$1006:$AS$1006,0)))),"Fix")))</f>
        <v xml:space="preserve"> </v>
      </c>
      <c r="H595" s="4" t="str">
        <f ca="1">IF(OR(INDEX($W$2:$W$1001,MATCH(ROWS($V$2:V595),$V$2:$V$1001,0),1)&gt;=100000,INDEX($AC$1005:$AS$1005,1,MATCH(COLUMNS($AC$1006:AI1006),$AC$1006:$AS$1006,0))&gt;=100000), " ",IF(INDEX($AC$2:$AS$1001,MATCH(ROWS($V$2:V595),$V$2:$V$1001,0),MATCH(COLUMNS($AC$1006:AI1006),$AC$1006:$AS$1006,0)), HYPERLINK("#",""), HYPERLINK(CONCATENATE("#metadata!", ADDRESS(INDEX($X$2:$X$1001,MATCH(ROWS($V$2:V595),$V$2:$V$1001,0),0), INDEX($AC$1004:$AS$1004,1,MATCH(COLUMNS($AC$1006:AI1006),$AC$1006:$AS$1006,0)))),"Fix")))</f>
        <v xml:space="preserve"> </v>
      </c>
      <c r="I595" s="4" t="str">
        <f ca="1">IF(OR(INDEX($W$2:$W$1001,MATCH(ROWS($V$2:V595),$V$2:$V$1001,0),1)&gt;=100000,INDEX($AC$1005:$AS$1005,1,MATCH(COLUMNS($AC$1006:AJ1006),$AC$1006:$AS$1006,0))&gt;=100000), " ",IF(INDEX($AC$2:$AS$1001,MATCH(ROWS($V$2:V595),$V$2:$V$1001,0),MATCH(COLUMNS($AC$1006:AJ1006),$AC$1006:$AS$1006,0)), HYPERLINK("#",""), HYPERLINK(CONCATENATE("#metadata!", ADDRESS(INDEX($X$2:$X$1001,MATCH(ROWS($V$2:V595),$V$2:$V$1001,0),0), INDEX($AC$1004:$AS$1004,1,MATCH(COLUMNS($AC$1006:AJ1006),$AC$1006:$AS$1006,0)))),"Fix")))</f>
        <v xml:space="preserve"> </v>
      </c>
      <c r="J595" s="4" t="str">
        <f ca="1">IF(OR(INDEX($W$2:$W$1001,MATCH(ROWS($V$2:V595),$V$2:$V$1001,0),1)&gt;=100000,INDEX($AC$1005:$AS$1005,1,MATCH(COLUMNS($AC$1006:AK1006),$AC$1006:$AS$1006,0))&gt;=100000), " ",IF(INDEX($AC$2:$AS$1001,MATCH(ROWS($V$2:V595),$V$2:$V$1001,0),MATCH(COLUMNS($AC$1006:AK1006),$AC$1006:$AS$1006,0)), HYPERLINK("#",""), HYPERLINK(CONCATENATE("#metadata!", ADDRESS(INDEX($X$2:$X$1001,MATCH(ROWS($V$2:V595),$V$2:$V$1001,0),0), INDEX($AC$1004:$AS$1004,1,MATCH(COLUMNS($AC$1006:AK1006),$AC$1006:$AS$1006,0)))),"Fix")))</f>
        <v xml:space="preserve"> </v>
      </c>
      <c r="K595" s="4" t="str">
        <f ca="1">IF(OR(INDEX($W$2:$W$1001,MATCH(ROWS($V$2:V595),$V$2:$V$1001,0),1)&gt;=100000,INDEX($AC$1005:$AS$1005,1,MATCH(COLUMNS($AC$1006:AL1006),$AC$1006:$AS$1006,0))&gt;=100000), " ",IF(INDEX($AC$2:$AS$1001,MATCH(ROWS($V$2:V595),$V$2:$V$1001,0),MATCH(COLUMNS($AC$1006:AL1006),$AC$1006:$AS$1006,0)), HYPERLINK("#",""), HYPERLINK(CONCATENATE("#metadata!", ADDRESS(INDEX($X$2:$X$1001,MATCH(ROWS($V$2:V595),$V$2:$V$1001,0),0), INDEX($AC$1004:$AS$1004,1,MATCH(COLUMNS($AC$1006:AL1006),$AC$1006:$AS$1006,0)))),"Fix")))</f>
        <v xml:space="preserve"> </v>
      </c>
      <c r="L595" s="4" t="str">
        <f ca="1">IF(OR(INDEX($W$2:$W$1001,MATCH(ROWS($V$2:V595),$V$2:$V$1001,0),1)&gt;=100000,INDEX($AC$1005:$AS$1005,1,MATCH(COLUMNS($AC$1006:AM1006),$AC$1006:$AS$1006,0))&gt;=100000), " ",IF(INDEX($AC$2:$AS$1001,MATCH(ROWS($V$2:V595),$V$2:$V$1001,0),MATCH(COLUMNS($AC$1006:AM1006),$AC$1006:$AS$1006,0)), HYPERLINK("#",""), HYPERLINK(CONCATENATE("#metadata!", ADDRESS(INDEX($X$2:$X$1001,MATCH(ROWS($V$2:V595),$V$2:$V$1001,0),0), INDEX($AC$1004:$AS$1004,1,MATCH(COLUMNS($AC$1006:AM1006),$AC$1006:$AS$1006,0)))),"Fix")))</f>
        <v xml:space="preserve"> </v>
      </c>
      <c r="M595" s="4" t="str">
        <f ca="1">IF(OR(INDEX($W$2:$W$1001,MATCH(ROWS($V$2:V595),$V$2:$V$1001,0),1)&gt;=100000,INDEX($AC$1005:$AS$1005,1,MATCH(COLUMNS($AC$1006:AN1006),$AC$1006:$AS$1006,0))&gt;=100000), " ",IF(INDEX($AC$2:$AS$1001,MATCH(ROWS($V$2:V595),$V$2:$V$1001,0),MATCH(COLUMNS($AC$1006:AN1006),$AC$1006:$AS$1006,0)), HYPERLINK("#",""), HYPERLINK(CONCATENATE("#metadata!", ADDRESS(INDEX($X$2:$X$1001,MATCH(ROWS($V$2:V595),$V$2:$V$1001,0),0), INDEX($AC$1004:$AS$1004,1,MATCH(COLUMNS($AC$1006:AN1006),$AC$1006:$AS$1006,0)))),"Fix")))</f>
        <v xml:space="preserve"> </v>
      </c>
      <c r="N595" s="4" t="str">
        <f ca="1">IF(OR(INDEX($W$2:$W$1001,MATCH(ROWS($V$2:V595),$V$2:$V$1001,0),1)&gt;=100000,INDEX($AC$1005:$AS$1005,1,MATCH(COLUMNS($AC$1006:AO1006),$AC$1006:$AS$1006,0))&gt;=100000), " ",IF(INDEX($AC$2:$AS$1001,MATCH(ROWS($V$2:V595),$V$2:$V$1001,0),MATCH(COLUMNS($AC$1006:AO1006),$AC$1006:$AS$1006,0)), HYPERLINK("#",""), HYPERLINK(CONCATENATE("#metadata!", ADDRESS(INDEX($X$2:$X$1001,MATCH(ROWS($V$2:V595),$V$2:$V$1001,0),0), INDEX($AC$1004:$AS$1004,1,MATCH(COLUMNS($AC$1006:AO1006),$AC$1006:$AS$1006,0)))),"Fix")))</f>
        <v xml:space="preserve"> </v>
      </c>
      <c r="O595" s="4" t="str">
        <f ca="1">IF(OR(INDEX($W$2:$W$1001,MATCH(ROWS($V$2:V595),$V$2:$V$1001,0),1)&gt;=100000,INDEX($AC$1005:$AS$1005,1,MATCH(COLUMNS($AC$1006:AP1006),$AC$1006:$AS$1006,0))&gt;=100000), " ",IF(INDEX($AC$2:$AS$1001,MATCH(ROWS($V$2:V595),$V$2:$V$1001,0),MATCH(COLUMNS($AC$1006:AP1006),$AC$1006:$AS$1006,0)), HYPERLINK("#",""), HYPERLINK(CONCATENATE("#metadata!", ADDRESS(INDEX($X$2:$X$1001,MATCH(ROWS($V$2:V595),$V$2:$V$1001,0),0), INDEX($AC$1004:$AS$1004,1,MATCH(COLUMNS($AC$1006:AP1006),$AC$1006:$AS$1006,0)))),"Fix")))</f>
        <v xml:space="preserve"> </v>
      </c>
      <c r="P595" s="4" t="str">
        <f ca="1">IF(OR(INDEX($W$2:$W$1001,MATCH(ROWS($V$2:V595),$V$2:$V$1001,0),1)&gt;=100000,INDEX($AC$1005:$AS$1005,1,MATCH(COLUMNS($AC$1006:AQ1006),$AC$1006:$AS$1006,0))&gt;=100000), " ",IF(INDEX($AC$2:$AS$1001,MATCH(ROWS($V$2:V595),$V$2:$V$1001,0),MATCH(COLUMNS($AC$1006:AQ1006),$AC$1006:$AS$1006,0)), HYPERLINK("#",""), HYPERLINK(CONCATENATE("#metadata!", ADDRESS(INDEX($X$2:$X$1001,MATCH(ROWS($V$2:V595),$V$2:$V$1001,0),0), INDEX($AC$1004:$AS$1004,1,MATCH(COLUMNS($AC$1006:AQ1006),$AC$1006:$AS$1006,0)))),"Fix")))</f>
        <v xml:space="preserve"> </v>
      </c>
      <c r="Q595" s="4" t="str">
        <f ca="1">IF(OR(INDEX($W$2:$W$1001,MATCH(ROWS($V$2:V595),$V$2:$V$1001,0),1)&gt;=100000,INDEX($AC$1005:$AS$1005,1,MATCH(COLUMNS($AC$1006:AR1006),$AC$1006:$AS$1006,0))&gt;=100000), " ",IF(INDEX($AC$2:$AS$1001,MATCH(ROWS($V$2:V595),$V$2:$V$1001,0),MATCH(COLUMNS($AC$1006:AR1006),$AC$1006:$AS$1006,0)), HYPERLINK("#",""), HYPERLINK(CONCATENATE("#metadata!", ADDRESS(INDEX($X$2:$X$1001,MATCH(ROWS($V$2:V595),$V$2:$V$1001,0),0), INDEX($AC$1004:$AS$1004,1,MATCH(COLUMNS($AC$1006:AR1006),$AC$1006:$AS$1006,0)))),"Fix")))</f>
        <v xml:space="preserve"> </v>
      </c>
      <c r="R595" s="4" t="str">
        <f ca="1">IF(OR(INDEX($W$2:$W$1001,MATCH(ROWS($V$2:V595),$V$2:$V$1001,0),1)&gt;=100000,INDEX($AC$1005:$AS$1005,1,MATCH(COLUMNS($AC$1006:AS1006),$AC$1006:$AS$1006,0))&gt;=100000), " ",IF(INDEX($AC$2:$AS$1001,MATCH(ROWS($V$2:V595),$V$2:$V$1001,0),MATCH(COLUMNS($AC$1006:AS1006),$AC$1006:$AS$1006,0)), HYPERLINK("#",""), HYPERLINK(CONCATENATE("#metadata!", ADDRESS(INDEX($X$2:$X$1001,MATCH(ROWS($V$2:V595),$V$2:$V$1001,0),0), INDEX($AC$1004:$AS$1004,1,MATCH(COLUMNS($AC$1006:AS1006),$AC$1006:$AS$1006,0)))),"Fix")))</f>
        <v xml:space="preserve"> </v>
      </c>
      <c r="V595">
        <v>594</v>
      </c>
      <c r="W595">
        <v>100595</v>
      </c>
      <c r="X595">
        <v>595</v>
      </c>
      <c r="Y595" t="b">
        <f t="shared" si="9"/>
        <v>1</v>
      </c>
      <c r="Z595" t="b">
        <f>COUNTBLANK(metadata!B595:R595)=COLUMNS(metadata!B595:R595)</f>
        <v>1</v>
      </c>
      <c r="AA595" t="str">
        <v/>
      </c>
      <c r="AC595" t="b">
        <f ca="1"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AD595" t="b">
        <f>IF(metadata!C595="",FALSE,ISNUMBER(VALUE(metadata!C595)))</f>
        <v>0</v>
      </c>
      <c r="AE595" t="b">
        <f>AND(IF(metadata!D595="",FALSE,TRUE),EXACT(metadata!D595,"years"))</f>
        <v>0</v>
      </c>
      <c r="AF595" t="b">
        <f>OR(AND(IF(metadata!E595="",FALSE,TRUE),OR(EXACT(metadata!E595,"not applicable"),EXACT(metadata!E595,"missing: not collected"),EXACT(metadata!E595,"missing: not provided"),EXACT(metadata!E595,"missing: restricted access"))),AND(IF(metadata!E595="",FALSE,ISNUMBER(VALUE(metadata!E595))),metadata!E595&gt;0))</f>
        <v>0</v>
      </c>
      <c r="AG595" t="b">
        <f>AND(IF(metadata!F595="",FALSE,TRUE),EXACT(metadata!F595,"Not applicable"))</f>
        <v>0</v>
      </c>
      <c r="AH595" t="b">
        <f>AND(IF(metadata!G595="",FALSE,TRUE),EXACT(metadata!G595,"urban biome"))</f>
        <v>0</v>
      </c>
      <c r="AI595" t="b">
        <f>AND(IF(metadata!H595="",FALSE,TRUE),EXACT(metadata!H595,"human-associated habitat"))</f>
        <v>0</v>
      </c>
      <c r="AJ595" t="b">
        <f>AND(IF(metadata!I595="",FALSE,TRUE),OR(EXACT(metadata!I595,"human-associated"),EXACT(metadata!I595,"human-skin"),EXACT(metadata!I595,"human-oral"),EXACT(metadata!I595,"human-gut"),EXACT(metadata!I595,"human-vaginal")))</f>
        <v>0</v>
      </c>
      <c r="AK595" t="b">
        <f>IF(metadata!J595="",FALSE,ISNUMBER(VALUE(metadata!J595)))</f>
        <v>0</v>
      </c>
      <c r="AL595" t="b">
        <f>AND(IF(metadata!K595="",FALSE,TRUE),EXACT(metadata!K595,"cm"))</f>
        <v>0</v>
      </c>
      <c r="AM595" t="b">
        <f>AND(IF(metadata!L595="",FALSE,TRUE),EXACT(metadata!L595,"human"))</f>
        <v>0</v>
      </c>
      <c r="AN595" t="b">
        <f>AND(IF(metadata!M595="",FALSE,TRUE),EXACT(metadata!M595,"Homo sapiens"))</f>
        <v>0</v>
      </c>
      <c r="AO595" t="b">
        <f>AND(IF(metadata!N595="",FALSE,TRUE),EXACT(metadata!N595,"9606"))</f>
        <v>0</v>
      </c>
      <c r="AP595" t="b">
        <f>IF(metadata!O595="",FALSE,TRUE)</f>
        <v>0</v>
      </c>
      <c r="AQ595" t="b">
        <f>IF(metadata!P595="",FALSE,TRUE)</f>
        <v>0</v>
      </c>
      <c r="AR595" t="b">
        <f>IF(metadata!Q595="",FALSE,ISNUMBER(VALUE(metadata!Q595)))</f>
        <v>0</v>
      </c>
      <c r="AS595" t="b">
        <f>AND(IF(metadata!R595="",FALSE,TRUE),EXACT(metadata!R595,"kg"))</f>
        <v>0</v>
      </c>
    </row>
    <row r="596" spans="1:45" x14ac:dyDescent="0.2">
      <c r="A596" s="5" t="str">
        <f ca="1">IF(B596=" "," ",HYPERLINK(CONCATENATE("#metadata!",ADDRESS(INDEX($X$2:$X$1001,MATCH(ROWS($V$2:V596),$V$2:$V$1001,0),0),1)),INDEX($AA$2:$AA$1001,MATCH(ROWS($V$2:V596),$V$2:$V$1001,0),0)))</f>
        <v xml:space="preserve"> </v>
      </c>
      <c r="B596" s="4" t="str">
        <f ca="1">IF(OR(INDEX($W$2:$W$1001,MATCH(ROWS($V$2:V596),$V$2:$V$1001,0),1)&gt;=100000,INDEX($AC$1005:$AS$1005,1,MATCH(COLUMNS($AC$1006:AC1006),$AC$1006:$AS$1006,0))&gt;=100000), " ",IF(INDEX($AC$2:$AS$1001,MATCH(ROWS($V$2:V596),$V$2:$V$1001,0),MATCH(COLUMNS($AC$1006:AC1006),$AC$1006:$AS$1006,0)), HYPERLINK("#",""), HYPERLINK(CONCATENATE("#metadata!", ADDRESS(INDEX($X$2:$X$1001,MATCH(ROWS($V$2:V596),$V$2:$V$1001,0),0), INDEX($AC$1004:$AS$1004,1,MATCH(COLUMNS($AC$1006:AC1006),$AC$1006:$AS$1006,0)))),"Fix")))</f>
        <v xml:space="preserve"> </v>
      </c>
      <c r="C596" s="4" t="str">
        <f ca="1">IF(OR(INDEX($W$2:$W$1001,MATCH(ROWS($V$2:V596),$V$2:$V$1001,0),1)&gt;=100000,INDEX($AC$1005:$AS$1005,1,MATCH(COLUMNS($AC$1006:AD1006),$AC$1006:$AS$1006,0))&gt;=100000), " ",IF(INDEX($AC$2:$AS$1001,MATCH(ROWS($V$2:V596),$V$2:$V$1001,0),MATCH(COLUMNS($AC$1006:AD1006),$AC$1006:$AS$1006,0)), HYPERLINK("#",""), HYPERLINK(CONCATENATE("#metadata!", ADDRESS(INDEX($X$2:$X$1001,MATCH(ROWS($V$2:V596),$V$2:$V$1001,0),0), INDEX($AC$1004:$AS$1004,1,MATCH(COLUMNS($AC$1006:AD1006),$AC$1006:$AS$1006,0)))),"Fix")))</f>
        <v xml:space="preserve"> </v>
      </c>
      <c r="D596" s="4" t="str">
        <f ca="1">IF(OR(INDEX($W$2:$W$1001,MATCH(ROWS($V$2:V596),$V$2:$V$1001,0),1)&gt;=100000,INDEX($AC$1005:$AS$1005,1,MATCH(COLUMNS($AC$1006:AE1006),$AC$1006:$AS$1006,0))&gt;=100000), " ",IF(INDEX($AC$2:$AS$1001,MATCH(ROWS($V$2:V596),$V$2:$V$1001,0),MATCH(COLUMNS($AC$1006:AE1006),$AC$1006:$AS$1006,0)), HYPERLINK("#",""), HYPERLINK(CONCATENATE("#metadata!", ADDRESS(INDEX($X$2:$X$1001,MATCH(ROWS($V$2:V596),$V$2:$V$1001,0),0), INDEX($AC$1004:$AS$1004,1,MATCH(COLUMNS($AC$1006:AE1006),$AC$1006:$AS$1006,0)))),"Fix")))</f>
        <v xml:space="preserve"> </v>
      </c>
      <c r="E596" s="4" t="str">
        <f ca="1">IF(OR(INDEX($W$2:$W$1001,MATCH(ROWS($V$2:V596),$V$2:$V$1001,0),1)&gt;=100000,INDEX($AC$1005:$AS$1005,1,MATCH(COLUMNS($AC$1006:AF1006),$AC$1006:$AS$1006,0))&gt;=100000), " ",IF(INDEX($AC$2:$AS$1001,MATCH(ROWS($V$2:V596),$V$2:$V$1001,0),MATCH(COLUMNS($AC$1006:AF1006),$AC$1006:$AS$1006,0)), HYPERLINK("#",""), HYPERLINK(CONCATENATE("#metadata!", ADDRESS(INDEX($X$2:$X$1001,MATCH(ROWS($V$2:V596),$V$2:$V$1001,0),0), INDEX($AC$1004:$AS$1004,1,MATCH(COLUMNS($AC$1006:AF1006),$AC$1006:$AS$1006,0)))),"Fix")))</f>
        <v xml:space="preserve"> </v>
      </c>
      <c r="F596" s="4" t="str">
        <f ca="1">IF(OR(INDEX($W$2:$W$1001,MATCH(ROWS($V$2:V596),$V$2:$V$1001,0),1)&gt;=100000,INDEX($AC$1005:$AS$1005,1,MATCH(COLUMNS($AC$1006:AG1006),$AC$1006:$AS$1006,0))&gt;=100000), " ",IF(INDEX($AC$2:$AS$1001,MATCH(ROWS($V$2:V596),$V$2:$V$1001,0),MATCH(COLUMNS($AC$1006:AG1006),$AC$1006:$AS$1006,0)), HYPERLINK("#",""), HYPERLINK(CONCATENATE("#metadata!", ADDRESS(INDEX($X$2:$X$1001,MATCH(ROWS($V$2:V596),$V$2:$V$1001,0),0), INDEX($AC$1004:$AS$1004,1,MATCH(COLUMNS($AC$1006:AG1006),$AC$1006:$AS$1006,0)))),"Fix")))</f>
        <v xml:space="preserve"> </v>
      </c>
      <c r="G596" s="4" t="str">
        <f ca="1">IF(OR(INDEX($W$2:$W$1001,MATCH(ROWS($V$2:V596),$V$2:$V$1001,0),1)&gt;=100000,INDEX($AC$1005:$AS$1005,1,MATCH(COLUMNS($AC$1006:AH1006),$AC$1006:$AS$1006,0))&gt;=100000), " ",IF(INDEX($AC$2:$AS$1001,MATCH(ROWS($V$2:V596),$V$2:$V$1001,0),MATCH(COLUMNS($AC$1006:AH1006),$AC$1006:$AS$1006,0)), HYPERLINK("#",""), HYPERLINK(CONCATENATE("#metadata!", ADDRESS(INDEX($X$2:$X$1001,MATCH(ROWS($V$2:V596),$V$2:$V$1001,0),0), INDEX($AC$1004:$AS$1004,1,MATCH(COLUMNS($AC$1006:AH1006),$AC$1006:$AS$1006,0)))),"Fix")))</f>
        <v xml:space="preserve"> </v>
      </c>
      <c r="H596" s="4" t="str">
        <f ca="1">IF(OR(INDEX($W$2:$W$1001,MATCH(ROWS($V$2:V596),$V$2:$V$1001,0),1)&gt;=100000,INDEX($AC$1005:$AS$1005,1,MATCH(COLUMNS($AC$1006:AI1006),$AC$1006:$AS$1006,0))&gt;=100000), " ",IF(INDEX($AC$2:$AS$1001,MATCH(ROWS($V$2:V596),$V$2:$V$1001,0),MATCH(COLUMNS($AC$1006:AI1006),$AC$1006:$AS$1006,0)), HYPERLINK("#",""), HYPERLINK(CONCATENATE("#metadata!", ADDRESS(INDEX($X$2:$X$1001,MATCH(ROWS($V$2:V596),$V$2:$V$1001,0),0), INDEX($AC$1004:$AS$1004,1,MATCH(COLUMNS($AC$1006:AI1006),$AC$1006:$AS$1006,0)))),"Fix")))</f>
        <v xml:space="preserve"> </v>
      </c>
      <c r="I596" s="4" t="str">
        <f ca="1">IF(OR(INDEX($W$2:$W$1001,MATCH(ROWS($V$2:V596),$V$2:$V$1001,0),1)&gt;=100000,INDEX($AC$1005:$AS$1005,1,MATCH(COLUMNS($AC$1006:AJ1006),$AC$1006:$AS$1006,0))&gt;=100000), " ",IF(INDEX($AC$2:$AS$1001,MATCH(ROWS($V$2:V596),$V$2:$V$1001,0),MATCH(COLUMNS($AC$1006:AJ1006),$AC$1006:$AS$1006,0)), HYPERLINK("#",""), HYPERLINK(CONCATENATE("#metadata!", ADDRESS(INDEX($X$2:$X$1001,MATCH(ROWS($V$2:V596),$V$2:$V$1001,0),0), INDEX($AC$1004:$AS$1004,1,MATCH(COLUMNS($AC$1006:AJ1006),$AC$1006:$AS$1006,0)))),"Fix")))</f>
        <v xml:space="preserve"> </v>
      </c>
      <c r="J596" s="4" t="str">
        <f ca="1">IF(OR(INDEX($W$2:$W$1001,MATCH(ROWS($V$2:V596),$V$2:$V$1001,0),1)&gt;=100000,INDEX($AC$1005:$AS$1005,1,MATCH(COLUMNS($AC$1006:AK1006),$AC$1006:$AS$1006,0))&gt;=100000), " ",IF(INDEX($AC$2:$AS$1001,MATCH(ROWS($V$2:V596),$V$2:$V$1001,0),MATCH(COLUMNS($AC$1006:AK1006),$AC$1006:$AS$1006,0)), HYPERLINK("#",""), HYPERLINK(CONCATENATE("#metadata!", ADDRESS(INDEX($X$2:$X$1001,MATCH(ROWS($V$2:V596),$V$2:$V$1001,0),0), INDEX($AC$1004:$AS$1004,1,MATCH(COLUMNS($AC$1006:AK1006),$AC$1006:$AS$1006,0)))),"Fix")))</f>
        <v xml:space="preserve"> </v>
      </c>
      <c r="K596" s="4" t="str">
        <f ca="1">IF(OR(INDEX($W$2:$W$1001,MATCH(ROWS($V$2:V596),$V$2:$V$1001,0),1)&gt;=100000,INDEX($AC$1005:$AS$1005,1,MATCH(COLUMNS($AC$1006:AL1006),$AC$1006:$AS$1006,0))&gt;=100000), " ",IF(INDEX($AC$2:$AS$1001,MATCH(ROWS($V$2:V596),$V$2:$V$1001,0),MATCH(COLUMNS($AC$1006:AL1006),$AC$1006:$AS$1006,0)), HYPERLINK("#",""), HYPERLINK(CONCATENATE("#metadata!", ADDRESS(INDEX($X$2:$X$1001,MATCH(ROWS($V$2:V596),$V$2:$V$1001,0),0), INDEX($AC$1004:$AS$1004,1,MATCH(COLUMNS($AC$1006:AL1006),$AC$1006:$AS$1006,0)))),"Fix")))</f>
        <v xml:space="preserve"> </v>
      </c>
      <c r="L596" s="4" t="str">
        <f ca="1">IF(OR(INDEX($W$2:$W$1001,MATCH(ROWS($V$2:V596),$V$2:$V$1001,0),1)&gt;=100000,INDEX($AC$1005:$AS$1005,1,MATCH(COLUMNS($AC$1006:AM1006),$AC$1006:$AS$1006,0))&gt;=100000), " ",IF(INDEX($AC$2:$AS$1001,MATCH(ROWS($V$2:V596),$V$2:$V$1001,0),MATCH(COLUMNS($AC$1006:AM1006),$AC$1006:$AS$1006,0)), HYPERLINK("#",""), HYPERLINK(CONCATENATE("#metadata!", ADDRESS(INDEX($X$2:$X$1001,MATCH(ROWS($V$2:V596),$V$2:$V$1001,0),0), INDEX($AC$1004:$AS$1004,1,MATCH(COLUMNS($AC$1006:AM1006),$AC$1006:$AS$1006,0)))),"Fix")))</f>
        <v xml:space="preserve"> </v>
      </c>
      <c r="M596" s="4" t="str">
        <f ca="1">IF(OR(INDEX($W$2:$W$1001,MATCH(ROWS($V$2:V596),$V$2:$V$1001,0),1)&gt;=100000,INDEX($AC$1005:$AS$1005,1,MATCH(COLUMNS($AC$1006:AN1006),$AC$1006:$AS$1006,0))&gt;=100000), " ",IF(INDEX($AC$2:$AS$1001,MATCH(ROWS($V$2:V596),$V$2:$V$1001,0),MATCH(COLUMNS($AC$1006:AN1006),$AC$1006:$AS$1006,0)), HYPERLINK("#",""), HYPERLINK(CONCATENATE("#metadata!", ADDRESS(INDEX($X$2:$X$1001,MATCH(ROWS($V$2:V596),$V$2:$V$1001,0),0), INDEX($AC$1004:$AS$1004,1,MATCH(COLUMNS($AC$1006:AN1006),$AC$1006:$AS$1006,0)))),"Fix")))</f>
        <v xml:space="preserve"> </v>
      </c>
      <c r="N596" s="4" t="str">
        <f ca="1">IF(OR(INDEX($W$2:$W$1001,MATCH(ROWS($V$2:V596),$V$2:$V$1001,0),1)&gt;=100000,INDEX($AC$1005:$AS$1005,1,MATCH(COLUMNS($AC$1006:AO1006),$AC$1006:$AS$1006,0))&gt;=100000), " ",IF(INDEX($AC$2:$AS$1001,MATCH(ROWS($V$2:V596),$V$2:$V$1001,0),MATCH(COLUMNS($AC$1006:AO1006),$AC$1006:$AS$1006,0)), HYPERLINK("#",""), HYPERLINK(CONCATENATE("#metadata!", ADDRESS(INDEX($X$2:$X$1001,MATCH(ROWS($V$2:V596),$V$2:$V$1001,0),0), INDEX($AC$1004:$AS$1004,1,MATCH(COLUMNS($AC$1006:AO1006),$AC$1006:$AS$1006,0)))),"Fix")))</f>
        <v xml:space="preserve"> </v>
      </c>
      <c r="O596" s="4" t="str">
        <f ca="1">IF(OR(INDEX($W$2:$W$1001,MATCH(ROWS($V$2:V596),$V$2:$V$1001,0),1)&gt;=100000,INDEX($AC$1005:$AS$1005,1,MATCH(COLUMNS($AC$1006:AP1006),$AC$1006:$AS$1006,0))&gt;=100000), " ",IF(INDEX($AC$2:$AS$1001,MATCH(ROWS($V$2:V596),$V$2:$V$1001,0),MATCH(COLUMNS($AC$1006:AP1006),$AC$1006:$AS$1006,0)), HYPERLINK("#",""), HYPERLINK(CONCATENATE("#metadata!", ADDRESS(INDEX($X$2:$X$1001,MATCH(ROWS($V$2:V596),$V$2:$V$1001,0),0), INDEX($AC$1004:$AS$1004,1,MATCH(COLUMNS($AC$1006:AP1006),$AC$1006:$AS$1006,0)))),"Fix")))</f>
        <v xml:space="preserve"> </v>
      </c>
      <c r="P596" s="4" t="str">
        <f ca="1">IF(OR(INDEX($W$2:$W$1001,MATCH(ROWS($V$2:V596),$V$2:$V$1001,0),1)&gt;=100000,INDEX($AC$1005:$AS$1005,1,MATCH(COLUMNS($AC$1006:AQ1006),$AC$1006:$AS$1006,0))&gt;=100000), " ",IF(INDEX($AC$2:$AS$1001,MATCH(ROWS($V$2:V596),$V$2:$V$1001,0),MATCH(COLUMNS($AC$1006:AQ1006),$AC$1006:$AS$1006,0)), HYPERLINK("#",""), HYPERLINK(CONCATENATE("#metadata!", ADDRESS(INDEX($X$2:$X$1001,MATCH(ROWS($V$2:V596),$V$2:$V$1001,0),0), INDEX($AC$1004:$AS$1004,1,MATCH(COLUMNS($AC$1006:AQ1006),$AC$1006:$AS$1006,0)))),"Fix")))</f>
        <v xml:space="preserve"> </v>
      </c>
      <c r="Q596" s="4" t="str">
        <f ca="1">IF(OR(INDEX($W$2:$W$1001,MATCH(ROWS($V$2:V596),$V$2:$V$1001,0),1)&gt;=100000,INDEX($AC$1005:$AS$1005,1,MATCH(COLUMNS($AC$1006:AR1006),$AC$1006:$AS$1006,0))&gt;=100000), " ",IF(INDEX($AC$2:$AS$1001,MATCH(ROWS($V$2:V596),$V$2:$V$1001,0),MATCH(COLUMNS($AC$1006:AR1006),$AC$1006:$AS$1006,0)), HYPERLINK("#",""), HYPERLINK(CONCATENATE("#metadata!", ADDRESS(INDEX($X$2:$X$1001,MATCH(ROWS($V$2:V596),$V$2:$V$1001,0),0), INDEX($AC$1004:$AS$1004,1,MATCH(COLUMNS($AC$1006:AR1006),$AC$1006:$AS$1006,0)))),"Fix")))</f>
        <v xml:space="preserve"> </v>
      </c>
      <c r="R596" s="4" t="str">
        <f ca="1">IF(OR(INDEX($W$2:$W$1001,MATCH(ROWS($V$2:V596),$V$2:$V$1001,0),1)&gt;=100000,INDEX($AC$1005:$AS$1005,1,MATCH(COLUMNS($AC$1006:AS1006),$AC$1006:$AS$1006,0))&gt;=100000), " ",IF(INDEX($AC$2:$AS$1001,MATCH(ROWS($V$2:V596),$V$2:$V$1001,0),MATCH(COLUMNS($AC$1006:AS1006),$AC$1006:$AS$1006,0)), HYPERLINK("#",""), HYPERLINK(CONCATENATE("#metadata!", ADDRESS(INDEX($X$2:$X$1001,MATCH(ROWS($V$2:V596),$V$2:$V$1001,0),0), INDEX($AC$1004:$AS$1004,1,MATCH(COLUMNS($AC$1006:AS1006),$AC$1006:$AS$1006,0)))),"Fix")))</f>
        <v xml:space="preserve"> </v>
      </c>
      <c r="V596">
        <v>595</v>
      </c>
      <c r="W596">
        <v>100596</v>
      </c>
      <c r="X596">
        <v>596</v>
      </c>
      <c r="Y596" t="b">
        <f t="shared" si="9"/>
        <v>1</v>
      </c>
      <c r="Z596" t="b">
        <f>COUNTBLANK(metadata!B596:R596)=COLUMNS(metadata!B596:R596)</f>
        <v>1</v>
      </c>
      <c r="AA596" t="str">
        <v/>
      </c>
      <c r="AC596" t="b">
        <f ca="1"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AD596" t="b">
        <f>IF(metadata!C596="",FALSE,ISNUMBER(VALUE(metadata!C596)))</f>
        <v>0</v>
      </c>
      <c r="AE596" t="b">
        <f>AND(IF(metadata!D596="",FALSE,TRUE),EXACT(metadata!D596,"years"))</f>
        <v>0</v>
      </c>
      <c r="AF596" t="b">
        <f>OR(AND(IF(metadata!E596="",FALSE,TRUE),OR(EXACT(metadata!E596,"not applicable"),EXACT(metadata!E596,"missing: not collected"),EXACT(metadata!E596,"missing: not provided"),EXACT(metadata!E596,"missing: restricted access"))),AND(IF(metadata!E596="",FALSE,ISNUMBER(VALUE(metadata!E596))),metadata!E596&gt;0))</f>
        <v>0</v>
      </c>
      <c r="AG596" t="b">
        <f>AND(IF(metadata!F596="",FALSE,TRUE),EXACT(metadata!F596,"Not applicable"))</f>
        <v>0</v>
      </c>
      <c r="AH596" t="b">
        <f>AND(IF(metadata!G596="",FALSE,TRUE),EXACT(metadata!G596,"urban biome"))</f>
        <v>0</v>
      </c>
      <c r="AI596" t="b">
        <f>AND(IF(metadata!H596="",FALSE,TRUE),EXACT(metadata!H596,"human-associated habitat"))</f>
        <v>0</v>
      </c>
      <c r="AJ596" t="b">
        <f>AND(IF(metadata!I596="",FALSE,TRUE),OR(EXACT(metadata!I596,"human-associated"),EXACT(metadata!I596,"human-skin"),EXACT(metadata!I596,"human-oral"),EXACT(metadata!I596,"human-gut"),EXACT(metadata!I596,"human-vaginal")))</f>
        <v>0</v>
      </c>
      <c r="AK596" t="b">
        <f>IF(metadata!J596="",FALSE,ISNUMBER(VALUE(metadata!J596)))</f>
        <v>0</v>
      </c>
      <c r="AL596" t="b">
        <f>AND(IF(metadata!K596="",FALSE,TRUE),EXACT(metadata!K596,"cm"))</f>
        <v>0</v>
      </c>
      <c r="AM596" t="b">
        <f>AND(IF(metadata!L596="",FALSE,TRUE),EXACT(metadata!L596,"human"))</f>
        <v>0</v>
      </c>
      <c r="AN596" t="b">
        <f>AND(IF(metadata!M596="",FALSE,TRUE),EXACT(metadata!M596,"Homo sapiens"))</f>
        <v>0</v>
      </c>
      <c r="AO596" t="b">
        <f>AND(IF(metadata!N596="",FALSE,TRUE),EXACT(metadata!N596,"9606"))</f>
        <v>0</v>
      </c>
      <c r="AP596" t="b">
        <f>IF(metadata!O596="",FALSE,TRUE)</f>
        <v>0</v>
      </c>
      <c r="AQ596" t="b">
        <f>IF(metadata!P596="",FALSE,TRUE)</f>
        <v>0</v>
      </c>
      <c r="AR596" t="b">
        <f>IF(metadata!Q596="",FALSE,ISNUMBER(VALUE(metadata!Q596)))</f>
        <v>0</v>
      </c>
      <c r="AS596" t="b">
        <f>AND(IF(metadata!R596="",FALSE,TRUE),EXACT(metadata!R596,"kg"))</f>
        <v>0</v>
      </c>
    </row>
    <row r="597" spans="1:45" x14ac:dyDescent="0.2">
      <c r="A597" s="5" t="str">
        <f ca="1">IF(B597=" "," ",HYPERLINK(CONCATENATE("#metadata!",ADDRESS(INDEX($X$2:$X$1001,MATCH(ROWS($V$2:V597),$V$2:$V$1001,0),0),1)),INDEX($AA$2:$AA$1001,MATCH(ROWS($V$2:V597),$V$2:$V$1001,0),0)))</f>
        <v xml:space="preserve"> </v>
      </c>
      <c r="B597" s="4" t="str">
        <f ca="1">IF(OR(INDEX($W$2:$W$1001,MATCH(ROWS($V$2:V597),$V$2:$V$1001,0),1)&gt;=100000,INDEX($AC$1005:$AS$1005,1,MATCH(COLUMNS($AC$1006:AC1006),$AC$1006:$AS$1006,0))&gt;=100000), " ",IF(INDEX($AC$2:$AS$1001,MATCH(ROWS($V$2:V597),$V$2:$V$1001,0),MATCH(COLUMNS($AC$1006:AC1006),$AC$1006:$AS$1006,0)), HYPERLINK("#",""), HYPERLINK(CONCATENATE("#metadata!", ADDRESS(INDEX($X$2:$X$1001,MATCH(ROWS($V$2:V597),$V$2:$V$1001,0),0), INDEX($AC$1004:$AS$1004,1,MATCH(COLUMNS($AC$1006:AC1006),$AC$1006:$AS$1006,0)))),"Fix")))</f>
        <v xml:space="preserve"> </v>
      </c>
      <c r="C597" s="4" t="str">
        <f ca="1">IF(OR(INDEX($W$2:$W$1001,MATCH(ROWS($V$2:V597),$V$2:$V$1001,0),1)&gt;=100000,INDEX($AC$1005:$AS$1005,1,MATCH(COLUMNS($AC$1006:AD1006),$AC$1006:$AS$1006,0))&gt;=100000), " ",IF(INDEX($AC$2:$AS$1001,MATCH(ROWS($V$2:V597),$V$2:$V$1001,0),MATCH(COLUMNS($AC$1006:AD1006),$AC$1006:$AS$1006,0)), HYPERLINK("#",""), HYPERLINK(CONCATENATE("#metadata!", ADDRESS(INDEX($X$2:$X$1001,MATCH(ROWS($V$2:V597),$V$2:$V$1001,0),0), INDEX($AC$1004:$AS$1004,1,MATCH(COLUMNS($AC$1006:AD1006),$AC$1006:$AS$1006,0)))),"Fix")))</f>
        <v xml:space="preserve"> </v>
      </c>
      <c r="D597" s="4" t="str">
        <f ca="1">IF(OR(INDEX($W$2:$W$1001,MATCH(ROWS($V$2:V597),$V$2:$V$1001,0),1)&gt;=100000,INDEX($AC$1005:$AS$1005,1,MATCH(COLUMNS($AC$1006:AE1006),$AC$1006:$AS$1006,0))&gt;=100000), " ",IF(INDEX($AC$2:$AS$1001,MATCH(ROWS($V$2:V597),$V$2:$V$1001,0),MATCH(COLUMNS($AC$1006:AE1006),$AC$1006:$AS$1006,0)), HYPERLINK("#",""), HYPERLINK(CONCATENATE("#metadata!", ADDRESS(INDEX($X$2:$X$1001,MATCH(ROWS($V$2:V597),$V$2:$V$1001,0),0), INDEX($AC$1004:$AS$1004,1,MATCH(COLUMNS($AC$1006:AE1006),$AC$1006:$AS$1006,0)))),"Fix")))</f>
        <v xml:space="preserve"> </v>
      </c>
      <c r="E597" s="4" t="str">
        <f ca="1">IF(OR(INDEX($W$2:$W$1001,MATCH(ROWS($V$2:V597),$V$2:$V$1001,0),1)&gt;=100000,INDEX($AC$1005:$AS$1005,1,MATCH(COLUMNS($AC$1006:AF1006),$AC$1006:$AS$1006,0))&gt;=100000), " ",IF(INDEX($AC$2:$AS$1001,MATCH(ROWS($V$2:V597),$V$2:$V$1001,0),MATCH(COLUMNS($AC$1006:AF1006),$AC$1006:$AS$1006,0)), HYPERLINK("#",""), HYPERLINK(CONCATENATE("#metadata!", ADDRESS(INDEX($X$2:$X$1001,MATCH(ROWS($V$2:V597),$V$2:$V$1001,0),0), INDEX($AC$1004:$AS$1004,1,MATCH(COLUMNS($AC$1006:AF1006),$AC$1006:$AS$1006,0)))),"Fix")))</f>
        <v xml:space="preserve"> </v>
      </c>
      <c r="F597" s="4" t="str">
        <f ca="1">IF(OR(INDEX($W$2:$W$1001,MATCH(ROWS($V$2:V597),$V$2:$V$1001,0),1)&gt;=100000,INDEX($AC$1005:$AS$1005,1,MATCH(COLUMNS($AC$1006:AG1006),$AC$1006:$AS$1006,0))&gt;=100000), " ",IF(INDEX($AC$2:$AS$1001,MATCH(ROWS($V$2:V597),$V$2:$V$1001,0),MATCH(COLUMNS($AC$1006:AG1006),$AC$1006:$AS$1006,0)), HYPERLINK("#",""), HYPERLINK(CONCATENATE("#metadata!", ADDRESS(INDEX($X$2:$X$1001,MATCH(ROWS($V$2:V597),$V$2:$V$1001,0),0), INDEX($AC$1004:$AS$1004,1,MATCH(COLUMNS($AC$1006:AG1006),$AC$1006:$AS$1006,0)))),"Fix")))</f>
        <v xml:space="preserve"> </v>
      </c>
      <c r="G597" s="4" t="str">
        <f ca="1">IF(OR(INDEX($W$2:$W$1001,MATCH(ROWS($V$2:V597),$V$2:$V$1001,0),1)&gt;=100000,INDEX($AC$1005:$AS$1005,1,MATCH(COLUMNS($AC$1006:AH1006),$AC$1006:$AS$1006,0))&gt;=100000), " ",IF(INDEX($AC$2:$AS$1001,MATCH(ROWS($V$2:V597),$V$2:$V$1001,0),MATCH(COLUMNS($AC$1006:AH1006),$AC$1006:$AS$1006,0)), HYPERLINK("#",""), HYPERLINK(CONCATENATE("#metadata!", ADDRESS(INDEX($X$2:$X$1001,MATCH(ROWS($V$2:V597),$V$2:$V$1001,0),0), INDEX($AC$1004:$AS$1004,1,MATCH(COLUMNS($AC$1006:AH1006),$AC$1006:$AS$1006,0)))),"Fix")))</f>
        <v xml:space="preserve"> </v>
      </c>
      <c r="H597" s="4" t="str">
        <f ca="1">IF(OR(INDEX($W$2:$W$1001,MATCH(ROWS($V$2:V597),$V$2:$V$1001,0),1)&gt;=100000,INDEX($AC$1005:$AS$1005,1,MATCH(COLUMNS($AC$1006:AI1006),$AC$1006:$AS$1006,0))&gt;=100000), " ",IF(INDEX($AC$2:$AS$1001,MATCH(ROWS($V$2:V597),$V$2:$V$1001,0),MATCH(COLUMNS($AC$1006:AI1006),$AC$1006:$AS$1006,0)), HYPERLINK("#",""), HYPERLINK(CONCATENATE("#metadata!", ADDRESS(INDEX($X$2:$X$1001,MATCH(ROWS($V$2:V597),$V$2:$V$1001,0),0), INDEX($AC$1004:$AS$1004,1,MATCH(COLUMNS($AC$1006:AI1006),$AC$1006:$AS$1006,0)))),"Fix")))</f>
        <v xml:space="preserve"> </v>
      </c>
      <c r="I597" s="4" t="str">
        <f ca="1">IF(OR(INDEX($W$2:$W$1001,MATCH(ROWS($V$2:V597),$V$2:$V$1001,0),1)&gt;=100000,INDEX($AC$1005:$AS$1005,1,MATCH(COLUMNS($AC$1006:AJ1006),$AC$1006:$AS$1006,0))&gt;=100000), " ",IF(INDEX($AC$2:$AS$1001,MATCH(ROWS($V$2:V597),$V$2:$V$1001,0),MATCH(COLUMNS($AC$1006:AJ1006),$AC$1006:$AS$1006,0)), HYPERLINK("#",""), HYPERLINK(CONCATENATE("#metadata!", ADDRESS(INDEX($X$2:$X$1001,MATCH(ROWS($V$2:V597),$V$2:$V$1001,0),0), INDEX($AC$1004:$AS$1004,1,MATCH(COLUMNS($AC$1006:AJ1006),$AC$1006:$AS$1006,0)))),"Fix")))</f>
        <v xml:space="preserve"> </v>
      </c>
      <c r="J597" s="4" t="str">
        <f ca="1">IF(OR(INDEX($W$2:$W$1001,MATCH(ROWS($V$2:V597),$V$2:$V$1001,0),1)&gt;=100000,INDEX($AC$1005:$AS$1005,1,MATCH(COLUMNS($AC$1006:AK1006),$AC$1006:$AS$1006,0))&gt;=100000), " ",IF(INDEX($AC$2:$AS$1001,MATCH(ROWS($V$2:V597),$V$2:$V$1001,0),MATCH(COLUMNS($AC$1006:AK1006),$AC$1006:$AS$1006,0)), HYPERLINK("#",""), HYPERLINK(CONCATENATE("#metadata!", ADDRESS(INDEX($X$2:$X$1001,MATCH(ROWS($V$2:V597),$V$2:$V$1001,0),0), INDEX($AC$1004:$AS$1004,1,MATCH(COLUMNS($AC$1006:AK1006),$AC$1006:$AS$1006,0)))),"Fix")))</f>
        <v xml:space="preserve"> </v>
      </c>
      <c r="K597" s="4" t="str">
        <f ca="1">IF(OR(INDEX($W$2:$W$1001,MATCH(ROWS($V$2:V597),$V$2:$V$1001,0),1)&gt;=100000,INDEX($AC$1005:$AS$1005,1,MATCH(COLUMNS($AC$1006:AL1006),$AC$1006:$AS$1006,0))&gt;=100000), " ",IF(INDEX($AC$2:$AS$1001,MATCH(ROWS($V$2:V597),$V$2:$V$1001,0),MATCH(COLUMNS($AC$1006:AL1006),$AC$1006:$AS$1006,0)), HYPERLINK("#",""), HYPERLINK(CONCATENATE("#metadata!", ADDRESS(INDEX($X$2:$X$1001,MATCH(ROWS($V$2:V597),$V$2:$V$1001,0),0), INDEX($AC$1004:$AS$1004,1,MATCH(COLUMNS($AC$1006:AL1006),$AC$1006:$AS$1006,0)))),"Fix")))</f>
        <v xml:space="preserve"> </v>
      </c>
      <c r="L597" s="4" t="str">
        <f ca="1">IF(OR(INDEX($W$2:$W$1001,MATCH(ROWS($V$2:V597),$V$2:$V$1001,0),1)&gt;=100000,INDEX($AC$1005:$AS$1005,1,MATCH(COLUMNS($AC$1006:AM1006),$AC$1006:$AS$1006,0))&gt;=100000), " ",IF(INDEX($AC$2:$AS$1001,MATCH(ROWS($V$2:V597),$V$2:$V$1001,0),MATCH(COLUMNS($AC$1006:AM1006),$AC$1006:$AS$1006,0)), HYPERLINK("#",""), HYPERLINK(CONCATENATE("#metadata!", ADDRESS(INDEX($X$2:$X$1001,MATCH(ROWS($V$2:V597),$V$2:$V$1001,0),0), INDEX($AC$1004:$AS$1004,1,MATCH(COLUMNS($AC$1006:AM1006),$AC$1006:$AS$1006,0)))),"Fix")))</f>
        <v xml:space="preserve"> </v>
      </c>
      <c r="M597" s="4" t="str">
        <f ca="1">IF(OR(INDEX($W$2:$W$1001,MATCH(ROWS($V$2:V597),$V$2:$V$1001,0),1)&gt;=100000,INDEX($AC$1005:$AS$1005,1,MATCH(COLUMNS($AC$1006:AN1006),$AC$1006:$AS$1006,0))&gt;=100000), " ",IF(INDEX($AC$2:$AS$1001,MATCH(ROWS($V$2:V597),$V$2:$V$1001,0),MATCH(COLUMNS($AC$1006:AN1006),$AC$1006:$AS$1006,0)), HYPERLINK("#",""), HYPERLINK(CONCATENATE("#metadata!", ADDRESS(INDEX($X$2:$X$1001,MATCH(ROWS($V$2:V597),$V$2:$V$1001,0),0), INDEX($AC$1004:$AS$1004,1,MATCH(COLUMNS($AC$1006:AN1006),$AC$1006:$AS$1006,0)))),"Fix")))</f>
        <v xml:space="preserve"> </v>
      </c>
      <c r="N597" s="4" t="str">
        <f ca="1">IF(OR(INDEX($W$2:$W$1001,MATCH(ROWS($V$2:V597),$V$2:$V$1001,0),1)&gt;=100000,INDEX($AC$1005:$AS$1005,1,MATCH(COLUMNS($AC$1006:AO1006),$AC$1006:$AS$1006,0))&gt;=100000), " ",IF(INDEX($AC$2:$AS$1001,MATCH(ROWS($V$2:V597),$V$2:$V$1001,0),MATCH(COLUMNS($AC$1006:AO1006),$AC$1006:$AS$1006,0)), HYPERLINK("#",""), HYPERLINK(CONCATENATE("#metadata!", ADDRESS(INDEX($X$2:$X$1001,MATCH(ROWS($V$2:V597),$V$2:$V$1001,0),0), INDEX($AC$1004:$AS$1004,1,MATCH(COLUMNS($AC$1006:AO1006),$AC$1006:$AS$1006,0)))),"Fix")))</f>
        <v xml:space="preserve"> </v>
      </c>
      <c r="O597" s="4" t="str">
        <f ca="1">IF(OR(INDEX($W$2:$W$1001,MATCH(ROWS($V$2:V597),$V$2:$V$1001,0),1)&gt;=100000,INDEX($AC$1005:$AS$1005,1,MATCH(COLUMNS($AC$1006:AP1006),$AC$1006:$AS$1006,0))&gt;=100000), " ",IF(INDEX($AC$2:$AS$1001,MATCH(ROWS($V$2:V597),$V$2:$V$1001,0),MATCH(COLUMNS($AC$1006:AP1006),$AC$1006:$AS$1006,0)), HYPERLINK("#",""), HYPERLINK(CONCATENATE("#metadata!", ADDRESS(INDEX($X$2:$X$1001,MATCH(ROWS($V$2:V597),$V$2:$V$1001,0),0), INDEX($AC$1004:$AS$1004,1,MATCH(COLUMNS($AC$1006:AP1006),$AC$1006:$AS$1006,0)))),"Fix")))</f>
        <v xml:space="preserve"> </v>
      </c>
      <c r="P597" s="4" t="str">
        <f ca="1">IF(OR(INDEX($W$2:$W$1001,MATCH(ROWS($V$2:V597),$V$2:$V$1001,0),1)&gt;=100000,INDEX($AC$1005:$AS$1005,1,MATCH(COLUMNS($AC$1006:AQ1006),$AC$1006:$AS$1006,0))&gt;=100000), " ",IF(INDEX($AC$2:$AS$1001,MATCH(ROWS($V$2:V597),$V$2:$V$1001,0),MATCH(COLUMNS($AC$1006:AQ1006),$AC$1006:$AS$1006,0)), HYPERLINK("#",""), HYPERLINK(CONCATENATE("#metadata!", ADDRESS(INDEX($X$2:$X$1001,MATCH(ROWS($V$2:V597),$V$2:$V$1001,0),0), INDEX($AC$1004:$AS$1004,1,MATCH(COLUMNS($AC$1006:AQ1006),$AC$1006:$AS$1006,0)))),"Fix")))</f>
        <v xml:space="preserve"> </v>
      </c>
      <c r="Q597" s="4" t="str">
        <f ca="1">IF(OR(INDEX($W$2:$W$1001,MATCH(ROWS($V$2:V597),$V$2:$V$1001,0),1)&gt;=100000,INDEX($AC$1005:$AS$1005,1,MATCH(COLUMNS($AC$1006:AR1006),$AC$1006:$AS$1006,0))&gt;=100000), " ",IF(INDEX($AC$2:$AS$1001,MATCH(ROWS($V$2:V597),$V$2:$V$1001,0),MATCH(COLUMNS($AC$1006:AR1006),$AC$1006:$AS$1006,0)), HYPERLINK("#",""), HYPERLINK(CONCATENATE("#metadata!", ADDRESS(INDEX($X$2:$X$1001,MATCH(ROWS($V$2:V597),$V$2:$V$1001,0),0), INDEX($AC$1004:$AS$1004,1,MATCH(COLUMNS($AC$1006:AR1006),$AC$1006:$AS$1006,0)))),"Fix")))</f>
        <v xml:space="preserve"> </v>
      </c>
      <c r="R597" s="4" t="str">
        <f ca="1">IF(OR(INDEX($W$2:$W$1001,MATCH(ROWS($V$2:V597),$V$2:$V$1001,0),1)&gt;=100000,INDEX($AC$1005:$AS$1005,1,MATCH(COLUMNS($AC$1006:AS1006),$AC$1006:$AS$1006,0))&gt;=100000), " ",IF(INDEX($AC$2:$AS$1001,MATCH(ROWS($V$2:V597),$V$2:$V$1001,0),MATCH(COLUMNS($AC$1006:AS1006),$AC$1006:$AS$1006,0)), HYPERLINK("#",""), HYPERLINK(CONCATENATE("#metadata!", ADDRESS(INDEX($X$2:$X$1001,MATCH(ROWS($V$2:V597),$V$2:$V$1001,0),0), INDEX($AC$1004:$AS$1004,1,MATCH(COLUMNS($AC$1006:AS1006),$AC$1006:$AS$1006,0)))),"Fix")))</f>
        <v xml:space="preserve"> </v>
      </c>
      <c r="V597">
        <v>596</v>
      </c>
      <c r="W597">
        <v>100597</v>
      </c>
      <c r="X597">
        <v>597</v>
      </c>
      <c r="Y597" t="b">
        <f t="shared" si="9"/>
        <v>1</v>
      </c>
      <c r="Z597" t="b">
        <f>COUNTBLANK(metadata!B597:R597)=COLUMNS(metadata!B597:R597)</f>
        <v>1</v>
      </c>
      <c r="AA597" t="str">
        <v/>
      </c>
      <c r="AC597" t="b">
        <f ca="1"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AD597" t="b">
        <f>IF(metadata!C597="",FALSE,ISNUMBER(VALUE(metadata!C597)))</f>
        <v>0</v>
      </c>
      <c r="AE597" t="b">
        <f>AND(IF(metadata!D597="",FALSE,TRUE),EXACT(metadata!D597,"years"))</f>
        <v>0</v>
      </c>
      <c r="AF597" t="b">
        <f>OR(AND(IF(metadata!E597="",FALSE,TRUE),OR(EXACT(metadata!E597,"not applicable"),EXACT(metadata!E597,"missing: not collected"),EXACT(metadata!E597,"missing: not provided"),EXACT(metadata!E597,"missing: restricted access"))),AND(IF(metadata!E597="",FALSE,ISNUMBER(VALUE(metadata!E597))),metadata!E597&gt;0))</f>
        <v>0</v>
      </c>
      <c r="AG597" t="b">
        <f>AND(IF(metadata!F597="",FALSE,TRUE),EXACT(metadata!F597,"Not applicable"))</f>
        <v>0</v>
      </c>
      <c r="AH597" t="b">
        <f>AND(IF(metadata!G597="",FALSE,TRUE),EXACT(metadata!G597,"urban biome"))</f>
        <v>0</v>
      </c>
      <c r="AI597" t="b">
        <f>AND(IF(metadata!H597="",FALSE,TRUE),EXACT(metadata!H597,"human-associated habitat"))</f>
        <v>0</v>
      </c>
      <c r="AJ597" t="b">
        <f>AND(IF(metadata!I597="",FALSE,TRUE),OR(EXACT(metadata!I597,"human-associated"),EXACT(metadata!I597,"human-skin"),EXACT(metadata!I597,"human-oral"),EXACT(metadata!I597,"human-gut"),EXACT(metadata!I597,"human-vaginal")))</f>
        <v>0</v>
      </c>
      <c r="AK597" t="b">
        <f>IF(metadata!J597="",FALSE,ISNUMBER(VALUE(metadata!J597)))</f>
        <v>0</v>
      </c>
      <c r="AL597" t="b">
        <f>AND(IF(metadata!K597="",FALSE,TRUE),EXACT(metadata!K597,"cm"))</f>
        <v>0</v>
      </c>
      <c r="AM597" t="b">
        <f>AND(IF(metadata!L597="",FALSE,TRUE),EXACT(metadata!L597,"human"))</f>
        <v>0</v>
      </c>
      <c r="AN597" t="b">
        <f>AND(IF(metadata!M597="",FALSE,TRUE),EXACT(metadata!M597,"Homo sapiens"))</f>
        <v>0</v>
      </c>
      <c r="AO597" t="b">
        <f>AND(IF(metadata!N597="",FALSE,TRUE),EXACT(metadata!N597,"9606"))</f>
        <v>0</v>
      </c>
      <c r="AP597" t="b">
        <f>IF(metadata!O597="",FALSE,TRUE)</f>
        <v>0</v>
      </c>
      <c r="AQ597" t="b">
        <f>IF(metadata!P597="",FALSE,TRUE)</f>
        <v>0</v>
      </c>
      <c r="AR597" t="b">
        <f>IF(metadata!Q597="",FALSE,ISNUMBER(VALUE(metadata!Q597)))</f>
        <v>0</v>
      </c>
      <c r="AS597" t="b">
        <f>AND(IF(metadata!R597="",FALSE,TRUE),EXACT(metadata!R597,"kg"))</f>
        <v>0</v>
      </c>
    </row>
    <row r="598" spans="1:45" x14ac:dyDescent="0.2">
      <c r="A598" s="5" t="str">
        <f ca="1">IF(B598=" "," ",HYPERLINK(CONCATENATE("#metadata!",ADDRESS(INDEX($X$2:$X$1001,MATCH(ROWS($V$2:V598),$V$2:$V$1001,0),0),1)),INDEX($AA$2:$AA$1001,MATCH(ROWS($V$2:V598),$V$2:$V$1001,0),0)))</f>
        <v xml:space="preserve"> </v>
      </c>
      <c r="B598" s="4" t="str">
        <f ca="1">IF(OR(INDEX($W$2:$W$1001,MATCH(ROWS($V$2:V598),$V$2:$V$1001,0),1)&gt;=100000,INDEX($AC$1005:$AS$1005,1,MATCH(COLUMNS($AC$1006:AC1006),$AC$1006:$AS$1006,0))&gt;=100000), " ",IF(INDEX($AC$2:$AS$1001,MATCH(ROWS($V$2:V598),$V$2:$V$1001,0),MATCH(COLUMNS($AC$1006:AC1006),$AC$1006:$AS$1006,0)), HYPERLINK("#",""), HYPERLINK(CONCATENATE("#metadata!", ADDRESS(INDEX($X$2:$X$1001,MATCH(ROWS($V$2:V598),$V$2:$V$1001,0),0), INDEX($AC$1004:$AS$1004,1,MATCH(COLUMNS($AC$1006:AC1006),$AC$1006:$AS$1006,0)))),"Fix")))</f>
        <v xml:space="preserve"> </v>
      </c>
      <c r="C598" s="4" t="str">
        <f ca="1">IF(OR(INDEX($W$2:$W$1001,MATCH(ROWS($V$2:V598),$V$2:$V$1001,0),1)&gt;=100000,INDEX($AC$1005:$AS$1005,1,MATCH(COLUMNS($AC$1006:AD1006),$AC$1006:$AS$1006,0))&gt;=100000), " ",IF(INDEX($AC$2:$AS$1001,MATCH(ROWS($V$2:V598),$V$2:$V$1001,0),MATCH(COLUMNS($AC$1006:AD1006),$AC$1006:$AS$1006,0)), HYPERLINK("#",""), HYPERLINK(CONCATENATE("#metadata!", ADDRESS(INDEX($X$2:$X$1001,MATCH(ROWS($V$2:V598),$V$2:$V$1001,0),0), INDEX($AC$1004:$AS$1004,1,MATCH(COLUMNS($AC$1006:AD1006),$AC$1006:$AS$1006,0)))),"Fix")))</f>
        <v xml:space="preserve"> </v>
      </c>
      <c r="D598" s="4" t="str">
        <f ca="1">IF(OR(INDEX($W$2:$W$1001,MATCH(ROWS($V$2:V598),$V$2:$V$1001,0),1)&gt;=100000,INDEX($AC$1005:$AS$1005,1,MATCH(COLUMNS($AC$1006:AE1006),$AC$1006:$AS$1006,0))&gt;=100000), " ",IF(INDEX($AC$2:$AS$1001,MATCH(ROWS($V$2:V598),$V$2:$V$1001,0),MATCH(COLUMNS($AC$1006:AE1006),$AC$1006:$AS$1006,0)), HYPERLINK("#",""), HYPERLINK(CONCATENATE("#metadata!", ADDRESS(INDEX($X$2:$X$1001,MATCH(ROWS($V$2:V598),$V$2:$V$1001,0),0), INDEX($AC$1004:$AS$1004,1,MATCH(COLUMNS($AC$1006:AE1006),$AC$1006:$AS$1006,0)))),"Fix")))</f>
        <v xml:space="preserve"> </v>
      </c>
      <c r="E598" s="4" t="str">
        <f ca="1">IF(OR(INDEX($W$2:$W$1001,MATCH(ROWS($V$2:V598),$V$2:$V$1001,0),1)&gt;=100000,INDEX($AC$1005:$AS$1005,1,MATCH(COLUMNS($AC$1006:AF1006),$AC$1006:$AS$1006,0))&gt;=100000), " ",IF(INDEX($AC$2:$AS$1001,MATCH(ROWS($V$2:V598),$V$2:$V$1001,0),MATCH(COLUMNS($AC$1006:AF1006),$AC$1006:$AS$1006,0)), HYPERLINK("#",""), HYPERLINK(CONCATENATE("#metadata!", ADDRESS(INDEX($X$2:$X$1001,MATCH(ROWS($V$2:V598),$V$2:$V$1001,0),0), INDEX($AC$1004:$AS$1004,1,MATCH(COLUMNS($AC$1006:AF1006),$AC$1006:$AS$1006,0)))),"Fix")))</f>
        <v xml:space="preserve"> </v>
      </c>
      <c r="F598" s="4" t="str">
        <f ca="1">IF(OR(INDEX($W$2:$W$1001,MATCH(ROWS($V$2:V598),$V$2:$V$1001,0),1)&gt;=100000,INDEX($AC$1005:$AS$1005,1,MATCH(COLUMNS($AC$1006:AG1006),$AC$1006:$AS$1006,0))&gt;=100000), " ",IF(INDEX($AC$2:$AS$1001,MATCH(ROWS($V$2:V598),$V$2:$V$1001,0),MATCH(COLUMNS($AC$1006:AG1006),$AC$1006:$AS$1006,0)), HYPERLINK("#",""), HYPERLINK(CONCATENATE("#metadata!", ADDRESS(INDEX($X$2:$X$1001,MATCH(ROWS($V$2:V598),$V$2:$V$1001,0),0), INDEX($AC$1004:$AS$1004,1,MATCH(COLUMNS($AC$1006:AG1006),$AC$1006:$AS$1006,0)))),"Fix")))</f>
        <v xml:space="preserve"> </v>
      </c>
      <c r="G598" s="4" t="str">
        <f ca="1">IF(OR(INDEX($W$2:$W$1001,MATCH(ROWS($V$2:V598),$V$2:$V$1001,0),1)&gt;=100000,INDEX($AC$1005:$AS$1005,1,MATCH(COLUMNS($AC$1006:AH1006),$AC$1006:$AS$1006,0))&gt;=100000), " ",IF(INDEX($AC$2:$AS$1001,MATCH(ROWS($V$2:V598),$V$2:$V$1001,0),MATCH(COLUMNS($AC$1006:AH1006),$AC$1006:$AS$1006,0)), HYPERLINK("#",""), HYPERLINK(CONCATENATE("#metadata!", ADDRESS(INDEX($X$2:$X$1001,MATCH(ROWS($V$2:V598),$V$2:$V$1001,0),0), INDEX($AC$1004:$AS$1004,1,MATCH(COLUMNS($AC$1006:AH1006),$AC$1006:$AS$1006,0)))),"Fix")))</f>
        <v xml:space="preserve"> </v>
      </c>
      <c r="H598" s="4" t="str">
        <f ca="1">IF(OR(INDEX($W$2:$W$1001,MATCH(ROWS($V$2:V598),$V$2:$V$1001,0),1)&gt;=100000,INDEX($AC$1005:$AS$1005,1,MATCH(COLUMNS($AC$1006:AI1006),$AC$1006:$AS$1006,0))&gt;=100000), " ",IF(INDEX($AC$2:$AS$1001,MATCH(ROWS($V$2:V598),$V$2:$V$1001,0),MATCH(COLUMNS($AC$1006:AI1006),$AC$1006:$AS$1006,0)), HYPERLINK("#",""), HYPERLINK(CONCATENATE("#metadata!", ADDRESS(INDEX($X$2:$X$1001,MATCH(ROWS($V$2:V598),$V$2:$V$1001,0),0), INDEX($AC$1004:$AS$1004,1,MATCH(COLUMNS($AC$1006:AI1006),$AC$1006:$AS$1006,0)))),"Fix")))</f>
        <v xml:space="preserve"> </v>
      </c>
      <c r="I598" s="4" t="str">
        <f ca="1">IF(OR(INDEX($W$2:$W$1001,MATCH(ROWS($V$2:V598),$V$2:$V$1001,0),1)&gt;=100000,INDEX($AC$1005:$AS$1005,1,MATCH(COLUMNS($AC$1006:AJ1006),$AC$1006:$AS$1006,0))&gt;=100000), " ",IF(INDEX($AC$2:$AS$1001,MATCH(ROWS($V$2:V598),$V$2:$V$1001,0),MATCH(COLUMNS($AC$1006:AJ1006),$AC$1006:$AS$1006,0)), HYPERLINK("#",""), HYPERLINK(CONCATENATE("#metadata!", ADDRESS(INDEX($X$2:$X$1001,MATCH(ROWS($V$2:V598),$V$2:$V$1001,0),0), INDEX($AC$1004:$AS$1004,1,MATCH(COLUMNS($AC$1006:AJ1006),$AC$1006:$AS$1006,0)))),"Fix")))</f>
        <v xml:space="preserve"> </v>
      </c>
      <c r="J598" s="4" t="str">
        <f ca="1">IF(OR(INDEX($W$2:$W$1001,MATCH(ROWS($V$2:V598),$V$2:$V$1001,0),1)&gt;=100000,INDEX($AC$1005:$AS$1005,1,MATCH(COLUMNS($AC$1006:AK1006),$AC$1006:$AS$1006,0))&gt;=100000), " ",IF(INDEX($AC$2:$AS$1001,MATCH(ROWS($V$2:V598),$V$2:$V$1001,0),MATCH(COLUMNS($AC$1006:AK1006),$AC$1006:$AS$1006,0)), HYPERLINK("#",""), HYPERLINK(CONCATENATE("#metadata!", ADDRESS(INDEX($X$2:$X$1001,MATCH(ROWS($V$2:V598),$V$2:$V$1001,0),0), INDEX($AC$1004:$AS$1004,1,MATCH(COLUMNS($AC$1006:AK1006),$AC$1006:$AS$1006,0)))),"Fix")))</f>
        <v xml:space="preserve"> </v>
      </c>
      <c r="K598" s="4" t="str">
        <f ca="1">IF(OR(INDEX($W$2:$W$1001,MATCH(ROWS($V$2:V598),$V$2:$V$1001,0),1)&gt;=100000,INDEX($AC$1005:$AS$1005,1,MATCH(COLUMNS($AC$1006:AL1006),$AC$1006:$AS$1006,0))&gt;=100000), " ",IF(INDEX($AC$2:$AS$1001,MATCH(ROWS($V$2:V598),$V$2:$V$1001,0),MATCH(COLUMNS($AC$1006:AL1006),$AC$1006:$AS$1006,0)), HYPERLINK("#",""), HYPERLINK(CONCATENATE("#metadata!", ADDRESS(INDEX($X$2:$X$1001,MATCH(ROWS($V$2:V598),$V$2:$V$1001,0),0), INDEX($AC$1004:$AS$1004,1,MATCH(COLUMNS($AC$1006:AL1006),$AC$1006:$AS$1006,0)))),"Fix")))</f>
        <v xml:space="preserve"> </v>
      </c>
      <c r="L598" s="4" t="str">
        <f ca="1">IF(OR(INDEX($W$2:$W$1001,MATCH(ROWS($V$2:V598),$V$2:$V$1001,0),1)&gt;=100000,INDEX($AC$1005:$AS$1005,1,MATCH(COLUMNS($AC$1006:AM1006),$AC$1006:$AS$1006,0))&gt;=100000), " ",IF(INDEX($AC$2:$AS$1001,MATCH(ROWS($V$2:V598),$V$2:$V$1001,0),MATCH(COLUMNS($AC$1006:AM1006),$AC$1006:$AS$1006,0)), HYPERLINK("#",""), HYPERLINK(CONCATENATE("#metadata!", ADDRESS(INDEX($X$2:$X$1001,MATCH(ROWS($V$2:V598),$V$2:$V$1001,0),0), INDEX($AC$1004:$AS$1004,1,MATCH(COLUMNS($AC$1006:AM1006),$AC$1006:$AS$1006,0)))),"Fix")))</f>
        <v xml:space="preserve"> </v>
      </c>
      <c r="M598" s="4" t="str">
        <f ca="1">IF(OR(INDEX($W$2:$W$1001,MATCH(ROWS($V$2:V598),$V$2:$V$1001,0),1)&gt;=100000,INDEX($AC$1005:$AS$1005,1,MATCH(COLUMNS($AC$1006:AN1006),$AC$1006:$AS$1006,0))&gt;=100000), " ",IF(INDEX($AC$2:$AS$1001,MATCH(ROWS($V$2:V598),$V$2:$V$1001,0),MATCH(COLUMNS($AC$1006:AN1006),$AC$1006:$AS$1006,0)), HYPERLINK("#",""), HYPERLINK(CONCATENATE("#metadata!", ADDRESS(INDEX($X$2:$X$1001,MATCH(ROWS($V$2:V598),$V$2:$V$1001,0),0), INDEX($AC$1004:$AS$1004,1,MATCH(COLUMNS($AC$1006:AN1006),$AC$1006:$AS$1006,0)))),"Fix")))</f>
        <v xml:space="preserve"> </v>
      </c>
      <c r="N598" s="4" t="str">
        <f ca="1">IF(OR(INDEX($W$2:$W$1001,MATCH(ROWS($V$2:V598),$V$2:$V$1001,0),1)&gt;=100000,INDEX($AC$1005:$AS$1005,1,MATCH(COLUMNS($AC$1006:AO1006),$AC$1006:$AS$1006,0))&gt;=100000), " ",IF(INDEX($AC$2:$AS$1001,MATCH(ROWS($V$2:V598),$V$2:$V$1001,0),MATCH(COLUMNS($AC$1006:AO1006),$AC$1006:$AS$1006,0)), HYPERLINK("#",""), HYPERLINK(CONCATENATE("#metadata!", ADDRESS(INDEX($X$2:$X$1001,MATCH(ROWS($V$2:V598),$V$2:$V$1001,0),0), INDEX($AC$1004:$AS$1004,1,MATCH(COLUMNS($AC$1006:AO1006),$AC$1006:$AS$1006,0)))),"Fix")))</f>
        <v xml:space="preserve"> </v>
      </c>
      <c r="O598" s="4" t="str">
        <f ca="1">IF(OR(INDEX($W$2:$W$1001,MATCH(ROWS($V$2:V598),$V$2:$V$1001,0),1)&gt;=100000,INDEX($AC$1005:$AS$1005,1,MATCH(COLUMNS($AC$1006:AP1006),$AC$1006:$AS$1006,0))&gt;=100000), " ",IF(INDEX($AC$2:$AS$1001,MATCH(ROWS($V$2:V598),$V$2:$V$1001,0),MATCH(COLUMNS($AC$1006:AP1006),$AC$1006:$AS$1006,0)), HYPERLINK("#",""), HYPERLINK(CONCATENATE("#metadata!", ADDRESS(INDEX($X$2:$X$1001,MATCH(ROWS($V$2:V598),$V$2:$V$1001,0),0), INDEX($AC$1004:$AS$1004,1,MATCH(COLUMNS($AC$1006:AP1006),$AC$1006:$AS$1006,0)))),"Fix")))</f>
        <v xml:space="preserve"> </v>
      </c>
      <c r="P598" s="4" t="str">
        <f ca="1">IF(OR(INDEX($W$2:$W$1001,MATCH(ROWS($V$2:V598),$V$2:$V$1001,0),1)&gt;=100000,INDEX($AC$1005:$AS$1005,1,MATCH(COLUMNS($AC$1006:AQ1006),$AC$1006:$AS$1006,0))&gt;=100000), " ",IF(INDEX($AC$2:$AS$1001,MATCH(ROWS($V$2:V598),$V$2:$V$1001,0),MATCH(COLUMNS($AC$1006:AQ1006),$AC$1006:$AS$1006,0)), HYPERLINK("#",""), HYPERLINK(CONCATENATE("#metadata!", ADDRESS(INDEX($X$2:$X$1001,MATCH(ROWS($V$2:V598),$V$2:$V$1001,0),0), INDEX($AC$1004:$AS$1004,1,MATCH(COLUMNS($AC$1006:AQ1006),$AC$1006:$AS$1006,0)))),"Fix")))</f>
        <v xml:space="preserve"> </v>
      </c>
      <c r="Q598" s="4" t="str">
        <f ca="1">IF(OR(INDEX($W$2:$W$1001,MATCH(ROWS($V$2:V598),$V$2:$V$1001,0),1)&gt;=100000,INDEX($AC$1005:$AS$1005,1,MATCH(COLUMNS($AC$1006:AR1006),$AC$1006:$AS$1006,0))&gt;=100000), " ",IF(INDEX($AC$2:$AS$1001,MATCH(ROWS($V$2:V598),$V$2:$V$1001,0),MATCH(COLUMNS($AC$1006:AR1006),$AC$1006:$AS$1006,0)), HYPERLINK("#",""), HYPERLINK(CONCATENATE("#metadata!", ADDRESS(INDEX($X$2:$X$1001,MATCH(ROWS($V$2:V598),$V$2:$V$1001,0),0), INDEX($AC$1004:$AS$1004,1,MATCH(COLUMNS($AC$1006:AR1006),$AC$1006:$AS$1006,0)))),"Fix")))</f>
        <v xml:space="preserve"> </v>
      </c>
      <c r="R598" s="4" t="str">
        <f ca="1">IF(OR(INDEX($W$2:$W$1001,MATCH(ROWS($V$2:V598),$V$2:$V$1001,0),1)&gt;=100000,INDEX($AC$1005:$AS$1005,1,MATCH(COLUMNS($AC$1006:AS1006),$AC$1006:$AS$1006,0))&gt;=100000), " ",IF(INDEX($AC$2:$AS$1001,MATCH(ROWS($V$2:V598),$V$2:$V$1001,0),MATCH(COLUMNS($AC$1006:AS1006),$AC$1006:$AS$1006,0)), HYPERLINK("#",""), HYPERLINK(CONCATENATE("#metadata!", ADDRESS(INDEX($X$2:$X$1001,MATCH(ROWS($V$2:V598),$V$2:$V$1001,0),0), INDEX($AC$1004:$AS$1004,1,MATCH(COLUMNS($AC$1006:AS1006),$AC$1006:$AS$1006,0)))),"Fix")))</f>
        <v xml:space="preserve"> </v>
      </c>
      <c r="V598">
        <v>597</v>
      </c>
      <c r="W598">
        <v>100598</v>
      </c>
      <c r="X598">
        <v>598</v>
      </c>
      <c r="Y598" t="b">
        <f t="shared" si="9"/>
        <v>1</v>
      </c>
      <c r="Z598" t="b">
        <f>COUNTBLANK(metadata!B598:R598)=COLUMNS(metadata!B598:R598)</f>
        <v>1</v>
      </c>
      <c r="AA598" t="str">
        <v/>
      </c>
      <c r="AC598" t="b">
        <f ca="1"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AD598" t="b">
        <f>IF(metadata!C598="",FALSE,ISNUMBER(VALUE(metadata!C598)))</f>
        <v>0</v>
      </c>
      <c r="AE598" t="b">
        <f>AND(IF(metadata!D598="",FALSE,TRUE),EXACT(metadata!D598,"years"))</f>
        <v>0</v>
      </c>
      <c r="AF598" t="b">
        <f>OR(AND(IF(metadata!E598="",FALSE,TRUE),OR(EXACT(metadata!E598,"not applicable"),EXACT(metadata!E598,"missing: not collected"),EXACT(metadata!E598,"missing: not provided"),EXACT(metadata!E598,"missing: restricted access"))),AND(IF(metadata!E598="",FALSE,ISNUMBER(VALUE(metadata!E598))),metadata!E598&gt;0))</f>
        <v>0</v>
      </c>
      <c r="AG598" t="b">
        <f>AND(IF(metadata!F598="",FALSE,TRUE),EXACT(metadata!F598,"Not applicable"))</f>
        <v>0</v>
      </c>
      <c r="AH598" t="b">
        <f>AND(IF(metadata!G598="",FALSE,TRUE),EXACT(metadata!G598,"urban biome"))</f>
        <v>0</v>
      </c>
      <c r="AI598" t="b">
        <f>AND(IF(metadata!H598="",FALSE,TRUE),EXACT(metadata!H598,"human-associated habitat"))</f>
        <v>0</v>
      </c>
      <c r="AJ598" t="b">
        <f>AND(IF(metadata!I598="",FALSE,TRUE),OR(EXACT(metadata!I598,"human-associated"),EXACT(metadata!I598,"human-skin"),EXACT(metadata!I598,"human-oral"),EXACT(metadata!I598,"human-gut"),EXACT(metadata!I598,"human-vaginal")))</f>
        <v>0</v>
      </c>
      <c r="AK598" t="b">
        <f>IF(metadata!J598="",FALSE,ISNUMBER(VALUE(metadata!J598)))</f>
        <v>0</v>
      </c>
      <c r="AL598" t="b">
        <f>AND(IF(metadata!K598="",FALSE,TRUE),EXACT(metadata!K598,"cm"))</f>
        <v>0</v>
      </c>
      <c r="AM598" t="b">
        <f>AND(IF(metadata!L598="",FALSE,TRUE),EXACT(metadata!L598,"human"))</f>
        <v>0</v>
      </c>
      <c r="AN598" t="b">
        <f>AND(IF(metadata!M598="",FALSE,TRUE),EXACT(metadata!M598,"Homo sapiens"))</f>
        <v>0</v>
      </c>
      <c r="AO598" t="b">
        <f>AND(IF(metadata!N598="",FALSE,TRUE),EXACT(metadata!N598,"9606"))</f>
        <v>0</v>
      </c>
      <c r="AP598" t="b">
        <f>IF(metadata!O598="",FALSE,TRUE)</f>
        <v>0</v>
      </c>
      <c r="AQ598" t="b">
        <f>IF(metadata!P598="",FALSE,TRUE)</f>
        <v>0</v>
      </c>
      <c r="AR598" t="b">
        <f>IF(metadata!Q598="",FALSE,ISNUMBER(VALUE(metadata!Q598)))</f>
        <v>0</v>
      </c>
      <c r="AS598" t="b">
        <f>AND(IF(metadata!R598="",FALSE,TRUE),EXACT(metadata!R598,"kg"))</f>
        <v>0</v>
      </c>
    </row>
    <row r="599" spans="1:45" x14ac:dyDescent="0.2">
      <c r="A599" s="5" t="str">
        <f ca="1">IF(B599=" "," ",HYPERLINK(CONCATENATE("#metadata!",ADDRESS(INDEX($X$2:$X$1001,MATCH(ROWS($V$2:V599),$V$2:$V$1001,0),0),1)),INDEX($AA$2:$AA$1001,MATCH(ROWS($V$2:V599),$V$2:$V$1001,0),0)))</f>
        <v xml:space="preserve"> </v>
      </c>
      <c r="B599" s="4" t="str">
        <f ca="1">IF(OR(INDEX($W$2:$W$1001,MATCH(ROWS($V$2:V599),$V$2:$V$1001,0),1)&gt;=100000,INDEX($AC$1005:$AS$1005,1,MATCH(COLUMNS($AC$1006:AC1006),$AC$1006:$AS$1006,0))&gt;=100000), " ",IF(INDEX($AC$2:$AS$1001,MATCH(ROWS($V$2:V599),$V$2:$V$1001,0),MATCH(COLUMNS($AC$1006:AC1006),$AC$1006:$AS$1006,0)), HYPERLINK("#",""), HYPERLINK(CONCATENATE("#metadata!", ADDRESS(INDEX($X$2:$X$1001,MATCH(ROWS($V$2:V599),$V$2:$V$1001,0),0), INDEX($AC$1004:$AS$1004,1,MATCH(COLUMNS($AC$1006:AC1006),$AC$1006:$AS$1006,0)))),"Fix")))</f>
        <v xml:space="preserve"> </v>
      </c>
      <c r="C599" s="4" t="str">
        <f ca="1">IF(OR(INDEX($W$2:$W$1001,MATCH(ROWS($V$2:V599),$V$2:$V$1001,0),1)&gt;=100000,INDEX($AC$1005:$AS$1005,1,MATCH(COLUMNS($AC$1006:AD1006),$AC$1006:$AS$1006,0))&gt;=100000), " ",IF(INDEX($AC$2:$AS$1001,MATCH(ROWS($V$2:V599),$V$2:$V$1001,0),MATCH(COLUMNS($AC$1006:AD1006),$AC$1006:$AS$1006,0)), HYPERLINK("#",""), HYPERLINK(CONCATENATE("#metadata!", ADDRESS(INDEX($X$2:$X$1001,MATCH(ROWS($V$2:V599),$V$2:$V$1001,0),0), INDEX($AC$1004:$AS$1004,1,MATCH(COLUMNS($AC$1006:AD1006),$AC$1006:$AS$1006,0)))),"Fix")))</f>
        <v xml:space="preserve"> </v>
      </c>
      <c r="D599" s="4" t="str">
        <f ca="1">IF(OR(INDEX($W$2:$W$1001,MATCH(ROWS($V$2:V599),$V$2:$V$1001,0),1)&gt;=100000,INDEX($AC$1005:$AS$1005,1,MATCH(COLUMNS($AC$1006:AE1006),$AC$1006:$AS$1006,0))&gt;=100000), " ",IF(INDEX($AC$2:$AS$1001,MATCH(ROWS($V$2:V599),$V$2:$V$1001,0),MATCH(COLUMNS($AC$1006:AE1006),$AC$1006:$AS$1006,0)), HYPERLINK("#",""), HYPERLINK(CONCATENATE("#metadata!", ADDRESS(INDEX($X$2:$X$1001,MATCH(ROWS($V$2:V599),$V$2:$V$1001,0),0), INDEX($AC$1004:$AS$1004,1,MATCH(COLUMNS($AC$1006:AE1006),$AC$1006:$AS$1006,0)))),"Fix")))</f>
        <v xml:space="preserve"> </v>
      </c>
      <c r="E599" s="4" t="str">
        <f ca="1">IF(OR(INDEX($W$2:$W$1001,MATCH(ROWS($V$2:V599),$V$2:$V$1001,0),1)&gt;=100000,INDEX($AC$1005:$AS$1005,1,MATCH(COLUMNS($AC$1006:AF1006),$AC$1006:$AS$1006,0))&gt;=100000), " ",IF(INDEX($AC$2:$AS$1001,MATCH(ROWS($V$2:V599),$V$2:$V$1001,0),MATCH(COLUMNS($AC$1006:AF1006),$AC$1006:$AS$1006,0)), HYPERLINK("#",""), HYPERLINK(CONCATENATE("#metadata!", ADDRESS(INDEX($X$2:$X$1001,MATCH(ROWS($V$2:V599),$V$2:$V$1001,0),0), INDEX($AC$1004:$AS$1004,1,MATCH(COLUMNS($AC$1006:AF1006),$AC$1006:$AS$1006,0)))),"Fix")))</f>
        <v xml:space="preserve"> </v>
      </c>
      <c r="F599" s="4" t="str">
        <f ca="1">IF(OR(INDEX($W$2:$W$1001,MATCH(ROWS($V$2:V599),$V$2:$V$1001,0),1)&gt;=100000,INDEX($AC$1005:$AS$1005,1,MATCH(COLUMNS($AC$1006:AG1006),$AC$1006:$AS$1006,0))&gt;=100000), " ",IF(INDEX($AC$2:$AS$1001,MATCH(ROWS($V$2:V599),$V$2:$V$1001,0),MATCH(COLUMNS($AC$1006:AG1006),$AC$1006:$AS$1006,0)), HYPERLINK("#",""), HYPERLINK(CONCATENATE("#metadata!", ADDRESS(INDEX($X$2:$X$1001,MATCH(ROWS($V$2:V599),$V$2:$V$1001,0),0), INDEX($AC$1004:$AS$1004,1,MATCH(COLUMNS($AC$1006:AG1006),$AC$1006:$AS$1006,0)))),"Fix")))</f>
        <v xml:space="preserve"> </v>
      </c>
      <c r="G599" s="4" t="str">
        <f ca="1">IF(OR(INDEX($W$2:$W$1001,MATCH(ROWS($V$2:V599),$V$2:$V$1001,0),1)&gt;=100000,INDEX($AC$1005:$AS$1005,1,MATCH(COLUMNS($AC$1006:AH1006),$AC$1006:$AS$1006,0))&gt;=100000), " ",IF(INDEX($AC$2:$AS$1001,MATCH(ROWS($V$2:V599),$V$2:$V$1001,0),MATCH(COLUMNS($AC$1006:AH1006),$AC$1006:$AS$1006,0)), HYPERLINK("#",""), HYPERLINK(CONCATENATE("#metadata!", ADDRESS(INDEX($X$2:$X$1001,MATCH(ROWS($V$2:V599),$V$2:$V$1001,0),0), INDEX($AC$1004:$AS$1004,1,MATCH(COLUMNS($AC$1006:AH1006),$AC$1006:$AS$1006,0)))),"Fix")))</f>
        <v xml:space="preserve"> </v>
      </c>
      <c r="H599" s="4" t="str">
        <f ca="1">IF(OR(INDEX($W$2:$W$1001,MATCH(ROWS($V$2:V599),$V$2:$V$1001,0),1)&gt;=100000,INDEX($AC$1005:$AS$1005,1,MATCH(COLUMNS($AC$1006:AI1006),$AC$1006:$AS$1006,0))&gt;=100000), " ",IF(INDEX($AC$2:$AS$1001,MATCH(ROWS($V$2:V599),$V$2:$V$1001,0),MATCH(COLUMNS($AC$1006:AI1006),$AC$1006:$AS$1006,0)), HYPERLINK("#",""), HYPERLINK(CONCATENATE("#metadata!", ADDRESS(INDEX($X$2:$X$1001,MATCH(ROWS($V$2:V599),$V$2:$V$1001,0),0), INDEX($AC$1004:$AS$1004,1,MATCH(COLUMNS($AC$1006:AI1006),$AC$1006:$AS$1006,0)))),"Fix")))</f>
        <v xml:space="preserve"> </v>
      </c>
      <c r="I599" s="4" t="str">
        <f ca="1">IF(OR(INDEX($W$2:$W$1001,MATCH(ROWS($V$2:V599),$V$2:$V$1001,0),1)&gt;=100000,INDEX($AC$1005:$AS$1005,1,MATCH(COLUMNS($AC$1006:AJ1006),$AC$1006:$AS$1006,0))&gt;=100000), " ",IF(INDEX($AC$2:$AS$1001,MATCH(ROWS($V$2:V599),$V$2:$V$1001,0),MATCH(COLUMNS($AC$1006:AJ1006),$AC$1006:$AS$1006,0)), HYPERLINK("#",""), HYPERLINK(CONCATENATE("#metadata!", ADDRESS(INDEX($X$2:$X$1001,MATCH(ROWS($V$2:V599),$V$2:$V$1001,0),0), INDEX($AC$1004:$AS$1004,1,MATCH(COLUMNS($AC$1006:AJ1006),$AC$1006:$AS$1006,0)))),"Fix")))</f>
        <v xml:space="preserve"> </v>
      </c>
      <c r="J599" s="4" t="str">
        <f ca="1">IF(OR(INDEX($W$2:$W$1001,MATCH(ROWS($V$2:V599),$V$2:$V$1001,0),1)&gt;=100000,INDEX($AC$1005:$AS$1005,1,MATCH(COLUMNS($AC$1006:AK1006),$AC$1006:$AS$1006,0))&gt;=100000), " ",IF(INDEX($AC$2:$AS$1001,MATCH(ROWS($V$2:V599),$V$2:$V$1001,0),MATCH(COLUMNS($AC$1006:AK1006),$AC$1006:$AS$1006,0)), HYPERLINK("#",""), HYPERLINK(CONCATENATE("#metadata!", ADDRESS(INDEX($X$2:$X$1001,MATCH(ROWS($V$2:V599),$V$2:$V$1001,0),0), INDEX($AC$1004:$AS$1004,1,MATCH(COLUMNS($AC$1006:AK1006),$AC$1006:$AS$1006,0)))),"Fix")))</f>
        <v xml:space="preserve"> </v>
      </c>
      <c r="K599" s="4" t="str">
        <f ca="1">IF(OR(INDEX($W$2:$W$1001,MATCH(ROWS($V$2:V599),$V$2:$V$1001,0),1)&gt;=100000,INDEX($AC$1005:$AS$1005,1,MATCH(COLUMNS($AC$1006:AL1006),$AC$1006:$AS$1006,0))&gt;=100000), " ",IF(INDEX($AC$2:$AS$1001,MATCH(ROWS($V$2:V599),$V$2:$V$1001,0),MATCH(COLUMNS($AC$1006:AL1006),$AC$1006:$AS$1006,0)), HYPERLINK("#",""), HYPERLINK(CONCATENATE("#metadata!", ADDRESS(INDEX($X$2:$X$1001,MATCH(ROWS($V$2:V599),$V$2:$V$1001,0),0), INDEX($AC$1004:$AS$1004,1,MATCH(COLUMNS($AC$1006:AL1006),$AC$1006:$AS$1006,0)))),"Fix")))</f>
        <v xml:space="preserve"> </v>
      </c>
      <c r="L599" s="4" t="str">
        <f ca="1">IF(OR(INDEX($W$2:$W$1001,MATCH(ROWS($V$2:V599),$V$2:$V$1001,0),1)&gt;=100000,INDEX($AC$1005:$AS$1005,1,MATCH(COLUMNS($AC$1006:AM1006),$AC$1006:$AS$1006,0))&gt;=100000), " ",IF(INDEX($AC$2:$AS$1001,MATCH(ROWS($V$2:V599),$V$2:$V$1001,0),MATCH(COLUMNS($AC$1006:AM1006),$AC$1006:$AS$1006,0)), HYPERLINK("#",""), HYPERLINK(CONCATENATE("#metadata!", ADDRESS(INDEX($X$2:$X$1001,MATCH(ROWS($V$2:V599),$V$2:$V$1001,0),0), INDEX($AC$1004:$AS$1004,1,MATCH(COLUMNS($AC$1006:AM1006),$AC$1006:$AS$1006,0)))),"Fix")))</f>
        <v xml:space="preserve"> </v>
      </c>
      <c r="M599" s="4" t="str">
        <f ca="1">IF(OR(INDEX($W$2:$W$1001,MATCH(ROWS($V$2:V599),$V$2:$V$1001,0),1)&gt;=100000,INDEX($AC$1005:$AS$1005,1,MATCH(COLUMNS($AC$1006:AN1006),$AC$1006:$AS$1006,0))&gt;=100000), " ",IF(INDEX($AC$2:$AS$1001,MATCH(ROWS($V$2:V599),$V$2:$V$1001,0),MATCH(COLUMNS($AC$1006:AN1006),$AC$1006:$AS$1006,0)), HYPERLINK("#",""), HYPERLINK(CONCATENATE("#metadata!", ADDRESS(INDEX($X$2:$X$1001,MATCH(ROWS($V$2:V599),$V$2:$V$1001,0),0), INDEX($AC$1004:$AS$1004,1,MATCH(COLUMNS($AC$1006:AN1006),$AC$1006:$AS$1006,0)))),"Fix")))</f>
        <v xml:space="preserve"> </v>
      </c>
      <c r="N599" s="4" t="str">
        <f ca="1">IF(OR(INDEX($W$2:$W$1001,MATCH(ROWS($V$2:V599),$V$2:$V$1001,0),1)&gt;=100000,INDEX($AC$1005:$AS$1005,1,MATCH(COLUMNS($AC$1006:AO1006),$AC$1006:$AS$1006,0))&gt;=100000), " ",IF(INDEX($AC$2:$AS$1001,MATCH(ROWS($V$2:V599),$V$2:$V$1001,0),MATCH(COLUMNS($AC$1006:AO1006),$AC$1006:$AS$1006,0)), HYPERLINK("#",""), HYPERLINK(CONCATENATE("#metadata!", ADDRESS(INDEX($X$2:$X$1001,MATCH(ROWS($V$2:V599),$V$2:$V$1001,0),0), INDEX($AC$1004:$AS$1004,1,MATCH(COLUMNS($AC$1006:AO1006),$AC$1006:$AS$1006,0)))),"Fix")))</f>
        <v xml:space="preserve"> </v>
      </c>
      <c r="O599" s="4" t="str">
        <f ca="1">IF(OR(INDEX($W$2:$W$1001,MATCH(ROWS($V$2:V599),$V$2:$V$1001,0),1)&gt;=100000,INDEX($AC$1005:$AS$1005,1,MATCH(COLUMNS($AC$1006:AP1006),$AC$1006:$AS$1006,0))&gt;=100000), " ",IF(INDEX($AC$2:$AS$1001,MATCH(ROWS($V$2:V599),$V$2:$V$1001,0),MATCH(COLUMNS($AC$1006:AP1006),$AC$1006:$AS$1006,0)), HYPERLINK("#",""), HYPERLINK(CONCATENATE("#metadata!", ADDRESS(INDEX($X$2:$X$1001,MATCH(ROWS($V$2:V599),$V$2:$V$1001,0),0), INDEX($AC$1004:$AS$1004,1,MATCH(COLUMNS($AC$1006:AP1006),$AC$1006:$AS$1006,0)))),"Fix")))</f>
        <v xml:space="preserve"> </v>
      </c>
      <c r="P599" s="4" t="str">
        <f ca="1">IF(OR(INDEX($W$2:$W$1001,MATCH(ROWS($V$2:V599),$V$2:$V$1001,0),1)&gt;=100000,INDEX($AC$1005:$AS$1005,1,MATCH(COLUMNS($AC$1006:AQ1006),$AC$1006:$AS$1006,0))&gt;=100000), " ",IF(INDEX($AC$2:$AS$1001,MATCH(ROWS($V$2:V599),$V$2:$V$1001,0),MATCH(COLUMNS($AC$1006:AQ1006),$AC$1006:$AS$1006,0)), HYPERLINK("#",""), HYPERLINK(CONCATENATE("#metadata!", ADDRESS(INDEX($X$2:$X$1001,MATCH(ROWS($V$2:V599),$V$2:$V$1001,0),0), INDEX($AC$1004:$AS$1004,1,MATCH(COLUMNS($AC$1006:AQ1006),$AC$1006:$AS$1006,0)))),"Fix")))</f>
        <v xml:space="preserve"> </v>
      </c>
      <c r="Q599" s="4" t="str">
        <f ca="1">IF(OR(INDEX($W$2:$W$1001,MATCH(ROWS($V$2:V599),$V$2:$V$1001,0),1)&gt;=100000,INDEX($AC$1005:$AS$1005,1,MATCH(COLUMNS($AC$1006:AR1006),$AC$1006:$AS$1006,0))&gt;=100000), " ",IF(INDEX($AC$2:$AS$1001,MATCH(ROWS($V$2:V599),$V$2:$V$1001,0),MATCH(COLUMNS($AC$1006:AR1006),$AC$1006:$AS$1006,0)), HYPERLINK("#",""), HYPERLINK(CONCATENATE("#metadata!", ADDRESS(INDEX($X$2:$X$1001,MATCH(ROWS($V$2:V599),$V$2:$V$1001,0),0), INDEX($AC$1004:$AS$1004,1,MATCH(COLUMNS($AC$1006:AR1006),$AC$1006:$AS$1006,0)))),"Fix")))</f>
        <v xml:space="preserve"> </v>
      </c>
      <c r="R599" s="4" t="str">
        <f ca="1">IF(OR(INDEX($W$2:$W$1001,MATCH(ROWS($V$2:V599),$V$2:$V$1001,0),1)&gt;=100000,INDEX($AC$1005:$AS$1005,1,MATCH(COLUMNS($AC$1006:AS1006),$AC$1006:$AS$1006,0))&gt;=100000), " ",IF(INDEX($AC$2:$AS$1001,MATCH(ROWS($V$2:V599),$V$2:$V$1001,0),MATCH(COLUMNS($AC$1006:AS1006),$AC$1006:$AS$1006,0)), HYPERLINK("#",""), HYPERLINK(CONCATENATE("#metadata!", ADDRESS(INDEX($X$2:$X$1001,MATCH(ROWS($V$2:V599),$V$2:$V$1001,0),0), INDEX($AC$1004:$AS$1004,1,MATCH(COLUMNS($AC$1006:AS1006),$AC$1006:$AS$1006,0)))),"Fix")))</f>
        <v xml:space="preserve"> </v>
      </c>
      <c r="V599">
        <v>598</v>
      </c>
      <c r="W599">
        <v>100599</v>
      </c>
      <c r="X599">
        <v>599</v>
      </c>
      <c r="Y599" t="b">
        <f t="shared" si="9"/>
        <v>1</v>
      </c>
      <c r="Z599" t="b">
        <f>COUNTBLANK(metadata!B599:R599)=COLUMNS(metadata!B599:R599)</f>
        <v>1</v>
      </c>
      <c r="AA599" t="str">
        <v/>
      </c>
      <c r="AC599" t="b">
        <f ca="1"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AD599" t="b">
        <f>IF(metadata!C599="",FALSE,ISNUMBER(VALUE(metadata!C599)))</f>
        <v>0</v>
      </c>
      <c r="AE599" t="b">
        <f>AND(IF(metadata!D599="",FALSE,TRUE),EXACT(metadata!D599,"years"))</f>
        <v>0</v>
      </c>
      <c r="AF599" t="b">
        <f>OR(AND(IF(metadata!E599="",FALSE,TRUE),OR(EXACT(metadata!E599,"not applicable"),EXACT(metadata!E599,"missing: not collected"),EXACT(metadata!E599,"missing: not provided"),EXACT(metadata!E599,"missing: restricted access"))),AND(IF(metadata!E599="",FALSE,ISNUMBER(VALUE(metadata!E599))),metadata!E599&gt;0))</f>
        <v>0</v>
      </c>
      <c r="AG599" t="b">
        <f>AND(IF(metadata!F599="",FALSE,TRUE),EXACT(metadata!F599,"Not applicable"))</f>
        <v>0</v>
      </c>
      <c r="AH599" t="b">
        <f>AND(IF(metadata!G599="",FALSE,TRUE),EXACT(metadata!G599,"urban biome"))</f>
        <v>0</v>
      </c>
      <c r="AI599" t="b">
        <f>AND(IF(metadata!H599="",FALSE,TRUE),EXACT(metadata!H599,"human-associated habitat"))</f>
        <v>0</v>
      </c>
      <c r="AJ599" t="b">
        <f>AND(IF(metadata!I599="",FALSE,TRUE),OR(EXACT(metadata!I599,"human-associated"),EXACT(metadata!I599,"human-skin"),EXACT(metadata!I599,"human-oral"),EXACT(metadata!I599,"human-gut"),EXACT(metadata!I599,"human-vaginal")))</f>
        <v>0</v>
      </c>
      <c r="AK599" t="b">
        <f>IF(metadata!J599="",FALSE,ISNUMBER(VALUE(metadata!J599)))</f>
        <v>0</v>
      </c>
      <c r="AL599" t="b">
        <f>AND(IF(metadata!K599="",FALSE,TRUE),EXACT(metadata!K599,"cm"))</f>
        <v>0</v>
      </c>
      <c r="AM599" t="b">
        <f>AND(IF(metadata!L599="",FALSE,TRUE),EXACT(metadata!L599,"human"))</f>
        <v>0</v>
      </c>
      <c r="AN599" t="b">
        <f>AND(IF(metadata!M599="",FALSE,TRUE),EXACT(metadata!M599,"Homo sapiens"))</f>
        <v>0</v>
      </c>
      <c r="AO599" t="b">
        <f>AND(IF(metadata!N599="",FALSE,TRUE),EXACT(metadata!N599,"9606"))</f>
        <v>0</v>
      </c>
      <c r="AP599" t="b">
        <f>IF(metadata!O599="",FALSE,TRUE)</f>
        <v>0</v>
      </c>
      <c r="AQ599" t="b">
        <f>IF(metadata!P599="",FALSE,TRUE)</f>
        <v>0</v>
      </c>
      <c r="AR599" t="b">
        <f>IF(metadata!Q599="",FALSE,ISNUMBER(VALUE(metadata!Q599)))</f>
        <v>0</v>
      </c>
      <c r="AS599" t="b">
        <f>AND(IF(metadata!R599="",FALSE,TRUE),EXACT(metadata!R599,"kg"))</f>
        <v>0</v>
      </c>
    </row>
    <row r="600" spans="1:45" x14ac:dyDescent="0.2">
      <c r="A600" s="5" t="str">
        <f ca="1">IF(B600=" "," ",HYPERLINK(CONCATENATE("#metadata!",ADDRESS(INDEX($X$2:$X$1001,MATCH(ROWS($V$2:V600),$V$2:$V$1001,0),0),1)),INDEX($AA$2:$AA$1001,MATCH(ROWS($V$2:V600),$V$2:$V$1001,0),0)))</f>
        <v xml:space="preserve"> </v>
      </c>
      <c r="B600" s="4" t="str">
        <f ca="1">IF(OR(INDEX($W$2:$W$1001,MATCH(ROWS($V$2:V600),$V$2:$V$1001,0),1)&gt;=100000,INDEX($AC$1005:$AS$1005,1,MATCH(COLUMNS($AC$1006:AC1006),$AC$1006:$AS$1006,0))&gt;=100000), " ",IF(INDEX($AC$2:$AS$1001,MATCH(ROWS($V$2:V600),$V$2:$V$1001,0),MATCH(COLUMNS($AC$1006:AC1006),$AC$1006:$AS$1006,0)), HYPERLINK("#",""), HYPERLINK(CONCATENATE("#metadata!", ADDRESS(INDEX($X$2:$X$1001,MATCH(ROWS($V$2:V600),$V$2:$V$1001,0),0), INDEX($AC$1004:$AS$1004,1,MATCH(COLUMNS($AC$1006:AC1006),$AC$1006:$AS$1006,0)))),"Fix")))</f>
        <v xml:space="preserve"> </v>
      </c>
      <c r="C600" s="4" t="str">
        <f ca="1">IF(OR(INDEX($W$2:$W$1001,MATCH(ROWS($V$2:V600),$V$2:$V$1001,0),1)&gt;=100000,INDEX($AC$1005:$AS$1005,1,MATCH(COLUMNS($AC$1006:AD1006),$AC$1006:$AS$1006,0))&gt;=100000), " ",IF(INDEX($AC$2:$AS$1001,MATCH(ROWS($V$2:V600),$V$2:$V$1001,0),MATCH(COLUMNS($AC$1006:AD1006),$AC$1006:$AS$1006,0)), HYPERLINK("#",""), HYPERLINK(CONCATENATE("#metadata!", ADDRESS(INDEX($X$2:$X$1001,MATCH(ROWS($V$2:V600),$V$2:$V$1001,0),0), INDEX($AC$1004:$AS$1004,1,MATCH(COLUMNS($AC$1006:AD1006),$AC$1006:$AS$1006,0)))),"Fix")))</f>
        <v xml:space="preserve"> </v>
      </c>
      <c r="D600" s="4" t="str">
        <f ca="1">IF(OR(INDEX($W$2:$W$1001,MATCH(ROWS($V$2:V600),$V$2:$V$1001,0),1)&gt;=100000,INDEX($AC$1005:$AS$1005,1,MATCH(COLUMNS($AC$1006:AE1006),$AC$1006:$AS$1006,0))&gt;=100000), " ",IF(INDEX($AC$2:$AS$1001,MATCH(ROWS($V$2:V600),$V$2:$V$1001,0),MATCH(COLUMNS($AC$1006:AE1006),$AC$1006:$AS$1006,0)), HYPERLINK("#",""), HYPERLINK(CONCATENATE("#metadata!", ADDRESS(INDEX($X$2:$X$1001,MATCH(ROWS($V$2:V600),$V$2:$V$1001,0),0), INDEX($AC$1004:$AS$1004,1,MATCH(COLUMNS($AC$1006:AE1006),$AC$1006:$AS$1006,0)))),"Fix")))</f>
        <v xml:space="preserve"> </v>
      </c>
      <c r="E600" s="4" t="str">
        <f ca="1">IF(OR(INDEX($W$2:$W$1001,MATCH(ROWS($V$2:V600),$V$2:$V$1001,0),1)&gt;=100000,INDEX($AC$1005:$AS$1005,1,MATCH(COLUMNS($AC$1006:AF1006),$AC$1006:$AS$1006,0))&gt;=100000), " ",IF(INDEX($AC$2:$AS$1001,MATCH(ROWS($V$2:V600),$V$2:$V$1001,0),MATCH(COLUMNS($AC$1006:AF1006),$AC$1006:$AS$1006,0)), HYPERLINK("#",""), HYPERLINK(CONCATENATE("#metadata!", ADDRESS(INDEX($X$2:$X$1001,MATCH(ROWS($V$2:V600),$V$2:$V$1001,0),0), INDEX($AC$1004:$AS$1004,1,MATCH(COLUMNS($AC$1006:AF1006),$AC$1006:$AS$1006,0)))),"Fix")))</f>
        <v xml:space="preserve"> </v>
      </c>
      <c r="F600" s="4" t="str">
        <f ca="1">IF(OR(INDEX($W$2:$W$1001,MATCH(ROWS($V$2:V600),$V$2:$V$1001,0),1)&gt;=100000,INDEX($AC$1005:$AS$1005,1,MATCH(COLUMNS($AC$1006:AG1006),$AC$1006:$AS$1006,0))&gt;=100000), " ",IF(INDEX($AC$2:$AS$1001,MATCH(ROWS($V$2:V600),$V$2:$V$1001,0),MATCH(COLUMNS($AC$1006:AG1006),$AC$1006:$AS$1006,0)), HYPERLINK("#",""), HYPERLINK(CONCATENATE("#metadata!", ADDRESS(INDEX($X$2:$X$1001,MATCH(ROWS($V$2:V600),$V$2:$V$1001,0),0), INDEX($AC$1004:$AS$1004,1,MATCH(COLUMNS($AC$1006:AG1006),$AC$1006:$AS$1006,0)))),"Fix")))</f>
        <v xml:space="preserve"> </v>
      </c>
      <c r="G600" s="4" t="str">
        <f ca="1">IF(OR(INDEX($W$2:$W$1001,MATCH(ROWS($V$2:V600),$V$2:$V$1001,0),1)&gt;=100000,INDEX($AC$1005:$AS$1005,1,MATCH(COLUMNS($AC$1006:AH1006),$AC$1006:$AS$1006,0))&gt;=100000), " ",IF(INDEX($AC$2:$AS$1001,MATCH(ROWS($V$2:V600),$V$2:$V$1001,0),MATCH(COLUMNS($AC$1006:AH1006),$AC$1006:$AS$1006,0)), HYPERLINK("#",""), HYPERLINK(CONCATENATE("#metadata!", ADDRESS(INDEX($X$2:$X$1001,MATCH(ROWS($V$2:V600),$V$2:$V$1001,0),0), INDEX($AC$1004:$AS$1004,1,MATCH(COLUMNS($AC$1006:AH1006),$AC$1006:$AS$1006,0)))),"Fix")))</f>
        <v xml:space="preserve"> </v>
      </c>
      <c r="H600" s="4" t="str">
        <f ca="1">IF(OR(INDEX($W$2:$W$1001,MATCH(ROWS($V$2:V600),$V$2:$V$1001,0),1)&gt;=100000,INDEX($AC$1005:$AS$1005,1,MATCH(COLUMNS($AC$1006:AI1006),$AC$1006:$AS$1006,0))&gt;=100000), " ",IF(INDEX($AC$2:$AS$1001,MATCH(ROWS($V$2:V600),$V$2:$V$1001,0),MATCH(COLUMNS($AC$1006:AI1006),$AC$1006:$AS$1006,0)), HYPERLINK("#",""), HYPERLINK(CONCATENATE("#metadata!", ADDRESS(INDEX($X$2:$X$1001,MATCH(ROWS($V$2:V600),$V$2:$V$1001,0),0), INDEX($AC$1004:$AS$1004,1,MATCH(COLUMNS($AC$1006:AI1006),$AC$1006:$AS$1006,0)))),"Fix")))</f>
        <v xml:space="preserve"> </v>
      </c>
      <c r="I600" s="4" t="str">
        <f ca="1">IF(OR(INDEX($W$2:$W$1001,MATCH(ROWS($V$2:V600),$V$2:$V$1001,0),1)&gt;=100000,INDEX($AC$1005:$AS$1005,1,MATCH(COLUMNS($AC$1006:AJ1006),$AC$1006:$AS$1006,0))&gt;=100000), " ",IF(INDEX($AC$2:$AS$1001,MATCH(ROWS($V$2:V600),$V$2:$V$1001,0),MATCH(COLUMNS($AC$1006:AJ1006),$AC$1006:$AS$1006,0)), HYPERLINK("#",""), HYPERLINK(CONCATENATE("#metadata!", ADDRESS(INDEX($X$2:$X$1001,MATCH(ROWS($V$2:V600),$V$2:$V$1001,0),0), INDEX($AC$1004:$AS$1004,1,MATCH(COLUMNS($AC$1006:AJ1006),$AC$1006:$AS$1006,0)))),"Fix")))</f>
        <v xml:space="preserve"> </v>
      </c>
      <c r="J600" s="4" t="str">
        <f ca="1">IF(OR(INDEX($W$2:$W$1001,MATCH(ROWS($V$2:V600),$V$2:$V$1001,0),1)&gt;=100000,INDEX($AC$1005:$AS$1005,1,MATCH(COLUMNS($AC$1006:AK1006),$AC$1006:$AS$1006,0))&gt;=100000), " ",IF(INDEX($AC$2:$AS$1001,MATCH(ROWS($V$2:V600),$V$2:$V$1001,0),MATCH(COLUMNS($AC$1006:AK1006),$AC$1006:$AS$1006,0)), HYPERLINK("#",""), HYPERLINK(CONCATENATE("#metadata!", ADDRESS(INDEX($X$2:$X$1001,MATCH(ROWS($V$2:V600),$V$2:$V$1001,0),0), INDEX($AC$1004:$AS$1004,1,MATCH(COLUMNS($AC$1006:AK1006),$AC$1006:$AS$1006,0)))),"Fix")))</f>
        <v xml:space="preserve"> </v>
      </c>
      <c r="K600" s="4" t="str">
        <f ca="1">IF(OR(INDEX($W$2:$W$1001,MATCH(ROWS($V$2:V600),$V$2:$V$1001,0),1)&gt;=100000,INDEX($AC$1005:$AS$1005,1,MATCH(COLUMNS($AC$1006:AL1006),$AC$1006:$AS$1006,0))&gt;=100000), " ",IF(INDEX($AC$2:$AS$1001,MATCH(ROWS($V$2:V600),$V$2:$V$1001,0),MATCH(COLUMNS($AC$1006:AL1006),$AC$1006:$AS$1006,0)), HYPERLINK("#",""), HYPERLINK(CONCATENATE("#metadata!", ADDRESS(INDEX($X$2:$X$1001,MATCH(ROWS($V$2:V600),$V$2:$V$1001,0),0), INDEX($AC$1004:$AS$1004,1,MATCH(COLUMNS($AC$1006:AL1006),$AC$1006:$AS$1006,0)))),"Fix")))</f>
        <v xml:space="preserve"> </v>
      </c>
      <c r="L600" s="4" t="str">
        <f ca="1">IF(OR(INDEX($W$2:$W$1001,MATCH(ROWS($V$2:V600),$V$2:$V$1001,0),1)&gt;=100000,INDEX($AC$1005:$AS$1005,1,MATCH(COLUMNS($AC$1006:AM1006),$AC$1006:$AS$1006,0))&gt;=100000), " ",IF(INDEX($AC$2:$AS$1001,MATCH(ROWS($V$2:V600),$V$2:$V$1001,0),MATCH(COLUMNS($AC$1006:AM1006),$AC$1006:$AS$1006,0)), HYPERLINK("#",""), HYPERLINK(CONCATENATE("#metadata!", ADDRESS(INDEX($X$2:$X$1001,MATCH(ROWS($V$2:V600),$V$2:$V$1001,0),0), INDEX($AC$1004:$AS$1004,1,MATCH(COLUMNS($AC$1006:AM1006),$AC$1006:$AS$1006,0)))),"Fix")))</f>
        <v xml:space="preserve"> </v>
      </c>
      <c r="M600" s="4" t="str">
        <f ca="1">IF(OR(INDEX($W$2:$W$1001,MATCH(ROWS($V$2:V600),$V$2:$V$1001,0),1)&gt;=100000,INDEX($AC$1005:$AS$1005,1,MATCH(COLUMNS($AC$1006:AN1006),$AC$1006:$AS$1006,0))&gt;=100000), " ",IF(INDEX($AC$2:$AS$1001,MATCH(ROWS($V$2:V600),$V$2:$V$1001,0),MATCH(COLUMNS($AC$1006:AN1006),$AC$1006:$AS$1006,0)), HYPERLINK("#",""), HYPERLINK(CONCATENATE("#metadata!", ADDRESS(INDEX($X$2:$X$1001,MATCH(ROWS($V$2:V600),$V$2:$V$1001,0),0), INDEX($AC$1004:$AS$1004,1,MATCH(COLUMNS($AC$1006:AN1006),$AC$1006:$AS$1006,0)))),"Fix")))</f>
        <v xml:space="preserve"> </v>
      </c>
      <c r="N600" s="4" t="str">
        <f ca="1">IF(OR(INDEX($W$2:$W$1001,MATCH(ROWS($V$2:V600),$V$2:$V$1001,0),1)&gt;=100000,INDEX($AC$1005:$AS$1005,1,MATCH(COLUMNS($AC$1006:AO1006),$AC$1006:$AS$1006,0))&gt;=100000), " ",IF(INDEX($AC$2:$AS$1001,MATCH(ROWS($V$2:V600),$V$2:$V$1001,0),MATCH(COLUMNS($AC$1006:AO1006),$AC$1006:$AS$1006,0)), HYPERLINK("#",""), HYPERLINK(CONCATENATE("#metadata!", ADDRESS(INDEX($X$2:$X$1001,MATCH(ROWS($V$2:V600),$V$2:$V$1001,0),0), INDEX($AC$1004:$AS$1004,1,MATCH(COLUMNS($AC$1006:AO1006),$AC$1006:$AS$1006,0)))),"Fix")))</f>
        <v xml:space="preserve"> </v>
      </c>
      <c r="O600" s="4" t="str">
        <f ca="1">IF(OR(INDEX($W$2:$W$1001,MATCH(ROWS($V$2:V600),$V$2:$V$1001,0),1)&gt;=100000,INDEX($AC$1005:$AS$1005,1,MATCH(COLUMNS($AC$1006:AP1006),$AC$1006:$AS$1006,0))&gt;=100000), " ",IF(INDEX($AC$2:$AS$1001,MATCH(ROWS($V$2:V600),$V$2:$V$1001,0),MATCH(COLUMNS($AC$1006:AP1006),$AC$1006:$AS$1006,0)), HYPERLINK("#",""), HYPERLINK(CONCATENATE("#metadata!", ADDRESS(INDEX($X$2:$X$1001,MATCH(ROWS($V$2:V600),$V$2:$V$1001,0),0), INDEX($AC$1004:$AS$1004,1,MATCH(COLUMNS($AC$1006:AP1006),$AC$1006:$AS$1006,0)))),"Fix")))</f>
        <v xml:space="preserve"> </v>
      </c>
      <c r="P600" s="4" t="str">
        <f ca="1">IF(OR(INDEX($W$2:$W$1001,MATCH(ROWS($V$2:V600),$V$2:$V$1001,0),1)&gt;=100000,INDEX($AC$1005:$AS$1005,1,MATCH(COLUMNS($AC$1006:AQ1006),$AC$1006:$AS$1006,0))&gt;=100000), " ",IF(INDEX($AC$2:$AS$1001,MATCH(ROWS($V$2:V600),$V$2:$V$1001,0),MATCH(COLUMNS($AC$1006:AQ1006),$AC$1006:$AS$1006,0)), HYPERLINK("#",""), HYPERLINK(CONCATENATE("#metadata!", ADDRESS(INDEX($X$2:$X$1001,MATCH(ROWS($V$2:V600),$V$2:$V$1001,0),0), INDEX($AC$1004:$AS$1004,1,MATCH(COLUMNS($AC$1006:AQ1006),$AC$1006:$AS$1006,0)))),"Fix")))</f>
        <v xml:space="preserve"> </v>
      </c>
      <c r="Q600" s="4" t="str">
        <f ca="1">IF(OR(INDEX($W$2:$W$1001,MATCH(ROWS($V$2:V600),$V$2:$V$1001,0),1)&gt;=100000,INDEX($AC$1005:$AS$1005,1,MATCH(COLUMNS($AC$1006:AR1006),$AC$1006:$AS$1006,0))&gt;=100000), " ",IF(INDEX($AC$2:$AS$1001,MATCH(ROWS($V$2:V600),$V$2:$V$1001,0),MATCH(COLUMNS($AC$1006:AR1006),$AC$1006:$AS$1006,0)), HYPERLINK("#",""), HYPERLINK(CONCATENATE("#metadata!", ADDRESS(INDEX($X$2:$X$1001,MATCH(ROWS($V$2:V600),$V$2:$V$1001,0),0), INDEX($AC$1004:$AS$1004,1,MATCH(COLUMNS($AC$1006:AR1006),$AC$1006:$AS$1006,0)))),"Fix")))</f>
        <v xml:space="preserve"> </v>
      </c>
      <c r="R600" s="4" t="str">
        <f ca="1">IF(OR(INDEX($W$2:$W$1001,MATCH(ROWS($V$2:V600),$V$2:$V$1001,0),1)&gt;=100000,INDEX($AC$1005:$AS$1005,1,MATCH(COLUMNS($AC$1006:AS1006),$AC$1006:$AS$1006,0))&gt;=100000), " ",IF(INDEX($AC$2:$AS$1001,MATCH(ROWS($V$2:V600),$V$2:$V$1001,0),MATCH(COLUMNS($AC$1006:AS1006),$AC$1006:$AS$1006,0)), HYPERLINK("#",""), HYPERLINK(CONCATENATE("#metadata!", ADDRESS(INDEX($X$2:$X$1001,MATCH(ROWS($V$2:V600),$V$2:$V$1001,0),0), INDEX($AC$1004:$AS$1004,1,MATCH(COLUMNS($AC$1006:AS1006),$AC$1006:$AS$1006,0)))),"Fix")))</f>
        <v xml:space="preserve"> </v>
      </c>
      <c r="V600">
        <v>599</v>
      </c>
      <c r="W600">
        <v>100600</v>
      </c>
      <c r="X600">
        <v>600</v>
      </c>
      <c r="Y600" t="b">
        <f t="shared" si="9"/>
        <v>1</v>
      </c>
      <c r="Z600" t="b">
        <f>COUNTBLANK(metadata!B600:R600)=COLUMNS(metadata!B600:R600)</f>
        <v>1</v>
      </c>
      <c r="AA600" t="str">
        <v/>
      </c>
      <c r="AC600" t="b">
        <f ca="1"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AD600" t="b">
        <f>IF(metadata!C600="",FALSE,ISNUMBER(VALUE(metadata!C600)))</f>
        <v>0</v>
      </c>
      <c r="AE600" t="b">
        <f>AND(IF(metadata!D600="",FALSE,TRUE),EXACT(metadata!D600,"years"))</f>
        <v>0</v>
      </c>
      <c r="AF600" t="b">
        <f>OR(AND(IF(metadata!E600="",FALSE,TRUE),OR(EXACT(metadata!E600,"not applicable"),EXACT(metadata!E600,"missing: not collected"),EXACT(metadata!E600,"missing: not provided"),EXACT(metadata!E600,"missing: restricted access"))),AND(IF(metadata!E600="",FALSE,ISNUMBER(VALUE(metadata!E600))),metadata!E600&gt;0))</f>
        <v>0</v>
      </c>
      <c r="AG600" t="b">
        <f>AND(IF(metadata!F600="",FALSE,TRUE),EXACT(metadata!F600,"Not applicable"))</f>
        <v>0</v>
      </c>
      <c r="AH600" t="b">
        <f>AND(IF(metadata!G600="",FALSE,TRUE),EXACT(metadata!G600,"urban biome"))</f>
        <v>0</v>
      </c>
      <c r="AI600" t="b">
        <f>AND(IF(metadata!H600="",FALSE,TRUE),EXACT(metadata!H600,"human-associated habitat"))</f>
        <v>0</v>
      </c>
      <c r="AJ600" t="b">
        <f>AND(IF(metadata!I600="",FALSE,TRUE),OR(EXACT(metadata!I600,"human-associated"),EXACT(metadata!I600,"human-skin"),EXACT(metadata!I600,"human-oral"),EXACT(metadata!I600,"human-gut"),EXACT(metadata!I600,"human-vaginal")))</f>
        <v>0</v>
      </c>
      <c r="AK600" t="b">
        <f>IF(metadata!J600="",FALSE,ISNUMBER(VALUE(metadata!J600)))</f>
        <v>0</v>
      </c>
      <c r="AL600" t="b">
        <f>AND(IF(metadata!K600="",FALSE,TRUE),EXACT(metadata!K600,"cm"))</f>
        <v>0</v>
      </c>
      <c r="AM600" t="b">
        <f>AND(IF(metadata!L600="",FALSE,TRUE),EXACT(metadata!L600,"human"))</f>
        <v>0</v>
      </c>
      <c r="AN600" t="b">
        <f>AND(IF(metadata!M600="",FALSE,TRUE),EXACT(metadata!M600,"Homo sapiens"))</f>
        <v>0</v>
      </c>
      <c r="AO600" t="b">
        <f>AND(IF(metadata!N600="",FALSE,TRUE),EXACT(metadata!N600,"9606"))</f>
        <v>0</v>
      </c>
      <c r="AP600" t="b">
        <f>IF(metadata!O600="",FALSE,TRUE)</f>
        <v>0</v>
      </c>
      <c r="AQ600" t="b">
        <f>IF(metadata!P600="",FALSE,TRUE)</f>
        <v>0</v>
      </c>
      <c r="AR600" t="b">
        <f>IF(metadata!Q600="",FALSE,ISNUMBER(VALUE(metadata!Q600)))</f>
        <v>0</v>
      </c>
      <c r="AS600" t="b">
        <f>AND(IF(metadata!R600="",FALSE,TRUE),EXACT(metadata!R600,"kg"))</f>
        <v>0</v>
      </c>
    </row>
    <row r="601" spans="1:45" x14ac:dyDescent="0.2">
      <c r="A601" s="5" t="str">
        <f ca="1">IF(B601=" "," ",HYPERLINK(CONCATENATE("#metadata!",ADDRESS(INDEX($X$2:$X$1001,MATCH(ROWS($V$2:V601),$V$2:$V$1001,0),0),1)),INDEX($AA$2:$AA$1001,MATCH(ROWS($V$2:V601),$V$2:$V$1001,0),0)))</f>
        <v xml:space="preserve"> </v>
      </c>
      <c r="B601" s="4" t="str">
        <f ca="1">IF(OR(INDEX($W$2:$W$1001,MATCH(ROWS($V$2:V601),$V$2:$V$1001,0),1)&gt;=100000,INDEX($AC$1005:$AS$1005,1,MATCH(COLUMNS($AC$1006:AC1006),$AC$1006:$AS$1006,0))&gt;=100000), " ",IF(INDEX($AC$2:$AS$1001,MATCH(ROWS($V$2:V601),$V$2:$V$1001,0),MATCH(COLUMNS($AC$1006:AC1006),$AC$1006:$AS$1006,0)), HYPERLINK("#",""), HYPERLINK(CONCATENATE("#metadata!", ADDRESS(INDEX($X$2:$X$1001,MATCH(ROWS($V$2:V601),$V$2:$V$1001,0),0), INDEX($AC$1004:$AS$1004,1,MATCH(COLUMNS($AC$1006:AC1006),$AC$1006:$AS$1006,0)))),"Fix")))</f>
        <v xml:space="preserve"> </v>
      </c>
      <c r="C601" s="4" t="str">
        <f ca="1">IF(OR(INDEX($W$2:$W$1001,MATCH(ROWS($V$2:V601),$V$2:$V$1001,0),1)&gt;=100000,INDEX($AC$1005:$AS$1005,1,MATCH(COLUMNS($AC$1006:AD1006),$AC$1006:$AS$1006,0))&gt;=100000), " ",IF(INDEX($AC$2:$AS$1001,MATCH(ROWS($V$2:V601),$V$2:$V$1001,0),MATCH(COLUMNS($AC$1006:AD1006),$AC$1006:$AS$1006,0)), HYPERLINK("#",""), HYPERLINK(CONCATENATE("#metadata!", ADDRESS(INDEX($X$2:$X$1001,MATCH(ROWS($V$2:V601),$V$2:$V$1001,0),0), INDEX($AC$1004:$AS$1004,1,MATCH(COLUMNS($AC$1006:AD1006),$AC$1006:$AS$1006,0)))),"Fix")))</f>
        <v xml:space="preserve"> </v>
      </c>
      <c r="D601" s="4" t="str">
        <f ca="1">IF(OR(INDEX($W$2:$W$1001,MATCH(ROWS($V$2:V601),$V$2:$V$1001,0),1)&gt;=100000,INDEX($AC$1005:$AS$1005,1,MATCH(COLUMNS($AC$1006:AE1006),$AC$1006:$AS$1006,0))&gt;=100000), " ",IF(INDEX($AC$2:$AS$1001,MATCH(ROWS($V$2:V601),$V$2:$V$1001,0),MATCH(COLUMNS($AC$1006:AE1006),$AC$1006:$AS$1006,0)), HYPERLINK("#",""), HYPERLINK(CONCATENATE("#metadata!", ADDRESS(INDEX($X$2:$X$1001,MATCH(ROWS($V$2:V601),$V$2:$V$1001,0),0), INDEX($AC$1004:$AS$1004,1,MATCH(COLUMNS($AC$1006:AE1006),$AC$1006:$AS$1006,0)))),"Fix")))</f>
        <v xml:space="preserve"> </v>
      </c>
      <c r="E601" s="4" t="str">
        <f ca="1">IF(OR(INDEX($W$2:$W$1001,MATCH(ROWS($V$2:V601),$V$2:$V$1001,0),1)&gt;=100000,INDEX($AC$1005:$AS$1005,1,MATCH(COLUMNS($AC$1006:AF1006),$AC$1006:$AS$1006,0))&gt;=100000), " ",IF(INDEX($AC$2:$AS$1001,MATCH(ROWS($V$2:V601),$V$2:$V$1001,0),MATCH(COLUMNS($AC$1006:AF1006),$AC$1006:$AS$1006,0)), HYPERLINK("#",""), HYPERLINK(CONCATENATE("#metadata!", ADDRESS(INDEX($X$2:$X$1001,MATCH(ROWS($V$2:V601),$V$2:$V$1001,0),0), INDEX($AC$1004:$AS$1004,1,MATCH(COLUMNS($AC$1006:AF1006),$AC$1006:$AS$1006,0)))),"Fix")))</f>
        <v xml:space="preserve"> </v>
      </c>
      <c r="F601" s="4" t="str">
        <f ca="1">IF(OR(INDEX($W$2:$W$1001,MATCH(ROWS($V$2:V601),$V$2:$V$1001,0),1)&gt;=100000,INDEX($AC$1005:$AS$1005,1,MATCH(COLUMNS($AC$1006:AG1006),$AC$1006:$AS$1006,0))&gt;=100000), " ",IF(INDEX($AC$2:$AS$1001,MATCH(ROWS($V$2:V601),$V$2:$V$1001,0),MATCH(COLUMNS($AC$1006:AG1006),$AC$1006:$AS$1006,0)), HYPERLINK("#",""), HYPERLINK(CONCATENATE("#metadata!", ADDRESS(INDEX($X$2:$X$1001,MATCH(ROWS($V$2:V601),$V$2:$V$1001,0),0), INDEX($AC$1004:$AS$1004,1,MATCH(COLUMNS($AC$1006:AG1006),$AC$1006:$AS$1006,0)))),"Fix")))</f>
        <v xml:space="preserve"> </v>
      </c>
      <c r="G601" s="4" t="str">
        <f ca="1">IF(OR(INDEX($W$2:$W$1001,MATCH(ROWS($V$2:V601),$V$2:$V$1001,0),1)&gt;=100000,INDEX($AC$1005:$AS$1005,1,MATCH(COLUMNS($AC$1006:AH1006),$AC$1006:$AS$1006,0))&gt;=100000), " ",IF(INDEX($AC$2:$AS$1001,MATCH(ROWS($V$2:V601),$V$2:$V$1001,0),MATCH(COLUMNS($AC$1006:AH1006),$AC$1006:$AS$1006,0)), HYPERLINK("#",""), HYPERLINK(CONCATENATE("#metadata!", ADDRESS(INDEX($X$2:$X$1001,MATCH(ROWS($V$2:V601),$V$2:$V$1001,0),0), INDEX($AC$1004:$AS$1004,1,MATCH(COLUMNS($AC$1006:AH1006),$AC$1006:$AS$1006,0)))),"Fix")))</f>
        <v xml:space="preserve"> </v>
      </c>
      <c r="H601" s="4" t="str">
        <f ca="1">IF(OR(INDEX($W$2:$W$1001,MATCH(ROWS($V$2:V601),$V$2:$V$1001,0),1)&gt;=100000,INDEX($AC$1005:$AS$1005,1,MATCH(COLUMNS($AC$1006:AI1006),$AC$1006:$AS$1006,0))&gt;=100000), " ",IF(INDEX($AC$2:$AS$1001,MATCH(ROWS($V$2:V601),$V$2:$V$1001,0),MATCH(COLUMNS($AC$1006:AI1006),$AC$1006:$AS$1006,0)), HYPERLINK("#",""), HYPERLINK(CONCATENATE("#metadata!", ADDRESS(INDEX($X$2:$X$1001,MATCH(ROWS($V$2:V601),$V$2:$V$1001,0),0), INDEX($AC$1004:$AS$1004,1,MATCH(COLUMNS($AC$1006:AI1006),$AC$1006:$AS$1006,0)))),"Fix")))</f>
        <v xml:space="preserve"> </v>
      </c>
      <c r="I601" s="4" t="str">
        <f ca="1">IF(OR(INDEX($W$2:$W$1001,MATCH(ROWS($V$2:V601),$V$2:$V$1001,0),1)&gt;=100000,INDEX($AC$1005:$AS$1005,1,MATCH(COLUMNS($AC$1006:AJ1006),$AC$1006:$AS$1006,0))&gt;=100000), " ",IF(INDEX($AC$2:$AS$1001,MATCH(ROWS($V$2:V601),$V$2:$V$1001,0),MATCH(COLUMNS($AC$1006:AJ1006),$AC$1006:$AS$1006,0)), HYPERLINK("#",""), HYPERLINK(CONCATENATE("#metadata!", ADDRESS(INDEX($X$2:$X$1001,MATCH(ROWS($V$2:V601),$V$2:$V$1001,0),0), INDEX($AC$1004:$AS$1004,1,MATCH(COLUMNS($AC$1006:AJ1006),$AC$1006:$AS$1006,0)))),"Fix")))</f>
        <v xml:space="preserve"> </v>
      </c>
      <c r="J601" s="4" t="str">
        <f ca="1">IF(OR(INDEX($W$2:$W$1001,MATCH(ROWS($V$2:V601),$V$2:$V$1001,0),1)&gt;=100000,INDEX($AC$1005:$AS$1005,1,MATCH(COLUMNS($AC$1006:AK1006),$AC$1006:$AS$1006,0))&gt;=100000), " ",IF(INDEX($AC$2:$AS$1001,MATCH(ROWS($V$2:V601),$V$2:$V$1001,0),MATCH(COLUMNS($AC$1006:AK1006),$AC$1006:$AS$1006,0)), HYPERLINK("#",""), HYPERLINK(CONCATENATE("#metadata!", ADDRESS(INDEX($X$2:$X$1001,MATCH(ROWS($V$2:V601),$V$2:$V$1001,0),0), INDEX($AC$1004:$AS$1004,1,MATCH(COLUMNS($AC$1006:AK1006),$AC$1006:$AS$1006,0)))),"Fix")))</f>
        <v xml:space="preserve"> </v>
      </c>
      <c r="K601" s="4" t="str">
        <f ca="1">IF(OR(INDEX($W$2:$W$1001,MATCH(ROWS($V$2:V601),$V$2:$V$1001,0),1)&gt;=100000,INDEX($AC$1005:$AS$1005,1,MATCH(COLUMNS($AC$1006:AL1006),$AC$1006:$AS$1006,0))&gt;=100000), " ",IF(INDEX($AC$2:$AS$1001,MATCH(ROWS($V$2:V601),$V$2:$V$1001,0),MATCH(COLUMNS($AC$1006:AL1006),$AC$1006:$AS$1006,0)), HYPERLINK("#",""), HYPERLINK(CONCATENATE("#metadata!", ADDRESS(INDEX($X$2:$X$1001,MATCH(ROWS($V$2:V601),$V$2:$V$1001,0),0), INDEX($AC$1004:$AS$1004,1,MATCH(COLUMNS($AC$1006:AL1006),$AC$1006:$AS$1006,0)))),"Fix")))</f>
        <v xml:space="preserve"> </v>
      </c>
      <c r="L601" s="4" t="str">
        <f ca="1">IF(OR(INDEX($W$2:$W$1001,MATCH(ROWS($V$2:V601),$V$2:$V$1001,0),1)&gt;=100000,INDEX($AC$1005:$AS$1005,1,MATCH(COLUMNS($AC$1006:AM1006),$AC$1006:$AS$1006,0))&gt;=100000), " ",IF(INDEX($AC$2:$AS$1001,MATCH(ROWS($V$2:V601),$V$2:$V$1001,0),MATCH(COLUMNS($AC$1006:AM1006),$AC$1006:$AS$1006,0)), HYPERLINK("#",""), HYPERLINK(CONCATENATE("#metadata!", ADDRESS(INDEX($X$2:$X$1001,MATCH(ROWS($V$2:V601),$V$2:$V$1001,0),0), INDEX($AC$1004:$AS$1004,1,MATCH(COLUMNS($AC$1006:AM1006),$AC$1006:$AS$1006,0)))),"Fix")))</f>
        <v xml:space="preserve"> </v>
      </c>
      <c r="M601" s="4" t="str">
        <f ca="1">IF(OR(INDEX($W$2:$W$1001,MATCH(ROWS($V$2:V601),$V$2:$V$1001,0),1)&gt;=100000,INDEX($AC$1005:$AS$1005,1,MATCH(COLUMNS($AC$1006:AN1006),$AC$1006:$AS$1006,0))&gt;=100000), " ",IF(INDEX($AC$2:$AS$1001,MATCH(ROWS($V$2:V601),$V$2:$V$1001,0),MATCH(COLUMNS($AC$1006:AN1006),$AC$1006:$AS$1006,0)), HYPERLINK("#",""), HYPERLINK(CONCATENATE("#metadata!", ADDRESS(INDEX($X$2:$X$1001,MATCH(ROWS($V$2:V601),$V$2:$V$1001,0),0), INDEX($AC$1004:$AS$1004,1,MATCH(COLUMNS($AC$1006:AN1006),$AC$1006:$AS$1006,0)))),"Fix")))</f>
        <v xml:space="preserve"> </v>
      </c>
      <c r="N601" s="4" t="str">
        <f ca="1">IF(OR(INDEX($W$2:$W$1001,MATCH(ROWS($V$2:V601),$V$2:$V$1001,0),1)&gt;=100000,INDEX($AC$1005:$AS$1005,1,MATCH(COLUMNS($AC$1006:AO1006),$AC$1006:$AS$1006,0))&gt;=100000), " ",IF(INDEX($AC$2:$AS$1001,MATCH(ROWS($V$2:V601),$V$2:$V$1001,0),MATCH(COLUMNS($AC$1006:AO1006),$AC$1006:$AS$1006,0)), HYPERLINK("#",""), HYPERLINK(CONCATENATE("#metadata!", ADDRESS(INDEX($X$2:$X$1001,MATCH(ROWS($V$2:V601),$V$2:$V$1001,0),0), INDEX($AC$1004:$AS$1004,1,MATCH(COLUMNS($AC$1006:AO1006),$AC$1006:$AS$1006,0)))),"Fix")))</f>
        <v xml:space="preserve"> </v>
      </c>
      <c r="O601" s="4" t="str">
        <f ca="1">IF(OR(INDEX($W$2:$W$1001,MATCH(ROWS($V$2:V601),$V$2:$V$1001,0),1)&gt;=100000,INDEX($AC$1005:$AS$1005,1,MATCH(COLUMNS($AC$1006:AP1006),$AC$1006:$AS$1006,0))&gt;=100000), " ",IF(INDEX($AC$2:$AS$1001,MATCH(ROWS($V$2:V601),$V$2:$V$1001,0),MATCH(COLUMNS($AC$1006:AP1006),$AC$1006:$AS$1006,0)), HYPERLINK("#",""), HYPERLINK(CONCATENATE("#metadata!", ADDRESS(INDEX($X$2:$X$1001,MATCH(ROWS($V$2:V601),$V$2:$V$1001,0),0), INDEX($AC$1004:$AS$1004,1,MATCH(COLUMNS($AC$1006:AP1006),$AC$1006:$AS$1006,0)))),"Fix")))</f>
        <v xml:space="preserve"> </v>
      </c>
      <c r="P601" s="4" t="str">
        <f ca="1">IF(OR(INDEX($W$2:$W$1001,MATCH(ROWS($V$2:V601),$V$2:$V$1001,0),1)&gt;=100000,INDEX($AC$1005:$AS$1005,1,MATCH(COLUMNS($AC$1006:AQ1006),$AC$1006:$AS$1006,0))&gt;=100000), " ",IF(INDEX($AC$2:$AS$1001,MATCH(ROWS($V$2:V601),$V$2:$V$1001,0),MATCH(COLUMNS($AC$1006:AQ1006),$AC$1006:$AS$1006,0)), HYPERLINK("#",""), HYPERLINK(CONCATENATE("#metadata!", ADDRESS(INDEX($X$2:$X$1001,MATCH(ROWS($V$2:V601),$V$2:$V$1001,0),0), INDEX($AC$1004:$AS$1004,1,MATCH(COLUMNS($AC$1006:AQ1006),$AC$1006:$AS$1006,0)))),"Fix")))</f>
        <v xml:space="preserve"> </v>
      </c>
      <c r="Q601" s="4" t="str">
        <f ca="1">IF(OR(INDEX($W$2:$W$1001,MATCH(ROWS($V$2:V601),$V$2:$V$1001,0),1)&gt;=100000,INDEX($AC$1005:$AS$1005,1,MATCH(COLUMNS($AC$1006:AR1006),$AC$1006:$AS$1006,0))&gt;=100000), " ",IF(INDEX($AC$2:$AS$1001,MATCH(ROWS($V$2:V601),$V$2:$V$1001,0),MATCH(COLUMNS($AC$1006:AR1006),$AC$1006:$AS$1006,0)), HYPERLINK("#",""), HYPERLINK(CONCATENATE("#metadata!", ADDRESS(INDEX($X$2:$X$1001,MATCH(ROWS($V$2:V601),$V$2:$V$1001,0),0), INDEX($AC$1004:$AS$1004,1,MATCH(COLUMNS($AC$1006:AR1006),$AC$1006:$AS$1006,0)))),"Fix")))</f>
        <v xml:space="preserve"> </v>
      </c>
      <c r="R601" s="4" t="str">
        <f ca="1">IF(OR(INDEX($W$2:$W$1001,MATCH(ROWS($V$2:V601),$V$2:$V$1001,0),1)&gt;=100000,INDEX($AC$1005:$AS$1005,1,MATCH(COLUMNS($AC$1006:AS1006),$AC$1006:$AS$1006,0))&gt;=100000), " ",IF(INDEX($AC$2:$AS$1001,MATCH(ROWS($V$2:V601),$V$2:$V$1001,0),MATCH(COLUMNS($AC$1006:AS1006),$AC$1006:$AS$1006,0)), HYPERLINK("#",""), HYPERLINK(CONCATENATE("#metadata!", ADDRESS(INDEX($X$2:$X$1001,MATCH(ROWS($V$2:V601),$V$2:$V$1001,0),0), INDEX($AC$1004:$AS$1004,1,MATCH(COLUMNS($AC$1006:AS1006),$AC$1006:$AS$1006,0)))),"Fix")))</f>
        <v xml:space="preserve"> </v>
      </c>
      <c r="V601">
        <v>600</v>
      </c>
      <c r="W601">
        <v>100601</v>
      </c>
      <c r="X601">
        <v>601</v>
      </c>
      <c r="Y601" t="b">
        <f t="shared" si="9"/>
        <v>1</v>
      </c>
      <c r="Z601" t="b">
        <f>COUNTBLANK(metadata!B601:R601)=COLUMNS(metadata!B601:R601)</f>
        <v>1</v>
      </c>
      <c r="AA601" t="str">
        <v/>
      </c>
      <c r="AC601" t="b">
        <f ca="1"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AD601" t="b">
        <f>IF(metadata!C601="",FALSE,ISNUMBER(VALUE(metadata!C601)))</f>
        <v>0</v>
      </c>
      <c r="AE601" t="b">
        <f>AND(IF(metadata!D601="",FALSE,TRUE),EXACT(metadata!D601,"years"))</f>
        <v>0</v>
      </c>
      <c r="AF601" t="b">
        <f>OR(AND(IF(metadata!E601="",FALSE,TRUE),OR(EXACT(metadata!E601,"not applicable"),EXACT(metadata!E601,"missing: not collected"),EXACT(metadata!E601,"missing: not provided"),EXACT(metadata!E601,"missing: restricted access"))),AND(IF(metadata!E601="",FALSE,ISNUMBER(VALUE(metadata!E601))),metadata!E601&gt;0))</f>
        <v>0</v>
      </c>
      <c r="AG601" t="b">
        <f>AND(IF(metadata!F601="",FALSE,TRUE),EXACT(metadata!F601,"Not applicable"))</f>
        <v>0</v>
      </c>
      <c r="AH601" t="b">
        <f>AND(IF(metadata!G601="",FALSE,TRUE),EXACT(metadata!G601,"urban biome"))</f>
        <v>0</v>
      </c>
      <c r="AI601" t="b">
        <f>AND(IF(metadata!H601="",FALSE,TRUE),EXACT(metadata!H601,"human-associated habitat"))</f>
        <v>0</v>
      </c>
      <c r="AJ601" t="b">
        <f>AND(IF(metadata!I601="",FALSE,TRUE),OR(EXACT(metadata!I601,"human-associated"),EXACT(metadata!I601,"human-skin"),EXACT(metadata!I601,"human-oral"),EXACT(metadata!I601,"human-gut"),EXACT(metadata!I601,"human-vaginal")))</f>
        <v>0</v>
      </c>
      <c r="AK601" t="b">
        <f>IF(metadata!J601="",FALSE,ISNUMBER(VALUE(metadata!J601)))</f>
        <v>0</v>
      </c>
      <c r="AL601" t="b">
        <f>AND(IF(metadata!K601="",FALSE,TRUE),EXACT(metadata!K601,"cm"))</f>
        <v>0</v>
      </c>
      <c r="AM601" t="b">
        <f>AND(IF(metadata!L601="",FALSE,TRUE),EXACT(metadata!L601,"human"))</f>
        <v>0</v>
      </c>
      <c r="AN601" t="b">
        <f>AND(IF(metadata!M601="",FALSE,TRUE),EXACT(metadata!M601,"Homo sapiens"))</f>
        <v>0</v>
      </c>
      <c r="AO601" t="b">
        <f>AND(IF(metadata!N601="",FALSE,TRUE),EXACT(metadata!N601,"9606"))</f>
        <v>0</v>
      </c>
      <c r="AP601" t="b">
        <f>IF(metadata!O601="",FALSE,TRUE)</f>
        <v>0</v>
      </c>
      <c r="AQ601" t="b">
        <f>IF(metadata!P601="",FALSE,TRUE)</f>
        <v>0</v>
      </c>
      <c r="AR601" t="b">
        <f>IF(metadata!Q601="",FALSE,ISNUMBER(VALUE(metadata!Q601)))</f>
        <v>0</v>
      </c>
      <c r="AS601" t="b">
        <f>AND(IF(metadata!R601="",FALSE,TRUE),EXACT(metadata!R601,"kg"))</f>
        <v>0</v>
      </c>
    </row>
    <row r="602" spans="1:45" x14ac:dyDescent="0.2">
      <c r="A602" s="5" t="str">
        <f ca="1">IF(B602=" "," ",HYPERLINK(CONCATENATE("#metadata!",ADDRESS(INDEX($X$2:$X$1001,MATCH(ROWS($V$2:V602),$V$2:$V$1001,0),0),1)),INDEX($AA$2:$AA$1001,MATCH(ROWS($V$2:V602),$V$2:$V$1001,0),0)))</f>
        <v xml:space="preserve"> </v>
      </c>
      <c r="B602" s="4" t="str">
        <f ca="1">IF(OR(INDEX($W$2:$W$1001,MATCH(ROWS($V$2:V602),$V$2:$V$1001,0),1)&gt;=100000,INDEX($AC$1005:$AS$1005,1,MATCH(COLUMNS($AC$1006:AC1006),$AC$1006:$AS$1006,0))&gt;=100000), " ",IF(INDEX($AC$2:$AS$1001,MATCH(ROWS($V$2:V602),$V$2:$V$1001,0),MATCH(COLUMNS($AC$1006:AC1006),$AC$1006:$AS$1006,0)), HYPERLINK("#",""), HYPERLINK(CONCATENATE("#metadata!", ADDRESS(INDEX($X$2:$X$1001,MATCH(ROWS($V$2:V602),$V$2:$V$1001,0),0), INDEX($AC$1004:$AS$1004,1,MATCH(COLUMNS($AC$1006:AC1006),$AC$1006:$AS$1006,0)))),"Fix")))</f>
        <v xml:space="preserve"> </v>
      </c>
      <c r="C602" s="4" t="str">
        <f ca="1">IF(OR(INDEX($W$2:$W$1001,MATCH(ROWS($V$2:V602),$V$2:$V$1001,0),1)&gt;=100000,INDEX($AC$1005:$AS$1005,1,MATCH(COLUMNS($AC$1006:AD1006),$AC$1006:$AS$1006,0))&gt;=100000), " ",IF(INDEX($AC$2:$AS$1001,MATCH(ROWS($V$2:V602),$V$2:$V$1001,0),MATCH(COLUMNS($AC$1006:AD1006),$AC$1006:$AS$1006,0)), HYPERLINK("#",""), HYPERLINK(CONCATENATE("#metadata!", ADDRESS(INDEX($X$2:$X$1001,MATCH(ROWS($V$2:V602),$V$2:$V$1001,0),0), INDEX($AC$1004:$AS$1004,1,MATCH(COLUMNS($AC$1006:AD1006),$AC$1006:$AS$1006,0)))),"Fix")))</f>
        <v xml:space="preserve"> </v>
      </c>
      <c r="D602" s="4" t="str">
        <f ca="1">IF(OR(INDEX($W$2:$W$1001,MATCH(ROWS($V$2:V602),$V$2:$V$1001,0),1)&gt;=100000,INDEX($AC$1005:$AS$1005,1,MATCH(COLUMNS($AC$1006:AE1006),$AC$1006:$AS$1006,0))&gt;=100000), " ",IF(INDEX($AC$2:$AS$1001,MATCH(ROWS($V$2:V602),$V$2:$V$1001,0),MATCH(COLUMNS($AC$1006:AE1006),$AC$1006:$AS$1006,0)), HYPERLINK("#",""), HYPERLINK(CONCATENATE("#metadata!", ADDRESS(INDEX($X$2:$X$1001,MATCH(ROWS($V$2:V602),$V$2:$V$1001,0),0), INDEX($AC$1004:$AS$1004,1,MATCH(COLUMNS($AC$1006:AE1006),$AC$1006:$AS$1006,0)))),"Fix")))</f>
        <v xml:space="preserve"> </v>
      </c>
      <c r="E602" s="4" t="str">
        <f ca="1">IF(OR(INDEX($W$2:$W$1001,MATCH(ROWS($V$2:V602),$V$2:$V$1001,0),1)&gt;=100000,INDEX($AC$1005:$AS$1005,1,MATCH(COLUMNS($AC$1006:AF1006),$AC$1006:$AS$1006,0))&gt;=100000), " ",IF(INDEX($AC$2:$AS$1001,MATCH(ROWS($V$2:V602),$V$2:$V$1001,0),MATCH(COLUMNS($AC$1006:AF1006),$AC$1006:$AS$1006,0)), HYPERLINK("#",""), HYPERLINK(CONCATENATE("#metadata!", ADDRESS(INDEX($X$2:$X$1001,MATCH(ROWS($V$2:V602),$V$2:$V$1001,0),0), INDEX($AC$1004:$AS$1004,1,MATCH(COLUMNS($AC$1006:AF1006),$AC$1006:$AS$1006,0)))),"Fix")))</f>
        <v xml:space="preserve"> </v>
      </c>
      <c r="F602" s="4" t="str">
        <f ca="1">IF(OR(INDEX($W$2:$W$1001,MATCH(ROWS($V$2:V602),$V$2:$V$1001,0),1)&gt;=100000,INDEX($AC$1005:$AS$1005,1,MATCH(COLUMNS($AC$1006:AG1006),$AC$1006:$AS$1006,0))&gt;=100000), " ",IF(INDEX($AC$2:$AS$1001,MATCH(ROWS($V$2:V602),$V$2:$V$1001,0),MATCH(COLUMNS($AC$1006:AG1006),$AC$1006:$AS$1006,0)), HYPERLINK("#",""), HYPERLINK(CONCATENATE("#metadata!", ADDRESS(INDEX($X$2:$X$1001,MATCH(ROWS($V$2:V602),$V$2:$V$1001,0),0), INDEX($AC$1004:$AS$1004,1,MATCH(COLUMNS($AC$1006:AG1006),$AC$1006:$AS$1006,0)))),"Fix")))</f>
        <v xml:space="preserve"> </v>
      </c>
      <c r="G602" s="4" t="str">
        <f ca="1">IF(OR(INDEX($W$2:$W$1001,MATCH(ROWS($V$2:V602),$V$2:$V$1001,0),1)&gt;=100000,INDEX($AC$1005:$AS$1005,1,MATCH(COLUMNS($AC$1006:AH1006),$AC$1006:$AS$1006,0))&gt;=100000), " ",IF(INDEX($AC$2:$AS$1001,MATCH(ROWS($V$2:V602),$V$2:$V$1001,0),MATCH(COLUMNS($AC$1006:AH1006),$AC$1006:$AS$1006,0)), HYPERLINK("#",""), HYPERLINK(CONCATENATE("#metadata!", ADDRESS(INDEX($X$2:$X$1001,MATCH(ROWS($V$2:V602),$V$2:$V$1001,0),0), INDEX($AC$1004:$AS$1004,1,MATCH(COLUMNS($AC$1006:AH1006),$AC$1006:$AS$1006,0)))),"Fix")))</f>
        <v xml:space="preserve"> </v>
      </c>
      <c r="H602" s="4" t="str">
        <f ca="1">IF(OR(INDEX($W$2:$W$1001,MATCH(ROWS($V$2:V602),$V$2:$V$1001,0),1)&gt;=100000,INDEX($AC$1005:$AS$1005,1,MATCH(COLUMNS($AC$1006:AI1006),$AC$1006:$AS$1006,0))&gt;=100000), " ",IF(INDEX($AC$2:$AS$1001,MATCH(ROWS($V$2:V602),$V$2:$V$1001,0),MATCH(COLUMNS($AC$1006:AI1006),$AC$1006:$AS$1006,0)), HYPERLINK("#",""), HYPERLINK(CONCATENATE("#metadata!", ADDRESS(INDEX($X$2:$X$1001,MATCH(ROWS($V$2:V602),$V$2:$V$1001,0),0), INDEX($AC$1004:$AS$1004,1,MATCH(COLUMNS($AC$1006:AI1006),$AC$1006:$AS$1006,0)))),"Fix")))</f>
        <v xml:space="preserve"> </v>
      </c>
      <c r="I602" s="4" t="str">
        <f ca="1">IF(OR(INDEX($W$2:$W$1001,MATCH(ROWS($V$2:V602),$V$2:$V$1001,0),1)&gt;=100000,INDEX($AC$1005:$AS$1005,1,MATCH(COLUMNS($AC$1006:AJ1006),$AC$1006:$AS$1006,0))&gt;=100000), " ",IF(INDEX($AC$2:$AS$1001,MATCH(ROWS($V$2:V602),$V$2:$V$1001,0),MATCH(COLUMNS($AC$1006:AJ1006),$AC$1006:$AS$1006,0)), HYPERLINK("#",""), HYPERLINK(CONCATENATE("#metadata!", ADDRESS(INDEX($X$2:$X$1001,MATCH(ROWS($V$2:V602),$V$2:$V$1001,0),0), INDEX($AC$1004:$AS$1004,1,MATCH(COLUMNS($AC$1006:AJ1006),$AC$1006:$AS$1006,0)))),"Fix")))</f>
        <v xml:space="preserve"> </v>
      </c>
      <c r="J602" s="4" t="str">
        <f ca="1">IF(OR(INDEX($W$2:$W$1001,MATCH(ROWS($V$2:V602),$V$2:$V$1001,0),1)&gt;=100000,INDEX($AC$1005:$AS$1005,1,MATCH(COLUMNS($AC$1006:AK1006),$AC$1006:$AS$1006,0))&gt;=100000), " ",IF(INDEX($AC$2:$AS$1001,MATCH(ROWS($V$2:V602),$V$2:$V$1001,0),MATCH(COLUMNS($AC$1006:AK1006),$AC$1006:$AS$1006,0)), HYPERLINK("#",""), HYPERLINK(CONCATENATE("#metadata!", ADDRESS(INDEX($X$2:$X$1001,MATCH(ROWS($V$2:V602),$V$2:$V$1001,0),0), INDEX($AC$1004:$AS$1004,1,MATCH(COLUMNS($AC$1006:AK1006),$AC$1006:$AS$1006,0)))),"Fix")))</f>
        <v xml:space="preserve"> </v>
      </c>
      <c r="K602" s="4" t="str">
        <f ca="1">IF(OR(INDEX($W$2:$W$1001,MATCH(ROWS($V$2:V602),$V$2:$V$1001,0),1)&gt;=100000,INDEX($AC$1005:$AS$1005,1,MATCH(COLUMNS($AC$1006:AL1006),$AC$1006:$AS$1006,0))&gt;=100000), " ",IF(INDEX($AC$2:$AS$1001,MATCH(ROWS($V$2:V602),$V$2:$V$1001,0),MATCH(COLUMNS($AC$1006:AL1006),$AC$1006:$AS$1006,0)), HYPERLINK("#",""), HYPERLINK(CONCATENATE("#metadata!", ADDRESS(INDEX($X$2:$X$1001,MATCH(ROWS($V$2:V602),$V$2:$V$1001,0),0), INDEX($AC$1004:$AS$1004,1,MATCH(COLUMNS($AC$1006:AL1006),$AC$1006:$AS$1006,0)))),"Fix")))</f>
        <v xml:space="preserve"> </v>
      </c>
      <c r="L602" s="4" t="str">
        <f ca="1">IF(OR(INDEX($W$2:$W$1001,MATCH(ROWS($V$2:V602),$V$2:$V$1001,0),1)&gt;=100000,INDEX($AC$1005:$AS$1005,1,MATCH(COLUMNS($AC$1006:AM1006),$AC$1006:$AS$1006,0))&gt;=100000), " ",IF(INDEX($AC$2:$AS$1001,MATCH(ROWS($V$2:V602),$V$2:$V$1001,0),MATCH(COLUMNS($AC$1006:AM1006),$AC$1006:$AS$1006,0)), HYPERLINK("#",""), HYPERLINK(CONCATENATE("#metadata!", ADDRESS(INDEX($X$2:$X$1001,MATCH(ROWS($V$2:V602),$V$2:$V$1001,0),0), INDEX($AC$1004:$AS$1004,1,MATCH(COLUMNS($AC$1006:AM1006),$AC$1006:$AS$1006,0)))),"Fix")))</f>
        <v xml:space="preserve"> </v>
      </c>
      <c r="M602" s="4" t="str">
        <f ca="1">IF(OR(INDEX($W$2:$W$1001,MATCH(ROWS($V$2:V602),$V$2:$V$1001,0),1)&gt;=100000,INDEX($AC$1005:$AS$1005,1,MATCH(COLUMNS($AC$1006:AN1006),$AC$1006:$AS$1006,0))&gt;=100000), " ",IF(INDEX($AC$2:$AS$1001,MATCH(ROWS($V$2:V602),$V$2:$V$1001,0),MATCH(COLUMNS($AC$1006:AN1006),$AC$1006:$AS$1006,0)), HYPERLINK("#",""), HYPERLINK(CONCATENATE("#metadata!", ADDRESS(INDEX($X$2:$X$1001,MATCH(ROWS($V$2:V602),$V$2:$V$1001,0),0), INDEX($AC$1004:$AS$1004,1,MATCH(COLUMNS($AC$1006:AN1006),$AC$1006:$AS$1006,0)))),"Fix")))</f>
        <v xml:space="preserve"> </v>
      </c>
      <c r="N602" s="4" t="str">
        <f ca="1">IF(OR(INDEX($W$2:$W$1001,MATCH(ROWS($V$2:V602),$V$2:$V$1001,0),1)&gt;=100000,INDEX($AC$1005:$AS$1005,1,MATCH(COLUMNS($AC$1006:AO1006),$AC$1006:$AS$1006,0))&gt;=100000), " ",IF(INDEX($AC$2:$AS$1001,MATCH(ROWS($V$2:V602),$V$2:$V$1001,0),MATCH(COLUMNS($AC$1006:AO1006),$AC$1006:$AS$1006,0)), HYPERLINK("#",""), HYPERLINK(CONCATENATE("#metadata!", ADDRESS(INDEX($X$2:$X$1001,MATCH(ROWS($V$2:V602),$V$2:$V$1001,0),0), INDEX($AC$1004:$AS$1004,1,MATCH(COLUMNS($AC$1006:AO1006),$AC$1006:$AS$1006,0)))),"Fix")))</f>
        <v xml:space="preserve"> </v>
      </c>
      <c r="O602" s="4" t="str">
        <f ca="1">IF(OR(INDEX($W$2:$W$1001,MATCH(ROWS($V$2:V602),$V$2:$V$1001,0),1)&gt;=100000,INDEX($AC$1005:$AS$1005,1,MATCH(COLUMNS($AC$1006:AP1006),$AC$1006:$AS$1006,0))&gt;=100000), " ",IF(INDEX($AC$2:$AS$1001,MATCH(ROWS($V$2:V602),$V$2:$V$1001,0),MATCH(COLUMNS($AC$1006:AP1006),$AC$1006:$AS$1006,0)), HYPERLINK("#",""), HYPERLINK(CONCATENATE("#metadata!", ADDRESS(INDEX($X$2:$X$1001,MATCH(ROWS($V$2:V602),$V$2:$V$1001,0),0), INDEX($AC$1004:$AS$1004,1,MATCH(COLUMNS($AC$1006:AP1006),$AC$1006:$AS$1006,0)))),"Fix")))</f>
        <v xml:space="preserve"> </v>
      </c>
      <c r="P602" s="4" t="str">
        <f ca="1">IF(OR(INDEX($W$2:$W$1001,MATCH(ROWS($V$2:V602),$V$2:$V$1001,0),1)&gt;=100000,INDEX($AC$1005:$AS$1005,1,MATCH(COLUMNS($AC$1006:AQ1006),$AC$1006:$AS$1006,0))&gt;=100000), " ",IF(INDEX($AC$2:$AS$1001,MATCH(ROWS($V$2:V602),$V$2:$V$1001,0),MATCH(COLUMNS($AC$1006:AQ1006),$AC$1006:$AS$1006,0)), HYPERLINK("#",""), HYPERLINK(CONCATENATE("#metadata!", ADDRESS(INDEX($X$2:$X$1001,MATCH(ROWS($V$2:V602),$V$2:$V$1001,0),0), INDEX($AC$1004:$AS$1004,1,MATCH(COLUMNS($AC$1006:AQ1006),$AC$1006:$AS$1006,0)))),"Fix")))</f>
        <v xml:space="preserve"> </v>
      </c>
      <c r="Q602" s="4" t="str">
        <f ca="1">IF(OR(INDEX($W$2:$W$1001,MATCH(ROWS($V$2:V602),$V$2:$V$1001,0),1)&gt;=100000,INDEX($AC$1005:$AS$1005,1,MATCH(COLUMNS($AC$1006:AR1006),$AC$1006:$AS$1006,0))&gt;=100000), " ",IF(INDEX($AC$2:$AS$1001,MATCH(ROWS($V$2:V602),$V$2:$V$1001,0),MATCH(COLUMNS($AC$1006:AR1006),$AC$1006:$AS$1006,0)), HYPERLINK("#",""), HYPERLINK(CONCATENATE("#metadata!", ADDRESS(INDEX($X$2:$X$1001,MATCH(ROWS($V$2:V602),$V$2:$V$1001,0),0), INDEX($AC$1004:$AS$1004,1,MATCH(COLUMNS($AC$1006:AR1006),$AC$1006:$AS$1006,0)))),"Fix")))</f>
        <v xml:space="preserve"> </v>
      </c>
      <c r="R602" s="4" t="str">
        <f ca="1">IF(OR(INDEX($W$2:$W$1001,MATCH(ROWS($V$2:V602),$V$2:$V$1001,0),1)&gt;=100000,INDEX($AC$1005:$AS$1005,1,MATCH(COLUMNS($AC$1006:AS1006),$AC$1006:$AS$1006,0))&gt;=100000), " ",IF(INDEX($AC$2:$AS$1001,MATCH(ROWS($V$2:V602),$V$2:$V$1001,0),MATCH(COLUMNS($AC$1006:AS1006),$AC$1006:$AS$1006,0)), HYPERLINK("#",""), HYPERLINK(CONCATENATE("#metadata!", ADDRESS(INDEX($X$2:$X$1001,MATCH(ROWS($V$2:V602),$V$2:$V$1001,0),0), INDEX($AC$1004:$AS$1004,1,MATCH(COLUMNS($AC$1006:AS1006),$AC$1006:$AS$1006,0)))),"Fix")))</f>
        <v xml:space="preserve"> </v>
      </c>
      <c r="V602">
        <v>601</v>
      </c>
      <c r="W602">
        <v>100602</v>
      </c>
      <c r="X602">
        <v>602</v>
      </c>
      <c r="Y602" t="b">
        <f t="shared" si="9"/>
        <v>1</v>
      </c>
      <c r="Z602" t="b">
        <f>COUNTBLANK(metadata!B602:R602)=COLUMNS(metadata!B602:R602)</f>
        <v>1</v>
      </c>
      <c r="AA602" t="str">
        <v/>
      </c>
      <c r="AC602" t="b">
        <f ca="1"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AD602" t="b">
        <f>IF(metadata!C602="",FALSE,ISNUMBER(VALUE(metadata!C602)))</f>
        <v>0</v>
      </c>
      <c r="AE602" t="b">
        <f>AND(IF(metadata!D602="",FALSE,TRUE),EXACT(metadata!D602,"years"))</f>
        <v>0</v>
      </c>
      <c r="AF602" t="b">
        <f>OR(AND(IF(metadata!E602="",FALSE,TRUE),OR(EXACT(metadata!E602,"not applicable"),EXACT(metadata!E602,"missing: not collected"),EXACT(metadata!E602,"missing: not provided"),EXACT(metadata!E602,"missing: restricted access"))),AND(IF(metadata!E602="",FALSE,ISNUMBER(VALUE(metadata!E602))),metadata!E602&gt;0))</f>
        <v>0</v>
      </c>
      <c r="AG602" t="b">
        <f>AND(IF(metadata!F602="",FALSE,TRUE),EXACT(metadata!F602,"Not applicable"))</f>
        <v>0</v>
      </c>
      <c r="AH602" t="b">
        <f>AND(IF(metadata!G602="",FALSE,TRUE),EXACT(metadata!G602,"urban biome"))</f>
        <v>0</v>
      </c>
      <c r="AI602" t="b">
        <f>AND(IF(metadata!H602="",FALSE,TRUE),EXACT(metadata!H602,"human-associated habitat"))</f>
        <v>0</v>
      </c>
      <c r="AJ602" t="b">
        <f>AND(IF(metadata!I602="",FALSE,TRUE),OR(EXACT(metadata!I602,"human-associated"),EXACT(metadata!I602,"human-skin"),EXACT(metadata!I602,"human-oral"),EXACT(metadata!I602,"human-gut"),EXACT(metadata!I602,"human-vaginal")))</f>
        <v>0</v>
      </c>
      <c r="AK602" t="b">
        <f>IF(metadata!J602="",FALSE,ISNUMBER(VALUE(metadata!J602)))</f>
        <v>0</v>
      </c>
      <c r="AL602" t="b">
        <f>AND(IF(metadata!K602="",FALSE,TRUE),EXACT(metadata!K602,"cm"))</f>
        <v>0</v>
      </c>
      <c r="AM602" t="b">
        <f>AND(IF(metadata!L602="",FALSE,TRUE),EXACT(metadata!L602,"human"))</f>
        <v>0</v>
      </c>
      <c r="AN602" t="b">
        <f>AND(IF(metadata!M602="",FALSE,TRUE),EXACT(metadata!M602,"Homo sapiens"))</f>
        <v>0</v>
      </c>
      <c r="AO602" t="b">
        <f>AND(IF(metadata!N602="",FALSE,TRUE),EXACT(metadata!N602,"9606"))</f>
        <v>0</v>
      </c>
      <c r="AP602" t="b">
        <f>IF(metadata!O602="",FALSE,TRUE)</f>
        <v>0</v>
      </c>
      <c r="AQ602" t="b">
        <f>IF(metadata!P602="",FALSE,TRUE)</f>
        <v>0</v>
      </c>
      <c r="AR602" t="b">
        <f>IF(metadata!Q602="",FALSE,ISNUMBER(VALUE(metadata!Q602)))</f>
        <v>0</v>
      </c>
      <c r="AS602" t="b">
        <f>AND(IF(metadata!R602="",FALSE,TRUE),EXACT(metadata!R602,"kg"))</f>
        <v>0</v>
      </c>
    </row>
    <row r="603" spans="1:45" x14ac:dyDescent="0.2">
      <c r="A603" s="5" t="str">
        <f ca="1">IF(B603=" "," ",HYPERLINK(CONCATENATE("#metadata!",ADDRESS(INDEX($X$2:$X$1001,MATCH(ROWS($V$2:V603),$V$2:$V$1001,0),0),1)),INDEX($AA$2:$AA$1001,MATCH(ROWS($V$2:V603),$V$2:$V$1001,0),0)))</f>
        <v xml:space="preserve"> </v>
      </c>
      <c r="B603" s="4" t="str">
        <f ca="1">IF(OR(INDEX($W$2:$W$1001,MATCH(ROWS($V$2:V603),$V$2:$V$1001,0),1)&gt;=100000,INDEX($AC$1005:$AS$1005,1,MATCH(COLUMNS($AC$1006:AC1006),$AC$1006:$AS$1006,0))&gt;=100000), " ",IF(INDEX($AC$2:$AS$1001,MATCH(ROWS($V$2:V603),$V$2:$V$1001,0),MATCH(COLUMNS($AC$1006:AC1006),$AC$1006:$AS$1006,0)), HYPERLINK("#",""), HYPERLINK(CONCATENATE("#metadata!", ADDRESS(INDEX($X$2:$X$1001,MATCH(ROWS($V$2:V603),$V$2:$V$1001,0),0), INDEX($AC$1004:$AS$1004,1,MATCH(COLUMNS($AC$1006:AC1006),$AC$1006:$AS$1006,0)))),"Fix")))</f>
        <v xml:space="preserve"> </v>
      </c>
      <c r="C603" s="4" t="str">
        <f ca="1">IF(OR(INDEX($W$2:$W$1001,MATCH(ROWS($V$2:V603),$V$2:$V$1001,0),1)&gt;=100000,INDEX($AC$1005:$AS$1005,1,MATCH(COLUMNS($AC$1006:AD1006),$AC$1006:$AS$1006,0))&gt;=100000), " ",IF(INDEX($AC$2:$AS$1001,MATCH(ROWS($V$2:V603),$V$2:$V$1001,0),MATCH(COLUMNS($AC$1006:AD1006),$AC$1006:$AS$1006,0)), HYPERLINK("#",""), HYPERLINK(CONCATENATE("#metadata!", ADDRESS(INDEX($X$2:$X$1001,MATCH(ROWS($V$2:V603),$V$2:$V$1001,0),0), INDEX($AC$1004:$AS$1004,1,MATCH(COLUMNS($AC$1006:AD1006),$AC$1006:$AS$1006,0)))),"Fix")))</f>
        <v xml:space="preserve"> </v>
      </c>
      <c r="D603" s="4" t="str">
        <f ca="1">IF(OR(INDEX($W$2:$W$1001,MATCH(ROWS($V$2:V603),$V$2:$V$1001,0),1)&gt;=100000,INDEX($AC$1005:$AS$1005,1,MATCH(COLUMNS($AC$1006:AE1006),$AC$1006:$AS$1006,0))&gt;=100000), " ",IF(INDEX($AC$2:$AS$1001,MATCH(ROWS($V$2:V603),$V$2:$V$1001,0),MATCH(COLUMNS($AC$1006:AE1006),$AC$1006:$AS$1006,0)), HYPERLINK("#",""), HYPERLINK(CONCATENATE("#metadata!", ADDRESS(INDEX($X$2:$X$1001,MATCH(ROWS($V$2:V603),$V$2:$V$1001,0),0), INDEX($AC$1004:$AS$1004,1,MATCH(COLUMNS($AC$1006:AE1006),$AC$1006:$AS$1006,0)))),"Fix")))</f>
        <v xml:space="preserve"> </v>
      </c>
      <c r="E603" s="4" t="str">
        <f ca="1">IF(OR(INDEX($W$2:$W$1001,MATCH(ROWS($V$2:V603),$V$2:$V$1001,0),1)&gt;=100000,INDEX($AC$1005:$AS$1005,1,MATCH(COLUMNS($AC$1006:AF1006),$AC$1006:$AS$1006,0))&gt;=100000), " ",IF(INDEX($AC$2:$AS$1001,MATCH(ROWS($V$2:V603),$V$2:$V$1001,0),MATCH(COLUMNS($AC$1006:AF1006),$AC$1006:$AS$1006,0)), HYPERLINK("#",""), HYPERLINK(CONCATENATE("#metadata!", ADDRESS(INDEX($X$2:$X$1001,MATCH(ROWS($V$2:V603),$V$2:$V$1001,0),0), INDEX($AC$1004:$AS$1004,1,MATCH(COLUMNS($AC$1006:AF1006),$AC$1006:$AS$1006,0)))),"Fix")))</f>
        <v xml:space="preserve"> </v>
      </c>
      <c r="F603" s="4" t="str">
        <f ca="1">IF(OR(INDEX($W$2:$W$1001,MATCH(ROWS($V$2:V603),$V$2:$V$1001,0),1)&gt;=100000,INDEX($AC$1005:$AS$1005,1,MATCH(COLUMNS($AC$1006:AG1006),$AC$1006:$AS$1006,0))&gt;=100000), " ",IF(INDEX($AC$2:$AS$1001,MATCH(ROWS($V$2:V603),$V$2:$V$1001,0),MATCH(COLUMNS($AC$1006:AG1006),$AC$1006:$AS$1006,0)), HYPERLINK("#",""), HYPERLINK(CONCATENATE("#metadata!", ADDRESS(INDEX($X$2:$X$1001,MATCH(ROWS($V$2:V603),$V$2:$V$1001,0),0), INDEX($AC$1004:$AS$1004,1,MATCH(COLUMNS($AC$1006:AG1006),$AC$1006:$AS$1006,0)))),"Fix")))</f>
        <v xml:space="preserve"> </v>
      </c>
      <c r="G603" s="4" t="str">
        <f ca="1">IF(OR(INDEX($W$2:$W$1001,MATCH(ROWS($V$2:V603),$V$2:$V$1001,0),1)&gt;=100000,INDEX($AC$1005:$AS$1005,1,MATCH(COLUMNS($AC$1006:AH1006),$AC$1006:$AS$1006,0))&gt;=100000), " ",IF(INDEX($AC$2:$AS$1001,MATCH(ROWS($V$2:V603),$V$2:$V$1001,0),MATCH(COLUMNS($AC$1006:AH1006),$AC$1006:$AS$1006,0)), HYPERLINK("#",""), HYPERLINK(CONCATENATE("#metadata!", ADDRESS(INDEX($X$2:$X$1001,MATCH(ROWS($V$2:V603),$V$2:$V$1001,0),0), INDEX($AC$1004:$AS$1004,1,MATCH(COLUMNS($AC$1006:AH1006),$AC$1006:$AS$1006,0)))),"Fix")))</f>
        <v xml:space="preserve"> </v>
      </c>
      <c r="H603" s="4" t="str">
        <f ca="1">IF(OR(INDEX($W$2:$W$1001,MATCH(ROWS($V$2:V603),$V$2:$V$1001,0),1)&gt;=100000,INDEX($AC$1005:$AS$1005,1,MATCH(COLUMNS($AC$1006:AI1006),$AC$1006:$AS$1006,0))&gt;=100000), " ",IF(INDEX($AC$2:$AS$1001,MATCH(ROWS($V$2:V603),$V$2:$V$1001,0),MATCH(COLUMNS($AC$1006:AI1006),$AC$1006:$AS$1006,0)), HYPERLINK("#",""), HYPERLINK(CONCATENATE("#metadata!", ADDRESS(INDEX($X$2:$X$1001,MATCH(ROWS($V$2:V603),$V$2:$V$1001,0),0), INDEX($AC$1004:$AS$1004,1,MATCH(COLUMNS($AC$1006:AI1006),$AC$1006:$AS$1006,0)))),"Fix")))</f>
        <v xml:space="preserve"> </v>
      </c>
      <c r="I603" s="4" t="str">
        <f ca="1">IF(OR(INDEX($W$2:$W$1001,MATCH(ROWS($V$2:V603),$V$2:$V$1001,0),1)&gt;=100000,INDEX($AC$1005:$AS$1005,1,MATCH(COLUMNS($AC$1006:AJ1006),$AC$1006:$AS$1006,0))&gt;=100000), " ",IF(INDEX($AC$2:$AS$1001,MATCH(ROWS($V$2:V603),$V$2:$V$1001,0),MATCH(COLUMNS($AC$1006:AJ1006),$AC$1006:$AS$1006,0)), HYPERLINK("#",""), HYPERLINK(CONCATENATE("#metadata!", ADDRESS(INDEX($X$2:$X$1001,MATCH(ROWS($V$2:V603),$V$2:$V$1001,0),0), INDEX($AC$1004:$AS$1004,1,MATCH(COLUMNS($AC$1006:AJ1006),$AC$1006:$AS$1006,0)))),"Fix")))</f>
        <v xml:space="preserve"> </v>
      </c>
      <c r="J603" s="4" t="str">
        <f ca="1">IF(OR(INDEX($W$2:$W$1001,MATCH(ROWS($V$2:V603),$V$2:$V$1001,0),1)&gt;=100000,INDEX($AC$1005:$AS$1005,1,MATCH(COLUMNS($AC$1006:AK1006),$AC$1006:$AS$1006,0))&gt;=100000), " ",IF(INDEX($AC$2:$AS$1001,MATCH(ROWS($V$2:V603),$V$2:$V$1001,0),MATCH(COLUMNS($AC$1006:AK1006),$AC$1006:$AS$1006,0)), HYPERLINK("#",""), HYPERLINK(CONCATENATE("#metadata!", ADDRESS(INDEX($X$2:$X$1001,MATCH(ROWS($V$2:V603),$V$2:$V$1001,0),0), INDEX($AC$1004:$AS$1004,1,MATCH(COLUMNS($AC$1006:AK1006),$AC$1006:$AS$1006,0)))),"Fix")))</f>
        <v xml:space="preserve"> </v>
      </c>
      <c r="K603" s="4" t="str">
        <f ca="1">IF(OR(INDEX($W$2:$W$1001,MATCH(ROWS($V$2:V603),$V$2:$V$1001,0),1)&gt;=100000,INDEX($AC$1005:$AS$1005,1,MATCH(COLUMNS($AC$1006:AL1006),$AC$1006:$AS$1006,0))&gt;=100000), " ",IF(INDEX($AC$2:$AS$1001,MATCH(ROWS($V$2:V603),$V$2:$V$1001,0),MATCH(COLUMNS($AC$1006:AL1006),$AC$1006:$AS$1006,0)), HYPERLINK("#",""), HYPERLINK(CONCATENATE("#metadata!", ADDRESS(INDEX($X$2:$X$1001,MATCH(ROWS($V$2:V603),$V$2:$V$1001,0),0), INDEX($AC$1004:$AS$1004,1,MATCH(COLUMNS($AC$1006:AL1006),$AC$1006:$AS$1006,0)))),"Fix")))</f>
        <v xml:space="preserve"> </v>
      </c>
      <c r="L603" s="4" t="str">
        <f ca="1">IF(OR(INDEX($W$2:$W$1001,MATCH(ROWS($V$2:V603),$V$2:$V$1001,0),1)&gt;=100000,INDEX($AC$1005:$AS$1005,1,MATCH(COLUMNS($AC$1006:AM1006),$AC$1006:$AS$1006,0))&gt;=100000), " ",IF(INDEX($AC$2:$AS$1001,MATCH(ROWS($V$2:V603),$V$2:$V$1001,0),MATCH(COLUMNS($AC$1006:AM1006),$AC$1006:$AS$1006,0)), HYPERLINK("#",""), HYPERLINK(CONCATENATE("#metadata!", ADDRESS(INDEX($X$2:$X$1001,MATCH(ROWS($V$2:V603),$V$2:$V$1001,0),0), INDEX($AC$1004:$AS$1004,1,MATCH(COLUMNS($AC$1006:AM1006),$AC$1006:$AS$1006,0)))),"Fix")))</f>
        <v xml:space="preserve"> </v>
      </c>
      <c r="M603" s="4" t="str">
        <f ca="1">IF(OR(INDEX($W$2:$W$1001,MATCH(ROWS($V$2:V603),$V$2:$V$1001,0),1)&gt;=100000,INDEX($AC$1005:$AS$1005,1,MATCH(COLUMNS($AC$1006:AN1006),$AC$1006:$AS$1006,0))&gt;=100000), " ",IF(INDEX($AC$2:$AS$1001,MATCH(ROWS($V$2:V603),$V$2:$V$1001,0),MATCH(COLUMNS($AC$1006:AN1006),$AC$1006:$AS$1006,0)), HYPERLINK("#",""), HYPERLINK(CONCATENATE("#metadata!", ADDRESS(INDEX($X$2:$X$1001,MATCH(ROWS($V$2:V603),$V$2:$V$1001,0),0), INDEX($AC$1004:$AS$1004,1,MATCH(COLUMNS($AC$1006:AN1006),$AC$1006:$AS$1006,0)))),"Fix")))</f>
        <v xml:space="preserve"> </v>
      </c>
      <c r="N603" s="4" t="str">
        <f ca="1">IF(OR(INDEX($W$2:$W$1001,MATCH(ROWS($V$2:V603),$V$2:$V$1001,0),1)&gt;=100000,INDEX($AC$1005:$AS$1005,1,MATCH(COLUMNS($AC$1006:AO1006),$AC$1006:$AS$1006,0))&gt;=100000), " ",IF(INDEX($AC$2:$AS$1001,MATCH(ROWS($V$2:V603),$V$2:$V$1001,0),MATCH(COLUMNS($AC$1006:AO1006),$AC$1006:$AS$1006,0)), HYPERLINK("#",""), HYPERLINK(CONCATENATE("#metadata!", ADDRESS(INDEX($X$2:$X$1001,MATCH(ROWS($V$2:V603),$V$2:$V$1001,0),0), INDEX($AC$1004:$AS$1004,1,MATCH(COLUMNS($AC$1006:AO1006),$AC$1006:$AS$1006,0)))),"Fix")))</f>
        <v xml:space="preserve"> </v>
      </c>
      <c r="O603" s="4" t="str">
        <f ca="1">IF(OR(INDEX($W$2:$W$1001,MATCH(ROWS($V$2:V603),$V$2:$V$1001,0),1)&gt;=100000,INDEX($AC$1005:$AS$1005,1,MATCH(COLUMNS($AC$1006:AP1006),$AC$1006:$AS$1006,0))&gt;=100000), " ",IF(INDEX($AC$2:$AS$1001,MATCH(ROWS($V$2:V603),$V$2:$V$1001,0),MATCH(COLUMNS($AC$1006:AP1006),$AC$1006:$AS$1006,0)), HYPERLINK("#",""), HYPERLINK(CONCATENATE("#metadata!", ADDRESS(INDEX($X$2:$X$1001,MATCH(ROWS($V$2:V603),$V$2:$V$1001,0),0), INDEX($AC$1004:$AS$1004,1,MATCH(COLUMNS($AC$1006:AP1006),$AC$1006:$AS$1006,0)))),"Fix")))</f>
        <v xml:space="preserve"> </v>
      </c>
      <c r="P603" s="4" t="str">
        <f ca="1">IF(OR(INDEX($W$2:$W$1001,MATCH(ROWS($V$2:V603),$V$2:$V$1001,0),1)&gt;=100000,INDEX($AC$1005:$AS$1005,1,MATCH(COLUMNS($AC$1006:AQ1006),$AC$1006:$AS$1006,0))&gt;=100000), " ",IF(INDEX($AC$2:$AS$1001,MATCH(ROWS($V$2:V603),$V$2:$V$1001,0),MATCH(COLUMNS($AC$1006:AQ1006),$AC$1006:$AS$1006,0)), HYPERLINK("#",""), HYPERLINK(CONCATENATE("#metadata!", ADDRESS(INDEX($X$2:$X$1001,MATCH(ROWS($V$2:V603),$V$2:$V$1001,0),0), INDEX($AC$1004:$AS$1004,1,MATCH(COLUMNS($AC$1006:AQ1006),$AC$1006:$AS$1006,0)))),"Fix")))</f>
        <v xml:space="preserve"> </v>
      </c>
      <c r="Q603" s="4" t="str">
        <f ca="1">IF(OR(INDEX($W$2:$W$1001,MATCH(ROWS($V$2:V603),$V$2:$V$1001,0),1)&gt;=100000,INDEX($AC$1005:$AS$1005,1,MATCH(COLUMNS($AC$1006:AR1006),$AC$1006:$AS$1006,0))&gt;=100000), " ",IF(INDEX($AC$2:$AS$1001,MATCH(ROWS($V$2:V603),$V$2:$V$1001,0),MATCH(COLUMNS($AC$1006:AR1006),$AC$1006:$AS$1006,0)), HYPERLINK("#",""), HYPERLINK(CONCATENATE("#metadata!", ADDRESS(INDEX($X$2:$X$1001,MATCH(ROWS($V$2:V603),$V$2:$V$1001,0),0), INDEX($AC$1004:$AS$1004,1,MATCH(COLUMNS($AC$1006:AR1006),$AC$1006:$AS$1006,0)))),"Fix")))</f>
        <v xml:space="preserve"> </v>
      </c>
      <c r="R603" s="4" t="str">
        <f ca="1">IF(OR(INDEX($W$2:$W$1001,MATCH(ROWS($V$2:V603),$V$2:$V$1001,0),1)&gt;=100000,INDEX($AC$1005:$AS$1005,1,MATCH(COLUMNS($AC$1006:AS1006),$AC$1006:$AS$1006,0))&gt;=100000), " ",IF(INDEX($AC$2:$AS$1001,MATCH(ROWS($V$2:V603),$V$2:$V$1001,0),MATCH(COLUMNS($AC$1006:AS1006),$AC$1006:$AS$1006,0)), HYPERLINK("#",""), HYPERLINK(CONCATENATE("#metadata!", ADDRESS(INDEX($X$2:$X$1001,MATCH(ROWS($V$2:V603),$V$2:$V$1001,0),0), INDEX($AC$1004:$AS$1004,1,MATCH(COLUMNS($AC$1006:AS1006),$AC$1006:$AS$1006,0)))),"Fix")))</f>
        <v xml:space="preserve"> </v>
      </c>
      <c r="V603">
        <v>602</v>
      </c>
      <c r="W603">
        <v>100603</v>
      </c>
      <c r="X603">
        <v>603</v>
      </c>
      <c r="Y603" t="b">
        <f t="shared" si="9"/>
        <v>1</v>
      </c>
      <c r="Z603" t="b">
        <f>COUNTBLANK(metadata!B603:R603)=COLUMNS(metadata!B603:R603)</f>
        <v>1</v>
      </c>
      <c r="AA603" t="str">
        <v/>
      </c>
      <c r="AC603" t="b">
        <f ca="1"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AD603" t="b">
        <f>IF(metadata!C603="",FALSE,ISNUMBER(VALUE(metadata!C603)))</f>
        <v>0</v>
      </c>
      <c r="AE603" t="b">
        <f>AND(IF(metadata!D603="",FALSE,TRUE),EXACT(metadata!D603,"years"))</f>
        <v>0</v>
      </c>
      <c r="AF603" t="b">
        <f>OR(AND(IF(metadata!E603="",FALSE,TRUE),OR(EXACT(metadata!E603,"not applicable"),EXACT(metadata!E603,"missing: not collected"),EXACT(metadata!E603,"missing: not provided"),EXACT(metadata!E603,"missing: restricted access"))),AND(IF(metadata!E603="",FALSE,ISNUMBER(VALUE(metadata!E603))),metadata!E603&gt;0))</f>
        <v>0</v>
      </c>
      <c r="AG603" t="b">
        <f>AND(IF(metadata!F603="",FALSE,TRUE),EXACT(metadata!F603,"Not applicable"))</f>
        <v>0</v>
      </c>
      <c r="AH603" t="b">
        <f>AND(IF(metadata!G603="",FALSE,TRUE),EXACT(metadata!G603,"urban biome"))</f>
        <v>0</v>
      </c>
      <c r="AI603" t="b">
        <f>AND(IF(metadata!H603="",FALSE,TRUE),EXACT(metadata!H603,"human-associated habitat"))</f>
        <v>0</v>
      </c>
      <c r="AJ603" t="b">
        <f>AND(IF(metadata!I603="",FALSE,TRUE),OR(EXACT(metadata!I603,"human-associated"),EXACT(metadata!I603,"human-skin"),EXACT(metadata!I603,"human-oral"),EXACT(metadata!I603,"human-gut"),EXACT(metadata!I603,"human-vaginal")))</f>
        <v>0</v>
      </c>
      <c r="AK603" t="b">
        <f>IF(metadata!J603="",FALSE,ISNUMBER(VALUE(metadata!J603)))</f>
        <v>0</v>
      </c>
      <c r="AL603" t="b">
        <f>AND(IF(metadata!K603="",FALSE,TRUE),EXACT(metadata!K603,"cm"))</f>
        <v>0</v>
      </c>
      <c r="AM603" t="b">
        <f>AND(IF(metadata!L603="",FALSE,TRUE),EXACT(metadata!L603,"human"))</f>
        <v>0</v>
      </c>
      <c r="AN603" t="b">
        <f>AND(IF(metadata!M603="",FALSE,TRUE),EXACT(metadata!M603,"Homo sapiens"))</f>
        <v>0</v>
      </c>
      <c r="AO603" t="b">
        <f>AND(IF(metadata!N603="",FALSE,TRUE),EXACT(metadata!N603,"9606"))</f>
        <v>0</v>
      </c>
      <c r="AP603" t="b">
        <f>IF(metadata!O603="",FALSE,TRUE)</f>
        <v>0</v>
      </c>
      <c r="AQ603" t="b">
        <f>IF(metadata!P603="",FALSE,TRUE)</f>
        <v>0</v>
      </c>
      <c r="AR603" t="b">
        <f>IF(metadata!Q603="",FALSE,ISNUMBER(VALUE(metadata!Q603)))</f>
        <v>0</v>
      </c>
      <c r="AS603" t="b">
        <f>AND(IF(metadata!R603="",FALSE,TRUE),EXACT(metadata!R603,"kg"))</f>
        <v>0</v>
      </c>
    </row>
    <row r="604" spans="1:45" x14ac:dyDescent="0.2">
      <c r="A604" s="5" t="str">
        <f ca="1">IF(B604=" "," ",HYPERLINK(CONCATENATE("#metadata!",ADDRESS(INDEX($X$2:$X$1001,MATCH(ROWS($V$2:V604),$V$2:$V$1001,0),0),1)),INDEX($AA$2:$AA$1001,MATCH(ROWS($V$2:V604),$V$2:$V$1001,0),0)))</f>
        <v xml:space="preserve"> </v>
      </c>
      <c r="B604" s="4" t="str">
        <f ca="1">IF(OR(INDEX($W$2:$W$1001,MATCH(ROWS($V$2:V604),$V$2:$V$1001,0),1)&gt;=100000,INDEX($AC$1005:$AS$1005,1,MATCH(COLUMNS($AC$1006:AC1006),$AC$1006:$AS$1006,0))&gt;=100000), " ",IF(INDEX($AC$2:$AS$1001,MATCH(ROWS($V$2:V604),$V$2:$V$1001,0),MATCH(COLUMNS($AC$1006:AC1006),$AC$1006:$AS$1006,0)), HYPERLINK("#",""), HYPERLINK(CONCATENATE("#metadata!", ADDRESS(INDEX($X$2:$X$1001,MATCH(ROWS($V$2:V604),$V$2:$V$1001,0),0), INDEX($AC$1004:$AS$1004,1,MATCH(COLUMNS($AC$1006:AC1006),$AC$1006:$AS$1006,0)))),"Fix")))</f>
        <v xml:space="preserve"> </v>
      </c>
      <c r="C604" s="4" t="str">
        <f ca="1">IF(OR(INDEX($W$2:$W$1001,MATCH(ROWS($V$2:V604),$V$2:$V$1001,0),1)&gt;=100000,INDEX($AC$1005:$AS$1005,1,MATCH(COLUMNS($AC$1006:AD1006),$AC$1006:$AS$1006,0))&gt;=100000), " ",IF(INDEX($AC$2:$AS$1001,MATCH(ROWS($V$2:V604),$V$2:$V$1001,0),MATCH(COLUMNS($AC$1006:AD1006),$AC$1006:$AS$1006,0)), HYPERLINK("#",""), HYPERLINK(CONCATENATE("#metadata!", ADDRESS(INDEX($X$2:$X$1001,MATCH(ROWS($V$2:V604),$V$2:$V$1001,0),0), INDEX($AC$1004:$AS$1004,1,MATCH(COLUMNS($AC$1006:AD1006),$AC$1006:$AS$1006,0)))),"Fix")))</f>
        <v xml:space="preserve"> </v>
      </c>
      <c r="D604" s="4" t="str">
        <f ca="1">IF(OR(INDEX($W$2:$W$1001,MATCH(ROWS($V$2:V604),$V$2:$V$1001,0),1)&gt;=100000,INDEX($AC$1005:$AS$1005,1,MATCH(COLUMNS($AC$1006:AE1006),$AC$1006:$AS$1006,0))&gt;=100000), " ",IF(INDEX($AC$2:$AS$1001,MATCH(ROWS($V$2:V604),$V$2:$V$1001,0),MATCH(COLUMNS($AC$1006:AE1006),$AC$1006:$AS$1006,0)), HYPERLINK("#",""), HYPERLINK(CONCATENATE("#metadata!", ADDRESS(INDEX($X$2:$X$1001,MATCH(ROWS($V$2:V604),$V$2:$V$1001,0),0), INDEX($AC$1004:$AS$1004,1,MATCH(COLUMNS($AC$1006:AE1006),$AC$1006:$AS$1006,0)))),"Fix")))</f>
        <v xml:space="preserve"> </v>
      </c>
      <c r="E604" s="4" t="str">
        <f ca="1">IF(OR(INDEX($W$2:$W$1001,MATCH(ROWS($V$2:V604),$V$2:$V$1001,0),1)&gt;=100000,INDEX($AC$1005:$AS$1005,1,MATCH(COLUMNS($AC$1006:AF1006),$AC$1006:$AS$1006,0))&gt;=100000), " ",IF(INDEX($AC$2:$AS$1001,MATCH(ROWS($V$2:V604),$V$2:$V$1001,0),MATCH(COLUMNS($AC$1006:AF1006),$AC$1006:$AS$1006,0)), HYPERLINK("#",""), HYPERLINK(CONCATENATE("#metadata!", ADDRESS(INDEX($X$2:$X$1001,MATCH(ROWS($V$2:V604),$V$2:$V$1001,0),0), INDEX($AC$1004:$AS$1004,1,MATCH(COLUMNS($AC$1006:AF1006),$AC$1006:$AS$1006,0)))),"Fix")))</f>
        <v xml:space="preserve"> </v>
      </c>
      <c r="F604" s="4" t="str">
        <f ca="1">IF(OR(INDEX($W$2:$W$1001,MATCH(ROWS($V$2:V604),$V$2:$V$1001,0),1)&gt;=100000,INDEX($AC$1005:$AS$1005,1,MATCH(COLUMNS($AC$1006:AG1006),$AC$1006:$AS$1006,0))&gt;=100000), " ",IF(INDEX($AC$2:$AS$1001,MATCH(ROWS($V$2:V604),$V$2:$V$1001,0),MATCH(COLUMNS($AC$1006:AG1006),$AC$1006:$AS$1006,0)), HYPERLINK("#",""), HYPERLINK(CONCATENATE("#metadata!", ADDRESS(INDEX($X$2:$X$1001,MATCH(ROWS($V$2:V604),$V$2:$V$1001,0),0), INDEX($AC$1004:$AS$1004,1,MATCH(COLUMNS($AC$1006:AG1006),$AC$1006:$AS$1006,0)))),"Fix")))</f>
        <v xml:space="preserve"> </v>
      </c>
      <c r="G604" s="4" t="str">
        <f ca="1">IF(OR(INDEX($W$2:$W$1001,MATCH(ROWS($V$2:V604),$V$2:$V$1001,0),1)&gt;=100000,INDEX($AC$1005:$AS$1005,1,MATCH(COLUMNS($AC$1006:AH1006),$AC$1006:$AS$1006,0))&gt;=100000), " ",IF(INDEX($AC$2:$AS$1001,MATCH(ROWS($V$2:V604),$V$2:$V$1001,0),MATCH(COLUMNS($AC$1006:AH1006),$AC$1006:$AS$1006,0)), HYPERLINK("#",""), HYPERLINK(CONCATENATE("#metadata!", ADDRESS(INDEX($X$2:$X$1001,MATCH(ROWS($V$2:V604),$V$2:$V$1001,0),0), INDEX($AC$1004:$AS$1004,1,MATCH(COLUMNS($AC$1006:AH1006),$AC$1006:$AS$1006,0)))),"Fix")))</f>
        <v xml:space="preserve"> </v>
      </c>
      <c r="H604" s="4" t="str">
        <f ca="1">IF(OR(INDEX($W$2:$W$1001,MATCH(ROWS($V$2:V604),$V$2:$V$1001,0),1)&gt;=100000,INDEX($AC$1005:$AS$1005,1,MATCH(COLUMNS($AC$1006:AI1006),$AC$1006:$AS$1006,0))&gt;=100000), " ",IF(INDEX($AC$2:$AS$1001,MATCH(ROWS($V$2:V604),$V$2:$V$1001,0),MATCH(COLUMNS($AC$1006:AI1006),$AC$1006:$AS$1006,0)), HYPERLINK("#",""), HYPERLINK(CONCATENATE("#metadata!", ADDRESS(INDEX($X$2:$X$1001,MATCH(ROWS($V$2:V604),$V$2:$V$1001,0),0), INDEX($AC$1004:$AS$1004,1,MATCH(COLUMNS($AC$1006:AI1006),$AC$1006:$AS$1006,0)))),"Fix")))</f>
        <v xml:space="preserve"> </v>
      </c>
      <c r="I604" s="4" t="str">
        <f ca="1">IF(OR(INDEX($W$2:$W$1001,MATCH(ROWS($V$2:V604),$V$2:$V$1001,0),1)&gt;=100000,INDEX($AC$1005:$AS$1005,1,MATCH(COLUMNS($AC$1006:AJ1006),$AC$1006:$AS$1006,0))&gt;=100000), " ",IF(INDEX($AC$2:$AS$1001,MATCH(ROWS($V$2:V604),$V$2:$V$1001,0),MATCH(COLUMNS($AC$1006:AJ1006),$AC$1006:$AS$1006,0)), HYPERLINK("#",""), HYPERLINK(CONCATENATE("#metadata!", ADDRESS(INDEX($X$2:$X$1001,MATCH(ROWS($V$2:V604),$V$2:$V$1001,0),0), INDEX($AC$1004:$AS$1004,1,MATCH(COLUMNS($AC$1006:AJ1006),$AC$1006:$AS$1006,0)))),"Fix")))</f>
        <v xml:space="preserve"> </v>
      </c>
      <c r="J604" s="4" t="str">
        <f ca="1">IF(OR(INDEX($W$2:$W$1001,MATCH(ROWS($V$2:V604),$V$2:$V$1001,0),1)&gt;=100000,INDEX($AC$1005:$AS$1005,1,MATCH(COLUMNS($AC$1006:AK1006),$AC$1006:$AS$1006,0))&gt;=100000), " ",IF(INDEX($AC$2:$AS$1001,MATCH(ROWS($V$2:V604),$V$2:$V$1001,0),MATCH(COLUMNS($AC$1006:AK1006),$AC$1006:$AS$1006,0)), HYPERLINK("#",""), HYPERLINK(CONCATENATE("#metadata!", ADDRESS(INDEX($X$2:$X$1001,MATCH(ROWS($V$2:V604),$V$2:$V$1001,0),0), INDEX($AC$1004:$AS$1004,1,MATCH(COLUMNS($AC$1006:AK1006),$AC$1006:$AS$1006,0)))),"Fix")))</f>
        <v xml:space="preserve"> </v>
      </c>
      <c r="K604" s="4" t="str">
        <f ca="1">IF(OR(INDEX($W$2:$W$1001,MATCH(ROWS($V$2:V604),$V$2:$V$1001,0),1)&gt;=100000,INDEX($AC$1005:$AS$1005,1,MATCH(COLUMNS($AC$1006:AL1006),$AC$1006:$AS$1006,0))&gt;=100000), " ",IF(INDEX($AC$2:$AS$1001,MATCH(ROWS($V$2:V604),$V$2:$V$1001,0),MATCH(COLUMNS($AC$1006:AL1006),$AC$1006:$AS$1006,0)), HYPERLINK("#",""), HYPERLINK(CONCATENATE("#metadata!", ADDRESS(INDEX($X$2:$X$1001,MATCH(ROWS($V$2:V604),$V$2:$V$1001,0),0), INDEX($AC$1004:$AS$1004,1,MATCH(COLUMNS($AC$1006:AL1006),$AC$1006:$AS$1006,0)))),"Fix")))</f>
        <v xml:space="preserve"> </v>
      </c>
      <c r="L604" s="4" t="str">
        <f ca="1">IF(OR(INDEX($W$2:$W$1001,MATCH(ROWS($V$2:V604),$V$2:$V$1001,0),1)&gt;=100000,INDEX($AC$1005:$AS$1005,1,MATCH(COLUMNS($AC$1006:AM1006),$AC$1006:$AS$1006,0))&gt;=100000), " ",IF(INDEX($AC$2:$AS$1001,MATCH(ROWS($V$2:V604),$V$2:$V$1001,0),MATCH(COLUMNS($AC$1006:AM1006),$AC$1006:$AS$1006,0)), HYPERLINK("#",""), HYPERLINK(CONCATENATE("#metadata!", ADDRESS(INDEX($X$2:$X$1001,MATCH(ROWS($V$2:V604),$V$2:$V$1001,0),0), INDEX($AC$1004:$AS$1004,1,MATCH(COLUMNS($AC$1006:AM1006),$AC$1006:$AS$1006,0)))),"Fix")))</f>
        <v xml:space="preserve"> </v>
      </c>
      <c r="M604" s="4" t="str">
        <f ca="1">IF(OR(INDEX($W$2:$W$1001,MATCH(ROWS($V$2:V604),$V$2:$V$1001,0),1)&gt;=100000,INDEX($AC$1005:$AS$1005,1,MATCH(COLUMNS($AC$1006:AN1006),$AC$1006:$AS$1006,0))&gt;=100000), " ",IF(INDEX($AC$2:$AS$1001,MATCH(ROWS($V$2:V604),$V$2:$V$1001,0),MATCH(COLUMNS($AC$1006:AN1006),$AC$1006:$AS$1006,0)), HYPERLINK("#",""), HYPERLINK(CONCATENATE("#metadata!", ADDRESS(INDEX($X$2:$X$1001,MATCH(ROWS($V$2:V604),$V$2:$V$1001,0),0), INDEX($AC$1004:$AS$1004,1,MATCH(COLUMNS($AC$1006:AN1006),$AC$1006:$AS$1006,0)))),"Fix")))</f>
        <v xml:space="preserve"> </v>
      </c>
      <c r="N604" s="4" t="str">
        <f ca="1">IF(OR(INDEX($W$2:$W$1001,MATCH(ROWS($V$2:V604),$V$2:$V$1001,0),1)&gt;=100000,INDEX($AC$1005:$AS$1005,1,MATCH(COLUMNS($AC$1006:AO1006),$AC$1006:$AS$1006,0))&gt;=100000), " ",IF(INDEX($AC$2:$AS$1001,MATCH(ROWS($V$2:V604),$V$2:$V$1001,0),MATCH(COLUMNS($AC$1006:AO1006),$AC$1006:$AS$1006,0)), HYPERLINK("#",""), HYPERLINK(CONCATENATE("#metadata!", ADDRESS(INDEX($X$2:$X$1001,MATCH(ROWS($V$2:V604),$V$2:$V$1001,0),0), INDEX($AC$1004:$AS$1004,1,MATCH(COLUMNS($AC$1006:AO1006),$AC$1006:$AS$1006,0)))),"Fix")))</f>
        <v xml:space="preserve"> </v>
      </c>
      <c r="O604" s="4" t="str">
        <f ca="1">IF(OR(INDEX($W$2:$W$1001,MATCH(ROWS($V$2:V604),$V$2:$V$1001,0),1)&gt;=100000,INDEX($AC$1005:$AS$1005,1,MATCH(COLUMNS($AC$1006:AP1006),$AC$1006:$AS$1006,0))&gt;=100000), " ",IF(INDEX($AC$2:$AS$1001,MATCH(ROWS($V$2:V604),$V$2:$V$1001,0),MATCH(COLUMNS($AC$1006:AP1006),$AC$1006:$AS$1006,0)), HYPERLINK("#",""), HYPERLINK(CONCATENATE("#metadata!", ADDRESS(INDEX($X$2:$X$1001,MATCH(ROWS($V$2:V604),$V$2:$V$1001,0),0), INDEX($AC$1004:$AS$1004,1,MATCH(COLUMNS($AC$1006:AP1006),$AC$1006:$AS$1006,0)))),"Fix")))</f>
        <v xml:space="preserve"> </v>
      </c>
      <c r="P604" s="4" t="str">
        <f ca="1">IF(OR(INDEX($W$2:$W$1001,MATCH(ROWS($V$2:V604),$V$2:$V$1001,0),1)&gt;=100000,INDEX($AC$1005:$AS$1005,1,MATCH(COLUMNS($AC$1006:AQ1006),$AC$1006:$AS$1006,0))&gt;=100000), " ",IF(INDEX($AC$2:$AS$1001,MATCH(ROWS($V$2:V604),$V$2:$V$1001,0),MATCH(COLUMNS($AC$1006:AQ1006),$AC$1006:$AS$1006,0)), HYPERLINK("#",""), HYPERLINK(CONCATENATE("#metadata!", ADDRESS(INDEX($X$2:$X$1001,MATCH(ROWS($V$2:V604),$V$2:$V$1001,0),0), INDEX($AC$1004:$AS$1004,1,MATCH(COLUMNS($AC$1006:AQ1006),$AC$1006:$AS$1006,0)))),"Fix")))</f>
        <v xml:space="preserve"> </v>
      </c>
      <c r="Q604" s="4" t="str">
        <f ca="1">IF(OR(INDEX($W$2:$W$1001,MATCH(ROWS($V$2:V604),$V$2:$V$1001,0),1)&gt;=100000,INDEX($AC$1005:$AS$1005,1,MATCH(COLUMNS($AC$1006:AR1006),$AC$1006:$AS$1006,0))&gt;=100000), " ",IF(INDEX($AC$2:$AS$1001,MATCH(ROWS($V$2:V604),$V$2:$V$1001,0),MATCH(COLUMNS($AC$1006:AR1006),$AC$1006:$AS$1006,0)), HYPERLINK("#",""), HYPERLINK(CONCATENATE("#metadata!", ADDRESS(INDEX($X$2:$X$1001,MATCH(ROWS($V$2:V604),$V$2:$V$1001,0),0), INDEX($AC$1004:$AS$1004,1,MATCH(COLUMNS($AC$1006:AR1006),$AC$1006:$AS$1006,0)))),"Fix")))</f>
        <v xml:space="preserve"> </v>
      </c>
      <c r="R604" s="4" t="str">
        <f ca="1">IF(OR(INDEX($W$2:$W$1001,MATCH(ROWS($V$2:V604),$V$2:$V$1001,0),1)&gt;=100000,INDEX($AC$1005:$AS$1005,1,MATCH(COLUMNS($AC$1006:AS1006),$AC$1006:$AS$1006,0))&gt;=100000), " ",IF(INDEX($AC$2:$AS$1001,MATCH(ROWS($V$2:V604),$V$2:$V$1001,0),MATCH(COLUMNS($AC$1006:AS1006),$AC$1006:$AS$1006,0)), HYPERLINK("#",""), HYPERLINK(CONCATENATE("#metadata!", ADDRESS(INDEX($X$2:$X$1001,MATCH(ROWS($V$2:V604),$V$2:$V$1001,0),0), INDEX($AC$1004:$AS$1004,1,MATCH(COLUMNS($AC$1006:AS1006),$AC$1006:$AS$1006,0)))),"Fix")))</f>
        <v xml:space="preserve"> </v>
      </c>
      <c r="V604">
        <v>603</v>
      </c>
      <c r="W604">
        <v>100604</v>
      </c>
      <c r="X604">
        <v>604</v>
      </c>
      <c r="Y604" t="b">
        <f t="shared" si="9"/>
        <v>1</v>
      </c>
      <c r="Z604" t="b">
        <f>COUNTBLANK(metadata!B604:R604)=COLUMNS(metadata!B604:R604)</f>
        <v>1</v>
      </c>
      <c r="AA604" t="str">
        <v/>
      </c>
      <c r="AC604" t="b">
        <f ca="1"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AD604" t="b">
        <f>IF(metadata!C604="",FALSE,ISNUMBER(VALUE(metadata!C604)))</f>
        <v>0</v>
      </c>
      <c r="AE604" t="b">
        <f>AND(IF(metadata!D604="",FALSE,TRUE),EXACT(metadata!D604,"years"))</f>
        <v>0</v>
      </c>
      <c r="AF604" t="b">
        <f>OR(AND(IF(metadata!E604="",FALSE,TRUE),OR(EXACT(metadata!E604,"not applicable"),EXACT(metadata!E604,"missing: not collected"),EXACT(metadata!E604,"missing: not provided"),EXACT(metadata!E604,"missing: restricted access"))),AND(IF(metadata!E604="",FALSE,ISNUMBER(VALUE(metadata!E604))),metadata!E604&gt;0))</f>
        <v>0</v>
      </c>
      <c r="AG604" t="b">
        <f>AND(IF(metadata!F604="",FALSE,TRUE),EXACT(metadata!F604,"Not applicable"))</f>
        <v>0</v>
      </c>
      <c r="AH604" t="b">
        <f>AND(IF(metadata!G604="",FALSE,TRUE),EXACT(metadata!G604,"urban biome"))</f>
        <v>0</v>
      </c>
      <c r="AI604" t="b">
        <f>AND(IF(metadata!H604="",FALSE,TRUE),EXACT(metadata!H604,"human-associated habitat"))</f>
        <v>0</v>
      </c>
      <c r="AJ604" t="b">
        <f>AND(IF(metadata!I604="",FALSE,TRUE),OR(EXACT(metadata!I604,"human-associated"),EXACT(metadata!I604,"human-skin"),EXACT(metadata!I604,"human-oral"),EXACT(metadata!I604,"human-gut"),EXACT(metadata!I604,"human-vaginal")))</f>
        <v>0</v>
      </c>
      <c r="AK604" t="b">
        <f>IF(metadata!J604="",FALSE,ISNUMBER(VALUE(metadata!J604)))</f>
        <v>0</v>
      </c>
      <c r="AL604" t="b">
        <f>AND(IF(metadata!K604="",FALSE,TRUE),EXACT(metadata!K604,"cm"))</f>
        <v>0</v>
      </c>
      <c r="AM604" t="b">
        <f>AND(IF(metadata!L604="",FALSE,TRUE),EXACT(metadata!L604,"human"))</f>
        <v>0</v>
      </c>
      <c r="AN604" t="b">
        <f>AND(IF(metadata!M604="",FALSE,TRUE),EXACT(metadata!M604,"Homo sapiens"))</f>
        <v>0</v>
      </c>
      <c r="AO604" t="b">
        <f>AND(IF(metadata!N604="",FALSE,TRUE),EXACT(metadata!N604,"9606"))</f>
        <v>0</v>
      </c>
      <c r="AP604" t="b">
        <f>IF(metadata!O604="",FALSE,TRUE)</f>
        <v>0</v>
      </c>
      <c r="AQ604" t="b">
        <f>IF(metadata!P604="",FALSE,TRUE)</f>
        <v>0</v>
      </c>
      <c r="AR604" t="b">
        <f>IF(metadata!Q604="",FALSE,ISNUMBER(VALUE(metadata!Q604)))</f>
        <v>0</v>
      </c>
      <c r="AS604" t="b">
        <f>AND(IF(metadata!R604="",FALSE,TRUE),EXACT(metadata!R604,"kg"))</f>
        <v>0</v>
      </c>
    </row>
    <row r="605" spans="1:45" x14ac:dyDescent="0.2">
      <c r="A605" s="5" t="str">
        <f ca="1">IF(B605=" "," ",HYPERLINK(CONCATENATE("#metadata!",ADDRESS(INDEX($X$2:$X$1001,MATCH(ROWS($V$2:V605),$V$2:$V$1001,0),0),1)),INDEX($AA$2:$AA$1001,MATCH(ROWS($V$2:V605),$V$2:$V$1001,0),0)))</f>
        <v xml:space="preserve"> </v>
      </c>
      <c r="B605" s="4" t="str">
        <f ca="1">IF(OR(INDEX($W$2:$W$1001,MATCH(ROWS($V$2:V605),$V$2:$V$1001,0),1)&gt;=100000,INDEX($AC$1005:$AS$1005,1,MATCH(COLUMNS($AC$1006:AC1006),$AC$1006:$AS$1006,0))&gt;=100000), " ",IF(INDEX($AC$2:$AS$1001,MATCH(ROWS($V$2:V605),$V$2:$V$1001,0),MATCH(COLUMNS($AC$1006:AC1006),$AC$1006:$AS$1006,0)), HYPERLINK("#",""), HYPERLINK(CONCATENATE("#metadata!", ADDRESS(INDEX($X$2:$X$1001,MATCH(ROWS($V$2:V605),$V$2:$V$1001,0),0), INDEX($AC$1004:$AS$1004,1,MATCH(COLUMNS($AC$1006:AC1006),$AC$1006:$AS$1006,0)))),"Fix")))</f>
        <v xml:space="preserve"> </v>
      </c>
      <c r="C605" s="4" t="str">
        <f ca="1">IF(OR(INDEX($W$2:$W$1001,MATCH(ROWS($V$2:V605),$V$2:$V$1001,0),1)&gt;=100000,INDEX($AC$1005:$AS$1005,1,MATCH(COLUMNS($AC$1006:AD1006),$AC$1006:$AS$1006,0))&gt;=100000), " ",IF(INDEX($AC$2:$AS$1001,MATCH(ROWS($V$2:V605),$V$2:$V$1001,0),MATCH(COLUMNS($AC$1006:AD1006),$AC$1006:$AS$1006,0)), HYPERLINK("#",""), HYPERLINK(CONCATENATE("#metadata!", ADDRESS(INDEX($X$2:$X$1001,MATCH(ROWS($V$2:V605),$V$2:$V$1001,0),0), INDEX($AC$1004:$AS$1004,1,MATCH(COLUMNS($AC$1006:AD1006),$AC$1006:$AS$1006,0)))),"Fix")))</f>
        <v xml:space="preserve"> </v>
      </c>
      <c r="D605" s="4" t="str">
        <f ca="1">IF(OR(INDEX($W$2:$W$1001,MATCH(ROWS($V$2:V605),$V$2:$V$1001,0),1)&gt;=100000,INDEX($AC$1005:$AS$1005,1,MATCH(COLUMNS($AC$1006:AE1006),$AC$1006:$AS$1006,0))&gt;=100000), " ",IF(INDEX($AC$2:$AS$1001,MATCH(ROWS($V$2:V605),$V$2:$V$1001,0),MATCH(COLUMNS($AC$1006:AE1006),$AC$1006:$AS$1006,0)), HYPERLINK("#",""), HYPERLINK(CONCATENATE("#metadata!", ADDRESS(INDEX($X$2:$X$1001,MATCH(ROWS($V$2:V605),$V$2:$V$1001,0),0), INDEX($AC$1004:$AS$1004,1,MATCH(COLUMNS($AC$1006:AE1006),$AC$1006:$AS$1006,0)))),"Fix")))</f>
        <v xml:space="preserve"> </v>
      </c>
      <c r="E605" s="4" t="str">
        <f ca="1">IF(OR(INDEX($W$2:$W$1001,MATCH(ROWS($V$2:V605),$V$2:$V$1001,0),1)&gt;=100000,INDEX($AC$1005:$AS$1005,1,MATCH(COLUMNS($AC$1006:AF1006),$AC$1006:$AS$1006,0))&gt;=100000), " ",IF(INDEX($AC$2:$AS$1001,MATCH(ROWS($V$2:V605),$V$2:$V$1001,0),MATCH(COLUMNS($AC$1006:AF1006),$AC$1006:$AS$1006,0)), HYPERLINK("#",""), HYPERLINK(CONCATENATE("#metadata!", ADDRESS(INDEX($X$2:$X$1001,MATCH(ROWS($V$2:V605),$V$2:$V$1001,0),0), INDEX($AC$1004:$AS$1004,1,MATCH(COLUMNS($AC$1006:AF1006),$AC$1006:$AS$1006,0)))),"Fix")))</f>
        <v xml:space="preserve"> </v>
      </c>
      <c r="F605" s="4" t="str">
        <f ca="1">IF(OR(INDEX($W$2:$W$1001,MATCH(ROWS($V$2:V605),$V$2:$V$1001,0),1)&gt;=100000,INDEX($AC$1005:$AS$1005,1,MATCH(COLUMNS($AC$1006:AG1006),$AC$1006:$AS$1006,0))&gt;=100000), " ",IF(INDEX($AC$2:$AS$1001,MATCH(ROWS($V$2:V605),$V$2:$V$1001,0),MATCH(COLUMNS($AC$1006:AG1006),$AC$1006:$AS$1006,0)), HYPERLINK("#",""), HYPERLINK(CONCATENATE("#metadata!", ADDRESS(INDEX($X$2:$X$1001,MATCH(ROWS($V$2:V605),$V$2:$V$1001,0),0), INDEX($AC$1004:$AS$1004,1,MATCH(COLUMNS($AC$1006:AG1006),$AC$1006:$AS$1006,0)))),"Fix")))</f>
        <v xml:space="preserve"> </v>
      </c>
      <c r="G605" s="4" t="str">
        <f ca="1">IF(OR(INDEX($W$2:$W$1001,MATCH(ROWS($V$2:V605),$V$2:$V$1001,0),1)&gt;=100000,INDEX($AC$1005:$AS$1005,1,MATCH(COLUMNS($AC$1006:AH1006),$AC$1006:$AS$1006,0))&gt;=100000), " ",IF(INDEX($AC$2:$AS$1001,MATCH(ROWS($V$2:V605),$V$2:$V$1001,0),MATCH(COLUMNS($AC$1006:AH1006),$AC$1006:$AS$1006,0)), HYPERLINK("#",""), HYPERLINK(CONCATENATE("#metadata!", ADDRESS(INDEX($X$2:$X$1001,MATCH(ROWS($V$2:V605),$V$2:$V$1001,0),0), INDEX($AC$1004:$AS$1004,1,MATCH(COLUMNS($AC$1006:AH1006),$AC$1006:$AS$1006,0)))),"Fix")))</f>
        <v xml:space="preserve"> </v>
      </c>
      <c r="H605" s="4" t="str">
        <f ca="1">IF(OR(INDEX($W$2:$W$1001,MATCH(ROWS($V$2:V605),$V$2:$V$1001,0),1)&gt;=100000,INDEX($AC$1005:$AS$1005,1,MATCH(COLUMNS($AC$1006:AI1006),$AC$1006:$AS$1006,0))&gt;=100000), " ",IF(INDEX($AC$2:$AS$1001,MATCH(ROWS($V$2:V605),$V$2:$V$1001,0),MATCH(COLUMNS($AC$1006:AI1006),$AC$1006:$AS$1006,0)), HYPERLINK("#",""), HYPERLINK(CONCATENATE("#metadata!", ADDRESS(INDEX($X$2:$X$1001,MATCH(ROWS($V$2:V605),$V$2:$V$1001,0),0), INDEX($AC$1004:$AS$1004,1,MATCH(COLUMNS($AC$1006:AI1006),$AC$1006:$AS$1006,0)))),"Fix")))</f>
        <v xml:space="preserve"> </v>
      </c>
      <c r="I605" s="4" t="str">
        <f ca="1">IF(OR(INDEX($W$2:$W$1001,MATCH(ROWS($V$2:V605),$V$2:$V$1001,0),1)&gt;=100000,INDEX($AC$1005:$AS$1005,1,MATCH(COLUMNS($AC$1006:AJ1006),$AC$1006:$AS$1006,0))&gt;=100000), " ",IF(INDEX($AC$2:$AS$1001,MATCH(ROWS($V$2:V605),$V$2:$V$1001,0),MATCH(COLUMNS($AC$1006:AJ1006),$AC$1006:$AS$1006,0)), HYPERLINK("#",""), HYPERLINK(CONCATENATE("#metadata!", ADDRESS(INDEX($X$2:$X$1001,MATCH(ROWS($V$2:V605),$V$2:$V$1001,0),0), INDEX($AC$1004:$AS$1004,1,MATCH(COLUMNS($AC$1006:AJ1006),$AC$1006:$AS$1006,0)))),"Fix")))</f>
        <v xml:space="preserve"> </v>
      </c>
      <c r="J605" s="4" t="str">
        <f ca="1">IF(OR(INDEX($W$2:$W$1001,MATCH(ROWS($V$2:V605),$V$2:$V$1001,0),1)&gt;=100000,INDEX($AC$1005:$AS$1005,1,MATCH(COLUMNS($AC$1006:AK1006),$AC$1006:$AS$1006,0))&gt;=100000), " ",IF(INDEX($AC$2:$AS$1001,MATCH(ROWS($V$2:V605),$V$2:$V$1001,0),MATCH(COLUMNS($AC$1006:AK1006),$AC$1006:$AS$1006,0)), HYPERLINK("#",""), HYPERLINK(CONCATENATE("#metadata!", ADDRESS(INDEX($X$2:$X$1001,MATCH(ROWS($V$2:V605),$V$2:$V$1001,0),0), INDEX($AC$1004:$AS$1004,1,MATCH(COLUMNS($AC$1006:AK1006),$AC$1006:$AS$1006,0)))),"Fix")))</f>
        <v xml:space="preserve"> </v>
      </c>
      <c r="K605" s="4" t="str">
        <f ca="1">IF(OR(INDEX($W$2:$W$1001,MATCH(ROWS($V$2:V605),$V$2:$V$1001,0),1)&gt;=100000,INDEX($AC$1005:$AS$1005,1,MATCH(COLUMNS($AC$1006:AL1006),$AC$1006:$AS$1006,0))&gt;=100000), " ",IF(INDEX($AC$2:$AS$1001,MATCH(ROWS($V$2:V605),$V$2:$V$1001,0),MATCH(COLUMNS($AC$1006:AL1006),$AC$1006:$AS$1006,0)), HYPERLINK("#",""), HYPERLINK(CONCATENATE("#metadata!", ADDRESS(INDEX($X$2:$X$1001,MATCH(ROWS($V$2:V605),$V$2:$V$1001,0),0), INDEX($AC$1004:$AS$1004,1,MATCH(COLUMNS($AC$1006:AL1006),$AC$1006:$AS$1006,0)))),"Fix")))</f>
        <v xml:space="preserve"> </v>
      </c>
      <c r="L605" s="4" t="str">
        <f ca="1">IF(OR(INDEX($W$2:$W$1001,MATCH(ROWS($V$2:V605),$V$2:$V$1001,0),1)&gt;=100000,INDEX($AC$1005:$AS$1005,1,MATCH(COLUMNS($AC$1006:AM1006),$AC$1006:$AS$1006,0))&gt;=100000), " ",IF(INDEX($AC$2:$AS$1001,MATCH(ROWS($V$2:V605),$V$2:$V$1001,0),MATCH(COLUMNS($AC$1006:AM1006),$AC$1006:$AS$1006,0)), HYPERLINK("#",""), HYPERLINK(CONCATENATE("#metadata!", ADDRESS(INDEX($X$2:$X$1001,MATCH(ROWS($V$2:V605),$V$2:$V$1001,0),0), INDEX($AC$1004:$AS$1004,1,MATCH(COLUMNS($AC$1006:AM1006),$AC$1006:$AS$1006,0)))),"Fix")))</f>
        <v xml:space="preserve"> </v>
      </c>
      <c r="M605" s="4" t="str">
        <f ca="1">IF(OR(INDEX($W$2:$W$1001,MATCH(ROWS($V$2:V605),$V$2:$V$1001,0),1)&gt;=100000,INDEX($AC$1005:$AS$1005,1,MATCH(COLUMNS($AC$1006:AN1006),$AC$1006:$AS$1006,0))&gt;=100000), " ",IF(INDEX($AC$2:$AS$1001,MATCH(ROWS($V$2:V605),$V$2:$V$1001,0),MATCH(COLUMNS($AC$1006:AN1006),$AC$1006:$AS$1006,0)), HYPERLINK("#",""), HYPERLINK(CONCATENATE("#metadata!", ADDRESS(INDEX($X$2:$X$1001,MATCH(ROWS($V$2:V605),$V$2:$V$1001,0),0), INDEX($AC$1004:$AS$1004,1,MATCH(COLUMNS($AC$1006:AN1006),$AC$1006:$AS$1006,0)))),"Fix")))</f>
        <v xml:space="preserve"> </v>
      </c>
      <c r="N605" s="4" t="str">
        <f ca="1">IF(OR(INDEX($W$2:$W$1001,MATCH(ROWS($V$2:V605),$V$2:$V$1001,0),1)&gt;=100000,INDEX($AC$1005:$AS$1005,1,MATCH(COLUMNS($AC$1006:AO1006),$AC$1006:$AS$1006,0))&gt;=100000), " ",IF(INDEX($AC$2:$AS$1001,MATCH(ROWS($V$2:V605),$V$2:$V$1001,0),MATCH(COLUMNS($AC$1006:AO1006),$AC$1006:$AS$1006,0)), HYPERLINK("#",""), HYPERLINK(CONCATENATE("#metadata!", ADDRESS(INDEX($X$2:$X$1001,MATCH(ROWS($V$2:V605),$V$2:$V$1001,0),0), INDEX($AC$1004:$AS$1004,1,MATCH(COLUMNS($AC$1006:AO1006),$AC$1006:$AS$1006,0)))),"Fix")))</f>
        <v xml:space="preserve"> </v>
      </c>
      <c r="O605" s="4" t="str">
        <f ca="1">IF(OR(INDEX($W$2:$W$1001,MATCH(ROWS($V$2:V605),$V$2:$V$1001,0),1)&gt;=100000,INDEX($AC$1005:$AS$1005,1,MATCH(COLUMNS($AC$1006:AP1006),$AC$1006:$AS$1006,0))&gt;=100000), " ",IF(INDEX($AC$2:$AS$1001,MATCH(ROWS($V$2:V605),$V$2:$V$1001,0),MATCH(COLUMNS($AC$1006:AP1006),$AC$1006:$AS$1006,0)), HYPERLINK("#",""), HYPERLINK(CONCATENATE("#metadata!", ADDRESS(INDEX($X$2:$X$1001,MATCH(ROWS($V$2:V605),$V$2:$V$1001,0),0), INDEX($AC$1004:$AS$1004,1,MATCH(COLUMNS($AC$1006:AP1006),$AC$1006:$AS$1006,0)))),"Fix")))</f>
        <v xml:space="preserve"> </v>
      </c>
      <c r="P605" s="4" t="str">
        <f ca="1">IF(OR(INDEX($W$2:$W$1001,MATCH(ROWS($V$2:V605),$V$2:$V$1001,0),1)&gt;=100000,INDEX($AC$1005:$AS$1005,1,MATCH(COLUMNS($AC$1006:AQ1006),$AC$1006:$AS$1006,0))&gt;=100000), " ",IF(INDEX($AC$2:$AS$1001,MATCH(ROWS($V$2:V605),$V$2:$V$1001,0),MATCH(COLUMNS($AC$1006:AQ1006),$AC$1006:$AS$1006,0)), HYPERLINK("#",""), HYPERLINK(CONCATENATE("#metadata!", ADDRESS(INDEX($X$2:$X$1001,MATCH(ROWS($V$2:V605),$V$2:$V$1001,0),0), INDEX($AC$1004:$AS$1004,1,MATCH(COLUMNS($AC$1006:AQ1006),$AC$1006:$AS$1006,0)))),"Fix")))</f>
        <v xml:space="preserve"> </v>
      </c>
      <c r="Q605" s="4" t="str">
        <f ca="1">IF(OR(INDEX($W$2:$W$1001,MATCH(ROWS($V$2:V605),$V$2:$V$1001,0),1)&gt;=100000,INDEX($AC$1005:$AS$1005,1,MATCH(COLUMNS($AC$1006:AR1006),$AC$1006:$AS$1006,0))&gt;=100000), " ",IF(INDEX($AC$2:$AS$1001,MATCH(ROWS($V$2:V605),$V$2:$V$1001,0),MATCH(COLUMNS($AC$1006:AR1006),$AC$1006:$AS$1006,0)), HYPERLINK("#",""), HYPERLINK(CONCATENATE("#metadata!", ADDRESS(INDEX($X$2:$X$1001,MATCH(ROWS($V$2:V605),$V$2:$V$1001,0),0), INDEX($AC$1004:$AS$1004,1,MATCH(COLUMNS($AC$1006:AR1006),$AC$1006:$AS$1006,0)))),"Fix")))</f>
        <v xml:space="preserve"> </v>
      </c>
      <c r="R605" s="4" t="str">
        <f ca="1">IF(OR(INDEX($W$2:$W$1001,MATCH(ROWS($V$2:V605),$V$2:$V$1001,0),1)&gt;=100000,INDEX($AC$1005:$AS$1005,1,MATCH(COLUMNS($AC$1006:AS1006),$AC$1006:$AS$1006,0))&gt;=100000), " ",IF(INDEX($AC$2:$AS$1001,MATCH(ROWS($V$2:V605),$V$2:$V$1001,0),MATCH(COLUMNS($AC$1006:AS1006),$AC$1006:$AS$1006,0)), HYPERLINK("#",""), HYPERLINK(CONCATENATE("#metadata!", ADDRESS(INDEX($X$2:$X$1001,MATCH(ROWS($V$2:V605),$V$2:$V$1001,0),0), INDEX($AC$1004:$AS$1004,1,MATCH(COLUMNS($AC$1006:AS1006),$AC$1006:$AS$1006,0)))),"Fix")))</f>
        <v xml:space="preserve"> </v>
      </c>
      <c r="V605">
        <v>604</v>
      </c>
      <c r="W605">
        <v>100605</v>
      </c>
      <c r="X605">
        <v>605</v>
      </c>
      <c r="Y605" t="b">
        <f t="shared" si="9"/>
        <v>1</v>
      </c>
      <c r="Z605" t="b">
        <f>COUNTBLANK(metadata!B605:R605)=COLUMNS(metadata!B605:R605)</f>
        <v>1</v>
      </c>
      <c r="AA605" t="str">
        <v/>
      </c>
      <c r="AC605" t="b">
        <f ca="1"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AD605" t="b">
        <f>IF(metadata!C605="",FALSE,ISNUMBER(VALUE(metadata!C605)))</f>
        <v>0</v>
      </c>
      <c r="AE605" t="b">
        <f>AND(IF(metadata!D605="",FALSE,TRUE),EXACT(metadata!D605,"years"))</f>
        <v>0</v>
      </c>
      <c r="AF605" t="b">
        <f>OR(AND(IF(metadata!E605="",FALSE,TRUE),OR(EXACT(metadata!E605,"not applicable"),EXACT(metadata!E605,"missing: not collected"),EXACT(metadata!E605,"missing: not provided"),EXACT(metadata!E605,"missing: restricted access"))),AND(IF(metadata!E605="",FALSE,ISNUMBER(VALUE(metadata!E605))),metadata!E605&gt;0))</f>
        <v>0</v>
      </c>
      <c r="AG605" t="b">
        <f>AND(IF(metadata!F605="",FALSE,TRUE),EXACT(metadata!F605,"Not applicable"))</f>
        <v>0</v>
      </c>
      <c r="AH605" t="b">
        <f>AND(IF(metadata!G605="",FALSE,TRUE),EXACT(metadata!G605,"urban biome"))</f>
        <v>0</v>
      </c>
      <c r="AI605" t="b">
        <f>AND(IF(metadata!H605="",FALSE,TRUE),EXACT(metadata!H605,"human-associated habitat"))</f>
        <v>0</v>
      </c>
      <c r="AJ605" t="b">
        <f>AND(IF(metadata!I605="",FALSE,TRUE),OR(EXACT(metadata!I605,"human-associated"),EXACT(metadata!I605,"human-skin"),EXACT(metadata!I605,"human-oral"),EXACT(metadata!I605,"human-gut"),EXACT(metadata!I605,"human-vaginal")))</f>
        <v>0</v>
      </c>
      <c r="AK605" t="b">
        <f>IF(metadata!J605="",FALSE,ISNUMBER(VALUE(metadata!J605)))</f>
        <v>0</v>
      </c>
      <c r="AL605" t="b">
        <f>AND(IF(metadata!K605="",FALSE,TRUE),EXACT(metadata!K605,"cm"))</f>
        <v>0</v>
      </c>
      <c r="AM605" t="b">
        <f>AND(IF(metadata!L605="",FALSE,TRUE),EXACT(metadata!L605,"human"))</f>
        <v>0</v>
      </c>
      <c r="AN605" t="b">
        <f>AND(IF(metadata!M605="",FALSE,TRUE),EXACT(metadata!M605,"Homo sapiens"))</f>
        <v>0</v>
      </c>
      <c r="AO605" t="b">
        <f>AND(IF(metadata!N605="",FALSE,TRUE),EXACT(metadata!N605,"9606"))</f>
        <v>0</v>
      </c>
      <c r="AP605" t="b">
        <f>IF(metadata!O605="",FALSE,TRUE)</f>
        <v>0</v>
      </c>
      <c r="AQ605" t="b">
        <f>IF(metadata!P605="",FALSE,TRUE)</f>
        <v>0</v>
      </c>
      <c r="AR605" t="b">
        <f>IF(metadata!Q605="",FALSE,ISNUMBER(VALUE(metadata!Q605)))</f>
        <v>0</v>
      </c>
      <c r="AS605" t="b">
        <f>AND(IF(metadata!R605="",FALSE,TRUE),EXACT(metadata!R605,"kg"))</f>
        <v>0</v>
      </c>
    </row>
    <row r="606" spans="1:45" x14ac:dyDescent="0.2">
      <c r="A606" s="5" t="str">
        <f ca="1">IF(B606=" "," ",HYPERLINK(CONCATENATE("#metadata!",ADDRESS(INDEX($X$2:$X$1001,MATCH(ROWS($V$2:V606),$V$2:$V$1001,0),0),1)),INDEX($AA$2:$AA$1001,MATCH(ROWS($V$2:V606),$V$2:$V$1001,0),0)))</f>
        <v xml:space="preserve"> </v>
      </c>
      <c r="B606" s="4" t="str">
        <f ca="1">IF(OR(INDEX($W$2:$W$1001,MATCH(ROWS($V$2:V606),$V$2:$V$1001,0),1)&gt;=100000,INDEX($AC$1005:$AS$1005,1,MATCH(COLUMNS($AC$1006:AC1006),$AC$1006:$AS$1006,0))&gt;=100000), " ",IF(INDEX($AC$2:$AS$1001,MATCH(ROWS($V$2:V606),$V$2:$V$1001,0),MATCH(COLUMNS($AC$1006:AC1006),$AC$1006:$AS$1006,0)), HYPERLINK("#",""), HYPERLINK(CONCATENATE("#metadata!", ADDRESS(INDEX($X$2:$X$1001,MATCH(ROWS($V$2:V606),$V$2:$V$1001,0),0), INDEX($AC$1004:$AS$1004,1,MATCH(COLUMNS($AC$1006:AC1006),$AC$1006:$AS$1006,0)))),"Fix")))</f>
        <v xml:space="preserve"> </v>
      </c>
      <c r="C606" s="4" t="str">
        <f ca="1">IF(OR(INDEX($W$2:$W$1001,MATCH(ROWS($V$2:V606),$V$2:$V$1001,0),1)&gt;=100000,INDEX($AC$1005:$AS$1005,1,MATCH(COLUMNS($AC$1006:AD1006),$AC$1006:$AS$1006,0))&gt;=100000), " ",IF(INDEX($AC$2:$AS$1001,MATCH(ROWS($V$2:V606),$V$2:$V$1001,0),MATCH(COLUMNS($AC$1006:AD1006),$AC$1006:$AS$1006,0)), HYPERLINK("#",""), HYPERLINK(CONCATENATE("#metadata!", ADDRESS(INDEX($X$2:$X$1001,MATCH(ROWS($V$2:V606),$V$2:$V$1001,0),0), INDEX($AC$1004:$AS$1004,1,MATCH(COLUMNS($AC$1006:AD1006),$AC$1006:$AS$1006,0)))),"Fix")))</f>
        <v xml:space="preserve"> </v>
      </c>
      <c r="D606" s="4" t="str">
        <f ca="1">IF(OR(INDEX($W$2:$W$1001,MATCH(ROWS($V$2:V606),$V$2:$V$1001,0),1)&gt;=100000,INDEX($AC$1005:$AS$1005,1,MATCH(COLUMNS($AC$1006:AE1006),$AC$1006:$AS$1006,0))&gt;=100000), " ",IF(INDEX($AC$2:$AS$1001,MATCH(ROWS($V$2:V606),$V$2:$V$1001,0),MATCH(COLUMNS($AC$1006:AE1006),$AC$1006:$AS$1006,0)), HYPERLINK("#",""), HYPERLINK(CONCATENATE("#metadata!", ADDRESS(INDEX($X$2:$X$1001,MATCH(ROWS($V$2:V606),$V$2:$V$1001,0),0), INDEX($AC$1004:$AS$1004,1,MATCH(COLUMNS($AC$1006:AE1006),$AC$1006:$AS$1006,0)))),"Fix")))</f>
        <v xml:space="preserve"> </v>
      </c>
      <c r="E606" s="4" t="str">
        <f ca="1">IF(OR(INDEX($W$2:$W$1001,MATCH(ROWS($V$2:V606),$V$2:$V$1001,0),1)&gt;=100000,INDEX($AC$1005:$AS$1005,1,MATCH(COLUMNS($AC$1006:AF1006),$AC$1006:$AS$1006,0))&gt;=100000), " ",IF(INDEX($AC$2:$AS$1001,MATCH(ROWS($V$2:V606),$V$2:$V$1001,0),MATCH(COLUMNS($AC$1006:AF1006),$AC$1006:$AS$1006,0)), HYPERLINK("#",""), HYPERLINK(CONCATENATE("#metadata!", ADDRESS(INDEX($X$2:$X$1001,MATCH(ROWS($V$2:V606),$V$2:$V$1001,0),0), INDEX($AC$1004:$AS$1004,1,MATCH(COLUMNS($AC$1006:AF1006),$AC$1006:$AS$1006,0)))),"Fix")))</f>
        <v xml:space="preserve"> </v>
      </c>
      <c r="F606" s="4" t="str">
        <f ca="1">IF(OR(INDEX($W$2:$W$1001,MATCH(ROWS($V$2:V606),$V$2:$V$1001,0),1)&gt;=100000,INDEX($AC$1005:$AS$1005,1,MATCH(COLUMNS($AC$1006:AG1006),$AC$1006:$AS$1006,0))&gt;=100000), " ",IF(INDEX($AC$2:$AS$1001,MATCH(ROWS($V$2:V606),$V$2:$V$1001,0),MATCH(COLUMNS($AC$1006:AG1006),$AC$1006:$AS$1006,0)), HYPERLINK("#",""), HYPERLINK(CONCATENATE("#metadata!", ADDRESS(INDEX($X$2:$X$1001,MATCH(ROWS($V$2:V606),$V$2:$V$1001,0),0), INDEX($AC$1004:$AS$1004,1,MATCH(COLUMNS($AC$1006:AG1006),$AC$1006:$AS$1006,0)))),"Fix")))</f>
        <v xml:space="preserve"> </v>
      </c>
      <c r="G606" s="4" t="str">
        <f ca="1">IF(OR(INDEX($W$2:$W$1001,MATCH(ROWS($V$2:V606),$V$2:$V$1001,0),1)&gt;=100000,INDEX($AC$1005:$AS$1005,1,MATCH(COLUMNS($AC$1006:AH1006),$AC$1006:$AS$1006,0))&gt;=100000), " ",IF(INDEX($AC$2:$AS$1001,MATCH(ROWS($V$2:V606),$V$2:$V$1001,0),MATCH(COLUMNS($AC$1006:AH1006),$AC$1006:$AS$1006,0)), HYPERLINK("#",""), HYPERLINK(CONCATENATE("#metadata!", ADDRESS(INDEX($X$2:$X$1001,MATCH(ROWS($V$2:V606),$V$2:$V$1001,0),0), INDEX($AC$1004:$AS$1004,1,MATCH(COLUMNS($AC$1006:AH1006),$AC$1006:$AS$1006,0)))),"Fix")))</f>
        <v xml:space="preserve"> </v>
      </c>
      <c r="H606" s="4" t="str">
        <f ca="1">IF(OR(INDEX($W$2:$W$1001,MATCH(ROWS($V$2:V606),$V$2:$V$1001,0),1)&gt;=100000,INDEX($AC$1005:$AS$1005,1,MATCH(COLUMNS($AC$1006:AI1006),$AC$1006:$AS$1006,0))&gt;=100000), " ",IF(INDEX($AC$2:$AS$1001,MATCH(ROWS($V$2:V606),$V$2:$V$1001,0),MATCH(COLUMNS($AC$1006:AI1006),$AC$1006:$AS$1006,0)), HYPERLINK("#",""), HYPERLINK(CONCATENATE("#metadata!", ADDRESS(INDEX($X$2:$X$1001,MATCH(ROWS($V$2:V606),$V$2:$V$1001,0),0), INDEX($AC$1004:$AS$1004,1,MATCH(COLUMNS($AC$1006:AI1006),$AC$1006:$AS$1006,0)))),"Fix")))</f>
        <v xml:space="preserve"> </v>
      </c>
      <c r="I606" s="4" t="str">
        <f ca="1">IF(OR(INDEX($W$2:$W$1001,MATCH(ROWS($V$2:V606),$V$2:$V$1001,0),1)&gt;=100000,INDEX($AC$1005:$AS$1005,1,MATCH(COLUMNS($AC$1006:AJ1006),$AC$1006:$AS$1006,0))&gt;=100000), " ",IF(INDEX($AC$2:$AS$1001,MATCH(ROWS($V$2:V606),$V$2:$V$1001,0),MATCH(COLUMNS($AC$1006:AJ1006),$AC$1006:$AS$1006,0)), HYPERLINK("#",""), HYPERLINK(CONCATENATE("#metadata!", ADDRESS(INDEX($X$2:$X$1001,MATCH(ROWS($V$2:V606),$V$2:$V$1001,0),0), INDEX($AC$1004:$AS$1004,1,MATCH(COLUMNS($AC$1006:AJ1006),$AC$1006:$AS$1006,0)))),"Fix")))</f>
        <v xml:space="preserve"> </v>
      </c>
      <c r="J606" s="4" t="str">
        <f ca="1">IF(OR(INDEX($W$2:$W$1001,MATCH(ROWS($V$2:V606),$V$2:$V$1001,0),1)&gt;=100000,INDEX($AC$1005:$AS$1005,1,MATCH(COLUMNS($AC$1006:AK1006),$AC$1006:$AS$1006,0))&gt;=100000), " ",IF(INDEX($AC$2:$AS$1001,MATCH(ROWS($V$2:V606),$V$2:$V$1001,0),MATCH(COLUMNS($AC$1006:AK1006),$AC$1006:$AS$1006,0)), HYPERLINK("#",""), HYPERLINK(CONCATENATE("#metadata!", ADDRESS(INDEX($X$2:$X$1001,MATCH(ROWS($V$2:V606),$V$2:$V$1001,0),0), INDEX($AC$1004:$AS$1004,1,MATCH(COLUMNS($AC$1006:AK1006),$AC$1006:$AS$1006,0)))),"Fix")))</f>
        <v xml:space="preserve"> </v>
      </c>
      <c r="K606" s="4" t="str">
        <f ca="1">IF(OR(INDEX($W$2:$W$1001,MATCH(ROWS($V$2:V606),$V$2:$V$1001,0),1)&gt;=100000,INDEX($AC$1005:$AS$1005,1,MATCH(COLUMNS($AC$1006:AL1006),$AC$1006:$AS$1006,0))&gt;=100000), " ",IF(INDEX($AC$2:$AS$1001,MATCH(ROWS($V$2:V606),$V$2:$V$1001,0),MATCH(COLUMNS($AC$1006:AL1006),$AC$1006:$AS$1006,0)), HYPERLINK("#",""), HYPERLINK(CONCATENATE("#metadata!", ADDRESS(INDEX($X$2:$X$1001,MATCH(ROWS($V$2:V606),$V$2:$V$1001,0),0), INDEX($AC$1004:$AS$1004,1,MATCH(COLUMNS($AC$1006:AL1006),$AC$1006:$AS$1006,0)))),"Fix")))</f>
        <v xml:space="preserve"> </v>
      </c>
      <c r="L606" s="4" t="str">
        <f ca="1">IF(OR(INDEX($W$2:$W$1001,MATCH(ROWS($V$2:V606),$V$2:$V$1001,0),1)&gt;=100000,INDEX($AC$1005:$AS$1005,1,MATCH(COLUMNS($AC$1006:AM1006),$AC$1006:$AS$1006,0))&gt;=100000), " ",IF(INDEX($AC$2:$AS$1001,MATCH(ROWS($V$2:V606),$V$2:$V$1001,0),MATCH(COLUMNS($AC$1006:AM1006),$AC$1006:$AS$1006,0)), HYPERLINK("#",""), HYPERLINK(CONCATENATE("#metadata!", ADDRESS(INDEX($X$2:$X$1001,MATCH(ROWS($V$2:V606),$V$2:$V$1001,0),0), INDEX($AC$1004:$AS$1004,1,MATCH(COLUMNS($AC$1006:AM1006),$AC$1006:$AS$1006,0)))),"Fix")))</f>
        <v xml:space="preserve"> </v>
      </c>
      <c r="M606" s="4" t="str">
        <f ca="1">IF(OR(INDEX($W$2:$W$1001,MATCH(ROWS($V$2:V606),$V$2:$V$1001,0),1)&gt;=100000,INDEX($AC$1005:$AS$1005,1,MATCH(COLUMNS($AC$1006:AN1006),$AC$1006:$AS$1006,0))&gt;=100000), " ",IF(INDEX($AC$2:$AS$1001,MATCH(ROWS($V$2:V606),$V$2:$V$1001,0),MATCH(COLUMNS($AC$1006:AN1006),$AC$1006:$AS$1006,0)), HYPERLINK("#",""), HYPERLINK(CONCATENATE("#metadata!", ADDRESS(INDEX($X$2:$X$1001,MATCH(ROWS($V$2:V606),$V$2:$V$1001,0),0), INDEX($AC$1004:$AS$1004,1,MATCH(COLUMNS($AC$1006:AN1006),$AC$1006:$AS$1006,0)))),"Fix")))</f>
        <v xml:space="preserve"> </v>
      </c>
      <c r="N606" s="4" t="str">
        <f ca="1">IF(OR(INDEX($W$2:$W$1001,MATCH(ROWS($V$2:V606),$V$2:$V$1001,0),1)&gt;=100000,INDEX($AC$1005:$AS$1005,1,MATCH(COLUMNS($AC$1006:AO1006),$AC$1006:$AS$1006,0))&gt;=100000), " ",IF(INDEX($AC$2:$AS$1001,MATCH(ROWS($V$2:V606),$V$2:$V$1001,0),MATCH(COLUMNS($AC$1006:AO1006),$AC$1006:$AS$1006,0)), HYPERLINK("#",""), HYPERLINK(CONCATENATE("#metadata!", ADDRESS(INDEX($X$2:$X$1001,MATCH(ROWS($V$2:V606),$V$2:$V$1001,0),0), INDEX($AC$1004:$AS$1004,1,MATCH(COLUMNS($AC$1006:AO1006),$AC$1006:$AS$1006,0)))),"Fix")))</f>
        <v xml:space="preserve"> </v>
      </c>
      <c r="O606" s="4" t="str">
        <f ca="1">IF(OR(INDEX($W$2:$W$1001,MATCH(ROWS($V$2:V606),$V$2:$V$1001,0),1)&gt;=100000,INDEX($AC$1005:$AS$1005,1,MATCH(COLUMNS($AC$1006:AP1006),$AC$1006:$AS$1006,0))&gt;=100000), " ",IF(INDEX($AC$2:$AS$1001,MATCH(ROWS($V$2:V606),$V$2:$V$1001,0),MATCH(COLUMNS($AC$1006:AP1006),$AC$1006:$AS$1006,0)), HYPERLINK("#",""), HYPERLINK(CONCATENATE("#metadata!", ADDRESS(INDEX($X$2:$X$1001,MATCH(ROWS($V$2:V606),$V$2:$V$1001,0),0), INDEX($AC$1004:$AS$1004,1,MATCH(COLUMNS($AC$1006:AP1006),$AC$1006:$AS$1006,0)))),"Fix")))</f>
        <v xml:space="preserve"> </v>
      </c>
      <c r="P606" s="4" t="str">
        <f ca="1">IF(OR(INDEX($W$2:$W$1001,MATCH(ROWS($V$2:V606),$V$2:$V$1001,0),1)&gt;=100000,INDEX($AC$1005:$AS$1005,1,MATCH(COLUMNS($AC$1006:AQ1006),$AC$1006:$AS$1006,0))&gt;=100000), " ",IF(INDEX($AC$2:$AS$1001,MATCH(ROWS($V$2:V606),$V$2:$V$1001,0),MATCH(COLUMNS($AC$1006:AQ1006),$AC$1006:$AS$1006,0)), HYPERLINK("#",""), HYPERLINK(CONCATENATE("#metadata!", ADDRESS(INDEX($X$2:$X$1001,MATCH(ROWS($V$2:V606),$V$2:$V$1001,0),0), INDEX($AC$1004:$AS$1004,1,MATCH(COLUMNS($AC$1006:AQ1006),$AC$1006:$AS$1006,0)))),"Fix")))</f>
        <v xml:space="preserve"> </v>
      </c>
      <c r="Q606" s="4" t="str">
        <f ca="1">IF(OR(INDEX($W$2:$W$1001,MATCH(ROWS($V$2:V606),$V$2:$V$1001,0),1)&gt;=100000,INDEX($AC$1005:$AS$1005,1,MATCH(COLUMNS($AC$1006:AR1006),$AC$1006:$AS$1006,0))&gt;=100000), " ",IF(INDEX($AC$2:$AS$1001,MATCH(ROWS($V$2:V606),$V$2:$V$1001,0),MATCH(COLUMNS($AC$1006:AR1006),$AC$1006:$AS$1006,0)), HYPERLINK("#",""), HYPERLINK(CONCATENATE("#metadata!", ADDRESS(INDEX($X$2:$X$1001,MATCH(ROWS($V$2:V606),$V$2:$V$1001,0),0), INDEX($AC$1004:$AS$1004,1,MATCH(COLUMNS($AC$1006:AR1006),$AC$1006:$AS$1006,0)))),"Fix")))</f>
        <v xml:space="preserve"> </v>
      </c>
      <c r="R606" s="4" t="str">
        <f ca="1">IF(OR(INDEX($W$2:$W$1001,MATCH(ROWS($V$2:V606),$V$2:$V$1001,0),1)&gt;=100000,INDEX($AC$1005:$AS$1005,1,MATCH(COLUMNS($AC$1006:AS1006),$AC$1006:$AS$1006,0))&gt;=100000), " ",IF(INDEX($AC$2:$AS$1001,MATCH(ROWS($V$2:V606),$V$2:$V$1001,0),MATCH(COLUMNS($AC$1006:AS1006),$AC$1006:$AS$1006,0)), HYPERLINK("#",""), HYPERLINK(CONCATENATE("#metadata!", ADDRESS(INDEX($X$2:$X$1001,MATCH(ROWS($V$2:V606),$V$2:$V$1001,0),0), INDEX($AC$1004:$AS$1004,1,MATCH(COLUMNS($AC$1006:AS1006),$AC$1006:$AS$1006,0)))),"Fix")))</f>
        <v xml:space="preserve"> </v>
      </c>
      <c r="V606">
        <v>605</v>
      </c>
      <c r="W606">
        <v>100606</v>
      </c>
      <c r="X606">
        <v>606</v>
      </c>
      <c r="Y606" t="b">
        <f t="shared" si="9"/>
        <v>1</v>
      </c>
      <c r="Z606" t="b">
        <f>COUNTBLANK(metadata!B606:R606)=COLUMNS(metadata!B606:R606)</f>
        <v>1</v>
      </c>
      <c r="AA606" t="str">
        <v/>
      </c>
      <c r="AC606" t="b">
        <f ca="1"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AD606" t="b">
        <f>IF(metadata!C606="",FALSE,ISNUMBER(VALUE(metadata!C606)))</f>
        <v>0</v>
      </c>
      <c r="AE606" t="b">
        <f>AND(IF(metadata!D606="",FALSE,TRUE),EXACT(metadata!D606,"years"))</f>
        <v>0</v>
      </c>
      <c r="AF606" t="b">
        <f>OR(AND(IF(metadata!E606="",FALSE,TRUE),OR(EXACT(metadata!E606,"not applicable"),EXACT(metadata!E606,"missing: not collected"),EXACT(metadata!E606,"missing: not provided"),EXACT(metadata!E606,"missing: restricted access"))),AND(IF(metadata!E606="",FALSE,ISNUMBER(VALUE(metadata!E606))),metadata!E606&gt;0))</f>
        <v>0</v>
      </c>
      <c r="AG606" t="b">
        <f>AND(IF(metadata!F606="",FALSE,TRUE),EXACT(metadata!F606,"Not applicable"))</f>
        <v>0</v>
      </c>
      <c r="AH606" t="b">
        <f>AND(IF(metadata!G606="",FALSE,TRUE),EXACT(metadata!G606,"urban biome"))</f>
        <v>0</v>
      </c>
      <c r="AI606" t="b">
        <f>AND(IF(metadata!H606="",FALSE,TRUE),EXACT(metadata!H606,"human-associated habitat"))</f>
        <v>0</v>
      </c>
      <c r="AJ606" t="b">
        <f>AND(IF(metadata!I606="",FALSE,TRUE),OR(EXACT(metadata!I606,"human-associated"),EXACT(metadata!I606,"human-skin"),EXACT(metadata!I606,"human-oral"),EXACT(metadata!I606,"human-gut"),EXACT(metadata!I606,"human-vaginal")))</f>
        <v>0</v>
      </c>
      <c r="AK606" t="b">
        <f>IF(metadata!J606="",FALSE,ISNUMBER(VALUE(metadata!J606)))</f>
        <v>0</v>
      </c>
      <c r="AL606" t="b">
        <f>AND(IF(metadata!K606="",FALSE,TRUE),EXACT(metadata!K606,"cm"))</f>
        <v>0</v>
      </c>
      <c r="AM606" t="b">
        <f>AND(IF(metadata!L606="",FALSE,TRUE),EXACT(metadata!L606,"human"))</f>
        <v>0</v>
      </c>
      <c r="AN606" t="b">
        <f>AND(IF(metadata!M606="",FALSE,TRUE),EXACT(metadata!M606,"Homo sapiens"))</f>
        <v>0</v>
      </c>
      <c r="AO606" t="b">
        <f>AND(IF(metadata!N606="",FALSE,TRUE),EXACT(metadata!N606,"9606"))</f>
        <v>0</v>
      </c>
      <c r="AP606" t="b">
        <f>IF(metadata!O606="",FALSE,TRUE)</f>
        <v>0</v>
      </c>
      <c r="AQ606" t="b">
        <f>IF(metadata!P606="",FALSE,TRUE)</f>
        <v>0</v>
      </c>
      <c r="AR606" t="b">
        <f>IF(metadata!Q606="",FALSE,ISNUMBER(VALUE(metadata!Q606)))</f>
        <v>0</v>
      </c>
      <c r="AS606" t="b">
        <f>AND(IF(metadata!R606="",FALSE,TRUE),EXACT(metadata!R606,"kg"))</f>
        <v>0</v>
      </c>
    </row>
    <row r="607" spans="1:45" x14ac:dyDescent="0.2">
      <c r="A607" s="5" t="str">
        <f ca="1">IF(B607=" "," ",HYPERLINK(CONCATENATE("#metadata!",ADDRESS(INDEX($X$2:$X$1001,MATCH(ROWS($V$2:V607),$V$2:$V$1001,0),0),1)),INDEX($AA$2:$AA$1001,MATCH(ROWS($V$2:V607),$V$2:$V$1001,0),0)))</f>
        <v xml:space="preserve"> </v>
      </c>
      <c r="B607" s="4" t="str">
        <f ca="1">IF(OR(INDEX($W$2:$W$1001,MATCH(ROWS($V$2:V607),$V$2:$V$1001,0),1)&gt;=100000,INDEX($AC$1005:$AS$1005,1,MATCH(COLUMNS($AC$1006:AC1006),$AC$1006:$AS$1006,0))&gt;=100000), " ",IF(INDEX($AC$2:$AS$1001,MATCH(ROWS($V$2:V607),$V$2:$V$1001,0),MATCH(COLUMNS($AC$1006:AC1006),$AC$1006:$AS$1006,0)), HYPERLINK("#",""), HYPERLINK(CONCATENATE("#metadata!", ADDRESS(INDEX($X$2:$X$1001,MATCH(ROWS($V$2:V607),$V$2:$V$1001,0),0), INDEX($AC$1004:$AS$1004,1,MATCH(COLUMNS($AC$1006:AC1006),$AC$1006:$AS$1006,0)))),"Fix")))</f>
        <v xml:space="preserve"> </v>
      </c>
      <c r="C607" s="4" t="str">
        <f ca="1">IF(OR(INDEX($W$2:$W$1001,MATCH(ROWS($V$2:V607),$V$2:$V$1001,0),1)&gt;=100000,INDEX($AC$1005:$AS$1005,1,MATCH(COLUMNS($AC$1006:AD1006),$AC$1006:$AS$1006,0))&gt;=100000), " ",IF(INDEX($AC$2:$AS$1001,MATCH(ROWS($V$2:V607),$V$2:$V$1001,0),MATCH(COLUMNS($AC$1006:AD1006),$AC$1006:$AS$1006,0)), HYPERLINK("#",""), HYPERLINK(CONCATENATE("#metadata!", ADDRESS(INDEX($X$2:$X$1001,MATCH(ROWS($V$2:V607),$V$2:$V$1001,0),0), INDEX($AC$1004:$AS$1004,1,MATCH(COLUMNS($AC$1006:AD1006),$AC$1006:$AS$1006,0)))),"Fix")))</f>
        <v xml:space="preserve"> </v>
      </c>
      <c r="D607" s="4" t="str">
        <f ca="1">IF(OR(INDEX($W$2:$W$1001,MATCH(ROWS($V$2:V607),$V$2:$V$1001,0),1)&gt;=100000,INDEX($AC$1005:$AS$1005,1,MATCH(COLUMNS($AC$1006:AE1006),$AC$1006:$AS$1006,0))&gt;=100000), " ",IF(INDEX($AC$2:$AS$1001,MATCH(ROWS($V$2:V607),$V$2:$V$1001,0),MATCH(COLUMNS($AC$1006:AE1006),$AC$1006:$AS$1006,0)), HYPERLINK("#",""), HYPERLINK(CONCATENATE("#metadata!", ADDRESS(INDEX($X$2:$X$1001,MATCH(ROWS($V$2:V607),$V$2:$V$1001,0),0), INDEX($AC$1004:$AS$1004,1,MATCH(COLUMNS($AC$1006:AE1006),$AC$1006:$AS$1006,0)))),"Fix")))</f>
        <v xml:space="preserve"> </v>
      </c>
      <c r="E607" s="4" t="str">
        <f ca="1">IF(OR(INDEX($W$2:$W$1001,MATCH(ROWS($V$2:V607),$V$2:$V$1001,0),1)&gt;=100000,INDEX($AC$1005:$AS$1005,1,MATCH(COLUMNS($AC$1006:AF1006),$AC$1006:$AS$1006,0))&gt;=100000), " ",IF(INDEX($AC$2:$AS$1001,MATCH(ROWS($V$2:V607),$V$2:$V$1001,0),MATCH(COLUMNS($AC$1006:AF1006),$AC$1006:$AS$1006,0)), HYPERLINK("#",""), HYPERLINK(CONCATENATE("#metadata!", ADDRESS(INDEX($X$2:$X$1001,MATCH(ROWS($V$2:V607),$V$2:$V$1001,0),0), INDEX($AC$1004:$AS$1004,1,MATCH(COLUMNS($AC$1006:AF1006),$AC$1006:$AS$1006,0)))),"Fix")))</f>
        <v xml:space="preserve"> </v>
      </c>
      <c r="F607" s="4" t="str">
        <f ca="1">IF(OR(INDEX($W$2:$W$1001,MATCH(ROWS($V$2:V607),$V$2:$V$1001,0),1)&gt;=100000,INDEX($AC$1005:$AS$1005,1,MATCH(COLUMNS($AC$1006:AG1006),$AC$1006:$AS$1006,0))&gt;=100000), " ",IF(INDEX($AC$2:$AS$1001,MATCH(ROWS($V$2:V607),$V$2:$V$1001,0),MATCH(COLUMNS($AC$1006:AG1006),$AC$1006:$AS$1006,0)), HYPERLINK("#",""), HYPERLINK(CONCATENATE("#metadata!", ADDRESS(INDEX($X$2:$X$1001,MATCH(ROWS($V$2:V607),$V$2:$V$1001,0),0), INDEX($AC$1004:$AS$1004,1,MATCH(COLUMNS($AC$1006:AG1006),$AC$1006:$AS$1006,0)))),"Fix")))</f>
        <v xml:space="preserve"> </v>
      </c>
      <c r="G607" s="4" t="str">
        <f ca="1">IF(OR(INDEX($W$2:$W$1001,MATCH(ROWS($V$2:V607),$V$2:$V$1001,0),1)&gt;=100000,INDEX($AC$1005:$AS$1005,1,MATCH(COLUMNS($AC$1006:AH1006),$AC$1006:$AS$1006,0))&gt;=100000), " ",IF(INDEX($AC$2:$AS$1001,MATCH(ROWS($V$2:V607),$V$2:$V$1001,0),MATCH(COLUMNS($AC$1006:AH1006),$AC$1006:$AS$1006,0)), HYPERLINK("#",""), HYPERLINK(CONCATENATE("#metadata!", ADDRESS(INDEX($X$2:$X$1001,MATCH(ROWS($V$2:V607),$V$2:$V$1001,0),0), INDEX($AC$1004:$AS$1004,1,MATCH(COLUMNS($AC$1006:AH1006),$AC$1006:$AS$1006,0)))),"Fix")))</f>
        <v xml:space="preserve"> </v>
      </c>
      <c r="H607" s="4" t="str">
        <f ca="1">IF(OR(INDEX($W$2:$W$1001,MATCH(ROWS($V$2:V607),$V$2:$V$1001,0),1)&gt;=100000,INDEX($AC$1005:$AS$1005,1,MATCH(COLUMNS($AC$1006:AI1006),$AC$1006:$AS$1006,0))&gt;=100000), " ",IF(INDEX($AC$2:$AS$1001,MATCH(ROWS($V$2:V607),$V$2:$V$1001,0),MATCH(COLUMNS($AC$1006:AI1006),$AC$1006:$AS$1006,0)), HYPERLINK("#",""), HYPERLINK(CONCATENATE("#metadata!", ADDRESS(INDEX($X$2:$X$1001,MATCH(ROWS($V$2:V607),$V$2:$V$1001,0),0), INDEX($AC$1004:$AS$1004,1,MATCH(COLUMNS($AC$1006:AI1006),$AC$1006:$AS$1006,0)))),"Fix")))</f>
        <v xml:space="preserve"> </v>
      </c>
      <c r="I607" s="4" t="str">
        <f ca="1">IF(OR(INDEX($W$2:$W$1001,MATCH(ROWS($V$2:V607),$V$2:$V$1001,0),1)&gt;=100000,INDEX($AC$1005:$AS$1005,1,MATCH(COLUMNS($AC$1006:AJ1006),$AC$1006:$AS$1006,0))&gt;=100000), " ",IF(INDEX($AC$2:$AS$1001,MATCH(ROWS($V$2:V607),$V$2:$V$1001,0),MATCH(COLUMNS($AC$1006:AJ1006),$AC$1006:$AS$1006,0)), HYPERLINK("#",""), HYPERLINK(CONCATENATE("#metadata!", ADDRESS(INDEX($X$2:$X$1001,MATCH(ROWS($V$2:V607),$V$2:$V$1001,0),0), INDEX($AC$1004:$AS$1004,1,MATCH(COLUMNS($AC$1006:AJ1006),$AC$1006:$AS$1006,0)))),"Fix")))</f>
        <v xml:space="preserve"> </v>
      </c>
      <c r="J607" s="4" t="str">
        <f ca="1">IF(OR(INDEX($W$2:$W$1001,MATCH(ROWS($V$2:V607),$V$2:$V$1001,0),1)&gt;=100000,INDEX($AC$1005:$AS$1005,1,MATCH(COLUMNS($AC$1006:AK1006),$AC$1006:$AS$1006,0))&gt;=100000), " ",IF(INDEX($AC$2:$AS$1001,MATCH(ROWS($V$2:V607),$V$2:$V$1001,0),MATCH(COLUMNS($AC$1006:AK1006),$AC$1006:$AS$1006,0)), HYPERLINK("#",""), HYPERLINK(CONCATENATE("#metadata!", ADDRESS(INDEX($X$2:$X$1001,MATCH(ROWS($V$2:V607),$V$2:$V$1001,0),0), INDEX($AC$1004:$AS$1004,1,MATCH(COLUMNS($AC$1006:AK1006),$AC$1006:$AS$1006,0)))),"Fix")))</f>
        <v xml:space="preserve"> </v>
      </c>
      <c r="K607" s="4" t="str">
        <f ca="1">IF(OR(INDEX($W$2:$W$1001,MATCH(ROWS($V$2:V607),$V$2:$V$1001,0),1)&gt;=100000,INDEX($AC$1005:$AS$1005,1,MATCH(COLUMNS($AC$1006:AL1006),$AC$1006:$AS$1006,0))&gt;=100000), " ",IF(INDEX($AC$2:$AS$1001,MATCH(ROWS($V$2:V607),$V$2:$V$1001,0),MATCH(COLUMNS($AC$1006:AL1006),$AC$1006:$AS$1006,0)), HYPERLINK("#",""), HYPERLINK(CONCATENATE("#metadata!", ADDRESS(INDEX($X$2:$X$1001,MATCH(ROWS($V$2:V607),$V$2:$V$1001,0),0), INDEX($AC$1004:$AS$1004,1,MATCH(COLUMNS($AC$1006:AL1006),$AC$1006:$AS$1006,0)))),"Fix")))</f>
        <v xml:space="preserve"> </v>
      </c>
      <c r="L607" s="4" t="str">
        <f ca="1">IF(OR(INDEX($W$2:$W$1001,MATCH(ROWS($V$2:V607),$V$2:$V$1001,0),1)&gt;=100000,INDEX($AC$1005:$AS$1005,1,MATCH(COLUMNS($AC$1006:AM1006),$AC$1006:$AS$1006,0))&gt;=100000), " ",IF(INDEX($AC$2:$AS$1001,MATCH(ROWS($V$2:V607),$V$2:$V$1001,0),MATCH(COLUMNS($AC$1006:AM1006),$AC$1006:$AS$1006,0)), HYPERLINK("#",""), HYPERLINK(CONCATENATE("#metadata!", ADDRESS(INDEX($X$2:$X$1001,MATCH(ROWS($V$2:V607),$V$2:$V$1001,0),0), INDEX($AC$1004:$AS$1004,1,MATCH(COLUMNS($AC$1006:AM1006),$AC$1006:$AS$1006,0)))),"Fix")))</f>
        <v xml:space="preserve"> </v>
      </c>
      <c r="M607" s="4" t="str">
        <f ca="1">IF(OR(INDEX($W$2:$W$1001,MATCH(ROWS($V$2:V607),$V$2:$V$1001,0),1)&gt;=100000,INDEX($AC$1005:$AS$1005,1,MATCH(COLUMNS($AC$1006:AN1006),$AC$1006:$AS$1006,0))&gt;=100000), " ",IF(INDEX($AC$2:$AS$1001,MATCH(ROWS($V$2:V607),$V$2:$V$1001,0),MATCH(COLUMNS($AC$1006:AN1006),$AC$1006:$AS$1006,0)), HYPERLINK("#",""), HYPERLINK(CONCATENATE("#metadata!", ADDRESS(INDEX($X$2:$X$1001,MATCH(ROWS($V$2:V607),$V$2:$V$1001,0),0), INDEX($AC$1004:$AS$1004,1,MATCH(COLUMNS($AC$1006:AN1006),$AC$1006:$AS$1006,0)))),"Fix")))</f>
        <v xml:space="preserve"> </v>
      </c>
      <c r="N607" s="4" t="str">
        <f ca="1">IF(OR(INDEX($W$2:$W$1001,MATCH(ROWS($V$2:V607),$V$2:$V$1001,0),1)&gt;=100000,INDEX($AC$1005:$AS$1005,1,MATCH(COLUMNS($AC$1006:AO1006),$AC$1006:$AS$1006,0))&gt;=100000), " ",IF(INDEX($AC$2:$AS$1001,MATCH(ROWS($V$2:V607),$V$2:$V$1001,0),MATCH(COLUMNS($AC$1006:AO1006),$AC$1006:$AS$1006,0)), HYPERLINK("#",""), HYPERLINK(CONCATENATE("#metadata!", ADDRESS(INDEX($X$2:$X$1001,MATCH(ROWS($V$2:V607),$V$2:$V$1001,0),0), INDEX($AC$1004:$AS$1004,1,MATCH(COLUMNS($AC$1006:AO1006),$AC$1006:$AS$1006,0)))),"Fix")))</f>
        <v xml:space="preserve"> </v>
      </c>
      <c r="O607" s="4" t="str">
        <f ca="1">IF(OR(INDEX($W$2:$W$1001,MATCH(ROWS($V$2:V607),$V$2:$V$1001,0),1)&gt;=100000,INDEX($AC$1005:$AS$1005,1,MATCH(COLUMNS($AC$1006:AP1006),$AC$1006:$AS$1006,0))&gt;=100000), " ",IF(INDEX($AC$2:$AS$1001,MATCH(ROWS($V$2:V607),$V$2:$V$1001,0),MATCH(COLUMNS($AC$1006:AP1006),$AC$1006:$AS$1006,0)), HYPERLINK("#",""), HYPERLINK(CONCATENATE("#metadata!", ADDRESS(INDEX($X$2:$X$1001,MATCH(ROWS($V$2:V607),$V$2:$V$1001,0),0), INDEX($AC$1004:$AS$1004,1,MATCH(COLUMNS($AC$1006:AP1006),$AC$1006:$AS$1006,0)))),"Fix")))</f>
        <v xml:space="preserve"> </v>
      </c>
      <c r="P607" s="4" t="str">
        <f ca="1">IF(OR(INDEX($W$2:$W$1001,MATCH(ROWS($V$2:V607),$V$2:$V$1001,0),1)&gt;=100000,INDEX($AC$1005:$AS$1005,1,MATCH(COLUMNS($AC$1006:AQ1006),$AC$1006:$AS$1006,0))&gt;=100000), " ",IF(INDEX($AC$2:$AS$1001,MATCH(ROWS($V$2:V607),$V$2:$V$1001,0),MATCH(COLUMNS($AC$1006:AQ1006),$AC$1006:$AS$1006,0)), HYPERLINK("#",""), HYPERLINK(CONCATENATE("#metadata!", ADDRESS(INDEX($X$2:$X$1001,MATCH(ROWS($V$2:V607),$V$2:$V$1001,0),0), INDEX($AC$1004:$AS$1004,1,MATCH(COLUMNS($AC$1006:AQ1006),$AC$1006:$AS$1006,0)))),"Fix")))</f>
        <v xml:space="preserve"> </v>
      </c>
      <c r="Q607" s="4" t="str">
        <f ca="1">IF(OR(INDEX($W$2:$W$1001,MATCH(ROWS($V$2:V607),$V$2:$V$1001,0),1)&gt;=100000,INDEX($AC$1005:$AS$1005,1,MATCH(COLUMNS($AC$1006:AR1006),$AC$1006:$AS$1006,0))&gt;=100000), " ",IF(INDEX($AC$2:$AS$1001,MATCH(ROWS($V$2:V607),$V$2:$V$1001,0),MATCH(COLUMNS($AC$1006:AR1006),$AC$1006:$AS$1006,0)), HYPERLINK("#",""), HYPERLINK(CONCATENATE("#metadata!", ADDRESS(INDEX($X$2:$X$1001,MATCH(ROWS($V$2:V607),$V$2:$V$1001,0),0), INDEX($AC$1004:$AS$1004,1,MATCH(COLUMNS($AC$1006:AR1006),$AC$1006:$AS$1006,0)))),"Fix")))</f>
        <v xml:space="preserve"> </v>
      </c>
      <c r="R607" s="4" t="str">
        <f ca="1">IF(OR(INDEX($W$2:$W$1001,MATCH(ROWS($V$2:V607),$V$2:$V$1001,0),1)&gt;=100000,INDEX($AC$1005:$AS$1005,1,MATCH(COLUMNS($AC$1006:AS1006),$AC$1006:$AS$1006,0))&gt;=100000), " ",IF(INDEX($AC$2:$AS$1001,MATCH(ROWS($V$2:V607),$V$2:$V$1001,0),MATCH(COLUMNS($AC$1006:AS1006),$AC$1006:$AS$1006,0)), HYPERLINK("#",""), HYPERLINK(CONCATENATE("#metadata!", ADDRESS(INDEX($X$2:$X$1001,MATCH(ROWS($V$2:V607),$V$2:$V$1001,0),0), INDEX($AC$1004:$AS$1004,1,MATCH(COLUMNS($AC$1006:AS1006),$AC$1006:$AS$1006,0)))),"Fix")))</f>
        <v xml:space="preserve"> </v>
      </c>
      <c r="V607">
        <v>606</v>
      </c>
      <c r="W607">
        <v>100607</v>
      </c>
      <c r="X607">
        <v>607</v>
      </c>
      <c r="Y607" t="b">
        <f t="shared" si="9"/>
        <v>1</v>
      </c>
      <c r="Z607" t="b">
        <f>COUNTBLANK(metadata!B607:R607)=COLUMNS(metadata!B607:R607)</f>
        <v>1</v>
      </c>
      <c r="AA607" t="str">
        <v/>
      </c>
      <c r="AC607" t="b">
        <f ca="1"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AD607" t="b">
        <f>IF(metadata!C607="",FALSE,ISNUMBER(VALUE(metadata!C607)))</f>
        <v>0</v>
      </c>
      <c r="AE607" t="b">
        <f>AND(IF(metadata!D607="",FALSE,TRUE),EXACT(metadata!D607,"years"))</f>
        <v>0</v>
      </c>
      <c r="AF607" t="b">
        <f>OR(AND(IF(metadata!E607="",FALSE,TRUE),OR(EXACT(metadata!E607,"not applicable"),EXACT(metadata!E607,"missing: not collected"),EXACT(metadata!E607,"missing: not provided"),EXACT(metadata!E607,"missing: restricted access"))),AND(IF(metadata!E607="",FALSE,ISNUMBER(VALUE(metadata!E607))),metadata!E607&gt;0))</f>
        <v>0</v>
      </c>
      <c r="AG607" t="b">
        <f>AND(IF(metadata!F607="",FALSE,TRUE),EXACT(metadata!F607,"Not applicable"))</f>
        <v>0</v>
      </c>
      <c r="AH607" t="b">
        <f>AND(IF(metadata!G607="",FALSE,TRUE),EXACT(metadata!G607,"urban biome"))</f>
        <v>0</v>
      </c>
      <c r="AI607" t="b">
        <f>AND(IF(metadata!H607="",FALSE,TRUE),EXACT(metadata!H607,"human-associated habitat"))</f>
        <v>0</v>
      </c>
      <c r="AJ607" t="b">
        <f>AND(IF(metadata!I607="",FALSE,TRUE),OR(EXACT(metadata!I607,"human-associated"),EXACT(metadata!I607,"human-skin"),EXACT(metadata!I607,"human-oral"),EXACT(metadata!I607,"human-gut"),EXACT(metadata!I607,"human-vaginal")))</f>
        <v>0</v>
      </c>
      <c r="AK607" t="b">
        <f>IF(metadata!J607="",FALSE,ISNUMBER(VALUE(metadata!J607)))</f>
        <v>0</v>
      </c>
      <c r="AL607" t="b">
        <f>AND(IF(metadata!K607="",FALSE,TRUE),EXACT(metadata!K607,"cm"))</f>
        <v>0</v>
      </c>
      <c r="AM607" t="b">
        <f>AND(IF(metadata!L607="",FALSE,TRUE),EXACT(metadata!L607,"human"))</f>
        <v>0</v>
      </c>
      <c r="AN607" t="b">
        <f>AND(IF(metadata!M607="",FALSE,TRUE),EXACT(metadata!M607,"Homo sapiens"))</f>
        <v>0</v>
      </c>
      <c r="AO607" t="b">
        <f>AND(IF(metadata!N607="",FALSE,TRUE),EXACT(metadata!N607,"9606"))</f>
        <v>0</v>
      </c>
      <c r="AP607" t="b">
        <f>IF(metadata!O607="",FALSE,TRUE)</f>
        <v>0</v>
      </c>
      <c r="AQ607" t="b">
        <f>IF(metadata!P607="",FALSE,TRUE)</f>
        <v>0</v>
      </c>
      <c r="AR607" t="b">
        <f>IF(metadata!Q607="",FALSE,ISNUMBER(VALUE(metadata!Q607)))</f>
        <v>0</v>
      </c>
      <c r="AS607" t="b">
        <f>AND(IF(metadata!R607="",FALSE,TRUE),EXACT(metadata!R607,"kg"))</f>
        <v>0</v>
      </c>
    </row>
    <row r="608" spans="1:45" x14ac:dyDescent="0.2">
      <c r="A608" s="5" t="str">
        <f ca="1">IF(B608=" "," ",HYPERLINK(CONCATENATE("#metadata!",ADDRESS(INDEX($X$2:$X$1001,MATCH(ROWS($V$2:V608),$V$2:$V$1001,0),0),1)),INDEX($AA$2:$AA$1001,MATCH(ROWS($V$2:V608),$V$2:$V$1001,0),0)))</f>
        <v xml:space="preserve"> </v>
      </c>
      <c r="B608" s="4" t="str">
        <f ca="1">IF(OR(INDEX($W$2:$W$1001,MATCH(ROWS($V$2:V608),$V$2:$V$1001,0),1)&gt;=100000,INDEX($AC$1005:$AS$1005,1,MATCH(COLUMNS($AC$1006:AC1006),$AC$1006:$AS$1006,0))&gt;=100000), " ",IF(INDEX($AC$2:$AS$1001,MATCH(ROWS($V$2:V608),$V$2:$V$1001,0),MATCH(COLUMNS($AC$1006:AC1006),$AC$1006:$AS$1006,0)), HYPERLINK("#",""), HYPERLINK(CONCATENATE("#metadata!", ADDRESS(INDEX($X$2:$X$1001,MATCH(ROWS($V$2:V608),$V$2:$V$1001,0),0), INDEX($AC$1004:$AS$1004,1,MATCH(COLUMNS($AC$1006:AC1006),$AC$1006:$AS$1006,0)))),"Fix")))</f>
        <v xml:space="preserve"> </v>
      </c>
      <c r="C608" s="4" t="str">
        <f ca="1">IF(OR(INDEX($W$2:$W$1001,MATCH(ROWS($V$2:V608),$V$2:$V$1001,0),1)&gt;=100000,INDEX($AC$1005:$AS$1005,1,MATCH(COLUMNS($AC$1006:AD1006),$AC$1006:$AS$1006,0))&gt;=100000), " ",IF(INDEX($AC$2:$AS$1001,MATCH(ROWS($V$2:V608),$V$2:$V$1001,0),MATCH(COLUMNS($AC$1006:AD1006),$AC$1006:$AS$1006,0)), HYPERLINK("#",""), HYPERLINK(CONCATENATE("#metadata!", ADDRESS(INDEX($X$2:$X$1001,MATCH(ROWS($V$2:V608),$V$2:$V$1001,0),0), INDEX($AC$1004:$AS$1004,1,MATCH(COLUMNS($AC$1006:AD1006),$AC$1006:$AS$1006,0)))),"Fix")))</f>
        <v xml:space="preserve"> </v>
      </c>
      <c r="D608" s="4" t="str">
        <f ca="1">IF(OR(INDEX($W$2:$W$1001,MATCH(ROWS($V$2:V608),$V$2:$V$1001,0),1)&gt;=100000,INDEX($AC$1005:$AS$1005,1,MATCH(COLUMNS($AC$1006:AE1006),$AC$1006:$AS$1006,0))&gt;=100000), " ",IF(INDEX($AC$2:$AS$1001,MATCH(ROWS($V$2:V608),$V$2:$V$1001,0),MATCH(COLUMNS($AC$1006:AE1006),$AC$1006:$AS$1006,0)), HYPERLINK("#",""), HYPERLINK(CONCATENATE("#metadata!", ADDRESS(INDEX($X$2:$X$1001,MATCH(ROWS($V$2:V608),$V$2:$V$1001,0),0), INDEX($AC$1004:$AS$1004,1,MATCH(COLUMNS($AC$1006:AE1006),$AC$1006:$AS$1006,0)))),"Fix")))</f>
        <v xml:space="preserve"> </v>
      </c>
      <c r="E608" s="4" t="str">
        <f ca="1">IF(OR(INDEX($W$2:$W$1001,MATCH(ROWS($V$2:V608),$V$2:$V$1001,0),1)&gt;=100000,INDEX($AC$1005:$AS$1005,1,MATCH(COLUMNS($AC$1006:AF1006),$AC$1006:$AS$1006,0))&gt;=100000), " ",IF(INDEX($AC$2:$AS$1001,MATCH(ROWS($V$2:V608),$V$2:$V$1001,0),MATCH(COLUMNS($AC$1006:AF1006),$AC$1006:$AS$1006,0)), HYPERLINK("#",""), HYPERLINK(CONCATENATE("#metadata!", ADDRESS(INDEX($X$2:$X$1001,MATCH(ROWS($V$2:V608),$V$2:$V$1001,0),0), INDEX($AC$1004:$AS$1004,1,MATCH(COLUMNS($AC$1006:AF1006),$AC$1006:$AS$1006,0)))),"Fix")))</f>
        <v xml:space="preserve"> </v>
      </c>
      <c r="F608" s="4" t="str">
        <f ca="1">IF(OR(INDEX($W$2:$W$1001,MATCH(ROWS($V$2:V608),$V$2:$V$1001,0),1)&gt;=100000,INDEX($AC$1005:$AS$1005,1,MATCH(COLUMNS($AC$1006:AG1006),$AC$1006:$AS$1006,0))&gt;=100000), " ",IF(INDEX($AC$2:$AS$1001,MATCH(ROWS($V$2:V608),$V$2:$V$1001,0),MATCH(COLUMNS($AC$1006:AG1006),$AC$1006:$AS$1006,0)), HYPERLINK("#",""), HYPERLINK(CONCATENATE("#metadata!", ADDRESS(INDEX($X$2:$X$1001,MATCH(ROWS($V$2:V608),$V$2:$V$1001,0),0), INDEX($AC$1004:$AS$1004,1,MATCH(COLUMNS($AC$1006:AG1006),$AC$1006:$AS$1006,0)))),"Fix")))</f>
        <v xml:space="preserve"> </v>
      </c>
      <c r="G608" s="4" t="str">
        <f ca="1">IF(OR(INDEX($W$2:$W$1001,MATCH(ROWS($V$2:V608),$V$2:$V$1001,0),1)&gt;=100000,INDEX($AC$1005:$AS$1005,1,MATCH(COLUMNS($AC$1006:AH1006),$AC$1006:$AS$1006,0))&gt;=100000), " ",IF(INDEX($AC$2:$AS$1001,MATCH(ROWS($V$2:V608),$V$2:$V$1001,0),MATCH(COLUMNS($AC$1006:AH1006),$AC$1006:$AS$1006,0)), HYPERLINK("#",""), HYPERLINK(CONCATENATE("#metadata!", ADDRESS(INDEX($X$2:$X$1001,MATCH(ROWS($V$2:V608),$V$2:$V$1001,0),0), INDEX($AC$1004:$AS$1004,1,MATCH(COLUMNS($AC$1006:AH1006),$AC$1006:$AS$1006,0)))),"Fix")))</f>
        <v xml:space="preserve"> </v>
      </c>
      <c r="H608" s="4" t="str">
        <f ca="1">IF(OR(INDEX($W$2:$W$1001,MATCH(ROWS($V$2:V608),$V$2:$V$1001,0),1)&gt;=100000,INDEX($AC$1005:$AS$1005,1,MATCH(COLUMNS($AC$1006:AI1006),$AC$1006:$AS$1006,0))&gt;=100000), " ",IF(INDEX($AC$2:$AS$1001,MATCH(ROWS($V$2:V608),$V$2:$V$1001,0),MATCH(COLUMNS($AC$1006:AI1006),$AC$1006:$AS$1006,0)), HYPERLINK("#",""), HYPERLINK(CONCATENATE("#metadata!", ADDRESS(INDEX($X$2:$X$1001,MATCH(ROWS($V$2:V608),$V$2:$V$1001,0),0), INDEX($AC$1004:$AS$1004,1,MATCH(COLUMNS($AC$1006:AI1006),$AC$1006:$AS$1006,0)))),"Fix")))</f>
        <v xml:space="preserve"> </v>
      </c>
      <c r="I608" s="4" t="str">
        <f ca="1">IF(OR(INDEX($W$2:$W$1001,MATCH(ROWS($V$2:V608),$V$2:$V$1001,0),1)&gt;=100000,INDEX($AC$1005:$AS$1005,1,MATCH(COLUMNS($AC$1006:AJ1006),$AC$1006:$AS$1006,0))&gt;=100000), " ",IF(INDEX($AC$2:$AS$1001,MATCH(ROWS($V$2:V608),$V$2:$V$1001,0),MATCH(COLUMNS($AC$1006:AJ1006),$AC$1006:$AS$1006,0)), HYPERLINK("#",""), HYPERLINK(CONCATENATE("#metadata!", ADDRESS(INDEX($X$2:$X$1001,MATCH(ROWS($V$2:V608),$V$2:$V$1001,0),0), INDEX($AC$1004:$AS$1004,1,MATCH(COLUMNS($AC$1006:AJ1006),$AC$1006:$AS$1006,0)))),"Fix")))</f>
        <v xml:space="preserve"> </v>
      </c>
      <c r="J608" s="4" t="str">
        <f ca="1">IF(OR(INDEX($W$2:$W$1001,MATCH(ROWS($V$2:V608),$V$2:$V$1001,0),1)&gt;=100000,INDEX($AC$1005:$AS$1005,1,MATCH(COLUMNS($AC$1006:AK1006),$AC$1006:$AS$1006,0))&gt;=100000), " ",IF(INDEX($AC$2:$AS$1001,MATCH(ROWS($V$2:V608),$V$2:$V$1001,0),MATCH(COLUMNS($AC$1006:AK1006),$AC$1006:$AS$1006,0)), HYPERLINK("#",""), HYPERLINK(CONCATENATE("#metadata!", ADDRESS(INDEX($X$2:$X$1001,MATCH(ROWS($V$2:V608),$V$2:$V$1001,0),0), INDEX($AC$1004:$AS$1004,1,MATCH(COLUMNS($AC$1006:AK1006),$AC$1006:$AS$1006,0)))),"Fix")))</f>
        <v xml:space="preserve"> </v>
      </c>
      <c r="K608" s="4" t="str">
        <f ca="1">IF(OR(INDEX($W$2:$W$1001,MATCH(ROWS($V$2:V608),$V$2:$V$1001,0),1)&gt;=100000,INDEX($AC$1005:$AS$1005,1,MATCH(COLUMNS($AC$1006:AL1006),$AC$1006:$AS$1006,0))&gt;=100000), " ",IF(INDEX($AC$2:$AS$1001,MATCH(ROWS($V$2:V608),$V$2:$V$1001,0),MATCH(COLUMNS($AC$1006:AL1006),$AC$1006:$AS$1006,0)), HYPERLINK("#",""), HYPERLINK(CONCATENATE("#metadata!", ADDRESS(INDEX($X$2:$X$1001,MATCH(ROWS($V$2:V608),$V$2:$V$1001,0),0), INDEX($AC$1004:$AS$1004,1,MATCH(COLUMNS($AC$1006:AL1006),$AC$1006:$AS$1006,0)))),"Fix")))</f>
        <v xml:space="preserve"> </v>
      </c>
      <c r="L608" s="4" t="str">
        <f ca="1">IF(OR(INDEX($W$2:$W$1001,MATCH(ROWS($V$2:V608),$V$2:$V$1001,0),1)&gt;=100000,INDEX($AC$1005:$AS$1005,1,MATCH(COLUMNS($AC$1006:AM1006),$AC$1006:$AS$1006,0))&gt;=100000), " ",IF(INDEX($AC$2:$AS$1001,MATCH(ROWS($V$2:V608),$V$2:$V$1001,0),MATCH(COLUMNS($AC$1006:AM1006),$AC$1006:$AS$1006,0)), HYPERLINK("#",""), HYPERLINK(CONCATENATE("#metadata!", ADDRESS(INDEX($X$2:$X$1001,MATCH(ROWS($V$2:V608),$V$2:$V$1001,0),0), INDEX($AC$1004:$AS$1004,1,MATCH(COLUMNS($AC$1006:AM1006),$AC$1006:$AS$1006,0)))),"Fix")))</f>
        <v xml:space="preserve"> </v>
      </c>
      <c r="M608" s="4" t="str">
        <f ca="1">IF(OR(INDEX($W$2:$W$1001,MATCH(ROWS($V$2:V608),$V$2:$V$1001,0),1)&gt;=100000,INDEX($AC$1005:$AS$1005,1,MATCH(COLUMNS($AC$1006:AN1006),$AC$1006:$AS$1006,0))&gt;=100000), " ",IF(INDEX($AC$2:$AS$1001,MATCH(ROWS($V$2:V608),$V$2:$V$1001,0),MATCH(COLUMNS($AC$1006:AN1006),$AC$1006:$AS$1006,0)), HYPERLINK("#",""), HYPERLINK(CONCATENATE("#metadata!", ADDRESS(INDEX($X$2:$X$1001,MATCH(ROWS($V$2:V608),$V$2:$V$1001,0),0), INDEX($AC$1004:$AS$1004,1,MATCH(COLUMNS($AC$1006:AN1006),$AC$1006:$AS$1006,0)))),"Fix")))</f>
        <v xml:space="preserve"> </v>
      </c>
      <c r="N608" s="4" t="str">
        <f ca="1">IF(OR(INDEX($W$2:$W$1001,MATCH(ROWS($V$2:V608),$V$2:$V$1001,0),1)&gt;=100000,INDEX($AC$1005:$AS$1005,1,MATCH(COLUMNS($AC$1006:AO1006),$AC$1006:$AS$1006,0))&gt;=100000), " ",IF(INDEX($AC$2:$AS$1001,MATCH(ROWS($V$2:V608),$V$2:$V$1001,0),MATCH(COLUMNS($AC$1006:AO1006),$AC$1006:$AS$1006,0)), HYPERLINK("#",""), HYPERLINK(CONCATENATE("#metadata!", ADDRESS(INDEX($X$2:$X$1001,MATCH(ROWS($V$2:V608),$V$2:$V$1001,0),0), INDEX($AC$1004:$AS$1004,1,MATCH(COLUMNS($AC$1006:AO1006),$AC$1006:$AS$1006,0)))),"Fix")))</f>
        <v xml:space="preserve"> </v>
      </c>
      <c r="O608" s="4" t="str">
        <f ca="1">IF(OR(INDEX($W$2:$W$1001,MATCH(ROWS($V$2:V608),$V$2:$V$1001,0),1)&gt;=100000,INDEX($AC$1005:$AS$1005,1,MATCH(COLUMNS($AC$1006:AP1006),$AC$1006:$AS$1006,0))&gt;=100000), " ",IF(INDEX($AC$2:$AS$1001,MATCH(ROWS($V$2:V608),$V$2:$V$1001,0),MATCH(COLUMNS($AC$1006:AP1006),$AC$1006:$AS$1006,0)), HYPERLINK("#",""), HYPERLINK(CONCATENATE("#metadata!", ADDRESS(INDEX($X$2:$X$1001,MATCH(ROWS($V$2:V608),$V$2:$V$1001,0),0), INDEX($AC$1004:$AS$1004,1,MATCH(COLUMNS($AC$1006:AP1006),$AC$1006:$AS$1006,0)))),"Fix")))</f>
        <v xml:space="preserve"> </v>
      </c>
      <c r="P608" s="4" t="str">
        <f ca="1">IF(OR(INDEX($W$2:$W$1001,MATCH(ROWS($V$2:V608),$V$2:$V$1001,0),1)&gt;=100000,INDEX($AC$1005:$AS$1005,1,MATCH(COLUMNS($AC$1006:AQ1006),$AC$1006:$AS$1006,0))&gt;=100000), " ",IF(INDEX($AC$2:$AS$1001,MATCH(ROWS($V$2:V608),$V$2:$V$1001,0),MATCH(COLUMNS($AC$1006:AQ1006),$AC$1006:$AS$1006,0)), HYPERLINK("#",""), HYPERLINK(CONCATENATE("#metadata!", ADDRESS(INDEX($X$2:$X$1001,MATCH(ROWS($V$2:V608),$V$2:$V$1001,0),0), INDEX($AC$1004:$AS$1004,1,MATCH(COLUMNS($AC$1006:AQ1006),$AC$1006:$AS$1006,0)))),"Fix")))</f>
        <v xml:space="preserve"> </v>
      </c>
      <c r="Q608" s="4" t="str">
        <f ca="1">IF(OR(INDEX($W$2:$W$1001,MATCH(ROWS($V$2:V608),$V$2:$V$1001,0),1)&gt;=100000,INDEX($AC$1005:$AS$1005,1,MATCH(COLUMNS($AC$1006:AR1006),$AC$1006:$AS$1006,0))&gt;=100000), " ",IF(INDEX($AC$2:$AS$1001,MATCH(ROWS($V$2:V608),$V$2:$V$1001,0),MATCH(COLUMNS($AC$1006:AR1006),$AC$1006:$AS$1006,0)), HYPERLINK("#",""), HYPERLINK(CONCATENATE("#metadata!", ADDRESS(INDEX($X$2:$X$1001,MATCH(ROWS($V$2:V608),$V$2:$V$1001,0),0), INDEX($AC$1004:$AS$1004,1,MATCH(COLUMNS($AC$1006:AR1006),$AC$1006:$AS$1006,0)))),"Fix")))</f>
        <v xml:space="preserve"> </v>
      </c>
      <c r="R608" s="4" t="str">
        <f ca="1">IF(OR(INDEX($W$2:$W$1001,MATCH(ROWS($V$2:V608),$V$2:$V$1001,0),1)&gt;=100000,INDEX($AC$1005:$AS$1005,1,MATCH(COLUMNS($AC$1006:AS1006),$AC$1006:$AS$1006,0))&gt;=100000), " ",IF(INDEX($AC$2:$AS$1001,MATCH(ROWS($V$2:V608),$V$2:$V$1001,0),MATCH(COLUMNS($AC$1006:AS1006),$AC$1006:$AS$1006,0)), HYPERLINK("#",""), HYPERLINK(CONCATENATE("#metadata!", ADDRESS(INDEX($X$2:$X$1001,MATCH(ROWS($V$2:V608),$V$2:$V$1001,0),0), INDEX($AC$1004:$AS$1004,1,MATCH(COLUMNS($AC$1006:AS1006),$AC$1006:$AS$1006,0)))),"Fix")))</f>
        <v xml:space="preserve"> </v>
      </c>
      <c r="V608">
        <v>607</v>
      </c>
      <c r="W608">
        <v>100608</v>
      </c>
      <c r="X608">
        <v>608</v>
      </c>
      <c r="Y608" t="b">
        <f t="shared" si="9"/>
        <v>1</v>
      </c>
      <c r="Z608" t="b">
        <f>COUNTBLANK(metadata!B608:R608)=COLUMNS(metadata!B608:R608)</f>
        <v>1</v>
      </c>
      <c r="AA608" t="str">
        <v/>
      </c>
      <c r="AC608" t="b">
        <f ca="1"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AD608" t="b">
        <f>IF(metadata!C608="",FALSE,ISNUMBER(VALUE(metadata!C608)))</f>
        <v>0</v>
      </c>
      <c r="AE608" t="b">
        <f>AND(IF(metadata!D608="",FALSE,TRUE),EXACT(metadata!D608,"years"))</f>
        <v>0</v>
      </c>
      <c r="AF608" t="b">
        <f>OR(AND(IF(metadata!E608="",FALSE,TRUE),OR(EXACT(metadata!E608,"not applicable"),EXACT(metadata!E608,"missing: not collected"),EXACT(metadata!E608,"missing: not provided"),EXACT(metadata!E608,"missing: restricted access"))),AND(IF(metadata!E608="",FALSE,ISNUMBER(VALUE(metadata!E608))),metadata!E608&gt;0))</f>
        <v>0</v>
      </c>
      <c r="AG608" t="b">
        <f>AND(IF(metadata!F608="",FALSE,TRUE),EXACT(metadata!F608,"Not applicable"))</f>
        <v>0</v>
      </c>
      <c r="AH608" t="b">
        <f>AND(IF(metadata!G608="",FALSE,TRUE),EXACT(metadata!G608,"urban biome"))</f>
        <v>0</v>
      </c>
      <c r="AI608" t="b">
        <f>AND(IF(metadata!H608="",FALSE,TRUE),EXACT(metadata!H608,"human-associated habitat"))</f>
        <v>0</v>
      </c>
      <c r="AJ608" t="b">
        <f>AND(IF(metadata!I608="",FALSE,TRUE),OR(EXACT(metadata!I608,"human-associated"),EXACT(metadata!I608,"human-skin"),EXACT(metadata!I608,"human-oral"),EXACT(metadata!I608,"human-gut"),EXACT(metadata!I608,"human-vaginal")))</f>
        <v>0</v>
      </c>
      <c r="AK608" t="b">
        <f>IF(metadata!J608="",FALSE,ISNUMBER(VALUE(metadata!J608)))</f>
        <v>0</v>
      </c>
      <c r="AL608" t="b">
        <f>AND(IF(metadata!K608="",FALSE,TRUE),EXACT(metadata!K608,"cm"))</f>
        <v>0</v>
      </c>
      <c r="AM608" t="b">
        <f>AND(IF(metadata!L608="",FALSE,TRUE),EXACT(metadata!L608,"human"))</f>
        <v>0</v>
      </c>
      <c r="AN608" t="b">
        <f>AND(IF(metadata!M608="",FALSE,TRUE),EXACT(metadata!M608,"Homo sapiens"))</f>
        <v>0</v>
      </c>
      <c r="AO608" t="b">
        <f>AND(IF(metadata!N608="",FALSE,TRUE),EXACT(metadata!N608,"9606"))</f>
        <v>0</v>
      </c>
      <c r="AP608" t="b">
        <f>IF(metadata!O608="",FALSE,TRUE)</f>
        <v>0</v>
      </c>
      <c r="AQ608" t="b">
        <f>IF(metadata!P608="",FALSE,TRUE)</f>
        <v>0</v>
      </c>
      <c r="AR608" t="b">
        <f>IF(metadata!Q608="",FALSE,ISNUMBER(VALUE(metadata!Q608)))</f>
        <v>0</v>
      </c>
      <c r="AS608" t="b">
        <f>AND(IF(metadata!R608="",FALSE,TRUE),EXACT(metadata!R608,"kg"))</f>
        <v>0</v>
      </c>
    </row>
    <row r="609" spans="1:45" x14ac:dyDescent="0.2">
      <c r="A609" s="5" t="str">
        <f ca="1">IF(B609=" "," ",HYPERLINK(CONCATENATE("#metadata!",ADDRESS(INDEX($X$2:$X$1001,MATCH(ROWS($V$2:V609),$V$2:$V$1001,0),0),1)),INDEX($AA$2:$AA$1001,MATCH(ROWS($V$2:V609),$V$2:$V$1001,0),0)))</f>
        <v xml:space="preserve"> </v>
      </c>
      <c r="B609" s="4" t="str">
        <f ca="1">IF(OR(INDEX($W$2:$W$1001,MATCH(ROWS($V$2:V609),$V$2:$V$1001,0),1)&gt;=100000,INDEX($AC$1005:$AS$1005,1,MATCH(COLUMNS($AC$1006:AC1006),$AC$1006:$AS$1006,0))&gt;=100000), " ",IF(INDEX($AC$2:$AS$1001,MATCH(ROWS($V$2:V609),$V$2:$V$1001,0),MATCH(COLUMNS($AC$1006:AC1006),$AC$1006:$AS$1006,0)), HYPERLINK("#",""), HYPERLINK(CONCATENATE("#metadata!", ADDRESS(INDEX($X$2:$X$1001,MATCH(ROWS($V$2:V609),$V$2:$V$1001,0),0), INDEX($AC$1004:$AS$1004,1,MATCH(COLUMNS($AC$1006:AC1006),$AC$1006:$AS$1006,0)))),"Fix")))</f>
        <v xml:space="preserve"> </v>
      </c>
      <c r="C609" s="4" t="str">
        <f ca="1">IF(OR(INDEX($W$2:$W$1001,MATCH(ROWS($V$2:V609),$V$2:$V$1001,0),1)&gt;=100000,INDEX($AC$1005:$AS$1005,1,MATCH(COLUMNS($AC$1006:AD1006),$AC$1006:$AS$1006,0))&gt;=100000), " ",IF(INDEX($AC$2:$AS$1001,MATCH(ROWS($V$2:V609),$V$2:$V$1001,0),MATCH(COLUMNS($AC$1006:AD1006),$AC$1006:$AS$1006,0)), HYPERLINK("#",""), HYPERLINK(CONCATENATE("#metadata!", ADDRESS(INDEX($X$2:$X$1001,MATCH(ROWS($V$2:V609),$V$2:$V$1001,0),0), INDEX($AC$1004:$AS$1004,1,MATCH(COLUMNS($AC$1006:AD1006),$AC$1006:$AS$1006,0)))),"Fix")))</f>
        <v xml:space="preserve"> </v>
      </c>
      <c r="D609" s="4" t="str">
        <f ca="1">IF(OR(INDEX($W$2:$W$1001,MATCH(ROWS($V$2:V609),$V$2:$V$1001,0),1)&gt;=100000,INDEX($AC$1005:$AS$1005,1,MATCH(COLUMNS($AC$1006:AE1006),$AC$1006:$AS$1006,0))&gt;=100000), " ",IF(INDEX($AC$2:$AS$1001,MATCH(ROWS($V$2:V609),$V$2:$V$1001,0),MATCH(COLUMNS($AC$1006:AE1006),$AC$1006:$AS$1006,0)), HYPERLINK("#",""), HYPERLINK(CONCATENATE("#metadata!", ADDRESS(INDEX($X$2:$X$1001,MATCH(ROWS($V$2:V609),$V$2:$V$1001,0),0), INDEX($AC$1004:$AS$1004,1,MATCH(COLUMNS($AC$1006:AE1006),$AC$1006:$AS$1006,0)))),"Fix")))</f>
        <v xml:space="preserve"> </v>
      </c>
      <c r="E609" s="4" t="str">
        <f ca="1">IF(OR(INDEX($W$2:$W$1001,MATCH(ROWS($V$2:V609),$V$2:$V$1001,0),1)&gt;=100000,INDEX($AC$1005:$AS$1005,1,MATCH(COLUMNS($AC$1006:AF1006),$AC$1006:$AS$1006,0))&gt;=100000), " ",IF(INDEX($AC$2:$AS$1001,MATCH(ROWS($V$2:V609),$V$2:$V$1001,0),MATCH(COLUMNS($AC$1006:AF1006),$AC$1006:$AS$1006,0)), HYPERLINK("#",""), HYPERLINK(CONCATENATE("#metadata!", ADDRESS(INDEX($X$2:$X$1001,MATCH(ROWS($V$2:V609),$V$2:$V$1001,0),0), INDEX($AC$1004:$AS$1004,1,MATCH(COLUMNS($AC$1006:AF1006),$AC$1006:$AS$1006,0)))),"Fix")))</f>
        <v xml:space="preserve"> </v>
      </c>
      <c r="F609" s="4" t="str">
        <f ca="1">IF(OR(INDEX($W$2:$W$1001,MATCH(ROWS($V$2:V609),$V$2:$V$1001,0),1)&gt;=100000,INDEX($AC$1005:$AS$1005,1,MATCH(COLUMNS($AC$1006:AG1006),$AC$1006:$AS$1006,0))&gt;=100000), " ",IF(INDEX($AC$2:$AS$1001,MATCH(ROWS($V$2:V609),$V$2:$V$1001,0),MATCH(COLUMNS($AC$1006:AG1006),$AC$1006:$AS$1006,0)), HYPERLINK("#",""), HYPERLINK(CONCATENATE("#metadata!", ADDRESS(INDEX($X$2:$X$1001,MATCH(ROWS($V$2:V609),$V$2:$V$1001,0),0), INDEX($AC$1004:$AS$1004,1,MATCH(COLUMNS($AC$1006:AG1006),$AC$1006:$AS$1006,0)))),"Fix")))</f>
        <v xml:space="preserve"> </v>
      </c>
      <c r="G609" s="4" t="str">
        <f ca="1">IF(OR(INDEX($W$2:$W$1001,MATCH(ROWS($V$2:V609),$V$2:$V$1001,0),1)&gt;=100000,INDEX($AC$1005:$AS$1005,1,MATCH(COLUMNS($AC$1006:AH1006),$AC$1006:$AS$1006,0))&gt;=100000), " ",IF(INDEX($AC$2:$AS$1001,MATCH(ROWS($V$2:V609),$V$2:$V$1001,0),MATCH(COLUMNS($AC$1006:AH1006),$AC$1006:$AS$1006,0)), HYPERLINK("#",""), HYPERLINK(CONCATENATE("#metadata!", ADDRESS(INDEX($X$2:$X$1001,MATCH(ROWS($V$2:V609),$V$2:$V$1001,0),0), INDEX($AC$1004:$AS$1004,1,MATCH(COLUMNS($AC$1006:AH1006),$AC$1006:$AS$1006,0)))),"Fix")))</f>
        <v xml:space="preserve"> </v>
      </c>
      <c r="H609" s="4" t="str">
        <f ca="1">IF(OR(INDEX($W$2:$W$1001,MATCH(ROWS($V$2:V609),$V$2:$V$1001,0),1)&gt;=100000,INDEX($AC$1005:$AS$1005,1,MATCH(COLUMNS($AC$1006:AI1006),$AC$1006:$AS$1006,0))&gt;=100000), " ",IF(INDEX($AC$2:$AS$1001,MATCH(ROWS($V$2:V609),$V$2:$V$1001,0),MATCH(COLUMNS($AC$1006:AI1006),$AC$1006:$AS$1006,0)), HYPERLINK("#",""), HYPERLINK(CONCATENATE("#metadata!", ADDRESS(INDEX($X$2:$X$1001,MATCH(ROWS($V$2:V609),$V$2:$V$1001,0),0), INDEX($AC$1004:$AS$1004,1,MATCH(COLUMNS($AC$1006:AI1006),$AC$1006:$AS$1006,0)))),"Fix")))</f>
        <v xml:space="preserve"> </v>
      </c>
      <c r="I609" s="4" t="str">
        <f ca="1">IF(OR(INDEX($W$2:$W$1001,MATCH(ROWS($V$2:V609),$V$2:$V$1001,0),1)&gt;=100000,INDEX($AC$1005:$AS$1005,1,MATCH(COLUMNS($AC$1006:AJ1006),$AC$1006:$AS$1006,0))&gt;=100000), " ",IF(INDEX($AC$2:$AS$1001,MATCH(ROWS($V$2:V609),$V$2:$V$1001,0),MATCH(COLUMNS($AC$1006:AJ1006),$AC$1006:$AS$1006,0)), HYPERLINK("#",""), HYPERLINK(CONCATENATE("#metadata!", ADDRESS(INDEX($X$2:$X$1001,MATCH(ROWS($V$2:V609),$V$2:$V$1001,0),0), INDEX($AC$1004:$AS$1004,1,MATCH(COLUMNS($AC$1006:AJ1006),$AC$1006:$AS$1006,0)))),"Fix")))</f>
        <v xml:space="preserve"> </v>
      </c>
      <c r="J609" s="4" t="str">
        <f ca="1">IF(OR(INDEX($W$2:$W$1001,MATCH(ROWS($V$2:V609),$V$2:$V$1001,0),1)&gt;=100000,INDEX($AC$1005:$AS$1005,1,MATCH(COLUMNS($AC$1006:AK1006),$AC$1006:$AS$1006,0))&gt;=100000), " ",IF(INDEX($AC$2:$AS$1001,MATCH(ROWS($V$2:V609),$V$2:$V$1001,0),MATCH(COLUMNS($AC$1006:AK1006),$AC$1006:$AS$1006,0)), HYPERLINK("#",""), HYPERLINK(CONCATENATE("#metadata!", ADDRESS(INDEX($X$2:$X$1001,MATCH(ROWS($V$2:V609),$V$2:$V$1001,0),0), INDEX($AC$1004:$AS$1004,1,MATCH(COLUMNS($AC$1006:AK1006),$AC$1006:$AS$1006,0)))),"Fix")))</f>
        <v xml:space="preserve"> </v>
      </c>
      <c r="K609" s="4" t="str">
        <f ca="1">IF(OR(INDEX($W$2:$W$1001,MATCH(ROWS($V$2:V609),$V$2:$V$1001,0),1)&gt;=100000,INDEX($AC$1005:$AS$1005,1,MATCH(COLUMNS($AC$1006:AL1006),$AC$1006:$AS$1006,0))&gt;=100000), " ",IF(INDEX($AC$2:$AS$1001,MATCH(ROWS($V$2:V609),$V$2:$V$1001,0),MATCH(COLUMNS($AC$1006:AL1006),$AC$1006:$AS$1006,0)), HYPERLINK("#",""), HYPERLINK(CONCATENATE("#metadata!", ADDRESS(INDEX($X$2:$X$1001,MATCH(ROWS($V$2:V609),$V$2:$V$1001,0),0), INDEX($AC$1004:$AS$1004,1,MATCH(COLUMNS($AC$1006:AL1006),$AC$1006:$AS$1006,0)))),"Fix")))</f>
        <v xml:space="preserve"> </v>
      </c>
      <c r="L609" s="4" t="str">
        <f ca="1">IF(OR(INDEX($W$2:$W$1001,MATCH(ROWS($V$2:V609),$V$2:$V$1001,0),1)&gt;=100000,INDEX($AC$1005:$AS$1005,1,MATCH(COLUMNS($AC$1006:AM1006),$AC$1006:$AS$1006,0))&gt;=100000), " ",IF(INDEX($AC$2:$AS$1001,MATCH(ROWS($V$2:V609),$V$2:$V$1001,0),MATCH(COLUMNS($AC$1006:AM1006),$AC$1006:$AS$1006,0)), HYPERLINK("#",""), HYPERLINK(CONCATENATE("#metadata!", ADDRESS(INDEX($X$2:$X$1001,MATCH(ROWS($V$2:V609),$V$2:$V$1001,0),0), INDEX($AC$1004:$AS$1004,1,MATCH(COLUMNS($AC$1006:AM1006),$AC$1006:$AS$1006,0)))),"Fix")))</f>
        <v xml:space="preserve"> </v>
      </c>
      <c r="M609" s="4" t="str">
        <f ca="1">IF(OR(INDEX($W$2:$W$1001,MATCH(ROWS($V$2:V609),$V$2:$V$1001,0),1)&gt;=100000,INDEX($AC$1005:$AS$1005,1,MATCH(COLUMNS($AC$1006:AN1006),$AC$1006:$AS$1006,0))&gt;=100000), " ",IF(INDEX($AC$2:$AS$1001,MATCH(ROWS($V$2:V609),$V$2:$V$1001,0),MATCH(COLUMNS($AC$1006:AN1006),$AC$1006:$AS$1006,0)), HYPERLINK("#",""), HYPERLINK(CONCATENATE("#metadata!", ADDRESS(INDEX($X$2:$X$1001,MATCH(ROWS($V$2:V609),$V$2:$V$1001,0),0), INDEX($AC$1004:$AS$1004,1,MATCH(COLUMNS($AC$1006:AN1006),$AC$1006:$AS$1006,0)))),"Fix")))</f>
        <v xml:space="preserve"> </v>
      </c>
      <c r="N609" s="4" t="str">
        <f ca="1">IF(OR(INDEX($W$2:$W$1001,MATCH(ROWS($V$2:V609),$V$2:$V$1001,0),1)&gt;=100000,INDEX($AC$1005:$AS$1005,1,MATCH(COLUMNS($AC$1006:AO1006),$AC$1006:$AS$1006,0))&gt;=100000), " ",IF(INDEX($AC$2:$AS$1001,MATCH(ROWS($V$2:V609),$V$2:$V$1001,0),MATCH(COLUMNS($AC$1006:AO1006),$AC$1006:$AS$1006,0)), HYPERLINK("#",""), HYPERLINK(CONCATENATE("#metadata!", ADDRESS(INDEX($X$2:$X$1001,MATCH(ROWS($V$2:V609),$V$2:$V$1001,0),0), INDEX($AC$1004:$AS$1004,1,MATCH(COLUMNS($AC$1006:AO1006),$AC$1006:$AS$1006,0)))),"Fix")))</f>
        <v xml:space="preserve"> </v>
      </c>
      <c r="O609" s="4" t="str">
        <f ca="1">IF(OR(INDEX($W$2:$W$1001,MATCH(ROWS($V$2:V609),$V$2:$V$1001,0),1)&gt;=100000,INDEX($AC$1005:$AS$1005,1,MATCH(COLUMNS($AC$1006:AP1006),$AC$1006:$AS$1006,0))&gt;=100000), " ",IF(INDEX($AC$2:$AS$1001,MATCH(ROWS($V$2:V609),$V$2:$V$1001,0),MATCH(COLUMNS($AC$1006:AP1006),$AC$1006:$AS$1006,0)), HYPERLINK("#",""), HYPERLINK(CONCATENATE("#metadata!", ADDRESS(INDEX($X$2:$X$1001,MATCH(ROWS($V$2:V609),$V$2:$V$1001,0),0), INDEX($AC$1004:$AS$1004,1,MATCH(COLUMNS($AC$1006:AP1006),$AC$1006:$AS$1006,0)))),"Fix")))</f>
        <v xml:space="preserve"> </v>
      </c>
      <c r="P609" s="4" t="str">
        <f ca="1">IF(OR(INDEX($W$2:$W$1001,MATCH(ROWS($V$2:V609),$V$2:$V$1001,0),1)&gt;=100000,INDEX($AC$1005:$AS$1005,1,MATCH(COLUMNS($AC$1006:AQ1006),$AC$1006:$AS$1006,0))&gt;=100000), " ",IF(INDEX($AC$2:$AS$1001,MATCH(ROWS($V$2:V609),$V$2:$V$1001,0),MATCH(COLUMNS($AC$1006:AQ1006),$AC$1006:$AS$1006,0)), HYPERLINK("#",""), HYPERLINK(CONCATENATE("#metadata!", ADDRESS(INDEX($X$2:$X$1001,MATCH(ROWS($V$2:V609),$V$2:$V$1001,0),0), INDEX($AC$1004:$AS$1004,1,MATCH(COLUMNS($AC$1006:AQ1006),$AC$1006:$AS$1006,0)))),"Fix")))</f>
        <v xml:space="preserve"> </v>
      </c>
      <c r="Q609" s="4" t="str">
        <f ca="1">IF(OR(INDEX($W$2:$W$1001,MATCH(ROWS($V$2:V609),$V$2:$V$1001,0),1)&gt;=100000,INDEX($AC$1005:$AS$1005,1,MATCH(COLUMNS($AC$1006:AR1006),$AC$1006:$AS$1006,0))&gt;=100000), " ",IF(INDEX($AC$2:$AS$1001,MATCH(ROWS($V$2:V609),$V$2:$V$1001,0),MATCH(COLUMNS($AC$1006:AR1006),$AC$1006:$AS$1006,0)), HYPERLINK("#",""), HYPERLINK(CONCATENATE("#metadata!", ADDRESS(INDEX($X$2:$X$1001,MATCH(ROWS($V$2:V609),$V$2:$V$1001,0),0), INDEX($AC$1004:$AS$1004,1,MATCH(COLUMNS($AC$1006:AR1006),$AC$1006:$AS$1006,0)))),"Fix")))</f>
        <v xml:space="preserve"> </v>
      </c>
      <c r="R609" s="4" t="str">
        <f ca="1">IF(OR(INDEX($W$2:$W$1001,MATCH(ROWS($V$2:V609),$V$2:$V$1001,0),1)&gt;=100000,INDEX($AC$1005:$AS$1005,1,MATCH(COLUMNS($AC$1006:AS1006),$AC$1006:$AS$1006,0))&gt;=100000), " ",IF(INDEX($AC$2:$AS$1001,MATCH(ROWS($V$2:V609),$V$2:$V$1001,0),MATCH(COLUMNS($AC$1006:AS1006),$AC$1006:$AS$1006,0)), HYPERLINK("#",""), HYPERLINK(CONCATENATE("#metadata!", ADDRESS(INDEX($X$2:$X$1001,MATCH(ROWS($V$2:V609),$V$2:$V$1001,0),0), INDEX($AC$1004:$AS$1004,1,MATCH(COLUMNS($AC$1006:AS1006),$AC$1006:$AS$1006,0)))),"Fix")))</f>
        <v xml:space="preserve"> </v>
      </c>
      <c r="V609">
        <v>608</v>
      </c>
      <c r="W609">
        <v>100609</v>
      </c>
      <c r="X609">
        <v>609</v>
      </c>
      <c r="Y609" t="b">
        <f t="shared" si="9"/>
        <v>1</v>
      </c>
      <c r="Z609" t="b">
        <f>COUNTBLANK(metadata!B609:R609)=COLUMNS(metadata!B609:R609)</f>
        <v>1</v>
      </c>
      <c r="AA609" t="str">
        <v/>
      </c>
      <c r="AC609" t="b">
        <f ca="1"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AD609" t="b">
        <f>IF(metadata!C609="",FALSE,ISNUMBER(VALUE(metadata!C609)))</f>
        <v>0</v>
      </c>
      <c r="AE609" t="b">
        <f>AND(IF(metadata!D609="",FALSE,TRUE),EXACT(metadata!D609,"years"))</f>
        <v>0</v>
      </c>
      <c r="AF609" t="b">
        <f>OR(AND(IF(metadata!E609="",FALSE,TRUE),OR(EXACT(metadata!E609,"not applicable"),EXACT(metadata!E609,"missing: not collected"),EXACT(metadata!E609,"missing: not provided"),EXACT(metadata!E609,"missing: restricted access"))),AND(IF(metadata!E609="",FALSE,ISNUMBER(VALUE(metadata!E609))),metadata!E609&gt;0))</f>
        <v>0</v>
      </c>
      <c r="AG609" t="b">
        <f>AND(IF(metadata!F609="",FALSE,TRUE),EXACT(metadata!F609,"Not applicable"))</f>
        <v>0</v>
      </c>
      <c r="AH609" t="b">
        <f>AND(IF(metadata!G609="",FALSE,TRUE),EXACT(metadata!G609,"urban biome"))</f>
        <v>0</v>
      </c>
      <c r="AI609" t="b">
        <f>AND(IF(metadata!H609="",FALSE,TRUE),EXACT(metadata!H609,"human-associated habitat"))</f>
        <v>0</v>
      </c>
      <c r="AJ609" t="b">
        <f>AND(IF(metadata!I609="",FALSE,TRUE),OR(EXACT(metadata!I609,"human-associated"),EXACT(metadata!I609,"human-skin"),EXACT(metadata!I609,"human-oral"),EXACT(metadata!I609,"human-gut"),EXACT(metadata!I609,"human-vaginal")))</f>
        <v>0</v>
      </c>
      <c r="AK609" t="b">
        <f>IF(metadata!J609="",FALSE,ISNUMBER(VALUE(metadata!J609)))</f>
        <v>0</v>
      </c>
      <c r="AL609" t="b">
        <f>AND(IF(metadata!K609="",FALSE,TRUE),EXACT(metadata!K609,"cm"))</f>
        <v>0</v>
      </c>
      <c r="AM609" t="b">
        <f>AND(IF(metadata!L609="",FALSE,TRUE),EXACT(metadata!L609,"human"))</f>
        <v>0</v>
      </c>
      <c r="AN609" t="b">
        <f>AND(IF(metadata!M609="",FALSE,TRUE),EXACT(metadata!M609,"Homo sapiens"))</f>
        <v>0</v>
      </c>
      <c r="AO609" t="b">
        <f>AND(IF(metadata!N609="",FALSE,TRUE),EXACT(metadata!N609,"9606"))</f>
        <v>0</v>
      </c>
      <c r="AP609" t="b">
        <f>IF(metadata!O609="",FALSE,TRUE)</f>
        <v>0</v>
      </c>
      <c r="AQ609" t="b">
        <f>IF(metadata!P609="",FALSE,TRUE)</f>
        <v>0</v>
      </c>
      <c r="AR609" t="b">
        <f>IF(metadata!Q609="",FALSE,ISNUMBER(VALUE(metadata!Q609)))</f>
        <v>0</v>
      </c>
      <c r="AS609" t="b">
        <f>AND(IF(metadata!R609="",FALSE,TRUE),EXACT(metadata!R609,"kg"))</f>
        <v>0</v>
      </c>
    </row>
    <row r="610" spans="1:45" x14ac:dyDescent="0.2">
      <c r="A610" s="5" t="str">
        <f ca="1">IF(B610=" "," ",HYPERLINK(CONCATENATE("#metadata!",ADDRESS(INDEX($X$2:$X$1001,MATCH(ROWS($V$2:V610),$V$2:$V$1001,0),0),1)),INDEX($AA$2:$AA$1001,MATCH(ROWS($V$2:V610),$V$2:$V$1001,0),0)))</f>
        <v xml:space="preserve"> </v>
      </c>
      <c r="B610" s="4" t="str">
        <f ca="1">IF(OR(INDEX($W$2:$W$1001,MATCH(ROWS($V$2:V610),$V$2:$V$1001,0),1)&gt;=100000,INDEX($AC$1005:$AS$1005,1,MATCH(COLUMNS($AC$1006:AC1006),$AC$1006:$AS$1006,0))&gt;=100000), " ",IF(INDEX($AC$2:$AS$1001,MATCH(ROWS($V$2:V610),$V$2:$V$1001,0),MATCH(COLUMNS($AC$1006:AC1006),$AC$1006:$AS$1006,0)), HYPERLINK("#",""), HYPERLINK(CONCATENATE("#metadata!", ADDRESS(INDEX($X$2:$X$1001,MATCH(ROWS($V$2:V610),$V$2:$V$1001,0),0), INDEX($AC$1004:$AS$1004,1,MATCH(COLUMNS($AC$1006:AC1006),$AC$1006:$AS$1006,0)))),"Fix")))</f>
        <v xml:space="preserve"> </v>
      </c>
      <c r="C610" s="4" t="str">
        <f ca="1">IF(OR(INDEX($W$2:$W$1001,MATCH(ROWS($V$2:V610),$V$2:$V$1001,0),1)&gt;=100000,INDEX($AC$1005:$AS$1005,1,MATCH(COLUMNS($AC$1006:AD1006),$AC$1006:$AS$1006,0))&gt;=100000), " ",IF(INDEX($AC$2:$AS$1001,MATCH(ROWS($V$2:V610),$V$2:$V$1001,0),MATCH(COLUMNS($AC$1006:AD1006),$AC$1006:$AS$1006,0)), HYPERLINK("#",""), HYPERLINK(CONCATENATE("#metadata!", ADDRESS(INDEX($X$2:$X$1001,MATCH(ROWS($V$2:V610),$V$2:$V$1001,0),0), INDEX($AC$1004:$AS$1004,1,MATCH(COLUMNS($AC$1006:AD1006),$AC$1006:$AS$1006,0)))),"Fix")))</f>
        <v xml:space="preserve"> </v>
      </c>
      <c r="D610" s="4" t="str">
        <f ca="1">IF(OR(INDEX($W$2:$W$1001,MATCH(ROWS($V$2:V610),$V$2:$V$1001,0),1)&gt;=100000,INDEX($AC$1005:$AS$1005,1,MATCH(COLUMNS($AC$1006:AE1006),$AC$1006:$AS$1006,0))&gt;=100000), " ",IF(INDEX($AC$2:$AS$1001,MATCH(ROWS($V$2:V610),$V$2:$V$1001,0),MATCH(COLUMNS($AC$1006:AE1006),$AC$1006:$AS$1006,0)), HYPERLINK("#",""), HYPERLINK(CONCATENATE("#metadata!", ADDRESS(INDEX($X$2:$X$1001,MATCH(ROWS($V$2:V610),$V$2:$V$1001,0),0), INDEX($AC$1004:$AS$1004,1,MATCH(COLUMNS($AC$1006:AE1006),$AC$1006:$AS$1006,0)))),"Fix")))</f>
        <v xml:space="preserve"> </v>
      </c>
      <c r="E610" s="4" t="str">
        <f ca="1">IF(OR(INDEX($W$2:$W$1001,MATCH(ROWS($V$2:V610),$V$2:$V$1001,0),1)&gt;=100000,INDEX($AC$1005:$AS$1005,1,MATCH(COLUMNS($AC$1006:AF1006),$AC$1006:$AS$1006,0))&gt;=100000), " ",IF(INDEX($AC$2:$AS$1001,MATCH(ROWS($V$2:V610),$V$2:$V$1001,0),MATCH(COLUMNS($AC$1006:AF1006),$AC$1006:$AS$1006,0)), HYPERLINK("#",""), HYPERLINK(CONCATENATE("#metadata!", ADDRESS(INDEX($X$2:$X$1001,MATCH(ROWS($V$2:V610),$V$2:$V$1001,0),0), INDEX($AC$1004:$AS$1004,1,MATCH(COLUMNS($AC$1006:AF1006),$AC$1006:$AS$1006,0)))),"Fix")))</f>
        <v xml:space="preserve"> </v>
      </c>
      <c r="F610" s="4" t="str">
        <f ca="1">IF(OR(INDEX($W$2:$W$1001,MATCH(ROWS($V$2:V610),$V$2:$V$1001,0),1)&gt;=100000,INDEX($AC$1005:$AS$1005,1,MATCH(COLUMNS($AC$1006:AG1006),$AC$1006:$AS$1006,0))&gt;=100000), " ",IF(INDEX($AC$2:$AS$1001,MATCH(ROWS($V$2:V610),$V$2:$V$1001,0),MATCH(COLUMNS($AC$1006:AG1006),$AC$1006:$AS$1006,0)), HYPERLINK("#",""), HYPERLINK(CONCATENATE("#metadata!", ADDRESS(INDEX($X$2:$X$1001,MATCH(ROWS($V$2:V610),$V$2:$V$1001,0),0), INDEX($AC$1004:$AS$1004,1,MATCH(COLUMNS($AC$1006:AG1006),$AC$1006:$AS$1006,0)))),"Fix")))</f>
        <v xml:space="preserve"> </v>
      </c>
      <c r="G610" s="4" t="str">
        <f ca="1">IF(OR(INDEX($W$2:$W$1001,MATCH(ROWS($V$2:V610),$V$2:$V$1001,0),1)&gt;=100000,INDEX($AC$1005:$AS$1005,1,MATCH(COLUMNS($AC$1006:AH1006),$AC$1006:$AS$1006,0))&gt;=100000), " ",IF(INDEX($AC$2:$AS$1001,MATCH(ROWS($V$2:V610),$V$2:$V$1001,0),MATCH(COLUMNS($AC$1006:AH1006),$AC$1006:$AS$1006,0)), HYPERLINK("#",""), HYPERLINK(CONCATENATE("#metadata!", ADDRESS(INDEX($X$2:$X$1001,MATCH(ROWS($V$2:V610),$V$2:$V$1001,0),0), INDEX($AC$1004:$AS$1004,1,MATCH(COLUMNS($AC$1006:AH1006),$AC$1006:$AS$1006,0)))),"Fix")))</f>
        <v xml:space="preserve"> </v>
      </c>
      <c r="H610" s="4" t="str">
        <f ca="1">IF(OR(INDEX($W$2:$W$1001,MATCH(ROWS($V$2:V610),$V$2:$V$1001,0),1)&gt;=100000,INDEX($AC$1005:$AS$1005,1,MATCH(COLUMNS($AC$1006:AI1006),$AC$1006:$AS$1006,0))&gt;=100000), " ",IF(INDEX($AC$2:$AS$1001,MATCH(ROWS($V$2:V610),$V$2:$V$1001,0),MATCH(COLUMNS($AC$1006:AI1006),$AC$1006:$AS$1006,0)), HYPERLINK("#",""), HYPERLINK(CONCATENATE("#metadata!", ADDRESS(INDEX($X$2:$X$1001,MATCH(ROWS($V$2:V610),$V$2:$V$1001,0),0), INDEX($AC$1004:$AS$1004,1,MATCH(COLUMNS($AC$1006:AI1006),$AC$1006:$AS$1006,0)))),"Fix")))</f>
        <v xml:space="preserve"> </v>
      </c>
      <c r="I610" s="4" t="str">
        <f ca="1">IF(OR(INDEX($W$2:$W$1001,MATCH(ROWS($V$2:V610),$V$2:$V$1001,0),1)&gt;=100000,INDEX($AC$1005:$AS$1005,1,MATCH(COLUMNS($AC$1006:AJ1006),$AC$1006:$AS$1006,0))&gt;=100000), " ",IF(INDEX($AC$2:$AS$1001,MATCH(ROWS($V$2:V610),$V$2:$V$1001,0),MATCH(COLUMNS($AC$1006:AJ1006),$AC$1006:$AS$1006,0)), HYPERLINK("#",""), HYPERLINK(CONCATENATE("#metadata!", ADDRESS(INDEX($X$2:$X$1001,MATCH(ROWS($V$2:V610),$V$2:$V$1001,0),0), INDEX($AC$1004:$AS$1004,1,MATCH(COLUMNS($AC$1006:AJ1006),$AC$1006:$AS$1006,0)))),"Fix")))</f>
        <v xml:space="preserve"> </v>
      </c>
      <c r="J610" s="4" t="str">
        <f ca="1">IF(OR(INDEX($W$2:$W$1001,MATCH(ROWS($V$2:V610),$V$2:$V$1001,0),1)&gt;=100000,INDEX($AC$1005:$AS$1005,1,MATCH(COLUMNS($AC$1006:AK1006),$AC$1006:$AS$1006,0))&gt;=100000), " ",IF(INDEX($AC$2:$AS$1001,MATCH(ROWS($V$2:V610),$V$2:$V$1001,0),MATCH(COLUMNS($AC$1006:AK1006),$AC$1006:$AS$1006,0)), HYPERLINK("#",""), HYPERLINK(CONCATENATE("#metadata!", ADDRESS(INDEX($X$2:$X$1001,MATCH(ROWS($V$2:V610),$V$2:$V$1001,0),0), INDEX($AC$1004:$AS$1004,1,MATCH(COLUMNS($AC$1006:AK1006),$AC$1006:$AS$1006,0)))),"Fix")))</f>
        <v xml:space="preserve"> </v>
      </c>
      <c r="K610" s="4" t="str">
        <f ca="1">IF(OR(INDEX($W$2:$W$1001,MATCH(ROWS($V$2:V610),$V$2:$V$1001,0),1)&gt;=100000,INDEX($AC$1005:$AS$1005,1,MATCH(COLUMNS($AC$1006:AL1006),$AC$1006:$AS$1006,0))&gt;=100000), " ",IF(INDEX($AC$2:$AS$1001,MATCH(ROWS($V$2:V610),$V$2:$V$1001,0),MATCH(COLUMNS($AC$1006:AL1006),$AC$1006:$AS$1006,0)), HYPERLINK("#",""), HYPERLINK(CONCATENATE("#metadata!", ADDRESS(INDEX($X$2:$X$1001,MATCH(ROWS($V$2:V610),$V$2:$V$1001,0),0), INDEX($AC$1004:$AS$1004,1,MATCH(COLUMNS($AC$1006:AL1006),$AC$1006:$AS$1006,0)))),"Fix")))</f>
        <v xml:space="preserve"> </v>
      </c>
      <c r="L610" s="4" t="str">
        <f ca="1">IF(OR(INDEX($W$2:$W$1001,MATCH(ROWS($V$2:V610),$V$2:$V$1001,0),1)&gt;=100000,INDEX($AC$1005:$AS$1005,1,MATCH(COLUMNS($AC$1006:AM1006),$AC$1006:$AS$1006,0))&gt;=100000), " ",IF(INDEX($AC$2:$AS$1001,MATCH(ROWS($V$2:V610),$V$2:$V$1001,0),MATCH(COLUMNS($AC$1006:AM1006),$AC$1006:$AS$1006,0)), HYPERLINK("#",""), HYPERLINK(CONCATENATE("#metadata!", ADDRESS(INDEX($X$2:$X$1001,MATCH(ROWS($V$2:V610),$V$2:$V$1001,0),0), INDEX($AC$1004:$AS$1004,1,MATCH(COLUMNS($AC$1006:AM1006),$AC$1006:$AS$1006,0)))),"Fix")))</f>
        <v xml:space="preserve"> </v>
      </c>
      <c r="M610" s="4" t="str">
        <f ca="1">IF(OR(INDEX($W$2:$W$1001,MATCH(ROWS($V$2:V610),$V$2:$V$1001,0),1)&gt;=100000,INDEX($AC$1005:$AS$1005,1,MATCH(COLUMNS($AC$1006:AN1006),$AC$1006:$AS$1006,0))&gt;=100000), " ",IF(INDEX($AC$2:$AS$1001,MATCH(ROWS($V$2:V610),$V$2:$V$1001,0),MATCH(COLUMNS($AC$1006:AN1006),$AC$1006:$AS$1006,0)), HYPERLINK("#",""), HYPERLINK(CONCATENATE("#metadata!", ADDRESS(INDEX($X$2:$X$1001,MATCH(ROWS($V$2:V610),$V$2:$V$1001,0),0), INDEX($AC$1004:$AS$1004,1,MATCH(COLUMNS($AC$1006:AN1006),$AC$1006:$AS$1006,0)))),"Fix")))</f>
        <v xml:space="preserve"> </v>
      </c>
      <c r="N610" s="4" t="str">
        <f ca="1">IF(OR(INDEX($W$2:$W$1001,MATCH(ROWS($V$2:V610),$V$2:$V$1001,0),1)&gt;=100000,INDEX($AC$1005:$AS$1005,1,MATCH(COLUMNS($AC$1006:AO1006),$AC$1006:$AS$1006,0))&gt;=100000), " ",IF(INDEX($AC$2:$AS$1001,MATCH(ROWS($V$2:V610),$V$2:$V$1001,0),MATCH(COLUMNS($AC$1006:AO1006),$AC$1006:$AS$1006,0)), HYPERLINK("#",""), HYPERLINK(CONCATENATE("#metadata!", ADDRESS(INDEX($X$2:$X$1001,MATCH(ROWS($V$2:V610),$V$2:$V$1001,0),0), INDEX($AC$1004:$AS$1004,1,MATCH(COLUMNS($AC$1006:AO1006),$AC$1006:$AS$1006,0)))),"Fix")))</f>
        <v xml:space="preserve"> </v>
      </c>
      <c r="O610" s="4" t="str">
        <f ca="1">IF(OR(INDEX($W$2:$W$1001,MATCH(ROWS($V$2:V610),$V$2:$V$1001,0),1)&gt;=100000,INDEX($AC$1005:$AS$1005,1,MATCH(COLUMNS($AC$1006:AP1006),$AC$1006:$AS$1006,0))&gt;=100000), " ",IF(INDEX($AC$2:$AS$1001,MATCH(ROWS($V$2:V610),$V$2:$V$1001,0),MATCH(COLUMNS($AC$1006:AP1006),$AC$1006:$AS$1006,0)), HYPERLINK("#",""), HYPERLINK(CONCATENATE("#metadata!", ADDRESS(INDEX($X$2:$X$1001,MATCH(ROWS($V$2:V610),$V$2:$V$1001,0),0), INDEX($AC$1004:$AS$1004,1,MATCH(COLUMNS($AC$1006:AP1006),$AC$1006:$AS$1006,0)))),"Fix")))</f>
        <v xml:space="preserve"> </v>
      </c>
      <c r="P610" s="4" t="str">
        <f ca="1">IF(OR(INDEX($W$2:$W$1001,MATCH(ROWS($V$2:V610),$V$2:$V$1001,0),1)&gt;=100000,INDEX($AC$1005:$AS$1005,1,MATCH(COLUMNS($AC$1006:AQ1006),$AC$1006:$AS$1006,0))&gt;=100000), " ",IF(INDEX($AC$2:$AS$1001,MATCH(ROWS($V$2:V610),$V$2:$V$1001,0),MATCH(COLUMNS($AC$1006:AQ1006),$AC$1006:$AS$1006,0)), HYPERLINK("#",""), HYPERLINK(CONCATENATE("#metadata!", ADDRESS(INDEX($X$2:$X$1001,MATCH(ROWS($V$2:V610),$V$2:$V$1001,0),0), INDEX($AC$1004:$AS$1004,1,MATCH(COLUMNS($AC$1006:AQ1006),$AC$1006:$AS$1006,0)))),"Fix")))</f>
        <v xml:space="preserve"> </v>
      </c>
      <c r="Q610" s="4" t="str">
        <f ca="1">IF(OR(INDEX($W$2:$W$1001,MATCH(ROWS($V$2:V610),$V$2:$V$1001,0),1)&gt;=100000,INDEX($AC$1005:$AS$1005,1,MATCH(COLUMNS($AC$1006:AR1006),$AC$1006:$AS$1006,0))&gt;=100000), " ",IF(INDEX($AC$2:$AS$1001,MATCH(ROWS($V$2:V610),$V$2:$V$1001,0),MATCH(COLUMNS($AC$1006:AR1006),$AC$1006:$AS$1006,0)), HYPERLINK("#",""), HYPERLINK(CONCATENATE("#metadata!", ADDRESS(INDEX($X$2:$X$1001,MATCH(ROWS($V$2:V610),$V$2:$V$1001,0),0), INDEX($AC$1004:$AS$1004,1,MATCH(COLUMNS($AC$1006:AR1006),$AC$1006:$AS$1006,0)))),"Fix")))</f>
        <v xml:space="preserve"> </v>
      </c>
      <c r="R610" s="4" t="str">
        <f ca="1">IF(OR(INDEX($W$2:$W$1001,MATCH(ROWS($V$2:V610),$V$2:$V$1001,0),1)&gt;=100000,INDEX($AC$1005:$AS$1005,1,MATCH(COLUMNS($AC$1006:AS1006),$AC$1006:$AS$1006,0))&gt;=100000), " ",IF(INDEX($AC$2:$AS$1001,MATCH(ROWS($V$2:V610),$V$2:$V$1001,0),MATCH(COLUMNS($AC$1006:AS1006),$AC$1006:$AS$1006,0)), HYPERLINK("#",""), HYPERLINK(CONCATENATE("#metadata!", ADDRESS(INDEX($X$2:$X$1001,MATCH(ROWS($V$2:V610),$V$2:$V$1001,0),0), INDEX($AC$1004:$AS$1004,1,MATCH(COLUMNS($AC$1006:AS1006),$AC$1006:$AS$1006,0)))),"Fix")))</f>
        <v xml:space="preserve"> </v>
      </c>
      <c r="V610">
        <v>609</v>
      </c>
      <c r="W610">
        <v>100610</v>
      </c>
      <c r="X610">
        <v>610</v>
      </c>
      <c r="Y610" t="b">
        <f t="shared" si="9"/>
        <v>1</v>
      </c>
      <c r="Z610" t="b">
        <f>COUNTBLANK(metadata!B610:R610)=COLUMNS(metadata!B610:R610)</f>
        <v>1</v>
      </c>
      <c r="AA610" t="str">
        <v/>
      </c>
      <c r="AC610" t="b">
        <f ca="1"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AD610" t="b">
        <f>IF(metadata!C610="",FALSE,ISNUMBER(VALUE(metadata!C610)))</f>
        <v>0</v>
      </c>
      <c r="AE610" t="b">
        <f>AND(IF(metadata!D610="",FALSE,TRUE),EXACT(metadata!D610,"years"))</f>
        <v>0</v>
      </c>
      <c r="AF610" t="b">
        <f>OR(AND(IF(metadata!E610="",FALSE,TRUE),OR(EXACT(metadata!E610,"not applicable"),EXACT(metadata!E610,"missing: not collected"),EXACT(metadata!E610,"missing: not provided"),EXACT(metadata!E610,"missing: restricted access"))),AND(IF(metadata!E610="",FALSE,ISNUMBER(VALUE(metadata!E610))),metadata!E610&gt;0))</f>
        <v>0</v>
      </c>
      <c r="AG610" t="b">
        <f>AND(IF(metadata!F610="",FALSE,TRUE),EXACT(metadata!F610,"Not applicable"))</f>
        <v>0</v>
      </c>
      <c r="AH610" t="b">
        <f>AND(IF(metadata!G610="",FALSE,TRUE),EXACT(metadata!G610,"urban biome"))</f>
        <v>0</v>
      </c>
      <c r="AI610" t="b">
        <f>AND(IF(metadata!H610="",FALSE,TRUE),EXACT(metadata!H610,"human-associated habitat"))</f>
        <v>0</v>
      </c>
      <c r="AJ610" t="b">
        <f>AND(IF(metadata!I610="",FALSE,TRUE),OR(EXACT(metadata!I610,"human-associated"),EXACT(metadata!I610,"human-skin"),EXACT(metadata!I610,"human-oral"),EXACT(metadata!I610,"human-gut"),EXACT(metadata!I610,"human-vaginal")))</f>
        <v>0</v>
      </c>
      <c r="AK610" t="b">
        <f>IF(metadata!J610="",FALSE,ISNUMBER(VALUE(metadata!J610)))</f>
        <v>0</v>
      </c>
      <c r="AL610" t="b">
        <f>AND(IF(metadata!K610="",FALSE,TRUE),EXACT(metadata!K610,"cm"))</f>
        <v>0</v>
      </c>
      <c r="AM610" t="b">
        <f>AND(IF(metadata!L610="",FALSE,TRUE),EXACT(metadata!L610,"human"))</f>
        <v>0</v>
      </c>
      <c r="AN610" t="b">
        <f>AND(IF(metadata!M610="",FALSE,TRUE),EXACT(metadata!M610,"Homo sapiens"))</f>
        <v>0</v>
      </c>
      <c r="AO610" t="b">
        <f>AND(IF(metadata!N610="",FALSE,TRUE),EXACT(metadata!N610,"9606"))</f>
        <v>0</v>
      </c>
      <c r="AP610" t="b">
        <f>IF(metadata!O610="",FALSE,TRUE)</f>
        <v>0</v>
      </c>
      <c r="AQ610" t="b">
        <f>IF(metadata!P610="",FALSE,TRUE)</f>
        <v>0</v>
      </c>
      <c r="AR610" t="b">
        <f>IF(metadata!Q610="",FALSE,ISNUMBER(VALUE(metadata!Q610)))</f>
        <v>0</v>
      </c>
      <c r="AS610" t="b">
        <f>AND(IF(metadata!R610="",FALSE,TRUE),EXACT(metadata!R610,"kg"))</f>
        <v>0</v>
      </c>
    </row>
    <row r="611" spans="1:45" x14ac:dyDescent="0.2">
      <c r="A611" s="5" t="str">
        <f ca="1">IF(B611=" "," ",HYPERLINK(CONCATENATE("#metadata!",ADDRESS(INDEX($X$2:$X$1001,MATCH(ROWS($V$2:V611),$V$2:$V$1001,0),0),1)),INDEX($AA$2:$AA$1001,MATCH(ROWS($V$2:V611),$V$2:$V$1001,0),0)))</f>
        <v xml:space="preserve"> </v>
      </c>
      <c r="B611" s="4" t="str">
        <f ca="1">IF(OR(INDEX($W$2:$W$1001,MATCH(ROWS($V$2:V611),$V$2:$V$1001,0),1)&gt;=100000,INDEX($AC$1005:$AS$1005,1,MATCH(COLUMNS($AC$1006:AC1006),$AC$1006:$AS$1006,0))&gt;=100000), " ",IF(INDEX($AC$2:$AS$1001,MATCH(ROWS($V$2:V611),$V$2:$V$1001,0),MATCH(COLUMNS($AC$1006:AC1006),$AC$1006:$AS$1006,0)), HYPERLINK("#",""), HYPERLINK(CONCATENATE("#metadata!", ADDRESS(INDEX($X$2:$X$1001,MATCH(ROWS($V$2:V611),$V$2:$V$1001,0),0), INDEX($AC$1004:$AS$1004,1,MATCH(COLUMNS($AC$1006:AC1006),$AC$1006:$AS$1006,0)))),"Fix")))</f>
        <v xml:space="preserve"> </v>
      </c>
      <c r="C611" s="4" t="str">
        <f ca="1">IF(OR(INDEX($W$2:$W$1001,MATCH(ROWS($V$2:V611),$V$2:$V$1001,0),1)&gt;=100000,INDEX($AC$1005:$AS$1005,1,MATCH(COLUMNS($AC$1006:AD1006),$AC$1006:$AS$1006,0))&gt;=100000), " ",IF(INDEX($AC$2:$AS$1001,MATCH(ROWS($V$2:V611),$V$2:$V$1001,0),MATCH(COLUMNS($AC$1006:AD1006),$AC$1006:$AS$1006,0)), HYPERLINK("#",""), HYPERLINK(CONCATENATE("#metadata!", ADDRESS(INDEX($X$2:$X$1001,MATCH(ROWS($V$2:V611),$V$2:$V$1001,0),0), INDEX($AC$1004:$AS$1004,1,MATCH(COLUMNS($AC$1006:AD1006),$AC$1006:$AS$1006,0)))),"Fix")))</f>
        <v xml:space="preserve"> </v>
      </c>
      <c r="D611" s="4" t="str">
        <f ca="1">IF(OR(INDEX($W$2:$W$1001,MATCH(ROWS($V$2:V611),$V$2:$V$1001,0),1)&gt;=100000,INDEX($AC$1005:$AS$1005,1,MATCH(COLUMNS($AC$1006:AE1006),$AC$1006:$AS$1006,0))&gt;=100000), " ",IF(INDEX($AC$2:$AS$1001,MATCH(ROWS($V$2:V611),$V$2:$V$1001,0),MATCH(COLUMNS($AC$1006:AE1006),$AC$1006:$AS$1006,0)), HYPERLINK("#",""), HYPERLINK(CONCATENATE("#metadata!", ADDRESS(INDEX($X$2:$X$1001,MATCH(ROWS($V$2:V611),$V$2:$V$1001,0),0), INDEX($AC$1004:$AS$1004,1,MATCH(COLUMNS($AC$1006:AE1006),$AC$1006:$AS$1006,0)))),"Fix")))</f>
        <v xml:space="preserve"> </v>
      </c>
      <c r="E611" s="4" t="str">
        <f ca="1">IF(OR(INDEX($W$2:$W$1001,MATCH(ROWS($V$2:V611),$V$2:$V$1001,0),1)&gt;=100000,INDEX($AC$1005:$AS$1005,1,MATCH(COLUMNS($AC$1006:AF1006),$AC$1006:$AS$1006,0))&gt;=100000), " ",IF(INDEX($AC$2:$AS$1001,MATCH(ROWS($V$2:V611),$V$2:$V$1001,0),MATCH(COLUMNS($AC$1006:AF1006),$AC$1006:$AS$1006,0)), HYPERLINK("#",""), HYPERLINK(CONCATENATE("#metadata!", ADDRESS(INDEX($X$2:$X$1001,MATCH(ROWS($V$2:V611),$V$2:$V$1001,0),0), INDEX($AC$1004:$AS$1004,1,MATCH(COLUMNS($AC$1006:AF1006),$AC$1006:$AS$1006,0)))),"Fix")))</f>
        <v xml:space="preserve"> </v>
      </c>
      <c r="F611" s="4" t="str">
        <f ca="1">IF(OR(INDEX($W$2:$W$1001,MATCH(ROWS($V$2:V611),$V$2:$V$1001,0),1)&gt;=100000,INDEX($AC$1005:$AS$1005,1,MATCH(COLUMNS($AC$1006:AG1006),$AC$1006:$AS$1006,0))&gt;=100000), " ",IF(INDEX($AC$2:$AS$1001,MATCH(ROWS($V$2:V611),$V$2:$V$1001,0),MATCH(COLUMNS($AC$1006:AG1006),$AC$1006:$AS$1006,0)), HYPERLINK("#",""), HYPERLINK(CONCATENATE("#metadata!", ADDRESS(INDEX($X$2:$X$1001,MATCH(ROWS($V$2:V611),$V$2:$V$1001,0),0), INDEX($AC$1004:$AS$1004,1,MATCH(COLUMNS($AC$1006:AG1006),$AC$1006:$AS$1006,0)))),"Fix")))</f>
        <v xml:space="preserve"> </v>
      </c>
      <c r="G611" s="4" t="str">
        <f ca="1">IF(OR(INDEX($W$2:$W$1001,MATCH(ROWS($V$2:V611),$V$2:$V$1001,0),1)&gt;=100000,INDEX($AC$1005:$AS$1005,1,MATCH(COLUMNS($AC$1006:AH1006),$AC$1006:$AS$1006,0))&gt;=100000), " ",IF(INDEX($AC$2:$AS$1001,MATCH(ROWS($V$2:V611),$V$2:$V$1001,0),MATCH(COLUMNS($AC$1006:AH1006),$AC$1006:$AS$1006,0)), HYPERLINK("#",""), HYPERLINK(CONCATENATE("#metadata!", ADDRESS(INDEX($X$2:$X$1001,MATCH(ROWS($V$2:V611),$V$2:$V$1001,0),0), INDEX($AC$1004:$AS$1004,1,MATCH(COLUMNS($AC$1006:AH1006),$AC$1006:$AS$1006,0)))),"Fix")))</f>
        <v xml:space="preserve"> </v>
      </c>
      <c r="H611" s="4" t="str">
        <f ca="1">IF(OR(INDEX($W$2:$W$1001,MATCH(ROWS($V$2:V611),$V$2:$V$1001,0),1)&gt;=100000,INDEX($AC$1005:$AS$1005,1,MATCH(COLUMNS($AC$1006:AI1006),$AC$1006:$AS$1006,0))&gt;=100000), " ",IF(INDEX($AC$2:$AS$1001,MATCH(ROWS($V$2:V611),$V$2:$V$1001,0),MATCH(COLUMNS($AC$1006:AI1006),$AC$1006:$AS$1006,0)), HYPERLINK("#",""), HYPERLINK(CONCATENATE("#metadata!", ADDRESS(INDEX($X$2:$X$1001,MATCH(ROWS($V$2:V611),$V$2:$V$1001,0),0), INDEX($AC$1004:$AS$1004,1,MATCH(COLUMNS($AC$1006:AI1006),$AC$1006:$AS$1006,0)))),"Fix")))</f>
        <v xml:space="preserve"> </v>
      </c>
      <c r="I611" s="4" t="str">
        <f ca="1">IF(OR(INDEX($W$2:$W$1001,MATCH(ROWS($V$2:V611),$V$2:$V$1001,0),1)&gt;=100000,INDEX($AC$1005:$AS$1005,1,MATCH(COLUMNS($AC$1006:AJ1006),$AC$1006:$AS$1006,0))&gt;=100000), " ",IF(INDEX($AC$2:$AS$1001,MATCH(ROWS($V$2:V611),$V$2:$V$1001,0),MATCH(COLUMNS($AC$1006:AJ1006),$AC$1006:$AS$1006,0)), HYPERLINK("#",""), HYPERLINK(CONCATENATE("#metadata!", ADDRESS(INDEX($X$2:$X$1001,MATCH(ROWS($V$2:V611),$V$2:$V$1001,0),0), INDEX($AC$1004:$AS$1004,1,MATCH(COLUMNS($AC$1006:AJ1006),$AC$1006:$AS$1006,0)))),"Fix")))</f>
        <v xml:space="preserve"> </v>
      </c>
      <c r="J611" s="4" t="str">
        <f ca="1">IF(OR(INDEX($W$2:$W$1001,MATCH(ROWS($V$2:V611),$V$2:$V$1001,0),1)&gt;=100000,INDEX($AC$1005:$AS$1005,1,MATCH(COLUMNS($AC$1006:AK1006),$AC$1006:$AS$1006,0))&gt;=100000), " ",IF(INDEX($AC$2:$AS$1001,MATCH(ROWS($V$2:V611),$V$2:$V$1001,0),MATCH(COLUMNS($AC$1006:AK1006),$AC$1006:$AS$1006,0)), HYPERLINK("#",""), HYPERLINK(CONCATENATE("#metadata!", ADDRESS(INDEX($X$2:$X$1001,MATCH(ROWS($V$2:V611),$V$2:$V$1001,0),0), INDEX($AC$1004:$AS$1004,1,MATCH(COLUMNS($AC$1006:AK1006),$AC$1006:$AS$1006,0)))),"Fix")))</f>
        <v xml:space="preserve"> </v>
      </c>
      <c r="K611" s="4" t="str">
        <f ca="1">IF(OR(INDEX($W$2:$W$1001,MATCH(ROWS($V$2:V611),$V$2:$V$1001,0),1)&gt;=100000,INDEX($AC$1005:$AS$1005,1,MATCH(COLUMNS($AC$1006:AL1006),$AC$1006:$AS$1006,0))&gt;=100000), " ",IF(INDEX($AC$2:$AS$1001,MATCH(ROWS($V$2:V611),$V$2:$V$1001,0),MATCH(COLUMNS($AC$1006:AL1006),$AC$1006:$AS$1006,0)), HYPERLINK("#",""), HYPERLINK(CONCATENATE("#metadata!", ADDRESS(INDEX($X$2:$X$1001,MATCH(ROWS($V$2:V611),$V$2:$V$1001,0),0), INDEX($AC$1004:$AS$1004,1,MATCH(COLUMNS($AC$1006:AL1006),$AC$1006:$AS$1006,0)))),"Fix")))</f>
        <v xml:space="preserve"> </v>
      </c>
      <c r="L611" s="4" t="str">
        <f ca="1">IF(OR(INDEX($W$2:$W$1001,MATCH(ROWS($V$2:V611),$V$2:$V$1001,0),1)&gt;=100000,INDEX($AC$1005:$AS$1005,1,MATCH(COLUMNS($AC$1006:AM1006),$AC$1006:$AS$1006,0))&gt;=100000), " ",IF(INDEX($AC$2:$AS$1001,MATCH(ROWS($V$2:V611),$V$2:$V$1001,0),MATCH(COLUMNS($AC$1006:AM1006),$AC$1006:$AS$1006,0)), HYPERLINK("#",""), HYPERLINK(CONCATENATE("#metadata!", ADDRESS(INDEX($X$2:$X$1001,MATCH(ROWS($V$2:V611),$V$2:$V$1001,0),0), INDEX($AC$1004:$AS$1004,1,MATCH(COLUMNS($AC$1006:AM1006),$AC$1006:$AS$1006,0)))),"Fix")))</f>
        <v xml:space="preserve"> </v>
      </c>
      <c r="M611" s="4" t="str">
        <f ca="1">IF(OR(INDEX($W$2:$W$1001,MATCH(ROWS($V$2:V611),$V$2:$V$1001,0),1)&gt;=100000,INDEX($AC$1005:$AS$1005,1,MATCH(COLUMNS($AC$1006:AN1006),$AC$1006:$AS$1006,0))&gt;=100000), " ",IF(INDEX($AC$2:$AS$1001,MATCH(ROWS($V$2:V611),$V$2:$V$1001,0),MATCH(COLUMNS($AC$1006:AN1006),$AC$1006:$AS$1006,0)), HYPERLINK("#",""), HYPERLINK(CONCATENATE("#metadata!", ADDRESS(INDEX($X$2:$X$1001,MATCH(ROWS($V$2:V611),$V$2:$V$1001,0),0), INDEX($AC$1004:$AS$1004,1,MATCH(COLUMNS($AC$1006:AN1006),$AC$1006:$AS$1006,0)))),"Fix")))</f>
        <v xml:space="preserve"> </v>
      </c>
      <c r="N611" s="4" t="str">
        <f ca="1">IF(OR(INDEX($W$2:$W$1001,MATCH(ROWS($V$2:V611),$V$2:$V$1001,0),1)&gt;=100000,INDEX($AC$1005:$AS$1005,1,MATCH(COLUMNS($AC$1006:AO1006),$AC$1006:$AS$1006,0))&gt;=100000), " ",IF(INDEX($AC$2:$AS$1001,MATCH(ROWS($V$2:V611),$V$2:$V$1001,0),MATCH(COLUMNS($AC$1006:AO1006),$AC$1006:$AS$1006,0)), HYPERLINK("#",""), HYPERLINK(CONCATENATE("#metadata!", ADDRESS(INDEX($X$2:$X$1001,MATCH(ROWS($V$2:V611),$V$2:$V$1001,0),0), INDEX($AC$1004:$AS$1004,1,MATCH(COLUMNS($AC$1006:AO1006),$AC$1006:$AS$1006,0)))),"Fix")))</f>
        <v xml:space="preserve"> </v>
      </c>
      <c r="O611" s="4" t="str">
        <f ca="1">IF(OR(INDEX($W$2:$W$1001,MATCH(ROWS($V$2:V611),$V$2:$V$1001,0),1)&gt;=100000,INDEX($AC$1005:$AS$1005,1,MATCH(COLUMNS($AC$1006:AP1006),$AC$1006:$AS$1006,0))&gt;=100000), " ",IF(INDEX($AC$2:$AS$1001,MATCH(ROWS($V$2:V611),$V$2:$V$1001,0),MATCH(COLUMNS($AC$1006:AP1006),$AC$1006:$AS$1006,0)), HYPERLINK("#",""), HYPERLINK(CONCATENATE("#metadata!", ADDRESS(INDEX($X$2:$X$1001,MATCH(ROWS($V$2:V611),$V$2:$V$1001,0),0), INDEX($AC$1004:$AS$1004,1,MATCH(COLUMNS($AC$1006:AP1006),$AC$1006:$AS$1006,0)))),"Fix")))</f>
        <v xml:space="preserve"> </v>
      </c>
      <c r="P611" s="4" t="str">
        <f ca="1">IF(OR(INDEX($W$2:$W$1001,MATCH(ROWS($V$2:V611),$V$2:$V$1001,0),1)&gt;=100000,INDEX($AC$1005:$AS$1005,1,MATCH(COLUMNS($AC$1006:AQ1006),$AC$1006:$AS$1006,0))&gt;=100000), " ",IF(INDEX($AC$2:$AS$1001,MATCH(ROWS($V$2:V611),$V$2:$V$1001,0),MATCH(COLUMNS($AC$1006:AQ1006),$AC$1006:$AS$1006,0)), HYPERLINK("#",""), HYPERLINK(CONCATENATE("#metadata!", ADDRESS(INDEX($X$2:$X$1001,MATCH(ROWS($V$2:V611),$V$2:$V$1001,0),0), INDEX($AC$1004:$AS$1004,1,MATCH(COLUMNS($AC$1006:AQ1006),$AC$1006:$AS$1006,0)))),"Fix")))</f>
        <v xml:space="preserve"> </v>
      </c>
      <c r="Q611" s="4" t="str">
        <f ca="1">IF(OR(INDEX($W$2:$W$1001,MATCH(ROWS($V$2:V611),$V$2:$V$1001,0),1)&gt;=100000,INDEX($AC$1005:$AS$1005,1,MATCH(COLUMNS($AC$1006:AR1006),$AC$1006:$AS$1006,0))&gt;=100000), " ",IF(INDEX($AC$2:$AS$1001,MATCH(ROWS($V$2:V611),$V$2:$V$1001,0),MATCH(COLUMNS($AC$1006:AR1006),$AC$1006:$AS$1006,0)), HYPERLINK("#",""), HYPERLINK(CONCATENATE("#metadata!", ADDRESS(INDEX($X$2:$X$1001,MATCH(ROWS($V$2:V611),$V$2:$V$1001,0),0), INDEX($AC$1004:$AS$1004,1,MATCH(COLUMNS($AC$1006:AR1006),$AC$1006:$AS$1006,0)))),"Fix")))</f>
        <v xml:space="preserve"> </v>
      </c>
      <c r="R611" s="4" t="str">
        <f ca="1">IF(OR(INDEX($W$2:$W$1001,MATCH(ROWS($V$2:V611),$V$2:$V$1001,0),1)&gt;=100000,INDEX($AC$1005:$AS$1005,1,MATCH(COLUMNS($AC$1006:AS1006),$AC$1006:$AS$1006,0))&gt;=100000), " ",IF(INDEX($AC$2:$AS$1001,MATCH(ROWS($V$2:V611),$V$2:$V$1001,0),MATCH(COLUMNS($AC$1006:AS1006),$AC$1006:$AS$1006,0)), HYPERLINK("#",""), HYPERLINK(CONCATENATE("#metadata!", ADDRESS(INDEX($X$2:$X$1001,MATCH(ROWS($V$2:V611),$V$2:$V$1001,0),0), INDEX($AC$1004:$AS$1004,1,MATCH(COLUMNS($AC$1006:AS1006),$AC$1006:$AS$1006,0)))),"Fix")))</f>
        <v xml:space="preserve"> </v>
      </c>
      <c r="V611">
        <v>610</v>
      </c>
      <c r="W611">
        <v>100611</v>
      </c>
      <c r="X611">
        <v>611</v>
      </c>
      <c r="Y611" t="b">
        <f t="shared" si="9"/>
        <v>1</v>
      </c>
      <c r="Z611" t="b">
        <f>COUNTBLANK(metadata!B611:R611)=COLUMNS(metadata!B611:R611)</f>
        <v>1</v>
      </c>
      <c r="AA611" t="str">
        <v/>
      </c>
      <c r="AC611" t="b">
        <f ca="1"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AD611" t="b">
        <f>IF(metadata!C611="",FALSE,ISNUMBER(VALUE(metadata!C611)))</f>
        <v>0</v>
      </c>
      <c r="AE611" t="b">
        <f>AND(IF(metadata!D611="",FALSE,TRUE),EXACT(metadata!D611,"years"))</f>
        <v>0</v>
      </c>
      <c r="AF611" t="b">
        <f>OR(AND(IF(metadata!E611="",FALSE,TRUE),OR(EXACT(metadata!E611,"not applicable"),EXACT(metadata!E611,"missing: not collected"),EXACT(metadata!E611,"missing: not provided"),EXACT(metadata!E611,"missing: restricted access"))),AND(IF(metadata!E611="",FALSE,ISNUMBER(VALUE(metadata!E611))),metadata!E611&gt;0))</f>
        <v>0</v>
      </c>
      <c r="AG611" t="b">
        <f>AND(IF(metadata!F611="",FALSE,TRUE),EXACT(metadata!F611,"Not applicable"))</f>
        <v>0</v>
      </c>
      <c r="AH611" t="b">
        <f>AND(IF(metadata!G611="",FALSE,TRUE),EXACT(metadata!G611,"urban biome"))</f>
        <v>0</v>
      </c>
      <c r="AI611" t="b">
        <f>AND(IF(metadata!H611="",FALSE,TRUE),EXACT(metadata!H611,"human-associated habitat"))</f>
        <v>0</v>
      </c>
      <c r="AJ611" t="b">
        <f>AND(IF(metadata!I611="",FALSE,TRUE),OR(EXACT(metadata!I611,"human-associated"),EXACT(metadata!I611,"human-skin"),EXACT(metadata!I611,"human-oral"),EXACT(metadata!I611,"human-gut"),EXACT(metadata!I611,"human-vaginal")))</f>
        <v>0</v>
      </c>
      <c r="AK611" t="b">
        <f>IF(metadata!J611="",FALSE,ISNUMBER(VALUE(metadata!J611)))</f>
        <v>0</v>
      </c>
      <c r="AL611" t="b">
        <f>AND(IF(metadata!K611="",FALSE,TRUE),EXACT(metadata!K611,"cm"))</f>
        <v>0</v>
      </c>
      <c r="AM611" t="b">
        <f>AND(IF(metadata!L611="",FALSE,TRUE),EXACT(metadata!L611,"human"))</f>
        <v>0</v>
      </c>
      <c r="AN611" t="b">
        <f>AND(IF(metadata!M611="",FALSE,TRUE),EXACT(metadata!M611,"Homo sapiens"))</f>
        <v>0</v>
      </c>
      <c r="AO611" t="b">
        <f>AND(IF(metadata!N611="",FALSE,TRUE),EXACT(metadata!N611,"9606"))</f>
        <v>0</v>
      </c>
      <c r="AP611" t="b">
        <f>IF(metadata!O611="",FALSE,TRUE)</f>
        <v>0</v>
      </c>
      <c r="AQ611" t="b">
        <f>IF(metadata!P611="",FALSE,TRUE)</f>
        <v>0</v>
      </c>
      <c r="AR611" t="b">
        <f>IF(metadata!Q611="",FALSE,ISNUMBER(VALUE(metadata!Q611)))</f>
        <v>0</v>
      </c>
      <c r="AS611" t="b">
        <f>AND(IF(metadata!R611="",FALSE,TRUE),EXACT(metadata!R611,"kg"))</f>
        <v>0</v>
      </c>
    </row>
    <row r="612" spans="1:45" x14ac:dyDescent="0.2">
      <c r="A612" s="5" t="str">
        <f ca="1">IF(B612=" "," ",HYPERLINK(CONCATENATE("#metadata!",ADDRESS(INDEX($X$2:$X$1001,MATCH(ROWS($V$2:V612),$V$2:$V$1001,0),0),1)),INDEX($AA$2:$AA$1001,MATCH(ROWS($V$2:V612),$V$2:$V$1001,0),0)))</f>
        <v xml:space="preserve"> </v>
      </c>
      <c r="B612" s="4" t="str">
        <f ca="1">IF(OR(INDEX($W$2:$W$1001,MATCH(ROWS($V$2:V612),$V$2:$V$1001,0),1)&gt;=100000,INDEX($AC$1005:$AS$1005,1,MATCH(COLUMNS($AC$1006:AC1006),$AC$1006:$AS$1006,0))&gt;=100000), " ",IF(INDEX($AC$2:$AS$1001,MATCH(ROWS($V$2:V612),$V$2:$V$1001,0),MATCH(COLUMNS($AC$1006:AC1006),$AC$1006:$AS$1006,0)), HYPERLINK("#",""), HYPERLINK(CONCATENATE("#metadata!", ADDRESS(INDEX($X$2:$X$1001,MATCH(ROWS($V$2:V612),$V$2:$V$1001,0),0), INDEX($AC$1004:$AS$1004,1,MATCH(COLUMNS($AC$1006:AC1006),$AC$1006:$AS$1006,0)))),"Fix")))</f>
        <v xml:space="preserve"> </v>
      </c>
      <c r="C612" s="4" t="str">
        <f ca="1">IF(OR(INDEX($W$2:$W$1001,MATCH(ROWS($V$2:V612),$V$2:$V$1001,0),1)&gt;=100000,INDEX($AC$1005:$AS$1005,1,MATCH(COLUMNS($AC$1006:AD1006),$AC$1006:$AS$1006,0))&gt;=100000), " ",IF(INDEX($AC$2:$AS$1001,MATCH(ROWS($V$2:V612),$V$2:$V$1001,0),MATCH(COLUMNS($AC$1006:AD1006),$AC$1006:$AS$1006,0)), HYPERLINK("#",""), HYPERLINK(CONCATENATE("#metadata!", ADDRESS(INDEX($X$2:$X$1001,MATCH(ROWS($V$2:V612),$V$2:$V$1001,0),0), INDEX($AC$1004:$AS$1004,1,MATCH(COLUMNS($AC$1006:AD1006),$AC$1006:$AS$1006,0)))),"Fix")))</f>
        <v xml:space="preserve"> </v>
      </c>
      <c r="D612" s="4" t="str">
        <f ca="1">IF(OR(INDEX($W$2:$W$1001,MATCH(ROWS($V$2:V612),$V$2:$V$1001,0),1)&gt;=100000,INDEX($AC$1005:$AS$1005,1,MATCH(COLUMNS($AC$1006:AE1006),$AC$1006:$AS$1006,0))&gt;=100000), " ",IF(INDEX($AC$2:$AS$1001,MATCH(ROWS($V$2:V612),$V$2:$V$1001,0),MATCH(COLUMNS($AC$1006:AE1006),$AC$1006:$AS$1006,0)), HYPERLINK("#",""), HYPERLINK(CONCATENATE("#metadata!", ADDRESS(INDEX($X$2:$X$1001,MATCH(ROWS($V$2:V612),$V$2:$V$1001,0),0), INDEX($AC$1004:$AS$1004,1,MATCH(COLUMNS($AC$1006:AE1006),$AC$1006:$AS$1006,0)))),"Fix")))</f>
        <v xml:space="preserve"> </v>
      </c>
      <c r="E612" s="4" t="str">
        <f ca="1">IF(OR(INDEX($W$2:$W$1001,MATCH(ROWS($V$2:V612),$V$2:$V$1001,0),1)&gt;=100000,INDEX($AC$1005:$AS$1005,1,MATCH(COLUMNS($AC$1006:AF1006),$AC$1006:$AS$1006,0))&gt;=100000), " ",IF(INDEX($AC$2:$AS$1001,MATCH(ROWS($V$2:V612),$V$2:$V$1001,0),MATCH(COLUMNS($AC$1006:AF1006),$AC$1006:$AS$1006,0)), HYPERLINK("#",""), HYPERLINK(CONCATENATE("#metadata!", ADDRESS(INDEX($X$2:$X$1001,MATCH(ROWS($V$2:V612),$V$2:$V$1001,0),0), INDEX($AC$1004:$AS$1004,1,MATCH(COLUMNS($AC$1006:AF1006),$AC$1006:$AS$1006,0)))),"Fix")))</f>
        <v xml:space="preserve"> </v>
      </c>
      <c r="F612" s="4" t="str">
        <f ca="1">IF(OR(INDEX($W$2:$W$1001,MATCH(ROWS($V$2:V612),$V$2:$V$1001,0),1)&gt;=100000,INDEX($AC$1005:$AS$1005,1,MATCH(COLUMNS($AC$1006:AG1006),$AC$1006:$AS$1006,0))&gt;=100000), " ",IF(INDEX($AC$2:$AS$1001,MATCH(ROWS($V$2:V612),$V$2:$V$1001,0),MATCH(COLUMNS($AC$1006:AG1006),$AC$1006:$AS$1006,0)), HYPERLINK("#",""), HYPERLINK(CONCATENATE("#metadata!", ADDRESS(INDEX($X$2:$X$1001,MATCH(ROWS($V$2:V612),$V$2:$V$1001,0),0), INDEX($AC$1004:$AS$1004,1,MATCH(COLUMNS($AC$1006:AG1006),$AC$1006:$AS$1006,0)))),"Fix")))</f>
        <v xml:space="preserve"> </v>
      </c>
      <c r="G612" s="4" t="str">
        <f ca="1">IF(OR(INDEX($W$2:$W$1001,MATCH(ROWS($V$2:V612),$V$2:$V$1001,0),1)&gt;=100000,INDEX($AC$1005:$AS$1005,1,MATCH(COLUMNS($AC$1006:AH1006),$AC$1006:$AS$1006,0))&gt;=100000), " ",IF(INDEX($AC$2:$AS$1001,MATCH(ROWS($V$2:V612),$V$2:$V$1001,0),MATCH(COLUMNS($AC$1006:AH1006),$AC$1006:$AS$1006,0)), HYPERLINK("#",""), HYPERLINK(CONCATENATE("#metadata!", ADDRESS(INDEX($X$2:$X$1001,MATCH(ROWS($V$2:V612),$V$2:$V$1001,0),0), INDEX($AC$1004:$AS$1004,1,MATCH(COLUMNS($AC$1006:AH1006),$AC$1006:$AS$1006,0)))),"Fix")))</f>
        <v xml:space="preserve"> </v>
      </c>
      <c r="H612" s="4" t="str">
        <f ca="1">IF(OR(INDEX($W$2:$W$1001,MATCH(ROWS($V$2:V612),$V$2:$V$1001,0),1)&gt;=100000,INDEX($AC$1005:$AS$1005,1,MATCH(COLUMNS($AC$1006:AI1006),$AC$1006:$AS$1006,0))&gt;=100000), " ",IF(INDEX($AC$2:$AS$1001,MATCH(ROWS($V$2:V612),$V$2:$V$1001,0),MATCH(COLUMNS($AC$1006:AI1006),$AC$1006:$AS$1006,0)), HYPERLINK("#",""), HYPERLINK(CONCATENATE("#metadata!", ADDRESS(INDEX($X$2:$X$1001,MATCH(ROWS($V$2:V612),$V$2:$V$1001,0),0), INDEX($AC$1004:$AS$1004,1,MATCH(COLUMNS($AC$1006:AI1006),$AC$1006:$AS$1006,0)))),"Fix")))</f>
        <v xml:space="preserve"> </v>
      </c>
      <c r="I612" s="4" t="str">
        <f ca="1">IF(OR(INDEX($W$2:$W$1001,MATCH(ROWS($V$2:V612),$V$2:$V$1001,0),1)&gt;=100000,INDEX($AC$1005:$AS$1005,1,MATCH(COLUMNS($AC$1006:AJ1006),$AC$1006:$AS$1006,0))&gt;=100000), " ",IF(INDEX($AC$2:$AS$1001,MATCH(ROWS($V$2:V612),$V$2:$V$1001,0),MATCH(COLUMNS($AC$1006:AJ1006),$AC$1006:$AS$1006,0)), HYPERLINK("#",""), HYPERLINK(CONCATENATE("#metadata!", ADDRESS(INDEX($X$2:$X$1001,MATCH(ROWS($V$2:V612),$V$2:$V$1001,0),0), INDEX($AC$1004:$AS$1004,1,MATCH(COLUMNS($AC$1006:AJ1006),$AC$1006:$AS$1006,0)))),"Fix")))</f>
        <v xml:space="preserve"> </v>
      </c>
      <c r="J612" s="4" t="str">
        <f ca="1">IF(OR(INDEX($W$2:$W$1001,MATCH(ROWS($V$2:V612),$V$2:$V$1001,0),1)&gt;=100000,INDEX($AC$1005:$AS$1005,1,MATCH(COLUMNS($AC$1006:AK1006),$AC$1006:$AS$1006,0))&gt;=100000), " ",IF(INDEX($AC$2:$AS$1001,MATCH(ROWS($V$2:V612),$V$2:$V$1001,0),MATCH(COLUMNS($AC$1006:AK1006),$AC$1006:$AS$1006,0)), HYPERLINK("#",""), HYPERLINK(CONCATENATE("#metadata!", ADDRESS(INDEX($X$2:$X$1001,MATCH(ROWS($V$2:V612),$V$2:$V$1001,0),0), INDEX($AC$1004:$AS$1004,1,MATCH(COLUMNS($AC$1006:AK1006),$AC$1006:$AS$1006,0)))),"Fix")))</f>
        <v xml:space="preserve"> </v>
      </c>
      <c r="K612" s="4" t="str">
        <f ca="1">IF(OR(INDEX($W$2:$W$1001,MATCH(ROWS($V$2:V612),$V$2:$V$1001,0),1)&gt;=100000,INDEX($AC$1005:$AS$1005,1,MATCH(COLUMNS($AC$1006:AL1006),$AC$1006:$AS$1006,0))&gt;=100000), " ",IF(INDEX($AC$2:$AS$1001,MATCH(ROWS($V$2:V612),$V$2:$V$1001,0),MATCH(COLUMNS($AC$1006:AL1006),$AC$1006:$AS$1006,0)), HYPERLINK("#",""), HYPERLINK(CONCATENATE("#metadata!", ADDRESS(INDEX($X$2:$X$1001,MATCH(ROWS($V$2:V612),$V$2:$V$1001,0),0), INDEX($AC$1004:$AS$1004,1,MATCH(COLUMNS($AC$1006:AL1006),$AC$1006:$AS$1006,0)))),"Fix")))</f>
        <v xml:space="preserve"> </v>
      </c>
      <c r="L612" s="4" t="str">
        <f ca="1">IF(OR(INDEX($W$2:$W$1001,MATCH(ROWS($V$2:V612),$V$2:$V$1001,0),1)&gt;=100000,INDEX($AC$1005:$AS$1005,1,MATCH(COLUMNS($AC$1006:AM1006),$AC$1006:$AS$1006,0))&gt;=100000), " ",IF(INDEX($AC$2:$AS$1001,MATCH(ROWS($V$2:V612),$V$2:$V$1001,0),MATCH(COLUMNS($AC$1006:AM1006),$AC$1006:$AS$1006,0)), HYPERLINK("#",""), HYPERLINK(CONCATENATE("#metadata!", ADDRESS(INDEX($X$2:$X$1001,MATCH(ROWS($V$2:V612),$V$2:$V$1001,0),0), INDEX($AC$1004:$AS$1004,1,MATCH(COLUMNS($AC$1006:AM1006),$AC$1006:$AS$1006,0)))),"Fix")))</f>
        <v xml:space="preserve"> </v>
      </c>
      <c r="M612" s="4" t="str">
        <f ca="1">IF(OR(INDEX($W$2:$W$1001,MATCH(ROWS($V$2:V612),$V$2:$V$1001,0),1)&gt;=100000,INDEX($AC$1005:$AS$1005,1,MATCH(COLUMNS($AC$1006:AN1006),$AC$1006:$AS$1006,0))&gt;=100000), " ",IF(INDEX($AC$2:$AS$1001,MATCH(ROWS($V$2:V612),$V$2:$V$1001,0),MATCH(COLUMNS($AC$1006:AN1006),$AC$1006:$AS$1006,0)), HYPERLINK("#",""), HYPERLINK(CONCATENATE("#metadata!", ADDRESS(INDEX($X$2:$X$1001,MATCH(ROWS($V$2:V612),$V$2:$V$1001,0),0), INDEX($AC$1004:$AS$1004,1,MATCH(COLUMNS($AC$1006:AN1006),$AC$1006:$AS$1006,0)))),"Fix")))</f>
        <v xml:space="preserve"> </v>
      </c>
      <c r="N612" s="4" t="str">
        <f ca="1">IF(OR(INDEX($W$2:$W$1001,MATCH(ROWS($V$2:V612),$V$2:$V$1001,0),1)&gt;=100000,INDEX($AC$1005:$AS$1005,1,MATCH(COLUMNS($AC$1006:AO1006),$AC$1006:$AS$1006,0))&gt;=100000), " ",IF(INDEX($AC$2:$AS$1001,MATCH(ROWS($V$2:V612),$V$2:$V$1001,0),MATCH(COLUMNS($AC$1006:AO1006),$AC$1006:$AS$1006,0)), HYPERLINK("#",""), HYPERLINK(CONCATENATE("#metadata!", ADDRESS(INDEX($X$2:$X$1001,MATCH(ROWS($V$2:V612),$V$2:$V$1001,0),0), INDEX($AC$1004:$AS$1004,1,MATCH(COLUMNS($AC$1006:AO1006),$AC$1006:$AS$1006,0)))),"Fix")))</f>
        <v xml:space="preserve"> </v>
      </c>
      <c r="O612" s="4" t="str">
        <f ca="1">IF(OR(INDEX($W$2:$W$1001,MATCH(ROWS($V$2:V612),$V$2:$V$1001,0),1)&gt;=100000,INDEX($AC$1005:$AS$1005,1,MATCH(COLUMNS($AC$1006:AP1006),$AC$1006:$AS$1006,0))&gt;=100000), " ",IF(INDEX($AC$2:$AS$1001,MATCH(ROWS($V$2:V612),$V$2:$V$1001,0),MATCH(COLUMNS($AC$1006:AP1006),$AC$1006:$AS$1006,0)), HYPERLINK("#",""), HYPERLINK(CONCATENATE("#metadata!", ADDRESS(INDEX($X$2:$X$1001,MATCH(ROWS($V$2:V612),$V$2:$V$1001,0),0), INDEX($AC$1004:$AS$1004,1,MATCH(COLUMNS($AC$1006:AP1006),$AC$1006:$AS$1006,0)))),"Fix")))</f>
        <v xml:space="preserve"> </v>
      </c>
      <c r="P612" s="4" t="str">
        <f ca="1">IF(OR(INDEX($W$2:$W$1001,MATCH(ROWS($V$2:V612),$V$2:$V$1001,0),1)&gt;=100000,INDEX($AC$1005:$AS$1005,1,MATCH(COLUMNS($AC$1006:AQ1006),$AC$1006:$AS$1006,0))&gt;=100000), " ",IF(INDEX($AC$2:$AS$1001,MATCH(ROWS($V$2:V612),$V$2:$V$1001,0),MATCH(COLUMNS($AC$1006:AQ1006),$AC$1006:$AS$1006,0)), HYPERLINK("#",""), HYPERLINK(CONCATENATE("#metadata!", ADDRESS(INDEX($X$2:$X$1001,MATCH(ROWS($V$2:V612),$V$2:$V$1001,0),0), INDEX($AC$1004:$AS$1004,1,MATCH(COLUMNS($AC$1006:AQ1006),$AC$1006:$AS$1006,0)))),"Fix")))</f>
        <v xml:space="preserve"> </v>
      </c>
      <c r="Q612" s="4" t="str">
        <f ca="1">IF(OR(INDEX($W$2:$W$1001,MATCH(ROWS($V$2:V612),$V$2:$V$1001,0),1)&gt;=100000,INDEX($AC$1005:$AS$1005,1,MATCH(COLUMNS($AC$1006:AR1006),$AC$1006:$AS$1006,0))&gt;=100000), " ",IF(INDEX($AC$2:$AS$1001,MATCH(ROWS($V$2:V612),$V$2:$V$1001,0),MATCH(COLUMNS($AC$1006:AR1006),$AC$1006:$AS$1006,0)), HYPERLINK("#",""), HYPERLINK(CONCATENATE("#metadata!", ADDRESS(INDEX($X$2:$X$1001,MATCH(ROWS($V$2:V612),$V$2:$V$1001,0),0), INDEX($AC$1004:$AS$1004,1,MATCH(COLUMNS($AC$1006:AR1006),$AC$1006:$AS$1006,0)))),"Fix")))</f>
        <v xml:space="preserve"> </v>
      </c>
      <c r="R612" s="4" t="str">
        <f ca="1">IF(OR(INDEX($W$2:$W$1001,MATCH(ROWS($V$2:V612),$V$2:$V$1001,0),1)&gt;=100000,INDEX($AC$1005:$AS$1005,1,MATCH(COLUMNS($AC$1006:AS1006),$AC$1006:$AS$1006,0))&gt;=100000), " ",IF(INDEX($AC$2:$AS$1001,MATCH(ROWS($V$2:V612),$V$2:$V$1001,0),MATCH(COLUMNS($AC$1006:AS1006),$AC$1006:$AS$1006,0)), HYPERLINK("#",""), HYPERLINK(CONCATENATE("#metadata!", ADDRESS(INDEX($X$2:$X$1001,MATCH(ROWS($V$2:V612),$V$2:$V$1001,0),0), INDEX($AC$1004:$AS$1004,1,MATCH(COLUMNS($AC$1006:AS1006),$AC$1006:$AS$1006,0)))),"Fix")))</f>
        <v xml:space="preserve"> </v>
      </c>
      <c r="V612">
        <v>611</v>
      </c>
      <c r="W612">
        <v>100612</v>
      </c>
      <c r="X612">
        <v>612</v>
      </c>
      <c r="Y612" t="b">
        <f t="shared" si="9"/>
        <v>1</v>
      </c>
      <c r="Z612" t="b">
        <f>COUNTBLANK(metadata!B612:R612)=COLUMNS(metadata!B612:R612)</f>
        <v>1</v>
      </c>
      <c r="AA612" t="str">
        <v/>
      </c>
      <c r="AC612" t="b">
        <f ca="1"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AD612" t="b">
        <f>IF(metadata!C612="",FALSE,ISNUMBER(VALUE(metadata!C612)))</f>
        <v>0</v>
      </c>
      <c r="AE612" t="b">
        <f>AND(IF(metadata!D612="",FALSE,TRUE),EXACT(metadata!D612,"years"))</f>
        <v>0</v>
      </c>
      <c r="AF612" t="b">
        <f>OR(AND(IF(metadata!E612="",FALSE,TRUE),OR(EXACT(metadata!E612,"not applicable"),EXACT(metadata!E612,"missing: not collected"),EXACT(metadata!E612,"missing: not provided"),EXACT(metadata!E612,"missing: restricted access"))),AND(IF(metadata!E612="",FALSE,ISNUMBER(VALUE(metadata!E612))),metadata!E612&gt;0))</f>
        <v>0</v>
      </c>
      <c r="AG612" t="b">
        <f>AND(IF(metadata!F612="",FALSE,TRUE),EXACT(metadata!F612,"Not applicable"))</f>
        <v>0</v>
      </c>
      <c r="AH612" t="b">
        <f>AND(IF(metadata!G612="",FALSE,TRUE),EXACT(metadata!G612,"urban biome"))</f>
        <v>0</v>
      </c>
      <c r="AI612" t="b">
        <f>AND(IF(metadata!H612="",FALSE,TRUE),EXACT(metadata!H612,"human-associated habitat"))</f>
        <v>0</v>
      </c>
      <c r="AJ612" t="b">
        <f>AND(IF(metadata!I612="",FALSE,TRUE),OR(EXACT(metadata!I612,"human-associated"),EXACT(metadata!I612,"human-skin"),EXACT(metadata!I612,"human-oral"),EXACT(metadata!I612,"human-gut"),EXACT(metadata!I612,"human-vaginal")))</f>
        <v>0</v>
      </c>
      <c r="AK612" t="b">
        <f>IF(metadata!J612="",FALSE,ISNUMBER(VALUE(metadata!J612)))</f>
        <v>0</v>
      </c>
      <c r="AL612" t="b">
        <f>AND(IF(metadata!K612="",FALSE,TRUE),EXACT(metadata!K612,"cm"))</f>
        <v>0</v>
      </c>
      <c r="AM612" t="b">
        <f>AND(IF(metadata!L612="",FALSE,TRUE),EXACT(metadata!L612,"human"))</f>
        <v>0</v>
      </c>
      <c r="AN612" t="b">
        <f>AND(IF(metadata!M612="",FALSE,TRUE),EXACT(metadata!M612,"Homo sapiens"))</f>
        <v>0</v>
      </c>
      <c r="AO612" t="b">
        <f>AND(IF(metadata!N612="",FALSE,TRUE),EXACT(metadata!N612,"9606"))</f>
        <v>0</v>
      </c>
      <c r="AP612" t="b">
        <f>IF(metadata!O612="",FALSE,TRUE)</f>
        <v>0</v>
      </c>
      <c r="AQ612" t="b">
        <f>IF(metadata!P612="",FALSE,TRUE)</f>
        <v>0</v>
      </c>
      <c r="AR612" t="b">
        <f>IF(metadata!Q612="",FALSE,ISNUMBER(VALUE(metadata!Q612)))</f>
        <v>0</v>
      </c>
      <c r="AS612" t="b">
        <f>AND(IF(metadata!R612="",FALSE,TRUE),EXACT(metadata!R612,"kg"))</f>
        <v>0</v>
      </c>
    </row>
    <row r="613" spans="1:45" x14ac:dyDescent="0.2">
      <c r="A613" s="5" t="str">
        <f ca="1">IF(B613=" "," ",HYPERLINK(CONCATENATE("#metadata!",ADDRESS(INDEX($X$2:$X$1001,MATCH(ROWS($V$2:V613),$V$2:$V$1001,0),0),1)),INDEX($AA$2:$AA$1001,MATCH(ROWS($V$2:V613),$V$2:$V$1001,0),0)))</f>
        <v xml:space="preserve"> </v>
      </c>
      <c r="B613" s="4" t="str">
        <f ca="1">IF(OR(INDEX($W$2:$W$1001,MATCH(ROWS($V$2:V613),$V$2:$V$1001,0),1)&gt;=100000,INDEX($AC$1005:$AS$1005,1,MATCH(COLUMNS($AC$1006:AC1006),$AC$1006:$AS$1006,0))&gt;=100000), " ",IF(INDEX($AC$2:$AS$1001,MATCH(ROWS($V$2:V613),$V$2:$V$1001,0),MATCH(COLUMNS($AC$1006:AC1006),$AC$1006:$AS$1006,0)), HYPERLINK("#",""), HYPERLINK(CONCATENATE("#metadata!", ADDRESS(INDEX($X$2:$X$1001,MATCH(ROWS($V$2:V613),$V$2:$V$1001,0),0), INDEX($AC$1004:$AS$1004,1,MATCH(COLUMNS($AC$1006:AC1006),$AC$1006:$AS$1006,0)))),"Fix")))</f>
        <v xml:space="preserve"> </v>
      </c>
      <c r="C613" s="4" t="str">
        <f ca="1">IF(OR(INDEX($W$2:$W$1001,MATCH(ROWS($V$2:V613),$V$2:$V$1001,0),1)&gt;=100000,INDEX($AC$1005:$AS$1005,1,MATCH(COLUMNS($AC$1006:AD1006),$AC$1006:$AS$1006,0))&gt;=100000), " ",IF(INDEX($AC$2:$AS$1001,MATCH(ROWS($V$2:V613),$V$2:$V$1001,0),MATCH(COLUMNS($AC$1006:AD1006),$AC$1006:$AS$1006,0)), HYPERLINK("#",""), HYPERLINK(CONCATENATE("#metadata!", ADDRESS(INDEX($X$2:$X$1001,MATCH(ROWS($V$2:V613),$V$2:$V$1001,0),0), INDEX($AC$1004:$AS$1004,1,MATCH(COLUMNS($AC$1006:AD1006),$AC$1006:$AS$1006,0)))),"Fix")))</f>
        <v xml:space="preserve"> </v>
      </c>
      <c r="D613" s="4" t="str">
        <f ca="1">IF(OR(INDEX($W$2:$W$1001,MATCH(ROWS($V$2:V613),$V$2:$V$1001,0),1)&gt;=100000,INDEX($AC$1005:$AS$1005,1,MATCH(COLUMNS($AC$1006:AE1006),$AC$1006:$AS$1006,0))&gt;=100000), " ",IF(INDEX($AC$2:$AS$1001,MATCH(ROWS($V$2:V613),$V$2:$V$1001,0),MATCH(COLUMNS($AC$1006:AE1006),$AC$1006:$AS$1006,0)), HYPERLINK("#",""), HYPERLINK(CONCATENATE("#metadata!", ADDRESS(INDEX($X$2:$X$1001,MATCH(ROWS($V$2:V613),$V$2:$V$1001,0),0), INDEX($AC$1004:$AS$1004,1,MATCH(COLUMNS($AC$1006:AE1006),$AC$1006:$AS$1006,0)))),"Fix")))</f>
        <v xml:space="preserve"> </v>
      </c>
      <c r="E613" s="4" t="str">
        <f ca="1">IF(OR(INDEX($W$2:$W$1001,MATCH(ROWS($V$2:V613),$V$2:$V$1001,0),1)&gt;=100000,INDEX($AC$1005:$AS$1005,1,MATCH(COLUMNS($AC$1006:AF1006),$AC$1006:$AS$1006,0))&gt;=100000), " ",IF(INDEX($AC$2:$AS$1001,MATCH(ROWS($V$2:V613),$V$2:$V$1001,0),MATCH(COLUMNS($AC$1006:AF1006),$AC$1006:$AS$1006,0)), HYPERLINK("#",""), HYPERLINK(CONCATENATE("#metadata!", ADDRESS(INDEX($X$2:$X$1001,MATCH(ROWS($V$2:V613),$V$2:$V$1001,0),0), INDEX($AC$1004:$AS$1004,1,MATCH(COLUMNS($AC$1006:AF1006),$AC$1006:$AS$1006,0)))),"Fix")))</f>
        <v xml:space="preserve"> </v>
      </c>
      <c r="F613" s="4" t="str">
        <f ca="1">IF(OR(INDEX($W$2:$W$1001,MATCH(ROWS($V$2:V613),$V$2:$V$1001,0),1)&gt;=100000,INDEX($AC$1005:$AS$1005,1,MATCH(COLUMNS($AC$1006:AG1006),$AC$1006:$AS$1006,0))&gt;=100000), " ",IF(INDEX($AC$2:$AS$1001,MATCH(ROWS($V$2:V613),$V$2:$V$1001,0),MATCH(COLUMNS($AC$1006:AG1006),$AC$1006:$AS$1006,0)), HYPERLINK("#",""), HYPERLINK(CONCATENATE("#metadata!", ADDRESS(INDEX($X$2:$X$1001,MATCH(ROWS($V$2:V613),$V$2:$V$1001,0),0), INDEX($AC$1004:$AS$1004,1,MATCH(COLUMNS($AC$1006:AG1006),$AC$1006:$AS$1006,0)))),"Fix")))</f>
        <v xml:space="preserve"> </v>
      </c>
      <c r="G613" s="4" t="str">
        <f ca="1">IF(OR(INDEX($W$2:$W$1001,MATCH(ROWS($V$2:V613),$V$2:$V$1001,0),1)&gt;=100000,INDEX($AC$1005:$AS$1005,1,MATCH(COLUMNS($AC$1006:AH1006),$AC$1006:$AS$1006,0))&gt;=100000), " ",IF(INDEX($AC$2:$AS$1001,MATCH(ROWS($V$2:V613),$V$2:$V$1001,0),MATCH(COLUMNS($AC$1006:AH1006),$AC$1006:$AS$1006,0)), HYPERLINK("#",""), HYPERLINK(CONCATENATE("#metadata!", ADDRESS(INDEX($X$2:$X$1001,MATCH(ROWS($V$2:V613),$V$2:$V$1001,0),0), INDEX($AC$1004:$AS$1004,1,MATCH(COLUMNS($AC$1006:AH1006),$AC$1006:$AS$1006,0)))),"Fix")))</f>
        <v xml:space="preserve"> </v>
      </c>
      <c r="H613" s="4" t="str">
        <f ca="1">IF(OR(INDEX($W$2:$W$1001,MATCH(ROWS($V$2:V613),$V$2:$V$1001,0),1)&gt;=100000,INDEX($AC$1005:$AS$1005,1,MATCH(COLUMNS($AC$1006:AI1006),$AC$1006:$AS$1006,0))&gt;=100000), " ",IF(INDEX($AC$2:$AS$1001,MATCH(ROWS($V$2:V613),$V$2:$V$1001,0),MATCH(COLUMNS($AC$1006:AI1006),$AC$1006:$AS$1006,0)), HYPERLINK("#",""), HYPERLINK(CONCATENATE("#metadata!", ADDRESS(INDEX($X$2:$X$1001,MATCH(ROWS($V$2:V613),$V$2:$V$1001,0),0), INDEX($AC$1004:$AS$1004,1,MATCH(COLUMNS($AC$1006:AI1006),$AC$1006:$AS$1006,0)))),"Fix")))</f>
        <v xml:space="preserve"> </v>
      </c>
      <c r="I613" s="4" t="str">
        <f ca="1">IF(OR(INDEX($W$2:$W$1001,MATCH(ROWS($V$2:V613),$V$2:$V$1001,0),1)&gt;=100000,INDEX($AC$1005:$AS$1005,1,MATCH(COLUMNS($AC$1006:AJ1006),$AC$1006:$AS$1006,0))&gt;=100000), " ",IF(INDEX($AC$2:$AS$1001,MATCH(ROWS($V$2:V613),$V$2:$V$1001,0),MATCH(COLUMNS($AC$1006:AJ1006),$AC$1006:$AS$1006,0)), HYPERLINK("#",""), HYPERLINK(CONCATENATE("#metadata!", ADDRESS(INDEX($X$2:$X$1001,MATCH(ROWS($V$2:V613),$V$2:$V$1001,0),0), INDEX($AC$1004:$AS$1004,1,MATCH(COLUMNS($AC$1006:AJ1006),$AC$1006:$AS$1006,0)))),"Fix")))</f>
        <v xml:space="preserve"> </v>
      </c>
      <c r="J613" s="4" t="str">
        <f ca="1">IF(OR(INDEX($W$2:$W$1001,MATCH(ROWS($V$2:V613),$V$2:$V$1001,0),1)&gt;=100000,INDEX($AC$1005:$AS$1005,1,MATCH(COLUMNS($AC$1006:AK1006),$AC$1006:$AS$1006,0))&gt;=100000), " ",IF(INDEX($AC$2:$AS$1001,MATCH(ROWS($V$2:V613),$V$2:$V$1001,0),MATCH(COLUMNS($AC$1006:AK1006),$AC$1006:$AS$1006,0)), HYPERLINK("#",""), HYPERLINK(CONCATENATE("#metadata!", ADDRESS(INDEX($X$2:$X$1001,MATCH(ROWS($V$2:V613),$V$2:$V$1001,0),0), INDEX($AC$1004:$AS$1004,1,MATCH(COLUMNS($AC$1006:AK1006),$AC$1006:$AS$1006,0)))),"Fix")))</f>
        <v xml:space="preserve"> </v>
      </c>
      <c r="K613" s="4" t="str">
        <f ca="1">IF(OR(INDEX($W$2:$W$1001,MATCH(ROWS($V$2:V613),$V$2:$V$1001,0),1)&gt;=100000,INDEX($AC$1005:$AS$1005,1,MATCH(COLUMNS($AC$1006:AL1006),$AC$1006:$AS$1006,0))&gt;=100000), " ",IF(INDEX($AC$2:$AS$1001,MATCH(ROWS($V$2:V613),$V$2:$V$1001,0),MATCH(COLUMNS($AC$1006:AL1006),$AC$1006:$AS$1006,0)), HYPERLINK("#",""), HYPERLINK(CONCATENATE("#metadata!", ADDRESS(INDEX($X$2:$X$1001,MATCH(ROWS($V$2:V613),$V$2:$V$1001,0),0), INDEX($AC$1004:$AS$1004,1,MATCH(COLUMNS($AC$1006:AL1006),$AC$1006:$AS$1006,0)))),"Fix")))</f>
        <v xml:space="preserve"> </v>
      </c>
      <c r="L613" s="4" t="str">
        <f ca="1">IF(OR(INDEX($W$2:$W$1001,MATCH(ROWS($V$2:V613),$V$2:$V$1001,0),1)&gt;=100000,INDEX($AC$1005:$AS$1005,1,MATCH(COLUMNS($AC$1006:AM1006),$AC$1006:$AS$1006,0))&gt;=100000), " ",IF(INDEX($AC$2:$AS$1001,MATCH(ROWS($V$2:V613),$V$2:$V$1001,0),MATCH(COLUMNS($AC$1006:AM1006),$AC$1006:$AS$1006,0)), HYPERLINK("#",""), HYPERLINK(CONCATENATE("#metadata!", ADDRESS(INDEX($X$2:$X$1001,MATCH(ROWS($V$2:V613),$V$2:$V$1001,0),0), INDEX($AC$1004:$AS$1004,1,MATCH(COLUMNS($AC$1006:AM1006),$AC$1006:$AS$1006,0)))),"Fix")))</f>
        <v xml:space="preserve"> </v>
      </c>
      <c r="M613" s="4" t="str">
        <f ca="1">IF(OR(INDEX($W$2:$W$1001,MATCH(ROWS($V$2:V613),$V$2:$V$1001,0),1)&gt;=100000,INDEX($AC$1005:$AS$1005,1,MATCH(COLUMNS($AC$1006:AN1006),$AC$1006:$AS$1006,0))&gt;=100000), " ",IF(INDEX($AC$2:$AS$1001,MATCH(ROWS($V$2:V613),$V$2:$V$1001,0),MATCH(COLUMNS($AC$1006:AN1006),$AC$1006:$AS$1006,0)), HYPERLINK("#",""), HYPERLINK(CONCATENATE("#metadata!", ADDRESS(INDEX($X$2:$X$1001,MATCH(ROWS($V$2:V613),$V$2:$V$1001,0),0), INDEX($AC$1004:$AS$1004,1,MATCH(COLUMNS($AC$1006:AN1006),$AC$1006:$AS$1006,0)))),"Fix")))</f>
        <v xml:space="preserve"> </v>
      </c>
      <c r="N613" s="4" t="str">
        <f ca="1">IF(OR(INDEX($W$2:$W$1001,MATCH(ROWS($V$2:V613),$V$2:$V$1001,0),1)&gt;=100000,INDEX($AC$1005:$AS$1005,1,MATCH(COLUMNS($AC$1006:AO1006),$AC$1006:$AS$1006,0))&gt;=100000), " ",IF(INDEX($AC$2:$AS$1001,MATCH(ROWS($V$2:V613),$V$2:$V$1001,0),MATCH(COLUMNS($AC$1006:AO1006),$AC$1006:$AS$1006,0)), HYPERLINK("#",""), HYPERLINK(CONCATENATE("#metadata!", ADDRESS(INDEX($X$2:$X$1001,MATCH(ROWS($V$2:V613),$V$2:$V$1001,0),0), INDEX($AC$1004:$AS$1004,1,MATCH(COLUMNS($AC$1006:AO1006),$AC$1006:$AS$1006,0)))),"Fix")))</f>
        <v xml:space="preserve"> </v>
      </c>
      <c r="O613" s="4" t="str">
        <f ca="1">IF(OR(INDEX($W$2:$W$1001,MATCH(ROWS($V$2:V613),$V$2:$V$1001,0),1)&gt;=100000,INDEX($AC$1005:$AS$1005,1,MATCH(COLUMNS($AC$1006:AP1006),$AC$1006:$AS$1006,0))&gt;=100000), " ",IF(INDEX($AC$2:$AS$1001,MATCH(ROWS($V$2:V613),$V$2:$V$1001,0),MATCH(COLUMNS($AC$1006:AP1006),$AC$1006:$AS$1006,0)), HYPERLINK("#",""), HYPERLINK(CONCATENATE("#metadata!", ADDRESS(INDEX($X$2:$X$1001,MATCH(ROWS($V$2:V613),$V$2:$V$1001,0),0), INDEX($AC$1004:$AS$1004,1,MATCH(COLUMNS($AC$1006:AP1006),$AC$1006:$AS$1006,0)))),"Fix")))</f>
        <v xml:space="preserve"> </v>
      </c>
      <c r="P613" s="4" t="str">
        <f ca="1">IF(OR(INDEX($W$2:$W$1001,MATCH(ROWS($V$2:V613),$V$2:$V$1001,0),1)&gt;=100000,INDEX($AC$1005:$AS$1005,1,MATCH(COLUMNS($AC$1006:AQ1006),$AC$1006:$AS$1006,0))&gt;=100000), " ",IF(INDEX($AC$2:$AS$1001,MATCH(ROWS($V$2:V613),$V$2:$V$1001,0),MATCH(COLUMNS($AC$1006:AQ1006),$AC$1006:$AS$1006,0)), HYPERLINK("#",""), HYPERLINK(CONCATENATE("#metadata!", ADDRESS(INDEX($X$2:$X$1001,MATCH(ROWS($V$2:V613),$V$2:$V$1001,0),0), INDEX($AC$1004:$AS$1004,1,MATCH(COLUMNS($AC$1006:AQ1006),$AC$1006:$AS$1006,0)))),"Fix")))</f>
        <v xml:space="preserve"> </v>
      </c>
      <c r="Q613" s="4" t="str">
        <f ca="1">IF(OR(INDEX($W$2:$W$1001,MATCH(ROWS($V$2:V613),$V$2:$V$1001,0),1)&gt;=100000,INDEX($AC$1005:$AS$1005,1,MATCH(COLUMNS($AC$1006:AR1006),$AC$1006:$AS$1006,0))&gt;=100000), " ",IF(INDEX($AC$2:$AS$1001,MATCH(ROWS($V$2:V613),$V$2:$V$1001,0),MATCH(COLUMNS($AC$1006:AR1006),$AC$1006:$AS$1006,0)), HYPERLINK("#",""), HYPERLINK(CONCATENATE("#metadata!", ADDRESS(INDEX($X$2:$X$1001,MATCH(ROWS($V$2:V613),$V$2:$V$1001,0),0), INDEX($AC$1004:$AS$1004,1,MATCH(COLUMNS($AC$1006:AR1006),$AC$1006:$AS$1006,0)))),"Fix")))</f>
        <v xml:space="preserve"> </v>
      </c>
      <c r="R613" s="4" t="str">
        <f ca="1">IF(OR(INDEX($W$2:$W$1001,MATCH(ROWS($V$2:V613),$V$2:$V$1001,0),1)&gt;=100000,INDEX($AC$1005:$AS$1005,1,MATCH(COLUMNS($AC$1006:AS1006),$AC$1006:$AS$1006,0))&gt;=100000), " ",IF(INDEX($AC$2:$AS$1001,MATCH(ROWS($V$2:V613),$V$2:$V$1001,0),MATCH(COLUMNS($AC$1006:AS1006),$AC$1006:$AS$1006,0)), HYPERLINK("#",""), HYPERLINK(CONCATENATE("#metadata!", ADDRESS(INDEX($X$2:$X$1001,MATCH(ROWS($V$2:V613),$V$2:$V$1001,0),0), INDEX($AC$1004:$AS$1004,1,MATCH(COLUMNS($AC$1006:AS1006),$AC$1006:$AS$1006,0)))),"Fix")))</f>
        <v xml:space="preserve"> </v>
      </c>
      <c r="V613">
        <v>612</v>
      </c>
      <c r="W613">
        <v>100613</v>
      </c>
      <c r="X613">
        <v>613</v>
      </c>
      <c r="Y613" t="b">
        <f t="shared" si="9"/>
        <v>1</v>
      </c>
      <c r="Z613" t="b">
        <f>COUNTBLANK(metadata!B613:R613)=COLUMNS(metadata!B613:R613)</f>
        <v>1</v>
      </c>
      <c r="AA613" t="str">
        <v/>
      </c>
      <c r="AC613" t="b">
        <f ca="1"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AD613" t="b">
        <f>IF(metadata!C613="",FALSE,ISNUMBER(VALUE(metadata!C613)))</f>
        <v>0</v>
      </c>
      <c r="AE613" t="b">
        <f>AND(IF(metadata!D613="",FALSE,TRUE),EXACT(metadata!D613,"years"))</f>
        <v>0</v>
      </c>
      <c r="AF613" t="b">
        <f>OR(AND(IF(metadata!E613="",FALSE,TRUE),OR(EXACT(metadata!E613,"not applicable"),EXACT(metadata!E613,"missing: not collected"),EXACT(metadata!E613,"missing: not provided"),EXACT(metadata!E613,"missing: restricted access"))),AND(IF(metadata!E613="",FALSE,ISNUMBER(VALUE(metadata!E613))),metadata!E613&gt;0))</f>
        <v>0</v>
      </c>
      <c r="AG613" t="b">
        <f>AND(IF(metadata!F613="",FALSE,TRUE),EXACT(metadata!F613,"Not applicable"))</f>
        <v>0</v>
      </c>
      <c r="AH613" t="b">
        <f>AND(IF(metadata!G613="",FALSE,TRUE),EXACT(metadata!G613,"urban biome"))</f>
        <v>0</v>
      </c>
      <c r="AI613" t="b">
        <f>AND(IF(metadata!H613="",FALSE,TRUE),EXACT(metadata!H613,"human-associated habitat"))</f>
        <v>0</v>
      </c>
      <c r="AJ613" t="b">
        <f>AND(IF(metadata!I613="",FALSE,TRUE),OR(EXACT(metadata!I613,"human-associated"),EXACT(metadata!I613,"human-skin"),EXACT(metadata!I613,"human-oral"),EXACT(metadata!I613,"human-gut"),EXACT(metadata!I613,"human-vaginal")))</f>
        <v>0</v>
      </c>
      <c r="AK613" t="b">
        <f>IF(metadata!J613="",FALSE,ISNUMBER(VALUE(metadata!J613)))</f>
        <v>0</v>
      </c>
      <c r="AL613" t="b">
        <f>AND(IF(metadata!K613="",FALSE,TRUE),EXACT(metadata!K613,"cm"))</f>
        <v>0</v>
      </c>
      <c r="AM613" t="b">
        <f>AND(IF(metadata!L613="",FALSE,TRUE),EXACT(metadata!L613,"human"))</f>
        <v>0</v>
      </c>
      <c r="AN613" t="b">
        <f>AND(IF(metadata!M613="",FALSE,TRUE),EXACT(metadata!M613,"Homo sapiens"))</f>
        <v>0</v>
      </c>
      <c r="AO613" t="b">
        <f>AND(IF(metadata!N613="",FALSE,TRUE),EXACT(metadata!N613,"9606"))</f>
        <v>0</v>
      </c>
      <c r="AP613" t="b">
        <f>IF(metadata!O613="",FALSE,TRUE)</f>
        <v>0</v>
      </c>
      <c r="AQ613" t="b">
        <f>IF(metadata!P613="",FALSE,TRUE)</f>
        <v>0</v>
      </c>
      <c r="AR613" t="b">
        <f>IF(metadata!Q613="",FALSE,ISNUMBER(VALUE(metadata!Q613)))</f>
        <v>0</v>
      </c>
      <c r="AS613" t="b">
        <f>AND(IF(metadata!R613="",FALSE,TRUE),EXACT(metadata!R613,"kg"))</f>
        <v>0</v>
      </c>
    </row>
    <row r="614" spans="1:45" x14ac:dyDescent="0.2">
      <c r="A614" s="5" t="str">
        <f ca="1">IF(B614=" "," ",HYPERLINK(CONCATENATE("#metadata!",ADDRESS(INDEX($X$2:$X$1001,MATCH(ROWS($V$2:V614),$V$2:$V$1001,0),0),1)),INDEX($AA$2:$AA$1001,MATCH(ROWS($V$2:V614),$V$2:$V$1001,0),0)))</f>
        <v xml:space="preserve"> </v>
      </c>
      <c r="B614" s="4" t="str">
        <f ca="1">IF(OR(INDEX($W$2:$W$1001,MATCH(ROWS($V$2:V614),$V$2:$V$1001,0),1)&gt;=100000,INDEX($AC$1005:$AS$1005,1,MATCH(COLUMNS($AC$1006:AC1006),$AC$1006:$AS$1006,0))&gt;=100000), " ",IF(INDEX($AC$2:$AS$1001,MATCH(ROWS($V$2:V614),$V$2:$V$1001,0),MATCH(COLUMNS($AC$1006:AC1006),$AC$1006:$AS$1006,0)), HYPERLINK("#",""), HYPERLINK(CONCATENATE("#metadata!", ADDRESS(INDEX($X$2:$X$1001,MATCH(ROWS($V$2:V614),$V$2:$V$1001,0),0), INDEX($AC$1004:$AS$1004,1,MATCH(COLUMNS($AC$1006:AC1006),$AC$1006:$AS$1006,0)))),"Fix")))</f>
        <v xml:space="preserve"> </v>
      </c>
      <c r="C614" s="4" t="str">
        <f ca="1">IF(OR(INDEX($W$2:$W$1001,MATCH(ROWS($V$2:V614),$V$2:$V$1001,0),1)&gt;=100000,INDEX($AC$1005:$AS$1005,1,MATCH(COLUMNS($AC$1006:AD1006),$AC$1006:$AS$1006,0))&gt;=100000), " ",IF(INDEX($AC$2:$AS$1001,MATCH(ROWS($V$2:V614),$V$2:$V$1001,0),MATCH(COLUMNS($AC$1006:AD1006),$AC$1006:$AS$1006,0)), HYPERLINK("#",""), HYPERLINK(CONCATENATE("#metadata!", ADDRESS(INDEX($X$2:$X$1001,MATCH(ROWS($V$2:V614),$V$2:$V$1001,0),0), INDEX($AC$1004:$AS$1004,1,MATCH(COLUMNS($AC$1006:AD1006),$AC$1006:$AS$1006,0)))),"Fix")))</f>
        <v xml:space="preserve"> </v>
      </c>
      <c r="D614" s="4" t="str">
        <f ca="1">IF(OR(INDEX($W$2:$W$1001,MATCH(ROWS($V$2:V614),$V$2:$V$1001,0),1)&gt;=100000,INDEX($AC$1005:$AS$1005,1,MATCH(COLUMNS($AC$1006:AE1006),$AC$1006:$AS$1006,0))&gt;=100000), " ",IF(INDEX($AC$2:$AS$1001,MATCH(ROWS($V$2:V614),$V$2:$V$1001,0),MATCH(COLUMNS($AC$1006:AE1006),$AC$1006:$AS$1006,0)), HYPERLINK("#",""), HYPERLINK(CONCATENATE("#metadata!", ADDRESS(INDEX($X$2:$X$1001,MATCH(ROWS($V$2:V614),$V$2:$V$1001,0),0), INDEX($AC$1004:$AS$1004,1,MATCH(COLUMNS($AC$1006:AE1006),$AC$1006:$AS$1006,0)))),"Fix")))</f>
        <v xml:space="preserve"> </v>
      </c>
      <c r="E614" s="4" t="str">
        <f ca="1">IF(OR(INDEX($W$2:$W$1001,MATCH(ROWS($V$2:V614),$V$2:$V$1001,0),1)&gt;=100000,INDEX($AC$1005:$AS$1005,1,MATCH(COLUMNS($AC$1006:AF1006),$AC$1006:$AS$1006,0))&gt;=100000), " ",IF(INDEX($AC$2:$AS$1001,MATCH(ROWS($V$2:V614),$V$2:$V$1001,0),MATCH(COLUMNS($AC$1006:AF1006),$AC$1006:$AS$1006,0)), HYPERLINK("#",""), HYPERLINK(CONCATENATE("#metadata!", ADDRESS(INDEX($X$2:$X$1001,MATCH(ROWS($V$2:V614),$V$2:$V$1001,0),0), INDEX($AC$1004:$AS$1004,1,MATCH(COLUMNS($AC$1006:AF1006),$AC$1006:$AS$1006,0)))),"Fix")))</f>
        <v xml:space="preserve"> </v>
      </c>
      <c r="F614" s="4" t="str">
        <f ca="1">IF(OR(INDEX($W$2:$W$1001,MATCH(ROWS($V$2:V614),$V$2:$V$1001,0),1)&gt;=100000,INDEX($AC$1005:$AS$1005,1,MATCH(COLUMNS($AC$1006:AG1006),$AC$1006:$AS$1006,0))&gt;=100000), " ",IF(INDEX($AC$2:$AS$1001,MATCH(ROWS($V$2:V614),$V$2:$V$1001,0),MATCH(COLUMNS($AC$1006:AG1006),$AC$1006:$AS$1006,0)), HYPERLINK("#",""), HYPERLINK(CONCATENATE("#metadata!", ADDRESS(INDEX($X$2:$X$1001,MATCH(ROWS($V$2:V614),$V$2:$V$1001,0),0), INDEX($AC$1004:$AS$1004,1,MATCH(COLUMNS($AC$1006:AG1006),$AC$1006:$AS$1006,0)))),"Fix")))</f>
        <v xml:space="preserve"> </v>
      </c>
      <c r="G614" s="4" t="str">
        <f ca="1">IF(OR(INDEX($W$2:$W$1001,MATCH(ROWS($V$2:V614),$V$2:$V$1001,0),1)&gt;=100000,INDEX($AC$1005:$AS$1005,1,MATCH(COLUMNS($AC$1006:AH1006),$AC$1006:$AS$1006,0))&gt;=100000), " ",IF(INDEX($AC$2:$AS$1001,MATCH(ROWS($V$2:V614),$V$2:$V$1001,0),MATCH(COLUMNS($AC$1006:AH1006),$AC$1006:$AS$1006,0)), HYPERLINK("#",""), HYPERLINK(CONCATENATE("#metadata!", ADDRESS(INDEX($X$2:$X$1001,MATCH(ROWS($V$2:V614),$V$2:$V$1001,0),0), INDEX($AC$1004:$AS$1004,1,MATCH(COLUMNS($AC$1006:AH1006),$AC$1006:$AS$1006,0)))),"Fix")))</f>
        <v xml:space="preserve"> </v>
      </c>
      <c r="H614" s="4" t="str">
        <f ca="1">IF(OR(INDEX($W$2:$W$1001,MATCH(ROWS($V$2:V614),$V$2:$V$1001,0),1)&gt;=100000,INDEX($AC$1005:$AS$1005,1,MATCH(COLUMNS($AC$1006:AI1006),$AC$1006:$AS$1006,0))&gt;=100000), " ",IF(INDEX($AC$2:$AS$1001,MATCH(ROWS($V$2:V614),$V$2:$V$1001,0),MATCH(COLUMNS($AC$1006:AI1006),$AC$1006:$AS$1006,0)), HYPERLINK("#",""), HYPERLINK(CONCATENATE("#metadata!", ADDRESS(INDEX($X$2:$X$1001,MATCH(ROWS($V$2:V614),$V$2:$V$1001,0),0), INDEX($AC$1004:$AS$1004,1,MATCH(COLUMNS($AC$1006:AI1006),$AC$1006:$AS$1006,0)))),"Fix")))</f>
        <v xml:space="preserve"> </v>
      </c>
      <c r="I614" s="4" t="str">
        <f ca="1">IF(OR(INDEX($W$2:$W$1001,MATCH(ROWS($V$2:V614),$V$2:$V$1001,0),1)&gt;=100000,INDEX($AC$1005:$AS$1005,1,MATCH(COLUMNS($AC$1006:AJ1006),$AC$1006:$AS$1006,0))&gt;=100000), " ",IF(INDEX($AC$2:$AS$1001,MATCH(ROWS($V$2:V614),$V$2:$V$1001,0),MATCH(COLUMNS($AC$1006:AJ1006),$AC$1006:$AS$1006,0)), HYPERLINK("#",""), HYPERLINK(CONCATENATE("#metadata!", ADDRESS(INDEX($X$2:$X$1001,MATCH(ROWS($V$2:V614),$V$2:$V$1001,0),0), INDEX($AC$1004:$AS$1004,1,MATCH(COLUMNS($AC$1006:AJ1006),$AC$1006:$AS$1006,0)))),"Fix")))</f>
        <v xml:space="preserve"> </v>
      </c>
      <c r="J614" s="4" t="str">
        <f ca="1">IF(OR(INDEX($W$2:$W$1001,MATCH(ROWS($V$2:V614),$V$2:$V$1001,0),1)&gt;=100000,INDEX($AC$1005:$AS$1005,1,MATCH(COLUMNS($AC$1006:AK1006),$AC$1006:$AS$1006,0))&gt;=100000), " ",IF(INDEX($AC$2:$AS$1001,MATCH(ROWS($V$2:V614),$V$2:$V$1001,0),MATCH(COLUMNS($AC$1006:AK1006),$AC$1006:$AS$1006,0)), HYPERLINK("#",""), HYPERLINK(CONCATENATE("#metadata!", ADDRESS(INDEX($X$2:$X$1001,MATCH(ROWS($V$2:V614),$V$2:$V$1001,0),0), INDEX($AC$1004:$AS$1004,1,MATCH(COLUMNS($AC$1006:AK1006),$AC$1006:$AS$1006,0)))),"Fix")))</f>
        <v xml:space="preserve"> </v>
      </c>
      <c r="K614" s="4" t="str">
        <f ca="1">IF(OR(INDEX($W$2:$W$1001,MATCH(ROWS($V$2:V614),$V$2:$V$1001,0),1)&gt;=100000,INDEX($AC$1005:$AS$1005,1,MATCH(COLUMNS($AC$1006:AL1006),$AC$1006:$AS$1006,0))&gt;=100000), " ",IF(INDEX($AC$2:$AS$1001,MATCH(ROWS($V$2:V614),$V$2:$V$1001,0),MATCH(COLUMNS($AC$1006:AL1006),$AC$1006:$AS$1006,0)), HYPERLINK("#",""), HYPERLINK(CONCATENATE("#metadata!", ADDRESS(INDEX($X$2:$X$1001,MATCH(ROWS($V$2:V614),$V$2:$V$1001,0),0), INDEX($AC$1004:$AS$1004,1,MATCH(COLUMNS($AC$1006:AL1006),$AC$1006:$AS$1006,0)))),"Fix")))</f>
        <v xml:space="preserve"> </v>
      </c>
      <c r="L614" s="4" t="str">
        <f ca="1">IF(OR(INDEX($W$2:$W$1001,MATCH(ROWS($V$2:V614),$V$2:$V$1001,0),1)&gt;=100000,INDEX($AC$1005:$AS$1005,1,MATCH(COLUMNS($AC$1006:AM1006),$AC$1006:$AS$1006,0))&gt;=100000), " ",IF(INDEX($AC$2:$AS$1001,MATCH(ROWS($V$2:V614),$V$2:$V$1001,0),MATCH(COLUMNS($AC$1006:AM1006),$AC$1006:$AS$1006,0)), HYPERLINK("#",""), HYPERLINK(CONCATENATE("#metadata!", ADDRESS(INDEX($X$2:$X$1001,MATCH(ROWS($V$2:V614),$V$2:$V$1001,0),0), INDEX($AC$1004:$AS$1004,1,MATCH(COLUMNS($AC$1006:AM1006),$AC$1006:$AS$1006,0)))),"Fix")))</f>
        <v xml:space="preserve"> </v>
      </c>
      <c r="M614" s="4" t="str">
        <f ca="1">IF(OR(INDEX($W$2:$W$1001,MATCH(ROWS($V$2:V614),$V$2:$V$1001,0),1)&gt;=100000,INDEX($AC$1005:$AS$1005,1,MATCH(COLUMNS($AC$1006:AN1006),$AC$1006:$AS$1006,0))&gt;=100000), " ",IF(INDEX($AC$2:$AS$1001,MATCH(ROWS($V$2:V614),$V$2:$V$1001,0),MATCH(COLUMNS($AC$1006:AN1006),$AC$1006:$AS$1006,0)), HYPERLINK("#",""), HYPERLINK(CONCATENATE("#metadata!", ADDRESS(INDEX($X$2:$X$1001,MATCH(ROWS($V$2:V614),$V$2:$V$1001,0),0), INDEX($AC$1004:$AS$1004,1,MATCH(COLUMNS($AC$1006:AN1006),$AC$1006:$AS$1006,0)))),"Fix")))</f>
        <v xml:space="preserve"> </v>
      </c>
      <c r="N614" s="4" t="str">
        <f ca="1">IF(OR(INDEX($W$2:$W$1001,MATCH(ROWS($V$2:V614),$V$2:$V$1001,0),1)&gt;=100000,INDEX($AC$1005:$AS$1005,1,MATCH(COLUMNS($AC$1006:AO1006),$AC$1006:$AS$1006,0))&gt;=100000), " ",IF(INDEX($AC$2:$AS$1001,MATCH(ROWS($V$2:V614),$V$2:$V$1001,0),MATCH(COLUMNS($AC$1006:AO1006),$AC$1006:$AS$1006,0)), HYPERLINK("#",""), HYPERLINK(CONCATENATE("#metadata!", ADDRESS(INDEX($X$2:$X$1001,MATCH(ROWS($V$2:V614),$V$2:$V$1001,0),0), INDEX($AC$1004:$AS$1004,1,MATCH(COLUMNS($AC$1006:AO1006),$AC$1006:$AS$1006,0)))),"Fix")))</f>
        <v xml:space="preserve"> </v>
      </c>
      <c r="O614" s="4" t="str">
        <f ca="1">IF(OR(INDEX($W$2:$W$1001,MATCH(ROWS($V$2:V614),$V$2:$V$1001,0),1)&gt;=100000,INDEX($AC$1005:$AS$1005,1,MATCH(COLUMNS($AC$1006:AP1006),$AC$1006:$AS$1006,0))&gt;=100000), " ",IF(INDEX($AC$2:$AS$1001,MATCH(ROWS($V$2:V614),$V$2:$V$1001,0),MATCH(COLUMNS($AC$1006:AP1006),$AC$1006:$AS$1006,0)), HYPERLINK("#",""), HYPERLINK(CONCATENATE("#metadata!", ADDRESS(INDEX($X$2:$X$1001,MATCH(ROWS($V$2:V614),$V$2:$V$1001,0),0), INDEX($AC$1004:$AS$1004,1,MATCH(COLUMNS($AC$1006:AP1006),$AC$1006:$AS$1006,0)))),"Fix")))</f>
        <v xml:space="preserve"> </v>
      </c>
      <c r="P614" s="4" t="str">
        <f ca="1">IF(OR(INDEX($W$2:$W$1001,MATCH(ROWS($V$2:V614),$V$2:$V$1001,0),1)&gt;=100000,INDEX($AC$1005:$AS$1005,1,MATCH(COLUMNS($AC$1006:AQ1006),$AC$1006:$AS$1006,0))&gt;=100000), " ",IF(INDEX($AC$2:$AS$1001,MATCH(ROWS($V$2:V614),$V$2:$V$1001,0),MATCH(COLUMNS($AC$1006:AQ1006),$AC$1006:$AS$1006,0)), HYPERLINK("#",""), HYPERLINK(CONCATENATE("#metadata!", ADDRESS(INDEX($X$2:$X$1001,MATCH(ROWS($V$2:V614),$V$2:$V$1001,0),0), INDEX($AC$1004:$AS$1004,1,MATCH(COLUMNS($AC$1006:AQ1006),$AC$1006:$AS$1006,0)))),"Fix")))</f>
        <v xml:space="preserve"> </v>
      </c>
      <c r="Q614" s="4" t="str">
        <f ca="1">IF(OR(INDEX($W$2:$W$1001,MATCH(ROWS($V$2:V614),$V$2:$V$1001,0),1)&gt;=100000,INDEX($AC$1005:$AS$1005,1,MATCH(COLUMNS($AC$1006:AR1006),$AC$1006:$AS$1006,0))&gt;=100000), " ",IF(INDEX($AC$2:$AS$1001,MATCH(ROWS($V$2:V614),$V$2:$V$1001,0),MATCH(COLUMNS($AC$1006:AR1006),$AC$1006:$AS$1006,0)), HYPERLINK("#",""), HYPERLINK(CONCATENATE("#metadata!", ADDRESS(INDEX($X$2:$X$1001,MATCH(ROWS($V$2:V614),$V$2:$V$1001,0),0), INDEX($AC$1004:$AS$1004,1,MATCH(COLUMNS($AC$1006:AR1006),$AC$1006:$AS$1006,0)))),"Fix")))</f>
        <v xml:space="preserve"> </v>
      </c>
      <c r="R614" s="4" t="str">
        <f ca="1">IF(OR(INDEX($W$2:$W$1001,MATCH(ROWS($V$2:V614),$V$2:$V$1001,0),1)&gt;=100000,INDEX($AC$1005:$AS$1005,1,MATCH(COLUMNS($AC$1006:AS1006),$AC$1006:$AS$1006,0))&gt;=100000), " ",IF(INDEX($AC$2:$AS$1001,MATCH(ROWS($V$2:V614),$V$2:$V$1001,0),MATCH(COLUMNS($AC$1006:AS1006),$AC$1006:$AS$1006,0)), HYPERLINK("#",""), HYPERLINK(CONCATENATE("#metadata!", ADDRESS(INDEX($X$2:$X$1001,MATCH(ROWS($V$2:V614),$V$2:$V$1001,0),0), INDEX($AC$1004:$AS$1004,1,MATCH(COLUMNS($AC$1006:AS1006),$AC$1006:$AS$1006,0)))),"Fix")))</f>
        <v xml:space="preserve"> </v>
      </c>
      <c r="V614">
        <v>613</v>
      </c>
      <c r="W614">
        <v>100614</v>
      </c>
      <c r="X614">
        <v>614</v>
      </c>
      <c r="Y614" t="b">
        <f t="shared" si="9"/>
        <v>1</v>
      </c>
      <c r="Z614" t="b">
        <f>COUNTBLANK(metadata!B614:R614)=COLUMNS(metadata!B614:R614)</f>
        <v>1</v>
      </c>
      <c r="AA614" t="str">
        <v/>
      </c>
      <c r="AC614" t="b">
        <f ca="1"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AD614" t="b">
        <f>IF(metadata!C614="",FALSE,ISNUMBER(VALUE(metadata!C614)))</f>
        <v>0</v>
      </c>
      <c r="AE614" t="b">
        <f>AND(IF(metadata!D614="",FALSE,TRUE),EXACT(metadata!D614,"years"))</f>
        <v>0</v>
      </c>
      <c r="AF614" t="b">
        <f>OR(AND(IF(metadata!E614="",FALSE,TRUE),OR(EXACT(metadata!E614,"not applicable"),EXACT(metadata!E614,"missing: not collected"),EXACT(metadata!E614,"missing: not provided"),EXACT(metadata!E614,"missing: restricted access"))),AND(IF(metadata!E614="",FALSE,ISNUMBER(VALUE(metadata!E614))),metadata!E614&gt;0))</f>
        <v>0</v>
      </c>
      <c r="AG614" t="b">
        <f>AND(IF(metadata!F614="",FALSE,TRUE),EXACT(metadata!F614,"Not applicable"))</f>
        <v>0</v>
      </c>
      <c r="AH614" t="b">
        <f>AND(IF(metadata!G614="",FALSE,TRUE),EXACT(metadata!G614,"urban biome"))</f>
        <v>0</v>
      </c>
      <c r="AI614" t="b">
        <f>AND(IF(metadata!H614="",FALSE,TRUE),EXACT(metadata!H614,"human-associated habitat"))</f>
        <v>0</v>
      </c>
      <c r="AJ614" t="b">
        <f>AND(IF(metadata!I614="",FALSE,TRUE),OR(EXACT(metadata!I614,"human-associated"),EXACT(metadata!I614,"human-skin"),EXACT(metadata!I614,"human-oral"),EXACT(metadata!I614,"human-gut"),EXACT(metadata!I614,"human-vaginal")))</f>
        <v>0</v>
      </c>
      <c r="AK614" t="b">
        <f>IF(metadata!J614="",FALSE,ISNUMBER(VALUE(metadata!J614)))</f>
        <v>0</v>
      </c>
      <c r="AL614" t="b">
        <f>AND(IF(metadata!K614="",FALSE,TRUE),EXACT(metadata!K614,"cm"))</f>
        <v>0</v>
      </c>
      <c r="AM614" t="b">
        <f>AND(IF(metadata!L614="",FALSE,TRUE),EXACT(metadata!L614,"human"))</f>
        <v>0</v>
      </c>
      <c r="AN614" t="b">
        <f>AND(IF(metadata!M614="",FALSE,TRUE),EXACT(metadata!M614,"Homo sapiens"))</f>
        <v>0</v>
      </c>
      <c r="AO614" t="b">
        <f>AND(IF(metadata!N614="",FALSE,TRUE),EXACT(metadata!N614,"9606"))</f>
        <v>0</v>
      </c>
      <c r="AP614" t="b">
        <f>IF(metadata!O614="",FALSE,TRUE)</f>
        <v>0</v>
      </c>
      <c r="AQ614" t="b">
        <f>IF(metadata!P614="",FALSE,TRUE)</f>
        <v>0</v>
      </c>
      <c r="AR614" t="b">
        <f>IF(metadata!Q614="",FALSE,ISNUMBER(VALUE(metadata!Q614)))</f>
        <v>0</v>
      </c>
      <c r="AS614" t="b">
        <f>AND(IF(metadata!R614="",FALSE,TRUE),EXACT(metadata!R614,"kg"))</f>
        <v>0</v>
      </c>
    </row>
    <row r="615" spans="1:45" x14ac:dyDescent="0.2">
      <c r="A615" s="5" t="str">
        <f ca="1">IF(B615=" "," ",HYPERLINK(CONCATENATE("#metadata!",ADDRESS(INDEX($X$2:$X$1001,MATCH(ROWS($V$2:V615),$V$2:$V$1001,0),0),1)),INDEX($AA$2:$AA$1001,MATCH(ROWS($V$2:V615),$V$2:$V$1001,0),0)))</f>
        <v xml:space="preserve"> </v>
      </c>
      <c r="B615" s="4" t="str">
        <f ca="1">IF(OR(INDEX($W$2:$W$1001,MATCH(ROWS($V$2:V615),$V$2:$V$1001,0),1)&gt;=100000,INDEX($AC$1005:$AS$1005,1,MATCH(COLUMNS($AC$1006:AC1006),$AC$1006:$AS$1006,0))&gt;=100000), " ",IF(INDEX($AC$2:$AS$1001,MATCH(ROWS($V$2:V615),$V$2:$V$1001,0),MATCH(COLUMNS($AC$1006:AC1006),$AC$1006:$AS$1006,0)), HYPERLINK("#",""), HYPERLINK(CONCATENATE("#metadata!", ADDRESS(INDEX($X$2:$X$1001,MATCH(ROWS($V$2:V615),$V$2:$V$1001,0),0), INDEX($AC$1004:$AS$1004,1,MATCH(COLUMNS($AC$1006:AC1006),$AC$1006:$AS$1006,0)))),"Fix")))</f>
        <v xml:space="preserve"> </v>
      </c>
      <c r="C615" s="4" t="str">
        <f ca="1">IF(OR(INDEX($W$2:$W$1001,MATCH(ROWS($V$2:V615),$V$2:$V$1001,0),1)&gt;=100000,INDEX($AC$1005:$AS$1005,1,MATCH(COLUMNS($AC$1006:AD1006),$AC$1006:$AS$1006,0))&gt;=100000), " ",IF(INDEX($AC$2:$AS$1001,MATCH(ROWS($V$2:V615),$V$2:$V$1001,0),MATCH(COLUMNS($AC$1006:AD1006),$AC$1006:$AS$1006,0)), HYPERLINK("#",""), HYPERLINK(CONCATENATE("#metadata!", ADDRESS(INDEX($X$2:$X$1001,MATCH(ROWS($V$2:V615),$V$2:$V$1001,0),0), INDEX($AC$1004:$AS$1004,1,MATCH(COLUMNS($AC$1006:AD1006),$AC$1006:$AS$1006,0)))),"Fix")))</f>
        <v xml:space="preserve"> </v>
      </c>
      <c r="D615" s="4" t="str">
        <f ca="1">IF(OR(INDEX($W$2:$W$1001,MATCH(ROWS($V$2:V615),$V$2:$V$1001,0),1)&gt;=100000,INDEX($AC$1005:$AS$1005,1,MATCH(COLUMNS($AC$1006:AE1006),$AC$1006:$AS$1006,0))&gt;=100000), " ",IF(INDEX($AC$2:$AS$1001,MATCH(ROWS($V$2:V615),$V$2:$V$1001,0),MATCH(COLUMNS($AC$1006:AE1006),$AC$1006:$AS$1006,0)), HYPERLINK("#",""), HYPERLINK(CONCATENATE("#metadata!", ADDRESS(INDEX($X$2:$X$1001,MATCH(ROWS($V$2:V615),$V$2:$V$1001,0),0), INDEX($AC$1004:$AS$1004,1,MATCH(COLUMNS($AC$1006:AE1006),$AC$1006:$AS$1006,0)))),"Fix")))</f>
        <v xml:space="preserve"> </v>
      </c>
      <c r="E615" s="4" t="str">
        <f ca="1">IF(OR(INDEX($W$2:$W$1001,MATCH(ROWS($V$2:V615),$V$2:$V$1001,0),1)&gt;=100000,INDEX($AC$1005:$AS$1005,1,MATCH(COLUMNS($AC$1006:AF1006),$AC$1006:$AS$1006,0))&gt;=100000), " ",IF(INDEX($AC$2:$AS$1001,MATCH(ROWS($V$2:V615),$V$2:$V$1001,0),MATCH(COLUMNS($AC$1006:AF1006),$AC$1006:$AS$1006,0)), HYPERLINK("#",""), HYPERLINK(CONCATENATE("#metadata!", ADDRESS(INDEX($X$2:$X$1001,MATCH(ROWS($V$2:V615),$V$2:$V$1001,0),0), INDEX($AC$1004:$AS$1004,1,MATCH(COLUMNS($AC$1006:AF1006),$AC$1006:$AS$1006,0)))),"Fix")))</f>
        <v xml:space="preserve"> </v>
      </c>
      <c r="F615" s="4" t="str">
        <f ca="1">IF(OR(INDEX($W$2:$W$1001,MATCH(ROWS($V$2:V615),$V$2:$V$1001,0),1)&gt;=100000,INDEX($AC$1005:$AS$1005,1,MATCH(COLUMNS($AC$1006:AG1006),$AC$1006:$AS$1006,0))&gt;=100000), " ",IF(INDEX($AC$2:$AS$1001,MATCH(ROWS($V$2:V615),$V$2:$V$1001,0),MATCH(COLUMNS($AC$1006:AG1006),$AC$1006:$AS$1006,0)), HYPERLINK("#",""), HYPERLINK(CONCATENATE("#metadata!", ADDRESS(INDEX($X$2:$X$1001,MATCH(ROWS($V$2:V615),$V$2:$V$1001,0),0), INDEX($AC$1004:$AS$1004,1,MATCH(COLUMNS($AC$1006:AG1006),$AC$1006:$AS$1006,0)))),"Fix")))</f>
        <v xml:space="preserve"> </v>
      </c>
      <c r="G615" s="4" t="str">
        <f ca="1">IF(OR(INDEX($W$2:$W$1001,MATCH(ROWS($V$2:V615),$V$2:$V$1001,0),1)&gt;=100000,INDEX($AC$1005:$AS$1005,1,MATCH(COLUMNS($AC$1006:AH1006),$AC$1006:$AS$1006,0))&gt;=100000), " ",IF(INDEX($AC$2:$AS$1001,MATCH(ROWS($V$2:V615),$V$2:$V$1001,0),MATCH(COLUMNS($AC$1006:AH1006),$AC$1006:$AS$1006,0)), HYPERLINK("#",""), HYPERLINK(CONCATENATE("#metadata!", ADDRESS(INDEX($X$2:$X$1001,MATCH(ROWS($V$2:V615),$V$2:$V$1001,0),0), INDEX($AC$1004:$AS$1004,1,MATCH(COLUMNS($AC$1006:AH1006),$AC$1006:$AS$1006,0)))),"Fix")))</f>
        <v xml:space="preserve"> </v>
      </c>
      <c r="H615" s="4" t="str">
        <f ca="1">IF(OR(INDEX($W$2:$W$1001,MATCH(ROWS($V$2:V615),$V$2:$V$1001,0),1)&gt;=100000,INDEX($AC$1005:$AS$1005,1,MATCH(COLUMNS($AC$1006:AI1006),$AC$1006:$AS$1006,0))&gt;=100000), " ",IF(INDEX($AC$2:$AS$1001,MATCH(ROWS($V$2:V615),$V$2:$V$1001,0),MATCH(COLUMNS($AC$1006:AI1006),$AC$1006:$AS$1006,0)), HYPERLINK("#",""), HYPERLINK(CONCATENATE("#metadata!", ADDRESS(INDEX($X$2:$X$1001,MATCH(ROWS($V$2:V615),$V$2:$V$1001,0),0), INDEX($AC$1004:$AS$1004,1,MATCH(COLUMNS($AC$1006:AI1006),$AC$1006:$AS$1006,0)))),"Fix")))</f>
        <v xml:space="preserve"> </v>
      </c>
      <c r="I615" s="4" t="str">
        <f ca="1">IF(OR(INDEX($W$2:$W$1001,MATCH(ROWS($V$2:V615),$V$2:$V$1001,0),1)&gt;=100000,INDEX($AC$1005:$AS$1005,1,MATCH(COLUMNS($AC$1006:AJ1006),$AC$1006:$AS$1006,0))&gt;=100000), " ",IF(INDEX($AC$2:$AS$1001,MATCH(ROWS($V$2:V615),$V$2:$V$1001,0),MATCH(COLUMNS($AC$1006:AJ1006),$AC$1006:$AS$1006,0)), HYPERLINK("#",""), HYPERLINK(CONCATENATE("#metadata!", ADDRESS(INDEX($X$2:$X$1001,MATCH(ROWS($V$2:V615),$V$2:$V$1001,0),0), INDEX($AC$1004:$AS$1004,1,MATCH(COLUMNS($AC$1006:AJ1006),$AC$1006:$AS$1006,0)))),"Fix")))</f>
        <v xml:space="preserve"> </v>
      </c>
      <c r="J615" s="4" t="str">
        <f ca="1">IF(OR(INDEX($W$2:$W$1001,MATCH(ROWS($V$2:V615),$V$2:$V$1001,0),1)&gt;=100000,INDEX($AC$1005:$AS$1005,1,MATCH(COLUMNS($AC$1006:AK1006),$AC$1006:$AS$1006,0))&gt;=100000), " ",IF(INDEX($AC$2:$AS$1001,MATCH(ROWS($V$2:V615),$V$2:$V$1001,0),MATCH(COLUMNS($AC$1006:AK1006),$AC$1006:$AS$1006,0)), HYPERLINK("#",""), HYPERLINK(CONCATENATE("#metadata!", ADDRESS(INDEX($X$2:$X$1001,MATCH(ROWS($V$2:V615),$V$2:$V$1001,0),0), INDEX($AC$1004:$AS$1004,1,MATCH(COLUMNS($AC$1006:AK1006),$AC$1006:$AS$1006,0)))),"Fix")))</f>
        <v xml:space="preserve"> </v>
      </c>
      <c r="K615" s="4" t="str">
        <f ca="1">IF(OR(INDEX($W$2:$W$1001,MATCH(ROWS($V$2:V615),$V$2:$V$1001,0),1)&gt;=100000,INDEX($AC$1005:$AS$1005,1,MATCH(COLUMNS($AC$1006:AL1006),$AC$1006:$AS$1006,0))&gt;=100000), " ",IF(INDEX($AC$2:$AS$1001,MATCH(ROWS($V$2:V615),$V$2:$V$1001,0),MATCH(COLUMNS($AC$1006:AL1006),$AC$1006:$AS$1006,0)), HYPERLINK("#",""), HYPERLINK(CONCATENATE("#metadata!", ADDRESS(INDEX($X$2:$X$1001,MATCH(ROWS($V$2:V615),$V$2:$V$1001,0),0), INDEX($AC$1004:$AS$1004,1,MATCH(COLUMNS($AC$1006:AL1006),$AC$1006:$AS$1006,0)))),"Fix")))</f>
        <v xml:space="preserve"> </v>
      </c>
      <c r="L615" s="4" t="str">
        <f ca="1">IF(OR(INDEX($W$2:$W$1001,MATCH(ROWS($V$2:V615),$V$2:$V$1001,0),1)&gt;=100000,INDEX($AC$1005:$AS$1005,1,MATCH(COLUMNS($AC$1006:AM1006),$AC$1006:$AS$1006,0))&gt;=100000), " ",IF(INDEX($AC$2:$AS$1001,MATCH(ROWS($V$2:V615),$V$2:$V$1001,0),MATCH(COLUMNS($AC$1006:AM1006),$AC$1006:$AS$1006,0)), HYPERLINK("#",""), HYPERLINK(CONCATENATE("#metadata!", ADDRESS(INDEX($X$2:$X$1001,MATCH(ROWS($V$2:V615),$V$2:$V$1001,0),0), INDEX($AC$1004:$AS$1004,1,MATCH(COLUMNS($AC$1006:AM1006),$AC$1006:$AS$1006,0)))),"Fix")))</f>
        <v xml:space="preserve"> </v>
      </c>
      <c r="M615" s="4" t="str">
        <f ca="1">IF(OR(INDEX($W$2:$W$1001,MATCH(ROWS($V$2:V615),$V$2:$V$1001,0),1)&gt;=100000,INDEX($AC$1005:$AS$1005,1,MATCH(COLUMNS($AC$1006:AN1006),$AC$1006:$AS$1006,0))&gt;=100000), " ",IF(INDEX($AC$2:$AS$1001,MATCH(ROWS($V$2:V615),$V$2:$V$1001,0),MATCH(COLUMNS($AC$1006:AN1006),$AC$1006:$AS$1006,0)), HYPERLINK("#",""), HYPERLINK(CONCATENATE("#metadata!", ADDRESS(INDEX($X$2:$X$1001,MATCH(ROWS($V$2:V615),$V$2:$V$1001,0),0), INDEX($AC$1004:$AS$1004,1,MATCH(COLUMNS($AC$1006:AN1006),$AC$1006:$AS$1006,0)))),"Fix")))</f>
        <v xml:space="preserve"> </v>
      </c>
      <c r="N615" s="4" t="str">
        <f ca="1">IF(OR(INDEX($W$2:$W$1001,MATCH(ROWS($V$2:V615),$V$2:$V$1001,0),1)&gt;=100000,INDEX($AC$1005:$AS$1005,1,MATCH(COLUMNS($AC$1006:AO1006),$AC$1006:$AS$1006,0))&gt;=100000), " ",IF(INDEX($AC$2:$AS$1001,MATCH(ROWS($V$2:V615),$V$2:$V$1001,0),MATCH(COLUMNS($AC$1006:AO1006),$AC$1006:$AS$1006,0)), HYPERLINK("#",""), HYPERLINK(CONCATENATE("#metadata!", ADDRESS(INDEX($X$2:$X$1001,MATCH(ROWS($V$2:V615),$V$2:$V$1001,0),0), INDEX($AC$1004:$AS$1004,1,MATCH(COLUMNS($AC$1006:AO1006),$AC$1006:$AS$1006,0)))),"Fix")))</f>
        <v xml:space="preserve"> </v>
      </c>
      <c r="O615" s="4" t="str">
        <f ca="1">IF(OR(INDEX($W$2:$W$1001,MATCH(ROWS($V$2:V615),$V$2:$V$1001,0),1)&gt;=100000,INDEX($AC$1005:$AS$1005,1,MATCH(COLUMNS($AC$1006:AP1006),$AC$1006:$AS$1006,0))&gt;=100000), " ",IF(INDEX($AC$2:$AS$1001,MATCH(ROWS($V$2:V615),$V$2:$V$1001,0),MATCH(COLUMNS($AC$1006:AP1006),$AC$1006:$AS$1006,0)), HYPERLINK("#",""), HYPERLINK(CONCATENATE("#metadata!", ADDRESS(INDEX($X$2:$X$1001,MATCH(ROWS($V$2:V615),$V$2:$V$1001,0),0), INDEX($AC$1004:$AS$1004,1,MATCH(COLUMNS($AC$1006:AP1006),$AC$1006:$AS$1006,0)))),"Fix")))</f>
        <v xml:space="preserve"> </v>
      </c>
      <c r="P615" s="4" t="str">
        <f ca="1">IF(OR(INDEX($W$2:$W$1001,MATCH(ROWS($V$2:V615),$V$2:$V$1001,0),1)&gt;=100000,INDEX($AC$1005:$AS$1005,1,MATCH(COLUMNS($AC$1006:AQ1006),$AC$1006:$AS$1006,0))&gt;=100000), " ",IF(INDEX($AC$2:$AS$1001,MATCH(ROWS($V$2:V615),$V$2:$V$1001,0),MATCH(COLUMNS($AC$1006:AQ1006),$AC$1006:$AS$1006,0)), HYPERLINK("#",""), HYPERLINK(CONCATENATE("#metadata!", ADDRESS(INDEX($X$2:$X$1001,MATCH(ROWS($V$2:V615),$V$2:$V$1001,0),0), INDEX($AC$1004:$AS$1004,1,MATCH(COLUMNS($AC$1006:AQ1006),$AC$1006:$AS$1006,0)))),"Fix")))</f>
        <v xml:space="preserve"> </v>
      </c>
      <c r="Q615" s="4" t="str">
        <f ca="1">IF(OR(INDEX($W$2:$W$1001,MATCH(ROWS($V$2:V615),$V$2:$V$1001,0),1)&gt;=100000,INDEX($AC$1005:$AS$1005,1,MATCH(COLUMNS($AC$1006:AR1006),$AC$1006:$AS$1006,0))&gt;=100000), " ",IF(INDEX($AC$2:$AS$1001,MATCH(ROWS($V$2:V615),$V$2:$V$1001,0),MATCH(COLUMNS($AC$1006:AR1006),$AC$1006:$AS$1006,0)), HYPERLINK("#",""), HYPERLINK(CONCATENATE("#metadata!", ADDRESS(INDEX($X$2:$X$1001,MATCH(ROWS($V$2:V615),$V$2:$V$1001,0),0), INDEX($AC$1004:$AS$1004,1,MATCH(COLUMNS($AC$1006:AR1006),$AC$1006:$AS$1006,0)))),"Fix")))</f>
        <v xml:space="preserve"> </v>
      </c>
      <c r="R615" s="4" t="str">
        <f ca="1">IF(OR(INDEX($W$2:$W$1001,MATCH(ROWS($V$2:V615),$V$2:$V$1001,0),1)&gt;=100000,INDEX($AC$1005:$AS$1005,1,MATCH(COLUMNS($AC$1006:AS1006),$AC$1006:$AS$1006,0))&gt;=100000), " ",IF(INDEX($AC$2:$AS$1001,MATCH(ROWS($V$2:V615),$V$2:$V$1001,0),MATCH(COLUMNS($AC$1006:AS1006),$AC$1006:$AS$1006,0)), HYPERLINK("#",""), HYPERLINK(CONCATENATE("#metadata!", ADDRESS(INDEX($X$2:$X$1001,MATCH(ROWS($V$2:V615),$V$2:$V$1001,0),0), INDEX($AC$1004:$AS$1004,1,MATCH(COLUMNS($AC$1006:AS1006),$AC$1006:$AS$1006,0)))),"Fix")))</f>
        <v xml:space="preserve"> </v>
      </c>
      <c r="V615">
        <v>614</v>
      </c>
      <c r="W615">
        <v>100615</v>
      </c>
      <c r="X615">
        <v>615</v>
      </c>
      <c r="Y615" t="b">
        <f t="shared" si="9"/>
        <v>1</v>
      </c>
      <c r="Z615" t="b">
        <f>COUNTBLANK(metadata!B615:R615)=COLUMNS(metadata!B615:R615)</f>
        <v>1</v>
      </c>
      <c r="AA615" t="str">
        <v/>
      </c>
      <c r="AC615" t="b">
        <f ca="1"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AD615" t="b">
        <f>IF(metadata!C615="",FALSE,ISNUMBER(VALUE(metadata!C615)))</f>
        <v>0</v>
      </c>
      <c r="AE615" t="b">
        <f>AND(IF(metadata!D615="",FALSE,TRUE),EXACT(metadata!D615,"years"))</f>
        <v>0</v>
      </c>
      <c r="AF615" t="b">
        <f>OR(AND(IF(metadata!E615="",FALSE,TRUE),OR(EXACT(metadata!E615,"not applicable"),EXACT(metadata!E615,"missing: not collected"),EXACT(metadata!E615,"missing: not provided"),EXACT(metadata!E615,"missing: restricted access"))),AND(IF(metadata!E615="",FALSE,ISNUMBER(VALUE(metadata!E615))),metadata!E615&gt;0))</f>
        <v>0</v>
      </c>
      <c r="AG615" t="b">
        <f>AND(IF(metadata!F615="",FALSE,TRUE),EXACT(metadata!F615,"Not applicable"))</f>
        <v>0</v>
      </c>
      <c r="AH615" t="b">
        <f>AND(IF(metadata!G615="",FALSE,TRUE),EXACT(metadata!G615,"urban biome"))</f>
        <v>0</v>
      </c>
      <c r="AI615" t="b">
        <f>AND(IF(metadata!H615="",FALSE,TRUE),EXACT(metadata!H615,"human-associated habitat"))</f>
        <v>0</v>
      </c>
      <c r="AJ615" t="b">
        <f>AND(IF(metadata!I615="",FALSE,TRUE),OR(EXACT(metadata!I615,"human-associated"),EXACT(metadata!I615,"human-skin"),EXACT(metadata!I615,"human-oral"),EXACT(metadata!I615,"human-gut"),EXACT(metadata!I615,"human-vaginal")))</f>
        <v>0</v>
      </c>
      <c r="AK615" t="b">
        <f>IF(metadata!J615="",FALSE,ISNUMBER(VALUE(metadata!J615)))</f>
        <v>0</v>
      </c>
      <c r="AL615" t="b">
        <f>AND(IF(metadata!K615="",FALSE,TRUE),EXACT(metadata!K615,"cm"))</f>
        <v>0</v>
      </c>
      <c r="AM615" t="b">
        <f>AND(IF(metadata!L615="",FALSE,TRUE),EXACT(metadata!L615,"human"))</f>
        <v>0</v>
      </c>
      <c r="AN615" t="b">
        <f>AND(IF(metadata!M615="",FALSE,TRUE),EXACT(metadata!M615,"Homo sapiens"))</f>
        <v>0</v>
      </c>
      <c r="AO615" t="b">
        <f>AND(IF(metadata!N615="",FALSE,TRUE),EXACT(metadata!N615,"9606"))</f>
        <v>0</v>
      </c>
      <c r="AP615" t="b">
        <f>IF(metadata!O615="",FALSE,TRUE)</f>
        <v>0</v>
      </c>
      <c r="AQ615" t="b">
        <f>IF(metadata!P615="",FALSE,TRUE)</f>
        <v>0</v>
      </c>
      <c r="AR615" t="b">
        <f>IF(metadata!Q615="",FALSE,ISNUMBER(VALUE(metadata!Q615)))</f>
        <v>0</v>
      </c>
      <c r="AS615" t="b">
        <f>AND(IF(metadata!R615="",FALSE,TRUE),EXACT(metadata!R615,"kg"))</f>
        <v>0</v>
      </c>
    </row>
    <row r="616" spans="1:45" x14ac:dyDescent="0.2">
      <c r="A616" s="5" t="str">
        <f ca="1">IF(B616=" "," ",HYPERLINK(CONCATENATE("#metadata!",ADDRESS(INDEX($X$2:$X$1001,MATCH(ROWS($V$2:V616),$V$2:$V$1001,0),0),1)),INDEX($AA$2:$AA$1001,MATCH(ROWS($V$2:V616),$V$2:$V$1001,0),0)))</f>
        <v xml:space="preserve"> </v>
      </c>
      <c r="B616" s="4" t="str">
        <f ca="1">IF(OR(INDEX($W$2:$W$1001,MATCH(ROWS($V$2:V616),$V$2:$V$1001,0),1)&gt;=100000,INDEX($AC$1005:$AS$1005,1,MATCH(COLUMNS($AC$1006:AC1006),$AC$1006:$AS$1006,0))&gt;=100000), " ",IF(INDEX($AC$2:$AS$1001,MATCH(ROWS($V$2:V616),$V$2:$V$1001,0),MATCH(COLUMNS($AC$1006:AC1006),$AC$1006:$AS$1006,0)), HYPERLINK("#",""), HYPERLINK(CONCATENATE("#metadata!", ADDRESS(INDEX($X$2:$X$1001,MATCH(ROWS($V$2:V616),$V$2:$V$1001,0),0), INDEX($AC$1004:$AS$1004,1,MATCH(COLUMNS($AC$1006:AC1006),$AC$1006:$AS$1006,0)))),"Fix")))</f>
        <v xml:space="preserve"> </v>
      </c>
      <c r="C616" s="4" t="str">
        <f ca="1">IF(OR(INDEX($W$2:$W$1001,MATCH(ROWS($V$2:V616),$V$2:$V$1001,0),1)&gt;=100000,INDEX($AC$1005:$AS$1005,1,MATCH(COLUMNS($AC$1006:AD1006),$AC$1006:$AS$1006,0))&gt;=100000), " ",IF(INDEX($AC$2:$AS$1001,MATCH(ROWS($V$2:V616),$V$2:$V$1001,0),MATCH(COLUMNS($AC$1006:AD1006),$AC$1006:$AS$1006,0)), HYPERLINK("#",""), HYPERLINK(CONCATENATE("#metadata!", ADDRESS(INDEX($X$2:$X$1001,MATCH(ROWS($V$2:V616),$V$2:$V$1001,0),0), INDEX($AC$1004:$AS$1004,1,MATCH(COLUMNS($AC$1006:AD1006),$AC$1006:$AS$1006,0)))),"Fix")))</f>
        <v xml:space="preserve"> </v>
      </c>
      <c r="D616" s="4" t="str">
        <f ca="1">IF(OR(INDEX($W$2:$W$1001,MATCH(ROWS($V$2:V616),$V$2:$V$1001,0),1)&gt;=100000,INDEX($AC$1005:$AS$1005,1,MATCH(COLUMNS($AC$1006:AE1006),$AC$1006:$AS$1006,0))&gt;=100000), " ",IF(INDEX($AC$2:$AS$1001,MATCH(ROWS($V$2:V616),$V$2:$V$1001,0),MATCH(COLUMNS($AC$1006:AE1006),$AC$1006:$AS$1006,0)), HYPERLINK("#",""), HYPERLINK(CONCATENATE("#metadata!", ADDRESS(INDEX($X$2:$X$1001,MATCH(ROWS($V$2:V616),$V$2:$V$1001,0),0), INDEX($AC$1004:$AS$1004,1,MATCH(COLUMNS($AC$1006:AE1006),$AC$1006:$AS$1006,0)))),"Fix")))</f>
        <v xml:space="preserve"> </v>
      </c>
      <c r="E616" s="4" t="str">
        <f ca="1">IF(OR(INDEX($W$2:$W$1001,MATCH(ROWS($V$2:V616),$V$2:$V$1001,0),1)&gt;=100000,INDEX($AC$1005:$AS$1005,1,MATCH(COLUMNS($AC$1006:AF1006),$AC$1006:$AS$1006,0))&gt;=100000), " ",IF(INDEX($AC$2:$AS$1001,MATCH(ROWS($V$2:V616),$V$2:$V$1001,0),MATCH(COLUMNS($AC$1006:AF1006),$AC$1006:$AS$1006,0)), HYPERLINK("#",""), HYPERLINK(CONCATENATE("#metadata!", ADDRESS(INDEX($X$2:$X$1001,MATCH(ROWS($V$2:V616),$V$2:$V$1001,0),0), INDEX($AC$1004:$AS$1004,1,MATCH(COLUMNS($AC$1006:AF1006),$AC$1006:$AS$1006,0)))),"Fix")))</f>
        <v xml:space="preserve"> </v>
      </c>
      <c r="F616" s="4" t="str">
        <f ca="1">IF(OR(INDEX($W$2:$W$1001,MATCH(ROWS($V$2:V616),$V$2:$V$1001,0),1)&gt;=100000,INDEX($AC$1005:$AS$1005,1,MATCH(COLUMNS($AC$1006:AG1006),$AC$1006:$AS$1006,0))&gt;=100000), " ",IF(INDEX($AC$2:$AS$1001,MATCH(ROWS($V$2:V616),$V$2:$V$1001,0),MATCH(COLUMNS($AC$1006:AG1006),$AC$1006:$AS$1006,0)), HYPERLINK("#",""), HYPERLINK(CONCATENATE("#metadata!", ADDRESS(INDEX($X$2:$X$1001,MATCH(ROWS($V$2:V616),$V$2:$V$1001,0),0), INDEX($AC$1004:$AS$1004,1,MATCH(COLUMNS($AC$1006:AG1006),$AC$1006:$AS$1006,0)))),"Fix")))</f>
        <v xml:space="preserve"> </v>
      </c>
      <c r="G616" s="4" t="str">
        <f ca="1">IF(OR(INDEX($W$2:$W$1001,MATCH(ROWS($V$2:V616),$V$2:$V$1001,0),1)&gt;=100000,INDEX($AC$1005:$AS$1005,1,MATCH(COLUMNS($AC$1006:AH1006),$AC$1006:$AS$1006,0))&gt;=100000), " ",IF(INDEX($AC$2:$AS$1001,MATCH(ROWS($V$2:V616),$V$2:$V$1001,0),MATCH(COLUMNS($AC$1006:AH1006),$AC$1006:$AS$1006,0)), HYPERLINK("#",""), HYPERLINK(CONCATENATE("#metadata!", ADDRESS(INDEX($X$2:$X$1001,MATCH(ROWS($V$2:V616),$V$2:$V$1001,0),0), INDEX($AC$1004:$AS$1004,1,MATCH(COLUMNS($AC$1006:AH1006),$AC$1006:$AS$1006,0)))),"Fix")))</f>
        <v xml:space="preserve"> </v>
      </c>
      <c r="H616" s="4" t="str">
        <f ca="1">IF(OR(INDEX($W$2:$W$1001,MATCH(ROWS($V$2:V616),$V$2:$V$1001,0),1)&gt;=100000,INDEX($AC$1005:$AS$1005,1,MATCH(COLUMNS($AC$1006:AI1006),$AC$1006:$AS$1006,0))&gt;=100000), " ",IF(INDEX($AC$2:$AS$1001,MATCH(ROWS($V$2:V616),$V$2:$V$1001,0),MATCH(COLUMNS($AC$1006:AI1006),$AC$1006:$AS$1006,0)), HYPERLINK("#",""), HYPERLINK(CONCATENATE("#metadata!", ADDRESS(INDEX($X$2:$X$1001,MATCH(ROWS($V$2:V616),$V$2:$V$1001,0),0), INDEX($AC$1004:$AS$1004,1,MATCH(COLUMNS($AC$1006:AI1006),$AC$1006:$AS$1006,0)))),"Fix")))</f>
        <v xml:space="preserve"> </v>
      </c>
      <c r="I616" s="4" t="str">
        <f ca="1">IF(OR(INDEX($W$2:$W$1001,MATCH(ROWS($V$2:V616),$V$2:$V$1001,0),1)&gt;=100000,INDEX($AC$1005:$AS$1005,1,MATCH(COLUMNS($AC$1006:AJ1006),$AC$1006:$AS$1006,0))&gt;=100000), " ",IF(INDEX($AC$2:$AS$1001,MATCH(ROWS($V$2:V616),$V$2:$V$1001,0),MATCH(COLUMNS($AC$1006:AJ1006),$AC$1006:$AS$1006,0)), HYPERLINK("#",""), HYPERLINK(CONCATENATE("#metadata!", ADDRESS(INDEX($X$2:$X$1001,MATCH(ROWS($V$2:V616),$V$2:$V$1001,0),0), INDEX($AC$1004:$AS$1004,1,MATCH(COLUMNS($AC$1006:AJ1006),$AC$1006:$AS$1006,0)))),"Fix")))</f>
        <v xml:space="preserve"> </v>
      </c>
      <c r="J616" s="4" t="str">
        <f ca="1">IF(OR(INDEX($W$2:$W$1001,MATCH(ROWS($V$2:V616),$V$2:$V$1001,0),1)&gt;=100000,INDEX($AC$1005:$AS$1005,1,MATCH(COLUMNS($AC$1006:AK1006),$AC$1006:$AS$1006,0))&gt;=100000), " ",IF(INDEX($AC$2:$AS$1001,MATCH(ROWS($V$2:V616),$V$2:$V$1001,0),MATCH(COLUMNS($AC$1006:AK1006),$AC$1006:$AS$1006,0)), HYPERLINK("#",""), HYPERLINK(CONCATENATE("#metadata!", ADDRESS(INDEX($X$2:$X$1001,MATCH(ROWS($V$2:V616),$V$2:$V$1001,0),0), INDEX($AC$1004:$AS$1004,1,MATCH(COLUMNS($AC$1006:AK1006),$AC$1006:$AS$1006,0)))),"Fix")))</f>
        <v xml:space="preserve"> </v>
      </c>
      <c r="K616" s="4" t="str">
        <f ca="1">IF(OR(INDEX($W$2:$W$1001,MATCH(ROWS($V$2:V616),$V$2:$V$1001,0),1)&gt;=100000,INDEX($AC$1005:$AS$1005,1,MATCH(COLUMNS($AC$1006:AL1006),$AC$1006:$AS$1006,0))&gt;=100000), " ",IF(INDEX($AC$2:$AS$1001,MATCH(ROWS($V$2:V616),$V$2:$V$1001,0),MATCH(COLUMNS($AC$1006:AL1006),$AC$1006:$AS$1006,0)), HYPERLINK("#",""), HYPERLINK(CONCATENATE("#metadata!", ADDRESS(INDEX($X$2:$X$1001,MATCH(ROWS($V$2:V616),$V$2:$V$1001,0),0), INDEX($AC$1004:$AS$1004,1,MATCH(COLUMNS($AC$1006:AL1006),$AC$1006:$AS$1006,0)))),"Fix")))</f>
        <v xml:space="preserve"> </v>
      </c>
      <c r="L616" s="4" t="str">
        <f ca="1">IF(OR(INDEX($W$2:$W$1001,MATCH(ROWS($V$2:V616),$V$2:$V$1001,0),1)&gt;=100000,INDEX($AC$1005:$AS$1005,1,MATCH(COLUMNS($AC$1006:AM1006),$AC$1006:$AS$1006,0))&gt;=100000), " ",IF(INDEX($AC$2:$AS$1001,MATCH(ROWS($V$2:V616),$V$2:$V$1001,0),MATCH(COLUMNS($AC$1006:AM1006),$AC$1006:$AS$1006,0)), HYPERLINK("#",""), HYPERLINK(CONCATENATE("#metadata!", ADDRESS(INDEX($X$2:$X$1001,MATCH(ROWS($V$2:V616),$V$2:$V$1001,0),0), INDEX($AC$1004:$AS$1004,1,MATCH(COLUMNS($AC$1006:AM1006),$AC$1006:$AS$1006,0)))),"Fix")))</f>
        <v xml:space="preserve"> </v>
      </c>
      <c r="M616" s="4" t="str">
        <f ca="1">IF(OR(INDEX($W$2:$W$1001,MATCH(ROWS($V$2:V616),$V$2:$V$1001,0),1)&gt;=100000,INDEX($AC$1005:$AS$1005,1,MATCH(COLUMNS($AC$1006:AN1006),$AC$1006:$AS$1006,0))&gt;=100000), " ",IF(INDEX($AC$2:$AS$1001,MATCH(ROWS($V$2:V616),$V$2:$V$1001,0),MATCH(COLUMNS($AC$1006:AN1006),$AC$1006:$AS$1006,0)), HYPERLINK("#",""), HYPERLINK(CONCATENATE("#metadata!", ADDRESS(INDEX($X$2:$X$1001,MATCH(ROWS($V$2:V616),$V$2:$V$1001,0),0), INDEX($AC$1004:$AS$1004,1,MATCH(COLUMNS($AC$1006:AN1006),$AC$1006:$AS$1006,0)))),"Fix")))</f>
        <v xml:space="preserve"> </v>
      </c>
      <c r="N616" s="4" t="str">
        <f ca="1">IF(OR(INDEX($W$2:$W$1001,MATCH(ROWS($V$2:V616),$V$2:$V$1001,0),1)&gt;=100000,INDEX($AC$1005:$AS$1005,1,MATCH(COLUMNS($AC$1006:AO1006),$AC$1006:$AS$1006,0))&gt;=100000), " ",IF(INDEX($AC$2:$AS$1001,MATCH(ROWS($V$2:V616),$V$2:$V$1001,0),MATCH(COLUMNS($AC$1006:AO1006),$AC$1006:$AS$1006,0)), HYPERLINK("#",""), HYPERLINK(CONCATENATE("#metadata!", ADDRESS(INDEX($X$2:$X$1001,MATCH(ROWS($V$2:V616),$V$2:$V$1001,0),0), INDEX($AC$1004:$AS$1004,1,MATCH(COLUMNS($AC$1006:AO1006),$AC$1006:$AS$1006,0)))),"Fix")))</f>
        <v xml:space="preserve"> </v>
      </c>
      <c r="O616" s="4" t="str">
        <f ca="1">IF(OR(INDEX($W$2:$W$1001,MATCH(ROWS($V$2:V616),$V$2:$V$1001,0),1)&gt;=100000,INDEX($AC$1005:$AS$1005,1,MATCH(COLUMNS($AC$1006:AP1006),$AC$1006:$AS$1006,0))&gt;=100000), " ",IF(INDEX($AC$2:$AS$1001,MATCH(ROWS($V$2:V616),$V$2:$V$1001,0),MATCH(COLUMNS($AC$1006:AP1006),$AC$1006:$AS$1006,0)), HYPERLINK("#",""), HYPERLINK(CONCATENATE("#metadata!", ADDRESS(INDEX($X$2:$X$1001,MATCH(ROWS($V$2:V616),$V$2:$V$1001,0),0), INDEX($AC$1004:$AS$1004,1,MATCH(COLUMNS($AC$1006:AP1006),$AC$1006:$AS$1006,0)))),"Fix")))</f>
        <v xml:space="preserve"> </v>
      </c>
      <c r="P616" s="4" t="str">
        <f ca="1">IF(OR(INDEX($W$2:$W$1001,MATCH(ROWS($V$2:V616),$V$2:$V$1001,0),1)&gt;=100000,INDEX($AC$1005:$AS$1005,1,MATCH(COLUMNS($AC$1006:AQ1006),$AC$1006:$AS$1006,0))&gt;=100000), " ",IF(INDEX($AC$2:$AS$1001,MATCH(ROWS($V$2:V616),$V$2:$V$1001,0),MATCH(COLUMNS($AC$1006:AQ1006),$AC$1006:$AS$1006,0)), HYPERLINK("#",""), HYPERLINK(CONCATENATE("#metadata!", ADDRESS(INDEX($X$2:$X$1001,MATCH(ROWS($V$2:V616),$V$2:$V$1001,0),0), INDEX($AC$1004:$AS$1004,1,MATCH(COLUMNS($AC$1006:AQ1006),$AC$1006:$AS$1006,0)))),"Fix")))</f>
        <v xml:space="preserve"> </v>
      </c>
      <c r="Q616" s="4" t="str">
        <f ca="1">IF(OR(INDEX($W$2:$W$1001,MATCH(ROWS($V$2:V616),$V$2:$V$1001,0),1)&gt;=100000,INDEX($AC$1005:$AS$1005,1,MATCH(COLUMNS($AC$1006:AR1006),$AC$1006:$AS$1006,0))&gt;=100000), " ",IF(INDEX($AC$2:$AS$1001,MATCH(ROWS($V$2:V616),$V$2:$V$1001,0),MATCH(COLUMNS($AC$1006:AR1006),$AC$1006:$AS$1006,0)), HYPERLINK("#",""), HYPERLINK(CONCATENATE("#metadata!", ADDRESS(INDEX($X$2:$X$1001,MATCH(ROWS($V$2:V616),$V$2:$V$1001,0),0), INDEX($AC$1004:$AS$1004,1,MATCH(COLUMNS($AC$1006:AR1006),$AC$1006:$AS$1006,0)))),"Fix")))</f>
        <v xml:space="preserve"> </v>
      </c>
      <c r="R616" s="4" t="str">
        <f ca="1">IF(OR(INDEX($W$2:$W$1001,MATCH(ROWS($V$2:V616),$V$2:$V$1001,0),1)&gt;=100000,INDEX($AC$1005:$AS$1005,1,MATCH(COLUMNS($AC$1006:AS1006),$AC$1006:$AS$1006,0))&gt;=100000), " ",IF(INDEX($AC$2:$AS$1001,MATCH(ROWS($V$2:V616),$V$2:$V$1001,0),MATCH(COLUMNS($AC$1006:AS1006),$AC$1006:$AS$1006,0)), HYPERLINK("#",""), HYPERLINK(CONCATENATE("#metadata!", ADDRESS(INDEX($X$2:$X$1001,MATCH(ROWS($V$2:V616),$V$2:$V$1001,0),0), INDEX($AC$1004:$AS$1004,1,MATCH(COLUMNS($AC$1006:AS1006),$AC$1006:$AS$1006,0)))),"Fix")))</f>
        <v xml:space="preserve"> </v>
      </c>
      <c r="V616">
        <v>615</v>
      </c>
      <c r="W616">
        <v>100616</v>
      </c>
      <c r="X616">
        <v>616</v>
      </c>
      <c r="Y616" t="b">
        <f t="shared" si="9"/>
        <v>1</v>
      </c>
      <c r="Z616" t="b">
        <f>COUNTBLANK(metadata!B616:R616)=COLUMNS(metadata!B616:R616)</f>
        <v>1</v>
      </c>
      <c r="AA616" t="str">
        <v/>
      </c>
      <c r="AC616" t="b">
        <f ca="1"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AD616" t="b">
        <f>IF(metadata!C616="",FALSE,ISNUMBER(VALUE(metadata!C616)))</f>
        <v>0</v>
      </c>
      <c r="AE616" t="b">
        <f>AND(IF(metadata!D616="",FALSE,TRUE),EXACT(metadata!D616,"years"))</f>
        <v>0</v>
      </c>
      <c r="AF616" t="b">
        <f>OR(AND(IF(metadata!E616="",FALSE,TRUE),OR(EXACT(metadata!E616,"not applicable"),EXACT(metadata!E616,"missing: not collected"),EXACT(metadata!E616,"missing: not provided"),EXACT(metadata!E616,"missing: restricted access"))),AND(IF(metadata!E616="",FALSE,ISNUMBER(VALUE(metadata!E616))),metadata!E616&gt;0))</f>
        <v>0</v>
      </c>
      <c r="AG616" t="b">
        <f>AND(IF(metadata!F616="",FALSE,TRUE),EXACT(metadata!F616,"Not applicable"))</f>
        <v>0</v>
      </c>
      <c r="AH616" t="b">
        <f>AND(IF(metadata!G616="",FALSE,TRUE),EXACT(metadata!G616,"urban biome"))</f>
        <v>0</v>
      </c>
      <c r="AI616" t="b">
        <f>AND(IF(metadata!H616="",FALSE,TRUE),EXACT(metadata!H616,"human-associated habitat"))</f>
        <v>0</v>
      </c>
      <c r="AJ616" t="b">
        <f>AND(IF(metadata!I616="",FALSE,TRUE),OR(EXACT(metadata!I616,"human-associated"),EXACT(metadata!I616,"human-skin"),EXACT(metadata!I616,"human-oral"),EXACT(metadata!I616,"human-gut"),EXACT(metadata!I616,"human-vaginal")))</f>
        <v>0</v>
      </c>
      <c r="AK616" t="b">
        <f>IF(metadata!J616="",FALSE,ISNUMBER(VALUE(metadata!J616)))</f>
        <v>0</v>
      </c>
      <c r="AL616" t="b">
        <f>AND(IF(metadata!K616="",FALSE,TRUE),EXACT(metadata!K616,"cm"))</f>
        <v>0</v>
      </c>
      <c r="AM616" t="b">
        <f>AND(IF(metadata!L616="",FALSE,TRUE),EXACT(metadata!L616,"human"))</f>
        <v>0</v>
      </c>
      <c r="AN616" t="b">
        <f>AND(IF(metadata!M616="",FALSE,TRUE),EXACT(metadata!M616,"Homo sapiens"))</f>
        <v>0</v>
      </c>
      <c r="AO616" t="b">
        <f>AND(IF(metadata!N616="",FALSE,TRUE),EXACT(metadata!N616,"9606"))</f>
        <v>0</v>
      </c>
      <c r="AP616" t="b">
        <f>IF(metadata!O616="",FALSE,TRUE)</f>
        <v>0</v>
      </c>
      <c r="AQ616" t="b">
        <f>IF(metadata!P616="",FALSE,TRUE)</f>
        <v>0</v>
      </c>
      <c r="AR616" t="b">
        <f>IF(metadata!Q616="",FALSE,ISNUMBER(VALUE(metadata!Q616)))</f>
        <v>0</v>
      </c>
      <c r="AS616" t="b">
        <f>AND(IF(metadata!R616="",FALSE,TRUE),EXACT(metadata!R616,"kg"))</f>
        <v>0</v>
      </c>
    </row>
    <row r="617" spans="1:45" x14ac:dyDescent="0.2">
      <c r="A617" s="5" t="str">
        <f ca="1">IF(B617=" "," ",HYPERLINK(CONCATENATE("#metadata!",ADDRESS(INDEX($X$2:$X$1001,MATCH(ROWS($V$2:V617),$V$2:$V$1001,0),0),1)),INDEX($AA$2:$AA$1001,MATCH(ROWS($V$2:V617),$V$2:$V$1001,0),0)))</f>
        <v xml:space="preserve"> </v>
      </c>
      <c r="B617" s="4" t="str">
        <f ca="1">IF(OR(INDEX($W$2:$W$1001,MATCH(ROWS($V$2:V617),$V$2:$V$1001,0),1)&gt;=100000,INDEX($AC$1005:$AS$1005,1,MATCH(COLUMNS($AC$1006:AC1006),$AC$1006:$AS$1006,0))&gt;=100000), " ",IF(INDEX($AC$2:$AS$1001,MATCH(ROWS($V$2:V617),$V$2:$V$1001,0),MATCH(COLUMNS($AC$1006:AC1006),$AC$1006:$AS$1006,0)), HYPERLINK("#",""), HYPERLINK(CONCATENATE("#metadata!", ADDRESS(INDEX($X$2:$X$1001,MATCH(ROWS($V$2:V617),$V$2:$V$1001,0),0), INDEX($AC$1004:$AS$1004,1,MATCH(COLUMNS($AC$1006:AC1006),$AC$1006:$AS$1006,0)))),"Fix")))</f>
        <v xml:space="preserve"> </v>
      </c>
      <c r="C617" s="4" t="str">
        <f ca="1">IF(OR(INDEX($W$2:$W$1001,MATCH(ROWS($V$2:V617),$V$2:$V$1001,0),1)&gt;=100000,INDEX($AC$1005:$AS$1005,1,MATCH(COLUMNS($AC$1006:AD1006),$AC$1006:$AS$1006,0))&gt;=100000), " ",IF(INDEX($AC$2:$AS$1001,MATCH(ROWS($V$2:V617),$V$2:$V$1001,0),MATCH(COLUMNS($AC$1006:AD1006),$AC$1006:$AS$1006,0)), HYPERLINK("#",""), HYPERLINK(CONCATENATE("#metadata!", ADDRESS(INDEX($X$2:$X$1001,MATCH(ROWS($V$2:V617),$V$2:$V$1001,0),0), INDEX($AC$1004:$AS$1004,1,MATCH(COLUMNS($AC$1006:AD1006),$AC$1006:$AS$1006,0)))),"Fix")))</f>
        <v xml:space="preserve"> </v>
      </c>
      <c r="D617" s="4" t="str">
        <f ca="1">IF(OR(INDEX($W$2:$W$1001,MATCH(ROWS($V$2:V617),$V$2:$V$1001,0),1)&gt;=100000,INDEX($AC$1005:$AS$1005,1,MATCH(COLUMNS($AC$1006:AE1006),$AC$1006:$AS$1006,0))&gt;=100000), " ",IF(INDEX($AC$2:$AS$1001,MATCH(ROWS($V$2:V617),$V$2:$V$1001,0),MATCH(COLUMNS($AC$1006:AE1006),$AC$1006:$AS$1006,0)), HYPERLINK("#",""), HYPERLINK(CONCATENATE("#metadata!", ADDRESS(INDEX($X$2:$X$1001,MATCH(ROWS($V$2:V617),$V$2:$V$1001,0),0), INDEX($AC$1004:$AS$1004,1,MATCH(COLUMNS($AC$1006:AE1006),$AC$1006:$AS$1006,0)))),"Fix")))</f>
        <v xml:space="preserve"> </v>
      </c>
      <c r="E617" s="4" t="str">
        <f ca="1">IF(OR(INDEX($W$2:$W$1001,MATCH(ROWS($V$2:V617),$V$2:$V$1001,0),1)&gt;=100000,INDEX($AC$1005:$AS$1005,1,MATCH(COLUMNS($AC$1006:AF1006),$AC$1006:$AS$1006,0))&gt;=100000), " ",IF(INDEX($AC$2:$AS$1001,MATCH(ROWS($V$2:V617),$V$2:$V$1001,0),MATCH(COLUMNS($AC$1006:AF1006),$AC$1006:$AS$1006,0)), HYPERLINK("#",""), HYPERLINK(CONCATENATE("#metadata!", ADDRESS(INDEX($X$2:$X$1001,MATCH(ROWS($V$2:V617),$V$2:$V$1001,0),0), INDEX($AC$1004:$AS$1004,1,MATCH(COLUMNS($AC$1006:AF1006),$AC$1006:$AS$1006,0)))),"Fix")))</f>
        <v xml:space="preserve"> </v>
      </c>
      <c r="F617" s="4" t="str">
        <f ca="1">IF(OR(INDEX($W$2:$W$1001,MATCH(ROWS($V$2:V617),$V$2:$V$1001,0),1)&gt;=100000,INDEX($AC$1005:$AS$1005,1,MATCH(COLUMNS($AC$1006:AG1006),$AC$1006:$AS$1006,0))&gt;=100000), " ",IF(INDEX($AC$2:$AS$1001,MATCH(ROWS($V$2:V617),$V$2:$V$1001,0),MATCH(COLUMNS($AC$1006:AG1006),$AC$1006:$AS$1006,0)), HYPERLINK("#",""), HYPERLINK(CONCATENATE("#metadata!", ADDRESS(INDEX($X$2:$X$1001,MATCH(ROWS($V$2:V617),$V$2:$V$1001,0),0), INDEX($AC$1004:$AS$1004,1,MATCH(COLUMNS($AC$1006:AG1006),$AC$1006:$AS$1006,0)))),"Fix")))</f>
        <v xml:space="preserve"> </v>
      </c>
      <c r="G617" s="4" t="str">
        <f ca="1">IF(OR(INDEX($W$2:$W$1001,MATCH(ROWS($V$2:V617),$V$2:$V$1001,0),1)&gt;=100000,INDEX($AC$1005:$AS$1005,1,MATCH(COLUMNS($AC$1006:AH1006),$AC$1006:$AS$1006,0))&gt;=100000), " ",IF(INDEX($AC$2:$AS$1001,MATCH(ROWS($V$2:V617),$V$2:$V$1001,0),MATCH(COLUMNS($AC$1006:AH1006),$AC$1006:$AS$1006,0)), HYPERLINK("#",""), HYPERLINK(CONCATENATE("#metadata!", ADDRESS(INDEX($X$2:$X$1001,MATCH(ROWS($V$2:V617),$V$2:$V$1001,0),0), INDEX($AC$1004:$AS$1004,1,MATCH(COLUMNS($AC$1006:AH1006),$AC$1006:$AS$1006,0)))),"Fix")))</f>
        <v xml:space="preserve"> </v>
      </c>
      <c r="H617" s="4" t="str">
        <f ca="1">IF(OR(INDEX($W$2:$W$1001,MATCH(ROWS($V$2:V617),$V$2:$V$1001,0),1)&gt;=100000,INDEX($AC$1005:$AS$1005,1,MATCH(COLUMNS($AC$1006:AI1006),$AC$1006:$AS$1006,0))&gt;=100000), " ",IF(INDEX($AC$2:$AS$1001,MATCH(ROWS($V$2:V617),$V$2:$V$1001,0),MATCH(COLUMNS($AC$1006:AI1006),$AC$1006:$AS$1006,0)), HYPERLINK("#",""), HYPERLINK(CONCATENATE("#metadata!", ADDRESS(INDEX($X$2:$X$1001,MATCH(ROWS($V$2:V617),$V$2:$V$1001,0),0), INDEX($AC$1004:$AS$1004,1,MATCH(COLUMNS($AC$1006:AI1006),$AC$1006:$AS$1006,0)))),"Fix")))</f>
        <v xml:space="preserve"> </v>
      </c>
      <c r="I617" s="4" t="str">
        <f ca="1">IF(OR(INDEX($W$2:$W$1001,MATCH(ROWS($V$2:V617),$V$2:$V$1001,0),1)&gt;=100000,INDEX($AC$1005:$AS$1005,1,MATCH(COLUMNS($AC$1006:AJ1006),$AC$1006:$AS$1006,0))&gt;=100000), " ",IF(INDEX($AC$2:$AS$1001,MATCH(ROWS($V$2:V617),$V$2:$V$1001,0),MATCH(COLUMNS($AC$1006:AJ1006),$AC$1006:$AS$1006,0)), HYPERLINK("#",""), HYPERLINK(CONCATENATE("#metadata!", ADDRESS(INDEX($X$2:$X$1001,MATCH(ROWS($V$2:V617),$V$2:$V$1001,0),0), INDEX($AC$1004:$AS$1004,1,MATCH(COLUMNS($AC$1006:AJ1006),$AC$1006:$AS$1006,0)))),"Fix")))</f>
        <v xml:space="preserve"> </v>
      </c>
      <c r="J617" s="4" t="str">
        <f ca="1">IF(OR(INDEX($W$2:$W$1001,MATCH(ROWS($V$2:V617),$V$2:$V$1001,0),1)&gt;=100000,INDEX($AC$1005:$AS$1005,1,MATCH(COLUMNS($AC$1006:AK1006),$AC$1006:$AS$1006,0))&gt;=100000), " ",IF(INDEX($AC$2:$AS$1001,MATCH(ROWS($V$2:V617),$V$2:$V$1001,0),MATCH(COLUMNS($AC$1006:AK1006),$AC$1006:$AS$1006,0)), HYPERLINK("#",""), HYPERLINK(CONCATENATE("#metadata!", ADDRESS(INDEX($X$2:$X$1001,MATCH(ROWS($V$2:V617),$V$2:$V$1001,0),0), INDEX($AC$1004:$AS$1004,1,MATCH(COLUMNS($AC$1006:AK1006),$AC$1006:$AS$1006,0)))),"Fix")))</f>
        <v xml:space="preserve"> </v>
      </c>
      <c r="K617" s="4" t="str">
        <f ca="1">IF(OR(INDEX($W$2:$W$1001,MATCH(ROWS($V$2:V617),$V$2:$V$1001,0),1)&gt;=100000,INDEX($AC$1005:$AS$1005,1,MATCH(COLUMNS($AC$1006:AL1006),$AC$1006:$AS$1006,0))&gt;=100000), " ",IF(INDEX($AC$2:$AS$1001,MATCH(ROWS($V$2:V617),$V$2:$V$1001,0),MATCH(COLUMNS($AC$1006:AL1006),$AC$1006:$AS$1006,0)), HYPERLINK("#",""), HYPERLINK(CONCATENATE("#metadata!", ADDRESS(INDEX($X$2:$X$1001,MATCH(ROWS($V$2:V617),$V$2:$V$1001,0),0), INDEX($AC$1004:$AS$1004,1,MATCH(COLUMNS($AC$1006:AL1006),$AC$1006:$AS$1006,0)))),"Fix")))</f>
        <v xml:space="preserve"> </v>
      </c>
      <c r="L617" s="4" t="str">
        <f ca="1">IF(OR(INDEX($W$2:$W$1001,MATCH(ROWS($V$2:V617),$V$2:$V$1001,0),1)&gt;=100000,INDEX($AC$1005:$AS$1005,1,MATCH(COLUMNS($AC$1006:AM1006),$AC$1006:$AS$1006,0))&gt;=100000), " ",IF(INDEX($AC$2:$AS$1001,MATCH(ROWS($V$2:V617),$V$2:$V$1001,0),MATCH(COLUMNS($AC$1006:AM1006),$AC$1006:$AS$1006,0)), HYPERLINK("#",""), HYPERLINK(CONCATENATE("#metadata!", ADDRESS(INDEX($X$2:$X$1001,MATCH(ROWS($V$2:V617),$V$2:$V$1001,0),0), INDEX($AC$1004:$AS$1004,1,MATCH(COLUMNS($AC$1006:AM1006),$AC$1006:$AS$1006,0)))),"Fix")))</f>
        <v xml:space="preserve"> </v>
      </c>
      <c r="M617" s="4" t="str">
        <f ca="1">IF(OR(INDEX($W$2:$W$1001,MATCH(ROWS($V$2:V617),$V$2:$V$1001,0),1)&gt;=100000,INDEX($AC$1005:$AS$1005,1,MATCH(COLUMNS($AC$1006:AN1006),$AC$1006:$AS$1006,0))&gt;=100000), " ",IF(INDEX($AC$2:$AS$1001,MATCH(ROWS($V$2:V617),$V$2:$V$1001,0),MATCH(COLUMNS($AC$1006:AN1006),$AC$1006:$AS$1006,0)), HYPERLINK("#",""), HYPERLINK(CONCATENATE("#metadata!", ADDRESS(INDEX($X$2:$X$1001,MATCH(ROWS($V$2:V617),$V$2:$V$1001,0),0), INDEX($AC$1004:$AS$1004,1,MATCH(COLUMNS($AC$1006:AN1006),$AC$1006:$AS$1006,0)))),"Fix")))</f>
        <v xml:space="preserve"> </v>
      </c>
      <c r="N617" s="4" t="str">
        <f ca="1">IF(OR(INDEX($W$2:$W$1001,MATCH(ROWS($V$2:V617),$V$2:$V$1001,0),1)&gt;=100000,INDEX($AC$1005:$AS$1005,1,MATCH(COLUMNS($AC$1006:AO1006),$AC$1006:$AS$1006,0))&gt;=100000), " ",IF(INDEX($AC$2:$AS$1001,MATCH(ROWS($V$2:V617),$V$2:$V$1001,0),MATCH(COLUMNS($AC$1006:AO1006),$AC$1006:$AS$1006,0)), HYPERLINK("#",""), HYPERLINK(CONCATENATE("#metadata!", ADDRESS(INDEX($X$2:$X$1001,MATCH(ROWS($V$2:V617),$V$2:$V$1001,0),0), INDEX($AC$1004:$AS$1004,1,MATCH(COLUMNS($AC$1006:AO1006),$AC$1006:$AS$1006,0)))),"Fix")))</f>
        <v xml:space="preserve"> </v>
      </c>
      <c r="O617" s="4" t="str">
        <f ca="1">IF(OR(INDEX($W$2:$W$1001,MATCH(ROWS($V$2:V617),$V$2:$V$1001,0),1)&gt;=100000,INDEX($AC$1005:$AS$1005,1,MATCH(COLUMNS($AC$1006:AP1006),$AC$1006:$AS$1006,0))&gt;=100000), " ",IF(INDEX($AC$2:$AS$1001,MATCH(ROWS($V$2:V617),$V$2:$V$1001,0),MATCH(COLUMNS($AC$1006:AP1006),$AC$1006:$AS$1006,0)), HYPERLINK("#",""), HYPERLINK(CONCATENATE("#metadata!", ADDRESS(INDEX($X$2:$X$1001,MATCH(ROWS($V$2:V617),$V$2:$V$1001,0),0), INDEX($AC$1004:$AS$1004,1,MATCH(COLUMNS($AC$1006:AP1006),$AC$1006:$AS$1006,0)))),"Fix")))</f>
        <v xml:space="preserve"> </v>
      </c>
      <c r="P617" s="4" t="str">
        <f ca="1">IF(OR(INDEX($W$2:$W$1001,MATCH(ROWS($V$2:V617),$V$2:$V$1001,0),1)&gt;=100000,INDEX($AC$1005:$AS$1005,1,MATCH(COLUMNS($AC$1006:AQ1006),$AC$1006:$AS$1006,0))&gt;=100000), " ",IF(INDEX($AC$2:$AS$1001,MATCH(ROWS($V$2:V617),$V$2:$V$1001,0),MATCH(COLUMNS($AC$1006:AQ1006),$AC$1006:$AS$1006,0)), HYPERLINK("#",""), HYPERLINK(CONCATENATE("#metadata!", ADDRESS(INDEX($X$2:$X$1001,MATCH(ROWS($V$2:V617),$V$2:$V$1001,0),0), INDEX($AC$1004:$AS$1004,1,MATCH(COLUMNS($AC$1006:AQ1006),$AC$1006:$AS$1006,0)))),"Fix")))</f>
        <v xml:space="preserve"> </v>
      </c>
      <c r="Q617" s="4" t="str">
        <f ca="1">IF(OR(INDEX($W$2:$W$1001,MATCH(ROWS($V$2:V617),$V$2:$V$1001,0),1)&gt;=100000,INDEX($AC$1005:$AS$1005,1,MATCH(COLUMNS($AC$1006:AR1006),$AC$1006:$AS$1006,0))&gt;=100000), " ",IF(INDEX($AC$2:$AS$1001,MATCH(ROWS($V$2:V617),$V$2:$V$1001,0),MATCH(COLUMNS($AC$1006:AR1006),$AC$1006:$AS$1006,0)), HYPERLINK("#",""), HYPERLINK(CONCATENATE("#metadata!", ADDRESS(INDEX($X$2:$X$1001,MATCH(ROWS($V$2:V617),$V$2:$V$1001,0),0), INDEX($AC$1004:$AS$1004,1,MATCH(COLUMNS($AC$1006:AR1006),$AC$1006:$AS$1006,0)))),"Fix")))</f>
        <v xml:space="preserve"> </v>
      </c>
      <c r="R617" s="4" t="str">
        <f ca="1">IF(OR(INDEX($W$2:$W$1001,MATCH(ROWS($V$2:V617),$V$2:$V$1001,0),1)&gt;=100000,INDEX($AC$1005:$AS$1005,1,MATCH(COLUMNS($AC$1006:AS1006),$AC$1006:$AS$1006,0))&gt;=100000), " ",IF(INDEX($AC$2:$AS$1001,MATCH(ROWS($V$2:V617),$V$2:$V$1001,0),MATCH(COLUMNS($AC$1006:AS1006),$AC$1006:$AS$1006,0)), HYPERLINK("#",""), HYPERLINK(CONCATENATE("#metadata!", ADDRESS(INDEX($X$2:$X$1001,MATCH(ROWS($V$2:V617),$V$2:$V$1001,0),0), INDEX($AC$1004:$AS$1004,1,MATCH(COLUMNS($AC$1006:AS1006),$AC$1006:$AS$1006,0)))),"Fix")))</f>
        <v xml:space="preserve"> </v>
      </c>
      <c r="V617">
        <v>616</v>
      </c>
      <c r="W617">
        <v>100617</v>
      </c>
      <c r="X617">
        <v>617</v>
      </c>
      <c r="Y617" t="b">
        <f t="shared" si="9"/>
        <v>1</v>
      </c>
      <c r="Z617" t="b">
        <f>COUNTBLANK(metadata!B617:R617)=COLUMNS(metadata!B617:R617)</f>
        <v>1</v>
      </c>
      <c r="AA617" t="str">
        <v/>
      </c>
      <c r="AC617" t="b">
        <f ca="1"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AD617" t="b">
        <f>IF(metadata!C617="",FALSE,ISNUMBER(VALUE(metadata!C617)))</f>
        <v>0</v>
      </c>
      <c r="AE617" t="b">
        <f>AND(IF(metadata!D617="",FALSE,TRUE),EXACT(metadata!D617,"years"))</f>
        <v>0</v>
      </c>
      <c r="AF617" t="b">
        <f>OR(AND(IF(metadata!E617="",FALSE,TRUE),OR(EXACT(metadata!E617,"not applicable"),EXACT(metadata!E617,"missing: not collected"),EXACT(metadata!E617,"missing: not provided"),EXACT(metadata!E617,"missing: restricted access"))),AND(IF(metadata!E617="",FALSE,ISNUMBER(VALUE(metadata!E617))),metadata!E617&gt;0))</f>
        <v>0</v>
      </c>
      <c r="AG617" t="b">
        <f>AND(IF(metadata!F617="",FALSE,TRUE),EXACT(metadata!F617,"Not applicable"))</f>
        <v>0</v>
      </c>
      <c r="AH617" t="b">
        <f>AND(IF(metadata!G617="",FALSE,TRUE),EXACT(metadata!G617,"urban biome"))</f>
        <v>0</v>
      </c>
      <c r="AI617" t="b">
        <f>AND(IF(metadata!H617="",FALSE,TRUE),EXACT(metadata!H617,"human-associated habitat"))</f>
        <v>0</v>
      </c>
      <c r="AJ617" t="b">
        <f>AND(IF(metadata!I617="",FALSE,TRUE),OR(EXACT(metadata!I617,"human-associated"),EXACT(metadata!I617,"human-skin"),EXACT(metadata!I617,"human-oral"),EXACT(metadata!I617,"human-gut"),EXACT(metadata!I617,"human-vaginal")))</f>
        <v>0</v>
      </c>
      <c r="AK617" t="b">
        <f>IF(metadata!J617="",FALSE,ISNUMBER(VALUE(metadata!J617)))</f>
        <v>0</v>
      </c>
      <c r="AL617" t="b">
        <f>AND(IF(metadata!K617="",FALSE,TRUE),EXACT(metadata!K617,"cm"))</f>
        <v>0</v>
      </c>
      <c r="AM617" t="b">
        <f>AND(IF(metadata!L617="",FALSE,TRUE),EXACT(metadata!L617,"human"))</f>
        <v>0</v>
      </c>
      <c r="AN617" t="b">
        <f>AND(IF(metadata!M617="",FALSE,TRUE),EXACT(metadata!M617,"Homo sapiens"))</f>
        <v>0</v>
      </c>
      <c r="AO617" t="b">
        <f>AND(IF(metadata!N617="",FALSE,TRUE),EXACT(metadata!N617,"9606"))</f>
        <v>0</v>
      </c>
      <c r="AP617" t="b">
        <f>IF(metadata!O617="",FALSE,TRUE)</f>
        <v>0</v>
      </c>
      <c r="AQ617" t="b">
        <f>IF(metadata!P617="",FALSE,TRUE)</f>
        <v>0</v>
      </c>
      <c r="AR617" t="b">
        <f>IF(metadata!Q617="",FALSE,ISNUMBER(VALUE(metadata!Q617)))</f>
        <v>0</v>
      </c>
      <c r="AS617" t="b">
        <f>AND(IF(metadata!R617="",FALSE,TRUE),EXACT(metadata!R617,"kg"))</f>
        <v>0</v>
      </c>
    </row>
    <row r="618" spans="1:45" x14ac:dyDescent="0.2">
      <c r="A618" s="5" t="str">
        <f ca="1">IF(B618=" "," ",HYPERLINK(CONCATENATE("#metadata!",ADDRESS(INDEX($X$2:$X$1001,MATCH(ROWS($V$2:V618),$V$2:$V$1001,0),0),1)),INDEX($AA$2:$AA$1001,MATCH(ROWS($V$2:V618),$V$2:$V$1001,0),0)))</f>
        <v xml:space="preserve"> </v>
      </c>
      <c r="B618" s="4" t="str">
        <f ca="1">IF(OR(INDEX($W$2:$W$1001,MATCH(ROWS($V$2:V618),$V$2:$V$1001,0),1)&gt;=100000,INDEX($AC$1005:$AS$1005,1,MATCH(COLUMNS($AC$1006:AC1006),$AC$1006:$AS$1006,0))&gt;=100000), " ",IF(INDEX($AC$2:$AS$1001,MATCH(ROWS($V$2:V618),$V$2:$V$1001,0),MATCH(COLUMNS($AC$1006:AC1006),$AC$1006:$AS$1006,0)), HYPERLINK("#",""), HYPERLINK(CONCATENATE("#metadata!", ADDRESS(INDEX($X$2:$X$1001,MATCH(ROWS($V$2:V618),$V$2:$V$1001,0),0), INDEX($AC$1004:$AS$1004,1,MATCH(COLUMNS($AC$1006:AC1006),$AC$1006:$AS$1006,0)))),"Fix")))</f>
        <v xml:space="preserve"> </v>
      </c>
      <c r="C618" s="4" t="str">
        <f ca="1">IF(OR(INDEX($W$2:$W$1001,MATCH(ROWS($V$2:V618),$V$2:$V$1001,0),1)&gt;=100000,INDEX($AC$1005:$AS$1005,1,MATCH(COLUMNS($AC$1006:AD1006),$AC$1006:$AS$1006,0))&gt;=100000), " ",IF(INDEX($AC$2:$AS$1001,MATCH(ROWS($V$2:V618),$V$2:$V$1001,0),MATCH(COLUMNS($AC$1006:AD1006),$AC$1006:$AS$1006,0)), HYPERLINK("#",""), HYPERLINK(CONCATENATE("#metadata!", ADDRESS(INDEX($X$2:$X$1001,MATCH(ROWS($V$2:V618),$V$2:$V$1001,0),0), INDEX($AC$1004:$AS$1004,1,MATCH(COLUMNS($AC$1006:AD1006),$AC$1006:$AS$1006,0)))),"Fix")))</f>
        <v xml:space="preserve"> </v>
      </c>
      <c r="D618" s="4" t="str">
        <f ca="1">IF(OR(INDEX($W$2:$W$1001,MATCH(ROWS($V$2:V618),$V$2:$V$1001,0),1)&gt;=100000,INDEX($AC$1005:$AS$1005,1,MATCH(COLUMNS($AC$1006:AE1006),$AC$1006:$AS$1006,0))&gt;=100000), " ",IF(INDEX($AC$2:$AS$1001,MATCH(ROWS($V$2:V618),$V$2:$V$1001,0),MATCH(COLUMNS($AC$1006:AE1006),$AC$1006:$AS$1006,0)), HYPERLINK("#",""), HYPERLINK(CONCATENATE("#metadata!", ADDRESS(INDEX($X$2:$X$1001,MATCH(ROWS($V$2:V618),$V$2:$V$1001,0),0), INDEX($AC$1004:$AS$1004,1,MATCH(COLUMNS($AC$1006:AE1006),$AC$1006:$AS$1006,0)))),"Fix")))</f>
        <v xml:space="preserve"> </v>
      </c>
      <c r="E618" s="4" t="str">
        <f ca="1">IF(OR(INDEX($W$2:$W$1001,MATCH(ROWS($V$2:V618),$V$2:$V$1001,0),1)&gt;=100000,INDEX($AC$1005:$AS$1005,1,MATCH(COLUMNS($AC$1006:AF1006),$AC$1006:$AS$1006,0))&gt;=100000), " ",IF(INDEX($AC$2:$AS$1001,MATCH(ROWS($V$2:V618),$V$2:$V$1001,0),MATCH(COLUMNS($AC$1006:AF1006),$AC$1006:$AS$1006,0)), HYPERLINK("#",""), HYPERLINK(CONCATENATE("#metadata!", ADDRESS(INDEX($X$2:$X$1001,MATCH(ROWS($V$2:V618),$V$2:$V$1001,0),0), INDEX($AC$1004:$AS$1004,1,MATCH(COLUMNS($AC$1006:AF1006),$AC$1006:$AS$1006,0)))),"Fix")))</f>
        <v xml:space="preserve"> </v>
      </c>
      <c r="F618" s="4" t="str">
        <f ca="1">IF(OR(INDEX($W$2:$W$1001,MATCH(ROWS($V$2:V618),$V$2:$V$1001,0),1)&gt;=100000,INDEX($AC$1005:$AS$1005,1,MATCH(COLUMNS($AC$1006:AG1006),$AC$1006:$AS$1006,0))&gt;=100000), " ",IF(INDEX($AC$2:$AS$1001,MATCH(ROWS($V$2:V618),$V$2:$V$1001,0),MATCH(COLUMNS($AC$1006:AG1006),$AC$1006:$AS$1006,0)), HYPERLINK("#",""), HYPERLINK(CONCATENATE("#metadata!", ADDRESS(INDEX($X$2:$X$1001,MATCH(ROWS($V$2:V618),$V$2:$V$1001,0),0), INDEX($AC$1004:$AS$1004,1,MATCH(COLUMNS($AC$1006:AG1006),$AC$1006:$AS$1006,0)))),"Fix")))</f>
        <v xml:space="preserve"> </v>
      </c>
      <c r="G618" s="4" t="str">
        <f ca="1">IF(OR(INDEX($W$2:$W$1001,MATCH(ROWS($V$2:V618),$V$2:$V$1001,0),1)&gt;=100000,INDEX($AC$1005:$AS$1005,1,MATCH(COLUMNS($AC$1006:AH1006),$AC$1006:$AS$1006,0))&gt;=100000), " ",IF(INDEX($AC$2:$AS$1001,MATCH(ROWS($V$2:V618),$V$2:$V$1001,0),MATCH(COLUMNS($AC$1006:AH1006),$AC$1006:$AS$1006,0)), HYPERLINK("#",""), HYPERLINK(CONCATENATE("#metadata!", ADDRESS(INDEX($X$2:$X$1001,MATCH(ROWS($V$2:V618),$V$2:$V$1001,0),0), INDEX($AC$1004:$AS$1004,1,MATCH(COLUMNS($AC$1006:AH1006),$AC$1006:$AS$1006,0)))),"Fix")))</f>
        <v xml:space="preserve"> </v>
      </c>
      <c r="H618" s="4" t="str">
        <f ca="1">IF(OR(INDEX($W$2:$W$1001,MATCH(ROWS($V$2:V618),$V$2:$V$1001,0),1)&gt;=100000,INDEX($AC$1005:$AS$1005,1,MATCH(COLUMNS($AC$1006:AI1006),$AC$1006:$AS$1006,0))&gt;=100000), " ",IF(INDEX($AC$2:$AS$1001,MATCH(ROWS($V$2:V618),$V$2:$V$1001,0),MATCH(COLUMNS($AC$1006:AI1006),$AC$1006:$AS$1006,0)), HYPERLINK("#",""), HYPERLINK(CONCATENATE("#metadata!", ADDRESS(INDEX($X$2:$X$1001,MATCH(ROWS($V$2:V618),$V$2:$V$1001,0),0), INDEX($AC$1004:$AS$1004,1,MATCH(COLUMNS($AC$1006:AI1006),$AC$1006:$AS$1006,0)))),"Fix")))</f>
        <v xml:space="preserve"> </v>
      </c>
      <c r="I618" s="4" t="str">
        <f ca="1">IF(OR(INDEX($W$2:$W$1001,MATCH(ROWS($V$2:V618),$V$2:$V$1001,0),1)&gt;=100000,INDEX($AC$1005:$AS$1005,1,MATCH(COLUMNS($AC$1006:AJ1006),$AC$1006:$AS$1006,0))&gt;=100000), " ",IF(INDEX($AC$2:$AS$1001,MATCH(ROWS($V$2:V618),$V$2:$V$1001,0),MATCH(COLUMNS($AC$1006:AJ1006),$AC$1006:$AS$1006,0)), HYPERLINK("#",""), HYPERLINK(CONCATENATE("#metadata!", ADDRESS(INDEX($X$2:$X$1001,MATCH(ROWS($V$2:V618),$V$2:$V$1001,0),0), INDEX($AC$1004:$AS$1004,1,MATCH(COLUMNS($AC$1006:AJ1006),$AC$1006:$AS$1006,0)))),"Fix")))</f>
        <v xml:space="preserve"> </v>
      </c>
      <c r="J618" s="4" t="str">
        <f ca="1">IF(OR(INDEX($W$2:$W$1001,MATCH(ROWS($V$2:V618),$V$2:$V$1001,0),1)&gt;=100000,INDEX($AC$1005:$AS$1005,1,MATCH(COLUMNS($AC$1006:AK1006),$AC$1006:$AS$1006,0))&gt;=100000), " ",IF(INDEX($AC$2:$AS$1001,MATCH(ROWS($V$2:V618),$V$2:$V$1001,0),MATCH(COLUMNS($AC$1006:AK1006),$AC$1006:$AS$1006,0)), HYPERLINK("#",""), HYPERLINK(CONCATENATE("#metadata!", ADDRESS(INDEX($X$2:$X$1001,MATCH(ROWS($V$2:V618),$V$2:$V$1001,0),0), INDEX($AC$1004:$AS$1004,1,MATCH(COLUMNS($AC$1006:AK1006),$AC$1006:$AS$1006,0)))),"Fix")))</f>
        <v xml:space="preserve"> </v>
      </c>
      <c r="K618" s="4" t="str">
        <f ca="1">IF(OR(INDEX($W$2:$W$1001,MATCH(ROWS($V$2:V618),$V$2:$V$1001,0),1)&gt;=100000,INDEX($AC$1005:$AS$1005,1,MATCH(COLUMNS($AC$1006:AL1006),$AC$1006:$AS$1006,0))&gt;=100000), " ",IF(INDEX($AC$2:$AS$1001,MATCH(ROWS($V$2:V618),$V$2:$V$1001,0),MATCH(COLUMNS($AC$1006:AL1006),$AC$1006:$AS$1006,0)), HYPERLINK("#",""), HYPERLINK(CONCATENATE("#metadata!", ADDRESS(INDEX($X$2:$X$1001,MATCH(ROWS($V$2:V618),$V$2:$V$1001,0),0), INDEX($AC$1004:$AS$1004,1,MATCH(COLUMNS($AC$1006:AL1006),$AC$1006:$AS$1006,0)))),"Fix")))</f>
        <v xml:space="preserve"> </v>
      </c>
      <c r="L618" s="4" t="str">
        <f ca="1">IF(OR(INDEX($W$2:$W$1001,MATCH(ROWS($V$2:V618),$V$2:$V$1001,0),1)&gt;=100000,INDEX($AC$1005:$AS$1005,1,MATCH(COLUMNS($AC$1006:AM1006),$AC$1006:$AS$1006,0))&gt;=100000), " ",IF(INDEX($AC$2:$AS$1001,MATCH(ROWS($V$2:V618),$V$2:$V$1001,0),MATCH(COLUMNS($AC$1006:AM1006),$AC$1006:$AS$1006,0)), HYPERLINK("#",""), HYPERLINK(CONCATENATE("#metadata!", ADDRESS(INDEX($X$2:$X$1001,MATCH(ROWS($V$2:V618),$V$2:$V$1001,0),0), INDEX($AC$1004:$AS$1004,1,MATCH(COLUMNS($AC$1006:AM1006),$AC$1006:$AS$1006,0)))),"Fix")))</f>
        <v xml:space="preserve"> </v>
      </c>
      <c r="M618" s="4" t="str">
        <f ca="1">IF(OR(INDEX($W$2:$W$1001,MATCH(ROWS($V$2:V618),$V$2:$V$1001,0),1)&gt;=100000,INDEX($AC$1005:$AS$1005,1,MATCH(COLUMNS($AC$1006:AN1006),$AC$1006:$AS$1006,0))&gt;=100000), " ",IF(INDEX($AC$2:$AS$1001,MATCH(ROWS($V$2:V618),$V$2:$V$1001,0),MATCH(COLUMNS($AC$1006:AN1006),$AC$1006:$AS$1006,0)), HYPERLINK("#",""), HYPERLINK(CONCATENATE("#metadata!", ADDRESS(INDEX($X$2:$X$1001,MATCH(ROWS($V$2:V618),$V$2:$V$1001,0),0), INDEX($AC$1004:$AS$1004,1,MATCH(COLUMNS($AC$1006:AN1006),$AC$1006:$AS$1006,0)))),"Fix")))</f>
        <v xml:space="preserve"> </v>
      </c>
      <c r="N618" s="4" t="str">
        <f ca="1">IF(OR(INDEX($W$2:$W$1001,MATCH(ROWS($V$2:V618),$V$2:$V$1001,0),1)&gt;=100000,INDEX($AC$1005:$AS$1005,1,MATCH(COLUMNS($AC$1006:AO1006),$AC$1006:$AS$1006,0))&gt;=100000), " ",IF(INDEX($AC$2:$AS$1001,MATCH(ROWS($V$2:V618),$V$2:$V$1001,0),MATCH(COLUMNS($AC$1006:AO1006),$AC$1006:$AS$1006,0)), HYPERLINK("#",""), HYPERLINK(CONCATENATE("#metadata!", ADDRESS(INDEX($X$2:$X$1001,MATCH(ROWS($V$2:V618),$V$2:$V$1001,0),0), INDEX($AC$1004:$AS$1004,1,MATCH(COLUMNS($AC$1006:AO1006),$AC$1006:$AS$1006,0)))),"Fix")))</f>
        <v xml:space="preserve"> </v>
      </c>
      <c r="O618" s="4" t="str">
        <f ca="1">IF(OR(INDEX($W$2:$W$1001,MATCH(ROWS($V$2:V618),$V$2:$V$1001,0),1)&gt;=100000,INDEX($AC$1005:$AS$1005,1,MATCH(COLUMNS($AC$1006:AP1006),$AC$1006:$AS$1006,0))&gt;=100000), " ",IF(INDEX($AC$2:$AS$1001,MATCH(ROWS($V$2:V618),$V$2:$V$1001,0),MATCH(COLUMNS($AC$1006:AP1006),$AC$1006:$AS$1006,0)), HYPERLINK("#",""), HYPERLINK(CONCATENATE("#metadata!", ADDRESS(INDEX($X$2:$X$1001,MATCH(ROWS($V$2:V618),$V$2:$V$1001,0),0), INDEX($AC$1004:$AS$1004,1,MATCH(COLUMNS($AC$1006:AP1006),$AC$1006:$AS$1006,0)))),"Fix")))</f>
        <v xml:space="preserve"> </v>
      </c>
      <c r="P618" s="4" t="str">
        <f ca="1">IF(OR(INDEX($W$2:$W$1001,MATCH(ROWS($V$2:V618),$V$2:$V$1001,0),1)&gt;=100000,INDEX($AC$1005:$AS$1005,1,MATCH(COLUMNS($AC$1006:AQ1006),$AC$1006:$AS$1006,0))&gt;=100000), " ",IF(INDEX($AC$2:$AS$1001,MATCH(ROWS($V$2:V618),$V$2:$V$1001,0),MATCH(COLUMNS($AC$1006:AQ1006),$AC$1006:$AS$1006,0)), HYPERLINK("#",""), HYPERLINK(CONCATENATE("#metadata!", ADDRESS(INDEX($X$2:$X$1001,MATCH(ROWS($V$2:V618),$V$2:$V$1001,0),0), INDEX($AC$1004:$AS$1004,1,MATCH(COLUMNS($AC$1006:AQ1006),$AC$1006:$AS$1006,0)))),"Fix")))</f>
        <v xml:space="preserve"> </v>
      </c>
      <c r="Q618" s="4" t="str">
        <f ca="1">IF(OR(INDEX($W$2:$W$1001,MATCH(ROWS($V$2:V618),$V$2:$V$1001,0),1)&gt;=100000,INDEX($AC$1005:$AS$1005,1,MATCH(COLUMNS($AC$1006:AR1006),$AC$1006:$AS$1006,0))&gt;=100000), " ",IF(INDEX($AC$2:$AS$1001,MATCH(ROWS($V$2:V618),$V$2:$V$1001,0),MATCH(COLUMNS($AC$1006:AR1006),$AC$1006:$AS$1006,0)), HYPERLINK("#",""), HYPERLINK(CONCATENATE("#metadata!", ADDRESS(INDEX($X$2:$X$1001,MATCH(ROWS($V$2:V618),$V$2:$V$1001,0),0), INDEX($AC$1004:$AS$1004,1,MATCH(COLUMNS($AC$1006:AR1006),$AC$1006:$AS$1006,0)))),"Fix")))</f>
        <v xml:space="preserve"> </v>
      </c>
      <c r="R618" s="4" t="str">
        <f ca="1">IF(OR(INDEX($W$2:$W$1001,MATCH(ROWS($V$2:V618),$V$2:$V$1001,0),1)&gt;=100000,INDEX($AC$1005:$AS$1005,1,MATCH(COLUMNS($AC$1006:AS1006),$AC$1006:$AS$1006,0))&gt;=100000), " ",IF(INDEX($AC$2:$AS$1001,MATCH(ROWS($V$2:V618),$V$2:$V$1001,0),MATCH(COLUMNS($AC$1006:AS1006),$AC$1006:$AS$1006,0)), HYPERLINK("#",""), HYPERLINK(CONCATENATE("#metadata!", ADDRESS(INDEX($X$2:$X$1001,MATCH(ROWS($V$2:V618),$V$2:$V$1001,0),0), INDEX($AC$1004:$AS$1004,1,MATCH(COLUMNS($AC$1006:AS1006),$AC$1006:$AS$1006,0)))),"Fix")))</f>
        <v xml:space="preserve"> </v>
      </c>
      <c r="V618">
        <v>617</v>
      </c>
      <c r="W618">
        <v>100618</v>
      </c>
      <c r="X618">
        <v>618</v>
      </c>
      <c r="Y618" t="b">
        <f t="shared" si="9"/>
        <v>1</v>
      </c>
      <c r="Z618" t="b">
        <f>COUNTBLANK(metadata!B618:R618)=COLUMNS(metadata!B618:R618)</f>
        <v>1</v>
      </c>
      <c r="AA618" t="str">
        <v/>
      </c>
      <c r="AC618" t="b">
        <f ca="1"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AD618" t="b">
        <f>IF(metadata!C618="",FALSE,ISNUMBER(VALUE(metadata!C618)))</f>
        <v>0</v>
      </c>
      <c r="AE618" t="b">
        <f>AND(IF(metadata!D618="",FALSE,TRUE),EXACT(metadata!D618,"years"))</f>
        <v>0</v>
      </c>
      <c r="AF618" t="b">
        <f>OR(AND(IF(metadata!E618="",FALSE,TRUE),OR(EXACT(metadata!E618,"not applicable"),EXACT(metadata!E618,"missing: not collected"),EXACT(metadata!E618,"missing: not provided"),EXACT(metadata!E618,"missing: restricted access"))),AND(IF(metadata!E618="",FALSE,ISNUMBER(VALUE(metadata!E618))),metadata!E618&gt;0))</f>
        <v>0</v>
      </c>
      <c r="AG618" t="b">
        <f>AND(IF(metadata!F618="",FALSE,TRUE),EXACT(metadata!F618,"Not applicable"))</f>
        <v>0</v>
      </c>
      <c r="AH618" t="b">
        <f>AND(IF(metadata!G618="",FALSE,TRUE),EXACT(metadata!G618,"urban biome"))</f>
        <v>0</v>
      </c>
      <c r="AI618" t="b">
        <f>AND(IF(metadata!H618="",FALSE,TRUE),EXACT(metadata!H618,"human-associated habitat"))</f>
        <v>0</v>
      </c>
      <c r="AJ618" t="b">
        <f>AND(IF(metadata!I618="",FALSE,TRUE),OR(EXACT(metadata!I618,"human-associated"),EXACT(metadata!I618,"human-skin"),EXACT(metadata!I618,"human-oral"),EXACT(metadata!I618,"human-gut"),EXACT(metadata!I618,"human-vaginal")))</f>
        <v>0</v>
      </c>
      <c r="AK618" t="b">
        <f>IF(metadata!J618="",FALSE,ISNUMBER(VALUE(metadata!J618)))</f>
        <v>0</v>
      </c>
      <c r="AL618" t="b">
        <f>AND(IF(metadata!K618="",FALSE,TRUE),EXACT(metadata!K618,"cm"))</f>
        <v>0</v>
      </c>
      <c r="AM618" t="b">
        <f>AND(IF(metadata!L618="",FALSE,TRUE),EXACT(metadata!L618,"human"))</f>
        <v>0</v>
      </c>
      <c r="AN618" t="b">
        <f>AND(IF(metadata!M618="",FALSE,TRUE),EXACT(metadata!M618,"Homo sapiens"))</f>
        <v>0</v>
      </c>
      <c r="AO618" t="b">
        <f>AND(IF(metadata!N618="",FALSE,TRUE),EXACT(metadata!N618,"9606"))</f>
        <v>0</v>
      </c>
      <c r="AP618" t="b">
        <f>IF(metadata!O618="",FALSE,TRUE)</f>
        <v>0</v>
      </c>
      <c r="AQ618" t="b">
        <f>IF(metadata!P618="",FALSE,TRUE)</f>
        <v>0</v>
      </c>
      <c r="AR618" t="b">
        <f>IF(metadata!Q618="",FALSE,ISNUMBER(VALUE(metadata!Q618)))</f>
        <v>0</v>
      </c>
      <c r="AS618" t="b">
        <f>AND(IF(metadata!R618="",FALSE,TRUE),EXACT(metadata!R618,"kg"))</f>
        <v>0</v>
      </c>
    </row>
    <row r="619" spans="1:45" x14ac:dyDescent="0.2">
      <c r="A619" s="5" t="str">
        <f ca="1">IF(B619=" "," ",HYPERLINK(CONCATENATE("#metadata!",ADDRESS(INDEX($X$2:$X$1001,MATCH(ROWS($V$2:V619),$V$2:$V$1001,0),0),1)),INDEX($AA$2:$AA$1001,MATCH(ROWS($V$2:V619),$V$2:$V$1001,0),0)))</f>
        <v xml:space="preserve"> </v>
      </c>
      <c r="B619" s="4" t="str">
        <f ca="1">IF(OR(INDEX($W$2:$W$1001,MATCH(ROWS($V$2:V619),$V$2:$V$1001,0),1)&gt;=100000,INDEX($AC$1005:$AS$1005,1,MATCH(COLUMNS($AC$1006:AC1006),$AC$1006:$AS$1006,0))&gt;=100000), " ",IF(INDEX($AC$2:$AS$1001,MATCH(ROWS($V$2:V619),$V$2:$V$1001,0),MATCH(COLUMNS($AC$1006:AC1006),$AC$1006:$AS$1006,0)), HYPERLINK("#",""), HYPERLINK(CONCATENATE("#metadata!", ADDRESS(INDEX($X$2:$X$1001,MATCH(ROWS($V$2:V619),$V$2:$V$1001,0),0), INDEX($AC$1004:$AS$1004,1,MATCH(COLUMNS($AC$1006:AC1006),$AC$1006:$AS$1006,0)))),"Fix")))</f>
        <v xml:space="preserve"> </v>
      </c>
      <c r="C619" s="4" t="str">
        <f ca="1">IF(OR(INDEX($W$2:$W$1001,MATCH(ROWS($V$2:V619),$V$2:$V$1001,0),1)&gt;=100000,INDEX($AC$1005:$AS$1005,1,MATCH(COLUMNS($AC$1006:AD1006),$AC$1006:$AS$1006,0))&gt;=100000), " ",IF(INDEX($AC$2:$AS$1001,MATCH(ROWS($V$2:V619),$V$2:$V$1001,0),MATCH(COLUMNS($AC$1006:AD1006),$AC$1006:$AS$1006,0)), HYPERLINK("#",""), HYPERLINK(CONCATENATE("#metadata!", ADDRESS(INDEX($X$2:$X$1001,MATCH(ROWS($V$2:V619),$V$2:$V$1001,0),0), INDEX($AC$1004:$AS$1004,1,MATCH(COLUMNS($AC$1006:AD1006),$AC$1006:$AS$1006,0)))),"Fix")))</f>
        <v xml:space="preserve"> </v>
      </c>
      <c r="D619" s="4" t="str">
        <f ca="1">IF(OR(INDEX($W$2:$W$1001,MATCH(ROWS($V$2:V619),$V$2:$V$1001,0),1)&gt;=100000,INDEX($AC$1005:$AS$1005,1,MATCH(COLUMNS($AC$1006:AE1006),$AC$1006:$AS$1006,0))&gt;=100000), " ",IF(INDEX($AC$2:$AS$1001,MATCH(ROWS($V$2:V619),$V$2:$V$1001,0),MATCH(COLUMNS($AC$1006:AE1006),$AC$1006:$AS$1006,0)), HYPERLINK("#",""), HYPERLINK(CONCATENATE("#metadata!", ADDRESS(INDEX($X$2:$X$1001,MATCH(ROWS($V$2:V619),$V$2:$V$1001,0),0), INDEX($AC$1004:$AS$1004,1,MATCH(COLUMNS($AC$1006:AE1006),$AC$1006:$AS$1006,0)))),"Fix")))</f>
        <v xml:space="preserve"> </v>
      </c>
      <c r="E619" s="4" t="str">
        <f ca="1">IF(OR(INDEX($W$2:$W$1001,MATCH(ROWS($V$2:V619),$V$2:$V$1001,0),1)&gt;=100000,INDEX($AC$1005:$AS$1005,1,MATCH(COLUMNS($AC$1006:AF1006),$AC$1006:$AS$1006,0))&gt;=100000), " ",IF(INDEX($AC$2:$AS$1001,MATCH(ROWS($V$2:V619),$V$2:$V$1001,0),MATCH(COLUMNS($AC$1006:AF1006),$AC$1006:$AS$1006,0)), HYPERLINK("#",""), HYPERLINK(CONCATENATE("#metadata!", ADDRESS(INDEX($X$2:$X$1001,MATCH(ROWS($V$2:V619),$V$2:$V$1001,0),0), INDEX($AC$1004:$AS$1004,1,MATCH(COLUMNS($AC$1006:AF1006),$AC$1006:$AS$1006,0)))),"Fix")))</f>
        <v xml:space="preserve"> </v>
      </c>
      <c r="F619" s="4" t="str">
        <f ca="1">IF(OR(INDEX($W$2:$W$1001,MATCH(ROWS($V$2:V619),$V$2:$V$1001,0),1)&gt;=100000,INDEX($AC$1005:$AS$1005,1,MATCH(COLUMNS($AC$1006:AG1006),$AC$1006:$AS$1006,0))&gt;=100000), " ",IF(INDEX($AC$2:$AS$1001,MATCH(ROWS($V$2:V619),$V$2:$V$1001,0),MATCH(COLUMNS($AC$1006:AG1006),$AC$1006:$AS$1006,0)), HYPERLINK("#",""), HYPERLINK(CONCATENATE("#metadata!", ADDRESS(INDEX($X$2:$X$1001,MATCH(ROWS($V$2:V619),$V$2:$V$1001,0),0), INDEX($AC$1004:$AS$1004,1,MATCH(COLUMNS($AC$1006:AG1006),$AC$1006:$AS$1006,0)))),"Fix")))</f>
        <v xml:space="preserve"> </v>
      </c>
      <c r="G619" s="4" t="str">
        <f ca="1">IF(OR(INDEX($W$2:$W$1001,MATCH(ROWS($V$2:V619),$V$2:$V$1001,0),1)&gt;=100000,INDEX($AC$1005:$AS$1005,1,MATCH(COLUMNS($AC$1006:AH1006),$AC$1006:$AS$1006,0))&gt;=100000), " ",IF(INDEX($AC$2:$AS$1001,MATCH(ROWS($V$2:V619),$V$2:$V$1001,0),MATCH(COLUMNS($AC$1006:AH1006),$AC$1006:$AS$1006,0)), HYPERLINK("#",""), HYPERLINK(CONCATENATE("#metadata!", ADDRESS(INDEX($X$2:$X$1001,MATCH(ROWS($V$2:V619),$V$2:$V$1001,0),0), INDEX($AC$1004:$AS$1004,1,MATCH(COLUMNS($AC$1006:AH1006),$AC$1006:$AS$1006,0)))),"Fix")))</f>
        <v xml:space="preserve"> </v>
      </c>
      <c r="H619" s="4" t="str">
        <f ca="1">IF(OR(INDEX($W$2:$W$1001,MATCH(ROWS($V$2:V619),$V$2:$V$1001,0),1)&gt;=100000,INDEX($AC$1005:$AS$1005,1,MATCH(COLUMNS($AC$1006:AI1006),$AC$1006:$AS$1006,0))&gt;=100000), " ",IF(INDEX($AC$2:$AS$1001,MATCH(ROWS($V$2:V619),$V$2:$V$1001,0),MATCH(COLUMNS($AC$1006:AI1006),$AC$1006:$AS$1006,0)), HYPERLINK("#",""), HYPERLINK(CONCATENATE("#metadata!", ADDRESS(INDEX($X$2:$X$1001,MATCH(ROWS($V$2:V619),$V$2:$V$1001,0),0), INDEX($AC$1004:$AS$1004,1,MATCH(COLUMNS($AC$1006:AI1006),$AC$1006:$AS$1006,0)))),"Fix")))</f>
        <v xml:space="preserve"> </v>
      </c>
      <c r="I619" s="4" t="str">
        <f ca="1">IF(OR(INDEX($W$2:$W$1001,MATCH(ROWS($V$2:V619),$V$2:$V$1001,0),1)&gt;=100000,INDEX($AC$1005:$AS$1005,1,MATCH(COLUMNS($AC$1006:AJ1006),$AC$1006:$AS$1006,0))&gt;=100000), " ",IF(INDEX($AC$2:$AS$1001,MATCH(ROWS($V$2:V619),$V$2:$V$1001,0),MATCH(COLUMNS($AC$1006:AJ1006),$AC$1006:$AS$1006,0)), HYPERLINK("#",""), HYPERLINK(CONCATENATE("#metadata!", ADDRESS(INDEX($X$2:$X$1001,MATCH(ROWS($V$2:V619),$V$2:$V$1001,0),0), INDEX($AC$1004:$AS$1004,1,MATCH(COLUMNS($AC$1006:AJ1006),$AC$1006:$AS$1006,0)))),"Fix")))</f>
        <v xml:space="preserve"> </v>
      </c>
      <c r="J619" s="4" t="str">
        <f ca="1">IF(OR(INDEX($W$2:$W$1001,MATCH(ROWS($V$2:V619),$V$2:$V$1001,0),1)&gt;=100000,INDEX($AC$1005:$AS$1005,1,MATCH(COLUMNS($AC$1006:AK1006),$AC$1006:$AS$1006,0))&gt;=100000), " ",IF(INDEX($AC$2:$AS$1001,MATCH(ROWS($V$2:V619),$V$2:$V$1001,0),MATCH(COLUMNS($AC$1006:AK1006),$AC$1006:$AS$1006,0)), HYPERLINK("#",""), HYPERLINK(CONCATENATE("#metadata!", ADDRESS(INDEX($X$2:$X$1001,MATCH(ROWS($V$2:V619),$V$2:$V$1001,0),0), INDEX($AC$1004:$AS$1004,1,MATCH(COLUMNS($AC$1006:AK1006),$AC$1006:$AS$1006,0)))),"Fix")))</f>
        <v xml:space="preserve"> </v>
      </c>
      <c r="K619" s="4" t="str">
        <f ca="1">IF(OR(INDEX($W$2:$W$1001,MATCH(ROWS($V$2:V619),$V$2:$V$1001,0),1)&gt;=100000,INDEX($AC$1005:$AS$1005,1,MATCH(COLUMNS($AC$1006:AL1006),$AC$1006:$AS$1006,0))&gt;=100000), " ",IF(INDEX($AC$2:$AS$1001,MATCH(ROWS($V$2:V619),$V$2:$V$1001,0),MATCH(COLUMNS($AC$1006:AL1006),$AC$1006:$AS$1006,0)), HYPERLINK("#",""), HYPERLINK(CONCATENATE("#metadata!", ADDRESS(INDEX($X$2:$X$1001,MATCH(ROWS($V$2:V619),$V$2:$V$1001,0),0), INDEX($AC$1004:$AS$1004,1,MATCH(COLUMNS($AC$1006:AL1006),$AC$1006:$AS$1006,0)))),"Fix")))</f>
        <v xml:space="preserve"> </v>
      </c>
      <c r="L619" s="4" t="str">
        <f ca="1">IF(OR(INDEX($W$2:$W$1001,MATCH(ROWS($V$2:V619),$V$2:$V$1001,0),1)&gt;=100000,INDEX($AC$1005:$AS$1005,1,MATCH(COLUMNS($AC$1006:AM1006),$AC$1006:$AS$1006,0))&gt;=100000), " ",IF(INDEX($AC$2:$AS$1001,MATCH(ROWS($V$2:V619),$V$2:$V$1001,0),MATCH(COLUMNS($AC$1006:AM1006),$AC$1006:$AS$1006,0)), HYPERLINK("#",""), HYPERLINK(CONCATENATE("#metadata!", ADDRESS(INDEX($X$2:$X$1001,MATCH(ROWS($V$2:V619),$V$2:$V$1001,0),0), INDEX($AC$1004:$AS$1004,1,MATCH(COLUMNS($AC$1006:AM1006),$AC$1006:$AS$1006,0)))),"Fix")))</f>
        <v xml:space="preserve"> </v>
      </c>
      <c r="M619" s="4" t="str">
        <f ca="1">IF(OR(INDEX($W$2:$W$1001,MATCH(ROWS($V$2:V619),$V$2:$V$1001,0),1)&gt;=100000,INDEX($AC$1005:$AS$1005,1,MATCH(COLUMNS($AC$1006:AN1006),$AC$1006:$AS$1006,0))&gt;=100000), " ",IF(INDEX($AC$2:$AS$1001,MATCH(ROWS($V$2:V619),$V$2:$V$1001,0),MATCH(COLUMNS($AC$1006:AN1006),$AC$1006:$AS$1006,0)), HYPERLINK("#",""), HYPERLINK(CONCATENATE("#metadata!", ADDRESS(INDEX($X$2:$X$1001,MATCH(ROWS($V$2:V619),$V$2:$V$1001,0),0), INDEX($AC$1004:$AS$1004,1,MATCH(COLUMNS($AC$1006:AN1006),$AC$1006:$AS$1006,0)))),"Fix")))</f>
        <v xml:space="preserve"> </v>
      </c>
      <c r="N619" s="4" t="str">
        <f ca="1">IF(OR(INDEX($W$2:$W$1001,MATCH(ROWS($V$2:V619),$V$2:$V$1001,0),1)&gt;=100000,INDEX($AC$1005:$AS$1005,1,MATCH(COLUMNS($AC$1006:AO1006),$AC$1006:$AS$1006,0))&gt;=100000), " ",IF(INDEX($AC$2:$AS$1001,MATCH(ROWS($V$2:V619),$V$2:$V$1001,0),MATCH(COLUMNS($AC$1006:AO1006),$AC$1006:$AS$1006,0)), HYPERLINK("#",""), HYPERLINK(CONCATENATE("#metadata!", ADDRESS(INDEX($X$2:$X$1001,MATCH(ROWS($V$2:V619),$V$2:$V$1001,0),0), INDEX($AC$1004:$AS$1004,1,MATCH(COLUMNS($AC$1006:AO1006),$AC$1006:$AS$1006,0)))),"Fix")))</f>
        <v xml:space="preserve"> </v>
      </c>
      <c r="O619" s="4" t="str">
        <f ca="1">IF(OR(INDEX($W$2:$W$1001,MATCH(ROWS($V$2:V619),$V$2:$V$1001,0),1)&gt;=100000,INDEX($AC$1005:$AS$1005,1,MATCH(COLUMNS($AC$1006:AP1006),$AC$1006:$AS$1006,0))&gt;=100000), " ",IF(INDEX($AC$2:$AS$1001,MATCH(ROWS($V$2:V619),$V$2:$V$1001,0),MATCH(COLUMNS($AC$1006:AP1006),$AC$1006:$AS$1006,0)), HYPERLINK("#",""), HYPERLINK(CONCATENATE("#metadata!", ADDRESS(INDEX($X$2:$X$1001,MATCH(ROWS($V$2:V619),$V$2:$V$1001,0),0), INDEX($AC$1004:$AS$1004,1,MATCH(COLUMNS($AC$1006:AP1006),$AC$1006:$AS$1006,0)))),"Fix")))</f>
        <v xml:space="preserve"> </v>
      </c>
      <c r="P619" s="4" t="str">
        <f ca="1">IF(OR(INDEX($W$2:$W$1001,MATCH(ROWS($V$2:V619),$V$2:$V$1001,0),1)&gt;=100000,INDEX($AC$1005:$AS$1005,1,MATCH(COLUMNS($AC$1006:AQ1006),$AC$1006:$AS$1006,0))&gt;=100000), " ",IF(INDEX($AC$2:$AS$1001,MATCH(ROWS($V$2:V619),$V$2:$V$1001,0),MATCH(COLUMNS($AC$1006:AQ1006),$AC$1006:$AS$1006,0)), HYPERLINK("#",""), HYPERLINK(CONCATENATE("#metadata!", ADDRESS(INDEX($X$2:$X$1001,MATCH(ROWS($V$2:V619),$V$2:$V$1001,0),0), INDEX($AC$1004:$AS$1004,1,MATCH(COLUMNS($AC$1006:AQ1006),$AC$1006:$AS$1006,0)))),"Fix")))</f>
        <v xml:space="preserve"> </v>
      </c>
      <c r="Q619" s="4" t="str">
        <f ca="1">IF(OR(INDEX($W$2:$W$1001,MATCH(ROWS($V$2:V619),$V$2:$V$1001,0),1)&gt;=100000,INDEX($AC$1005:$AS$1005,1,MATCH(COLUMNS($AC$1006:AR1006),$AC$1006:$AS$1006,0))&gt;=100000), " ",IF(INDEX($AC$2:$AS$1001,MATCH(ROWS($V$2:V619),$V$2:$V$1001,0),MATCH(COLUMNS($AC$1006:AR1006),$AC$1006:$AS$1006,0)), HYPERLINK("#",""), HYPERLINK(CONCATENATE("#metadata!", ADDRESS(INDEX($X$2:$X$1001,MATCH(ROWS($V$2:V619),$V$2:$V$1001,0),0), INDEX($AC$1004:$AS$1004,1,MATCH(COLUMNS($AC$1006:AR1006),$AC$1006:$AS$1006,0)))),"Fix")))</f>
        <v xml:space="preserve"> </v>
      </c>
      <c r="R619" s="4" t="str">
        <f ca="1">IF(OR(INDEX($W$2:$W$1001,MATCH(ROWS($V$2:V619),$V$2:$V$1001,0),1)&gt;=100000,INDEX($AC$1005:$AS$1005,1,MATCH(COLUMNS($AC$1006:AS1006),$AC$1006:$AS$1006,0))&gt;=100000), " ",IF(INDEX($AC$2:$AS$1001,MATCH(ROWS($V$2:V619),$V$2:$V$1001,0),MATCH(COLUMNS($AC$1006:AS1006),$AC$1006:$AS$1006,0)), HYPERLINK("#",""), HYPERLINK(CONCATENATE("#metadata!", ADDRESS(INDEX($X$2:$X$1001,MATCH(ROWS($V$2:V619),$V$2:$V$1001,0),0), INDEX($AC$1004:$AS$1004,1,MATCH(COLUMNS($AC$1006:AS1006),$AC$1006:$AS$1006,0)))),"Fix")))</f>
        <v xml:space="preserve"> </v>
      </c>
      <c r="V619">
        <v>618</v>
      </c>
      <c r="W619">
        <v>100619</v>
      </c>
      <c r="X619">
        <v>619</v>
      </c>
      <c r="Y619" t="b">
        <f t="shared" si="9"/>
        <v>1</v>
      </c>
      <c r="Z619" t="b">
        <f>COUNTBLANK(metadata!B619:R619)=COLUMNS(metadata!B619:R619)</f>
        <v>1</v>
      </c>
      <c r="AA619" t="str">
        <v/>
      </c>
      <c r="AC619" t="b">
        <f ca="1"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AD619" t="b">
        <f>IF(metadata!C619="",FALSE,ISNUMBER(VALUE(metadata!C619)))</f>
        <v>0</v>
      </c>
      <c r="AE619" t="b">
        <f>AND(IF(metadata!D619="",FALSE,TRUE),EXACT(metadata!D619,"years"))</f>
        <v>0</v>
      </c>
      <c r="AF619" t="b">
        <f>OR(AND(IF(metadata!E619="",FALSE,TRUE),OR(EXACT(metadata!E619,"not applicable"),EXACT(metadata!E619,"missing: not collected"),EXACT(metadata!E619,"missing: not provided"),EXACT(metadata!E619,"missing: restricted access"))),AND(IF(metadata!E619="",FALSE,ISNUMBER(VALUE(metadata!E619))),metadata!E619&gt;0))</f>
        <v>0</v>
      </c>
      <c r="AG619" t="b">
        <f>AND(IF(metadata!F619="",FALSE,TRUE),EXACT(metadata!F619,"Not applicable"))</f>
        <v>0</v>
      </c>
      <c r="AH619" t="b">
        <f>AND(IF(metadata!G619="",FALSE,TRUE),EXACT(metadata!G619,"urban biome"))</f>
        <v>0</v>
      </c>
      <c r="AI619" t="b">
        <f>AND(IF(metadata!H619="",FALSE,TRUE),EXACT(metadata!H619,"human-associated habitat"))</f>
        <v>0</v>
      </c>
      <c r="AJ619" t="b">
        <f>AND(IF(metadata!I619="",FALSE,TRUE),OR(EXACT(metadata!I619,"human-associated"),EXACT(metadata!I619,"human-skin"),EXACT(metadata!I619,"human-oral"),EXACT(metadata!I619,"human-gut"),EXACT(metadata!I619,"human-vaginal")))</f>
        <v>0</v>
      </c>
      <c r="AK619" t="b">
        <f>IF(metadata!J619="",FALSE,ISNUMBER(VALUE(metadata!J619)))</f>
        <v>0</v>
      </c>
      <c r="AL619" t="b">
        <f>AND(IF(metadata!K619="",FALSE,TRUE),EXACT(metadata!K619,"cm"))</f>
        <v>0</v>
      </c>
      <c r="AM619" t="b">
        <f>AND(IF(metadata!L619="",FALSE,TRUE),EXACT(metadata!L619,"human"))</f>
        <v>0</v>
      </c>
      <c r="AN619" t="b">
        <f>AND(IF(metadata!M619="",FALSE,TRUE),EXACT(metadata!M619,"Homo sapiens"))</f>
        <v>0</v>
      </c>
      <c r="AO619" t="b">
        <f>AND(IF(metadata!N619="",FALSE,TRUE),EXACT(metadata!N619,"9606"))</f>
        <v>0</v>
      </c>
      <c r="AP619" t="b">
        <f>IF(metadata!O619="",FALSE,TRUE)</f>
        <v>0</v>
      </c>
      <c r="AQ619" t="b">
        <f>IF(metadata!P619="",FALSE,TRUE)</f>
        <v>0</v>
      </c>
      <c r="AR619" t="b">
        <f>IF(metadata!Q619="",FALSE,ISNUMBER(VALUE(metadata!Q619)))</f>
        <v>0</v>
      </c>
      <c r="AS619" t="b">
        <f>AND(IF(metadata!R619="",FALSE,TRUE),EXACT(metadata!R619,"kg"))</f>
        <v>0</v>
      </c>
    </row>
    <row r="620" spans="1:45" x14ac:dyDescent="0.2">
      <c r="A620" s="5" t="str">
        <f ca="1">IF(B620=" "," ",HYPERLINK(CONCATENATE("#metadata!",ADDRESS(INDEX($X$2:$X$1001,MATCH(ROWS($V$2:V620),$V$2:$V$1001,0),0),1)),INDEX($AA$2:$AA$1001,MATCH(ROWS($V$2:V620),$V$2:$V$1001,0),0)))</f>
        <v xml:space="preserve"> </v>
      </c>
      <c r="B620" s="4" t="str">
        <f ca="1">IF(OR(INDEX($W$2:$W$1001,MATCH(ROWS($V$2:V620),$V$2:$V$1001,0),1)&gt;=100000,INDEX($AC$1005:$AS$1005,1,MATCH(COLUMNS($AC$1006:AC1006),$AC$1006:$AS$1006,0))&gt;=100000), " ",IF(INDEX($AC$2:$AS$1001,MATCH(ROWS($V$2:V620),$V$2:$V$1001,0),MATCH(COLUMNS($AC$1006:AC1006),$AC$1006:$AS$1006,0)), HYPERLINK("#",""), HYPERLINK(CONCATENATE("#metadata!", ADDRESS(INDEX($X$2:$X$1001,MATCH(ROWS($V$2:V620),$V$2:$V$1001,0),0), INDEX($AC$1004:$AS$1004,1,MATCH(COLUMNS($AC$1006:AC1006),$AC$1006:$AS$1006,0)))),"Fix")))</f>
        <v xml:space="preserve"> </v>
      </c>
      <c r="C620" s="4" t="str">
        <f ca="1">IF(OR(INDEX($W$2:$W$1001,MATCH(ROWS($V$2:V620),$V$2:$V$1001,0),1)&gt;=100000,INDEX($AC$1005:$AS$1005,1,MATCH(COLUMNS($AC$1006:AD1006),$AC$1006:$AS$1006,0))&gt;=100000), " ",IF(INDEX($AC$2:$AS$1001,MATCH(ROWS($V$2:V620),$V$2:$V$1001,0),MATCH(COLUMNS($AC$1006:AD1006),$AC$1006:$AS$1006,0)), HYPERLINK("#",""), HYPERLINK(CONCATENATE("#metadata!", ADDRESS(INDEX($X$2:$X$1001,MATCH(ROWS($V$2:V620),$V$2:$V$1001,0),0), INDEX($AC$1004:$AS$1004,1,MATCH(COLUMNS($AC$1006:AD1006),$AC$1006:$AS$1006,0)))),"Fix")))</f>
        <v xml:space="preserve"> </v>
      </c>
      <c r="D620" s="4" t="str">
        <f ca="1">IF(OR(INDEX($W$2:$W$1001,MATCH(ROWS($V$2:V620),$V$2:$V$1001,0),1)&gt;=100000,INDEX($AC$1005:$AS$1005,1,MATCH(COLUMNS($AC$1006:AE1006),$AC$1006:$AS$1006,0))&gt;=100000), " ",IF(INDEX($AC$2:$AS$1001,MATCH(ROWS($V$2:V620),$V$2:$V$1001,0),MATCH(COLUMNS($AC$1006:AE1006),$AC$1006:$AS$1006,0)), HYPERLINK("#",""), HYPERLINK(CONCATENATE("#metadata!", ADDRESS(INDEX($X$2:$X$1001,MATCH(ROWS($V$2:V620),$V$2:$V$1001,0),0), INDEX($AC$1004:$AS$1004,1,MATCH(COLUMNS($AC$1006:AE1006),$AC$1006:$AS$1006,0)))),"Fix")))</f>
        <v xml:space="preserve"> </v>
      </c>
      <c r="E620" s="4" t="str">
        <f ca="1">IF(OR(INDEX($W$2:$W$1001,MATCH(ROWS($V$2:V620),$V$2:$V$1001,0),1)&gt;=100000,INDEX($AC$1005:$AS$1005,1,MATCH(COLUMNS($AC$1006:AF1006),$AC$1006:$AS$1006,0))&gt;=100000), " ",IF(INDEX($AC$2:$AS$1001,MATCH(ROWS($V$2:V620),$V$2:$V$1001,0),MATCH(COLUMNS($AC$1006:AF1006),$AC$1006:$AS$1006,0)), HYPERLINK("#",""), HYPERLINK(CONCATENATE("#metadata!", ADDRESS(INDEX($X$2:$X$1001,MATCH(ROWS($V$2:V620),$V$2:$V$1001,0),0), INDEX($AC$1004:$AS$1004,1,MATCH(COLUMNS($AC$1006:AF1006),$AC$1006:$AS$1006,0)))),"Fix")))</f>
        <v xml:space="preserve"> </v>
      </c>
      <c r="F620" s="4" t="str">
        <f ca="1">IF(OR(INDEX($W$2:$W$1001,MATCH(ROWS($V$2:V620),$V$2:$V$1001,0),1)&gt;=100000,INDEX($AC$1005:$AS$1005,1,MATCH(COLUMNS($AC$1006:AG1006),$AC$1006:$AS$1006,0))&gt;=100000), " ",IF(INDEX($AC$2:$AS$1001,MATCH(ROWS($V$2:V620),$V$2:$V$1001,0),MATCH(COLUMNS($AC$1006:AG1006),$AC$1006:$AS$1006,0)), HYPERLINK("#",""), HYPERLINK(CONCATENATE("#metadata!", ADDRESS(INDEX($X$2:$X$1001,MATCH(ROWS($V$2:V620),$V$2:$V$1001,0),0), INDEX($AC$1004:$AS$1004,1,MATCH(COLUMNS($AC$1006:AG1006),$AC$1006:$AS$1006,0)))),"Fix")))</f>
        <v xml:space="preserve"> </v>
      </c>
      <c r="G620" s="4" t="str">
        <f ca="1">IF(OR(INDEX($W$2:$W$1001,MATCH(ROWS($V$2:V620),$V$2:$V$1001,0),1)&gt;=100000,INDEX($AC$1005:$AS$1005,1,MATCH(COLUMNS($AC$1006:AH1006),$AC$1006:$AS$1006,0))&gt;=100000), " ",IF(INDEX($AC$2:$AS$1001,MATCH(ROWS($V$2:V620),$V$2:$V$1001,0),MATCH(COLUMNS($AC$1006:AH1006),$AC$1006:$AS$1006,0)), HYPERLINK("#",""), HYPERLINK(CONCATENATE("#metadata!", ADDRESS(INDEX($X$2:$X$1001,MATCH(ROWS($V$2:V620),$V$2:$V$1001,0),0), INDEX($AC$1004:$AS$1004,1,MATCH(COLUMNS($AC$1006:AH1006),$AC$1006:$AS$1006,0)))),"Fix")))</f>
        <v xml:space="preserve"> </v>
      </c>
      <c r="H620" s="4" t="str">
        <f ca="1">IF(OR(INDEX($W$2:$W$1001,MATCH(ROWS($V$2:V620),$V$2:$V$1001,0),1)&gt;=100000,INDEX($AC$1005:$AS$1005,1,MATCH(COLUMNS($AC$1006:AI1006),$AC$1006:$AS$1006,0))&gt;=100000), " ",IF(INDEX($AC$2:$AS$1001,MATCH(ROWS($V$2:V620),$V$2:$V$1001,0),MATCH(COLUMNS($AC$1006:AI1006),$AC$1006:$AS$1006,0)), HYPERLINK("#",""), HYPERLINK(CONCATENATE("#metadata!", ADDRESS(INDEX($X$2:$X$1001,MATCH(ROWS($V$2:V620),$V$2:$V$1001,0),0), INDEX($AC$1004:$AS$1004,1,MATCH(COLUMNS($AC$1006:AI1006),$AC$1006:$AS$1006,0)))),"Fix")))</f>
        <v xml:space="preserve"> </v>
      </c>
      <c r="I620" s="4" t="str">
        <f ca="1">IF(OR(INDEX($W$2:$W$1001,MATCH(ROWS($V$2:V620),$V$2:$V$1001,0),1)&gt;=100000,INDEX($AC$1005:$AS$1005,1,MATCH(COLUMNS($AC$1006:AJ1006),$AC$1006:$AS$1006,0))&gt;=100000), " ",IF(INDEX($AC$2:$AS$1001,MATCH(ROWS($V$2:V620),$V$2:$V$1001,0),MATCH(COLUMNS($AC$1006:AJ1006),$AC$1006:$AS$1006,0)), HYPERLINK("#",""), HYPERLINK(CONCATENATE("#metadata!", ADDRESS(INDEX($X$2:$X$1001,MATCH(ROWS($V$2:V620),$V$2:$V$1001,0),0), INDEX($AC$1004:$AS$1004,1,MATCH(COLUMNS($AC$1006:AJ1006),$AC$1006:$AS$1006,0)))),"Fix")))</f>
        <v xml:space="preserve"> </v>
      </c>
      <c r="J620" s="4" t="str">
        <f ca="1">IF(OR(INDEX($W$2:$W$1001,MATCH(ROWS($V$2:V620),$V$2:$V$1001,0),1)&gt;=100000,INDEX($AC$1005:$AS$1005,1,MATCH(COLUMNS($AC$1006:AK1006),$AC$1006:$AS$1006,0))&gt;=100000), " ",IF(INDEX($AC$2:$AS$1001,MATCH(ROWS($V$2:V620),$V$2:$V$1001,0),MATCH(COLUMNS($AC$1006:AK1006),$AC$1006:$AS$1006,0)), HYPERLINK("#",""), HYPERLINK(CONCATENATE("#metadata!", ADDRESS(INDEX($X$2:$X$1001,MATCH(ROWS($V$2:V620),$V$2:$V$1001,0),0), INDEX($AC$1004:$AS$1004,1,MATCH(COLUMNS($AC$1006:AK1006),$AC$1006:$AS$1006,0)))),"Fix")))</f>
        <v xml:space="preserve"> </v>
      </c>
      <c r="K620" s="4" t="str">
        <f ca="1">IF(OR(INDEX($W$2:$W$1001,MATCH(ROWS($V$2:V620),$V$2:$V$1001,0),1)&gt;=100000,INDEX($AC$1005:$AS$1005,1,MATCH(COLUMNS($AC$1006:AL1006),$AC$1006:$AS$1006,0))&gt;=100000), " ",IF(INDEX($AC$2:$AS$1001,MATCH(ROWS($V$2:V620),$V$2:$V$1001,0),MATCH(COLUMNS($AC$1006:AL1006),$AC$1006:$AS$1006,0)), HYPERLINK("#",""), HYPERLINK(CONCATENATE("#metadata!", ADDRESS(INDEX($X$2:$X$1001,MATCH(ROWS($V$2:V620),$V$2:$V$1001,0),0), INDEX($AC$1004:$AS$1004,1,MATCH(COLUMNS($AC$1006:AL1006),$AC$1006:$AS$1006,0)))),"Fix")))</f>
        <v xml:space="preserve"> </v>
      </c>
      <c r="L620" s="4" t="str">
        <f ca="1">IF(OR(INDEX($W$2:$W$1001,MATCH(ROWS($V$2:V620),$V$2:$V$1001,0),1)&gt;=100000,INDEX($AC$1005:$AS$1005,1,MATCH(COLUMNS($AC$1006:AM1006),$AC$1006:$AS$1006,0))&gt;=100000), " ",IF(INDEX($AC$2:$AS$1001,MATCH(ROWS($V$2:V620),$V$2:$V$1001,0),MATCH(COLUMNS($AC$1006:AM1006),$AC$1006:$AS$1006,0)), HYPERLINK("#",""), HYPERLINK(CONCATENATE("#metadata!", ADDRESS(INDEX($X$2:$X$1001,MATCH(ROWS($V$2:V620),$V$2:$V$1001,0),0), INDEX($AC$1004:$AS$1004,1,MATCH(COLUMNS($AC$1006:AM1006),$AC$1006:$AS$1006,0)))),"Fix")))</f>
        <v xml:space="preserve"> </v>
      </c>
      <c r="M620" s="4" t="str">
        <f ca="1">IF(OR(INDEX($W$2:$W$1001,MATCH(ROWS($V$2:V620),$V$2:$V$1001,0),1)&gt;=100000,INDEX($AC$1005:$AS$1005,1,MATCH(COLUMNS($AC$1006:AN1006),$AC$1006:$AS$1006,0))&gt;=100000), " ",IF(INDEX($AC$2:$AS$1001,MATCH(ROWS($V$2:V620),$V$2:$V$1001,0),MATCH(COLUMNS($AC$1006:AN1006),$AC$1006:$AS$1006,0)), HYPERLINK("#",""), HYPERLINK(CONCATENATE("#metadata!", ADDRESS(INDEX($X$2:$X$1001,MATCH(ROWS($V$2:V620),$V$2:$V$1001,0),0), INDEX($AC$1004:$AS$1004,1,MATCH(COLUMNS($AC$1006:AN1006),$AC$1006:$AS$1006,0)))),"Fix")))</f>
        <v xml:space="preserve"> </v>
      </c>
      <c r="N620" s="4" t="str">
        <f ca="1">IF(OR(INDEX($W$2:$W$1001,MATCH(ROWS($V$2:V620),$V$2:$V$1001,0),1)&gt;=100000,INDEX($AC$1005:$AS$1005,1,MATCH(COLUMNS($AC$1006:AO1006),$AC$1006:$AS$1006,0))&gt;=100000), " ",IF(INDEX($AC$2:$AS$1001,MATCH(ROWS($V$2:V620),$V$2:$V$1001,0),MATCH(COLUMNS($AC$1006:AO1006),$AC$1006:$AS$1006,0)), HYPERLINK("#",""), HYPERLINK(CONCATENATE("#metadata!", ADDRESS(INDEX($X$2:$X$1001,MATCH(ROWS($V$2:V620),$V$2:$V$1001,0),0), INDEX($AC$1004:$AS$1004,1,MATCH(COLUMNS($AC$1006:AO1006),$AC$1006:$AS$1006,0)))),"Fix")))</f>
        <v xml:space="preserve"> </v>
      </c>
      <c r="O620" s="4" t="str">
        <f ca="1">IF(OR(INDEX($W$2:$W$1001,MATCH(ROWS($V$2:V620),$V$2:$V$1001,0),1)&gt;=100000,INDEX($AC$1005:$AS$1005,1,MATCH(COLUMNS($AC$1006:AP1006),$AC$1006:$AS$1006,0))&gt;=100000), " ",IF(INDEX($AC$2:$AS$1001,MATCH(ROWS($V$2:V620),$V$2:$V$1001,0),MATCH(COLUMNS($AC$1006:AP1006),$AC$1006:$AS$1006,0)), HYPERLINK("#",""), HYPERLINK(CONCATENATE("#metadata!", ADDRESS(INDEX($X$2:$X$1001,MATCH(ROWS($V$2:V620),$V$2:$V$1001,0),0), INDEX($AC$1004:$AS$1004,1,MATCH(COLUMNS($AC$1006:AP1006),$AC$1006:$AS$1006,0)))),"Fix")))</f>
        <v xml:space="preserve"> </v>
      </c>
      <c r="P620" s="4" t="str">
        <f ca="1">IF(OR(INDEX($W$2:$W$1001,MATCH(ROWS($V$2:V620),$V$2:$V$1001,0),1)&gt;=100000,INDEX($AC$1005:$AS$1005,1,MATCH(COLUMNS($AC$1006:AQ1006),$AC$1006:$AS$1006,0))&gt;=100000), " ",IF(INDEX($AC$2:$AS$1001,MATCH(ROWS($V$2:V620),$V$2:$V$1001,0),MATCH(COLUMNS($AC$1006:AQ1006),$AC$1006:$AS$1006,0)), HYPERLINK("#",""), HYPERLINK(CONCATENATE("#metadata!", ADDRESS(INDEX($X$2:$X$1001,MATCH(ROWS($V$2:V620),$V$2:$V$1001,0),0), INDEX($AC$1004:$AS$1004,1,MATCH(COLUMNS($AC$1006:AQ1006),$AC$1006:$AS$1006,0)))),"Fix")))</f>
        <v xml:space="preserve"> </v>
      </c>
      <c r="Q620" s="4" t="str">
        <f ca="1">IF(OR(INDEX($W$2:$W$1001,MATCH(ROWS($V$2:V620),$V$2:$V$1001,0),1)&gt;=100000,INDEX($AC$1005:$AS$1005,1,MATCH(COLUMNS($AC$1006:AR1006),$AC$1006:$AS$1006,0))&gt;=100000), " ",IF(INDEX($AC$2:$AS$1001,MATCH(ROWS($V$2:V620),$V$2:$V$1001,0),MATCH(COLUMNS($AC$1006:AR1006),$AC$1006:$AS$1006,0)), HYPERLINK("#",""), HYPERLINK(CONCATENATE("#metadata!", ADDRESS(INDEX($X$2:$X$1001,MATCH(ROWS($V$2:V620),$V$2:$V$1001,0),0), INDEX($AC$1004:$AS$1004,1,MATCH(COLUMNS($AC$1006:AR1006),$AC$1006:$AS$1006,0)))),"Fix")))</f>
        <v xml:space="preserve"> </v>
      </c>
      <c r="R620" s="4" t="str">
        <f ca="1">IF(OR(INDEX($W$2:$W$1001,MATCH(ROWS($V$2:V620),$V$2:$V$1001,0),1)&gt;=100000,INDEX($AC$1005:$AS$1005,1,MATCH(COLUMNS($AC$1006:AS1006),$AC$1006:$AS$1006,0))&gt;=100000), " ",IF(INDEX($AC$2:$AS$1001,MATCH(ROWS($V$2:V620),$V$2:$V$1001,0),MATCH(COLUMNS($AC$1006:AS1006),$AC$1006:$AS$1006,0)), HYPERLINK("#",""), HYPERLINK(CONCATENATE("#metadata!", ADDRESS(INDEX($X$2:$X$1001,MATCH(ROWS($V$2:V620),$V$2:$V$1001,0),0), INDEX($AC$1004:$AS$1004,1,MATCH(COLUMNS($AC$1006:AS1006),$AC$1006:$AS$1006,0)))),"Fix")))</f>
        <v xml:space="preserve"> </v>
      </c>
      <c r="V620">
        <v>619</v>
      </c>
      <c r="W620">
        <v>100620</v>
      </c>
      <c r="X620">
        <v>620</v>
      </c>
      <c r="Y620" t="b">
        <f t="shared" si="9"/>
        <v>1</v>
      </c>
      <c r="Z620" t="b">
        <f>COUNTBLANK(metadata!B620:R620)=COLUMNS(metadata!B620:R620)</f>
        <v>1</v>
      </c>
      <c r="AA620" t="str">
        <v/>
      </c>
      <c r="AC620" t="b">
        <f ca="1"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AD620" t="b">
        <f>IF(metadata!C620="",FALSE,ISNUMBER(VALUE(metadata!C620)))</f>
        <v>0</v>
      </c>
      <c r="AE620" t="b">
        <f>AND(IF(metadata!D620="",FALSE,TRUE),EXACT(metadata!D620,"years"))</f>
        <v>0</v>
      </c>
      <c r="AF620" t="b">
        <f>OR(AND(IF(metadata!E620="",FALSE,TRUE),OR(EXACT(metadata!E620,"not applicable"),EXACT(metadata!E620,"missing: not collected"),EXACT(metadata!E620,"missing: not provided"),EXACT(metadata!E620,"missing: restricted access"))),AND(IF(metadata!E620="",FALSE,ISNUMBER(VALUE(metadata!E620))),metadata!E620&gt;0))</f>
        <v>0</v>
      </c>
      <c r="AG620" t="b">
        <f>AND(IF(metadata!F620="",FALSE,TRUE),EXACT(metadata!F620,"Not applicable"))</f>
        <v>0</v>
      </c>
      <c r="AH620" t="b">
        <f>AND(IF(metadata!G620="",FALSE,TRUE),EXACT(metadata!G620,"urban biome"))</f>
        <v>0</v>
      </c>
      <c r="AI620" t="b">
        <f>AND(IF(metadata!H620="",FALSE,TRUE),EXACT(metadata!H620,"human-associated habitat"))</f>
        <v>0</v>
      </c>
      <c r="AJ620" t="b">
        <f>AND(IF(metadata!I620="",FALSE,TRUE),OR(EXACT(metadata!I620,"human-associated"),EXACT(metadata!I620,"human-skin"),EXACT(metadata!I620,"human-oral"),EXACT(metadata!I620,"human-gut"),EXACT(metadata!I620,"human-vaginal")))</f>
        <v>0</v>
      </c>
      <c r="AK620" t="b">
        <f>IF(metadata!J620="",FALSE,ISNUMBER(VALUE(metadata!J620)))</f>
        <v>0</v>
      </c>
      <c r="AL620" t="b">
        <f>AND(IF(metadata!K620="",FALSE,TRUE),EXACT(metadata!K620,"cm"))</f>
        <v>0</v>
      </c>
      <c r="AM620" t="b">
        <f>AND(IF(metadata!L620="",FALSE,TRUE),EXACT(metadata!L620,"human"))</f>
        <v>0</v>
      </c>
      <c r="AN620" t="b">
        <f>AND(IF(metadata!M620="",FALSE,TRUE),EXACT(metadata!M620,"Homo sapiens"))</f>
        <v>0</v>
      </c>
      <c r="AO620" t="b">
        <f>AND(IF(metadata!N620="",FALSE,TRUE),EXACT(metadata!N620,"9606"))</f>
        <v>0</v>
      </c>
      <c r="AP620" t="b">
        <f>IF(metadata!O620="",FALSE,TRUE)</f>
        <v>0</v>
      </c>
      <c r="AQ620" t="b">
        <f>IF(metadata!P620="",FALSE,TRUE)</f>
        <v>0</v>
      </c>
      <c r="AR620" t="b">
        <f>IF(metadata!Q620="",FALSE,ISNUMBER(VALUE(metadata!Q620)))</f>
        <v>0</v>
      </c>
      <c r="AS620" t="b">
        <f>AND(IF(metadata!R620="",FALSE,TRUE),EXACT(metadata!R620,"kg"))</f>
        <v>0</v>
      </c>
    </row>
    <row r="621" spans="1:45" x14ac:dyDescent="0.2">
      <c r="A621" s="5" t="str">
        <f ca="1">IF(B621=" "," ",HYPERLINK(CONCATENATE("#metadata!",ADDRESS(INDEX($X$2:$X$1001,MATCH(ROWS($V$2:V621),$V$2:$V$1001,0),0),1)),INDEX($AA$2:$AA$1001,MATCH(ROWS($V$2:V621),$V$2:$V$1001,0),0)))</f>
        <v xml:space="preserve"> </v>
      </c>
      <c r="B621" s="4" t="str">
        <f ca="1">IF(OR(INDEX($W$2:$W$1001,MATCH(ROWS($V$2:V621),$V$2:$V$1001,0),1)&gt;=100000,INDEX($AC$1005:$AS$1005,1,MATCH(COLUMNS($AC$1006:AC1006),$AC$1006:$AS$1006,0))&gt;=100000), " ",IF(INDEX($AC$2:$AS$1001,MATCH(ROWS($V$2:V621),$V$2:$V$1001,0),MATCH(COLUMNS($AC$1006:AC1006),$AC$1006:$AS$1006,0)), HYPERLINK("#",""), HYPERLINK(CONCATENATE("#metadata!", ADDRESS(INDEX($X$2:$X$1001,MATCH(ROWS($V$2:V621),$V$2:$V$1001,0),0), INDEX($AC$1004:$AS$1004,1,MATCH(COLUMNS($AC$1006:AC1006),$AC$1006:$AS$1006,0)))),"Fix")))</f>
        <v xml:space="preserve"> </v>
      </c>
      <c r="C621" s="4" t="str">
        <f ca="1">IF(OR(INDEX($W$2:$W$1001,MATCH(ROWS($V$2:V621),$V$2:$V$1001,0),1)&gt;=100000,INDEX($AC$1005:$AS$1005,1,MATCH(COLUMNS($AC$1006:AD1006),$AC$1006:$AS$1006,0))&gt;=100000), " ",IF(INDEX($AC$2:$AS$1001,MATCH(ROWS($V$2:V621),$V$2:$V$1001,0),MATCH(COLUMNS($AC$1006:AD1006),$AC$1006:$AS$1006,0)), HYPERLINK("#",""), HYPERLINK(CONCATENATE("#metadata!", ADDRESS(INDEX($X$2:$X$1001,MATCH(ROWS($V$2:V621),$V$2:$V$1001,0),0), INDEX($AC$1004:$AS$1004,1,MATCH(COLUMNS($AC$1006:AD1006),$AC$1006:$AS$1006,0)))),"Fix")))</f>
        <v xml:space="preserve"> </v>
      </c>
      <c r="D621" s="4" t="str">
        <f ca="1">IF(OR(INDEX($W$2:$W$1001,MATCH(ROWS($V$2:V621),$V$2:$V$1001,0),1)&gt;=100000,INDEX($AC$1005:$AS$1005,1,MATCH(COLUMNS($AC$1006:AE1006),$AC$1006:$AS$1006,0))&gt;=100000), " ",IF(INDEX($AC$2:$AS$1001,MATCH(ROWS($V$2:V621),$V$2:$V$1001,0),MATCH(COLUMNS($AC$1006:AE1006),$AC$1006:$AS$1006,0)), HYPERLINK("#",""), HYPERLINK(CONCATENATE("#metadata!", ADDRESS(INDEX($X$2:$X$1001,MATCH(ROWS($V$2:V621),$V$2:$V$1001,0),0), INDEX($AC$1004:$AS$1004,1,MATCH(COLUMNS($AC$1006:AE1006),$AC$1006:$AS$1006,0)))),"Fix")))</f>
        <v xml:space="preserve"> </v>
      </c>
      <c r="E621" s="4" t="str">
        <f ca="1">IF(OR(INDEX($W$2:$W$1001,MATCH(ROWS($V$2:V621),$V$2:$V$1001,0),1)&gt;=100000,INDEX($AC$1005:$AS$1005,1,MATCH(COLUMNS($AC$1006:AF1006),$AC$1006:$AS$1006,0))&gt;=100000), " ",IF(INDEX($AC$2:$AS$1001,MATCH(ROWS($V$2:V621),$V$2:$V$1001,0),MATCH(COLUMNS($AC$1006:AF1006),$AC$1006:$AS$1006,0)), HYPERLINK("#",""), HYPERLINK(CONCATENATE("#metadata!", ADDRESS(INDEX($X$2:$X$1001,MATCH(ROWS($V$2:V621),$V$2:$V$1001,0),0), INDEX($AC$1004:$AS$1004,1,MATCH(COLUMNS($AC$1006:AF1006),$AC$1006:$AS$1006,0)))),"Fix")))</f>
        <v xml:space="preserve"> </v>
      </c>
      <c r="F621" s="4" t="str">
        <f ca="1">IF(OR(INDEX($W$2:$W$1001,MATCH(ROWS($V$2:V621),$V$2:$V$1001,0),1)&gt;=100000,INDEX($AC$1005:$AS$1005,1,MATCH(COLUMNS($AC$1006:AG1006),$AC$1006:$AS$1006,0))&gt;=100000), " ",IF(INDEX($AC$2:$AS$1001,MATCH(ROWS($V$2:V621),$V$2:$V$1001,0),MATCH(COLUMNS($AC$1006:AG1006),$AC$1006:$AS$1006,0)), HYPERLINK("#",""), HYPERLINK(CONCATENATE("#metadata!", ADDRESS(INDEX($X$2:$X$1001,MATCH(ROWS($V$2:V621),$V$2:$V$1001,0),0), INDEX($AC$1004:$AS$1004,1,MATCH(COLUMNS($AC$1006:AG1006),$AC$1006:$AS$1006,0)))),"Fix")))</f>
        <v xml:space="preserve"> </v>
      </c>
      <c r="G621" s="4" t="str">
        <f ca="1">IF(OR(INDEX($W$2:$W$1001,MATCH(ROWS($V$2:V621),$V$2:$V$1001,0),1)&gt;=100000,INDEX($AC$1005:$AS$1005,1,MATCH(COLUMNS($AC$1006:AH1006),$AC$1006:$AS$1006,0))&gt;=100000), " ",IF(INDEX($AC$2:$AS$1001,MATCH(ROWS($V$2:V621),$V$2:$V$1001,0),MATCH(COLUMNS($AC$1006:AH1006),$AC$1006:$AS$1006,0)), HYPERLINK("#",""), HYPERLINK(CONCATENATE("#metadata!", ADDRESS(INDEX($X$2:$X$1001,MATCH(ROWS($V$2:V621),$V$2:$V$1001,0),0), INDEX($AC$1004:$AS$1004,1,MATCH(COLUMNS($AC$1006:AH1006),$AC$1006:$AS$1006,0)))),"Fix")))</f>
        <v xml:space="preserve"> </v>
      </c>
      <c r="H621" s="4" t="str">
        <f ca="1">IF(OR(INDEX($W$2:$W$1001,MATCH(ROWS($V$2:V621),$V$2:$V$1001,0),1)&gt;=100000,INDEX($AC$1005:$AS$1005,1,MATCH(COLUMNS($AC$1006:AI1006),$AC$1006:$AS$1006,0))&gt;=100000), " ",IF(INDEX($AC$2:$AS$1001,MATCH(ROWS($V$2:V621),$V$2:$V$1001,0),MATCH(COLUMNS($AC$1006:AI1006),$AC$1006:$AS$1006,0)), HYPERLINK("#",""), HYPERLINK(CONCATENATE("#metadata!", ADDRESS(INDEX($X$2:$X$1001,MATCH(ROWS($V$2:V621),$V$2:$V$1001,0),0), INDEX($AC$1004:$AS$1004,1,MATCH(COLUMNS($AC$1006:AI1006),$AC$1006:$AS$1006,0)))),"Fix")))</f>
        <v xml:space="preserve"> </v>
      </c>
      <c r="I621" s="4" t="str">
        <f ca="1">IF(OR(INDEX($W$2:$W$1001,MATCH(ROWS($V$2:V621),$V$2:$V$1001,0),1)&gt;=100000,INDEX($AC$1005:$AS$1005,1,MATCH(COLUMNS($AC$1006:AJ1006),$AC$1006:$AS$1006,0))&gt;=100000), " ",IF(INDEX($AC$2:$AS$1001,MATCH(ROWS($V$2:V621),$V$2:$V$1001,0),MATCH(COLUMNS($AC$1006:AJ1006),$AC$1006:$AS$1006,0)), HYPERLINK("#",""), HYPERLINK(CONCATENATE("#metadata!", ADDRESS(INDEX($X$2:$X$1001,MATCH(ROWS($V$2:V621),$V$2:$V$1001,0),0), INDEX($AC$1004:$AS$1004,1,MATCH(COLUMNS($AC$1006:AJ1006),$AC$1006:$AS$1006,0)))),"Fix")))</f>
        <v xml:space="preserve"> </v>
      </c>
      <c r="J621" s="4" t="str">
        <f ca="1">IF(OR(INDEX($W$2:$W$1001,MATCH(ROWS($V$2:V621),$V$2:$V$1001,0),1)&gt;=100000,INDEX($AC$1005:$AS$1005,1,MATCH(COLUMNS($AC$1006:AK1006),$AC$1006:$AS$1006,0))&gt;=100000), " ",IF(INDEX($AC$2:$AS$1001,MATCH(ROWS($V$2:V621),$V$2:$V$1001,0),MATCH(COLUMNS($AC$1006:AK1006),$AC$1006:$AS$1006,0)), HYPERLINK("#",""), HYPERLINK(CONCATENATE("#metadata!", ADDRESS(INDEX($X$2:$X$1001,MATCH(ROWS($V$2:V621),$V$2:$V$1001,0),0), INDEX($AC$1004:$AS$1004,1,MATCH(COLUMNS($AC$1006:AK1006),$AC$1006:$AS$1006,0)))),"Fix")))</f>
        <v xml:space="preserve"> </v>
      </c>
      <c r="K621" s="4" t="str">
        <f ca="1">IF(OR(INDEX($W$2:$W$1001,MATCH(ROWS($V$2:V621),$V$2:$V$1001,0),1)&gt;=100000,INDEX($AC$1005:$AS$1005,1,MATCH(COLUMNS($AC$1006:AL1006),$AC$1006:$AS$1006,0))&gt;=100000), " ",IF(INDEX($AC$2:$AS$1001,MATCH(ROWS($V$2:V621),$V$2:$V$1001,0),MATCH(COLUMNS($AC$1006:AL1006),$AC$1006:$AS$1006,0)), HYPERLINK("#",""), HYPERLINK(CONCATENATE("#metadata!", ADDRESS(INDEX($X$2:$X$1001,MATCH(ROWS($V$2:V621),$V$2:$V$1001,0),0), INDEX($AC$1004:$AS$1004,1,MATCH(COLUMNS($AC$1006:AL1006),$AC$1006:$AS$1006,0)))),"Fix")))</f>
        <v xml:space="preserve"> </v>
      </c>
      <c r="L621" s="4" t="str">
        <f ca="1">IF(OR(INDEX($W$2:$W$1001,MATCH(ROWS($V$2:V621),$V$2:$V$1001,0),1)&gt;=100000,INDEX($AC$1005:$AS$1005,1,MATCH(COLUMNS($AC$1006:AM1006),$AC$1006:$AS$1006,0))&gt;=100000), " ",IF(INDEX($AC$2:$AS$1001,MATCH(ROWS($V$2:V621),$V$2:$V$1001,0),MATCH(COLUMNS($AC$1006:AM1006),$AC$1006:$AS$1006,0)), HYPERLINK("#",""), HYPERLINK(CONCATENATE("#metadata!", ADDRESS(INDEX($X$2:$X$1001,MATCH(ROWS($V$2:V621),$V$2:$V$1001,0),0), INDEX($AC$1004:$AS$1004,1,MATCH(COLUMNS($AC$1006:AM1006),$AC$1006:$AS$1006,0)))),"Fix")))</f>
        <v xml:space="preserve"> </v>
      </c>
      <c r="M621" s="4" t="str">
        <f ca="1">IF(OR(INDEX($W$2:$W$1001,MATCH(ROWS($V$2:V621),$V$2:$V$1001,0),1)&gt;=100000,INDEX($AC$1005:$AS$1005,1,MATCH(COLUMNS($AC$1006:AN1006),$AC$1006:$AS$1006,0))&gt;=100000), " ",IF(INDEX($AC$2:$AS$1001,MATCH(ROWS($V$2:V621),$V$2:$V$1001,0),MATCH(COLUMNS($AC$1006:AN1006),$AC$1006:$AS$1006,0)), HYPERLINK("#",""), HYPERLINK(CONCATENATE("#metadata!", ADDRESS(INDEX($X$2:$X$1001,MATCH(ROWS($V$2:V621),$V$2:$V$1001,0),0), INDEX($AC$1004:$AS$1004,1,MATCH(COLUMNS($AC$1006:AN1006),$AC$1006:$AS$1006,0)))),"Fix")))</f>
        <v xml:space="preserve"> </v>
      </c>
      <c r="N621" s="4" t="str">
        <f ca="1">IF(OR(INDEX($W$2:$W$1001,MATCH(ROWS($V$2:V621),$V$2:$V$1001,0),1)&gt;=100000,INDEX($AC$1005:$AS$1005,1,MATCH(COLUMNS($AC$1006:AO1006),$AC$1006:$AS$1006,0))&gt;=100000), " ",IF(INDEX($AC$2:$AS$1001,MATCH(ROWS($V$2:V621),$V$2:$V$1001,0),MATCH(COLUMNS($AC$1006:AO1006),$AC$1006:$AS$1006,0)), HYPERLINK("#",""), HYPERLINK(CONCATENATE("#metadata!", ADDRESS(INDEX($X$2:$X$1001,MATCH(ROWS($V$2:V621),$V$2:$V$1001,0),0), INDEX($AC$1004:$AS$1004,1,MATCH(COLUMNS($AC$1006:AO1006),$AC$1006:$AS$1006,0)))),"Fix")))</f>
        <v xml:space="preserve"> </v>
      </c>
      <c r="O621" s="4" t="str">
        <f ca="1">IF(OR(INDEX($W$2:$W$1001,MATCH(ROWS($V$2:V621),$V$2:$V$1001,0),1)&gt;=100000,INDEX($AC$1005:$AS$1005,1,MATCH(COLUMNS($AC$1006:AP1006),$AC$1006:$AS$1006,0))&gt;=100000), " ",IF(INDEX($AC$2:$AS$1001,MATCH(ROWS($V$2:V621),$V$2:$V$1001,0),MATCH(COLUMNS($AC$1006:AP1006),$AC$1006:$AS$1006,0)), HYPERLINK("#",""), HYPERLINK(CONCATENATE("#metadata!", ADDRESS(INDEX($X$2:$X$1001,MATCH(ROWS($V$2:V621),$V$2:$V$1001,0),0), INDEX($AC$1004:$AS$1004,1,MATCH(COLUMNS($AC$1006:AP1006),$AC$1006:$AS$1006,0)))),"Fix")))</f>
        <v xml:space="preserve"> </v>
      </c>
      <c r="P621" s="4" t="str">
        <f ca="1">IF(OR(INDEX($W$2:$W$1001,MATCH(ROWS($V$2:V621),$V$2:$V$1001,0),1)&gt;=100000,INDEX($AC$1005:$AS$1005,1,MATCH(COLUMNS($AC$1006:AQ1006),$AC$1006:$AS$1006,0))&gt;=100000), " ",IF(INDEX($AC$2:$AS$1001,MATCH(ROWS($V$2:V621),$V$2:$V$1001,0),MATCH(COLUMNS($AC$1006:AQ1006),$AC$1006:$AS$1006,0)), HYPERLINK("#",""), HYPERLINK(CONCATENATE("#metadata!", ADDRESS(INDEX($X$2:$X$1001,MATCH(ROWS($V$2:V621),$V$2:$V$1001,0),0), INDEX($AC$1004:$AS$1004,1,MATCH(COLUMNS($AC$1006:AQ1006),$AC$1006:$AS$1006,0)))),"Fix")))</f>
        <v xml:space="preserve"> </v>
      </c>
      <c r="Q621" s="4" t="str">
        <f ca="1">IF(OR(INDEX($W$2:$W$1001,MATCH(ROWS($V$2:V621),$V$2:$V$1001,0),1)&gt;=100000,INDEX($AC$1005:$AS$1005,1,MATCH(COLUMNS($AC$1006:AR1006),$AC$1006:$AS$1006,0))&gt;=100000), " ",IF(INDEX($AC$2:$AS$1001,MATCH(ROWS($V$2:V621),$V$2:$V$1001,0),MATCH(COLUMNS($AC$1006:AR1006),$AC$1006:$AS$1006,0)), HYPERLINK("#",""), HYPERLINK(CONCATENATE("#metadata!", ADDRESS(INDEX($X$2:$X$1001,MATCH(ROWS($V$2:V621),$V$2:$V$1001,0),0), INDEX($AC$1004:$AS$1004,1,MATCH(COLUMNS($AC$1006:AR1006),$AC$1006:$AS$1006,0)))),"Fix")))</f>
        <v xml:space="preserve"> </v>
      </c>
      <c r="R621" s="4" t="str">
        <f ca="1">IF(OR(INDEX($W$2:$W$1001,MATCH(ROWS($V$2:V621),$V$2:$V$1001,0),1)&gt;=100000,INDEX($AC$1005:$AS$1005,1,MATCH(COLUMNS($AC$1006:AS1006),$AC$1006:$AS$1006,0))&gt;=100000), " ",IF(INDEX($AC$2:$AS$1001,MATCH(ROWS($V$2:V621),$V$2:$V$1001,0),MATCH(COLUMNS($AC$1006:AS1006),$AC$1006:$AS$1006,0)), HYPERLINK("#",""), HYPERLINK(CONCATENATE("#metadata!", ADDRESS(INDEX($X$2:$X$1001,MATCH(ROWS($V$2:V621),$V$2:$V$1001,0),0), INDEX($AC$1004:$AS$1004,1,MATCH(COLUMNS($AC$1006:AS1006),$AC$1006:$AS$1006,0)))),"Fix")))</f>
        <v xml:space="preserve"> </v>
      </c>
      <c r="V621">
        <v>620</v>
      </c>
      <c r="W621">
        <v>100621</v>
      </c>
      <c r="X621">
        <v>621</v>
      </c>
      <c r="Y621" t="b">
        <f t="shared" si="9"/>
        <v>1</v>
      </c>
      <c r="Z621" t="b">
        <f>COUNTBLANK(metadata!B621:R621)=COLUMNS(metadata!B621:R621)</f>
        <v>1</v>
      </c>
      <c r="AA621" t="str">
        <v/>
      </c>
      <c r="AC621" t="b">
        <f ca="1"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AD621" t="b">
        <f>IF(metadata!C621="",FALSE,ISNUMBER(VALUE(metadata!C621)))</f>
        <v>0</v>
      </c>
      <c r="AE621" t="b">
        <f>AND(IF(metadata!D621="",FALSE,TRUE),EXACT(metadata!D621,"years"))</f>
        <v>0</v>
      </c>
      <c r="AF621" t="b">
        <f>OR(AND(IF(metadata!E621="",FALSE,TRUE),OR(EXACT(metadata!E621,"not applicable"),EXACT(metadata!E621,"missing: not collected"),EXACT(metadata!E621,"missing: not provided"),EXACT(metadata!E621,"missing: restricted access"))),AND(IF(metadata!E621="",FALSE,ISNUMBER(VALUE(metadata!E621))),metadata!E621&gt;0))</f>
        <v>0</v>
      </c>
      <c r="AG621" t="b">
        <f>AND(IF(metadata!F621="",FALSE,TRUE),EXACT(metadata!F621,"Not applicable"))</f>
        <v>0</v>
      </c>
      <c r="AH621" t="b">
        <f>AND(IF(metadata!G621="",FALSE,TRUE),EXACT(metadata!G621,"urban biome"))</f>
        <v>0</v>
      </c>
      <c r="AI621" t="b">
        <f>AND(IF(metadata!H621="",FALSE,TRUE),EXACT(metadata!H621,"human-associated habitat"))</f>
        <v>0</v>
      </c>
      <c r="AJ621" t="b">
        <f>AND(IF(metadata!I621="",FALSE,TRUE),OR(EXACT(metadata!I621,"human-associated"),EXACT(metadata!I621,"human-skin"),EXACT(metadata!I621,"human-oral"),EXACT(metadata!I621,"human-gut"),EXACT(metadata!I621,"human-vaginal")))</f>
        <v>0</v>
      </c>
      <c r="AK621" t="b">
        <f>IF(metadata!J621="",FALSE,ISNUMBER(VALUE(metadata!J621)))</f>
        <v>0</v>
      </c>
      <c r="AL621" t="b">
        <f>AND(IF(metadata!K621="",FALSE,TRUE),EXACT(metadata!K621,"cm"))</f>
        <v>0</v>
      </c>
      <c r="AM621" t="b">
        <f>AND(IF(metadata!L621="",FALSE,TRUE),EXACT(metadata!L621,"human"))</f>
        <v>0</v>
      </c>
      <c r="AN621" t="b">
        <f>AND(IF(metadata!M621="",FALSE,TRUE),EXACT(metadata!M621,"Homo sapiens"))</f>
        <v>0</v>
      </c>
      <c r="AO621" t="b">
        <f>AND(IF(metadata!N621="",FALSE,TRUE),EXACT(metadata!N621,"9606"))</f>
        <v>0</v>
      </c>
      <c r="AP621" t="b">
        <f>IF(metadata!O621="",FALSE,TRUE)</f>
        <v>0</v>
      </c>
      <c r="AQ621" t="b">
        <f>IF(metadata!P621="",FALSE,TRUE)</f>
        <v>0</v>
      </c>
      <c r="AR621" t="b">
        <f>IF(metadata!Q621="",FALSE,ISNUMBER(VALUE(metadata!Q621)))</f>
        <v>0</v>
      </c>
      <c r="AS621" t="b">
        <f>AND(IF(metadata!R621="",FALSE,TRUE),EXACT(metadata!R621,"kg"))</f>
        <v>0</v>
      </c>
    </row>
    <row r="622" spans="1:45" x14ac:dyDescent="0.2">
      <c r="A622" s="5" t="str">
        <f ca="1">IF(B622=" "," ",HYPERLINK(CONCATENATE("#metadata!",ADDRESS(INDEX($X$2:$X$1001,MATCH(ROWS($V$2:V622),$V$2:$V$1001,0),0),1)),INDEX($AA$2:$AA$1001,MATCH(ROWS($V$2:V622),$V$2:$V$1001,0),0)))</f>
        <v xml:space="preserve"> </v>
      </c>
      <c r="B622" s="4" t="str">
        <f ca="1">IF(OR(INDEX($W$2:$W$1001,MATCH(ROWS($V$2:V622),$V$2:$V$1001,0),1)&gt;=100000,INDEX($AC$1005:$AS$1005,1,MATCH(COLUMNS($AC$1006:AC1006),$AC$1006:$AS$1006,0))&gt;=100000), " ",IF(INDEX($AC$2:$AS$1001,MATCH(ROWS($V$2:V622),$V$2:$V$1001,0),MATCH(COLUMNS($AC$1006:AC1006),$AC$1006:$AS$1006,0)), HYPERLINK("#",""), HYPERLINK(CONCATENATE("#metadata!", ADDRESS(INDEX($X$2:$X$1001,MATCH(ROWS($V$2:V622),$V$2:$V$1001,0),0), INDEX($AC$1004:$AS$1004,1,MATCH(COLUMNS($AC$1006:AC1006),$AC$1006:$AS$1006,0)))),"Fix")))</f>
        <v xml:space="preserve"> </v>
      </c>
      <c r="C622" s="4" t="str">
        <f ca="1">IF(OR(INDEX($W$2:$W$1001,MATCH(ROWS($V$2:V622),$V$2:$V$1001,0),1)&gt;=100000,INDEX($AC$1005:$AS$1005,1,MATCH(COLUMNS($AC$1006:AD1006),$AC$1006:$AS$1006,0))&gt;=100000), " ",IF(INDEX($AC$2:$AS$1001,MATCH(ROWS($V$2:V622),$V$2:$V$1001,0),MATCH(COLUMNS($AC$1006:AD1006),$AC$1006:$AS$1006,0)), HYPERLINK("#",""), HYPERLINK(CONCATENATE("#metadata!", ADDRESS(INDEX($X$2:$X$1001,MATCH(ROWS($V$2:V622),$V$2:$V$1001,0),0), INDEX($AC$1004:$AS$1004,1,MATCH(COLUMNS($AC$1006:AD1006),$AC$1006:$AS$1006,0)))),"Fix")))</f>
        <v xml:space="preserve"> </v>
      </c>
      <c r="D622" s="4" t="str">
        <f ca="1">IF(OR(INDEX($W$2:$W$1001,MATCH(ROWS($V$2:V622),$V$2:$V$1001,0),1)&gt;=100000,INDEX($AC$1005:$AS$1005,1,MATCH(COLUMNS($AC$1006:AE1006),$AC$1006:$AS$1006,0))&gt;=100000), " ",IF(INDEX($AC$2:$AS$1001,MATCH(ROWS($V$2:V622),$V$2:$V$1001,0),MATCH(COLUMNS($AC$1006:AE1006),$AC$1006:$AS$1006,0)), HYPERLINK("#",""), HYPERLINK(CONCATENATE("#metadata!", ADDRESS(INDEX($X$2:$X$1001,MATCH(ROWS($V$2:V622),$V$2:$V$1001,0),0), INDEX($AC$1004:$AS$1004,1,MATCH(COLUMNS($AC$1006:AE1006),$AC$1006:$AS$1006,0)))),"Fix")))</f>
        <v xml:space="preserve"> </v>
      </c>
      <c r="E622" s="4" t="str">
        <f ca="1">IF(OR(INDEX($W$2:$W$1001,MATCH(ROWS($V$2:V622),$V$2:$V$1001,0),1)&gt;=100000,INDEX($AC$1005:$AS$1005,1,MATCH(COLUMNS($AC$1006:AF1006),$AC$1006:$AS$1006,0))&gt;=100000), " ",IF(INDEX($AC$2:$AS$1001,MATCH(ROWS($V$2:V622),$V$2:$V$1001,0),MATCH(COLUMNS($AC$1006:AF1006),$AC$1006:$AS$1006,0)), HYPERLINK("#",""), HYPERLINK(CONCATENATE("#metadata!", ADDRESS(INDEX($X$2:$X$1001,MATCH(ROWS($V$2:V622),$V$2:$V$1001,0),0), INDEX($AC$1004:$AS$1004,1,MATCH(COLUMNS($AC$1006:AF1006),$AC$1006:$AS$1006,0)))),"Fix")))</f>
        <v xml:space="preserve"> </v>
      </c>
      <c r="F622" s="4" t="str">
        <f ca="1">IF(OR(INDEX($W$2:$W$1001,MATCH(ROWS($V$2:V622),$V$2:$V$1001,0),1)&gt;=100000,INDEX($AC$1005:$AS$1005,1,MATCH(COLUMNS($AC$1006:AG1006),$AC$1006:$AS$1006,0))&gt;=100000), " ",IF(INDEX($AC$2:$AS$1001,MATCH(ROWS($V$2:V622),$V$2:$V$1001,0),MATCH(COLUMNS($AC$1006:AG1006),$AC$1006:$AS$1006,0)), HYPERLINK("#",""), HYPERLINK(CONCATENATE("#metadata!", ADDRESS(INDEX($X$2:$X$1001,MATCH(ROWS($V$2:V622),$V$2:$V$1001,0),0), INDEX($AC$1004:$AS$1004,1,MATCH(COLUMNS($AC$1006:AG1006),$AC$1006:$AS$1006,0)))),"Fix")))</f>
        <v xml:space="preserve"> </v>
      </c>
      <c r="G622" s="4" t="str">
        <f ca="1">IF(OR(INDEX($W$2:$W$1001,MATCH(ROWS($V$2:V622),$V$2:$V$1001,0),1)&gt;=100000,INDEX($AC$1005:$AS$1005,1,MATCH(COLUMNS($AC$1006:AH1006),$AC$1006:$AS$1006,0))&gt;=100000), " ",IF(INDEX($AC$2:$AS$1001,MATCH(ROWS($V$2:V622),$V$2:$V$1001,0),MATCH(COLUMNS($AC$1006:AH1006),$AC$1006:$AS$1006,0)), HYPERLINK("#",""), HYPERLINK(CONCATENATE("#metadata!", ADDRESS(INDEX($X$2:$X$1001,MATCH(ROWS($V$2:V622),$V$2:$V$1001,0),0), INDEX($AC$1004:$AS$1004,1,MATCH(COLUMNS($AC$1006:AH1006),$AC$1006:$AS$1006,0)))),"Fix")))</f>
        <v xml:space="preserve"> </v>
      </c>
      <c r="H622" s="4" t="str">
        <f ca="1">IF(OR(INDEX($W$2:$W$1001,MATCH(ROWS($V$2:V622),$V$2:$V$1001,0),1)&gt;=100000,INDEX($AC$1005:$AS$1005,1,MATCH(COLUMNS($AC$1006:AI1006),$AC$1006:$AS$1006,0))&gt;=100000), " ",IF(INDEX($AC$2:$AS$1001,MATCH(ROWS($V$2:V622),$V$2:$V$1001,0),MATCH(COLUMNS($AC$1006:AI1006),$AC$1006:$AS$1006,0)), HYPERLINK("#",""), HYPERLINK(CONCATENATE("#metadata!", ADDRESS(INDEX($X$2:$X$1001,MATCH(ROWS($V$2:V622),$V$2:$V$1001,0),0), INDEX($AC$1004:$AS$1004,1,MATCH(COLUMNS($AC$1006:AI1006),$AC$1006:$AS$1006,0)))),"Fix")))</f>
        <v xml:space="preserve"> </v>
      </c>
      <c r="I622" s="4" t="str">
        <f ca="1">IF(OR(INDEX($W$2:$W$1001,MATCH(ROWS($V$2:V622),$V$2:$V$1001,0),1)&gt;=100000,INDEX($AC$1005:$AS$1005,1,MATCH(COLUMNS($AC$1006:AJ1006),$AC$1006:$AS$1006,0))&gt;=100000), " ",IF(INDEX($AC$2:$AS$1001,MATCH(ROWS($V$2:V622),$V$2:$V$1001,0),MATCH(COLUMNS($AC$1006:AJ1006),$AC$1006:$AS$1006,0)), HYPERLINK("#",""), HYPERLINK(CONCATENATE("#metadata!", ADDRESS(INDEX($X$2:$X$1001,MATCH(ROWS($V$2:V622),$V$2:$V$1001,0),0), INDEX($AC$1004:$AS$1004,1,MATCH(COLUMNS($AC$1006:AJ1006),$AC$1006:$AS$1006,0)))),"Fix")))</f>
        <v xml:space="preserve"> </v>
      </c>
      <c r="J622" s="4" t="str">
        <f ca="1">IF(OR(INDEX($W$2:$W$1001,MATCH(ROWS($V$2:V622),$V$2:$V$1001,0),1)&gt;=100000,INDEX($AC$1005:$AS$1005,1,MATCH(COLUMNS($AC$1006:AK1006),$AC$1006:$AS$1006,0))&gt;=100000), " ",IF(INDEX($AC$2:$AS$1001,MATCH(ROWS($V$2:V622),$V$2:$V$1001,0),MATCH(COLUMNS($AC$1006:AK1006),$AC$1006:$AS$1006,0)), HYPERLINK("#",""), HYPERLINK(CONCATENATE("#metadata!", ADDRESS(INDEX($X$2:$X$1001,MATCH(ROWS($V$2:V622),$V$2:$V$1001,0),0), INDEX($AC$1004:$AS$1004,1,MATCH(COLUMNS($AC$1006:AK1006),$AC$1006:$AS$1006,0)))),"Fix")))</f>
        <v xml:space="preserve"> </v>
      </c>
      <c r="K622" s="4" t="str">
        <f ca="1">IF(OR(INDEX($W$2:$W$1001,MATCH(ROWS($V$2:V622),$V$2:$V$1001,0),1)&gt;=100000,INDEX($AC$1005:$AS$1005,1,MATCH(COLUMNS($AC$1006:AL1006),$AC$1006:$AS$1006,0))&gt;=100000), " ",IF(INDEX($AC$2:$AS$1001,MATCH(ROWS($V$2:V622),$V$2:$V$1001,0),MATCH(COLUMNS($AC$1006:AL1006),$AC$1006:$AS$1006,0)), HYPERLINK("#",""), HYPERLINK(CONCATENATE("#metadata!", ADDRESS(INDEX($X$2:$X$1001,MATCH(ROWS($V$2:V622),$V$2:$V$1001,0),0), INDEX($AC$1004:$AS$1004,1,MATCH(COLUMNS($AC$1006:AL1006),$AC$1006:$AS$1006,0)))),"Fix")))</f>
        <v xml:space="preserve"> </v>
      </c>
      <c r="L622" s="4" t="str">
        <f ca="1">IF(OR(INDEX($W$2:$W$1001,MATCH(ROWS($V$2:V622),$V$2:$V$1001,0),1)&gt;=100000,INDEX($AC$1005:$AS$1005,1,MATCH(COLUMNS($AC$1006:AM1006),$AC$1006:$AS$1006,0))&gt;=100000), " ",IF(INDEX($AC$2:$AS$1001,MATCH(ROWS($V$2:V622),$V$2:$V$1001,0),MATCH(COLUMNS($AC$1006:AM1006),$AC$1006:$AS$1006,0)), HYPERLINK("#",""), HYPERLINK(CONCATENATE("#metadata!", ADDRESS(INDEX($X$2:$X$1001,MATCH(ROWS($V$2:V622),$V$2:$V$1001,0),0), INDEX($AC$1004:$AS$1004,1,MATCH(COLUMNS($AC$1006:AM1006),$AC$1006:$AS$1006,0)))),"Fix")))</f>
        <v xml:space="preserve"> </v>
      </c>
      <c r="M622" s="4" t="str">
        <f ca="1">IF(OR(INDEX($W$2:$W$1001,MATCH(ROWS($V$2:V622),$V$2:$V$1001,0),1)&gt;=100000,INDEX($AC$1005:$AS$1005,1,MATCH(COLUMNS($AC$1006:AN1006),$AC$1006:$AS$1006,0))&gt;=100000), " ",IF(INDEX($AC$2:$AS$1001,MATCH(ROWS($V$2:V622),$V$2:$V$1001,0),MATCH(COLUMNS($AC$1006:AN1006),$AC$1006:$AS$1006,0)), HYPERLINK("#",""), HYPERLINK(CONCATENATE("#metadata!", ADDRESS(INDEX($X$2:$X$1001,MATCH(ROWS($V$2:V622),$V$2:$V$1001,0),0), INDEX($AC$1004:$AS$1004,1,MATCH(COLUMNS($AC$1006:AN1006),$AC$1006:$AS$1006,0)))),"Fix")))</f>
        <v xml:space="preserve"> </v>
      </c>
      <c r="N622" s="4" t="str">
        <f ca="1">IF(OR(INDEX($W$2:$W$1001,MATCH(ROWS($V$2:V622),$V$2:$V$1001,0),1)&gt;=100000,INDEX($AC$1005:$AS$1005,1,MATCH(COLUMNS($AC$1006:AO1006),$AC$1006:$AS$1006,0))&gt;=100000), " ",IF(INDEX($AC$2:$AS$1001,MATCH(ROWS($V$2:V622),$V$2:$V$1001,0),MATCH(COLUMNS($AC$1006:AO1006),$AC$1006:$AS$1006,0)), HYPERLINK("#",""), HYPERLINK(CONCATENATE("#metadata!", ADDRESS(INDEX($X$2:$X$1001,MATCH(ROWS($V$2:V622),$V$2:$V$1001,0),0), INDEX($AC$1004:$AS$1004,1,MATCH(COLUMNS($AC$1006:AO1006),$AC$1006:$AS$1006,0)))),"Fix")))</f>
        <v xml:space="preserve"> </v>
      </c>
      <c r="O622" s="4" t="str">
        <f ca="1">IF(OR(INDEX($W$2:$W$1001,MATCH(ROWS($V$2:V622),$V$2:$V$1001,0),1)&gt;=100000,INDEX($AC$1005:$AS$1005,1,MATCH(COLUMNS($AC$1006:AP1006),$AC$1006:$AS$1006,0))&gt;=100000), " ",IF(INDEX($AC$2:$AS$1001,MATCH(ROWS($V$2:V622),$V$2:$V$1001,0),MATCH(COLUMNS($AC$1006:AP1006),$AC$1006:$AS$1006,0)), HYPERLINK("#",""), HYPERLINK(CONCATENATE("#metadata!", ADDRESS(INDEX($X$2:$X$1001,MATCH(ROWS($V$2:V622),$V$2:$V$1001,0),0), INDEX($AC$1004:$AS$1004,1,MATCH(COLUMNS($AC$1006:AP1006),$AC$1006:$AS$1006,0)))),"Fix")))</f>
        <v xml:space="preserve"> </v>
      </c>
      <c r="P622" s="4" t="str">
        <f ca="1">IF(OR(INDEX($W$2:$W$1001,MATCH(ROWS($V$2:V622),$V$2:$V$1001,0),1)&gt;=100000,INDEX($AC$1005:$AS$1005,1,MATCH(COLUMNS($AC$1006:AQ1006),$AC$1006:$AS$1006,0))&gt;=100000), " ",IF(INDEX($AC$2:$AS$1001,MATCH(ROWS($V$2:V622),$V$2:$V$1001,0),MATCH(COLUMNS($AC$1006:AQ1006),$AC$1006:$AS$1006,0)), HYPERLINK("#",""), HYPERLINK(CONCATENATE("#metadata!", ADDRESS(INDEX($X$2:$X$1001,MATCH(ROWS($V$2:V622),$V$2:$V$1001,0),0), INDEX($AC$1004:$AS$1004,1,MATCH(COLUMNS($AC$1006:AQ1006),$AC$1006:$AS$1006,0)))),"Fix")))</f>
        <v xml:space="preserve"> </v>
      </c>
      <c r="Q622" s="4" t="str">
        <f ca="1">IF(OR(INDEX($W$2:$W$1001,MATCH(ROWS($V$2:V622),$V$2:$V$1001,0),1)&gt;=100000,INDEX($AC$1005:$AS$1005,1,MATCH(COLUMNS($AC$1006:AR1006),$AC$1006:$AS$1006,0))&gt;=100000), " ",IF(INDEX($AC$2:$AS$1001,MATCH(ROWS($V$2:V622),$V$2:$V$1001,0),MATCH(COLUMNS($AC$1006:AR1006),$AC$1006:$AS$1006,0)), HYPERLINK("#",""), HYPERLINK(CONCATENATE("#metadata!", ADDRESS(INDEX($X$2:$X$1001,MATCH(ROWS($V$2:V622),$V$2:$V$1001,0),0), INDEX($AC$1004:$AS$1004,1,MATCH(COLUMNS($AC$1006:AR1006),$AC$1006:$AS$1006,0)))),"Fix")))</f>
        <v xml:space="preserve"> </v>
      </c>
      <c r="R622" s="4" t="str">
        <f ca="1">IF(OR(INDEX($W$2:$W$1001,MATCH(ROWS($V$2:V622),$V$2:$V$1001,0),1)&gt;=100000,INDEX($AC$1005:$AS$1005,1,MATCH(COLUMNS($AC$1006:AS1006),$AC$1006:$AS$1006,0))&gt;=100000), " ",IF(INDEX($AC$2:$AS$1001,MATCH(ROWS($V$2:V622),$V$2:$V$1001,0),MATCH(COLUMNS($AC$1006:AS1006),$AC$1006:$AS$1006,0)), HYPERLINK("#",""), HYPERLINK(CONCATENATE("#metadata!", ADDRESS(INDEX($X$2:$X$1001,MATCH(ROWS($V$2:V622),$V$2:$V$1001,0),0), INDEX($AC$1004:$AS$1004,1,MATCH(COLUMNS($AC$1006:AS1006),$AC$1006:$AS$1006,0)))),"Fix")))</f>
        <v xml:space="preserve"> </v>
      </c>
      <c r="V622">
        <v>621</v>
      </c>
      <c r="W622">
        <v>100622</v>
      </c>
      <c r="X622">
        <v>622</v>
      </c>
      <c r="Y622" t="b">
        <f t="shared" si="9"/>
        <v>1</v>
      </c>
      <c r="Z622" t="b">
        <f>COUNTBLANK(metadata!B622:R622)=COLUMNS(metadata!B622:R622)</f>
        <v>1</v>
      </c>
      <c r="AA622" t="str">
        <v/>
      </c>
      <c r="AC622" t="b">
        <f ca="1"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AD622" t="b">
        <f>IF(metadata!C622="",FALSE,ISNUMBER(VALUE(metadata!C622)))</f>
        <v>0</v>
      </c>
      <c r="AE622" t="b">
        <f>AND(IF(metadata!D622="",FALSE,TRUE),EXACT(metadata!D622,"years"))</f>
        <v>0</v>
      </c>
      <c r="AF622" t="b">
        <f>OR(AND(IF(metadata!E622="",FALSE,TRUE),OR(EXACT(metadata!E622,"not applicable"),EXACT(metadata!E622,"missing: not collected"),EXACT(metadata!E622,"missing: not provided"),EXACT(metadata!E622,"missing: restricted access"))),AND(IF(metadata!E622="",FALSE,ISNUMBER(VALUE(metadata!E622))),metadata!E622&gt;0))</f>
        <v>0</v>
      </c>
      <c r="AG622" t="b">
        <f>AND(IF(metadata!F622="",FALSE,TRUE),EXACT(metadata!F622,"Not applicable"))</f>
        <v>0</v>
      </c>
      <c r="AH622" t="b">
        <f>AND(IF(metadata!G622="",FALSE,TRUE),EXACT(metadata!G622,"urban biome"))</f>
        <v>0</v>
      </c>
      <c r="AI622" t="b">
        <f>AND(IF(metadata!H622="",FALSE,TRUE),EXACT(metadata!H622,"human-associated habitat"))</f>
        <v>0</v>
      </c>
      <c r="AJ622" t="b">
        <f>AND(IF(metadata!I622="",FALSE,TRUE),OR(EXACT(metadata!I622,"human-associated"),EXACT(metadata!I622,"human-skin"),EXACT(metadata!I622,"human-oral"),EXACT(metadata!I622,"human-gut"),EXACT(metadata!I622,"human-vaginal")))</f>
        <v>0</v>
      </c>
      <c r="AK622" t="b">
        <f>IF(metadata!J622="",FALSE,ISNUMBER(VALUE(metadata!J622)))</f>
        <v>0</v>
      </c>
      <c r="AL622" t="b">
        <f>AND(IF(metadata!K622="",FALSE,TRUE),EXACT(metadata!K622,"cm"))</f>
        <v>0</v>
      </c>
      <c r="AM622" t="b">
        <f>AND(IF(metadata!L622="",FALSE,TRUE),EXACT(metadata!L622,"human"))</f>
        <v>0</v>
      </c>
      <c r="AN622" t="b">
        <f>AND(IF(metadata!M622="",FALSE,TRUE),EXACT(metadata!M622,"Homo sapiens"))</f>
        <v>0</v>
      </c>
      <c r="AO622" t="b">
        <f>AND(IF(metadata!N622="",FALSE,TRUE),EXACT(metadata!N622,"9606"))</f>
        <v>0</v>
      </c>
      <c r="AP622" t="b">
        <f>IF(metadata!O622="",FALSE,TRUE)</f>
        <v>0</v>
      </c>
      <c r="AQ622" t="b">
        <f>IF(metadata!P622="",FALSE,TRUE)</f>
        <v>0</v>
      </c>
      <c r="AR622" t="b">
        <f>IF(metadata!Q622="",FALSE,ISNUMBER(VALUE(metadata!Q622)))</f>
        <v>0</v>
      </c>
      <c r="AS622" t="b">
        <f>AND(IF(metadata!R622="",FALSE,TRUE),EXACT(metadata!R622,"kg"))</f>
        <v>0</v>
      </c>
    </row>
    <row r="623" spans="1:45" x14ac:dyDescent="0.2">
      <c r="A623" s="5" t="str">
        <f ca="1">IF(B623=" "," ",HYPERLINK(CONCATENATE("#metadata!",ADDRESS(INDEX($X$2:$X$1001,MATCH(ROWS($V$2:V623),$V$2:$V$1001,0),0),1)),INDEX($AA$2:$AA$1001,MATCH(ROWS($V$2:V623),$V$2:$V$1001,0),0)))</f>
        <v xml:space="preserve"> </v>
      </c>
      <c r="B623" s="4" t="str">
        <f ca="1">IF(OR(INDEX($W$2:$W$1001,MATCH(ROWS($V$2:V623),$V$2:$V$1001,0),1)&gt;=100000,INDEX($AC$1005:$AS$1005,1,MATCH(COLUMNS($AC$1006:AC1006),$AC$1006:$AS$1006,0))&gt;=100000), " ",IF(INDEX($AC$2:$AS$1001,MATCH(ROWS($V$2:V623),$V$2:$V$1001,0),MATCH(COLUMNS($AC$1006:AC1006),$AC$1006:$AS$1006,0)), HYPERLINK("#",""), HYPERLINK(CONCATENATE("#metadata!", ADDRESS(INDEX($X$2:$X$1001,MATCH(ROWS($V$2:V623),$V$2:$V$1001,0),0), INDEX($AC$1004:$AS$1004,1,MATCH(COLUMNS($AC$1006:AC1006),$AC$1006:$AS$1006,0)))),"Fix")))</f>
        <v xml:space="preserve"> </v>
      </c>
      <c r="C623" s="4" t="str">
        <f ca="1">IF(OR(INDEX($W$2:$W$1001,MATCH(ROWS($V$2:V623),$V$2:$V$1001,0),1)&gt;=100000,INDEX($AC$1005:$AS$1005,1,MATCH(COLUMNS($AC$1006:AD1006),$AC$1006:$AS$1006,0))&gt;=100000), " ",IF(INDEX($AC$2:$AS$1001,MATCH(ROWS($V$2:V623),$V$2:$V$1001,0),MATCH(COLUMNS($AC$1006:AD1006),$AC$1006:$AS$1006,0)), HYPERLINK("#",""), HYPERLINK(CONCATENATE("#metadata!", ADDRESS(INDEX($X$2:$X$1001,MATCH(ROWS($V$2:V623),$V$2:$V$1001,0),0), INDEX($AC$1004:$AS$1004,1,MATCH(COLUMNS($AC$1006:AD1006),$AC$1006:$AS$1006,0)))),"Fix")))</f>
        <v xml:space="preserve"> </v>
      </c>
      <c r="D623" s="4" t="str">
        <f ca="1">IF(OR(INDEX($W$2:$W$1001,MATCH(ROWS($V$2:V623),$V$2:$V$1001,0),1)&gt;=100000,INDEX($AC$1005:$AS$1005,1,MATCH(COLUMNS($AC$1006:AE1006),$AC$1006:$AS$1006,0))&gt;=100000), " ",IF(INDEX($AC$2:$AS$1001,MATCH(ROWS($V$2:V623),$V$2:$V$1001,0),MATCH(COLUMNS($AC$1006:AE1006),$AC$1006:$AS$1006,0)), HYPERLINK("#",""), HYPERLINK(CONCATENATE("#metadata!", ADDRESS(INDEX($X$2:$X$1001,MATCH(ROWS($V$2:V623),$V$2:$V$1001,0),0), INDEX($AC$1004:$AS$1004,1,MATCH(COLUMNS($AC$1006:AE1006),$AC$1006:$AS$1006,0)))),"Fix")))</f>
        <v xml:space="preserve"> </v>
      </c>
      <c r="E623" s="4" t="str">
        <f ca="1">IF(OR(INDEX($W$2:$W$1001,MATCH(ROWS($V$2:V623),$V$2:$V$1001,0),1)&gt;=100000,INDEX($AC$1005:$AS$1005,1,MATCH(COLUMNS($AC$1006:AF1006),$AC$1006:$AS$1006,0))&gt;=100000), " ",IF(INDEX($AC$2:$AS$1001,MATCH(ROWS($V$2:V623),$V$2:$V$1001,0),MATCH(COLUMNS($AC$1006:AF1006),$AC$1006:$AS$1006,0)), HYPERLINK("#",""), HYPERLINK(CONCATENATE("#metadata!", ADDRESS(INDEX($X$2:$X$1001,MATCH(ROWS($V$2:V623),$V$2:$V$1001,0),0), INDEX($AC$1004:$AS$1004,1,MATCH(COLUMNS($AC$1006:AF1006),$AC$1006:$AS$1006,0)))),"Fix")))</f>
        <v xml:space="preserve"> </v>
      </c>
      <c r="F623" s="4" t="str">
        <f ca="1">IF(OR(INDEX($W$2:$W$1001,MATCH(ROWS($V$2:V623),$V$2:$V$1001,0),1)&gt;=100000,INDEX($AC$1005:$AS$1005,1,MATCH(COLUMNS($AC$1006:AG1006),$AC$1006:$AS$1006,0))&gt;=100000), " ",IF(INDEX($AC$2:$AS$1001,MATCH(ROWS($V$2:V623),$V$2:$V$1001,0),MATCH(COLUMNS($AC$1006:AG1006),$AC$1006:$AS$1006,0)), HYPERLINK("#",""), HYPERLINK(CONCATENATE("#metadata!", ADDRESS(INDEX($X$2:$X$1001,MATCH(ROWS($V$2:V623),$V$2:$V$1001,0),0), INDEX($AC$1004:$AS$1004,1,MATCH(COLUMNS($AC$1006:AG1006),$AC$1006:$AS$1006,0)))),"Fix")))</f>
        <v xml:space="preserve"> </v>
      </c>
      <c r="G623" s="4" t="str">
        <f ca="1">IF(OR(INDEX($W$2:$W$1001,MATCH(ROWS($V$2:V623),$V$2:$V$1001,0),1)&gt;=100000,INDEX($AC$1005:$AS$1005,1,MATCH(COLUMNS($AC$1006:AH1006),$AC$1006:$AS$1006,0))&gt;=100000), " ",IF(INDEX($AC$2:$AS$1001,MATCH(ROWS($V$2:V623),$V$2:$V$1001,0),MATCH(COLUMNS($AC$1006:AH1006),$AC$1006:$AS$1006,0)), HYPERLINK("#",""), HYPERLINK(CONCATENATE("#metadata!", ADDRESS(INDEX($X$2:$X$1001,MATCH(ROWS($V$2:V623),$V$2:$V$1001,0),0), INDEX($AC$1004:$AS$1004,1,MATCH(COLUMNS($AC$1006:AH1006),$AC$1006:$AS$1006,0)))),"Fix")))</f>
        <v xml:space="preserve"> </v>
      </c>
      <c r="H623" s="4" t="str">
        <f ca="1">IF(OR(INDEX($W$2:$W$1001,MATCH(ROWS($V$2:V623),$V$2:$V$1001,0),1)&gt;=100000,INDEX($AC$1005:$AS$1005,1,MATCH(COLUMNS($AC$1006:AI1006),$AC$1006:$AS$1006,0))&gt;=100000), " ",IF(INDEX($AC$2:$AS$1001,MATCH(ROWS($V$2:V623),$V$2:$V$1001,0),MATCH(COLUMNS($AC$1006:AI1006),$AC$1006:$AS$1006,0)), HYPERLINK("#",""), HYPERLINK(CONCATENATE("#metadata!", ADDRESS(INDEX($X$2:$X$1001,MATCH(ROWS($V$2:V623),$V$2:$V$1001,0),0), INDEX($AC$1004:$AS$1004,1,MATCH(COLUMNS($AC$1006:AI1006),$AC$1006:$AS$1006,0)))),"Fix")))</f>
        <v xml:space="preserve"> </v>
      </c>
      <c r="I623" s="4" t="str">
        <f ca="1">IF(OR(INDEX($W$2:$W$1001,MATCH(ROWS($V$2:V623),$V$2:$V$1001,0),1)&gt;=100000,INDEX($AC$1005:$AS$1005,1,MATCH(COLUMNS($AC$1006:AJ1006),$AC$1006:$AS$1006,0))&gt;=100000), " ",IF(INDEX($AC$2:$AS$1001,MATCH(ROWS($V$2:V623),$V$2:$V$1001,0),MATCH(COLUMNS($AC$1006:AJ1006),$AC$1006:$AS$1006,0)), HYPERLINK("#",""), HYPERLINK(CONCATENATE("#metadata!", ADDRESS(INDEX($X$2:$X$1001,MATCH(ROWS($V$2:V623),$V$2:$V$1001,0),0), INDEX($AC$1004:$AS$1004,1,MATCH(COLUMNS($AC$1006:AJ1006),$AC$1006:$AS$1006,0)))),"Fix")))</f>
        <v xml:space="preserve"> </v>
      </c>
      <c r="J623" s="4" t="str">
        <f ca="1">IF(OR(INDEX($W$2:$W$1001,MATCH(ROWS($V$2:V623),$V$2:$V$1001,0),1)&gt;=100000,INDEX($AC$1005:$AS$1005,1,MATCH(COLUMNS($AC$1006:AK1006),$AC$1006:$AS$1006,0))&gt;=100000), " ",IF(INDEX($AC$2:$AS$1001,MATCH(ROWS($V$2:V623),$V$2:$V$1001,0),MATCH(COLUMNS($AC$1006:AK1006),$AC$1006:$AS$1006,0)), HYPERLINK("#",""), HYPERLINK(CONCATENATE("#metadata!", ADDRESS(INDEX($X$2:$X$1001,MATCH(ROWS($V$2:V623),$V$2:$V$1001,0),0), INDEX($AC$1004:$AS$1004,1,MATCH(COLUMNS($AC$1006:AK1006),$AC$1006:$AS$1006,0)))),"Fix")))</f>
        <v xml:space="preserve"> </v>
      </c>
      <c r="K623" s="4" t="str">
        <f ca="1">IF(OR(INDEX($W$2:$W$1001,MATCH(ROWS($V$2:V623),$V$2:$V$1001,0),1)&gt;=100000,INDEX($AC$1005:$AS$1005,1,MATCH(COLUMNS($AC$1006:AL1006),$AC$1006:$AS$1006,0))&gt;=100000), " ",IF(INDEX($AC$2:$AS$1001,MATCH(ROWS($V$2:V623),$V$2:$V$1001,0),MATCH(COLUMNS($AC$1006:AL1006),$AC$1006:$AS$1006,0)), HYPERLINK("#",""), HYPERLINK(CONCATENATE("#metadata!", ADDRESS(INDEX($X$2:$X$1001,MATCH(ROWS($V$2:V623),$V$2:$V$1001,0),0), INDEX($AC$1004:$AS$1004,1,MATCH(COLUMNS($AC$1006:AL1006),$AC$1006:$AS$1006,0)))),"Fix")))</f>
        <v xml:space="preserve"> </v>
      </c>
      <c r="L623" s="4" t="str">
        <f ca="1">IF(OR(INDEX($W$2:$W$1001,MATCH(ROWS($V$2:V623),$V$2:$V$1001,0),1)&gt;=100000,INDEX($AC$1005:$AS$1005,1,MATCH(COLUMNS($AC$1006:AM1006),$AC$1006:$AS$1006,0))&gt;=100000), " ",IF(INDEX($AC$2:$AS$1001,MATCH(ROWS($V$2:V623),$V$2:$V$1001,0),MATCH(COLUMNS($AC$1006:AM1006),$AC$1006:$AS$1006,0)), HYPERLINK("#",""), HYPERLINK(CONCATENATE("#metadata!", ADDRESS(INDEX($X$2:$X$1001,MATCH(ROWS($V$2:V623),$V$2:$V$1001,0),0), INDEX($AC$1004:$AS$1004,1,MATCH(COLUMNS($AC$1006:AM1006),$AC$1006:$AS$1006,0)))),"Fix")))</f>
        <v xml:space="preserve"> </v>
      </c>
      <c r="M623" s="4" t="str">
        <f ca="1">IF(OR(INDEX($W$2:$W$1001,MATCH(ROWS($V$2:V623),$V$2:$V$1001,0),1)&gt;=100000,INDEX($AC$1005:$AS$1005,1,MATCH(COLUMNS($AC$1006:AN1006),$AC$1006:$AS$1006,0))&gt;=100000), " ",IF(INDEX($AC$2:$AS$1001,MATCH(ROWS($V$2:V623),$V$2:$V$1001,0),MATCH(COLUMNS($AC$1006:AN1006),$AC$1006:$AS$1006,0)), HYPERLINK("#",""), HYPERLINK(CONCATENATE("#metadata!", ADDRESS(INDEX($X$2:$X$1001,MATCH(ROWS($V$2:V623),$V$2:$V$1001,0),0), INDEX($AC$1004:$AS$1004,1,MATCH(COLUMNS($AC$1006:AN1006),$AC$1006:$AS$1006,0)))),"Fix")))</f>
        <v xml:space="preserve"> </v>
      </c>
      <c r="N623" s="4" t="str">
        <f ca="1">IF(OR(INDEX($W$2:$W$1001,MATCH(ROWS($V$2:V623),$V$2:$V$1001,0),1)&gt;=100000,INDEX($AC$1005:$AS$1005,1,MATCH(COLUMNS($AC$1006:AO1006),$AC$1006:$AS$1006,0))&gt;=100000), " ",IF(INDEX($AC$2:$AS$1001,MATCH(ROWS($V$2:V623),$V$2:$V$1001,0),MATCH(COLUMNS($AC$1006:AO1006),$AC$1006:$AS$1006,0)), HYPERLINK("#",""), HYPERLINK(CONCATENATE("#metadata!", ADDRESS(INDEX($X$2:$X$1001,MATCH(ROWS($V$2:V623),$V$2:$V$1001,0),0), INDEX($AC$1004:$AS$1004,1,MATCH(COLUMNS($AC$1006:AO1006),$AC$1006:$AS$1006,0)))),"Fix")))</f>
        <v xml:space="preserve"> </v>
      </c>
      <c r="O623" s="4" t="str">
        <f ca="1">IF(OR(INDEX($W$2:$W$1001,MATCH(ROWS($V$2:V623),$V$2:$V$1001,0),1)&gt;=100000,INDEX($AC$1005:$AS$1005,1,MATCH(COLUMNS($AC$1006:AP1006),$AC$1006:$AS$1006,0))&gt;=100000), " ",IF(INDEX($AC$2:$AS$1001,MATCH(ROWS($V$2:V623),$V$2:$V$1001,0),MATCH(COLUMNS($AC$1006:AP1006),$AC$1006:$AS$1006,0)), HYPERLINK("#",""), HYPERLINK(CONCATENATE("#metadata!", ADDRESS(INDEX($X$2:$X$1001,MATCH(ROWS($V$2:V623),$V$2:$V$1001,0),0), INDEX($AC$1004:$AS$1004,1,MATCH(COLUMNS($AC$1006:AP1006),$AC$1006:$AS$1006,0)))),"Fix")))</f>
        <v xml:space="preserve"> </v>
      </c>
      <c r="P623" s="4" t="str">
        <f ca="1">IF(OR(INDEX($W$2:$W$1001,MATCH(ROWS($V$2:V623),$V$2:$V$1001,0),1)&gt;=100000,INDEX($AC$1005:$AS$1005,1,MATCH(COLUMNS($AC$1006:AQ1006),$AC$1006:$AS$1006,0))&gt;=100000), " ",IF(INDEX($AC$2:$AS$1001,MATCH(ROWS($V$2:V623),$V$2:$V$1001,0),MATCH(COLUMNS($AC$1006:AQ1006),$AC$1006:$AS$1006,0)), HYPERLINK("#",""), HYPERLINK(CONCATENATE("#metadata!", ADDRESS(INDEX($X$2:$X$1001,MATCH(ROWS($V$2:V623),$V$2:$V$1001,0),0), INDEX($AC$1004:$AS$1004,1,MATCH(COLUMNS($AC$1006:AQ1006),$AC$1006:$AS$1006,0)))),"Fix")))</f>
        <v xml:space="preserve"> </v>
      </c>
      <c r="Q623" s="4" t="str">
        <f ca="1">IF(OR(INDEX($W$2:$W$1001,MATCH(ROWS($V$2:V623),$V$2:$V$1001,0),1)&gt;=100000,INDEX($AC$1005:$AS$1005,1,MATCH(COLUMNS($AC$1006:AR1006),$AC$1006:$AS$1006,0))&gt;=100000), " ",IF(INDEX($AC$2:$AS$1001,MATCH(ROWS($V$2:V623),$V$2:$V$1001,0),MATCH(COLUMNS($AC$1006:AR1006),$AC$1006:$AS$1006,0)), HYPERLINK("#",""), HYPERLINK(CONCATENATE("#metadata!", ADDRESS(INDEX($X$2:$X$1001,MATCH(ROWS($V$2:V623),$V$2:$V$1001,0),0), INDEX($AC$1004:$AS$1004,1,MATCH(COLUMNS($AC$1006:AR1006),$AC$1006:$AS$1006,0)))),"Fix")))</f>
        <v xml:space="preserve"> </v>
      </c>
      <c r="R623" s="4" t="str">
        <f ca="1">IF(OR(INDEX($W$2:$W$1001,MATCH(ROWS($V$2:V623),$V$2:$V$1001,0),1)&gt;=100000,INDEX($AC$1005:$AS$1005,1,MATCH(COLUMNS($AC$1006:AS1006),$AC$1006:$AS$1006,0))&gt;=100000), " ",IF(INDEX($AC$2:$AS$1001,MATCH(ROWS($V$2:V623),$V$2:$V$1001,0),MATCH(COLUMNS($AC$1006:AS1006),$AC$1006:$AS$1006,0)), HYPERLINK("#",""), HYPERLINK(CONCATENATE("#metadata!", ADDRESS(INDEX($X$2:$X$1001,MATCH(ROWS($V$2:V623),$V$2:$V$1001,0),0), INDEX($AC$1004:$AS$1004,1,MATCH(COLUMNS($AC$1006:AS1006),$AC$1006:$AS$1006,0)))),"Fix")))</f>
        <v xml:space="preserve"> </v>
      </c>
      <c r="V623">
        <v>622</v>
      </c>
      <c r="W623">
        <v>100623</v>
      </c>
      <c r="X623">
        <v>623</v>
      </c>
      <c r="Y623" t="b">
        <f t="shared" si="9"/>
        <v>1</v>
      </c>
      <c r="Z623" t="b">
        <f>COUNTBLANK(metadata!B623:R623)=COLUMNS(metadata!B623:R623)</f>
        <v>1</v>
      </c>
      <c r="AA623" t="str">
        <v/>
      </c>
      <c r="AC623" t="b">
        <f ca="1"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AD623" t="b">
        <f>IF(metadata!C623="",FALSE,ISNUMBER(VALUE(metadata!C623)))</f>
        <v>0</v>
      </c>
      <c r="AE623" t="b">
        <f>AND(IF(metadata!D623="",FALSE,TRUE),EXACT(metadata!D623,"years"))</f>
        <v>0</v>
      </c>
      <c r="AF623" t="b">
        <f>OR(AND(IF(metadata!E623="",FALSE,TRUE),OR(EXACT(metadata!E623,"not applicable"),EXACT(metadata!E623,"missing: not collected"),EXACT(metadata!E623,"missing: not provided"),EXACT(metadata!E623,"missing: restricted access"))),AND(IF(metadata!E623="",FALSE,ISNUMBER(VALUE(metadata!E623))),metadata!E623&gt;0))</f>
        <v>0</v>
      </c>
      <c r="AG623" t="b">
        <f>AND(IF(metadata!F623="",FALSE,TRUE),EXACT(metadata!F623,"Not applicable"))</f>
        <v>0</v>
      </c>
      <c r="AH623" t="b">
        <f>AND(IF(metadata!G623="",FALSE,TRUE),EXACT(metadata!G623,"urban biome"))</f>
        <v>0</v>
      </c>
      <c r="AI623" t="b">
        <f>AND(IF(metadata!H623="",FALSE,TRUE),EXACT(metadata!H623,"human-associated habitat"))</f>
        <v>0</v>
      </c>
      <c r="AJ623" t="b">
        <f>AND(IF(metadata!I623="",FALSE,TRUE),OR(EXACT(metadata!I623,"human-associated"),EXACT(metadata!I623,"human-skin"),EXACT(metadata!I623,"human-oral"),EXACT(metadata!I623,"human-gut"),EXACT(metadata!I623,"human-vaginal")))</f>
        <v>0</v>
      </c>
      <c r="AK623" t="b">
        <f>IF(metadata!J623="",FALSE,ISNUMBER(VALUE(metadata!J623)))</f>
        <v>0</v>
      </c>
      <c r="AL623" t="b">
        <f>AND(IF(metadata!K623="",FALSE,TRUE),EXACT(metadata!K623,"cm"))</f>
        <v>0</v>
      </c>
      <c r="AM623" t="b">
        <f>AND(IF(metadata!L623="",FALSE,TRUE),EXACT(metadata!L623,"human"))</f>
        <v>0</v>
      </c>
      <c r="AN623" t="b">
        <f>AND(IF(metadata!M623="",FALSE,TRUE),EXACT(metadata!M623,"Homo sapiens"))</f>
        <v>0</v>
      </c>
      <c r="AO623" t="b">
        <f>AND(IF(metadata!N623="",FALSE,TRUE),EXACT(metadata!N623,"9606"))</f>
        <v>0</v>
      </c>
      <c r="AP623" t="b">
        <f>IF(metadata!O623="",FALSE,TRUE)</f>
        <v>0</v>
      </c>
      <c r="AQ623" t="b">
        <f>IF(metadata!P623="",FALSE,TRUE)</f>
        <v>0</v>
      </c>
      <c r="AR623" t="b">
        <f>IF(metadata!Q623="",FALSE,ISNUMBER(VALUE(metadata!Q623)))</f>
        <v>0</v>
      </c>
      <c r="AS623" t="b">
        <f>AND(IF(metadata!R623="",FALSE,TRUE),EXACT(metadata!R623,"kg"))</f>
        <v>0</v>
      </c>
    </row>
    <row r="624" spans="1:45" x14ac:dyDescent="0.2">
      <c r="A624" s="5" t="str">
        <f ca="1">IF(B624=" "," ",HYPERLINK(CONCATENATE("#metadata!",ADDRESS(INDEX($X$2:$X$1001,MATCH(ROWS($V$2:V624),$V$2:$V$1001,0),0),1)),INDEX($AA$2:$AA$1001,MATCH(ROWS($V$2:V624),$V$2:$V$1001,0),0)))</f>
        <v xml:space="preserve"> </v>
      </c>
      <c r="B624" s="4" t="str">
        <f ca="1">IF(OR(INDEX($W$2:$W$1001,MATCH(ROWS($V$2:V624),$V$2:$V$1001,0),1)&gt;=100000,INDEX($AC$1005:$AS$1005,1,MATCH(COLUMNS($AC$1006:AC1006),$AC$1006:$AS$1006,0))&gt;=100000), " ",IF(INDEX($AC$2:$AS$1001,MATCH(ROWS($V$2:V624),$V$2:$V$1001,0),MATCH(COLUMNS($AC$1006:AC1006),$AC$1006:$AS$1006,0)), HYPERLINK("#",""), HYPERLINK(CONCATENATE("#metadata!", ADDRESS(INDEX($X$2:$X$1001,MATCH(ROWS($V$2:V624),$V$2:$V$1001,0),0), INDEX($AC$1004:$AS$1004,1,MATCH(COLUMNS($AC$1006:AC1006),$AC$1006:$AS$1006,0)))),"Fix")))</f>
        <v xml:space="preserve"> </v>
      </c>
      <c r="C624" s="4" t="str">
        <f ca="1">IF(OR(INDEX($W$2:$W$1001,MATCH(ROWS($V$2:V624),$V$2:$V$1001,0),1)&gt;=100000,INDEX($AC$1005:$AS$1005,1,MATCH(COLUMNS($AC$1006:AD1006),$AC$1006:$AS$1006,0))&gt;=100000), " ",IF(INDEX($AC$2:$AS$1001,MATCH(ROWS($V$2:V624),$V$2:$V$1001,0),MATCH(COLUMNS($AC$1006:AD1006),$AC$1006:$AS$1006,0)), HYPERLINK("#",""), HYPERLINK(CONCATENATE("#metadata!", ADDRESS(INDEX($X$2:$X$1001,MATCH(ROWS($V$2:V624),$V$2:$V$1001,0),0), INDEX($AC$1004:$AS$1004,1,MATCH(COLUMNS($AC$1006:AD1006),$AC$1006:$AS$1006,0)))),"Fix")))</f>
        <v xml:space="preserve"> </v>
      </c>
      <c r="D624" s="4" t="str">
        <f ca="1">IF(OR(INDEX($W$2:$W$1001,MATCH(ROWS($V$2:V624),$V$2:$V$1001,0),1)&gt;=100000,INDEX($AC$1005:$AS$1005,1,MATCH(COLUMNS($AC$1006:AE1006),$AC$1006:$AS$1006,0))&gt;=100000), " ",IF(INDEX($AC$2:$AS$1001,MATCH(ROWS($V$2:V624),$V$2:$V$1001,0),MATCH(COLUMNS($AC$1006:AE1006),$AC$1006:$AS$1006,0)), HYPERLINK("#",""), HYPERLINK(CONCATENATE("#metadata!", ADDRESS(INDEX($X$2:$X$1001,MATCH(ROWS($V$2:V624),$V$2:$V$1001,0),0), INDEX($AC$1004:$AS$1004,1,MATCH(COLUMNS($AC$1006:AE1006),$AC$1006:$AS$1006,0)))),"Fix")))</f>
        <v xml:space="preserve"> </v>
      </c>
      <c r="E624" s="4" t="str">
        <f ca="1">IF(OR(INDEX($W$2:$W$1001,MATCH(ROWS($V$2:V624),$V$2:$V$1001,0),1)&gt;=100000,INDEX($AC$1005:$AS$1005,1,MATCH(COLUMNS($AC$1006:AF1006),$AC$1006:$AS$1006,0))&gt;=100000), " ",IF(INDEX($AC$2:$AS$1001,MATCH(ROWS($V$2:V624),$V$2:$V$1001,0),MATCH(COLUMNS($AC$1006:AF1006),$AC$1006:$AS$1006,0)), HYPERLINK("#",""), HYPERLINK(CONCATENATE("#metadata!", ADDRESS(INDEX($X$2:$X$1001,MATCH(ROWS($V$2:V624),$V$2:$V$1001,0),0), INDEX($AC$1004:$AS$1004,1,MATCH(COLUMNS($AC$1006:AF1006),$AC$1006:$AS$1006,0)))),"Fix")))</f>
        <v xml:space="preserve"> </v>
      </c>
      <c r="F624" s="4" t="str">
        <f ca="1">IF(OR(INDEX($W$2:$W$1001,MATCH(ROWS($V$2:V624),$V$2:$V$1001,0),1)&gt;=100000,INDEX($AC$1005:$AS$1005,1,MATCH(COLUMNS($AC$1006:AG1006),$AC$1006:$AS$1006,0))&gt;=100000), " ",IF(INDEX($AC$2:$AS$1001,MATCH(ROWS($V$2:V624),$V$2:$V$1001,0),MATCH(COLUMNS($AC$1006:AG1006),$AC$1006:$AS$1006,0)), HYPERLINK("#",""), HYPERLINK(CONCATENATE("#metadata!", ADDRESS(INDEX($X$2:$X$1001,MATCH(ROWS($V$2:V624),$V$2:$V$1001,0),0), INDEX($AC$1004:$AS$1004,1,MATCH(COLUMNS($AC$1006:AG1006),$AC$1006:$AS$1006,0)))),"Fix")))</f>
        <v xml:space="preserve"> </v>
      </c>
      <c r="G624" s="4" t="str">
        <f ca="1">IF(OR(INDEX($W$2:$W$1001,MATCH(ROWS($V$2:V624),$V$2:$V$1001,0),1)&gt;=100000,INDEX($AC$1005:$AS$1005,1,MATCH(COLUMNS($AC$1006:AH1006),$AC$1006:$AS$1006,0))&gt;=100000), " ",IF(INDEX($AC$2:$AS$1001,MATCH(ROWS($V$2:V624),$V$2:$V$1001,0),MATCH(COLUMNS($AC$1006:AH1006),$AC$1006:$AS$1006,0)), HYPERLINK("#",""), HYPERLINK(CONCATENATE("#metadata!", ADDRESS(INDEX($X$2:$X$1001,MATCH(ROWS($V$2:V624),$V$2:$V$1001,0),0), INDEX($AC$1004:$AS$1004,1,MATCH(COLUMNS($AC$1006:AH1006),$AC$1006:$AS$1006,0)))),"Fix")))</f>
        <v xml:space="preserve"> </v>
      </c>
      <c r="H624" s="4" t="str">
        <f ca="1">IF(OR(INDEX($W$2:$W$1001,MATCH(ROWS($V$2:V624),$V$2:$V$1001,0),1)&gt;=100000,INDEX($AC$1005:$AS$1005,1,MATCH(COLUMNS($AC$1006:AI1006),$AC$1006:$AS$1006,0))&gt;=100000), " ",IF(INDEX($AC$2:$AS$1001,MATCH(ROWS($V$2:V624),$V$2:$V$1001,0),MATCH(COLUMNS($AC$1006:AI1006),$AC$1006:$AS$1006,0)), HYPERLINK("#",""), HYPERLINK(CONCATENATE("#metadata!", ADDRESS(INDEX($X$2:$X$1001,MATCH(ROWS($V$2:V624),$V$2:$V$1001,0),0), INDEX($AC$1004:$AS$1004,1,MATCH(COLUMNS($AC$1006:AI1006),$AC$1006:$AS$1006,0)))),"Fix")))</f>
        <v xml:space="preserve"> </v>
      </c>
      <c r="I624" s="4" t="str">
        <f ca="1">IF(OR(INDEX($W$2:$W$1001,MATCH(ROWS($V$2:V624),$V$2:$V$1001,0),1)&gt;=100000,INDEX($AC$1005:$AS$1005,1,MATCH(COLUMNS($AC$1006:AJ1006),$AC$1006:$AS$1006,0))&gt;=100000), " ",IF(INDEX($AC$2:$AS$1001,MATCH(ROWS($V$2:V624),$V$2:$V$1001,0),MATCH(COLUMNS($AC$1006:AJ1006),$AC$1006:$AS$1006,0)), HYPERLINK("#",""), HYPERLINK(CONCATENATE("#metadata!", ADDRESS(INDEX($X$2:$X$1001,MATCH(ROWS($V$2:V624),$V$2:$V$1001,0),0), INDEX($AC$1004:$AS$1004,1,MATCH(COLUMNS($AC$1006:AJ1006),$AC$1006:$AS$1006,0)))),"Fix")))</f>
        <v xml:space="preserve"> </v>
      </c>
      <c r="J624" s="4" t="str">
        <f ca="1">IF(OR(INDEX($W$2:$W$1001,MATCH(ROWS($V$2:V624),$V$2:$V$1001,0),1)&gt;=100000,INDEX($AC$1005:$AS$1005,1,MATCH(COLUMNS($AC$1006:AK1006),$AC$1006:$AS$1006,0))&gt;=100000), " ",IF(INDEX($AC$2:$AS$1001,MATCH(ROWS($V$2:V624),$V$2:$V$1001,0),MATCH(COLUMNS($AC$1006:AK1006),$AC$1006:$AS$1006,0)), HYPERLINK("#",""), HYPERLINK(CONCATENATE("#metadata!", ADDRESS(INDEX($X$2:$X$1001,MATCH(ROWS($V$2:V624),$V$2:$V$1001,0),0), INDEX($AC$1004:$AS$1004,1,MATCH(COLUMNS($AC$1006:AK1006),$AC$1006:$AS$1006,0)))),"Fix")))</f>
        <v xml:space="preserve"> </v>
      </c>
      <c r="K624" s="4" t="str">
        <f ca="1">IF(OR(INDEX($W$2:$W$1001,MATCH(ROWS($V$2:V624),$V$2:$V$1001,0),1)&gt;=100000,INDEX($AC$1005:$AS$1005,1,MATCH(COLUMNS($AC$1006:AL1006),$AC$1006:$AS$1006,0))&gt;=100000), " ",IF(INDEX($AC$2:$AS$1001,MATCH(ROWS($V$2:V624),$V$2:$V$1001,0),MATCH(COLUMNS($AC$1006:AL1006),$AC$1006:$AS$1006,0)), HYPERLINK("#",""), HYPERLINK(CONCATENATE("#metadata!", ADDRESS(INDEX($X$2:$X$1001,MATCH(ROWS($V$2:V624),$V$2:$V$1001,0),0), INDEX($AC$1004:$AS$1004,1,MATCH(COLUMNS($AC$1006:AL1006),$AC$1006:$AS$1006,0)))),"Fix")))</f>
        <v xml:space="preserve"> </v>
      </c>
      <c r="L624" s="4" t="str">
        <f ca="1">IF(OR(INDEX($W$2:$W$1001,MATCH(ROWS($V$2:V624),$V$2:$V$1001,0),1)&gt;=100000,INDEX($AC$1005:$AS$1005,1,MATCH(COLUMNS($AC$1006:AM1006),$AC$1006:$AS$1006,0))&gt;=100000), " ",IF(INDEX($AC$2:$AS$1001,MATCH(ROWS($V$2:V624),$V$2:$V$1001,0),MATCH(COLUMNS($AC$1006:AM1006),$AC$1006:$AS$1006,0)), HYPERLINK("#",""), HYPERLINK(CONCATENATE("#metadata!", ADDRESS(INDEX($X$2:$X$1001,MATCH(ROWS($V$2:V624),$V$2:$V$1001,0),0), INDEX($AC$1004:$AS$1004,1,MATCH(COLUMNS($AC$1006:AM1006),$AC$1006:$AS$1006,0)))),"Fix")))</f>
        <v xml:space="preserve"> </v>
      </c>
      <c r="M624" s="4" t="str">
        <f ca="1">IF(OR(INDEX($W$2:$W$1001,MATCH(ROWS($V$2:V624),$V$2:$V$1001,0),1)&gt;=100000,INDEX($AC$1005:$AS$1005,1,MATCH(COLUMNS($AC$1006:AN1006),$AC$1006:$AS$1006,0))&gt;=100000), " ",IF(INDEX($AC$2:$AS$1001,MATCH(ROWS($V$2:V624),$V$2:$V$1001,0),MATCH(COLUMNS($AC$1006:AN1006),$AC$1006:$AS$1006,0)), HYPERLINK("#",""), HYPERLINK(CONCATENATE("#metadata!", ADDRESS(INDEX($X$2:$X$1001,MATCH(ROWS($V$2:V624),$V$2:$V$1001,0),0), INDEX($AC$1004:$AS$1004,1,MATCH(COLUMNS($AC$1006:AN1006),$AC$1006:$AS$1006,0)))),"Fix")))</f>
        <v xml:space="preserve"> </v>
      </c>
      <c r="N624" s="4" t="str">
        <f ca="1">IF(OR(INDEX($W$2:$W$1001,MATCH(ROWS($V$2:V624),$V$2:$V$1001,0),1)&gt;=100000,INDEX($AC$1005:$AS$1005,1,MATCH(COLUMNS($AC$1006:AO1006),$AC$1006:$AS$1006,0))&gt;=100000), " ",IF(INDEX($AC$2:$AS$1001,MATCH(ROWS($V$2:V624),$V$2:$V$1001,0),MATCH(COLUMNS($AC$1006:AO1006),$AC$1006:$AS$1006,0)), HYPERLINK("#",""), HYPERLINK(CONCATENATE("#metadata!", ADDRESS(INDEX($X$2:$X$1001,MATCH(ROWS($V$2:V624),$V$2:$V$1001,0),0), INDEX($AC$1004:$AS$1004,1,MATCH(COLUMNS($AC$1006:AO1006),$AC$1006:$AS$1006,0)))),"Fix")))</f>
        <v xml:space="preserve"> </v>
      </c>
      <c r="O624" s="4" t="str">
        <f ca="1">IF(OR(INDEX($W$2:$W$1001,MATCH(ROWS($V$2:V624),$V$2:$V$1001,0),1)&gt;=100000,INDEX($AC$1005:$AS$1005,1,MATCH(COLUMNS($AC$1006:AP1006),$AC$1006:$AS$1006,0))&gt;=100000), " ",IF(INDEX($AC$2:$AS$1001,MATCH(ROWS($V$2:V624),$V$2:$V$1001,0),MATCH(COLUMNS($AC$1006:AP1006),$AC$1006:$AS$1006,0)), HYPERLINK("#",""), HYPERLINK(CONCATENATE("#metadata!", ADDRESS(INDEX($X$2:$X$1001,MATCH(ROWS($V$2:V624),$V$2:$V$1001,0),0), INDEX($AC$1004:$AS$1004,1,MATCH(COLUMNS($AC$1006:AP1006),$AC$1006:$AS$1006,0)))),"Fix")))</f>
        <v xml:space="preserve"> </v>
      </c>
      <c r="P624" s="4" t="str">
        <f ca="1">IF(OR(INDEX($W$2:$W$1001,MATCH(ROWS($V$2:V624),$V$2:$V$1001,0),1)&gt;=100000,INDEX($AC$1005:$AS$1005,1,MATCH(COLUMNS($AC$1006:AQ1006),$AC$1006:$AS$1006,0))&gt;=100000), " ",IF(INDEX($AC$2:$AS$1001,MATCH(ROWS($V$2:V624),$V$2:$V$1001,0),MATCH(COLUMNS($AC$1006:AQ1006),$AC$1006:$AS$1006,0)), HYPERLINK("#",""), HYPERLINK(CONCATENATE("#metadata!", ADDRESS(INDEX($X$2:$X$1001,MATCH(ROWS($V$2:V624),$V$2:$V$1001,0),0), INDEX($AC$1004:$AS$1004,1,MATCH(COLUMNS($AC$1006:AQ1006),$AC$1006:$AS$1006,0)))),"Fix")))</f>
        <v xml:space="preserve"> </v>
      </c>
      <c r="Q624" s="4" t="str">
        <f ca="1">IF(OR(INDEX($W$2:$W$1001,MATCH(ROWS($V$2:V624),$V$2:$V$1001,0),1)&gt;=100000,INDEX($AC$1005:$AS$1005,1,MATCH(COLUMNS($AC$1006:AR1006),$AC$1006:$AS$1006,0))&gt;=100000), " ",IF(INDEX($AC$2:$AS$1001,MATCH(ROWS($V$2:V624),$V$2:$V$1001,0),MATCH(COLUMNS($AC$1006:AR1006),$AC$1006:$AS$1006,0)), HYPERLINK("#",""), HYPERLINK(CONCATENATE("#metadata!", ADDRESS(INDEX($X$2:$X$1001,MATCH(ROWS($V$2:V624),$V$2:$V$1001,0),0), INDEX($AC$1004:$AS$1004,1,MATCH(COLUMNS($AC$1006:AR1006),$AC$1006:$AS$1006,0)))),"Fix")))</f>
        <v xml:space="preserve"> </v>
      </c>
      <c r="R624" s="4" t="str">
        <f ca="1">IF(OR(INDEX($W$2:$W$1001,MATCH(ROWS($V$2:V624),$V$2:$V$1001,0),1)&gt;=100000,INDEX($AC$1005:$AS$1005,1,MATCH(COLUMNS($AC$1006:AS1006),$AC$1006:$AS$1006,0))&gt;=100000), " ",IF(INDEX($AC$2:$AS$1001,MATCH(ROWS($V$2:V624),$V$2:$V$1001,0),MATCH(COLUMNS($AC$1006:AS1006),$AC$1006:$AS$1006,0)), HYPERLINK("#",""), HYPERLINK(CONCATENATE("#metadata!", ADDRESS(INDEX($X$2:$X$1001,MATCH(ROWS($V$2:V624),$V$2:$V$1001,0),0), INDEX($AC$1004:$AS$1004,1,MATCH(COLUMNS($AC$1006:AS1006),$AC$1006:$AS$1006,0)))),"Fix")))</f>
        <v xml:space="preserve"> </v>
      </c>
      <c r="V624">
        <v>623</v>
      </c>
      <c r="W624">
        <v>100624</v>
      </c>
      <c r="X624">
        <v>624</v>
      </c>
      <c r="Y624" t="b">
        <f t="shared" si="9"/>
        <v>1</v>
      </c>
      <c r="Z624" t="b">
        <f>COUNTBLANK(metadata!B624:R624)=COLUMNS(metadata!B624:R624)</f>
        <v>1</v>
      </c>
      <c r="AA624" t="str">
        <v/>
      </c>
      <c r="AC624" t="b">
        <f ca="1"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AD624" t="b">
        <f>IF(metadata!C624="",FALSE,ISNUMBER(VALUE(metadata!C624)))</f>
        <v>0</v>
      </c>
      <c r="AE624" t="b">
        <f>AND(IF(metadata!D624="",FALSE,TRUE),EXACT(metadata!D624,"years"))</f>
        <v>0</v>
      </c>
      <c r="AF624" t="b">
        <f>OR(AND(IF(metadata!E624="",FALSE,TRUE),OR(EXACT(metadata!E624,"not applicable"),EXACT(metadata!E624,"missing: not collected"),EXACT(metadata!E624,"missing: not provided"),EXACT(metadata!E624,"missing: restricted access"))),AND(IF(metadata!E624="",FALSE,ISNUMBER(VALUE(metadata!E624))),metadata!E624&gt;0))</f>
        <v>0</v>
      </c>
      <c r="AG624" t="b">
        <f>AND(IF(metadata!F624="",FALSE,TRUE),EXACT(metadata!F624,"Not applicable"))</f>
        <v>0</v>
      </c>
      <c r="AH624" t="b">
        <f>AND(IF(metadata!G624="",FALSE,TRUE),EXACT(metadata!G624,"urban biome"))</f>
        <v>0</v>
      </c>
      <c r="AI624" t="b">
        <f>AND(IF(metadata!H624="",FALSE,TRUE),EXACT(metadata!H624,"human-associated habitat"))</f>
        <v>0</v>
      </c>
      <c r="AJ624" t="b">
        <f>AND(IF(metadata!I624="",FALSE,TRUE),OR(EXACT(metadata!I624,"human-associated"),EXACT(metadata!I624,"human-skin"),EXACT(metadata!I624,"human-oral"),EXACT(metadata!I624,"human-gut"),EXACT(metadata!I624,"human-vaginal")))</f>
        <v>0</v>
      </c>
      <c r="AK624" t="b">
        <f>IF(metadata!J624="",FALSE,ISNUMBER(VALUE(metadata!J624)))</f>
        <v>0</v>
      </c>
      <c r="AL624" t="b">
        <f>AND(IF(metadata!K624="",FALSE,TRUE),EXACT(metadata!K624,"cm"))</f>
        <v>0</v>
      </c>
      <c r="AM624" t="b">
        <f>AND(IF(metadata!L624="",FALSE,TRUE),EXACT(metadata!L624,"human"))</f>
        <v>0</v>
      </c>
      <c r="AN624" t="b">
        <f>AND(IF(metadata!M624="",FALSE,TRUE),EXACT(metadata!M624,"Homo sapiens"))</f>
        <v>0</v>
      </c>
      <c r="AO624" t="b">
        <f>AND(IF(metadata!N624="",FALSE,TRUE),EXACT(metadata!N624,"9606"))</f>
        <v>0</v>
      </c>
      <c r="AP624" t="b">
        <f>IF(metadata!O624="",FALSE,TRUE)</f>
        <v>0</v>
      </c>
      <c r="AQ624" t="b">
        <f>IF(metadata!P624="",FALSE,TRUE)</f>
        <v>0</v>
      </c>
      <c r="AR624" t="b">
        <f>IF(metadata!Q624="",FALSE,ISNUMBER(VALUE(metadata!Q624)))</f>
        <v>0</v>
      </c>
      <c r="AS624" t="b">
        <f>AND(IF(metadata!R624="",FALSE,TRUE),EXACT(metadata!R624,"kg"))</f>
        <v>0</v>
      </c>
    </row>
    <row r="625" spans="1:45" x14ac:dyDescent="0.2">
      <c r="A625" s="5" t="str">
        <f ca="1">IF(B625=" "," ",HYPERLINK(CONCATENATE("#metadata!",ADDRESS(INDEX($X$2:$X$1001,MATCH(ROWS($V$2:V625),$V$2:$V$1001,0),0),1)),INDEX($AA$2:$AA$1001,MATCH(ROWS($V$2:V625),$V$2:$V$1001,0),0)))</f>
        <v xml:space="preserve"> </v>
      </c>
      <c r="B625" s="4" t="str">
        <f ca="1">IF(OR(INDEX($W$2:$W$1001,MATCH(ROWS($V$2:V625),$V$2:$V$1001,0),1)&gt;=100000,INDEX($AC$1005:$AS$1005,1,MATCH(COLUMNS($AC$1006:AC1006),$AC$1006:$AS$1006,0))&gt;=100000), " ",IF(INDEX($AC$2:$AS$1001,MATCH(ROWS($V$2:V625),$V$2:$V$1001,0),MATCH(COLUMNS($AC$1006:AC1006),$AC$1006:$AS$1006,0)), HYPERLINK("#",""), HYPERLINK(CONCATENATE("#metadata!", ADDRESS(INDEX($X$2:$X$1001,MATCH(ROWS($V$2:V625),$V$2:$V$1001,0),0), INDEX($AC$1004:$AS$1004,1,MATCH(COLUMNS($AC$1006:AC1006),$AC$1006:$AS$1006,0)))),"Fix")))</f>
        <v xml:space="preserve"> </v>
      </c>
      <c r="C625" s="4" t="str">
        <f ca="1">IF(OR(INDEX($W$2:$W$1001,MATCH(ROWS($V$2:V625),$V$2:$V$1001,0),1)&gt;=100000,INDEX($AC$1005:$AS$1005,1,MATCH(COLUMNS($AC$1006:AD1006),$AC$1006:$AS$1006,0))&gt;=100000), " ",IF(INDEX($AC$2:$AS$1001,MATCH(ROWS($V$2:V625),$V$2:$V$1001,0),MATCH(COLUMNS($AC$1006:AD1006),$AC$1006:$AS$1006,0)), HYPERLINK("#",""), HYPERLINK(CONCATENATE("#metadata!", ADDRESS(INDEX($X$2:$X$1001,MATCH(ROWS($V$2:V625),$V$2:$V$1001,0),0), INDEX($AC$1004:$AS$1004,1,MATCH(COLUMNS($AC$1006:AD1006),$AC$1006:$AS$1006,0)))),"Fix")))</f>
        <v xml:space="preserve"> </v>
      </c>
      <c r="D625" s="4" t="str">
        <f ca="1">IF(OR(INDEX($W$2:$W$1001,MATCH(ROWS($V$2:V625),$V$2:$V$1001,0),1)&gt;=100000,INDEX($AC$1005:$AS$1005,1,MATCH(COLUMNS($AC$1006:AE1006),$AC$1006:$AS$1006,0))&gt;=100000), " ",IF(INDEX($AC$2:$AS$1001,MATCH(ROWS($V$2:V625),$V$2:$V$1001,0),MATCH(COLUMNS($AC$1006:AE1006),$AC$1006:$AS$1006,0)), HYPERLINK("#",""), HYPERLINK(CONCATENATE("#metadata!", ADDRESS(INDEX($X$2:$X$1001,MATCH(ROWS($V$2:V625),$V$2:$V$1001,0),0), INDEX($AC$1004:$AS$1004,1,MATCH(COLUMNS($AC$1006:AE1006),$AC$1006:$AS$1006,0)))),"Fix")))</f>
        <v xml:space="preserve"> </v>
      </c>
      <c r="E625" s="4" t="str">
        <f ca="1">IF(OR(INDEX($W$2:$W$1001,MATCH(ROWS($V$2:V625),$V$2:$V$1001,0),1)&gt;=100000,INDEX($AC$1005:$AS$1005,1,MATCH(COLUMNS($AC$1006:AF1006),$AC$1006:$AS$1006,0))&gt;=100000), " ",IF(INDEX($AC$2:$AS$1001,MATCH(ROWS($V$2:V625),$V$2:$V$1001,0),MATCH(COLUMNS($AC$1006:AF1006),$AC$1006:$AS$1006,0)), HYPERLINK("#",""), HYPERLINK(CONCATENATE("#metadata!", ADDRESS(INDEX($X$2:$X$1001,MATCH(ROWS($V$2:V625),$V$2:$V$1001,0),0), INDEX($AC$1004:$AS$1004,1,MATCH(COLUMNS($AC$1006:AF1006),$AC$1006:$AS$1006,0)))),"Fix")))</f>
        <v xml:space="preserve"> </v>
      </c>
      <c r="F625" s="4" t="str">
        <f ca="1">IF(OR(INDEX($W$2:$W$1001,MATCH(ROWS($V$2:V625),$V$2:$V$1001,0),1)&gt;=100000,INDEX($AC$1005:$AS$1005,1,MATCH(COLUMNS($AC$1006:AG1006),$AC$1006:$AS$1006,0))&gt;=100000), " ",IF(INDEX($AC$2:$AS$1001,MATCH(ROWS($V$2:V625),$V$2:$V$1001,0),MATCH(COLUMNS($AC$1006:AG1006),$AC$1006:$AS$1006,0)), HYPERLINK("#",""), HYPERLINK(CONCATENATE("#metadata!", ADDRESS(INDEX($X$2:$X$1001,MATCH(ROWS($V$2:V625),$V$2:$V$1001,0),0), INDEX($AC$1004:$AS$1004,1,MATCH(COLUMNS($AC$1006:AG1006),$AC$1006:$AS$1006,0)))),"Fix")))</f>
        <v xml:space="preserve"> </v>
      </c>
      <c r="G625" s="4" t="str">
        <f ca="1">IF(OR(INDEX($W$2:$W$1001,MATCH(ROWS($V$2:V625),$V$2:$V$1001,0),1)&gt;=100000,INDEX($AC$1005:$AS$1005,1,MATCH(COLUMNS($AC$1006:AH1006),$AC$1006:$AS$1006,0))&gt;=100000), " ",IF(INDEX($AC$2:$AS$1001,MATCH(ROWS($V$2:V625),$V$2:$V$1001,0),MATCH(COLUMNS($AC$1006:AH1006),$AC$1006:$AS$1006,0)), HYPERLINK("#",""), HYPERLINK(CONCATENATE("#metadata!", ADDRESS(INDEX($X$2:$X$1001,MATCH(ROWS($V$2:V625),$V$2:$V$1001,0),0), INDEX($AC$1004:$AS$1004,1,MATCH(COLUMNS($AC$1006:AH1006),$AC$1006:$AS$1006,0)))),"Fix")))</f>
        <v xml:space="preserve"> </v>
      </c>
      <c r="H625" s="4" t="str">
        <f ca="1">IF(OR(INDEX($W$2:$W$1001,MATCH(ROWS($V$2:V625),$V$2:$V$1001,0),1)&gt;=100000,INDEX($AC$1005:$AS$1005,1,MATCH(COLUMNS($AC$1006:AI1006),$AC$1006:$AS$1006,0))&gt;=100000), " ",IF(INDEX($AC$2:$AS$1001,MATCH(ROWS($V$2:V625),$V$2:$V$1001,0),MATCH(COLUMNS($AC$1006:AI1006),$AC$1006:$AS$1006,0)), HYPERLINK("#",""), HYPERLINK(CONCATENATE("#metadata!", ADDRESS(INDEX($X$2:$X$1001,MATCH(ROWS($V$2:V625),$V$2:$V$1001,0),0), INDEX($AC$1004:$AS$1004,1,MATCH(COLUMNS($AC$1006:AI1006),$AC$1006:$AS$1006,0)))),"Fix")))</f>
        <v xml:space="preserve"> </v>
      </c>
      <c r="I625" s="4" t="str">
        <f ca="1">IF(OR(INDEX($W$2:$W$1001,MATCH(ROWS($V$2:V625),$V$2:$V$1001,0),1)&gt;=100000,INDEX($AC$1005:$AS$1005,1,MATCH(COLUMNS($AC$1006:AJ1006),$AC$1006:$AS$1006,0))&gt;=100000), " ",IF(INDEX($AC$2:$AS$1001,MATCH(ROWS($V$2:V625),$V$2:$V$1001,0),MATCH(COLUMNS($AC$1006:AJ1006),$AC$1006:$AS$1006,0)), HYPERLINK("#",""), HYPERLINK(CONCATENATE("#metadata!", ADDRESS(INDEX($X$2:$X$1001,MATCH(ROWS($V$2:V625),$V$2:$V$1001,0),0), INDEX($AC$1004:$AS$1004,1,MATCH(COLUMNS($AC$1006:AJ1006),$AC$1006:$AS$1006,0)))),"Fix")))</f>
        <v xml:space="preserve"> </v>
      </c>
      <c r="J625" s="4" t="str">
        <f ca="1">IF(OR(INDEX($W$2:$W$1001,MATCH(ROWS($V$2:V625),$V$2:$V$1001,0),1)&gt;=100000,INDEX($AC$1005:$AS$1005,1,MATCH(COLUMNS($AC$1006:AK1006),$AC$1006:$AS$1006,0))&gt;=100000), " ",IF(INDEX($AC$2:$AS$1001,MATCH(ROWS($V$2:V625),$V$2:$V$1001,0),MATCH(COLUMNS($AC$1006:AK1006),$AC$1006:$AS$1006,0)), HYPERLINK("#",""), HYPERLINK(CONCATENATE("#metadata!", ADDRESS(INDEX($X$2:$X$1001,MATCH(ROWS($V$2:V625),$V$2:$V$1001,0),0), INDEX($AC$1004:$AS$1004,1,MATCH(COLUMNS($AC$1006:AK1006),$AC$1006:$AS$1006,0)))),"Fix")))</f>
        <v xml:space="preserve"> </v>
      </c>
      <c r="K625" s="4" t="str">
        <f ca="1">IF(OR(INDEX($W$2:$W$1001,MATCH(ROWS($V$2:V625),$V$2:$V$1001,0),1)&gt;=100000,INDEX($AC$1005:$AS$1005,1,MATCH(COLUMNS($AC$1006:AL1006),$AC$1006:$AS$1006,0))&gt;=100000), " ",IF(INDEX($AC$2:$AS$1001,MATCH(ROWS($V$2:V625),$V$2:$V$1001,0),MATCH(COLUMNS($AC$1006:AL1006),$AC$1006:$AS$1006,0)), HYPERLINK("#",""), HYPERLINK(CONCATENATE("#metadata!", ADDRESS(INDEX($X$2:$X$1001,MATCH(ROWS($V$2:V625),$V$2:$V$1001,0),0), INDEX($AC$1004:$AS$1004,1,MATCH(COLUMNS($AC$1006:AL1006),$AC$1006:$AS$1006,0)))),"Fix")))</f>
        <v xml:space="preserve"> </v>
      </c>
      <c r="L625" s="4" t="str">
        <f ca="1">IF(OR(INDEX($W$2:$W$1001,MATCH(ROWS($V$2:V625),$V$2:$V$1001,0),1)&gt;=100000,INDEX($AC$1005:$AS$1005,1,MATCH(COLUMNS($AC$1006:AM1006),$AC$1006:$AS$1006,0))&gt;=100000), " ",IF(INDEX($AC$2:$AS$1001,MATCH(ROWS($V$2:V625),$V$2:$V$1001,0),MATCH(COLUMNS($AC$1006:AM1006),$AC$1006:$AS$1006,0)), HYPERLINK("#",""), HYPERLINK(CONCATENATE("#metadata!", ADDRESS(INDEX($X$2:$X$1001,MATCH(ROWS($V$2:V625),$V$2:$V$1001,0),0), INDEX($AC$1004:$AS$1004,1,MATCH(COLUMNS($AC$1006:AM1006),$AC$1006:$AS$1006,0)))),"Fix")))</f>
        <v xml:space="preserve"> </v>
      </c>
      <c r="M625" s="4" t="str">
        <f ca="1">IF(OR(INDEX($W$2:$W$1001,MATCH(ROWS($V$2:V625),$V$2:$V$1001,0),1)&gt;=100000,INDEX($AC$1005:$AS$1005,1,MATCH(COLUMNS($AC$1006:AN1006),$AC$1006:$AS$1006,0))&gt;=100000), " ",IF(INDEX($AC$2:$AS$1001,MATCH(ROWS($V$2:V625),$V$2:$V$1001,0),MATCH(COLUMNS($AC$1006:AN1006),$AC$1006:$AS$1006,0)), HYPERLINK("#",""), HYPERLINK(CONCATENATE("#metadata!", ADDRESS(INDEX($X$2:$X$1001,MATCH(ROWS($V$2:V625),$V$2:$V$1001,0),0), INDEX($AC$1004:$AS$1004,1,MATCH(COLUMNS($AC$1006:AN1006),$AC$1006:$AS$1006,0)))),"Fix")))</f>
        <v xml:space="preserve"> </v>
      </c>
      <c r="N625" s="4" t="str">
        <f ca="1">IF(OR(INDEX($W$2:$W$1001,MATCH(ROWS($V$2:V625),$V$2:$V$1001,0),1)&gt;=100000,INDEX($AC$1005:$AS$1005,1,MATCH(COLUMNS($AC$1006:AO1006),$AC$1006:$AS$1006,0))&gt;=100000), " ",IF(INDEX($AC$2:$AS$1001,MATCH(ROWS($V$2:V625),$V$2:$V$1001,0),MATCH(COLUMNS($AC$1006:AO1006),$AC$1006:$AS$1006,0)), HYPERLINK("#",""), HYPERLINK(CONCATENATE("#metadata!", ADDRESS(INDEX($X$2:$X$1001,MATCH(ROWS($V$2:V625),$V$2:$V$1001,0),0), INDEX($AC$1004:$AS$1004,1,MATCH(COLUMNS($AC$1006:AO1006),$AC$1006:$AS$1006,0)))),"Fix")))</f>
        <v xml:space="preserve"> </v>
      </c>
      <c r="O625" s="4" t="str">
        <f ca="1">IF(OR(INDEX($W$2:$W$1001,MATCH(ROWS($V$2:V625),$V$2:$V$1001,0),1)&gt;=100000,INDEX($AC$1005:$AS$1005,1,MATCH(COLUMNS($AC$1006:AP1006),$AC$1006:$AS$1006,0))&gt;=100000), " ",IF(INDEX($AC$2:$AS$1001,MATCH(ROWS($V$2:V625),$V$2:$V$1001,0),MATCH(COLUMNS($AC$1006:AP1006),$AC$1006:$AS$1006,0)), HYPERLINK("#",""), HYPERLINK(CONCATENATE("#metadata!", ADDRESS(INDEX($X$2:$X$1001,MATCH(ROWS($V$2:V625),$V$2:$V$1001,0),0), INDEX($AC$1004:$AS$1004,1,MATCH(COLUMNS($AC$1006:AP1006),$AC$1006:$AS$1006,0)))),"Fix")))</f>
        <v xml:space="preserve"> </v>
      </c>
      <c r="P625" s="4" t="str">
        <f ca="1">IF(OR(INDEX($W$2:$W$1001,MATCH(ROWS($V$2:V625),$V$2:$V$1001,0),1)&gt;=100000,INDEX($AC$1005:$AS$1005,1,MATCH(COLUMNS($AC$1006:AQ1006),$AC$1006:$AS$1006,0))&gt;=100000), " ",IF(INDEX($AC$2:$AS$1001,MATCH(ROWS($V$2:V625),$V$2:$V$1001,0),MATCH(COLUMNS($AC$1006:AQ1006),$AC$1006:$AS$1006,0)), HYPERLINK("#",""), HYPERLINK(CONCATENATE("#metadata!", ADDRESS(INDEX($X$2:$X$1001,MATCH(ROWS($V$2:V625),$V$2:$V$1001,0),0), INDEX($AC$1004:$AS$1004,1,MATCH(COLUMNS($AC$1006:AQ1006),$AC$1006:$AS$1006,0)))),"Fix")))</f>
        <v xml:space="preserve"> </v>
      </c>
      <c r="Q625" s="4" t="str">
        <f ca="1">IF(OR(INDEX($W$2:$W$1001,MATCH(ROWS($V$2:V625),$V$2:$V$1001,0),1)&gt;=100000,INDEX($AC$1005:$AS$1005,1,MATCH(COLUMNS($AC$1006:AR1006),$AC$1006:$AS$1006,0))&gt;=100000), " ",IF(INDEX($AC$2:$AS$1001,MATCH(ROWS($V$2:V625),$V$2:$V$1001,0),MATCH(COLUMNS($AC$1006:AR1006),$AC$1006:$AS$1006,0)), HYPERLINK("#",""), HYPERLINK(CONCATENATE("#metadata!", ADDRESS(INDEX($X$2:$X$1001,MATCH(ROWS($V$2:V625),$V$2:$V$1001,0),0), INDEX($AC$1004:$AS$1004,1,MATCH(COLUMNS($AC$1006:AR1006),$AC$1006:$AS$1006,0)))),"Fix")))</f>
        <v xml:space="preserve"> </v>
      </c>
      <c r="R625" s="4" t="str">
        <f ca="1">IF(OR(INDEX($W$2:$W$1001,MATCH(ROWS($V$2:V625),$V$2:$V$1001,0),1)&gt;=100000,INDEX($AC$1005:$AS$1005,1,MATCH(COLUMNS($AC$1006:AS1006),$AC$1006:$AS$1006,0))&gt;=100000), " ",IF(INDEX($AC$2:$AS$1001,MATCH(ROWS($V$2:V625),$V$2:$V$1001,0),MATCH(COLUMNS($AC$1006:AS1006),$AC$1006:$AS$1006,0)), HYPERLINK("#",""), HYPERLINK(CONCATENATE("#metadata!", ADDRESS(INDEX($X$2:$X$1001,MATCH(ROWS($V$2:V625),$V$2:$V$1001,0),0), INDEX($AC$1004:$AS$1004,1,MATCH(COLUMNS($AC$1006:AS1006),$AC$1006:$AS$1006,0)))),"Fix")))</f>
        <v xml:space="preserve"> </v>
      </c>
      <c r="V625">
        <v>624</v>
      </c>
      <c r="W625">
        <v>100625</v>
      </c>
      <c r="X625">
        <v>625</v>
      </c>
      <c r="Y625" t="b">
        <f t="shared" si="9"/>
        <v>1</v>
      </c>
      <c r="Z625" t="b">
        <f>COUNTBLANK(metadata!B625:R625)=COLUMNS(metadata!B625:R625)</f>
        <v>1</v>
      </c>
      <c r="AA625" t="str">
        <v/>
      </c>
      <c r="AC625" t="b">
        <f ca="1"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AD625" t="b">
        <f>IF(metadata!C625="",FALSE,ISNUMBER(VALUE(metadata!C625)))</f>
        <v>0</v>
      </c>
      <c r="AE625" t="b">
        <f>AND(IF(metadata!D625="",FALSE,TRUE),EXACT(metadata!D625,"years"))</f>
        <v>0</v>
      </c>
      <c r="AF625" t="b">
        <f>OR(AND(IF(metadata!E625="",FALSE,TRUE),OR(EXACT(metadata!E625,"not applicable"),EXACT(metadata!E625,"missing: not collected"),EXACT(metadata!E625,"missing: not provided"),EXACT(metadata!E625,"missing: restricted access"))),AND(IF(metadata!E625="",FALSE,ISNUMBER(VALUE(metadata!E625))),metadata!E625&gt;0))</f>
        <v>0</v>
      </c>
      <c r="AG625" t="b">
        <f>AND(IF(metadata!F625="",FALSE,TRUE),EXACT(metadata!F625,"Not applicable"))</f>
        <v>0</v>
      </c>
      <c r="AH625" t="b">
        <f>AND(IF(metadata!G625="",FALSE,TRUE),EXACT(metadata!G625,"urban biome"))</f>
        <v>0</v>
      </c>
      <c r="AI625" t="b">
        <f>AND(IF(metadata!H625="",FALSE,TRUE),EXACT(metadata!H625,"human-associated habitat"))</f>
        <v>0</v>
      </c>
      <c r="AJ625" t="b">
        <f>AND(IF(metadata!I625="",FALSE,TRUE),OR(EXACT(metadata!I625,"human-associated"),EXACT(metadata!I625,"human-skin"),EXACT(metadata!I625,"human-oral"),EXACT(metadata!I625,"human-gut"),EXACT(metadata!I625,"human-vaginal")))</f>
        <v>0</v>
      </c>
      <c r="AK625" t="b">
        <f>IF(metadata!J625="",FALSE,ISNUMBER(VALUE(metadata!J625)))</f>
        <v>0</v>
      </c>
      <c r="AL625" t="b">
        <f>AND(IF(metadata!K625="",FALSE,TRUE),EXACT(metadata!K625,"cm"))</f>
        <v>0</v>
      </c>
      <c r="AM625" t="b">
        <f>AND(IF(metadata!L625="",FALSE,TRUE),EXACT(metadata!L625,"human"))</f>
        <v>0</v>
      </c>
      <c r="AN625" t="b">
        <f>AND(IF(metadata!M625="",FALSE,TRUE),EXACT(metadata!M625,"Homo sapiens"))</f>
        <v>0</v>
      </c>
      <c r="AO625" t="b">
        <f>AND(IF(metadata!N625="",FALSE,TRUE),EXACT(metadata!N625,"9606"))</f>
        <v>0</v>
      </c>
      <c r="AP625" t="b">
        <f>IF(metadata!O625="",FALSE,TRUE)</f>
        <v>0</v>
      </c>
      <c r="AQ625" t="b">
        <f>IF(metadata!P625="",FALSE,TRUE)</f>
        <v>0</v>
      </c>
      <c r="AR625" t="b">
        <f>IF(metadata!Q625="",FALSE,ISNUMBER(VALUE(metadata!Q625)))</f>
        <v>0</v>
      </c>
      <c r="AS625" t="b">
        <f>AND(IF(metadata!R625="",FALSE,TRUE),EXACT(metadata!R625,"kg"))</f>
        <v>0</v>
      </c>
    </row>
    <row r="626" spans="1:45" x14ac:dyDescent="0.2">
      <c r="A626" s="5" t="str">
        <f ca="1">IF(B626=" "," ",HYPERLINK(CONCATENATE("#metadata!",ADDRESS(INDEX($X$2:$X$1001,MATCH(ROWS($V$2:V626),$V$2:$V$1001,0),0),1)),INDEX($AA$2:$AA$1001,MATCH(ROWS($V$2:V626),$V$2:$V$1001,0),0)))</f>
        <v xml:space="preserve"> </v>
      </c>
      <c r="B626" s="4" t="str">
        <f ca="1">IF(OR(INDEX($W$2:$W$1001,MATCH(ROWS($V$2:V626),$V$2:$V$1001,0),1)&gt;=100000,INDEX($AC$1005:$AS$1005,1,MATCH(COLUMNS($AC$1006:AC1006),$AC$1006:$AS$1006,0))&gt;=100000), " ",IF(INDEX($AC$2:$AS$1001,MATCH(ROWS($V$2:V626),$V$2:$V$1001,0),MATCH(COLUMNS($AC$1006:AC1006),$AC$1006:$AS$1006,0)), HYPERLINK("#",""), HYPERLINK(CONCATENATE("#metadata!", ADDRESS(INDEX($X$2:$X$1001,MATCH(ROWS($V$2:V626),$V$2:$V$1001,0),0), INDEX($AC$1004:$AS$1004,1,MATCH(COLUMNS($AC$1006:AC1006),$AC$1006:$AS$1006,0)))),"Fix")))</f>
        <v xml:space="preserve"> </v>
      </c>
      <c r="C626" s="4" t="str">
        <f ca="1">IF(OR(INDEX($W$2:$W$1001,MATCH(ROWS($V$2:V626),$V$2:$V$1001,0),1)&gt;=100000,INDEX($AC$1005:$AS$1005,1,MATCH(COLUMNS($AC$1006:AD1006),$AC$1006:$AS$1006,0))&gt;=100000), " ",IF(INDEX($AC$2:$AS$1001,MATCH(ROWS($V$2:V626),$V$2:$V$1001,0),MATCH(COLUMNS($AC$1006:AD1006),$AC$1006:$AS$1006,0)), HYPERLINK("#",""), HYPERLINK(CONCATENATE("#metadata!", ADDRESS(INDEX($X$2:$X$1001,MATCH(ROWS($V$2:V626),$V$2:$V$1001,0),0), INDEX($AC$1004:$AS$1004,1,MATCH(COLUMNS($AC$1006:AD1006),$AC$1006:$AS$1006,0)))),"Fix")))</f>
        <v xml:space="preserve"> </v>
      </c>
      <c r="D626" s="4" t="str">
        <f ca="1">IF(OR(INDEX($W$2:$W$1001,MATCH(ROWS($V$2:V626),$V$2:$V$1001,0),1)&gt;=100000,INDEX($AC$1005:$AS$1005,1,MATCH(COLUMNS($AC$1006:AE1006),$AC$1006:$AS$1006,0))&gt;=100000), " ",IF(INDEX($AC$2:$AS$1001,MATCH(ROWS($V$2:V626),$V$2:$V$1001,0),MATCH(COLUMNS($AC$1006:AE1006),$AC$1006:$AS$1006,0)), HYPERLINK("#",""), HYPERLINK(CONCATENATE("#metadata!", ADDRESS(INDEX($X$2:$X$1001,MATCH(ROWS($V$2:V626),$V$2:$V$1001,0),0), INDEX($AC$1004:$AS$1004,1,MATCH(COLUMNS($AC$1006:AE1006),$AC$1006:$AS$1006,0)))),"Fix")))</f>
        <v xml:space="preserve"> </v>
      </c>
      <c r="E626" s="4" t="str">
        <f ca="1">IF(OR(INDEX($W$2:$W$1001,MATCH(ROWS($V$2:V626),$V$2:$V$1001,0),1)&gt;=100000,INDEX($AC$1005:$AS$1005,1,MATCH(COLUMNS($AC$1006:AF1006),$AC$1006:$AS$1006,0))&gt;=100000), " ",IF(INDEX($AC$2:$AS$1001,MATCH(ROWS($V$2:V626),$V$2:$V$1001,0),MATCH(COLUMNS($AC$1006:AF1006),$AC$1006:$AS$1006,0)), HYPERLINK("#",""), HYPERLINK(CONCATENATE("#metadata!", ADDRESS(INDEX($X$2:$X$1001,MATCH(ROWS($V$2:V626),$V$2:$V$1001,0),0), INDEX($AC$1004:$AS$1004,1,MATCH(COLUMNS($AC$1006:AF1006),$AC$1006:$AS$1006,0)))),"Fix")))</f>
        <v xml:space="preserve"> </v>
      </c>
      <c r="F626" s="4" t="str">
        <f ca="1">IF(OR(INDEX($W$2:$W$1001,MATCH(ROWS($V$2:V626),$V$2:$V$1001,0),1)&gt;=100000,INDEX($AC$1005:$AS$1005,1,MATCH(COLUMNS($AC$1006:AG1006),$AC$1006:$AS$1006,0))&gt;=100000), " ",IF(INDEX($AC$2:$AS$1001,MATCH(ROWS($V$2:V626),$V$2:$V$1001,0),MATCH(COLUMNS($AC$1006:AG1006),$AC$1006:$AS$1006,0)), HYPERLINK("#",""), HYPERLINK(CONCATENATE("#metadata!", ADDRESS(INDEX($X$2:$X$1001,MATCH(ROWS($V$2:V626),$V$2:$V$1001,0),0), INDEX($AC$1004:$AS$1004,1,MATCH(COLUMNS($AC$1006:AG1006),$AC$1006:$AS$1006,0)))),"Fix")))</f>
        <v xml:space="preserve"> </v>
      </c>
      <c r="G626" s="4" t="str">
        <f ca="1">IF(OR(INDEX($W$2:$W$1001,MATCH(ROWS($V$2:V626),$V$2:$V$1001,0),1)&gt;=100000,INDEX($AC$1005:$AS$1005,1,MATCH(COLUMNS($AC$1006:AH1006),$AC$1006:$AS$1006,0))&gt;=100000), " ",IF(INDEX($AC$2:$AS$1001,MATCH(ROWS($V$2:V626),$V$2:$V$1001,0),MATCH(COLUMNS($AC$1006:AH1006),$AC$1006:$AS$1006,0)), HYPERLINK("#",""), HYPERLINK(CONCATENATE("#metadata!", ADDRESS(INDEX($X$2:$X$1001,MATCH(ROWS($V$2:V626),$V$2:$V$1001,0),0), INDEX($AC$1004:$AS$1004,1,MATCH(COLUMNS($AC$1006:AH1006),$AC$1006:$AS$1006,0)))),"Fix")))</f>
        <v xml:space="preserve"> </v>
      </c>
      <c r="H626" s="4" t="str">
        <f ca="1">IF(OR(INDEX($W$2:$W$1001,MATCH(ROWS($V$2:V626),$V$2:$V$1001,0),1)&gt;=100000,INDEX($AC$1005:$AS$1005,1,MATCH(COLUMNS($AC$1006:AI1006),$AC$1006:$AS$1006,0))&gt;=100000), " ",IF(INDEX($AC$2:$AS$1001,MATCH(ROWS($V$2:V626),$V$2:$V$1001,0),MATCH(COLUMNS($AC$1006:AI1006),$AC$1006:$AS$1006,0)), HYPERLINK("#",""), HYPERLINK(CONCATENATE("#metadata!", ADDRESS(INDEX($X$2:$X$1001,MATCH(ROWS($V$2:V626),$V$2:$V$1001,0),0), INDEX($AC$1004:$AS$1004,1,MATCH(COLUMNS($AC$1006:AI1006),$AC$1006:$AS$1006,0)))),"Fix")))</f>
        <v xml:space="preserve"> </v>
      </c>
      <c r="I626" s="4" t="str">
        <f ca="1">IF(OR(INDEX($W$2:$W$1001,MATCH(ROWS($V$2:V626),$V$2:$V$1001,0),1)&gt;=100000,INDEX($AC$1005:$AS$1005,1,MATCH(COLUMNS($AC$1006:AJ1006),$AC$1006:$AS$1006,0))&gt;=100000), " ",IF(INDEX($AC$2:$AS$1001,MATCH(ROWS($V$2:V626),$V$2:$V$1001,0),MATCH(COLUMNS($AC$1006:AJ1006),$AC$1006:$AS$1006,0)), HYPERLINK("#",""), HYPERLINK(CONCATENATE("#metadata!", ADDRESS(INDEX($X$2:$X$1001,MATCH(ROWS($V$2:V626),$V$2:$V$1001,0),0), INDEX($AC$1004:$AS$1004,1,MATCH(COLUMNS($AC$1006:AJ1006),$AC$1006:$AS$1006,0)))),"Fix")))</f>
        <v xml:space="preserve"> </v>
      </c>
      <c r="J626" s="4" t="str">
        <f ca="1">IF(OR(INDEX($W$2:$W$1001,MATCH(ROWS($V$2:V626),$V$2:$V$1001,0),1)&gt;=100000,INDEX($AC$1005:$AS$1005,1,MATCH(COLUMNS($AC$1006:AK1006),$AC$1006:$AS$1006,0))&gt;=100000), " ",IF(INDEX($AC$2:$AS$1001,MATCH(ROWS($V$2:V626),$V$2:$V$1001,0),MATCH(COLUMNS($AC$1006:AK1006),$AC$1006:$AS$1006,0)), HYPERLINK("#",""), HYPERLINK(CONCATENATE("#metadata!", ADDRESS(INDEX($X$2:$X$1001,MATCH(ROWS($V$2:V626),$V$2:$V$1001,0),0), INDEX($AC$1004:$AS$1004,1,MATCH(COLUMNS($AC$1006:AK1006),$AC$1006:$AS$1006,0)))),"Fix")))</f>
        <v xml:space="preserve"> </v>
      </c>
      <c r="K626" s="4" t="str">
        <f ca="1">IF(OR(INDEX($W$2:$W$1001,MATCH(ROWS($V$2:V626),$V$2:$V$1001,0),1)&gt;=100000,INDEX($AC$1005:$AS$1005,1,MATCH(COLUMNS($AC$1006:AL1006),$AC$1006:$AS$1006,0))&gt;=100000), " ",IF(INDEX($AC$2:$AS$1001,MATCH(ROWS($V$2:V626),$V$2:$V$1001,0),MATCH(COLUMNS($AC$1006:AL1006),$AC$1006:$AS$1006,0)), HYPERLINK("#",""), HYPERLINK(CONCATENATE("#metadata!", ADDRESS(INDEX($X$2:$X$1001,MATCH(ROWS($V$2:V626),$V$2:$V$1001,0),0), INDEX($AC$1004:$AS$1004,1,MATCH(COLUMNS($AC$1006:AL1006),$AC$1006:$AS$1006,0)))),"Fix")))</f>
        <v xml:space="preserve"> </v>
      </c>
      <c r="L626" s="4" t="str">
        <f ca="1">IF(OR(INDEX($W$2:$W$1001,MATCH(ROWS($V$2:V626),$V$2:$V$1001,0),1)&gt;=100000,INDEX($AC$1005:$AS$1005,1,MATCH(COLUMNS($AC$1006:AM1006),$AC$1006:$AS$1006,0))&gt;=100000), " ",IF(INDEX($AC$2:$AS$1001,MATCH(ROWS($V$2:V626),$V$2:$V$1001,0),MATCH(COLUMNS($AC$1006:AM1006),$AC$1006:$AS$1006,0)), HYPERLINK("#",""), HYPERLINK(CONCATENATE("#metadata!", ADDRESS(INDEX($X$2:$X$1001,MATCH(ROWS($V$2:V626),$V$2:$V$1001,0),0), INDEX($AC$1004:$AS$1004,1,MATCH(COLUMNS($AC$1006:AM1006),$AC$1006:$AS$1006,0)))),"Fix")))</f>
        <v xml:space="preserve"> </v>
      </c>
      <c r="M626" s="4" t="str">
        <f ca="1">IF(OR(INDEX($W$2:$W$1001,MATCH(ROWS($V$2:V626),$V$2:$V$1001,0),1)&gt;=100000,INDEX($AC$1005:$AS$1005,1,MATCH(COLUMNS($AC$1006:AN1006),$AC$1006:$AS$1006,0))&gt;=100000), " ",IF(INDEX($AC$2:$AS$1001,MATCH(ROWS($V$2:V626),$V$2:$V$1001,0),MATCH(COLUMNS($AC$1006:AN1006),$AC$1006:$AS$1006,0)), HYPERLINK("#",""), HYPERLINK(CONCATENATE("#metadata!", ADDRESS(INDEX($X$2:$X$1001,MATCH(ROWS($V$2:V626),$V$2:$V$1001,0),0), INDEX($AC$1004:$AS$1004,1,MATCH(COLUMNS($AC$1006:AN1006),$AC$1006:$AS$1006,0)))),"Fix")))</f>
        <v xml:space="preserve"> </v>
      </c>
      <c r="N626" s="4" t="str">
        <f ca="1">IF(OR(INDEX($W$2:$W$1001,MATCH(ROWS($V$2:V626),$V$2:$V$1001,0),1)&gt;=100000,INDEX($AC$1005:$AS$1005,1,MATCH(COLUMNS($AC$1006:AO1006),$AC$1006:$AS$1006,0))&gt;=100000), " ",IF(INDEX($AC$2:$AS$1001,MATCH(ROWS($V$2:V626),$V$2:$V$1001,0),MATCH(COLUMNS($AC$1006:AO1006),$AC$1006:$AS$1006,0)), HYPERLINK("#",""), HYPERLINK(CONCATENATE("#metadata!", ADDRESS(INDEX($X$2:$X$1001,MATCH(ROWS($V$2:V626),$V$2:$V$1001,0),0), INDEX($AC$1004:$AS$1004,1,MATCH(COLUMNS($AC$1006:AO1006),$AC$1006:$AS$1006,0)))),"Fix")))</f>
        <v xml:space="preserve"> </v>
      </c>
      <c r="O626" s="4" t="str">
        <f ca="1">IF(OR(INDEX($W$2:$W$1001,MATCH(ROWS($V$2:V626),$V$2:$V$1001,0),1)&gt;=100000,INDEX($AC$1005:$AS$1005,1,MATCH(COLUMNS($AC$1006:AP1006),$AC$1006:$AS$1006,0))&gt;=100000), " ",IF(INDEX($AC$2:$AS$1001,MATCH(ROWS($V$2:V626),$V$2:$V$1001,0),MATCH(COLUMNS($AC$1006:AP1006),$AC$1006:$AS$1006,0)), HYPERLINK("#",""), HYPERLINK(CONCATENATE("#metadata!", ADDRESS(INDEX($X$2:$X$1001,MATCH(ROWS($V$2:V626),$V$2:$V$1001,0),0), INDEX($AC$1004:$AS$1004,1,MATCH(COLUMNS($AC$1006:AP1006),$AC$1006:$AS$1006,0)))),"Fix")))</f>
        <v xml:space="preserve"> </v>
      </c>
      <c r="P626" s="4" t="str">
        <f ca="1">IF(OR(INDEX($W$2:$W$1001,MATCH(ROWS($V$2:V626),$V$2:$V$1001,0),1)&gt;=100000,INDEX($AC$1005:$AS$1005,1,MATCH(COLUMNS($AC$1006:AQ1006),$AC$1006:$AS$1006,0))&gt;=100000), " ",IF(INDEX($AC$2:$AS$1001,MATCH(ROWS($V$2:V626),$V$2:$V$1001,0),MATCH(COLUMNS($AC$1006:AQ1006),$AC$1006:$AS$1006,0)), HYPERLINK("#",""), HYPERLINK(CONCATENATE("#metadata!", ADDRESS(INDEX($X$2:$X$1001,MATCH(ROWS($V$2:V626),$V$2:$V$1001,0),0), INDEX($AC$1004:$AS$1004,1,MATCH(COLUMNS($AC$1006:AQ1006),$AC$1006:$AS$1006,0)))),"Fix")))</f>
        <v xml:space="preserve"> </v>
      </c>
      <c r="Q626" s="4" t="str">
        <f ca="1">IF(OR(INDEX($W$2:$W$1001,MATCH(ROWS($V$2:V626),$V$2:$V$1001,0),1)&gt;=100000,INDEX($AC$1005:$AS$1005,1,MATCH(COLUMNS($AC$1006:AR1006),$AC$1006:$AS$1006,0))&gt;=100000), " ",IF(INDEX($AC$2:$AS$1001,MATCH(ROWS($V$2:V626),$V$2:$V$1001,0),MATCH(COLUMNS($AC$1006:AR1006),$AC$1006:$AS$1006,0)), HYPERLINK("#",""), HYPERLINK(CONCATENATE("#metadata!", ADDRESS(INDEX($X$2:$X$1001,MATCH(ROWS($V$2:V626),$V$2:$V$1001,0),0), INDEX($AC$1004:$AS$1004,1,MATCH(COLUMNS($AC$1006:AR1006),$AC$1006:$AS$1006,0)))),"Fix")))</f>
        <v xml:space="preserve"> </v>
      </c>
      <c r="R626" s="4" t="str">
        <f ca="1">IF(OR(INDEX($W$2:$W$1001,MATCH(ROWS($V$2:V626),$V$2:$V$1001,0),1)&gt;=100000,INDEX($AC$1005:$AS$1005,1,MATCH(COLUMNS($AC$1006:AS1006),$AC$1006:$AS$1006,0))&gt;=100000), " ",IF(INDEX($AC$2:$AS$1001,MATCH(ROWS($V$2:V626),$V$2:$V$1001,0),MATCH(COLUMNS($AC$1006:AS1006),$AC$1006:$AS$1006,0)), HYPERLINK("#",""), HYPERLINK(CONCATENATE("#metadata!", ADDRESS(INDEX($X$2:$X$1001,MATCH(ROWS($V$2:V626),$V$2:$V$1001,0),0), INDEX($AC$1004:$AS$1004,1,MATCH(COLUMNS($AC$1006:AS1006),$AC$1006:$AS$1006,0)))),"Fix")))</f>
        <v xml:space="preserve"> </v>
      </c>
      <c r="V626">
        <v>625</v>
      </c>
      <c r="W626">
        <v>100626</v>
      </c>
      <c r="X626">
        <v>626</v>
      </c>
      <c r="Y626" t="b">
        <f t="shared" si="9"/>
        <v>1</v>
      </c>
      <c r="Z626" t="b">
        <f>COUNTBLANK(metadata!B626:R626)=COLUMNS(metadata!B626:R626)</f>
        <v>1</v>
      </c>
      <c r="AA626" t="str">
        <v/>
      </c>
      <c r="AC626" t="b">
        <f ca="1"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AD626" t="b">
        <f>IF(metadata!C626="",FALSE,ISNUMBER(VALUE(metadata!C626)))</f>
        <v>0</v>
      </c>
      <c r="AE626" t="b">
        <f>AND(IF(metadata!D626="",FALSE,TRUE),EXACT(metadata!D626,"years"))</f>
        <v>0</v>
      </c>
      <c r="AF626" t="b">
        <f>OR(AND(IF(metadata!E626="",FALSE,TRUE),OR(EXACT(metadata!E626,"not applicable"),EXACT(metadata!E626,"missing: not collected"),EXACT(metadata!E626,"missing: not provided"),EXACT(metadata!E626,"missing: restricted access"))),AND(IF(metadata!E626="",FALSE,ISNUMBER(VALUE(metadata!E626))),metadata!E626&gt;0))</f>
        <v>0</v>
      </c>
      <c r="AG626" t="b">
        <f>AND(IF(metadata!F626="",FALSE,TRUE),EXACT(metadata!F626,"Not applicable"))</f>
        <v>0</v>
      </c>
      <c r="AH626" t="b">
        <f>AND(IF(metadata!G626="",FALSE,TRUE),EXACT(metadata!G626,"urban biome"))</f>
        <v>0</v>
      </c>
      <c r="AI626" t="b">
        <f>AND(IF(metadata!H626="",FALSE,TRUE),EXACT(metadata!H626,"human-associated habitat"))</f>
        <v>0</v>
      </c>
      <c r="AJ626" t="b">
        <f>AND(IF(metadata!I626="",FALSE,TRUE),OR(EXACT(metadata!I626,"human-associated"),EXACT(metadata!I626,"human-skin"),EXACT(metadata!I626,"human-oral"),EXACT(metadata!I626,"human-gut"),EXACT(metadata!I626,"human-vaginal")))</f>
        <v>0</v>
      </c>
      <c r="AK626" t="b">
        <f>IF(metadata!J626="",FALSE,ISNUMBER(VALUE(metadata!J626)))</f>
        <v>0</v>
      </c>
      <c r="AL626" t="b">
        <f>AND(IF(metadata!K626="",FALSE,TRUE),EXACT(metadata!K626,"cm"))</f>
        <v>0</v>
      </c>
      <c r="AM626" t="b">
        <f>AND(IF(metadata!L626="",FALSE,TRUE),EXACT(metadata!L626,"human"))</f>
        <v>0</v>
      </c>
      <c r="AN626" t="b">
        <f>AND(IF(metadata!M626="",FALSE,TRUE),EXACT(metadata!M626,"Homo sapiens"))</f>
        <v>0</v>
      </c>
      <c r="AO626" t="b">
        <f>AND(IF(metadata!N626="",FALSE,TRUE),EXACT(metadata!N626,"9606"))</f>
        <v>0</v>
      </c>
      <c r="AP626" t="b">
        <f>IF(metadata!O626="",FALSE,TRUE)</f>
        <v>0</v>
      </c>
      <c r="AQ626" t="b">
        <f>IF(metadata!P626="",FALSE,TRUE)</f>
        <v>0</v>
      </c>
      <c r="AR626" t="b">
        <f>IF(metadata!Q626="",FALSE,ISNUMBER(VALUE(metadata!Q626)))</f>
        <v>0</v>
      </c>
      <c r="AS626" t="b">
        <f>AND(IF(metadata!R626="",FALSE,TRUE),EXACT(metadata!R626,"kg"))</f>
        <v>0</v>
      </c>
    </row>
    <row r="627" spans="1:45" x14ac:dyDescent="0.2">
      <c r="A627" s="5" t="str">
        <f ca="1">IF(B627=" "," ",HYPERLINK(CONCATENATE("#metadata!",ADDRESS(INDEX($X$2:$X$1001,MATCH(ROWS($V$2:V627),$V$2:$V$1001,0),0),1)),INDEX($AA$2:$AA$1001,MATCH(ROWS($V$2:V627),$V$2:$V$1001,0),0)))</f>
        <v xml:space="preserve"> </v>
      </c>
      <c r="B627" s="4" t="str">
        <f ca="1">IF(OR(INDEX($W$2:$W$1001,MATCH(ROWS($V$2:V627),$V$2:$V$1001,0),1)&gt;=100000,INDEX($AC$1005:$AS$1005,1,MATCH(COLUMNS($AC$1006:AC1006),$AC$1006:$AS$1006,0))&gt;=100000), " ",IF(INDEX($AC$2:$AS$1001,MATCH(ROWS($V$2:V627),$V$2:$V$1001,0),MATCH(COLUMNS($AC$1006:AC1006),$AC$1006:$AS$1006,0)), HYPERLINK("#",""), HYPERLINK(CONCATENATE("#metadata!", ADDRESS(INDEX($X$2:$X$1001,MATCH(ROWS($V$2:V627),$V$2:$V$1001,0),0), INDEX($AC$1004:$AS$1004,1,MATCH(COLUMNS($AC$1006:AC1006),$AC$1006:$AS$1006,0)))),"Fix")))</f>
        <v xml:space="preserve"> </v>
      </c>
      <c r="C627" s="4" t="str">
        <f ca="1">IF(OR(INDEX($W$2:$W$1001,MATCH(ROWS($V$2:V627),$V$2:$V$1001,0),1)&gt;=100000,INDEX($AC$1005:$AS$1005,1,MATCH(COLUMNS($AC$1006:AD1006),$AC$1006:$AS$1006,0))&gt;=100000), " ",IF(INDEX($AC$2:$AS$1001,MATCH(ROWS($V$2:V627),$V$2:$V$1001,0),MATCH(COLUMNS($AC$1006:AD1006),$AC$1006:$AS$1006,0)), HYPERLINK("#",""), HYPERLINK(CONCATENATE("#metadata!", ADDRESS(INDEX($X$2:$X$1001,MATCH(ROWS($V$2:V627),$V$2:$V$1001,0),0), INDEX($AC$1004:$AS$1004,1,MATCH(COLUMNS($AC$1006:AD1006),$AC$1006:$AS$1006,0)))),"Fix")))</f>
        <v xml:space="preserve"> </v>
      </c>
      <c r="D627" s="4" t="str">
        <f ca="1">IF(OR(INDEX($W$2:$W$1001,MATCH(ROWS($V$2:V627),$V$2:$V$1001,0),1)&gt;=100000,INDEX($AC$1005:$AS$1005,1,MATCH(COLUMNS($AC$1006:AE1006),$AC$1006:$AS$1006,0))&gt;=100000), " ",IF(INDEX($AC$2:$AS$1001,MATCH(ROWS($V$2:V627),$V$2:$V$1001,0),MATCH(COLUMNS($AC$1006:AE1006),$AC$1006:$AS$1006,0)), HYPERLINK("#",""), HYPERLINK(CONCATENATE("#metadata!", ADDRESS(INDEX($X$2:$X$1001,MATCH(ROWS($V$2:V627),$V$2:$V$1001,0),0), INDEX($AC$1004:$AS$1004,1,MATCH(COLUMNS($AC$1006:AE1006),$AC$1006:$AS$1006,0)))),"Fix")))</f>
        <v xml:space="preserve"> </v>
      </c>
      <c r="E627" s="4" t="str">
        <f ca="1">IF(OR(INDEX($W$2:$W$1001,MATCH(ROWS($V$2:V627),$V$2:$V$1001,0),1)&gt;=100000,INDEX($AC$1005:$AS$1005,1,MATCH(COLUMNS($AC$1006:AF1006),$AC$1006:$AS$1006,0))&gt;=100000), " ",IF(INDEX($AC$2:$AS$1001,MATCH(ROWS($V$2:V627),$V$2:$V$1001,0),MATCH(COLUMNS($AC$1006:AF1006),$AC$1006:$AS$1006,0)), HYPERLINK("#",""), HYPERLINK(CONCATENATE("#metadata!", ADDRESS(INDEX($X$2:$X$1001,MATCH(ROWS($V$2:V627),$V$2:$V$1001,0),0), INDEX($AC$1004:$AS$1004,1,MATCH(COLUMNS($AC$1006:AF1006),$AC$1006:$AS$1006,0)))),"Fix")))</f>
        <v xml:space="preserve"> </v>
      </c>
      <c r="F627" s="4" t="str">
        <f ca="1">IF(OR(INDEX($W$2:$W$1001,MATCH(ROWS($V$2:V627),$V$2:$V$1001,0),1)&gt;=100000,INDEX($AC$1005:$AS$1005,1,MATCH(COLUMNS($AC$1006:AG1006),$AC$1006:$AS$1006,0))&gt;=100000), " ",IF(INDEX($AC$2:$AS$1001,MATCH(ROWS($V$2:V627),$V$2:$V$1001,0),MATCH(COLUMNS($AC$1006:AG1006),$AC$1006:$AS$1006,0)), HYPERLINK("#",""), HYPERLINK(CONCATENATE("#metadata!", ADDRESS(INDEX($X$2:$X$1001,MATCH(ROWS($V$2:V627),$V$2:$V$1001,0),0), INDEX($AC$1004:$AS$1004,1,MATCH(COLUMNS($AC$1006:AG1006),$AC$1006:$AS$1006,0)))),"Fix")))</f>
        <v xml:space="preserve"> </v>
      </c>
      <c r="G627" s="4" t="str">
        <f ca="1">IF(OR(INDEX($W$2:$W$1001,MATCH(ROWS($V$2:V627),$V$2:$V$1001,0),1)&gt;=100000,INDEX($AC$1005:$AS$1005,1,MATCH(COLUMNS($AC$1006:AH1006),$AC$1006:$AS$1006,0))&gt;=100000), " ",IF(INDEX($AC$2:$AS$1001,MATCH(ROWS($V$2:V627),$V$2:$V$1001,0),MATCH(COLUMNS($AC$1006:AH1006),$AC$1006:$AS$1006,0)), HYPERLINK("#",""), HYPERLINK(CONCATENATE("#metadata!", ADDRESS(INDEX($X$2:$X$1001,MATCH(ROWS($V$2:V627),$V$2:$V$1001,0),0), INDEX($AC$1004:$AS$1004,1,MATCH(COLUMNS($AC$1006:AH1006),$AC$1006:$AS$1006,0)))),"Fix")))</f>
        <v xml:space="preserve"> </v>
      </c>
      <c r="H627" s="4" t="str">
        <f ca="1">IF(OR(INDEX($W$2:$W$1001,MATCH(ROWS($V$2:V627),$V$2:$V$1001,0),1)&gt;=100000,INDEX($AC$1005:$AS$1005,1,MATCH(COLUMNS($AC$1006:AI1006),$AC$1006:$AS$1006,0))&gt;=100000), " ",IF(INDEX($AC$2:$AS$1001,MATCH(ROWS($V$2:V627),$V$2:$V$1001,0),MATCH(COLUMNS($AC$1006:AI1006),$AC$1006:$AS$1006,0)), HYPERLINK("#",""), HYPERLINK(CONCATENATE("#metadata!", ADDRESS(INDEX($X$2:$X$1001,MATCH(ROWS($V$2:V627),$V$2:$V$1001,0),0), INDEX($AC$1004:$AS$1004,1,MATCH(COLUMNS($AC$1006:AI1006),$AC$1006:$AS$1006,0)))),"Fix")))</f>
        <v xml:space="preserve"> </v>
      </c>
      <c r="I627" s="4" t="str">
        <f ca="1">IF(OR(INDEX($W$2:$W$1001,MATCH(ROWS($V$2:V627),$V$2:$V$1001,0),1)&gt;=100000,INDEX($AC$1005:$AS$1005,1,MATCH(COLUMNS($AC$1006:AJ1006),$AC$1006:$AS$1006,0))&gt;=100000), " ",IF(INDEX($AC$2:$AS$1001,MATCH(ROWS($V$2:V627),$V$2:$V$1001,0),MATCH(COLUMNS($AC$1006:AJ1006),$AC$1006:$AS$1006,0)), HYPERLINK("#",""), HYPERLINK(CONCATENATE("#metadata!", ADDRESS(INDEX($X$2:$X$1001,MATCH(ROWS($V$2:V627),$V$2:$V$1001,0),0), INDEX($AC$1004:$AS$1004,1,MATCH(COLUMNS($AC$1006:AJ1006),$AC$1006:$AS$1006,0)))),"Fix")))</f>
        <v xml:space="preserve"> </v>
      </c>
      <c r="J627" s="4" t="str">
        <f ca="1">IF(OR(INDEX($W$2:$W$1001,MATCH(ROWS($V$2:V627),$V$2:$V$1001,0),1)&gt;=100000,INDEX($AC$1005:$AS$1005,1,MATCH(COLUMNS($AC$1006:AK1006),$AC$1006:$AS$1006,0))&gt;=100000), " ",IF(INDEX($AC$2:$AS$1001,MATCH(ROWS($V$2:V627),$V$2:$V$1001,0),MATCH(COLUMNS($AC$1006:AK1006),$AC$1006:$AS$1006,0)), HYPERLINK("#",""), HYPERLINK(CONCATENATE("#metadata!", ADDRESS(INDEX($X$2:$X$1001,MATCH(ROWS($V$2:V627),$V$2:$V$1001,0),0), INDEX($AC$1004:$AS$1004,1,MATCH(COLUMNS($AC$1006:AK1006),$AC$1006:$AS$1006,0)))),"Fix")))</f>
        <v xml:space="preserve"> </v>
      </c>
      <c r="K627" s="4" t="str">
        <f ca="1">IF(OR(INDEX($W$2:$W$1001,MATCH(ROWS($V$2:V627),$V$2:$V$1001,0),1)&gt;=100000,INDEX($AC$1005:$AS$1005,1,MATCH(COLUMNS($AC$1006:AL1006),$AC$1006:$AS$1006,0))&gt;=100000), " ",IF(INDEX($AC$2:$AS$1001,MATCH(ROWS($V$2:V627),$V$2:$V$1001,0),MATCH(COLUMNS($AC$1006:AL1006),$AC$1006:$AS$1006,0)), HYPERLINK("#",""), HYPERLINK(CONCATENATE("#metadata!", ADDRESS(INDEX($X$2:$X$1001,MATCH(ROWS($V$2:V627),$V$2:$V$1001,0),0), INDEX($AC$1004:$AS$1004,1,MATCH(COLUMNS($AC$1006:AL1006),$AC$1006:$AS$1006,0)))),"Fix")))</f>
        <v xml:space="preserve"> </v>
      </c>
      <c r="L627" s="4" t="str">
        <f ca="1">IF(OR(INDEX($W$2:$W$1001,MATCH(ROWS($V$2:V627),$V$2:$V$1001,0),1)&gt;=100000,INDEX($AC$1005:$AS$1005,1,MATCH(COLUMNS($AC$1006:AM1006),$AC$1006:$AS$1006,0))&gt;=100000), " ",IF(INDEX($AC$2:$AS$1001,MATCH(ROWS($V$2:V627),$V$2:$V$1001,0),MATCH(COLUMNS($AC$1006:AM1006),$AC$1006:$AS$1006,0)), HYPERLINK("#",""), HYPERLINK(CONCATENATE("#metadata!", ADDRESS(INDEX($X$2:$X$1001,MATCH(ROWS($V$2:V627),$V$2:$V$1001,0),0), INDEX($AC$1004:$AS$1004,1,MATCH(COLUMNS($AC$1006:AM1006),$AC$1006:$AS$1006,0)))),"Fix")))</f>
        <v xml:space="preserve"> </v>
      </c>
      <c r="M627" s="4" t="str">
        <f ca="1">IF(OR(INDEX($W$2:$W$1001,MATCH(ROWS($V$2:V627),$V$2:$V$1001,0),1)&gt;=100000,INDEX($AC$1005:$AS$1005,1,MATCH(COLUMNS($AC$1006:AN1006),$AC$1006:$AS$1006,0))&gt;=100000), " ",IF(INDEX($AC$2:$AS$1001,MATCH(ROWS($V$2:V627),$V$2:$V$1001,0),MATCH(COLUMNS($AC$1006:AN1006),$AC$1006:$AS$1006,0)), HYPERLINK("#",""), HYPERLINK(CONCATENATE("#metadata!", ADDRESS(INDEX($X$2:$X$1001,MATCH(ROWS($V$2:V627),$V$2:$V$1001,0),0), INDEX($AC$1004:$AS$1004,1,MATCH(COLUMNS($AC$1006:AN1006),$AC$1006:$AS$1006,0)))),"Fix")))</f>
        <v xml:space="preserve"> </v>
      </c>
      <c r="N627" s="4" t="str">
        <f ca="1">IF(OR(INDEX($W$2:$W$1001,MATCH(ROWS($V$2:V627),$V$2:$V$1001,0),1)&gt;=100000,INDEX($AC$1005:$AS$1005,1,MATCH(COLUMNS($AC$1006:AO1006),$AC$1006:$AS$1006,0))&gt;=100000), " ",IF(INDEX($AC$2:$AS$1001,MATCH(ROWS($V$2:V627),$V$2:$V$1001,0),MATCH(COLUMNS($AC$1006:AO1006),$AC$1006:$AS$1006,0)), HYPERLINK("#",""), HYPERLINK(CONCATENATE("#metadata!", ADDRESS(INDEX($X$2:$X$1001,MATCH(ROWS($V$2:V627),$V$2:$V$1001,0),0), INDEX($AC$1004:$AS$1004,1,MATCH(COLUMNS($AC$1006:AO1006),$AC$1006:$AS$1006,0)))),"Fix")))</f>
        <v xml:space="preserve"> </v>
      </c>
      <c r="O627" s="4" t="str">
        <f ca="1">IF(OR(INDEX($W$2:$W$1001,MATCH(ROWS($V$2:V627),$V$2:$V$1001,0),1)&gt;=100000,INDEX($AC$1005:$AS$1005,1,MATCH(COLUMNS($AC$1006:AP1006),$AC$1006:$AS$1006,0))&gt;=100000), " ",IF(INDEX($AC$2:$AS$1001,MATCH(ROWS($V$2:V627),$V$2:$V$1001,0),MATCH(COLUMNS($AC$1006:AP1006),$AC$1006:$AS$1006,0)), HYPERLINK("#",""), HYPERLINK(CONCATENATE("#metadata!", ADDRESS(INDEX($X$2:$X$1001,MATCH(ROWS($V$2:V627),$V$2:$V$1001,0),0), INDEX($AC$1004:$AS$1004,1,MATCH(COLUMNS($AC$1006:AP1006),$AC$1006:$AS$1006,0)))),"Fix")))</f>
        <v xml:space="preserve"> </v>
      </c>
      <c r="P627" s="4" t="str">
        <f ca="1">IF(OR(INDEX($W$2:$W$1001,MATCH(ROWS($V$2:V627),$V$2:$V$1001,0),1)&gt;=100000,INDEX($AC$1005:$AS$1005,1,MATCH(COLUMNS($AC$1006:AQ1006),$AC$1006:$AS$1006,0))&gt;=100000), " ",IF(INDEX($AC$2:$AS$1001,MATCH(ROWS($V$2:V627),$V$2:$V$1001,0),MATCH(COLUMNS($AC$1006:AQ1006),$AC$1006:$AS$1006,0)), HYPERLINK("#",""), HYPERLINK(CONCATENATE("#metadata!", ADDRESS(INDEX($X$2:$X$1001,MATCH(ROWS($V$2:V627),$V$2:$V$1001,0),0), INDEX($AC$1004:$AS$1004,1,MATCH(COLUMNS($AC$1006:AQ1006),$AC$1006:$AS$1006,0)))),"Fix")))</f>
        <v xml:space="preserve"> </v>
      </c>
      <c r="Q627" s="4" t="str">
        <f ca="1">IF(OR(INDEX($W$2:$W$1001,MATCH(ROWS($V$2:V627),$V$2:$V$1001,0),1)&gt;=100000,INDEX($AC$1005:$AS$1005,1,MATCH(COLUMNS($AC$1006:AR1006),$AC$1006:$AS$1006,0))&gt;=100000), " ",IF(INDEX($AC$2:$AS$1001,MATCH(ROWS($V$2:V627),$V$2:$V$1001,0),MATCH(COLUMNS($AC$1006:AR1006),$AC$1006:$AS$1006,0)), HYPERLINK("#",""), HYPERLINK(CONCATENATE("#metadata!", ADDRESS(INDEX($X$2:$X$1001,MATCH(ROWS($V$2:V627),$V$2:$V$1001,0),0), INDEX($AC$1004:$AS$1004,1,MATCH(COLUMNS($AC$1006:AR1006),$AC$1006:$AS$1006,0)))),"Fix")))</f>
        <v xml:space="preserve"> </v>
      </c>
      <c r="R627" s="4" t="str">
        <f ca="1">IF(OR(INDEX($W$2:$W$1001,MATCH(ROWS($V$2:V627),$V$2:$V$1001,0),1)&gt;=100000,INDEX($AC$1005:$AS$1005,1,MATCH(COLUMNS($AC$1006:AS1006),$AC$1006:$AS$1006,0))&gt;=100000), " ",IF(INDEX($AC$2:$AS$1001,MATCH(ROWS($V$2:V627),$V$2:$V$1001,0),MATCH(COLUMNS($AC$1006:AS1006),$AC$1006:$AS$1006,0)), HYPERLINK("#",""), HYPERLINK(CONCATENATE("#metadata!", ADDRESS(INDEX($X$2:$X$1001,MATCH(ROWS($V$2:V627),$V$2:$V$1001,0),0), INDEX($AC$1004:$AS$1004,1,MATCH(COLUMNS($AC$1006:AS1006),$AC$1006:$AS$1006,0)))),"Fix")))</f>
        <v xml:space="preserve"> </v>
      </c>
      <c r="V627">
        <v>626</v>
      </c>
      <c r="W627">
        <v>100627</v>
      </c>
      <c r="X627">
        <v>627</v>
      </c>
      <c r="Y627" t="b">
        <f t="shared" si="9"/>
        <v>1</v>
      </c>
      <c r="Z627" t="b">
        <f>COUNTBLANK(metadata!B627:R627)=COLUMNS(metadata!B627:R627)</f>
        <v>1</v>
      </c>
      <c r="AA627" t="str">
        <v/>
      </c>
      <c r="AC627" t="b">
        <f ca="1"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AD627" t="b">
        <f>IF(metadata!C627="",FALSE,ISNUMBER(VALUE(metadata!C627)))</f>
        <v>0</v>
      </c>
      <c r="AE627" t="b">
        <f>AND(IF(metadata!D627="",FALSE,TRUE),EXACT(metadata!D627,"years"))</f>
        <v>0</v>
      </c>
      <c r="AF627" t="b">
        <f>OR(AND(IF(metadata!E627="",FALSE,TRUE),OR(EXACT(metadata!E627,"not applicable"),EXACT(metadata!E627,"missing: not collected"),EXACT(metadata!E627,"missing: not provided"),EXACT(metadata!E627,"missing: restricted access"))),AND(IF(metadata!E627="",FALSE,ISNUMBER(VALUE(metadata!E627))),metadata!E627&gt;0))</f>
        <v>0</v>
      </c>
      <c r="AG627" t="b">
        <f>AND(IF(metadata!F627="",FALSE,TRUE),EXACT(metadata!F627,"Not applicable"))</f>
        <v>0</v>
      </c>
      <c r="AH627" t="b">
        <f>AND(IF(metadata!G627="",FALSE,TRUE),EXACT(metadata!G627,"urban biome"))</f>
        <v>0</v>
      </c>
      <c r="AI627" t="b">
        <f>AND(IF(metadata!H627="",FALSE,TRUE),EXACT(metadata!H627,"human-associated habitat"))</f>
        <v>0</v>
      </c>
      <c r="AJ627" t="b">
        <f>AND(IF(metadata!I627="",FALSE,TRUE),OR(EXACT(metadata!I627,"human-associated"),EXACT(metadata!I627,"human-skin"),EXACT(metadata!I627,"human-oral"),EXACT(metadata!I627,"human-gut"),EXACT(metadata!I627,"human-vaginal")))</f>
        <v>0</v>
      </c>
      <c r="AK627" t="b">
        <f>IF(metadata!J627="",FALSE,ISNUMBER(VALUE(metadata!J627)))</f>
        <v>0</v>
      </c>
      <c r="AL627" t="b">
        <f>AND(IF(metadata!K627="",FALSE,TRUE),EXACT(metadata!K627,"cm"))</f>
        <v>0</v>
      </c>
      <c r="AM627" t="b">
        <f>AND(IF(metadata!L627="",FALSE,TRUE),EXACT(metadata!L627,"human"))</f>
        <v>0</v>
      </c>
      <c r="AN627" t="b">
        <f>AND(IF(metadata!M627="",FALSE,TRUE),EXACT(metadata!M627,"Homo sapiens"))</f>
        <v>0</v>
      </c>
      <c r="AO627" t="b">
        <f>AND(IF(metadata!N627="",FALSE,TRUE),EXACT(metadata!N627,"9606"))</f>
        <v>0</v>
      </c>
      <c r="AP627" t="b">
        <f>IF(metadata!O627="",FALSE,TRUE)</f>
        <v>0</v>
      </c>
      <c r="AQ627" t="b">
        <f>IF(metadata!P627="",FALSE,TRUE)</f>
        <v>0</v>
      </c>
      <c r="AR627" t="b">
        <f>IF(metadata!Q627="",FALSE,ISNUMBER(VALUE(metadata!Q627)))</f>
        <v>0</v>
      </c>
      <c r="AS627" t="b">
        <f>AND(IF(metadata!R627="",FALSE,TRUE),EXACT(metadata!R627,"kg"))</f>
        <v>0</v>
      </c>
    </row>
    <row r="628" spans="1:45" x14ac:dyDescent="0.2">
      <c r="A628" s="5" t="str">
        <f ca="1">IF(B628=" "," ",HYPERLINK(CONCATENATE("#metadata!",ADDRESS(INDEX($X$2:$X$1001,MATCH(ROWS($V$2:V628),$V$2:$V$1001,0),0),1)),INDEX($AA$2:$AA$1001,MATCH(ROWS($V$2:V628),$V$2:$V$1001,0),0)))</f>
        <v xml:space="preserve"> </v>
      </c>
      <c r="B628" s="4" t="str">
        <f ca="1">IF(OR(INDEX($W$2:$W$1001,MATCH(ROWS($V$2:V628),$V$2:$V$1001,0),1)&gt;=100000,INDEX($AC$1005:$AS$1005,1,MATCH(COLUMNS($AC$1006:AC1006),$AC$1006:$AS$1006,0))&gt;=100000), " ",IF(INDEX($AC$2:$AS$1001,MATCH(ROWS($V$2:V628),$V$2:$V$1001,0),MATCH(COLUMNS($AC$1006:AC1006),$AC$1006:$AS$1006,0)), HYPERLINK("#",""), HYPERLINK(CONCATENATE("#metadata!", ADDRESS(INDEX($X$2:$X$1001,MATCH(ROWS($V$2:V628),$V$2:$V$1001,0),0), INDEX($AC$1004:$AS$1004,1,MATCH(COLUMNS($AC$1006:AC1006),$AC$1006:$AS$1006,0)))),"Fix")))</f>
        <v xml:space="preserve"> </v>
      </c>
      <c r="C628" s="4" t="str">
        <f ca="1">IF(OR(INDEX($W$2:$W$1001,MATCH(ROWS($V$2:V628),$V$2:$V$1001,0),1)&gt;=100000,INDEX($AC$1005:$AS$1005,1,MATCH(COLUMNS($AC$1006:AD1006),$AC$1006:$AS$1006,0))&gt;=100000), " ",IF(INDEX($AC$2:$AS$1001,MATCH(ROWS($V$2:V628),$V$2:$V$1001,0),MATCH(COLUMNS($AC$1006:AD1006),$AC$1006:$AS$1006,0)), HYPERLINK("#",""), HYPERLINK(CONCATENATE("#metadata!", ADDRESS(INDEX($X$2:$X$1001,MATCH(ROWS($V$2:V628),$V$2:$V$1001,0),0), INDEX($AC$1004:$AS$1004,1,MATCH(COLUMNS($AC$1006:AD1006),$AC$1006:$AS$1006,0)))),"Fix")))</f>
        <v xml:space="preserve"> </v>
      </c>
      <c r="D628" s="4" t="str">
        <f ca="1">IF(OR(INDEX($W$2:$W$1001,MATCH(ROWS($V$2:V628),$V$2:$V$1001,0),1)&gt;=100000,INDEX($AC$1005:$AS$1005,1,MATCH(COLUMNS($AC$1006:AE1006),$AC$1006:$AS$1006,0))&gt;=100000), " ",IF(INDEX($AC$2:$AS$1001,MATCH(ROWS($V$2:V628),$V$2:$V$1001,0),MATCH(COLUMNS($AC$1006:AE1006),$AC$1006:$AS$1006,0)), HYPERLINK("#",""), HYPERLINK(CONCATENATE("#metadata!", ADDRESS(INDEX($X$2:$X$1001,MATCH(ROWS($V$2:V628),$V$2:$V$1001,0),0), INDEX($AC$1004:$AS$1004,1,MATCH(COLUMNS($AC$1006:AE1006),$AC$1006:$AS$1006,0)))),"Fix")))</f>
        <v xml:space="preserve"> </v>
      </c>
      <c r="E628" s="4" t="str">
        <f ca="1">IF(OR(INDEX($W$2:$W$1001,MATCH(ROWS($V$2:V628),$V$2:$V$1001,0),1)&gt;=100000,INDEX($AC$1005:$AS$1005,1,MATCH(COLUMNS($AC$1006:AF1006),$AC$1006:$AS$1006,0))&gt;=100000), " ",IF(INDEX($AC$2:$AS$1001,MATCH(ROWS($V$2:V628),$V$2:$V$1001,0),MATCH(COLUMNS($AC$1006:AF1006),$AC$1006:$AS$1006,0)), HYPERLINK("#",""), HYPERLINK(CONCATENATE("#metadata!", ADDRESS(INDEX($X$2:$X$1001,MATCH(ROWS($V$2:V628),$V$2:$V$1001,0),0), INDEX($AC$1004:$AS$1004,1,MATCH(COLUMNS($AC$1006:AF1006),$AC$1006:$AS$1006,0)))),"Fix")))</f>
        <v xml:space="preserve"> </v>
      </c>
      <c r="F628" s="4" t="str">
        <f ca="1">IF(OR(INDEX($W$2:$W$1001,MATCH(ROWS($V$2:V628),$V$2:$V$1001,0),1)&gt;=100000,INDEX($AC$1005:$AS$1005,1,MATCH(COLUMNS($AC$1006:AG1006),$AC$1006:$AS$1006,0))&gt;=100000), " ",IF(INDEX($AC$2:$AS$1001,MATCH(ROWS($V$2:V628),$V$2:$V$1001,0),MATCH(COLUMNS($AC$1006:AG1006),$AC$1006:$AS$1006,0)), HYPERLINK("#",""), HYPERLINK(CONCATENATE("#metadata!", ADDRESS(INDEX($X$2:$X$1001,MATCH(ROWS($V$2:V628),$V$2:$V$1001,0),0), INDEX($AC$1004:$AS$1004,1,MATCH(COLUMNS($AC$1006:AG1006),$AC$1006:$AS$1006,0)))),"Fix")))</f>
        <v xml:space="preserve"> </v>
      </c>
      <c r="G628" s="4" t="str">
        <f ca="1">IF(OR(INDEX($W$2:$W$1001,MATCH(ROWS($V$2:V628),$V$2:$V$1001,0),1)&gt;=100000,INDEX($AC$1005:$AS$1005,1,MATCH(COLUMNS($AC$1006:AH1006),$AC$1006:$AS$1006,0))&gt;=100000), " ",IF(INDEX($AC$2:$AS$1001,MATCH(ROWS($V$2:V628),$V$2:$V$1001,0),MATCH(COLUMNS($AC$1006:AH1006),$AC$1006:$AS$1006,0)), HYPERLINK("#",""), HYPERLINK(CONCATENATE("#metadata!", ADDRESS(INDEX($X$2:$X$1001,MATCH(ROWS($V$2:V628),$V$2:$V$1001,0),0), INDEX($AC$1004:$AS$1004,1,MATCH(COLUMNS($AC$1006:AH1006),$AC$1006:$AS$1006,0)))),"Fix")))</f>
        <v xml:space="preserve"> </v>
      </c>
      <c r="H628" s="4" t="str">
        <f ca="1">IF(OR(INDEX($W$2:$W$1001,MATCH(ROWS($V$2:V628),$V$2:$V$1001,0),1)&gt;=100000,INDEX($AC$1005:$AS$1005,1,MATCH(COLUMNS($AC$1006:AI1006),$AC$1006:$AS$1006,0))&gt;=100000), " ",IF(INDEX($AC$2:$AS$1001,MATCH(ROWS($V$2:V628),$V$2:$V$1001,0),MATCH(COLUMNS($AC$1006:AI1006),$AC$1006:$AS$1006,0)), HYPERLINK("#",""), HYPERLINK(CONCATENATE("#metadata!", ADDRESS(INDEX($X$2:$X$1001,MATCH(ROWS($V$2:V628),$V$2:$V$1001,0),0), INDEX($AC$1004:$AS$1004,1,MATCH(COLUMNS($AC$1006:AI1006),$AC$1006:$AS$1006,0)))),"Fix")))</f>
        <v xml:space="preserve"> </v>
      </c>
      <c r="I628" s="4" t="str">
        <f ca="1">IF(OR(INDEX($W$2:$W$1001,MATCH(ROWS($V$2:V628),$V$2:$V$1001,0),1)&gt;=100000,INDEX($AC$1005:$AS$1005,1,MATCH(COLUMNS($AC$1006:AJ1006),$AC$1006:$AS$1006,0))&gt;=100000), " ",IF(INDEX($AC$2:$AS$1001,MATCH(ROWS($V$2:V628),$V$2:$V$1001,0),MATCH(COLUMNS($AC$1006:AJ1006),$AC$1006:$AS$1006,0)), HYPERLINK("#",""), HYPERLINK(CONCATENATE("#metadata!", ADDRESS(INDEX($X$2:$X$1001,MATCH(ROWS($V$2:V628),$V$2:$V$1001,0),0), INDEX($AC$1004:$AS$1004,1,MATCH(COLUMNS($AC$1006:AJ1006),$AC$1006:$AS$1006,0)))),"Fix")))</f>
        <v xml:space="preserve"> </v>
      </c>
      <c r="J628" s="4" t="str">
        <f ca="1">IF(OR(INDEX($W$2:$W$1001,MATCH(ROWS($V$2:V628),$V$2:$V$1001,0),1)&gt;=100000,INDEX($AC$1005:$AS$1005,1,MATCH(COLUMNS($AC$1006:AK1006),$AC$1006:$AS$1006,0))&gt;=100000), " ",IF(INDEX($AC$2:$AS$1001,MATCH(ROWS($V$2:V628),$V$2:$V$1001,0),MATCH(COLUMNS($AC$1006:AK1006),$AC$1006:$AS$1006,0)), HYPERLINK("#",""), HYPERLINK(CONCATENATE("#metadata!", ADDRESS(INDEX($X$2:$X$1001,MATCH(ROWS($V$2:V628),$V$2:$V$1001,0),0), INDEX($AC$1004:$AS$1004,1,MATCH(COLUMNS($AC$1006:AK1006),$AC$1006:$AS$1006,0)))),"Fix")))</f>
        <v xml:space="preserve"> </v>
      </c>
      <c r="K628" s="4" t="str">
        <f ca="1">IF(OR(INDEX($W$2:$W$1001,MATCH(ROWS($V$2:V628),$V$2:$V$1001,0),1)&gt;=100000,INDEX($AC$1005:$AS$1005,1,MATCH(COLUMNS($AC$1006:AL1006),$AC$1006:$AS$1006,0))&gt;=100000), " ",IF(INDEX($AC$2:$AS$1001,MATCH(ROWS($V$2:V628),$V$2:$V$1001,0),MATCH(COLUMNS($AC$1006:AL1006),$AC$1006:$AS$1006,0)), HYPERLINK("#",""), HYPERLINK(CONCATENATE("#metadata!", ADDRESS(INDEX($X$2:$X$1001,MATCH(ROWS($V$2:V628),$V$2:$V$1001,0),0), INDEX($AC$1004:$AS$1004,1,MATCH(COLUMNS($AC$1006:AL1006),$AC$1006:$AS$1006,0)))),"Fix")))</f>
        <v xml:space="preserve"> </v>
      </c>
      <c r="L628" s="4" t="str">
        <f ca="1">IF(OR(INDEX($W$2:$W$1001,MATCH(ROWS($V$2:V628),$V$2:$V$1001,0),1)&gt;=100000,INDEX($AC$1005:$AS$1005,1,MATCH(COLUMNS($AC$1006:AM1006),$AC$1006:$AS$1006,0))&gt;=100000), " ",IF(INDEX($AC$2:$AS$1001,MATCH(ROWS($V$2:V628),$V$2:$V$1001,0),MATCH(COLUMNS($AC$1006:AM1006),$AC$1006:$AS$1006,0)), HYPERLINK("#",""), HYPERLINK(CONCATENATE("#metadata!", ADDRESS(INDEX($X$2:$X$1001,MATCH(ROWS($V$2:V628),$V$2:$V$1001,0),0), INDEX($AC$1004:$AS$1004,1,MATCH(COLUMNS($AC$1006:AM1006),$AC$1006:$AS$1006,0)))),"Fix")))</f>
        <v xml:space="preserve"> </v>
      </c>
      <c r="M628" s="4" t="str">
        <f ca="1">IF(OR(INDEX($W$2:$W$1001,MATCH(ROWS($V$2:V628),$V$2:$V$1001,0),1)&gt;=100000,INDEX($AC$1005:$AS$1005,1,MATCH(COLUMNS($AC$1006:AN1006),$AC$1006:$AS$1006,0))&gt;=100000), " ",IF(INDEX($AC$2:$AS$1001,MATCH(ROWS($V$2:V628),$V$2:$V$1001,0),MATCH(COLUMNS($AC$1006:AN1006),$AC$1006:$AS$1006,0)), HYPERLINK("#",""), HYPERLINK(CONCATENATE("#metadata!", ADDRESS(INDEX($X$2:$X$1001,MATCH(ROWS($V$2:V628),$V$2:$V$1001,0),0), INDEX($AC$1004:$AS$1004,1,MATCH(COLUMNS($AC$1006:AN1006),$AC$1006:$AS$1006,0)))),"Fix")))</f>
        <v xml:space="preserve"> </v>
      </c>
      <c r="N628" s="4" t="str">
        <f ca="1">IF(OR(INDEX($W$2:$W$1001,MATCH(ROWS($V$2:V628),$V$2:$V$1001,0),1)&gt;=100000,INDEX($AC$1005:$AS$1005,1,MATCH(COLUMNS($AC$1006:AO1006),$AC$1006:$AS$1006,0))&gt;=100000), " ",IF(INDEX($AC$2:$AS$1001,MATCH(ROWS($V$2:V628),$V$2:$V$1001,0),MATCH(COLUMNS($AC$1006:AO1006),$AC$1006:$AS$1006,0)), HYPERLINK("#",""), HYPERLINK(CONCATENATE("#metadata!", ADDRESS(INDEX($X$2:$X$1001,MATCH(ROWS($V$2:V628),$V$2:$V$1001,0),0), INDEX($AC$1004:$AS$1004,1,MATCH(COLUMNS($AC$1006:AO1006),$AC$1006:$AS$1006,0)))),"Fix")))</f>
        <v xml:space="preserve"> </v>
      </c>
      <c r="O628" s="4" t="str">
        <f ca="1">IF(OR(INDEX($W$2:$W$1001,MATCH(ROWS($V$2:V628),$V$2:$V$1001,0),1)&gt;=100000,INDEX($AC$1005:$AS$1005,1,MATCH(COLUMNS($AC$1006:AP1006),$AC$1006:$AS$1006,0))&gt;=100000), " ",IF(INDEX($AC$2:$AS$1001,MATCH(ROWS($V$2:V628),$V$2:$V$1001,0),MATCH(COLUMNS($AC$1006:AP1006),$AC$1006:$AS$1006,0)), HYPERLINK("#",""), HYPERLINK(CONCATENATE("#metadata!", ADDRESS(INDEX($X$2:$X$1001,MATCH(ROWS($V$2:V628),$V$2:$V$1001,0),0), INDEX($AC$1004:$AS$1004,1,MATCH(COLUMNS($AC$1006:AP1006),$AC$1006:$AS$1006,0)))),"Fix")))</f>
        <v xml:space="preserve"> </v>
      </c>
      <c r="P628" s="4" t="str">
        <f ca="1">IF(OR(INDEX($W$2:$W$1001,MATCH(ROWS($V$2:V628),$V$2:$V$1001,0),1)&gt;=100000,INDEX($AC$1005:$AS$1005,1,MATCH(COLUMNS($AC$1006:AQ1006),$AC$1006:$AS$1006,0))&gt;=100000), " ",IF(INDEX($AC$2:$AS$1001,MATCH(ROWS($V$2:V628),$V$2:$V$1001,0),MATCH(COLUMNS($AC$1006:AQ1006),$AC$1006:$AS$1006,0)), HYPERLINK("#",""), HYPERLINK(CONCATENATE("#metadata!", ADDRESS(INDEX($X$2:$X$1001,MATCH(ROWS($V$2:V628),$V$2:$V$1001,0),0), INDEX($AC$1004:$AS$1004,1,MATCH(COLUMNS($AC$1006:AQ1006),$AC$1006:$AS$1006,0)))),"Fix")))</f>
        <v xml:space="preserve"> </v>
      </c>
      <c r="Q628" s="4" t="str">
        <f ca="1">IF(OR(INDEX($W$2:$W$1001,MATCH(ROWS($V$2:V628),$V$2:$V$1001,0),1)&gt;=100000,INDEX($AC$1005:$AS$1005,1,MATCH(COLUMNS($AC$1006:AR1006),$AC$1006:$AS$1006,0))&gt;=100000), " ",IF(INDEX($AC$2:$AS$1001,MATCH(ROWS($V$2:V628),$V$2:$V$1001,0),MATCH(COLUMNS($AC$1006:AR1006),$AC$1006:$AS$1006,0)), HYPERLINK("#",""), HYPERLINK(CONCATENATE("#metadata!", ADDRESS(INDEX($X$2:$X$1001,MATCH(ROWS($V$2:V628),$V$2:$V$1001,0),0), INDEX($AC$1004:$AS$1004,1,MATCH(COLUMNS($AC$1006:AR1006),$AC$1006:$AS$1006,0)))),"Fix")))</f>
        <v xml:space="preserve"> </v>
      </c>
      <c r="R628" s="4" t="str">
        <f ca="1">IF(OR(INDEX($W$2:$W$1001,MATCH(ROWS($V$2:V628),$V$2:$V$1001,0),1)&gt;=100000,INDEX($AC$1005:$AS$1005,1,MATCH(COLUMNS($AC$1006:AS1006),$AC$1006:$AS$1006,0))&gt;=100000), " ",IF(INDEX($AC$2:$AS$1001,MATCH(ROWS($V$2:V628),$V$2:$V$1001,0),MATCH(COLUMNS($AC$1006:AS1006),$AC$1006:$AS$1006,0)), HYPERLINK("#",""), HYPERLINK(CONCATENATE("#metadata!", ADDRESS(INDEX($X$2:$X$1001,MATCH(ROWS($V$2:V628),$V$2:$V$1001,0),0), INDEX($AC$1004:$AS$1004,1,MATCH(COLUMNS($AC$1006:AS1006),$AC$1006:$AS$1006,0)))),"Fix")))</f>
        <v xml:space="preserve"> </v>
      </c>
      <c r="V628">
        <v>627</v>
      </c>
      <c r="W628">
        <v>100628</v>
      </c>
      <c r="X628">
        <v>628</v>
      </c>
      <c r="Y628" t="b">
        <f t="shared" si="9"/>
        <v>1</v>
      </c>
      <c r="Z628" t="b">
        <f>COUNTBLANK(metadata!B628:R628)=COLUMNS(metadata!B628:R628)</f>
        <v>1</v>
      </c>
      <c r="AA628" t="str">
        <v/>
      </c>
      <c r="AC628" t="b">
        <f ca="1"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AD628" t="b">
        <f>IF(metadata!C628="",FALSE,ISNUMBER(VALUE(metadata!C628)))</f>
        <v>0</v>
      </c>
      <c r="AE628" t="b">
        <f>AND(IF(metadata!D628="",FALSE,TRUE),EXACT(metadata!D628,"years"))</f>
        <v>0</v>
      </c>
      <c r="AF628" t="b">
        <f>OR(AND(IF(metadata!E628="",FALSE,TRUE),OR(EXACT(metadata!E628,"not applicable"),EXACT(metadata!E628,"missing: not collected"),EXACT(metadata!E628,"missing: not provided"),EXACT(metadata!E628,"missing: restricted access"))),AND(IF(metadata!E628="",FALSE,ISNUMBER(VALUE(metadata!E628))),metadata!E628&gt;0))</f>
        <v>0</v>
      </c>
      <c r="AG628" t="b">
        <f>AND(IF(metadata!F628="",FALSE,TRUE),EXACT(metadata!F628,"Not applicable"))</f>
        <v>0</v>
      </c>
      <c r="AH628" t="b">
        <f>AND(IF(metadata!G628="",FALSE,TRUE),EXACT(metadata!G628,"urban biome"))</f>
        <v>0</v>
      </c>
      <c r="AI628" t="b">
        <f>AND(IF(metadata!H628="",FALSE,TRUE),EXACT(metadata!H628,"human-associated habitat"))</f>
        <v>0</v>
      </c>
      <c r="AJ628" t="b">
        <f>AND(IF(metadata!I628="",FALSE,TRUE),OR(EXACT(metadata!I628,"human-associated"),EXACT(metadata!I628,"human-skin"),EXACT(metadata!I628,"human-oral"),EXACT(metadata!I628,"human-gut"),EXACT(metadata!I628,"human-vaginal")))</f>
        <v>0</v>
      </c>
      <c r="AK628" t="b">
        <f>IF(metadata!J628="",FALSE,ISNUMBER(VALUE(metadata!J628)))</f>
        <v>0</v>
      </c>
      <c r="AL628" t="b">
        <f>AND(IF(metadata!K628="",FALSE,TRUE),EXACT(metadata!K628,"cm"))</f>
        <v>0</v>
      </c>
      <c r="AM628" t="b">
        <f>AND(IF(metadata!L628="",FALSE,TRUE),EXACT(metadata!L628,"human"))</f>
        <v>0</v>
      </c>
      <c r="AN628" t="b">
        <f>AND(IF(metadata!M628="",FALSE,TRUE),EXACT(metadata!M628,"Homo sapiens"))</f>
        <v>0</v>
      </c>
      <c r="AO628" t="b">
        <f>AND(IF(metadata!N628="",FALSE,TRUE),EXACT(metadata!N628,"9606"))</f>
        <v>0</v>
      </c>
      <c r="AP628" t="b">
        <f>IF(metadata!O628="",FALSE,TRUE)</f>
        <v>0</v>
      </c>
      <c r="AQ628" t="b">
        <f>IF(metadata!P628="",FALSE,TRUE)</f>
        <v>0</v>
      </c>
      <c r="AR628" t="b">
        <f>IF(metadata!Q628="",FALSE,ISNUMBER(VALUE(metadata!Q628)))</f>
        <v>0</v>
      </c>
      <c r="AS628" t="b">
        <f>AND(IF(metadata!R628="",FALSE,TRUE),EXACT(metadata!R628,"kg"))</f>
        <v>0</v>
      </c>
    </row>
    <row r="629" spans="1:45" x14ac:dyDescent="0.2">
      <c r="A629" s="5" t="str">
        <f ca="1">IF(B629=" "," ",HYPERLINK(CONCATENATE("#metadata!",ADDRESS(INDEX($X$2:$X$1001,MATCH(ROWS($V$2:V629),$V$2:$V$1001,0),0),1)),INDEX($AA$2:$AA$1001,MATCH(ROWS($V$2:V629),$V$2:$V$1001,0),0)))</f>
        <v xml:space="preserve"> </v>
      </c>
      <c r="B629" s="4" t="str">
        <f ca="1">IF(OR(INDEX($W$2:$W$1001,MATCH(ROWS($V$2:V629),$V$2:$V$1001,0),1)&gt;=100000,INDEX($AC$1005:$AS$1005,1,MATCH(COLUMNS($AC$1006:AC1006),$AC$1006:$AS$1006,0))&gt;=100000), " ",IF(INDEX($AC$2:$AS$1001,MATCH(ROWS($V$2:V629),$V$2:$V$1001,0),MATCH(COLUMNS($AC$1006:AC1006),$AC$1006:$AS$1006,0)), HYPERLINK("#",""), HYPERLINK(CONCATENATE("#metadata!", ADDRESS(INDEX($X$2:$X$1001,MATCH(ROWS($V$2:V629),$V$2:$V$1001,0),0), INDEX($AC$1004:$AS$1004,1,MATCH(COLUMNS($AC$1006:AC1006),$AC$1006:$AS$1006,0)))),"Fix")))</f>
        <v xml:space="preserve"> </v>
      </c>
      <c r="C629" s="4" t="str">
        <f ca="1">IF(OR(INDEX($W$2:$W$1001,MATCH(ROWS($V$2:V629),$V$2:$V$1001,0),1)&gt;=100000,INDEX($AC$1005:$AS$1005,1,MATCH(COLUMNS($AC$1006:AD1006),$AC$1006:$AS$1006,0))&gt;=100000), " ",IF(INDEX($AC$2:$AS$1001,MATCH(ROWS($V$2:V629),$V$2:$V$1001,0),MATCH(COLUMNS($AC$1006:AD1006),$AC$1006:$AS$1006,0)), HYPERLINK("#",""), HYPERLINK(CONCATENATE("#metadata!", ADDRESS(INDEX($X$2:$X$1001,MATCH(ROWS($V$2:V629),$V$2:$V$1001,0),0), INDEX($AC$1004:$AS$1004,1,MATCH(COLUMNS($AC$1006:AD1006),$AC$1006:$AS$1006,0)))),"Fix")))</f>
        <v xml:space="preserve"> </v>
      </c>
      <c r="D629" s="4" t="str">
        <f ca="1">IF(OR(INDEX($W$2:$W$1001,MATCH(ROWS($V$2:V629),$V$2:$V$1001,0),1)&gt;=100000,INDEX($AC$1005:$AS$1005,1,MATCH(COLUMNS($AC$1006:AE1006),$AC$1006:$AS$1006,0))&gt;=100000), " ",IF(INDEX($AC$2:$AS$1001,MATCH(ROWS($V$2:V629),$V$2:$V$1001,0),MATCH(COLUMNS($AC$1006:AE1006),$AC$1006:$AS$1006,0)), HYPERLINK("#",""), HYPERLINK(CONCATENATE("#metadata!", ADDRESS(INDEX($X$2:$X$1001,MATCH(ROWS($V$2:V629),$V$2:$V$1001,0),0), INDEX($AC$1004:$AS$1004,1,MATCH(COLUMNS($AC$1006:AE1006),$AC$1006:$AS$1006,0)))),"Fix")))</f>
        <v xml:space="preserve"> </v>
      </c>
      <c r="E629" s="4" t="str">
        <f ca="1">IF(OR(INDEX($W$2:$W$1001,MATCH(ROWS($V$2:V629),$V$2:$V$1001,0),1)&gt;=100000,INDEX($AC$1005:$AS$1005,1,MATCH(COLUMNS($AC$1006:AF1006),$AC$1006:$AS$1006,0))&gt;=100000), " ",IF(INDEX($AC$2:$AS$1001,MATCH(ROWS($V$2:V629),$V$2:$V$1001,0),MATCH(COLUMNS($AC$1006:AF1006),$AC$1006:$AS$1006,0)), HYPERLINK("#",""), HYPERLINK(CONCATENATE("#metadata!", ADDRESS(INDEX($X$2:$X$1001,MATCH(ROWS($V$2:V629),$V$2:$V$1001,0),0), INDEX($AC$1004:$AS$1004,1,MATCH(COLUMNS($AC$1006:AF1006),$AC$1006:$AS$1006,0)))),"Fix")))</f>
        <v xml:space="preserve"> </v>
      </c>
      <c r="F629" s="4" t="str">
        <f ca="1">IF(OR(INDEX($W$2:$W$1001,MATCH(ROWS($V$2:V629),$V$2:$V$1001,0),1)&gt;=100000,INDEX($AC$1005:$AS$1005,1,MATCH(COLUMNS($AC$1006:AG1006),$AC$1006:$AS$1006,0))&gt;=100000), " ",IF(INDEX($AC$2:$AS$1001,MATCH(ROWS($V$2:V629),$V$2:$V$1001,0),MATCH(COLUMNS($AC$1006:AG1006),$AC$1006:$AS$1006,0)), HYPERLINK("#",""), HYPERLINK(CONCATENATE("#metadata!", ADDRESS(INDEX($X$2:$X$1001,MATCH(ROWS($V$2:V629),$V$2:$V$1001,0),0), INDEX($AC$1004:$AS$1004,1,MATCH(COLUMNS($AC$1006:AG1006),$AC$1006:$AS$1006,0)))),"Fix")))</f>
        <v xml:space="preserve"> </v>
      </c>
      <c r="G629" s="4" t="str">
        <f ca="1">IF(OR(INDEX($W$2:$W$1001,MATCH(ROWS($V$2:V629),$V$2:$V$1001,0),1)&gt;=100000,INDEX($AC$1005:$AS$1005,1,MATCH(COLUMNS($AC$1006:AH1006),$AC$1006:$AS$1006,0))&gt;=100000), " ",IF(INDEX($AC$2:$AS$1001,MATCH(ROWS($V$2:V629),$V$2:$V$1001,0),MATCH(COLUMNS($AC$1006:AH1006),$AC$1006:$AS$1006,0)), HYPERLINK("#",""), HYPERLINK(CONCATENATE("#metadata!", ADDRESS(INDEX($X$2:$X$1001,MATCH(ROWS($V$2:V629),$V$2:$V$1001,0),0), INDEX($AC$1004:$AS$1004,1,MATCH(COLUMNS($AC$1006:AH1006),$AC$1006:$AS$1006,0)))),"Fix")))</f>
        <v xml:space="preserve"> </v>
      </c>
      <c r="H629" s="4" t="str">
        <f ca="1">IF(OR(INDEX($W$2:$W$1001,MATCH(ROWS($V$2:V629),$V$2:$V$1001,0),1)&gt;=100000,INDEX($AC$1005:$AS$1005,1,MATCH(COLUMNS($AC$1006:AI1006),$AC$1006:$AS$1006,0))&gt;=100000), " ",IF(INDEX($AC$2:$AS$1001,MATCH(ROWS($V$2:V629),$V$2:$V$1001,0),MATCH(COLUMNS($AC$1006:AI1006),$AC$1006:$AS$1006,0)), HYPERLINK("#",""), HYPERLINK(CONCATENATE("#metadata!", ADDRESS(INDEX($X$2:$X$1001,MATCH(ROWS($V$2:V629),$V$2:$V$1001,0),0), INDEX($AC$1004:$AS$1004,1,MATCH(COLUMNS($AC$1006:AI1006),$AC$1006:$AS$1006,0)))),"Fix")))</f>
        <v xml:space="preserve"> </v>
      </c>
      <c r="I629" s="4" t="str">
        <f ca="1">IF(OR(INDEX($W$2:$W$1001,MATCH(ROWS($V$2:V629),$V$2:$V$1001,0),1)&gt;=100000,INDEX($AC$1005:$AS$1005,1,MATCH(COLUMNS($AC$1006:AJ1006),$AC$1006:$AS$1006,0))&gt;=100000), " ",IF(INDEX($AC$2:$AS$1001,MATCH(ROWS($V$2:V629),$V$2:$V$1001,0),MATCH(COLUMNS($AC$1006:AJ1006),$AC$1006:$AS$1006,0)), HYPERLINK("#",""), HYPERLINK(CONCATENATE("#metadata!", ADDRESS(INDEX($X$2:$X$1001,MATCH(ROWS($V$2:V629),$V$2:$V$1001,0),0), INDEX($AC$1004:$AS$1004,1,MATCH(COLUMNS($AC$1006:AJ1006),$AC$1006:$AS$1006,0)))),"Fix")))</f>
        <v xml:space="preserve"> </v>
      </c>
      <c r="J629" s="4" t="str">
        <f ca="1">IF(OR(INDEX($W$2:$W$1001,MATCH(ROWS($V$2:V629),$V$2:$V$1001,0),1)&gt;=100000,INDEX($AC$1005:$AS$1005,1,MATCH(COLUMNS($AC$1006:AK1006),$AC$1006:$AS$1006,0))&gt;=100000), " ",IF(INDEX($AC$2:$AS$1001,MATCH(ROWS($V$2:V629),$V$2:$V$1001,0),MATCH(COLUMNS($AC$1006:AK1006),$AC$1006:$AS$1006,0)), HYPERLINK("#",""), HYPERLINK(CONCATENATE("#metadata!", ADDRESS(INDEX($X$2:$X$1001,MATCH(ROWS($V$2:V629),$V$2:$V$1001,0),0), INDEX($AC$1004:$AS$1004,1,MATCH(COLUMNS($AC$1006:AK1006),$AC$1006:$AS$1006,0)))),"Fix")))</f>
        <v xml:space="preserve"> </v>
      </c>
      <c r="K629" s="4" t="str">
        <f ca="1">IF(OR(INDEX($W$2:$W$1001,MATCH(ROWS($V$2:V629),$V$2:$V$1001,0),1)&gt;=100000,INDEX($AC$1005:$AS$1005,1,MATCH(COLUMNS($AC$1006:AL1006),$AC$1006:$AS$1006,0))&gt;=100000), " ",IF(INDEX($AC$2:$AS$1001,MATCH(ROWS($V$2:V629),$V$2:$V$1001,0),MATCH(COLUMNS($AC$1006:AL1006),$AC$1006:$AS$1006,0)), HYPERLINK("#",""), HYPERLINK(CONCATENATE("#metadata!", ADDRESS(INDEX($X$2:$X$1001,MATCH(ROWS($V$2:V629),$V$2:$V$1001,0),0), INDEX($AC$1004:$AS$1004,1,MATCH(COLUMNS($AC$1006:AL1006),$AC$1006:$AS$1006,0)))),"Fix")))</f>
        <v xml:space="preserve"> </v>
      </c>
      <c r="L629" s="4" t="str">
        <f ca="1">IF(OR(INDEX($W$2:$W$1001,MATCH(ROWS($V$2:V629),$V$2:$V$1001,0),1)&gt;=100000,INDEX($AC$1005:$AS$1005,1,MATCH(COLUMNS($AC$1006:AM1006),$AC$1006:$AS$1006,0))&gt;=100000), " ",IF(INDEX($AC$2:$AS$1001,MATCH(ROWS($V$2:V629),$V$2:$V$1001,0),MATCH(COLUMNS($AC$1006:AM1006),$AC$1006:$AS$1006,0)), HYPERLINK("#",""), HYPERLINK(CONCATENATE("#metadata!", ADDRESS(INDEX($X$2:$X$1001,MATCH(ROWS($V$2:V629),$V$2:$V$1001,0),0), INDEX($AC$1004:$AS$1004,1,MATCH(COLUMNS($AC$1006:AM1006),$AC$1006:$AS$1006,0)))),"Fix")))</f>
        <v xml:space="preserve"> </v>
      </c>
      <c r="M629" s="4" t="str">
        <f ca="1">IF(OR(INDEX($W$2:$W$1001,MATCH(ROWS($V$2:V629),$V$2:$V$1001,0),1)&gt;=100000,INDEX($AC$1005:$AS$1005,1,MATCH(COLUMNS($AC$1006:AN1006),$AC$1006:$AS$1006,0))&gt;=100000), " ",IF(INDEX($AC$2:$AS$1001,MATCH(ROWS($V$2:V629),$V$2:$V$1001,0),MATCH(COLUMNS($AC$1006:AN1006),$AC$1006:$AS$1006,0)), HYPERLINK("#",""), HYPERLINK(CONCATENATE("#metadata!", ADDRESS(INDEX($X$2:$X$1001,MATCH(ROWS($V$2:V629),$V$2:$V$1001,0),0), INDEX($AC$1004:$AS$1004,1,MATCH(COLUMNS($AC$1006:AN1006),$AC$1006:$AS$1006,0)))),"Fix")))</f>
        <v xml:space="preserve"> </v>
      </c>
      <c r="N629" s="4" t="str">
        <f ca="1">IF(OR(INDEX($W$2:$W$1001,MATCH(ROWS($V$2:V629),$V$2:$V$1001,0),1)&gt;=100000,INDEX($AC$1005:$AS$1005,1,MATCH(COLUMNS($AC$1006:AO1006),$AC$1006:$AS$1006,0))&gt;=100000), " ",IF(INDEX($AC$2:$AS$1001,MATCH(ROWS($V$2:V629),$V$2:$V$1001,0),MATCH(COLUMNS($AC$1006:AO1006),$AC$1006:$AS$1006,0)), HYPERLINK("#",""), HYPERLINK(CONCATENATE("#metadata!", ADDRESS(INDEX($X$2:$X$1001,MATCH(ROWS($V$2:V629),$V$2:$V$1001,0),0), INDEX($AC$1004:$AS$1004,1,MATCH(COLUMNS($AC$1006:AO1006),$AC$1006:$AS$1006,0)))),"Fix")))</f>
        <v xml:space="preserve"> </v>
      </c>
      <c r="O629" s="4" t="str">
        <f ca="1">IF(OR(INDEX($W$2:$W$1001,MATCH(ROWS($V$2:V629),$V$2:$V$1001,0),1)&gt;=100000,INDEX($AC$1005:$AS$1005,1,MATCH(COLUMNS($AC$1006:AP1006),$AC$1006:$AS$1006,0))&gt;=100000), " ",IF(INDEX($AC$2:$AS$1001,MATCH(ROWS($V$2:V629),$V$2:$V$1001,0),MATCH(COLUMNS($AC$1006:AP1006),$AC$1006:$AS$1006,0)), HYPERLINK("#",""), HYPERLINK(CONCATENATE("#metadata!", ADDRESS(INDEX($X$2:$X$1001,MATCH(ROWS($V$2:V629),$V$2:$V$1001,0),0), INDEX($AC$1004:$AS$1004,1,MATCH(COLUMNS($AC$1006:AP1006),$AC$1006:$AS$1006,0)))),"Fix")))</f>
        <v xml:space="preserve"> </v>
      </c>
      <c r="P629" s="4" t="str">
        <f ca="1">IF(OR(INDEX($W$2:$W$1001,MATCH(ROWS($V$2:V629),$V$2:$V$1001,0),1)&gt;=100000,INDEX($AC$1005:$AS$1005,1,MATCH(COLUMNS($AC$1006:AQ1006),$AC$1006:$AS$1006,0))&gt;=100000), " ",IF(INDEX($AC$2:$AS$1001,MATCH(ROWS($V$2:V629),$V$2:$V$1001,0),MATCH(COLUMNS($AC$1006:AQ1006),$AC$1006:$AS$1006,0)), HYPERLINK("#",""), HYPERLINK(CONCATENATE("#metadata!", ADDRESS(INDEX($X$2:$X$1001,MATCH(ROWS($V$2:V629),$V$2:$V$1001,0),0), INDEX($AC$1004:$AS$1004,1,MATCH(COLUMNS($AC$1006:AQ1006),$AC$1006:$AS$1006,0)))),"Fix")))</f>
        <v xml:space="preserve"> </v>
      </c>
      <c r="Q629" s="4" t="str">
        <f ca="1">IF(OR(INDEX($W$2:$W$1001,MATCH(ROWS($V$2:V629),$V$2:$V$1001,0),1)&gt;=100000,INDEX($AC$1005:$AS$1005,1,MATCH(COLUMNS($AC$1006:AR1006),$AC$1006:$AS$1006,0))&gt;=100000), " ",IF(INDEX($AC$2:$AS$1001,MATCH(ROWS($V$2:V629),$V$2:$V$1001,0),MATCH(COLUMNS($AC$1006:AR1006),$AC$1006:$AS$1006,0)), HYPERLINK("#",""), HYPERLINK(CONCATENATE("#metadata!", ADDRESS(INDEX($X$2:$X$1001,MATCH(ROWS($V$2:V629),$V$2:$V$1001,0),0), INDEX($AC$1004:$AS$1004,1,MATCH(COLUMNS($AC$1006:AR1006),$AC$1006:$AS$1006,0)))),"Fix")))</f>
        <v xml:space="preserve"> </v>
      </c>
      <c r="R629" s="4" t="str">
        <f ca="1">IF(OR(INDEX($W$2:$W$1001,MATCH(ROWS($V$2:V629),$V$2:$V$1001,0),1)&gt;=100000,INDEX($AC$1005:$AS$1005,1,MATCH(COLUMNS($AC$1006:AS1006),$AC$1006:$AS$1006,0))&gt;=100000), " ",IF(INDEX($AC$2:$AS$1001,MATCH(ROWS($V$2:V629),$V$2:$V$1001,0),MATCH(COLUMNS($AC$1006:AS1006),$AC$1006:$AS$1006,0)), HYPERLINK("#",""), HYPERLINK(CONCATENATE("#metadata!", ADDRESS(INDEX($X$2:$X$1001,MATCH(ROWS($V$2:V629),$V$2:$V$1001,0),0), INDEX($AC$1004:$AS$1004,1,MATCH(COLUMNS($AC$1006:AS1006),$AC$1006:$AS$1006,0)))),"Fix")))</f>
        <v xml:space="preserve"> </v>
      </c>
      <c r="V629">
        <v>628</v>
      </c>
      <c r="W629">
        <v>100629</v>
      </c>
      <c r="X629">
        <v>629</v>
      </c>
      <c r="Y629" t="b">
        <f t="shared" si="9"/>
        <v>1</v>
      </c>
      <c r="Z629" t="b">
        <f>COUNTBLANK(metadata!B629:R629)=COLUMNS(metadata!B629:R629)</f>
        <v>1</v>
      </c>
      <c r="AA629" t="str">
        <v/>
      </c>
      <c r="AC629" t="b">
        <f ca="1"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AD629" t="b">
        <f>IF(metadata!C629="",FALSE,ISNUMBER(VALUE(metadata!C629)))</f>
        <v>0</v>
      </c>
      <c r="AE629" t="b">
        <f>AND(IF(metadata!D629="",FALSE,TRUE),EXACT(metadata!D629,"years"))</f>
        <v>0</v>
      </c>
      <c r="AF629" t="b">
        <f>OR(AND(IF(metadata!E629="",FALSE,TRUE),OR(EXACT(metadata!E629,"not applicable"),EXACT(metadata!E629,"missing: not collected"),EXACT(metadata!E629,"missing: not provided"),EXACT(metadata!E629,"missing: restricted access"))),AND(IF(metadata!E629="",FALSE,ISNUMBER(VALUE(metadata!E629))),metadata!E629&gt;0))</f>
        <v>0</v>
      </c>
      <c r="AG629" t="b">
        <f>AND(IF(metadata!F629="",FALSE,TRUE),EXACT(metadata!F629,"Not applicable"))</f>
        <v>0</v>
      </c>
      <c r="AH629" t="b">
        <f>AND(IF(metadata!G629="",FALSE,TRUE),EXACT(metadata!G629,"urban biome"))</f>
        <v>0</v>
      </c>
      <c r="AI629" t="b">
        <f>AND(IF(metadata!H629="",FALSE,TRUE),EXACT(metadata!H629,"human-associated habitat"))</f>
        <v>0</v>
      </c>
      <c r="AJ629" t="b">
        <f>AND(IF(metadata!I629="",FALSE,TRUE),OR(EXACT(metadata!I629,"human-associated"),EXACT(metadata!I629,"human-skin"),EXACT(metadata!I629,"human-oral"),EXACT(metadata!I629,"human-gut"),EXACT(metadata!I629,"human-vaginal")))</f>
        <v>0</v>
      </c>
      <c r="AK629" t="b">
        <f>IF(metadata!J629="",FALSE,ISNUMBER(VALUE(metadata!J629)))</f>
        <v>0</v>
      </c>
      <c r="AL629" t="b">
        <f>AND(IF(metadata!K629="",FALSE,TRUE),EXACT(metadata!K629,"cm"))</f>
        <v>0</v>
      </c>
      <c r="AM629" t="b">
        <f>AND(IF(metadata!L629="",FALSE,TRUE),EXACT(metadata!L629,"human"))</f>
        <v>0</v>
      </c>
      <c r="AN629" t="b">
        <f>AND(IF(metadata!M629="",FALSE,TRUE),EXACT(metadata!M629,"Homo sapiens"))</f>
        <v>0</v>
      </c>
      <c r="AO629" t="b">
        <f>AND(IF(metadata!N629="",FALSE,TRUE),EXACT(metadata!N629,"9606"))</f>
        <v>0</v>
      </c>
      <c r="AP629" t="b">
        <f>IF(metadata!O629="",FALSE,TRUE)</f>
        <v>0</v>
      </c>
      <c r="AQ629" t="b">
        <f>IF(metadata!P629="",FALSE,TRUE)</f>
        <v>0</v>
      </c>
      <c r="AR629" t="b">
        <f>IF(metadata!Q629="",FALSE,ISNUMBER(VALUE(metadata!Q629)))</f>
        <v>0</v>
      </c>
      <c r="AS629" t="b">
        <f>AND(IF(metadata!R629="",FALSE,TRUE),EXACT(metadata!R629,"kg"))</f>
        <v>0</v>
      </c>
    </row>
    <row r="630" spans="1:45" x14ac:dyDescent="0.2">
      <c r="A630" s="5" t="str">
        <f ca="1">IF(B630=" "," ",HYPERLINK(CONCATENATE("#metadata!",ADDRESS(INDEX($X$2:$X$1001,MATCH(ROWS($V$2:V630),$V$2:$V$1001,0),0),1)),INDEX($AA$2:$AA$1001,MATCH(ROWS($V$2:V630),$V$2:$V$1001,0),0)))</f>
        <v xml:space="preserve"> </v>
      </c>
      <c r="B630" s="4" t="str">
        <f ca="1">IF(OR(INDEX($W$2:$W$1001,MATCH(ROWS($V$2:V630),$V$2:$V$1001,0),1)&gt;=100000,INDEX($AC$1005:$AS$1005,1,MATCH(COLUMNS($AC$1006:AC1006),$AC$1006:$AS$1006,0))&gt;=100000), " ",IF(INDEX($AC$2:$AS$1001,MATCH(ROWS($V$2:V630),$V$2:$V$1001,0),MATCH(COLUMNS($AC$1006:AC1006),$AC$1006:$AS$1006,0)), HYPERLINK("#",""), HYPERLINK(CONCATENATE("#metadata!", ADDRESS(INDEX($X$2:$X$1001,MATCH(ROWS($V$2:V630),$V$2:$V$1001,0),0), INDEX($AC$1004:$AS$1004,1,MATCH(COLUMNS($AC$1006:AC1006),$AC$1006:$AS$1006,0)))),"Fix")))</f>
        <v xml:space="preserve"> </v>
      </c>
      <c r="C630" s="4" t="str">
        <f ca="1">IF(OR(INDEX($W$2:$W$1001,MATCH(ROWS($V$2:V630),$V$2:$V$1001,0),1)&gt;=100000,INDEX($AC$1005:$AS$1005,1,MATCH(COLUMNS($AC$1006:AD1006),$AC$1006:$AS$1006,0))&gt;=100000), " ",IF(INDEX($AC$2:$AS$1001,MATCH(ROWS($V$2:V630),$V$2:$V$1001,0),MATCH(COLUMNS($AC$1006:AD1006),$AC$1006:$AS$1006,0)), HYPERLINK("#",""), HYPERLINK(CONCATENATE("#metadata!", ADDRESS(INDEX($X$2:$X$1001,MATCH(ROWS($V$2:V630),$V$2:$V$1001,0),0), INDEX($AC$1004:$AS$1004,1,MATCH(COLUMNS($AC$1006:AD1006),$AC$1006:$AS$1006,0)))),"Fix")))</f>
        <v xml:space="preserve"> </v>
      </c>
      <c r="D630" s="4" t="str">
        <f ca="1">IF(OR(INDEX($W$2:$W$1001,MATCH(ROWS($V$2:V630),$V$2:$V$1001,0),1)&gt;=100000,INDEX($AC$1005:$AS$1005,1,MATCH(COLUMNS($AC$1006:AE1006),$AC$1006:$AS$1006,0))&gt;=100000), " ",IF(INDEX($AC$2:$AS$1001,MATCH(ROWS($V$2:V630),$V$2:$V$1001,0),MATCH(COLUMNS($AC$1006:AE1006),$AC$1006:$AS$1006,0)), HYPERLINK("#",""), HYPERLINK(CONCATENATE("#metadata!", ADDRESS(INDEX($X$2:$X$1001,MATCH(ROWS($V$2:V630),$V$2:$V$1001,0),0), INDEX($AC$1004:$AS$1004,1,MATCH(COLUMNS($AC$1006:AE1006),$AC$1006:$AS$1006,0)))),"Fix")))</f>
        <v xml:space="preserve"> </v>
      </c>
      <c r="E630" s="4" t="str">
        <f ca="1">IF(OR(INDEX($W$2:$W$1001,MATCH(ROWS($V$2:V630),$V$2:$V$1001,0),1)&gt;=100000,INDEX($AC$1005:$AS$1005,1,MATCH(COLUMNS($AC$1006:AF1006),$AC$1006:$AS$1006,0))&gt;=100000), " ",IF(INDEX($AC$2:$AS$1001,MATCH(ROWS($V$2:V630),$V$2:$V$1001,0),MATCH(COLUMNS($AC$1006:AF1006),$AC$1006:$AS$1006,0)), HYPERLINK("#",""), HYPERLINK(CONCATENATE("#metadata!", ADDRESS(INDEX($X$2:$X$1001,MATCH(ROWS($V$2:V630),$V$2:$V$1001,0),0), INDEX($AC$1004:$AS$1004,1,MATCH(COLUMNS($AC$1006:AF1006),$AC$1006:$AS$1006,0)))),"Fix")))</f>
        <v xml:space="preserve"> </v>
      </c>
      <c r="F630" s="4" t="str">
        <f ca="1">IF(OR(INDEX($W$2:$W$1001,MATCH(ROWS($V$2:V630),$V$2:$V$1001,0),1)&gt;=100000,INDEX($AC$1005:$AS$1005,1,MATCH(COLUMNS($AC$1006:AG1006),$AC$1006:$AS$1006,0))&gt;=100000), " ",IF(INDEX($AC$2:$AS$1001,MATCH(ROWS($V$2:V630),$V$2:$V$1001,0),MATCH(COLUMNS($AC$1006:AG1006),$AC$1006:$AS$1006,0)), HYPERLINK("#",""), HYPERLINK(CONCATENATE("#metadata!", ADDRESS(INDEX($X$2:$X$1001,MATCH(ROWS($V$2:V630),$V$2:$V$1001,0),0), INDEX($AC$1004:$AS$1004,1,MATCH(COLUMNS($AC$1006:AG1006),$AC$1006:$AS$1006,0)))),"Fix")))</f>
        <v xml:space="preserve"> </v>
      </c>
      <c r="G630" s="4" t="str">
        <f ca="1">IF(OR(INDEX($W$2:$W$1001,MATCH(ROWS($V$2:V630),$V$2:$V$1001,0),1)&gt;=100000,INDEX($AC$1005:$AS$1005,1,MATCH(COLUMNS($AC$1006:AH1006),$AC$1006:$AS$1006,0))&gt;=100000), " ",IF(INDEX($AC$2:$AS$1001,MATCH(ROWS($V$2:V630),$V$2:$V$1001,0),MATCH(COLUMNS($AC$1006:AH1006),$AC$1006:$AS$1006,0)), HYPERLINK("#",""), HYPERLINK(CONCATENATE("#metadata!", ADDRESS(INDEX($X$2:$X$1001,MATCH(ROWS($V$2:V630),$V$2:$V$1001,0),0), INDEX($AC$1004:$AS$1004,1,MATCH(COLUMNS($AC$1006:AH1006),$AC$1006:$AS$1006,0)))),"Fix")))</f>
        <v xml:space="preserve"> </v>
      </c>
      <c r="H630" s="4" t="str">
        <f ca="1">IF(OR(INDEX($W$2:$W$1001,MATCH(ROWS($V$2:V630),$V$2:$V$1001,0),1)&gt;=100000,INDEX($AC$1005:$AS$1005,1,MATCH(COLUMNS($AC$1006:AI1006),$AC$1006:$AS$1006,0))&gt;=100000), " ",IF(INDEX($AC$2:$AS$1001,MATCH(ROWS($V$2:V630),$V$2:$V$1001,0),MATCH(COLUMNS($AC$1006:AI1006),$AC$1006:$AS$1006,0)), HYPERLINK("#",""), HYPERLINK(CONCATENATE("#metadata!", ADDRESS(INDEX($X$2:$X$1001,MATCH(ROWS($V$2:V630),$V$2:$V$1001,0),0), INDEX($AC$1004:$AS$1004,1,MATCH(COLUMNS($AC$1006:AI1006),$AC$1006:$AS$1006,0)))),"Fix")))</f>
        <v xml:space="preserve"> </v>
      </c>
      <c r="I630" s="4" t="str">
        <f ca="1">IF(OR(INDEX($W$2:$W$1001,MATCH(ROWS($V$2:V630),$V$2:$V$1001,0),1)&gt;=100000,INDEX($AC$1005:$AS$1005,1,MATCH(COLUMNS($AC$1006:AJ1006),$AC$1006:$AS$1006,0))&gt;=100000), " ",IF(INDEX($AC$2:$AS$1001,MATCH(ROWS($V$2:V630),$V$2:$V$1001,0),MATCH(COLUMNS($AC$1006:AJ1006),$AC$1006:$AS$1006,0)), HYPERLINK("#",""), HYPERLINK(CONCATENATE("#metadata!", ADDRESS(INDEX($X$2:$X$1001,MATCH(ROWS($V$2:V630),$V$2:$V$1001,0),0), INDEX($AC$1004:$AS$1004,1,MATCH(COLUMNS($AC$1006:AJ1006),$AC$1006:$AS$1006,0)))),"Fix")))</f>
        <v xml:space="preserve"> </v>
      </c>
      <c r="J630" s="4" t="str">
        <f ca="1">IF(OR(INDEX($W$2:$W$1001,MATCH(ROWS($V$2:V630),$V$2:$V$1001,0),1)&gt;=100000,INDEX($AC$1005:$AS$1005,1,MATCH(COLUMNS($AC$1006:AK1006),$AC$1006:$AS$1006,0))&gt;=100000), " ",IF(INDEX($AC$2:$AS$1001,MATCH(ROWS($V$2:V630),$V$2:$V$1001,0),MATCH(COLUMNS($AC$1006:AK1006),$AC$1006:$AS$1006,0)), HYPERLINK("#",""), HYPERLINK(CONCATENATE("#metadata!", ADDRESS(INDEX($X$2:$X$1001,MATCH(ROWS($V$2:V630),$V$2:$V$1001,0),0), INDEX($AC$1004:$AS$1004,1,MATCH(COLUMNS($AC$1006:AK1006),$AC$1006:$AS$1006,0)))),"Fix")))</f>
        <v xml:space="preserve"> </v>
      </c>
      <c r="K630" s="4" t="str">
        <f ca="1">IF(OR(INDEX($W$2:$W$1001,MATCH(ROWS($V$2:V630),$V$2:$V$1001,0),1)&gt;=100000,INDEX($AC$1005:$AS$1005,1,MATCH(COLUMNS($AC$1006:AL1006),$AC$1006:$AS$1006,0))&gt;=100000), " ",IF(INDEX($AC$2:$AS$1001,MATCH(ROWS($V$2:V630),$V$2:$V$1001,0),MATCH(COLUMNS($AC$1006:AL1006),$AC$1006:$AS$1006,0)), HYPERLINK("#",""), HYPERLINK(CONCATENATE("#metadata!", ADDRESS(INDEX($X$2:$X$1001,MATCH(ROWS($V$2:V630),$V$2:$V$1001,0),0), INDEX($AC$1004:$AS$1004,1,MATCH(COLUMNS($AC$1006:AL1006),$AC$1006:$AS$1006,0)))),"Fix")))</f>
        <v xml:space="preserve"> </v>
      </c>
      <c r="L630" s="4" t="str">
        <f ca="1">IF(OR(INDEX($W$2:$W$1001,MATCH(ROWS($V$2:V630),$V$2:$V$1001,0),1)&gt;=100000,INDEX($AC$1005:$AS$1005,1,MATCH(COLUMNS($AC$1006:AM1006),$AC$1006:$AS$1006,0))&gt;=100000), " ",IF(INDEX($AC$2:$AS$1001,MATCH(ROWS($V$2:V630),$V$2:$V$1001,0),MATCH(COLUMNS($AC$1006:AM1006),$AC$1006:$AS$1006,0)), HYPERLINK("#",""), HYPERLINK(CONCATENATE("#metadata!", ADDRESS(INDEX($X$2:$X$1001,MATCH(ROWS($V$2:V630),$V$2:$V$1001,0),0), INDEX($AC$1004:$AS$1004,1,MATCH(COLUMNS($AC$1006:AM1006),$AC$1006:$AS$1006,0)))),"Fix")))</f>
        <v xml:space="preserve"> </v>
      </c>
      <c r="M630" s="4" t="str">
        <f ca="1">IF(OR(INDEX($W$2:$W$1001,MATCH(ROWS($V$2:V630),$V$2:$V$1001,0),1)&gt;=100000,INDEX($AC$1005:$AS$1005,1,MATCH(COLUMNS($AC$1006:AN1006),$AC$1006:$AS$1006,0))&gt;=100000), " ",IF(INDEX($AC$2:$AS$1001,MATCH(ROWS($V$2:V630),$V$2:$V$1001,0),MATCH(COLUMNS($AC$1006:AN1006),$AC$1006:$AS$1006,0)), HYPERLINK("#",""), HYPERLINK(CONCATENATE("#metadata!", ADDRESS(INDEX($X$2:$X$1001,MATCH(ROWS($V$2:V630),$V$2:$V$1001,0),0), INDEX($AC$1004:$AS$1004,1,MATCH(COLUMNS($AC$1006:AN1006),$AC$1006:$AS$1006,0)))),"Fix")))</f>
        <v xml:space="preserve"> </v>
      </c>
      <c r="N630" s="4" t="str">
        <f ca="1">IF(OR(INDEX($W$2:$W$1001,MATCH(ROWS($V$2:V630),$V$2:$V$1001,0),1)&gt;=100000,INDEX($AC$1005:$AS$1005,1,MATCH(COLUMNS($AC$1006:AO1006),$AC$1006:$AS$1006,0))&gt;=100000), " ",IF(INDEX($AC$2:$AS$1001,MATCH(ROWS($V$2:V630),$V$2:$V$1001,0),MATCH(COLUMNS($AC$1006:AO1006),$AC$1006:$AS$1006,0)), HYPERLINK("#",""), HYPERLINK(CONCATENATE("#metadata!", ADDRESS(INDEX($X$2:$X$1001,MATCH(ROWS($V$2:V630),$V$2:$V$1001,0),0), INDEX($AC$1004:$AS$1004,1,MATCH(COLUMNS($AC$1006:AO1006),$AC$1006:$AS$1006,0)))),"Fix")))</f>
        <v xml:space="preserve"> </v>
      </c>
      <c r="O630" s="4" t="str">
        <f ca="1">IF(OR(INDEX($W$2:$W$1001,MATCH(ROWS($V$2:V630),$V$2:$V$1001,0),1)&gt;=100000,INDEX($AC$1005:$AS$1005,1,MATCH(COLUMNS($AC$1006:AP1006),$AC$1006:$AS$1006,0))&gt;=100000), " ",IF(INDEX($AC$2:$AS$1001,MATCH(ROWS($V$2:V630),$V$2:$V$1001,0),MATCH(COLUMNS($AC$1006:AP1006),$AC$1006:$AS$1006,0)), HYPERLINK("#",""), HYPERLINK(CONCATENATE("#metadata!", ADDRESS(INDEX($X$2:$X$1001,MATCH(ROWS($V$2:V630),$V$2:$V$1001,0),0), INDEX($AC$1004:$AS$1004,1,MATCH(COLUMNS($AC$1006:AP1006),$AC$1006:$AS$1006,0)))),"Fix")))</f>
        <v xml:space="preserve"> </v>
      </c>
      <c r="P630" s="4" t="str">
        <f ca="1">IF(OR(INDEX($W$2:$W$1001,MATCH(ROWS($V$2:V630),$V$2:$V$1001,0),1)&gt;=100000,INDEX($AC$1005:$AS$1005,1,MATCH(COLUMNS($AC$1006:AQ1006),$AC$1006:$AS$1006,0))&gt;=100000), " ",IF(INDEX($AC$2:$AS$1001,MATCH(ROWS($V$2:V630),$V$2:$V$1001,0),MATCH(COLUMNS($AC$1006:AQ1006),$AC$1006:$AS$1006,0)), HYPERLINK("#",""), HYPERLINK(CONCATENATE("#metadata!", ADDRESS(INDEX($X$2:$X$1001,MATCH(ROWS($V$2:V630),$V$2:$V$1001,0),0), INDEX($AC$1004:$AS$1004,1,MATCH(COLUMNS($AC$1006:AQ1006),$AC$1006:$AS$1006,0)))),"Fix")))</f>
        <v xml:space="preserve"> </v>
      </c>
      <c r="Q630" s="4" t="str">
        <f ca="1">IF(OR(INDEX($W$2:$W$1001,MATCH(ROWS($V$2:V630),$V$2:$V$1001,0),1)&gt;=100000,INDEX($AC$1005:$AS$1005,1,MATCH(COLUMNS($AC$1006:AR1006),$AC$1006:$AS$1006,0))&gt;=100000), " ",IF(INDEX($AC$2:$AS$1001,MATCH(ROWS($V$2:V630),$V$2:$V$1001,0),MATCH(COLUMNS($AC$1006:AR1006),$AC$1006:$AS$1006,0)), HYPERLINK("#",""), HYPERLINK(CONCATENATE("#metadata!", ADDRESS(INDEX($X$2:$X$1001,MATCH(ROWS($V$2:V630),$V$2:$V$1001,0),0), INDEX($AC$1004:$AS$1004,1,MATCH(COLUMNS($AC$1006:AR1006),$AC$1006:$AS$1006,0)))),"Fix")))</f>
        <v xml:space="preserve"> </v>
      </c>
      <c r="R630" s="4" t="str">
        <f ca="1">IF(OR(INDEX($W$2:$W$1001,MATCH(ROWS($V$2:V630),$V$2:$V$1001,0),1)&gt;=100000,INDEX($AC$1005:$AS$1005,1,MATCH(COLUMNS($AC$1006:AS1006),$AC$1006:$AS$1006,0))&gt;=100000), " ",IF(INDEX($AC$2:$AS$1001,MATCH(ROWS($V$2:V630),$V$2:$V$1001,0),MATCH(COLUMNS($AC$1006:AS1006),$AC$1006:$AS$1006,0)), HYPERLINK("#",""), HYPERLINK(CONCATENATE("#metadata!", ADDRESS(INDEX($X$2:$X$1001,MATCH(ROWS($V$2:V630),$V$2:$V$1001,0),0), INDEX($AC$1004:$AS$1004,1,MATCH(COLUMNS($AC$1006:AS1006),$AC$1006:$AS$1006,0)))),"Fix")))</f>
        <v xml:space="preserve"> </v>
      </c>
      <c r="V630">
        <v>629</v>
      </c>
      <c r="W630">
        <v>100630</v>
      </c>
      <c r="X630">
        <v>630</v>
      </c>
      <c r="Y630" t="b">
        <f t="shared" si="9"/>
        <v>1</v>
      </c>
      <c r="Z630" t="b">
        <f>COUNTBLANK(metadata!B630:R630)=COLUMNS(metadata!B630:R630)</f>
        <v>1</v>
      </c>
      <c r="AA630" t="str">
        <v/>
      </c>
      <c r="AC630" t="b">
        <f ca="1"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AD630" t="b">
        <f>IF(metadata!C630="",FALSE,ISNUMBER(VALUE(metadata!C630)))</f>
        <v>0</v>
      </c>
      <c r="AE630" t="b">
        <f>AND(IF(metadata!D630="",FALSE,TRUE),EXACT(metadata!D630,"years"))</f>
        <v>0</v>
      </c>
      <c r="AF630" t="b">
        <f>OR(AND(IF(metadata!E630="",FALSE,TRUE),OR(EXACT(metadata!E630,"not applicable"),EXACT(metadata!E630,"missing: not collected"),EXACT(metadata!E630,"missing: not provided"),EXACT(metadata!E630,"missing: restricted access"))),AND(IF(metadata!E630="",FALSE,ISNUMBER(VALUE(metadata!E630))),metadata!E630&gt;0))</f>
        <v>0</v>
      </c>
      <c r="AG630" t="b">
        <f>AND(IF(metadata!F630="",FALSE,TRUE),EXACT(metadata!F630,"Not applicable"))</f>
        <v>0</v>
      </c>
      <c r="AH630" t="b">
        <f>AND(IF(metadata!G630="",FALSE,TRUE),EXACT(metadata!G630,"urban biome"))</f>
        <v>0</v>
      </c>
      <c r="AI630" t="b">
        <f>AND(IF(metadata!H630="",FALSE,TRUE),EXACT(metadata!H630,"human-associated habitat"))</f>
        <v>0</v>
      </c>
      <c r="AJ630" t="b">
        <f>AND(IF(metadata!I630="",FALSE,TRUE),OR(EXACT(metadata!I630,"human-associated"),EXACT(metadata!I630,"human-skin"),EXACT(metadata!I630,"human-oral"),EXACT(metadata!I630,"human-gut"),EXACT(metadata!I630,"human-vaginal")))</f>
        <v>0</v>
      </c>
      <c r="AK630" t="b">
        <f>IF(metadata!J630="",FALSE,ISNUMBER(VALUE(metadata!J630)))</f>
        <v>0</v>
      </c>
      <c r="AL630" t="b">
        <f>AND(IF(metadata!K630="",FALSE,TRUE),EXACT(metadata!K630,"cm"))</f>
        <v>0</v>
      </c>
      <c r="AM630" t="b">
        <f>AND(IF(metadata!L630="",FALSE,TRUE),EXACT(metadata!L630,"human"))</f>
        <v>0</v>
      </c>
      <c r="AN630" t="b">
        <f>AND(IF(metadata!M630="",FALSE,TRUE),EXACT(metadata!M630,"Homo sapiens"))</f>
        <v>0</v>
      </c>
      <c r="AO630" t="b">
        <f>AND(IF(metadata!N630="",FALSE,TRUE),EXACT(metadata!N630,"9606"))</f>
        <v>0</v>
      </c>
      <c r="AP630" t="b">
        <f>IF(metadata!O630="",FALSE,TRUE)</f>
        <v>0</v>
      </c>
      <c r="AQ630" t="b">
        <f>IF(metadata!P630="",FALSE,TRUE)</f>
        <v>0</v>
      </c>
      <c r="AR630" t="b">
        <f>IF(metadata!Q630="",FALSE,ISNUMBER(VALUE(metadata!Q630)))</f>
        <v>0</v>
      </c>
      <c r="AS630" t="b">
        <f>AND(IF(metadata!R630="",FALSE,TRUE),EXACT(metadata!R630,"kg"))</f>
        <v>0</v>
      </c>
    </row>
    <row r="631" spans="1:45" x14ac:dyDescent="0.2">
      <c r="A631" s="5" t="str">
        <f ca="1">IF(B631=" "," ",HYPERLINK(CONCATENATE("#metadata!",ADDRESS(INDEX($X$2:$X$1001,MATCH(ROWS($V$2:V631),$V$2:$V$1001,0),0),1)),INDEX($AA$2:$AA$1001,MATCH(ROWS($V$2:V631),$V$2:$V$1001,0),0)))</f>
        <v xml:space="preserve"> </v>
      </c>
      <c r="B631" s="4" t="str">
        <f ca="1">IF(OR(INDEX($W$2:$W$1001,MATCH(ROWS($V$2:V631),$V$2:$V$1001,0),1)&gt;=100000,INDEX($AC$1005:$AS$1005,1,MATCH(COLUMNS($AC$1006:AC1006),$AC$1006:$AS$1006,0))&gt;=100000), " ",IF(INDEX($AC$2:$AS$1001,MATCH(ROWS($V$2:V631),$V$2:$V$1001,0),MATCH(COLUMNS($AC$1006:AC1006),$AC$1006:$AS$1006,0)), HYPERLINK("#",""), HYPERLINK(CONCATENATE("#metadata!", ADDRESS(INDEX($X$2:$X$1001,MATCH(ROWS($V$2:V631),$V$2:$V$1001,0),0), INDEX($AC$1004:$AS$1004,1,MATCH(COLUMNS($AC$1006:AC1006),$AC$1006:$AS$1006,0)))),"Fix")))</f>
        <v xml:space="preserve"> </v>
      </c>
      <c r="C631" s="4" t="str">
        <f ca="1">IF(OR(INDEX($W$2:$W$1001,MATCH(ROWS($V$2:V631),$V$2:$V$1001,0),1)&gt;=100000,INDEX($AC$1005:$AS$1005,1,MATCH(COLUMNS($AC$1006:AD1006),$AC$1006:$AS$1006,0))&gt;=100000), " ",IF(INDEX($AC$2:$AS$1001,MATCH(ROWS($V$2:V631),$V$2:$V$1001,0),MATCH(COLUMNS($AC$1006:AD1006),$AC$1006:$AS$1006,0)), HYPERLINK("#",""), HYPERLINK(CONCATENATE("#metadata!", ADDRESS(INDEX($X$2:$X$1001,MATCH(ROWS($V$2:V631),$V$2:$V$1001,0),0), INDEX($AC$1004:$AS$1004,1,MATCH(COLUMNS($AC$1006:AD1006),$AC$1006:$AS$1006,0)))),"Fix")))</f>
        <v xml:space="preserve"> </v>
      </c>
      <c r="D631" s="4" t="str">
        <f ca="1">IF(OR(INDEX($W$2:$W$1001,MATCH(ROWS($V$2:V631),$V$2:$V$1001,0),1)&gt;=100000,INDEX($AC$1005:$AS$1005,1,MATCH(COLUMNS($AC$1006:AE1006),$AC$1006:$AS$1006,0))&gt;=100000), " ",IF(INDEX($AC$2:$AS$1001,MATCH(ROWS($V$2:V631),$V$2:$V$1001,0),MATCH(COLUMNS($AC$1006:AE1006),$AC$1006:$AS$1006,0)), HYPERLINK("#",""), HYPERLINK(CONCATENATE("#metadata!", ADDRESS(INDEX($X$2:$X$1001,MATCH(ROWS($V$2:V631),$V$2:$V$1001,0),0), INDEX($AC$1004:$AS$1004,1,MATCH(COLUMNS($AC$1006:AE1006),$AC$1006:$AS$1006,0)))),"Fix")))</f>
        <v xml:space="preserve"> </v>
      </c>
      <c r="E631" s="4" t="str">
        <f ca="1">IF(OR(INDEX($W$2:$W$1001,MATCH(ROWS($V$2:V631),$V$2:$V$1001,0),1)&gt;=100000,INDEX($AC$1005:$AS$1005,1,MATCH(COLUMNS($AC$1006:AF1006),$AC$1006:$AS$1006,0))&gt;=100000), " ",IF(INDEX($AC$2:$AS$1001,MATCH(ROWS($V$2:V631),$V$2:$V$1001,0),MATCH(COLUMNS($AC$1006:AF1006),$AC$1006:$AS$1006,0)), HYPERLINK("#",""), HYPERLINK(CONCATENATE("#metadata!", ADDRESS(INDEX($X$2:$X$1001,MATCH(ROWS($V$2:V631),$V$2:$V$1001,0),0), INDEX($AC$1004:$AS$1004,1,MATCH(COLUMNS($AC$1006:AF1006),$AC$1006:$AS$1006,0)))),"Fix")))</f>
        <v xml:space="preserve"> </v>
      </c>
      <c r="F631" s="4" t="str">
        <f ca="1">IF(OR(INDEX($W$2:$W$1001,MATCH(ROWS($V$2:V631),$V$2:$V$1001,0),1)&gt;=100000,INDEX($AC$1005:$AS$1005,1,MATCH(COLUMNS($AC$1006:AG1006),$AC$1006:$AS$1006,0))&gt;=100000), " ",IF(INDEX($AC$2:$AS$1001,MATCH(ROWS($V$2:V631),$V$2:$V$1001,0),MATCH(COLUMNS($AC$1006:AG1006),$AC$1006:$AS$1006,0)), HYPERLINK("#",""), HYPERLINK(CONCATENATE("#metadata!", ADDRESS(INDEX($X$2:$X$1001,MATCH(ROWS($V$2:V631),$V$2:$V$1001,0),0), INDEX($AC$1004:$AS$1004,1,MATCH(COLUMNS($AC$1006:AG1006),$AC$1006:$AS$1006,0)))),"Fix")))</f>
        <v xml:space="preserve"> </v>
      </c>
      <c r="G631" s="4" t="str">
        <f ca="1">IF(OR(INDEX($W$2:$W$1001,MATCH(ROWS($V$2:V631),$V$2:$V$1001,0),1)&gt;=100000,INDEX($AC$1005:$AS$1005,1,MATCH(COLUMNS($AC$1006:AH1006),$AC$1006:$AS$1006,0))&gt;=100000), " ",IF(INDEX($AC$2:$AS$1001,MATCH(ROWS($V$2:V631),$V$2:$V$1001,0),MATCH(COLUMNS($AC$1006:AH1006),$AC$1006:$AS$1006,0)), HYPERLINK("#",""), HYPERLINK(CONCATENATE("#metadata!", ADDRESS(INDEX($X$2:$X$1001,MATCH(ROWS($V$2:V631),$V$2:$V$1001,0),0), INDEX($AC$1004:$AS$1004,1,MATCH(COLUMNS($AC$1006:AH1006),$AC$1006:$AS$1006,0)))),"Fix")))</f>
        <v xml:space="preserve"> </v>
      </c>
      <c r="H631" s="4" t="str">
        <f ca="1">IF(OR(INDEX($W$2:$W$1001,MATCH(ROWS($V$2:V631),$V$2:$V$1001,0),1)&gt;=100000,INDEX($AC$1005:$AS$1005,1,MATCH(COLUMNS($AC$1006:AI1006),$AC$1006:$AS$1006,0))&gt;=100000), " ",IF(INDEX($AC$2:$AS$1001,MATCH(ROWS($V$2:V631),$V$2:$V$1001,0),MATCH(COLUMNS($AC$1006:AI1006),$AC$1006:$AS$1006,0)), HYPERLINK("#",""), HYPERLINK(CONCATENATE("#metadata!", ADDRESS(INDEX($X$2:$X$1001,MATCH(ROWS($V$2:V631),$V$2:$V$1001,0),0), INDEX($AC$1004:$AS$1004,1,MATCH(COLUMNS($AC$1006:AI1006),$AC$1006:$AS$1006,0)))),"Fix")))</f>
        <v xml:space="preserve"> </v>
      </c>
      <c r="I631" s="4" t="str">
        <f ca="1">IF(OR(INDEX($W$2:$W$1001,MATCH(ROWS($V$2:V631),$V$2:$V$1001,0),1)&gt;=100000,INDEX($AC$1005:$AS$1005,1,MATCH(COLUMNS($AC$1006:AJ1006),$AC$1006:$AS$1006,0))&gt;=100000), " ",IF(INDEX($AC$2:$AS$1001,MATCH(ROWS($V$2:V631),$V$2:$V$1001,0),MATCH(COLUMNS($AC$1006:AJ1006),$AC$1006:$AS$1006,0)), HYPERLINK("#",""), HYPERLINK(CONCATENATE("#metadata!", ADDRESS(INDEX($X$2:$X$1001,MATCH(ROWS($V$2:V631),$V$2:$V$1001,0),0), INDEX($AC$1004:$AS$1004,1,MATCH(COLUMNS($AC$1006:AJ1006),$AC$1006:$AS$1006,0)))),"Fix")))</f>
        <v xml:space="preserve"> </v>
      </c>
      <c r="J631" s="4" t="str">
        <f ca="1">IF(OR(INDEX($W$2:$W$1001,MATCH(ROWS($V$2:V631),$V$2:$V$1001,0),1)&gt;=100000,INDEX($AC$1005:$AS$1005,1,MATCH(COLUMNS($AC$1006:AK1006),$AC$1006:$AS$1006,0))&gt;=100000), " ",IF(INDEX($AC$2:$AS$1001,MATCH(ROWS($V$2:V631),$V$2:$V$1001,0),MATCH(COLUMNS($AC$1006:AK1006),$AC$1006:$AS$1006,0)), HYPERLINK("#",""), HYPERLINK(CONCATENATE("#metadata!", ADDRESS(INDEX($X$2:$X$1001,MATCH(ROWS($V$2:V631),$V$2:$V$1001,0),0), INDEX($AC$1004:$AS$1004,1,MATCH(COLUMNS($AC$1006:AK1006),$AC$1006:$AS$1006,0)))),"Fix")))</f>
        <v xml:space="preserve"> </v>
      </c>
      <c r="K631" s="4" t="str">
        <f ca="1">IF(OR(INDEX($W$2:$W$1001,MATCH(ROWS($V$2:V631),$V$2:$V$1001,0),1)&gt;=100000,INDEX($AC$1005:$AS$1005,1,MATCH(COLUMNS($AC$1006:AL1006),$AC$1006:$AS$1006,0))&gt;=100000), " ",IF(INDEX($AC$2:$AS$1001,MATCH(ROWS($V$2:V631),$V$2:$V$1001,0),MATCH(COLUMNS($AC$1006:AL1006),$AC$1006:$AS$1006,0)), HYPERLINK("#",""), HYPERLINK(CONCATENATE("#metadata!", ADDRESS(INDEX($X$2:$X$1001,MATCH(ROWS($V$2:V631),$V$2:$V$1001,0),0), INDEX($AC$1004:$AS$1004,1,MATCH(COLUMNS($AC$1006:AL1006),$AC$1006:$AS$1006,0)))),"Fix")))</f>
        <v xml:space="preserve"> </v>
      </c>
      <c r="L631" s="4" t="str">
        <f ca="1">IF(OR(INDEX($W$2:$W$1001,MATCH(ROWS($V$2:V631),$V$2:$V$1001,0),1)&gt;=100000,INDEX($AC$1005:$AS$1005,1,MATCH(COLUMNS($AC$1006:AM1006),$AC$1006:$AS$1006,0))&gt;=100000), " ",IF(INDEX($AC$2:$AS$1001,MATCH(ROWS($V$2:V631),$V$2:$V$1001,0),MATCH(COLUMNS($AC$1006:AM1006),$AC$1006:$AS$1006,0)), HYPERLINK("#",""), HYPERLINK(CONCATENATE("#metadata!", ADDRESS(INDEX($X$2:$X$1001,MATCH(ROWS($V$2:V631),$V$2:$V$1001,0),0), INDEX($AC$1004:$AS$1004,1,MATCH(COLUMNS($AC$1006:AM1006),$AC$1006:$AS$1006,0)))),"Fix")))</f>
        <v xml:space="preserve"> </v>
      </c>
      <c r="M631" s="4" t="str">
        <f ca="1">IF(OR(INDEX($W$2:$W$1001,MATCH(ROWS($V$2:V631),$V$2:$V$1001,0),1)&gt;=100000,INDEX($AC$1005:$AS$1005,1,MATCH(COLUMNS($AC$1006:AN1006),$AC$1006:$AS$1006,0))&gt;=100000), " ",IF(INDEX($AC$2:$AS$1001,MATCH(ROWS($V$2:V631),$V$2:$V$1001,0),MATCH(COLUMNS($AC$1006:AN1006),$AC$1006:$AS$1006,0)), HYPERLINK("#",""), HYPERLINK(CONCATENATE("#metadata!", ADDRESS(INDEX($X$2:$X$1001,MATCH(ROWS($V$2:V631),$V$2:$V$1001,0),0), INDEX($AC$1004:$AS$1004,1,MATCH(COLUMNS($AC$1006:AN1006),$AC$1006:$AS$1006,0)))),"Fix")))</f>
        <v xml:space="preserve"> </v>
      </c>
      <c r="N631" s="4" t="str">
        <f ca="1">IF(OR(INDEX($W$2:$W$1001,MATCH(ROWS($V$2:V631),$V$2:$V$1001,0),1)&gt;=100000,INDEX($AC$1005:$AS$1005,1,MATCH(COLUMNS($AC$1006:AO1006),$AC$1006:$AS$1006,0))&gt;=100000), " ",IF(INDEX($AC$2:$AS$1001,MATCH(ROWS($V$2:V631),$V$2:$V$1001,0),MATCH(COLUMNS($AC$1006:AO1006),$AC$1006:$AS$1006,0)), HYPERLINK("#",""), HYPERLINK(CONCATENATE("#metadata!", ADDRESS(INDEX($X$2:$X$1001,MATCH(ROWS($V$2:V631),$V$2:$V$1001,0),0), INDEX($AC$1004:$AS$1004,1,MATCH(COLUMNS($AC$1006:AO1006),$AC$1006:$AS$1006,0)))),"Fix")))</f>
        <v xml:space="preserve"> </v>
      </c>
      <c r="O631" s="4" t="str">
        <f ca="1">IF(OR(INDEX($W$2:$W$1001,MATCH(ROWS($V$2:V631),$V$2:$V$1001,0),1)&gt;=100000,INDEX($AC$1005:$AS$1005,1,MATCH(COLUMNS($AC$1006:AP1006),$AC$1006:$AS$1006,0))&gt;=100000), " ",IF(INDEX($AC$2:$AS$1001,MATCH(ROWS($V$2:V631),$V$2:$V$1001,0),MATCH(COLUMNS($AC$1006:AP1006),$AC$1006:$AS$1006,0)), HYPERLINK("#",""), HYPERLINK(CONCATENATE("#metadata!", ADDRESS(INDEX($X$2:$X$1001,MATCH(ROWS($V$2:V631),$V$2:$V$1001,0),0), INDEX($AC$1004:$AS$1004,1,MATCH(COLUMNS($AC$1006:AP1006),$AC$1006:$AS$1006,0)))),"Fix")))</f>
        <v xml:space="preserve"> </v>
      </c>
      <c r="P631" s="4" t="str">
        <f ca="1">IF(OR(INDEX($W$2:$W$1001,MATCH(ROWS($V$2:V631),$V$2:$V$1001,0),1)&gt;=100000,INDEX($AC$1005:$AS$1005,1,MATCH(COLUMNS($AC$1006:AQ1006),$AC$1006:$AS$1006,0))&gt;=100000), " ",IF(INDEX($AC$2:$AS$1001,MATCH(ROWS($V$2:V631),$V$2:$V$1001,0),MATCH(COLUMNS($AC$1006:AQ1006),$AC$1006:$AS$1006,0)), HYPERLINK("#",""), HYPERLINK(CONCATENATE("#metadata!", ADDRESS(INDEX($X$2:$X$1001,MATCH(ROWS($V$2:V631),$V$2:$V$1001,0),0), INDEX($AC$1004:$AS$1004,1,MATCH(COLUMNS($AC$1006:AQ1006),$AC$1006:$AS$1006,0)))),"Fix")))</f>
        <v xml:space="preserve"> </v>
      </c>
      <c r="Q631" s="4" t="str">
        <f ca="1">IF(OR(INDEX($W$2:$W$1001,MATCH(ROWS($V$2:V631),$V$2:$V$1001,0),1)&gt;=100000,INDEX($AC$1005:$AS$1005,1,MATCH(COLUMNS($AC$1006:AR1006),$AC$1006:$AS$1006,0))&gt;=100000), " ",IF(INDEX($AC$2:$AS$1001,MATCH(ROWS($V$2:V631),$V$2:$V$1001,0),MATCH(COLUMNS($AC$1006:AR1006),$AC$1006:$AS$1006,0)), HYPERLINK("#",""), HYPERLINK(CONCATENATE("#metadata!", ADDRESS(INDEX($X$2:$X$1001,MATCH(ROWS($V$2:V631),$V$2:$V$1001,0),0), INDEX($AC$1004:$AS$1004,1,MATCH(COLUMNS($AC$1006:AR1006),$AC$1006:$AS$1006,0)))),"Fix")))</f>
        <v xml:space="preserve"> </v>
      </c>
      <c r="R631" s="4" t="str">
        <f ca="1">IF(OR(INDEX($W$2:$W$1001,MATCH(ROWS($V$2:V631),$V$2:$V$1001,0),1)&gt;=100000,INDEX($AC$1005:$AS$1005,1,MATCH(COLUMNS($AC$1006:AS1006),$AC$1006:$AS$1006,0))&gt;=100000), " ",IF(INDEX($AC$2:$AS$1001,MATCH(ROWS($V$2:V631),$V$2:$V$1001,0),MATCH(COLUMNS($AC$1006:AS1006),$AC$1006:$AS$1006,0)), HYPERLINK("#",""), HYPERLINK(CONCATENATE("#metadata!", ADDRESS(INDEX($X$2:$X$1001,MATCH(ROWS($V$2:V631),$V$2:$V$1001,0),0), INDEX($AC$1004:$AS$1004,1,MATCH(COLUMNS($AC$1006:AS1006),$AC$1006:$AS$1006,0)))),"Fix")))</f>
        <v xml:space="preserve"> </v>
      </c>
      <c r="V631">
        <v>630</v>
      </c>
      <c r="W631">
        <v>100631</v>
      </c>
      <c r="X631">
        <v>631</v>
      </c>
      <c r="Y631" t="b">
        <f t="shared" si="9"/>
        <v>1</v>
      </c>
      <c r="Z631" t="b">
        <f>COUNTBLANK(metadata!B631:R631)=COLUMNS(metadata!B631:R631)</f>
        <v>1</v>
      </c>
      <c r="AA631" t="str">
        <v/>
      </c>
      <c r="AC631" t="b">
        <f ca="1"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AD631" t="b">
        <f>IF(metadata!C631="",FALSE,ISNUMBER(VALUE(metadata!C631)))</f>
        <v>0</v>
      </c>
      <c r="AE631" t="b">
        <f>AND(IF(metadata!D631="",FALSE,TRUE),EXACT(metadata!D631,"years"))</f>
        <v>0</v>
      </c>
      <c r="AF631" t="b">
        <f>OR(AND(IF(metadata!E631="",FALSE,TRUE),OR(EXACT(metadata!E631,"not applicable"),EXACT(metadata!E631,"missing: not collected"),EXACT(metadata!E631,"missing: not provided"),EXACT(metadata!E631,"missing: restricted access"))),AND(IF(metadata!E631="",FALSE,ISNUMBER(VALUE(metadata!E631))),metadata!E631&gt;0))</f>
        <v>0</v>
      </c>
      <c r="AG631" t="b">
        <f>AND(IF(metadata!F631="",FALSE,TRUE),EXACT(metadata!F631,"Not applicable"))</f>
        <v>0</v>
      </c>
      <c r="AH631" t="b">
        <f>AND(IF(metadata!G631="",FALSE,TRUE),EXACT(metadata!G631,"urban biome"))</f>
        <v>0</v>
      </c>
      <c r="AI631" t="b">
        <f>AND(IF(metadata!H631="",FALSE,TRUE),EXACT(metadata!H631,"human-associated habitat"))</f>
        <v>0</v>
      </c>
      <c r="AJ631" t="b">
        <f>AND(IF(metadata!I631="",FALSE,TRUE),OR(EXACT(metadata!I631,"human-associated"),EXACT(metadata!I631,"human-skin"),EXACT(metadata!I631,"human-oral"),EXACT(metadata!I631,"human-gut"),EXACT(metadata!I631,"human-vaginal")))</f>
        <v>0</v>
      </c>
      <c r="AK631" t="b">
        <f>IF(metadata!J631="",FALSE,ISNUMBER(VALUE(metadata!J631)))</f>
        <v>0</v>
      </c>
      <c r="AL631" t="b">
        <f>AND(IF(metadata!K631="",FALSE,TRUE),EXACT(metadata!K631,"cm"))</f>
        <v>0</v>
      </c>
      <c r="AM631" t="b">
        <f>AND(IF(metadata!L631="",FALSE,TRUE),EXACT(metadata!L631,"human"))</f>
        <v>0</v>
      </c>
      <c r="AN631" t="b">
        <f>AND(IF(metadata!M631="",FALSE,TRUE),EXACT(metadata!M631,"Homo sapiens"))</f>
        <v>0</v>
      </c>
      <c r="AO631" t="b">
        <f>AND(IF(metadata!N631="",FALSE,TRUE),EXACT(metadata!N631,"9606"))</f>
        <v>0</v>
      </c>
      <c r="AP631" t="b">
        <f>IF(metadata!O631="",FALSE,TRUE)</f>
        <v>0</v>
      </c>
      <c r="AQ631" t="b">
        <f>IF(metadata!P631="",FALSE,TRUE)</f>
        <v>0</v>
      </c>
      <c r="AR631" t="b">
        <f>IF(metadata!Q631="",FALSE,ISNUMBER(VALUE(metadata!Q631)))</f>
        <v>0</v>
      </c>
      <c r="AS631" t="b">
        <f>AND(IF(metadata!R631="",FALSE,TRUE),EXACT(metadata!R631,"kg"))</f>
        <v>0</v>
      </c>
    </row>
    <row r="632" spans="1:45" x14ac:dyDescent="0.2">
      <c r="A632" s="5" t="str">
        <f ca="1">IF(B632=" "," ",HYPERLINK(CONCATENATE("#metadata!",ADDRESS(INDEX($X$2:$X$1001,MATCH(ROWS($V$2:V632),$V$2:$V$1001,0),0),1)),INDEX($AA$2:$AA$1001,MATCH(ROWS($V$2:V632),$V$2:$V$1001,0),0)))</f>
        <v xml:space="preserve"> </v>
      </c>
      <c r="B632" s="4" t="str">
        <f ca="1">IF(OR(INDEX($W$2:$W$1001,MATCH(ROWS($V$2:V632),$V$2:$V$1001,0),1)&gt;=100000,INDEX($AC$1005:$AS$1005,1,MATCH(COLUMNS($AC$1006:AC1006),$AC$1006:$AS$1006,0))&gt;=100000), " ",IF(INDEX($AC$2:$AS$1001,MATCH(ROWS($V$2:V632),$V$2:$V$1001,0),MATCH(COLUMNS($AC$1006:AC1006),$AC$1006:$AS$1006,0)), HYPERLINK("#",""), HYPERLINK(CONCATENATE("#metadata!", ADDRESS(INDEX($X$2:$X$1001,MATCH(ROWS($V$2:V632),$V$2:$V$1001,0),0), INDEX($AC$1004:$AS$1004,1,MATCH(COLUMNS($AC$1006:AC1006),$AC$1006:$AS$1006,0)))),"Fix")))</f>
        <v xml:space="preserve"> </v>
      </c>
      <c r="C632" s="4" t="str">
        <f ca="1">IF(OR(INDEX($W$2:$W$1001,MATCH(ROWS($V$2:V632),$V$2:$V$1001,0),1)&gt;=100000,INDEX($AC$1005:$AS$1005,1,MATCH(COLUMNS($AC$1006:AD1006),$AC$1006:$AS$1006,0))&gt;=100000), " ",IF(INDEX($AC$2:$AS$1001,MATCH(ROWS($V$2:V632),$V$2:$V$1001,0),MATCH(COLUMNS($AC$1006:AD1006),$AC$1006:$AS$1006,0)), HYPERLINK("#",""), HYPERLINK(CONCATENATE("#metadata!", ADDRESS(INDEX($X$2:$X$1001,MATCH(ROWS($V$2:V632),$V$2:$V$1001,0),0), INDEX($AC$1004:$AS$1004,1,MATCH(COLUMNS($AC$1006:AD1006),$AC$1006:$AS$1006,0)))),"Fix")))</f>
        <v xml:space="preserve"> </v>
      </c>
      <c r="D632" s="4" t="str">
        <f ca="1">IF(OR(INDEX($W$2:$W$1001,MATCH(ROWS($V$2:V632),$V$2:$V$1001,0),1)&gt;=100000,INDEX($AC$1005:$AS$1005,1,MATCH(COLUMNS($AC$1006:AE1006),$AC$1006:$AS$1006,0))&gt;=100000), " ",IF(INDEX($AC$2:$AS$1001,MATCH(ROWS($V$2:V632),$V$2:$V$1001,0),MATCH(COLUMNS($AC$1006:AE1006),$AC$1006:$AS$1006,0)), HYPERLINK("#",""), HYPERLINK(CONCATENATE("#metadata!", ADDRESS(INDEX($X$2:$X$1001,MATCH(ROWS($V$2:V632),$V$2:$V$1001,0),0), INDEX($AC$1004:$AS$1004,1,MATCH(COLUMNS($AC$1006:AE1006),$AC$1006:$AS$1006,0)))),"Fix")))</f>
        <v xml:space="preserve"> </v>
      </c>
      <c r="E632" s="4" t="str">
        <f ca="1">IF(OR(INDEX($W$2:$W$1001,MATCH(ROWS($V$2:V632),$V$2:$V$1001,0),1)&gt;=100000,INDEX($AC$1005:$AS$1005,1,MATCH(COLUMNS($AC$1006:AF1006),$AC$1006:$AS$1006,0))&gt;=100000), " ",IF(INDEX($AC$2:$AS$1001,MATCH(ROWS($V$2:V632),$V$2:$V$1001,0),MATCH(COLUMNS($AC$1006:AF1006),$AC$1006:$AS$1006,0)), HYPERLINK("#",""), HYPERLINK(CONCATENATE("#metadata!", ADDRESS(INDEX($X$2:$X$1001,MATCH(ROWS($V$2:V632),$V$2:$V$1001,0),0), INDEX($AC$1004:$AS$1004,1,MATCH(COLUMNS($AC$1006:AF1006),$AC$1006:$AS$1006,0)))),"Fix")))</f>
        <v xml:space="preserve"> </v>
      </c>
      <c r="F632" s="4" t="str">
        <f ca="1">IF(OR(INDEX($W$2:$W$1001,MATCH(ROWS($V$2:V632),$V$2:$V$1001,0),1)&gt;=100000,INDEX($AC$1005:$AS$1005,1,MATCH(COLUMNS($AC$1006:AG1006),$AC$1006:$AS$1006,0))&gt;=100000), " ",IF(INDEX($AC$2:$AS$1001,MATCH(ROWS($V$2:V632),$V$2:$V$1001,0),MATCH(COLUMNS($AC$1006:AG1006),$AC$1006:$AS$1006,0)), HYPERLINK("#",""), HYPERLINK(CONCATENATE("#metadata!", ADDRESS(INDEX($X$2:$X$1001,MATCH(ROWS($V$2:V632),$V$2:$V$1001,0),0), INDEX($AC$1004:$AS$1004,1,MATCH(COLUMNS($AC$1006:AG1006),$AC$1006:$AS$1006,0)))),"Fix")))</f>
        <v xml:space="preserve"> </v>
      </c>
      <c r="G632" s="4" t="str">
        <f ca="1">IF(OR(INDEX($W$2:$W$1001,MATCH(ROWS($V$2:V632),$V$2:$V$1001,0),1)&gt;=100000,INDEX($AC$1005:$AS$1005,1,MATCH(COLUMNS($AC$1006:AH1006),$AC$1006:$AS$1006,0))&gt;=100000), " ",IF(INDEX($AC$2:$AS$1001,MATCH(ROWS($V$2:V632),$V$2:$V$1001,0),MATCH(COLUMNS($AC$1006:AH1006),$AC$1006:$AS$1006,0)), HYPERLINK("#",""), HYPERLINK(CONCATENATE("#metadata!", ADDRESS(INDEX($X$2:$X$1001,MATCH(ROWS($V$2:V632),$V$2:$V$1001,0),0), INDEX($AC$1004:$AS$1004,1,MATCH(COLUMNS($AC$1006:AH1006),$AC$1006:$AS$1006,0)))),"Fix")))</f>
        <v xml:space="preserve"> </v>
      </c>
      <c r="H632" s="4" t="str">
        <f ca="1">IF(OR(INDEX($W$2:$W$1001,MATCH(ROWS($V$2:V632),$V$2:$V$1001,0),1)&gt;=100000,INDEX($AC$1005:$AS$1005,1,MATCH(COLUMNS($AC$1006:AI1006),$AC$1006:$AS$1006,0))&gt;=100000), " ",IF(INDEX($AC$2:$AS$1001,MATCH(ROWS($V$2:V632),$V$2:$V$1001,0),MATCH(COLUMNS($AC$1006:AI1006),$AC$1006:$AS$1006,0)), HYPERLINK("#",""), HYPERLINK(CONCATENATE("#metadata!", ADDRESS(INDEX($X$2:$X$1001,MATCH(ROWS($V$2:V632),$V$2:$V$1001,0),0), INDEX($AC$1004:$AS$1004,1,MATCH(COLUMNS($AC$1006:AI1006),$AC$1006:$AS$1006,0)))),"Fix")))</f>
        <v xml:space="preserve"> </v>
      </c>
      <c r="I632" s="4" t="str">
        <f ca="1">IF(OR(INDEX($W$2:$W$1001,MATCH(ROWS($V$2:V632),$V$2:$V$1001,0),1)&gt;=100000,INDEX($AC$1005:$AS$1005,1,MATCH(COLUMNS($AC$1006:AJ1006),$AC$1006:$AS$1006,0))&gt;=100000), " ",IF(INDEX($AC$2:$AS$1001,MATCH(ROWS($V$2:V632),$V$2:$V$1001,0),MATCH(COLUMNS($AC$1006:AJ1006),$AC$1006:$AS$1006,0)), HYPERLINK("#",""), HYPERLINK(CONCATENATE("#metadata!", ADDRESS(INDEX($X$2:$X$1001,MATCH(ROWS($V$2:V632),$V$2:$V$1001,0),0), INDEX($AC$1004:$AS$1004,1,MATCH(COLUMNS($AC$1006:AJ1006),$AC$1006:$AS$1006,0)))),"Fix")))</f>
        <v xml:space="preserve"> </v>
      </c>
      <c r="J632" s="4" t="str">
        <f ca="1">IF(OR(INDEX($W$2:$W$1001,MATCH(ROWS($V$2:V632),$V$2:$V$1001,0),1)&gt;=100000,INDEX($AC$1005:$AS$1005,1,MATCH(COLUMNS($AC$1006:AK1006),$AC$1006:$AS$1006,0))&gt;=100000), " ",IF(INDEX($AC$2:$AS$1001,MATCH(ROWS($V$2:V632),$V$2:$V$1001,0),MATCH(COLUMNS($AC$1006:AK1006),$AC$1006:$AS$1006,0)), HYPERLINK("#",""), HYPERLINK(CONCATENATE("#metadata!", ADDRESS(INDEX($X$2:$X$1001,MATCH(ROWS($V$2:V632),$V$2:$V$1001,0),0), INDEX($AC$1004:$AS$1004,1,MATCH(COLUMNS($AC$1006:AK1006),$AC$1006:$AS$1006,0)))),"Fix")))</f>
        <v xml:space="preserve"> </v>
      </c>
      <c r="K632" s="4" t="str">
        <f ca="1">IF(OR(INDEX($W$2:$W$1001,MATCH(ROWS($V$2:V632),$V$2:$V$1001,0),1)&gt;=100000,INDEX($AC$1005:$AS$1005,1,MATCH(COLUMNS($AC$1006:AL1006),$AC$1006:$AS$1006,0))&gt;=100000), " ",IF(INDEX($AC$2:$AS$1001,MATCH(ROWS($V$2:V632),$V$2:$V$1001,0),MATCH(COLUMNS($AC$1006:AL1006),$AC$1006:$AS$1006,0)), HYPERLINK("#",""), HYPERLINK(CONCATENATE("#metadata!", ADDRESS(INDEX($X$2:$X$1001,MATCH(ROWS($V$2:V632),$V$2:$V$1001,0),0), INDEX($AC$1004:$AS$1004,1,MATCH(COLUMNS($AC$1006:AL1006),$AC$1006:$AS$1006,0)))),"Fix")))</f>
        <v xml:space="preserve"> </v>
      </c>
      <c r="L632" s="4" t="str">
        <f ca="1">IF(OR(INDEX($W$2:$W$1001,MATCH(ROWS($V$2:V632),$V$2:$V$1001,0),1)&gt;=100000,INDEX($AC$1005:$AS$1005,1,MATCH(COLUMNS($AC$1006:AM1006),$AC$1006:$AS$1006,0))&gt;=100000), " ",IF(INDEX($AC$2:$AS$1001,MATCH(ROWS($V$2:V632),$V$2:$V$1001,0),MATCH(COLUMNS($AC$1006:AM1006),$AC$1006:$AS$1006,0)), HYPERLINK("#",""), HYPERLINK(CONCATENATE("#metadata!", ADDRESS(INDEX($X$2:$X$1001,MATCH(ROWS($V$2:V632),$V$2:$V$1001,0),0), INDEX($AC$1004:$AS$1004,1,MATCH(COLUMNS($AC$1006:AM1006),$AC$1006:$AS$1006,0)))),"Fix")))</f>
        <v xml:space="preserve"> </v>
      </c>
      <c r="M632" s="4" t="str">
        <f ca="1">IF(OR(INDEX($W$2:$W$1001,MATCH(ROWS($V$2:V632),$V$2:$V$1001,0),1)&gt;=100000,INDEX($AC$1005:$AS$1005,1,MATCH(COLUMNS($AC$1006:AN1006),$AC$1006:$AS$1006,0))&gt;=100000), " ",IF(INDEX($AC$2:$AS$1001,MATCH(ROWS($V$2:V632),$V$2:$V$1001,0),MATCH(COLUMNS($AC$1006:AN1006),$AC$1006:$AS$1006,0)), HYPERLINK("#",""), HYPERLINK(CONCATENATE("#metadata!", ADDRESS(INDEX($X$2:$X$1001,MATCH(ROWS($V$2:V632),$V$2:$V$1001,0),0), INDEX($AC$1004:$AS$1004,1,MATCH(COLUMNS($AC$1006:AN1006),$AC$1006:$AS$1006,0)))),"Fix")))</f>
        <v xml:space="preserve"> </v>
      </c>
      <c r="N632" s="4" t="str">
        <f ca="1">IF(OR(INDEX($W$2:$W$1001,MATCH(ROWS($V$2:V632),$V$2:$V$1001,0),1)&gt;=100000,INDEX($AC$1005:$AS$1005,1,MATCH(COLUMNS($AC$1006:AO1006),$AC$1006:$AS$1006,0))&gt;=100000), " ",IF(INDEX($AC$2:$AS$1001,MATCH(ROWS($V$2:V632),$V$2:$V$1001,0),MATCH(COLUMNS($AC$1006:AO1006),$AC$1006:$AS$1006,0)), HYPERLINK("#",""), HYPERLINK(CONCATENATE("#metadata!", ADDRESS(INDEX($X$2:$X$1001,MATCH(ROWS($V$2:V632),$V$2:$V$1001,0),0), INDEX($AC$1004:$AS$1004,1,MATCH(COLUMNS($AC$1006:AO1006),$AC$1006:$AS$1006,0)))),"Fix")))</f>
        <v xml:space="preserve"> </v>
      </c>
      <c r="O632" s="4" t="str">
        <f ca="1">IF(OR(INDEX($W$2:$W$1001,MATCH(ROWS($V$2:V632),$V$2:$V$1001,0),1)&gt;=100000,INDEX($AC$1005:$AS$1005,1,MATCH(COLUMNS($AC$1006:AP1006),$AC$1006:$AS$1006,0))&gt;=100000), " ",IF(INDEX($AC$2:$AS$1001,MATCH(ROWS($V$2:V632),$V$2:$V$1001,0),MATCH(COLUMNS($AC$1006:AP1006),$AC$1006:$AS$1006,0)), HYPERLINK("#",""), HYPERLINK(CONCATENATE("#metadata!", ADDRESS(INDEX($X$2:$X$1001,MATCH(ROWS($V$2:V632),$V$2:$V$1001,0),0), INDEX($AC$1004:$AS$1004,1,MATCH(COLUMNS($AC$1006:AP1006),$AC$1006:$AS$1006,0)))),"Fix")))</f>
        <v xml:space="preserve"> </v>
      </c>
      <c r="P632" s="4" t="str">
        <f ca="1">IF(OR(INDEX($W$2:$W$1001,MATCH(ROWS($V$2:V632),$V$2:$V$1001,0),1)&gt;=100000,INDEX($AC$1005:$AS$1005,1,MATCH(COLUMNS($AC$1006:AQ1006),$AC$1006:$AS$1006,0))&gt;=100000), " ",IF(INDEX($AC$2:$AS$1001,MATCH(ROWS($V$2:V632),$V$2:$V$1001,0),MATCH(COLUMNS($AC$1006:AQ1006),$AC$1006:$AS$1006,0)), HYPERLINK("#",""), HYPERLINK(CONCATENATE("#metadata!", ADDRESS(INDEX($X$2:$X$1001,MATCH(ROWS($V$2:V632),$V$2:$V$1001,0),0), INDEX($AC$1004:$AS$1004,1,MATCH(COLUMNS($AC$1006:AQ1006),$AC$1006:$AS$1006,0)))),"Fix")))</f>
        <v xml:space="preserve"> </v>
      </c>
      <c r="Q632" s="4" t="str">
        <f ca="1">IF(OR(INDEX($W$2:$W$1001,MATCH(ROWS($V$2:V632),$V$2:$V$1001,0),1)&gt;=100000,INDEX($AC$1005:$AS$1005,1,MATCH(COLUMNS($AC$1006:AR1006),$AC$1006:$AS$1006,0))&gt;=100000), " ",IF(INDEX($AC$2:$AS$1001,MATCH(ROWS($V$2:V632),$V$2:$V$1001,0),MATCH(COLUMNS($AC$1006:AR1006),$AC$1006:$AS$1006,0)), HYPERLINK("#",""), HYPERLINK(CONCATENATE("#metadata!", ADDRESS(INDEX($X$2:$X$1001,MATCH(ROWS($V$2:V632),$V$2:$V$1001,0),0), INDEX($AC$1004:$AS$1004,1,MATCH(COLUMNS($AC$1006:AR1006),$AC$1006:$AS$1006,0)))),"Fix")))</f>
        <v xml:space="preserve"> </v>
      </c>
      <c r="R632" s="4" t="str">
        <f ca="1">IF(OR(INDEX($W$2:$W$1001,MATCH(ROWS($V$2:V632),$V$2:$V$1001,0),1)&gt;=100000,INDEX($AC$1005:$AS$1005,1,MATCH(COLUMNS($AC$1006:AS1006),$AC$1006:$AS$1006,0))&gt;=100000), " ",IF(INDEX($AC$2:$AS$1001,MATCH(ROWS($V$2:V632),$V$2:$V$1001,0),MATCH(COLUMNS($AC$1006:AS1006),$AC$1006:$AS$1006,0)), HYPERLINK("#",""), HYPERLINK(CONCATENATE("#metadata!", ADDRESS(INDEX($X$2:$X$1001,MATCH(ROWS($V$2:V632),$V$2:$V$1001,0),0), INDEX($AC$1004:$AS$1004,1,MATCH(COLUMNS($AC$1006:AS1006),$AC$1006:$AS$1006,0)))),"Fix")))</f>
        <v xml:space="preserve"> </v>
      </c>
      <c r="V632">
        <v>631</v>
      </c>
      <c r="W632">
        <v>100632</v>
      </c>
      <c r="X632">
        <v>632</v>
      </c>
      <c r="Y632" t="b">
        <f t="shared" si="9"/>
        <v>1</v>
      </c>
      <c r="Z632" t="b">
        <f>COUNTBLANK(metadata!B632:R632)=COLUMNS(metadata!B632:R632)</f>
        <v>1</v>
      </c>
      <c r="AA632" t="str">
        <v/>
      </c>
      <c r="AC632" t="b">
        <f ca="1"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AD632" t="b">
        <f>IF(metadata!C632="",FALSE,ISNUMBER(VALUE(metadata!C632)))</f>
        <v>0</v>
      </c>
      <c r="AE632" t="b">
        <f>AND(IF(metadata!D632="",FALSE,TRUE),EXACT(metadata!D632,"years"))</f>
        <v>0</v>
      </c>
      <c r="AF632" t="b">
        <f>OR(AND(IF(metadata!E632="",FALSE,TRUE),OR(EXACT(metadata!E632,"not applicable"),EXACT(metadata!E632,"missing: not collected"),EXACT(metadata!E632,"missing: not provided"),EXACT(metadata!E632,"missing: restricted access"))),AND(IF(metadata!E632="",FALSE,ISNUMBER(VALUE(metadata!E632))),metadata!E632&gt;0))</f>
        <v>0</v>
      </c>
      <c r="AG632" t="b">
        <f>AND(IF(metadata!F632="",FALSE,TRUE),EXACT(metadata!F632,"Not applicable"))</f>
        <v>0</v>
      </c>
      <c r="AH632" t="b">
        <f>AND(IF(metadata!G632="",FALSE,TRUE),EXACT(metadata!G632,"urban biome"))</f>
        <v>0</v>
      </c>
      <c r="AI632" t="b">
        <f>AND(IF(metadata!H632="",FALSE,TRUE),EXACT(metadata!H632,"human-associated habitat"))</f>
        <v>0</v>
      </c>
      <c r="AJ632" t="b">
        <f>AND(IF(metadata!I632="",FALSE,TRUE),OR(EXACT(metadata!I632,"human-associated"),EXACT(metadata!I632,"human-skin"),EXACT(metadata!I632,"human-oral"),EXACT(metadata!I632,"human-gut"),EXACT(metadata!I632,"human-vaginal")))</f>
        <v>0</v>
      </c>
      <c r="AK632" t="b">
        <f>IF(metadata!J632="",FALSE,ISNUMBER(VALUE(metadata!J632)))</f>
        <v>0</v>
      </c>
      <c r="AL632" t="b">
        <f>AND(IF(metadata!K632="",FALSE,TRUE),EXACT(metadata!K632,"cm"))</f>
        <v>0</v>
      </c>
      <c r="AM632" t="b">
        <f>AND(IF(metadata!L632="",FALSE,TRUE),EXACT(metadata!L632,"human"))</f>
        <v>0</v>
      </c>
      <c r="AN632" t="b">
        <f>AND(IF(metadata!M632="",FALSE,TRUE),EXACT(metadata!M632,"Homo sapiens"))</f>
        <v>0</v>
      </c>
      <c r="AO632" t="b">
        <f>AND(IF(metadata!N632="",FALSE,TRUE),EXACT(metadata!N632,"9606"))</f>
        <v>0</v>
      </c>
      <c r="AP632" t="b">
        <f>IF(metadata!O632="",FALSE,TRUE)</f>
        <v>0</v>
      </c>
      <c r="AQ632" t="b">
        <f>IF(metadata!P632="",FALSE,TRUE)</f>
        <v>0</v>
      </c>
      <c r="AR632" t="b">
        <f>IF(metadata!Q632="",FALSE,ISNUMBER(VALUE(metadata!Q632)))</f>
        <v>0</v>
      </c>
      <c r="AS632" t="b">
        <f>AND(IF(metadata!R632="",FALSE,TRUE),EXACT(metadata!R632,"kg"))</f>
        <v>0</v>
      </c>
    </row>
    <row r="633" spans="1:45" x14ac:dyDescent="0.2">
      <c r="A633" s="5" t="str">
        <f ca="1">IF(B633=" "," ",HYPERLINK(CONCATENATE("#metadata!",ADDRESS(INDEX($X$2:$X$1001,MATCH(ROWS($V$2:V633),$V$2:$V$1001,0),0),1)),INDEX($AA$2:$AA$1001,MATCH(ROWS($V$2:V633),$V$2:$V$1001,0),0)))</f>
        <v xml:space="preserve"> </v>
      </c>
      <c r="B633" s="4" t="str">
        <f ca="1">IF(OR(INDEX($W$2:$W$1001,MATCH(ROWS($V$2:V633),$V$2:$V$1001,0),1)&gt;=100000,INDEX($AC$1005:$AS$1005,1,MATCH(COLUMNS($AC$1006:AC1006),$AC$1006:$AS$1006,0))&gt;=100000), " ",IF(INDEX($AC$2:$AS$1001,MATCH(ROWS($V$2:V633),$V$2:$V$1001,0),MATCH(COLUMNS($AC$1006:AC1006),$AC$1006:$AS$1006,0)), HYPERLINK("#",""), HYPERLINK(CONCATENATE("#metadata!", ADDRESS(INDEX($X$2:$X$1001,MATCH(ROWS($V$2:V633),$V$2:$V$1001,0),0), INDEX($AC$1004:$AS$1004,1,MATCH(COLUMNS($AC$1006:AC1006),$AC$1006:$AS$1006,0)))),"Fix")))</f>
        <v xml:space="preserve"> </v>
      </c>
      <c r="C633" s="4" t="str">
        <f ca="1">IF(OR(INDEX($W$2:$W$1001,MATCH(ROWS($V$2:V633),$V$2:$V$1001,0),1)&gt;=100000,INDEX($AC$1005:$AS$1005,1,MATCH(COLUMNS($AC$1006:AD1006),$AC$1006:$AS$1006,0))&gt;=100000), " ",IF(INDEX($AC$2:$AS$1001,MATCH(ROWS($V$2:V633),$V$2:$V$1001,0),MATCH(COLUMNS($AC$1006:AD1006),$AC$1006:$AS$1006,0)), HYPERLINK("#",""), HYPERLINK(CONCATENATE("#metadata!", ADDRESS(INDEX($X$2:$X$1001,MATCH(ROWS($V$2:V633),$V$2:$V$1001,0),0), INDEX($AC$1004:$AS$1004,1,MATCH(COLUMNS($AC$1006:AD1006),$AC$1006:$AS$1006,0)))),"Fix")))</f>
        <v xml:space="preserve"> </v>
      </c>
      <c r="D633" s="4" t="str">
        <f ca="1">IF(OR(INDEX($W$2:$W$1001,MATCH(ROWS($V$2:V633),$V$2:$V$1001,0),1)&gt;=100000,INDEX($AC$1005:$AS$1005,1,MATCH(COLUMNS($AC$1006:AE1006),$AC$1006:$AS$1006,0))&gt;=100000), " ",IF(INDEX($AC$2:$AS$1001,MATCH(ROWS($V$2:V633),$V$2:$V$1001,0),MATCH(COLUMNS($AC$1006:AE1006),$AC$1006:$AS$1006,0)), HYPERLINK("#",""), HYPERLINK(CONCATENATE("#metadata!", ADDRESS(INDEX($X$2:$X$1001,MATCH(ROWS($V$2:V633),$V$2:$V$1001,0),0), INDEX($AC$1004:$AS$1004,1,MATCH(COLUMNS($AC$1006:AE1006),$AC$1006:$AS$1006,0)))),"Fix")))</f>
        <v xml:space="preserve"> </v>
      </c>
      <c r="E633" s="4" t="str">
        <f ca="1">IF(OR(INDEX($W$2:$W$1001,MATCH(ROWS($V$2:V633),$V$2:$V$1001,0),1)&gt;=100000,INDEX($AC$1005:$AS$1005,1,MATCH(COLUMNS($AC$1006:AF1006),$AC$1006:$AS$1006,0))&gt;=100000), " ",IF(INDEX($AC$2:$AS$1001,MATCH(ROWS($V$2:V633),$V$2:$V$1001,0),MATCH(COLUMNS($AC$1006:AF1006),$AC$1006:$AS$1006,0)), HYPERLINK("#",""), HYPERLINK(CONCATENATE("#metadata!", ADDRESS(INDEX($X$2:$X$1001,MATCH(ROWS($V$2:V633),$V$2:$V$1001,0),0), INDEX($AC$1004:$AS$1004,1,MATCH(COLUMNS($AC$1006:AF1006),$AC$1006:$AS$1006,0)))),"Fix")))</f>
        <v xml:space="preserve"> </v>
      </c>
      <c r="F633" s="4" t="str">
        <f ca="1">IF(OR(INDEX($W$2:$W$1001,MATCH(ROWS($V$2:V633),$V$2:$V$1001,0),1)&gt;=100000,INDEX($AC$1005:$AS$1005,1,MATCH(COLUMNS($AC$1006:AG1006),$AC$1006:$AS$1006,0))&gt;=100000), " ",IF(INDEX($AC$2:$AS$1001,MATCH(ROWS($V$2:V633),$V$2:$V$1001,0),MATCH(COLUMNS($AC$1006:AG1006),$AC$1006:$AS$1006,0)), HYPERLINK("#",""), HYPERLINK(CONCATENATE("#metadata!", ADDRESS(INDEX($X$2:$X$1001,MATCH(ROWS($V$2:V633),$V$2:$V$1001,0),0), INDEX($AC$1004:$AS$1004,1,MATCH(COLUMNS($AC$1006:AG1006),$AC$1006:$AS$1006,0)))),"Fix")))</f>
        <v xml:space="preserve"> </v>
      </c>
      <c r="G633" s="4" t="str">
        <f ca="1">IF(OR(INDEX($W$2:$W$1001,MATCH(ROWS($V$2:V633),$V$2:$V$1001,0),1)&gt;=100000,INDEX($AC$1005:$AS$1005,1,MATCH(COLUMNS($AC$1006:AH1006),$AC$1006:$AS$1006,0))&gt;=100000), " ",IF(INDEX($AC$2:$AS$1001,MATCH(ROWS($V$2:V633),$V$2:$V$1001,0),MATCH(COLUMNS($AC$1006:AH1006),$AC$1006:$AS$1006,0)), HYPERLINK("#",""), HYPERLINK(CONCATENATE("#metadata!", ADDRESS(INDEX($X$2:$X$1001,MATCH(ROWS($V$2:V633),$V$2:$V$1001,0),0), INDEX($AC$1004:$AS$1004,1,MATCH(COLUMNS($AC$1006:AH1006),$AC$1006:$AS$1006,0)))),"Fix")))</f>
        <v xml:space="preserve"> </v>
      </c>
      <c r="H633" s="4" t="str">
        <f ca="1">IF(OR(INDEX($W$2:$W$1001,MATCH(ROWS($V$2:V633),$V$2:$V$1001,0),1)&gt;=100000,INDEX($AC$1005:$AS$1005,1,MATCH(COLUMNS($AC$1006:AI1006),$AC$1006:$AS$1006,0))&gt;=100000), " ",IF(INDEX($AC$2:$AS$1001,MATCH(ROWS($V$2:V633),$V$2:$V$1001,0),MATCH(COLUMNS($AC$1006:AI1006),$AC$1006:$AS$1006,0)), HYPERLINK("#",""), HYPERLINK(CONCATENATE("#metadata!", ADDRESS(INDEX($X$2:$X$1001,MATCH(ROWS($V$2:V633),$V$2:$V$1001,0),0), INDEX($AC$1004:$AS$1004,1,MATCH(COLUMNS($AC$1006:AI1006),$AC$1006:$AS$1006,0)))),"Fix")))</f>
        <v xml:space="preserve"> </v>
      </c>
      <c r="I633" s="4" t="str">
        <f ca="1">IF(OR(INDEX($W$2:$W$1001,MATCH(ROWS($V$2:V633),$V$2:$V$1001,0),1)&gt;=100000,INDEX($AC$1005:$AS$1005,1,MATCH(COLUMNS($AC$1006:AJ1006),$AC$1006:$AS$1006,0))&gt;=100000), " ",IF(INDEX($AC$2:$AS$1001,MATCH(ROWS($V$2:V633),$V$2:$V$1001,0),MATCH(COLUMNS($AC$1006:AJ1006),$AC$1006:$AS$1006,0)), HYPERLINK("#",""), HYPERLINK(CONCATENATE("#metadata!", ADDRESS(INDEX($X$2:$X$1001,MATCH(ROWS($V$2:V633),$V$2:$V$1001,0),0), INDEX($AC$1004:$AS$1004,1,MATCH(COLUMNS($AC$1006:AJ1006),$AC$1006:$AS$1006,0)))),"Fix")))</f>
        <v xml:space="preserve"> </v>
      </c>
      <c r="J633" s="4" t="str">
        <f ca="1">IF(OR(INDEX($W$2:$W$1001,MATCH(ROWS($V$2:V633),$V$2:$V$1001,0),1)&gt;=100000,INDEX($AC$1005:$AS$1005,1,MATCH(COLUMNS($AC$1006:AK1006),$AC$1006:$AS$1006,0))&gt;=100000), " ",IF(INDEX($AC$2:$AS$1001,MATCH(ROWS($V$2:V633),$V$2:$V$1001,0),MATCH(COLUMNS($AC$1006:AK1006),$AC$1006:$AS$1006,0)), HYPERLINK("#",""), HYPERLINK(CONCATENATE("#metadata!", ADDRESS(INDEX($X$2:$X$1001,MATCH(ROWS($V$2:V633),$V$2:$V$1001,0),0), INDEX($AC$1004:$AS$1004,1,MATCH(COLUMNS($AC$1006:AK1006),$AC$1006:$AS$1006,0)))),"Fix")))</f>
        <v xml:space="preserve"> </v>
      </c>
      <c r="K633" s="4" t="str">
        <f ca="1">IF(OR(INDEX($W$2:$W$1001,MATCH(ROWS($V$2:V633),$V$2:$V$1001,0),1)&gt;=100000,INDEX($AC$1005:$AS$1005,1,MATCH(COLUMNS($AC$1006:AL1006),$AC$1006:$AS$1006,0))&gt;=100000), " ",IF(INDEX($AC$2:$AS$1001,MATCH(ROWS($V$2:V633),$V$2:$V$1001,0),MATCH(COLUMNS($AC$1006:AL1006),$AC$1006:$AS$1006,0)), HYPERLINK("#",""), HYPERLINK(CONCATENATE("#metadata!", ADDRESS(INDEX($X$2:$X$1001,MATCH(ROWS($V$2:V633),$V$2:$V$1001,0),0), INDEX($AC$1004:$AS$1004,1,MATCH(COLUMNS($AC$1006:AL1006),$AC$1006:$AS$1006,0)))),"Fix")))</f>
        <v xml:space="preserve"> </v>
      </c>
      <c r="L633" s="4" t="str">
        <f ca="1">IF(OR(INDEX($W$2:$W$1001,MATCH(ROWS($V$2:V633),$V$2:$V$1001,0),1)&gt;=100000,INDEX($AC$1005:$AS$1005,1,MATCH(COLUMNS($AC$1006:AM1006),$AC$1006:$AS$1006,0))&gt;=100000), " ",IF(INDEX($AC$2:$AS$1001,MATCH(ROWS($V$2:V633),$V$2:$V$1001,0),MATCH(COLUMNS($AC$1006:AM1006),$AC$1006:$AS$1006,0)), HYPERLINK("#",""), HYPERLINK(CONCATENATE("#metadata!", ADDRESS(INDEX($X$2:$X$1001,MATCH(ROWS($V$2:V633),$V$2:$V$1001,0),0), INDEX($AC$1004:$AS$1004,1,MATCH(COLUMNS($AC$1006:AM1006),$AC$1006:$AS$1006,0)))),"Fix")))</f>
        <v xml:space="preserve"> </v>
      </c>
      <c r="M633" s="4" t="str">
        <f ca="1">IF(OR(INDEX($W$2:$W$1001,MATCH(ROWS($V$2:V633),$V$2:$V$1001,0),1)&gt;=100000,INDEX($AC$1005:$AS$1005,1,MATCH(COLUMNS($AC$1006:AN1006),$AC$1006:$AS$1006,0))&gt;=100000), " ",IF(INDEX($AC$2:$AS$1001,MATCH(ROWS($V$2:V633),$V$2:$V$1001,0),MATCH(COLUMNS($AC$1006:AN1006),$AC$1006:$AS$1006,0)), HYPERLINK("#",""), HYPERLINK(CONCATENATE("#metadata!", ADDRESS(INDEX($X$2:$X$1001,MATCH(ROWS($V$2:V633),$V$2:$V$1001,0),0), INDEX($AC$1004:$AS$1004,1,MATCH(COLUMNS($AC$1006:AN1006),$AC$1006:$AS$1006,0)))),"Fix")))</f>
        <v xml:space="preserve"> </v>
      </c>
      <c r="N633" s="4" t="str">
        <f ca="1">IF(OR(INDEX($W$2:$W$1001,MATCH(ROWS($V$2:V633),$V$2:$V$1001,0),1)&gt;=100000,INDEX($AC$1005:$AS$1005,1,MATCH(COLUMNS($AC$1006:AO1006),$AC$1006:$AS$1006,0))&gt;=100000), " ",IF(INDEX($AC$2:$AS$1001,MATCH(ROWS($V$2:V633),$V$2:$V$1001,0),MATCH(COLUMNS($AC$1006:AO1006),$AC$1006:$AS$1006,0)), HYPERLINK("#",""), HYPERLINK(CONCATENATE("#metadata!", ADDRESS(INDEX($X$2:$X$1001,MATCH(ROWS($V$2:V633),$V$2:$V$1001,0),0), INDEX($AC$1004:$AS$1004,1,MATCH(COLUMNS($AC$1006:AO1006),$AC$1006:$AS$1006,0)))),"Fix")))</f>
        <v xml:space="preserve"> </v>
      </c>
      <c r="O633" s="4" t="str">
        <f ca="1">IF(OR(INDEX($W$2:$W$1001,MATCH(ROWS($V$2:V633),$V$2:$V$1001,0),1)&gt;=100000,INDEX($AC$1005:$AS$1005,1,MATCH(COLUMNS($AC$1006:AP1006),$AC$1006:$AS$1006,0))&gt;=100000), " ",IF(INDEX($AC$2:$AS$1001,MATCH(ROWS($V$2:V633),$V$2:$V$1001,0),MATCH(COLUMNS($AC$1006:AP1006),$AC$1006:$AS$1006,0)), HYPERLINK("#",""), HYPERLINK(CONCATENATE("#metadata!", ADDRESS(INDEX($X$2:$X$1001,MATCH(ROWS($V$2:V633),$V$2:$V$1001,0),0), INDEX($AC$1004:$AS$1004,1,MATCH(COLUMNS($AC$1006:AP1006),$AC$1006:$AS$1006,0)))),"Fix")))</f>
        <v xml:space="preserve"> </v>
      </c>
      <c r="P633" s="4" t="str">
        <f ca="1">IF(OR(INDEX($W$2:$W$1001,MATCH(ROWS($V$2:V633),$V$2:$V$1001,0),1)&gt;=100000,INDEX($AC$1005:$AS$1005,1,MATCH(COLUMNS($AC$1006:AQ1006),$AC$1006:$AS$1006,0))&gt;=100000), " ",IF(INDEX($AC$2:$AS$1001,MATCH(ROWS($V$2:V633),$V$2:$V$1001,0),MATCH(COLUMNS($AC$1006:AQ1006),$AC$1006:$AS$1006,0)), HYPERLINK("#",""), HYPERLINK(CONCATENATE("#metadata!", ADDRESS(INDEX($X$2:$X$1001,MATCH(ROWS($V$2:V633),$V$2:$V$1001,0),0), INDEX($AC$1004:$AS$1004,1,MATCH(COLUMNS($AC$1006:AQ1006),$AC$1006:$AS$1006,0)))),"Fix")))</f>
        <v xml:space="preserve"> </v>
      </c>
      <c r="Q633" s="4" t="str">
        <f ca="1">IF(OR(INDEX($W$2:$W$1001,MATCH(ROWS($V$2:V633),$V$2:$V$1001,0),1)&gt;=100000,INDEX($AC$1005:$AS$1005,1,MATCH(COLUMNS($AC$1006:AR1006),$AC$1006:$AS$1006,0))&gt;=100000), " ",IF(INDEX($AC$2:$AS$1001,MATCH(ROWS($V$2:V633),$V$2:$V$1001,0),MATCH(COLUMNS($AC$1006:AR1006),$AC$1006:$AS$1006,0)), HYPERLINK("#",""), HYPERLINK(CONCATENATE("#metadata!", ADDRESS(INDEX($X$2:$X$1001,MATCH(ROWS($V$2:V633),$V$2:$V$1001,0),0), INDEX($AC$1004:$AS$1004,1,MATCH(COLUMNS($AC$1006:AR1006),$AC$1006:$AS$1006,0)))),"Fix")))</f>
        <v xml:space="preserve"> </v>
      </c>
      <c r="R633" s="4" t="str">
        <f ca="1">IF(OR(INDEX($W$2:$W$1001,MATCH(ROWS($V$2:V633),$V$2:$V$1001,0),1)&gt;=100000,INDEX($AC$1005:$AS$1005,1,MATCH(COLUMNS($AC$1006:AS1006),$AC$1006:$AS$1006,0))&gt;=100000), " ",IF(INDEX($AC$2:$AS$1001,MATCH(ROWS($V$2:V633),$V$2:$V$1001,0),MATCH(COLUMNS($AC$1006:AS1006),$AC$1006:$AS$1006,0)), HYPERLINK("#",""), HYPERLINK(CONCATENATE("#metadata!", ADDRESS(INDEX($X$2:$X$1001,MATCH(ROWS($V$2:V633),$V$2:$V$1001,0),0), INDEX($AC$1004:$AS$1004,1,MATCH(COLUMNS($AC$1006:AS1006),$AC$1006:$AS$1006,0)))),"Fix")))</f>
        <v xml:space="preserve"> </v>
      </c>
      <c r="V633">
        <v>632</v>
      </c>
      <c r="W633">
        <v>100633</v>
      </c>
      <c r="X633">
        <v>633</v>
      </c>
      <c r="Y633" t="b">
        <f t="shared" si="9"/>
        <v>1</v>
      </c>
      <c r="Z633" t="b">
        <f>COUNTBLANK(metadata!B633:R633)=COLUMNS(metadata!B633:R633)</f>
        <v>1</v>
      </c>
      <c r="AA633" t="str">
        <v/>
      </c>
      <c r="AC633" t="b">
        <f ca="1"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AD633" t="b">
        <f>IF(metadata!C633="",FALSE,ISNUMBER(VALUE(metadata!C633)))</f>
        <v>0</v>
      </c>
      <c r="AE633" t="b">
        <f>AND(IF(metadata!D633="",FALSE,TRUE),EXACT(metadata!D633,"years"))</f>
        <v>0</v>
      </c>
      <c r="AF633" t="b">
        <f>OR(AND(IF(metadata!E633="",FALSE,TRUE),OR(EXACT(metadata!E633,"not applicable"),EXACT(metadata!E633,"missing: not collected"),EXACT(metadata!E633,"missing: not provided"),EXACT(metadata!E633,"missing: restricted access"))),AND(IF(metadata!E633="",FALSE,ISNUMBER(VALUE(metadata!E633))),metadata!E633&gt;0))</f>
        <v>0</v>
      </c>
      <c r="AG633" t="b">
        <f>AND(IF(metadata!F633="",FALSE,TRUE),EXACT(metadata!F633,"Not applicable"))</f>
        <v>0</v>
      </c>
      <c r="AH633" t="b">
        <f>AND(IF(metadata!G633="",FALSE,TRUE),EXACT(metadata!G633,"urban biome"))</f>
        <v>0</v>
      </c>
      <c r="AI633" t="b">
        <f>AND(IF(metadata!H633="",FALSE,TRUE),EXACT(metadata!H633,"human-associated habitat"))</f>
        <v>0</v>
      </c>
      <c r="AJ633" t="b">
        <f>AND(IF(metadata!I633="",FALSE,TRUE),OR(EXACT(metadata!I633,"human-associated"),EXACT(metadata!I633,"human-skin"),EXACT(metadata!I633,"human-oral"),EXACT(metadata!I633,"human-gut"),EXACT(metadata!I633,"human-vaginal")))</f>
        <v>0</v>
      </c>
      <c r="AK633" t="b">
        <f>IF(metadata!J633="",FALSE,ISNUMBER(VALUE(metadata!J633)))</f>
        <v>0</v>
      </c>
      <c r="AL633" t="b">
        <f>AND(IF(metadata!K633="",FALSE,TRUE),EXACT(metadata!K633,"cm"))</f>
        <v>0</v>
      </c>
      <c r="AM633" t="b">
        <f>AND(IF(metadata!L633="",FALSE,TRUE),EXACT(metadata!L633,"human"))</f>
        <v>0</v>
      </c>
      <c r="AN633" t="b">
        <f>AND(IF(metadata!M633="",FALSE,TRUE),EXACT(metadata!M633,"Homo sapiens"))</f>
        <v>0</v>
      </c>
      <c r="AO633" t="b">
        <f>AND(IF(metadata!N633="",FALSE,TRUE),EXACT(metadata!N633,"9606"))</f>
        <v>0</v>
      </c>
      <c r="AP633" t="b">
        <f>IF(metadata!O633="",FALSE,TRUE)</f>
        <v>0</v>
      </c>
      <c r="AQ633" t="b">
        <f>IF(metadata!P633="",FALSE,TRUE)</f>
        <v>0</v>
      </c>
      <c r="AR633" t="b">
        <f>IF(metadata!Q633="",FALSE,ISNUMBER(VALUE(metadata!Q633)))</f>
        <v>0</v>
      </c>
      <c r="AS633" t="b">
        <f>AND(IF(metadata!R633="",FALSE,TRUE),EXACT(metadata!R633,"kg"))</f>
        <v>0</v>
      </c>
    </row>
    <row r="634" spans="1:45" x14ac:dyDescent="0.2">
      <c r="A634" s="5" t="str">
        <f ca="1">IF(B634=" "," ",HYPERLINK(CONCATENATE("#metadata!",ADDRESS(INDEX($X$2:$X$1001,MATCH(ROWS($V$2:V634),$V$2:$V$1001,0),0),1)),INDEX($AA$2:$AA$1001,MATCH(ROWS($V$2:V634),$V$2:$V$1001,0),0)))</f>
        <v xml:space="preserve"> </v>
      </c>
      <c r="B634" s="4" t="str">
        <f ca="1">IF(OR(INDEX($W$2:$W$1001,MATCH(ROWS($V$2:V634),$V$2:$V$1001,0),1)&gt;=100000,INDEX($AC$1005:$AS$1005,1,MATCH(COLUMNS($AC$1006:AC1006),$AC$1006:$AS$1006,0))&gt;=100000), " ",IF(INDEX($AC$2:$AS$1001,MATCH(ROWS($V$2:V634),$V$2:$V$1001,0),MATCH(COLUMNS($AC$1006:AC1006),$AC$1006:$AS$1006,0)), HYPERLINK("#",""), HYPERLINK(CONCATENATE("#metadata!", ADDRESS(INDEX($X$2:$X$1001,MATCH(ROWS($V$2:V634),$V$2:$V$1001,0),0), INDEX($AC$1004:$AS$1004,1,MATCH(COLUMNS($AC$1006:AC1006),$AC$1006:$AS$1006,0)))),"Fix")))</f>
        <v xml:space="preserve"> </v>
      </c>
      <c r="C634" s="4" t="str">
        <f ca="1">IF(OR(INDEX($W$2:$W$1001,MATCH(ROWS($V$2:V634),$V$2:$V$1001,0),1)&gt;=100000,INDEX($AC$1005:$AS$1005,1,MATCH(COLUMNS($AC$1006:AD1006),$AC$1006:$AS$1006,0))&gt;=100000), " ",IF(INDEX($AC$2:$AS$1001,MATCH(ROWS($V$2:V634),$V$2:$V$1001,0),MATCH(COLUMNS($AC$1006:AD1006),$AC$1006:$AS$1006,0)), HYPERLINK("#",""), HYPERLINK(CONCATENATE("#metadata!", ADDRESS(INDEX($X$2:$X$1001,MATCH(ROWS($V$2:V634),$V$2:$V$1001,0),0), INDEX($AC$1004:$AS$1004,1,MATCH(COLUMNS($AC$1006:AD1006),$AC$1006:$AS$1006,0)))),"Fix")))</f>
        <v xml:space="preserve"> </v>
      </c>
      <c r="D634" s="4" t="str">
        <f ca="1">IF(OR(INDEX($W$2:$W$1001,MATCH(ROWS($V$2:V634),$V$2:$V$1001,0),1)&gt;=100000,INDEX($AC$1005:$AS$1005,1,MATCH(COLUMNS($AC$1006:AE1006),$AC$1006:$AS$1006,0))&gt;=100000), " ",IF(INDEX($AC$2:$AS$1001,MATCH(ROWS($V$2:V634),$V$2:$V$1001,0),MATCH(COLUMNS($AC$1006:AE1006),$AC$1006:$AS$1006,0)), HYPERLINK("#",""), HYPERLINK(CONCATENATE("#metadata!", ADDRESS(INDEX($X$2:$X$1001,MATCH(ROWS($V$2:V634),$V$2:$V$1001,0),0), INDEX($AC$1004:$AS$1004,1,MATCH(COLUMNS($AC$1006:AE1006),$AC$1006:$AS$1006,0)))),"Fix")))</f>
        <v xml:space="preserve"> </v>
      </c>
      <c r="E634" s="4" t="str">
        <f ca="1">IF(OR(INDEX($W$2:$W$1001,MATCH(ROWS($V$2:V634),$V$2:$V$1001,0),1)&gt;=100000,INDEX($AC$1005:$AS$1005,1,MATCH(COLUMNS($AC$1006:AF1006),$AC$1006:$AS$1006,0))&gt;=100000), " ",IF(INDEX($AC$2:$AS$1001,MATCH(ROWS($V$2:V634),$V$2:$V$1001,0),MATCH(COLUMNS($AC$1006:AF1006),$AC$1006:$AS$1006,0)), HYPERLINK("#",""), HYPERLINK(CONCATENATE("#metadata!", ADDRESS(INDEX($X$2:$X$1001,MATCH(ROWS($V$2:V634),$V$2:$V$1001,0),0), INDEX($AC$1004:$AS$1004,1,MATCH(COLUMNS($AC$1006:AF1006),$AC$1006:$AS$1006,0)))),"Fix")))</f>
        <v xml:space="preserve"> </v>
      </c>
      <c r="F634" s="4" t="str">
        <f ca="1">IF(OR(INDEX($W$2:$W$1001,MATCH(ROWS($V$2:V634),$V$2:$V$1001,0),1)&gt;=100000,INDEX($AC$1005:$AS$1005,1,MATCH(COLUMNS($AC$1006:AG1006),$AC$1006:$AS$1006,0))&gt;=100000), " ",IF(INDEX($AC$2:$AS$1001,MATCH(ROWS($V$2:V634),$V$2:$V$1001,0),MATCH(COLUMNS($AC$1006:AG1006),$AC$1006:$AS$1006,0)), HYPERLINK("#",""), HYPERLINK(CONCATENATE("#metadata!", ADDRESS(INDEX($X$2:$X$1001,MATCH(ROWS($V$2:V634),$V$2:$V$1001,0),0), INDEX($AC$1004:$AS$1004,1,MATCH(COLUMNS($AC$1006:AG1006),$AC$1006:$AS$1006,0)))),"Fix")))</f>
        <v xml:space="preserve"> </v>
      </c>
      <c r="G634" s="4" t="str">
        <f ca="1">IF(OR(INDEX($W$2:$W$1001,MATCH(ROWS($V$2:V634),$V$2:$V$1001,0),1)&gt;=100000,INDEX($AC$1005:$AS$1005,1,MATCH(COLUMNS($AC$1006:AH1006),$AC$1006:$AS$1006,0))&gt;=100000), " ",IF(INDEX($AC$2:$AS$1001,MATCH(ROWS($V$2:V634),$V$2:$V$1001,0),MATCH(COLUMNS($AC$1006:AH1006),$AC$1006:$AS$1006,0)), HYPERLINK("#",""), HYPERLINK(CONCATENATE("#metadata!", ADDRESS(INDEX($X$2:$X$1001,MATCH(ROWS($V$2:V634),$V$2:$V$1001,0),0), INDEX($AC$1004:$AS$1004,1,MATCH(COLUMNS($AC$1006:AH1006),$AC$1006:$AS$1006,0)))),"Fix")))</f>
        <v xml:space="preserve"> </v>
      </c>
      <c r="H634" s="4" t="str">
        <f ca="1">IF(OR(INDEX($W$2:$W$1001,MATCH(ROWS($V$2:V634),$V$2:$V$1001,0),1)&gt;=100000,INDEX($AC$1005:$AS$1005,1,MATCH(COLUMNS($AC$1006:AI1006),$AC$1006:$AS$1006,0))&gt;=100000), " ",IF(INDEX($AC$2:$AS$1001,MATCH(ROWS($V$2:V634),$V$2:$V$1001,0),MATCH(COLUMNS($AC$1006:AI1006),$AC$1006:$AS$1006,0)), HYPERLINK("#",""), HYPERLINK(CONCATENATE("#metadata!", ADDRESS(INDEX($X$2:$X$1001,MATCH(ROWS($V$2:V634),$V$2:$V$1001,0),0), INDEX($AC$1004:$AS$1004,1,MATCH(COLUMNS($AC$1006:AI1006),$AC$1006:$AS$1006,0)))),"Fix")))</f>
        <v xml:space="preserve"> </v>
      </c>
      <c r="I634" s="4" t="str">
        <f ca="1">IF(OR(INDEX($W$2:$W$1001,MATCH(ROWS($V$2:V634),$V$2:$V$1001,0),1)&gt;=100000,INDEX($AC$1005:$AS$1005,1,MATCH(COLUMNS($AC$1006:AJ1006),$AC$1006:$AS$1006,0))&gt;=100000), " ",IF(INDEX($AC$2:$AS$1001,MATCH(ROWS($V$2:V634),$V$2:$V$1001,0),MATCH(COLUMNS($AC$1006:AJ1006),$AC$1006:$AS$1006,0)), HYPERLINK("#",""), HYPERLINK(CONCATENATE("#metadata!", ADDRESS(INDEX($X$2:$X$1001,MATCH(ROWS($V$2:V634),$V$2:$V$1001,0),0), INDEX($AC$1004:$AS$1004,1,MATCH(COLUMNS($AC$1006:AJ1006),$AC$1006:$AS$1006,0)))),"Fix")))</f>
        <v xml:space="preserve"> </v>
      </c>
      <c r="J634" s="4" t="str">
        <f ca="1">IF(OR(INDEX($W$2:$W$1001,MATCH(ROWS($V$2:V634),$V$2:$V$1001,0),1)&gt;=100000,INDEX($AC$1005:$AS$1005,1,MATCH(COLUMNS($AC$1006:AK1006),$AC$1006:$AS$1006,0))&gt;=100000), " ",IF(INDEX($AC$2:$AS$1001,MATCH(ROWS($V$2:V634),$V$2:$V$1001,0),MATCH(COLUMNS($AC$1006:AK1006),$AC$1006:$AS$1006,0)), HYPERLINK("#",""), HYPERLINK(CONCATENATE("#metadata!", ADDRESS(INDEX($X$2:$X$1001,MATCH(ROWS($V$2:V634),$V$2:$V$1001,0),0), INDEX($AC$1004:$AS$1004,1,MATCH(COLUMNS($AC$1006:AK1006),$AC$1006:$AS$1006,0)))),"Fix")))</f>
        <v xml:space="preserve"> </v>
      </c>
      <c r="K634" s="4" t="str">
        <f ca="1">IF(OR(INDEX($W$2:$W$1001,MATCH(ROWS($V$2:V634),$V$2:$V$1001,0),1)&gt;=100000,INDEX($AC$1005:$AS$1005,1,MATCH(COLUMNS($AC$1006:AL1006),$AC$1006:$AS$1006,0))&gt;=100000), " ",IF(INDEX($AC$2:$AS$1001,MATCH(ROWS($V$2:V634),$V$2:$V$1001,0),MATCH(COLUMNS($AC$1006:AL1006),$AC$1006:$AS$1006,0)), HYPERLINK("#",""), HYPERLINK(CONCATENATE("#metadata!", ADDRESS(INDEX($X$2:$X$1001,MATCH(ROWS($V$2:V634),$V$2:$V$1001,0),0), INDEX($AC$1004:$AS$1004,1,MATCH(COLUMNS($AC$1006:AL1006),$AC$1006:$AS$1006,0)))),"Fix")))</f>
        <v xml:space="preserve"> </v>
      </c>
      <c r="L634" s="4" t="str">
        <f ca="1">IF(OR(INDEX($W$2:$W$1001,MATCH(ROWS($V$2:V634),$V$2:$V$1001,0),1)&gt;=100000,INDEX($AC$1005:$AS$1005,1,MATCH(COLUMNS($AC$1006:AM1006),$AC$1006:$AS$1006,0))&gt;=100000), " ",IF(INDEX($AC$2:$AS$1001,MATCH(ROWS($V$2:V634),$V$2:$V$1001,0),MATCH(COLUMNS($AC$1006:AM1006),$AC$1006:$AS$1006,0)), HYPERLINK("#",""), HYPERLINK(CONCATENATE("#metadata!", ADDRESS(INDEX($X$2:$X$1001,MATCH(ROWS($V$2:V634),$V$2:$V$1001,0),0), INDEX($AC$1004:$AS$1004,1,MATCH(COLUMNS($AC$1006:AM1006),$AC$1006:$AS$1006,0)))),"Fix")))</f>
        <v xml:space="preserve"> </v>
      </c>
      <c r="M634" s="4" t="str">
        <f ca="1">IF(OR(INDEX($W$2:$W$1001,MATCH(ROWS($V$2:V634),$V$2:$V$1001,0),1)&gt;=100000,INDEX($AC$1005:$AS$1005,1,MATCH(COLUMNS($AC$1006:AN1006),$AC$1006:$AS$1006,0))&gt;=100000), " ",IF(INDEX($AC$2:$AS$1001,MATCH(ROWS($V$2:V634),$V$2:$V$1001,0),MATCH(COLUMNS($AC$1006:AN1006),$AC$1006:$AS$1006,0)), HYPERLINK("#",""), HYPERLINK(CONCATENATE("#metadata!", ADDRESS(INDEX($X$2:$X$1001,MATCH(ROWS($V$2:V634),$V$2:$V$1001,0),0), INDEX($AC$1004:$AS$1004,1,MATCH(COLUMNS($AC$1006:AN1006),$AC$1006:$AS$1006,0)))),"Fix")))</f>
        <v xml:space="preserve"> </v>
      </c>
      <c r="N634" s="4" t="str">
        <f ca="1">IF(OR(INDEX($W$2:$W$1001,MATCH(ROWS($V$2:V634),$V$2:$V$1001,0),1)&gt;=100000,INDEX($AC$1005:$AS$1005,1,MATCH(COLUMNS($AC$1006:AO1006),$AC$1006:$AS$1006,0))&gt;=100000), " ",IF(INDEX($AC$2:$AS$1001,MATCH(ROWS($V$2:V634),$V$2:$V$1001,0),MATCH(COLUMNS($AC$1006:AO1006),$AC$1006:$AS$1006,0)), HYPERLINK("#",""), HYPERLINK(CONCATENATE("#metadata!", ADDRESS(INDEX($X$2:$X$1001,MATCH(ROWS($V$2:V634),$V$2:$V$1001,0),0), INDEX($AC$1004:$AS$1004,1,MATCH(COLUMNS($AC$1006:AO1006),$AC$1006:$AS$1006,0)))),"Fix")))</f>
        <v xml:space="preserve"> </v>
      </c>
      <c r="O634" s="4" t="str">
        <f ca="1">IF(OR(INDEX($W$2:$W$1001,MATCH(ROWS($V$2:V634),$V$2:$V$1001,0),1)&gt;=100000,INDEX($AC$1005:$AS$1005,1,MATCH(COLUMNS($AC$1006:AP1006),$AC$1006:$AS$1006,0))&gt;=100000), " ",IF(INDEX($AC$2:$AS$1001,MATCH(ROWS($V$2:V634),$V$2:$V$1001,0),MATCH(COLUMNS($AC$1006:AP1006),$AC$1006:$AS$1006,0)), HYPERLINK("#",""), HYPERLINK(CONCATENATE("#metadata!", ADDRESS(INDEX($X$2:$X$1001,MATCH(ROWS($V$2:V634),$V$2:$V$1001,0),0), INDEX($AC$1004:$AS$1004,1,MATCH(COLUMNS($AC$1006:AP1006),$AC$1006:$AS$1006,0)))),"Fix")))</f>
        <v xml:space="preserve"> </v>
      </c>
      <c r="P634" s="4" t="str">
        <f ca="1">IF(OR(INDEX($W$2:$W$1001,MATCH(ROWS($V$2:V634),$V$2:$V$1001,0),1)&gt;=100000,INDEX($AC$1005:$AS$1005,1,MATCH(COLUMNS($AC$1006:AQ1006),$AC$1006:$AS$1006,0))&gt;=100000), " ",IF(INDEX($AC$2:$AS$1001,MATCH(ROWS($V$2:V634),$V$2:$V$1001,0),MATCH(COLUMNS($AC$1006:AQ1006),$AC$1006:$AS$1006,0)), HYPERLINK("#",""), HYPERLINK(CONCATENATE("#metadata!", ADDRESS(INDEX($X$2:$X$1001,MATCH(ROWS($V$2:V634),$V$2:$V$1001,0),0), INDEX($AC$1004:$AS$1004,1,MATCH(COLUMNS($AC$1006:AQ1006),$AC$1006:$AS$1006,0)))),"Fix")))</f>
        <v xml:space="preserve"> </v>
      </c>
      <c r="Q634" s="4" t="str">
        <f ca="1">IF(OR(INDEX($W$2:$W$1001,MATCH(ROWS($V$2:V634),$V$2:$V$1001,0),1)&gt;=100000,INDEX($AC$1005:$AS$1005,1,MATCH(COLUMNS($AC$1006:AR1006),$AC$1006:$AS$1006,0))&gt;=100000), " ",IF(INDEX($AC$2:$AS$1001,MATCH(ROWS($V$2:V634),$V$2:$V$1001,0),MATCH(COLUMNS($AC$1006:AR1006),$AC$1006:$AS$1006,0)), HYPERLINK("#",""), HYPERLINK(CONCATENATE("#metadata!", ADDRESS(INDEX($X$2:$X$1001,MATCH(ROWS($V$2:V634),$V$2:$V$1001,0),0), INDEX($AC$1004:$AS$1004,1,MATCH(COLUMNS($AC$1006:AR1006),$AC$1006:$AS$1006,0)))),"Fix")))</f>
        <v xml:space="preserve"> </v>
      </c>
      <c r="R634" s="4" t="str">
        <f ca="1">IF(OR(INDEX($W$2:$W$1001,MATCH(ROWS($V$2:V634),$V$2:$V$1001,0),1)&gt;=100000,INDEX($AC$1005:$AS$1005,1,MATCH(COLUMNS($AC$1006:AS1006),$AC$1006:$AS$1006,0))&gt;=100000), " ",IF(INDEX($AC$2:$AS$1001,MATCH(ROWS($V$2:V634),$V$2:$V$1001,0),MATCH(COLUMNS($AC$1006:AS1006),$AC$1006:$AS$1006,0)), HYPERLINK("#",""), HYPERLINK(CONCATENATE("#metadata!", ADDRESS(INDEX($X$2:$X$1001,MATCH(ROWS($V$2:V634),$V$2:$V$1001,0),0), INDEX($AC$1004:$AS$1004,1,MATCH(COLUMNS($AC$1006:AS1006),$AC$1006:$AS$1006,0)))),"Fix")))</f>
        <v xml:space="preserve"> </v>
      </c>
      <c r="V634">
        <v>633</v>
      </c>
      <c r="W634">
        <v>100634</v>
      </c>
      <c r="X634">
        <v>634</v>
      </c>
      <c r="Y634" t="b">
        <f t="shared" si="9"/>
        <v>1</v>
      </c>
      <c r="Z634" t="b">
        <f>COUNTBLANK(metadata!B634:R634)=COLUMNS(metadata!B634:R634)</f>
        <v>1</v>
      </c>
      <c r="AA634" t="str">
        <v/>
      </c>
      <c r="AC634" t="b">
        <f ca="1"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AD634" t="b">
        <f>IF(metadata!C634="",FALSE,ISNUMBER(VALUE(metadata!C634)))</f>
        <v>0</v>
      </c>
      <c r="AE634" t="b">
        <f>AND(IF(metadata!D634="",FALSE,TRUE),EXACT(metadata!D634,"years"))</f>
        <v>0</v>
      </c>
      <c r="AF634" t="b">
        <f>OR(AND(IF(metadata!E634="",FALSE,TRUE),OR(EXACT(metadata!E634,"not applicable"),EXACT(metadata!E634,"missing: not collected"),EXACT(metadata!E634,"missing: not provided"),EXACT(metadata!E634,"missing: restricted access"))),AND(IF(metadata!E634="",FALSE,ISNUMBER(VALUE(metadata!E634))),metadata!E634&gt;0))</f>
        <v>0</v>
      </c>
      <c r="AG634" t="b">
        <f>AND(IF(metadata!F634="",FALSE,TRUE),EXACT(metadata!F634,"Not applicable"))</f>
        <v>0</v>
      </c>
      <c r="AH634" t="b">
        <f>AND(IF(metadata!G634="",FALSE,TRUE),EXACT(metadata!G634,"urban biome"))</f>
        <v>0</v>
      </c>
      <c r="AI634" t="b">
        <f>AND(IF(metadata!H634="",FALSE,TRUE),EXACT(metadata!H634,"human-associated habitat"))</f>
        <v>0</v>
      </c>
      <c r="AJ634" t="b">
        <f>AND(IF(metadata!I634="",FALSE,TRUE),OR(EXACT(metadata!I634,"human-associated"),EXACT(metadata!I634,"human-skin"),EXACT(metadata!I634,"human-oral"),EXACT(metadata!I634,"human-gut"),EXACT(metadata!I634,"human-vaginal")))</f>
        <v>0</v>
      </c>
      <c r="AK634" t="b">
        <f>IF(metadata!J634="",FALSE,ISNUMBER(VALUE(metadata!J634)))</f>
        <v>0</v>
      </c>
      <c r="AL634" t="b">
        <f>AND(IF(metadata!K634="",FALSE,TRUE),EXACT(metadata!K634,"cm"))</f>
        <v>0</v>
      </c>
      <c r="AM634" t="b">
        <f>AND(IF(metadata!L634="",FALSE,TRUE),EXACT(metadata!L634,"human"))</f>
        <v>0</v>
      </c>
      <c r="AN634" t="b">
        <f>AND(IF(metadata!M634="",FALSE,TRUE),EXACT(metadata!M634,"Homo sapiens"))</f>
        <v>0</v>
      </c>
      <c r="AO634" t="b">
        <f>AND(IF(metadata!N634="",FALSE,TRUE),EXACT(metadata!N634,"9606"))</f>
        <v>0</v>
      </c>
      <c r="AP634" t="b">
        <f>IF(metadata!O634="",FALSE,TRUE)</f>
        <v>0</v>
      </c>
      <c r="AQ634" t="b">
        <f>IF(metadata!P634="",FALSE,TRUE)</f>
        <v>0</v>
      </c>
      <c r="AR634" t="b">
        <f>IF(metadata!Q634="",FALSE,ISNUMBER(VALUE(metadata!Q634)))</f>
        <v>0</v>
      </c>
      <c r="AS634" t="b">
        <f>AND(IF(metadata!R634="",FALSE,TRUE),EXACT(metadata!R634,"kg"))</f>
        <v>0</v>
      </c>
    </row>
    <row r="635" spans="1:45" x14ac:dyDescent="0.2">
      <c r="A635" s="5" t="str">
        <f ca="1">IF(B635=" "," ",HYPERLINK(CONCATENATE("#metadata!",ADDRESS(INDEX($X$2:$X$1001,MATCH(ROWS($V$2:V635),$V$2:$V$1001,0),0),1)),INDEX($AA$2:$AA$1001,MATCH(ROWS($V$2:V635),$V$2:$V$1001,0),0)))</f>
        <v xml:space="preserve"> </v>
      </c>
      <c r="B635" s="4" t="str">
        <f ca="1">IF(OR(INDEX($W$2:$W$1001,MATCH(ROWS($V$2:V635),$V$2:$V$1001,0),1)&gt;=100000,INDEX($AC$1005:$AS$1005,1,MATCH(COLUMNS($AC$1006:AC1006),$AC$1006:$AS$1006,0))&gt;=100000), " ",IF(INDEX($AC$2:$AS$1001,MATCH(ROWS($V$2:V635),$V$2:$V$1001,0),MATCH(COLUMNS($AC$1006:AC1006),$AC$1006:$AS$1006,0)), HYPERLINK("#",""), HYPERLINK(CONCATENATE("#metadata!", ADDRESS(INDEX($X$2:$X$1001,MATCH(ROWS($V$2:V635),$V$2:$V$1001,0),0), INDEX($AC$1004:$AS$1004,1,MATCH(COLUMNS($AC$1006:AC1006),$AC$1006:$AS$1006,0)))),"Fix")))</f>
        <v xml:space="preserve"> </v>
      </c>
      <c r="C635" s="4" t="str">
        <f ca="1">IF(OR(INDEX($W$2:$W$1001,MATCH(ROWS($V$2:V635),$V$2:$V$1001,0),1)&gt;=100000,INDEX($AC$1005:$AS$1005,1,MATCH(COLUMNS($AC$1006:AD1006),$AC$1006:$AS$1006,0))&gt;=100000), " ",IF(INDEX($AC$2:$AS$1001,MATCH(ROWS($V$2:V635),$V$2:$V$1001,0),MATCH(COLUMNS($AC$1006:AD1006),$AC$1006:$AS$1006,0)), HYPERLINK("#",""), HYPERLINK(CONCATENATE("#metadata!", ADDRESS(INDEX($X$2:$X$1001,MATCH(ROWS($V$2:V635),$V$2:$V$1001,0),0), INDEX($AC$1004:$AS$1004,1,MATCH(COLUMNS($AC$1006:AD1006),$AC$1006:$AS$1006,0)))),"Fix")))</f>
        <v xml:space="preserve"> </v>
      </c>
      <c r="D635" s="4" t="str">
        <f ca="1">IF(OR(INDEX($W$2:$W$1001,MATCH(ROWS($V$2:V635),$V$2:$V$1001,0),1)&gt;=100000,INDEX($AC$1005:$AS$1005,1,MATCH(COLUMNS($AC$1006:AE1006),$AC$1006:$AS$1006,0))&gt;=100000), " ",IF(INDEX($AC$2:$AS$1001,MATCH(ROWS($V$2:V635),$V$2:$V$1001,0),MATCH(COLUMNS($AC$1006:AE1006),$AC$1006:$AS$1006,0)), HYPERLINK("#",""), HYPERLINK(CONCATENATE("#metadata!", ADDRESS(INDEX($X$2:$X$1001,MATCH(ROWS($V$2:V635),$V$2:$V$1001,0),0), INDEX($AC$1004:$AS$1004,1,MATCH(COLUMNS($AC$1006:AE1006),$AC$1006:$AS$1006,0)))),"Fix")))</f>
        <v xml:space="preserve"> </v>
      </c>
      <c r="E635" s="4" t="str">
        <f ca="1">IF(OR(INDEX($W$2:$W$1001,MATCH(ROWS($V$2:V635),$V$2:$V$1001,0),1)&gt;=100000,INDEX($AC$1005:$AS$1005,1,MATCH(COLUMNS($AC$1006:AF1006),$AC$1006:$AS$1006,0))&gt;=100000), " ",IF(INDEX($AC$2:$AS$1001,MATCH(ROWS($V$2:V635),$V$2:$V$1001,0),MATCH(COLUMNS($AC$1006:AF1006),$AC$1006:$AS$1006,0)), HYPERLINK("#",""), HYPERLINK(CONCATENATE("#metadata!", ADDRESS(INDEX($X$2:$X$1001,MATCH(ROWS($V$2:V635),$V$2:$V$1001,0),0), INDEX($AC$1004:$AS$1004,1,MATCH(COLUMNS($AC$1006:AF1006),$AC$1006:$AS$1006,0)))),"Fix")))</f>
        <v xml:space="preserve"> </v>
      </c>
      <c r="F635" s="4" t="str">
        <f ca="1">IF(OR(INDEX($W$2:$W$1001,MATCH(ROWS($V$2:V635),$V$2:$V$1001,0),1)&gt;=100000,INDEX($AC$1005:$AS$1005,1,MATCH(COLUMNS($AC$1006:AG1006),$AC$1006:$AS$1006,0))&gt;=100000), " ",IF(INDEX($AC$2:$AS$1001,MATCH(ROWS($V$2:V635),$V$2:$V$1001,0),MATCH(COLUMNS($AC$1006:AG1006),$AC$1006:$AS$1006,0)), HYPERLINK("#",""), HYPERLINK(CONCATENATE("#metadata!", ADDRESS(INDEX($X$2:$X$1001,MATCH(ROWS($V$2:V635),$V$2:$V$1001,0),0), INDEX($AC$1004:$AS$1004,1,MATCH(COLUMNS($AC$1006:AG1006),$AC$1006:$AS$1006,0)))),"Fix")))</f>
        <v xml:space="preserve"> </v>
      </c>
      <c r="G635" s="4" t="str">
        <f ca="1">IF(OR(INDEX($W$2:$W$1001,MATCH(ROWS($V$2:V635),$V$2:$V$1001,0),1)&gt;=100000,INDEX($AC$1005:$AS$1005,1,MATCH(COLUMNS($AC$1006:AH1006),$AC$1006:$AS$1006,0))&gt;=100000), " ",IF(INDEX($AC$2:$AS$1001,MATCH(ROWS($V$2:V635),$V$2:$V$1001,0),MATCH(COLUMNS($AC$1006:AH1006),$AC$1006:$AS$1006,0)), HYPERLINK("#",""), HYPERLINK(CONCATENATE("#metadata!", ADDRESS(INDEX($X$2:$X$1001,MATCH(ROWS($V$2:V635),$V$2:$V$1001,0),0), INDEX($AC$1004:$AS$1004,1,MATCH(COLUMNS($AC$1006:AH1006),$AC$1006:$AS$1006,0)))),"Fix")))</f>
        <v xml:space="preserve"> </v>
      </c>
      <c r="H635" s="4" t="str">
        <f ca="1">IF(OR(INDEX($W$2:$W$1001,MATCH(ROWS($V$2:V635),$V$2:$V$1001,0),1)&gt;=100000,INDEX($AC$1005:$AS$1005,1,MATCH(COLUMNS($AC$1006:AI1006),$AC$1006:$AS$1006,0))&gt;=100000), " ",IF(INDEX($AC$2:$AS$1001,MATCH(ROWS($V$2:V635),$V$2:$V$1001,0),MATCH(COLUMNS($AC$1006:AI1006),$AC$1006:$AS$1006,0)), HYPERLINK("#",""), HYPERLINK(CONCATENATE("#metadata!", ADDRESS(INDEX($X$2:$X$1001,MATCH(ROWS($V$2:V635),$V$2:$V$1001,0),0), INDEX($AC$1004:$AS$1004,1,MATCH(COLUMNS($AC$1006:AI1006),$AC$1006:$AS$1006,0)))),"Fix")))</f>
        <v xml:space="preserve"> </v>
      </c>
      <c r="I635" s="4" t="str">
        <f ca="1">IF(OR(INDEX($W$2:$W$1001,MATCH(ROWS($V$2:V635),$V$2:$V$1001,0),1)&gt;=100000,INDEX($AC$1005:$AS$1005,1,MATCH(COLUMNS($AC$1006:AJ1006),$AC$1006:$AS$1006,0))&gt;=100000), " ",IF(INDEX($AC$2:$AS$1001,MATCH(ROWS($V$2:V635),$V$2:$V$1001,0),MATCH(COLUMNS($AC$1006:AJ1006),$AC$1006:$AS$1006,0)), HYPERLINK("#",""), HYPERLINK(CONCATENATE("#metadata!", ADDRESS(INDEX($X$2:$X$1001,MATCH(ROWS($V$2:V635),$V$2:$V$1001,0),0), INDEX($AC$1004:$AS$1004,1,MATCH(COLUMNS($AC$1006:AJ1006),$AC$1006:$AS$1006,0)))),"Fix")))</f>
        <v xml:space="preserve"> </v>
      </c>
      <c r="J635" s="4" t="str">
        <f ca="1">IF(OR(INDEX($W$2:$W$1001,MATCH(ROWS($V$2:V635),$V$2:$V$1001,0),1)&gt;=100000,INDEX($AC$1005:$AS$1005,1,MATCH(COLUMNS($AC$1006:AK1006),$AC$1006:$AS$1006,0))&gt;=100000), " ",IF(INDEX($AC$2:$AS$1001,MATCH(ROWS($V$2:V635),$V$2:$V$1001,0),MATCH(COLUMNS($AC$1006:AK1006),$AC$1006:$AS$1006,0)), HYPERLINK("#",""), HYPERLINK(CONCATENATE("#metadata!", ADDRESS(INDEX($X$2:$X$1001,MATCH(ROWS($V$2:V635),$V$2:$V$1001,0),0), INDEX($AC$1004:$AS$1004,1,MATCH(COLUMNS($AC$1006:AK1006),$AC$1006:$AS$1006,0)))),"Fix")))</f>
        <v xml:space="preserve"> </v>
      </c>
      <c r="K635" s="4" t="str">
        <f ca="1">IF(OR(INDEX($W$2:$W$1001,MATCH(ROWS($V$2:V635),$V$2:$V$1001,0),1)&gt;=100000,INDEX($AC$1005:$AS$1005,1,MATCH(COLUMNS($AC$1006:AL1006),$AC$1006:$AS$1006,0))&gt;=100000), " ",IF(INDEX($AC$2:$AS$1001,MATCH(ROWS($V$2:V635),$V$2:$V$1001,0),MATCH(COLUMNS($AC$1006:AL1006),$AC$1006:$AS$1006,0)), HYPERLINK("#",""), HYPERLINK(CONCATENATE("#metadata!", ADDRESS(INDEX($X$2:$X$1001,MATCH(ROWS($V$2:V635),$V$2:$V$1001,0),0), INDEX($AC$1004:$AS$1004,1,MATCH(COLUMNS($AC$1006:AL1006),$AC$1006:$AS$1006,0)))),"Fix")))</f>
        <v xml:space="preserve"> </v>
      </c>
      <c r="L635" s="4" t="str">
        <f ca="1">IF(OR(INDEX($W$2:$W$1001,MATCH(ROWS($V$2:V635),$V$2:$V$1001,0),1)&gt;=100000,INDEX($AC$1005:$AS$1005,1,MATCH(COLUMNS($AC$1006:AM1006),$AC$1006:$AS$1006,0))&gt;=100000), " ",IF(INDEX($AC$2:$AS$1001,MATCH(ROWS($V$2:V635),$V$2:$V$1001,0),MATCH(COLUMNS($AC$1006:AM1006),$AC$1006:$AS$1006,0)), HYPERLINK("#",""), HYPERLINK(CONCATENATE("#metadata!", ADDRESS(INDEX($X$2:$X$1001,MATCH(ROWS($V$2:V635),$V$2:$V$1001,0),0), INDEX($AC$1004:$AS$1004,1,MATCH(COLUMNS($AC$1006:AM1006),$AC$1006:$AS$1006,0)))),"Fix")))</f>
        <v xml:space="preserve"> </v>
      </c>
      <c r="M635" s="4" t="str">
        <f ca="1">IF(OR(INDEX($W$2:$W$1001,MATCH(ROWS($V$2:V635),$V$2:$V$1001,0),1)&gt;=100000,INDEX($AC$1005:$AS$1005,1,MATCH(COLUMNS($AC$1006:AN1006),$AC$1006:$AS$1006,0))&gt;=100000), " ",IF(INDEX($AC$2:$AS$1001,MATCH(ROWS($V$2:V635),$V$2:$V$1001,0),MATCH(COLUMNS($AC$1006:AN1006),$AC$1006:$AS$1006,0)), HYPERLINK("#",""), HYPERLINK(CONCATENATE("#metadata!", ADDRESS(INDEX($X$2:$X$1001,MATCH(ROWS($V$2:V635),$V$2:$V$1001,0),0), INDEX($AC$1004:$AS$1004,1,MATCH(COLUMNS($AC$1006:AN1006),$AC$1006:$AS$1006,0)))),"Fix")))</f>
        <v xml:space="preserve"> </v>
      </c>
      <c r="N635" s="4" t="str">
        <f ca="1">IF(OR(INDEX($W$2:$W$1001,MATCH(ROWS($V$2:V635),$V$2:$V$1001,0),1)&gt;=100000,INDEX($AC$1005:$AS$1005,1,MATCH(COLUMNS($AC$1006:AO1006),$AC$1006:$AS$1006,0))&gt;=100000), " ",IF(INDEX($AC$2:$AS$1001,MATCH(ROWS($V$2:V635),$V$2:$V$1001,0),MATCH(COLUMNS($AC$1006:AO1006),$AC$1006:$AS$1006,0)), HYPERLINK("#",""), HYPERLINK(CONCATENATE("#metadata!", ADDRESS(INDEX($X$2:$X$1001,MATCH(ROWS($V$2:V635),$V$2:$V$1001,0),0), INDEX($AC$1004:$AS$1004,1,MATCH(COLUMNS($AC$1006:AO1006),$AC$1006:$AS$1006,0)))),"Fix")))</f>
        <v xml:space="preserve"> </v>
      </c>
      <c r="O635" s="4" t="str">
        <f ca="1">IF(OR(INDEX($W$2:$W$1001,MATCH(ROWS($V$2:V635),$V$2:$V$1001,0),1)&gt;=100000,INDEX($AC$1005:$AS$1005,1,MATCH(COLUMNS($AC$1006:AP1006),$AC$1006:$AS$1006,0))&gt;=100000), " ",IF(INDEX($AC$2:$AS$1001,MATCH(ROWS($V$2:V635),$V$2:$V$1001,0),MATCH(COLUMNS($AC$1006:AP1006),$AC$1006:$AS$1006,0)), HYPERLINK("#",""), HYPERLINK(CONCATENATE("#metadata!", ADDRESS(INDEX($X$2:$X$1001,MATCH(ROWS($V$2:V635),$V$2:$V$1001,0),0), INDEX($AC$1004:$AS$1004,1,MATCH(COLUMNS($AC$1006:AP1006),$AC$1006:$AS$1006,0)))),"Fix")))</f>
        <v xml:space="preserve"> </v>
      </c>
      <c r="P635" s="4" t="str">
        <f ca="1">IF(OR(INDEX($W$2:$W$1001,MATCH(ROWS($V$2:V635),$V$2:$V$1001,0),1)&gt;=100000,INDEX($AC$1005:$AS$1005,1,MATCH(COLUMNS($AC$1006:AQ1006),$AC$1006:$AS$1006,0))&gt;=100000), " ",IF(INDEX($AC$2:$AS$1001,MATCH(ROWS($V$2:V635),$V$2:$V$1001,0),MATCH(COLUMNS($AC$1006:AQ1006),$AC$1006:$AS$1006,0)), HYPERLINK("#",""), HYPERLINK(CONCATENATE("#metadata!", ADDRESS(INDEX($X$2:$X$1001,MATCH(ROWS($V$2:V635),$V$2:$V$1001,0),0), INDEX($AC$1004:$AS$1004,1,MATCH(COLUMNS($AC$1006:AQ1006),$AC$1006:$AS$1006,0)))),"Fix")))</f>
        <v xml:space="preserve"> </v>
      </c>
      <c r="Q635" s="4" t="str">
        <f ca="1">IF(OR(INDEX($W$2:$W$1001,MATCH(ROWS($V$2:V635),$V$2:$V$1001,0),1)&gt;=100000,INDEX($AC$1005:$AS$1005,1,MATCH(COLUMNS($AC$1006:AR1006),$AC$1006:$AS$1006,0))&gt;=100000), " ",IF(INDEX($AC$2:$AS$1001,MATCH(ROWS($V$2:V635),$V$2:$V$1001,0),MATCH(COLUMNS($AC$1006:AR1006),$AC$1006:$AS$1006,0)), HYPERLINK("#",""), HYPERLINK(CONCATENATE("#metadata!", ADDRESS(INDEX($X$2:$X$1001,MATCH(ROWS($V$2:V635),$V$2:$V$1001,0),0), INDEX($AC$1004:$AS$1004,1,MATCH(COLUMNS($AC$1006:AR1006),$AC$1006:$AS$1006,0)))),"Fix")))</f>
        <v xml:space="preserve"> </v>
      </c>
      <c r="R635" s="4" t="str">
        <f ca="1">IF(OR(INDEX($W$2:$W$1001,MATCH(ROWS($V$2:V635),$V$2:$V$1001,0),1)&gt;=100000,INDEX($AC$1005:$AS$1005,1,MATCH(COLUMNS($AC$1006:AS1006),$AC$1006:$AS$1006,0))&gt;=100000), " ",IF(INDEX($AC$2:$AS$1001,MATCH(ROWS($V$2:V635),$V$2:$V$1001,0),MATCH(COLUMNS($AC$1006:AS1006),$AC$1006:$AS$1006,0)), HYPERLINK("#",""), HYPERLINK(CONCATENATE("#metadata!", ADDRESS(INDEX($X$2:$X$1001,MATCH(ROWS($V$2:V635),$V$2:$V$1001,0),0), INDEX($AC$1004:$AS$1004,1,MATCH(COLUMNS($AC$1006:AS1006),$AC$1006:$AS$1006,0)))),"Fix")))</f>
        <v xml:space="preserve"> </v>
      </c>
      <c r="V635">
        <v>634</v>
      </c>
      <c r="W635">
        <v>100635</v>
      </c>
      <c r="X635">
        <v>635</v>
      </c>
      <c r="Y635" t="b">
        <f t="shared" si="9"/>
        <v>1</v>
      </c>
      <c r="Z635" t="b">
        <f>COUNTBLANK(metadata!B635:R635)=COLUMNS(metadata!B635:R635)</f>
        <v>1</v>
      </c>
      <c r="AA635" t="str">
        <v/>
      </c>
      <c r="AC635" t="b">
        <f ca="1"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AD635" t="b">
        <f>IF(metadata!C635="",FALSE,ISNUMBER(VALUE(metadata!C635)))</f>
        <v>0</v>
      </c>
      <c r="AE635" t="b">
        <f>AND(IF(metadata!D635="",FALSE,TRUE),EXACT(metadata!D635,"years"))</f>
        <v>0</v>
      </c>
      <c r="AF635" t="b">
        <f>OR(AND(IF(metadata!E635="",FALSE,TRUE),OR(EXACT(metadata!E635,"not applicable"),EXACT(metadata!E635,"missing: not collected"),EXACT(metadata!E635,"missing: not provided"),EXACT(metadata!E635,"missing: restricted access"))),AND(IF(metadata!E635="",FALSE,ISNUMBER(VALUE(metadata!E635))),metadata!E635&gt;0))</f>
        <v>0</v>
      </c>
      <c r="AG635" t="b">
        <f>AND(IF(metadata!F635="",FALSE,TRUE),EXACT(metadata!F635,"Not applicable"))</f>
        <v>0</v>
      </c>
      <c r="AH635" t="b">
        <f>AND(IF(metadata!G635="",FALSE,TRUE),EXACT(metadata!G635,"urban biome"))</f>
        <v>0</v>
      </c>
      <c r="AI635" t="b">
        <f>AND(IF(metadata!H635="",FALSE,TRUE),EXACT(metadata!H635,"human-associated habitat"))</f>
        <v>0</v>
      </c>
      <c r="AJ635" t="b">
        <f>AND(IF(metadata!I635="",FALSE,TRUE),OR(EXACT(metadata!I635,"human-associated"),EXACT(metadata!I635,"human-skin"),EXACT(metadata!I635,"human-oral"),EXACT(metadata!I635,"human-gut"),EXACT(metadata!I635,"human-vaginal")))</f>
        <v>0</v>
      </c>
      <c r="AK635" t="b">
        <f>IF(metadata!J635="",FALSE,ISNUMBER(VALUE(metadata!J635)))</f>
        <v>0</v>
      </c>
      <c r="AL635" t="b">
        <f>AND(IF(metadata!K635="",FALSE,TRUE),EXACT(metadata!K635,"cm"))</f>
        <v>0</v>
      </c>
      <c r="AM635" t="b">
        <f>AND(IF(metadata!L635="",FALSE,TRUE),EXACT(metadata!L635,"human"))</f>
        <v>0</v>
      </c>
      <c r="AN635" t="b">
        <f>AND(IF(metadata!M635="",FALSE,TRUE),EXACT(metadata!M635,"Homo sapiens"))</f>
        <v>0</v>
      </c>
      <c r="AO635" t="b">
        <f>AND(IF(metadata!N635="",FALSE,TRUE),EXACT(metadata!N635,"9606"))</f>
        <v>0</v>
      </c>
      <c r="AP635" t="b">
        <f>IF(metadata!O635="",FALSE,TRUE)</f>
        <v>0</v>
      </c>
      <c r="AQ635" t="b">
        <f>IF(metadata!P635="",FALSE,TRUE)</f>
        <v>0</v>
      </c>
      <c r="AR635" t="b">
        <f>IF(metadata!Q635="",FALSE,ISNUMBER(VALUE(metadata!Q635)))</f>
        <v>0</v>
      </c>
      <c r="AS635" t="b">
        <f>AND(IF(metadata!R635="",FALSE,TRUE),EXACT(metadata!R635,"kg"))</f>
        <v>0</v>
      </c>
    </row>
    <row r="636" spans="1:45" x14ac:dyDescent="0.2">
      <c r="A636" s="5" t="str">
        <f ca="1">IF(B636=" "," ",HYPERLINK(CONCATENATE("#metadata!",ADDRESS(INDEX($X$2:$X$1001,MATCH(ROWS($V$2:V636),$V$2:$V$1001,0),0),1)),INDEX($AA$2:$AA$1001,MATCH(ROWS($V$2:V636),$V$2:$V$1001,0),0)))</f>
        <v xml:space="preserve"> </v>
      </c>
      <c r="B636" s="4" t="str">
        <f ca="1">IF(OR(INDEX($W$2:$W$1001,MATCH(ROWS($V$2:V636),$V$2:$V$1001,0),1)&gt;=100000,INDEX($AC$1005:$AS$1005,1,MATCH(COLUMNS($AC$1006:AC1006),$AC$1006:$AS$1006,0))&gt;=100000), " ",IF(INDEX($AC$2:$AS$1001,MATCH(ROWS($V$2:V636),$V$2:$V$1001,0),MATCH(COLUMNS($AC$1006:AC1006),$AC$1006:$AS$1006,0)), HYPERLINK("#",""), HYPERLINK(CONCATENATE("#metadata!", ADDRESS(INDEX($X$2:$X$1001,MATCH(ROWS($V$2:V636),$V$2:$V$1001,0),0), INDEX($AC$1004:$AS$1004,1,MATCH(COLUMNS($AC$1006:AC1006),$AC$1006:$AS$1006,0)))),"Fix")))</f>
        <v xml:space="preserve"> </v>
      </c>
      <c r="C636" s="4" t="str">
        <f ca="1">IF(OR(INDEX($W$2:$W$1001,MATCH(ROWS($V$2:V636),$V$2:$V$1001,0),1)&gt;=100000,INDEX($AC$1005:$AS$1005,1,MATCH(COLUMNS($AC$1006:AD1006),$AC$1006:$AS$1006,0))&gt;=100000), " ",IF(INDEX($AC$2:$AS$1001,MATCH(ROWS($V$2:V636),$V$2:$V$1001,0),MATCH(COLUMNS($AC$1006:AD1006),$AC$1006:$AS$1006,0)), HYPERLINK("#",""), HYPERLINK(CONCATENATE("#metadata!", ADDRESS(INDEX($X$2:$X$1001,MATCH(ROWS($V$2:V636),$V$2:$V$1001,0),0), INDEX($AC$1004:$AS$1004,1,MATCH(COLUMNS($AC$1006:AD1006),$AC$1006:$AS$1006,0)))),"Fix")))</f>
        <v xml:space="preserve"> </v>
      </c>
      <c r="D636" s="4" t="str">
        <f ca="1">IF(OR(INDEX($W$2:$W$1001,MATCH(ROWS($V$2:V636),$V$2:$V$1001,0),1)&gt;=100000,INDEX($AC$1005:$AS$1005,1,MATCH(COLUMNS($AC$1006:AE1006),$AC$1006:$AS$1006,0))&gt;=100000), " ",IF(INDEX($AC$2:$AS$1001,MATCH(ROWS($V$2:V636),$V$2:$V$1001,0),MATCH(COLUMNS($AC$1006:AE1006),$AC$1006:$AS$1006,0)), HYPERLINK("#",""), HYPERLINK(CONCATENATE("#metadata!", ADDRESS(INDEX($X$2:$X$1001,MATCH(ROWS($V$2:V636),$V$2:$V$1001,0),0), INDEX($AC$1004:$AS$1004,1,MATCH(COLUMNS($AC$1006:AE1006),$AC$1006:$AS$1006,0)))),"Fix")))</f>
        <v xml:space="preserve"> </v>
      </c>
      <c r="E636" s="4" t="str">
        <f ca="1">IF(OR(INDEX($W$2:$W$1001,MATCH(ROWS($V$2:V636),$V$2:$V$1001,0),1)&gt;=100000,INDEX($AC$1005:$AS$1005,1,MATCH(COLUMNS($AC$1006:AF1006),$AC$1006:$AS$1006,0))&gt;=100000), " ",IF(INDEX($AC$2:$AS$1001,MATCH(ROWS($V$2:V636),$V$2:$V$1001,0),MATCH(COLUMNS($AC$1006:AF1006),$AC$1006:$AS$1006,0)), HYPERLINK("#",""), HYPERLINK(CONCATENATE("#metadata!", ADDRESS(INDEX($X$2:$X$1001,MATCH(ROWS($V$2:V636),$V$2:$V$1001,0),0), INDEX($AC$1004:$AS$1004,1,MATCH(COLUMNS($AC$1006:AF1006),$AC$1006:$AS$1006,0)))),"Fix")))</f>
        <v xml:space="preserve"> </v>
      </c>
      <c r="F636" s="4" t="str">
        <f ca="1">IF(OR(INDEX($W$2:$W$1001,MATCH(ROWS($V$2:V636),$V$2:$V$1001,0),1)&gt;=100000,INDEX($AC$1005:$AS$1005,1,MATCH(COLUMNS($AC$1006:AG1006),$AC$1006:$AS$1006,0))&gt;=100000), " ",IF(INDEX($AC$2:$AS$1001,MATCH(ROWS($V$2:V636),$V$2:$V$1001,0),MATCH(COLUMNS($AC$1006:AG1006),$AC$1006:$AS$1006,0)), HYPERLINK("#",""), HYPERLINK(CONCATENATE("#metadata!", ADDRESS(INDEX($X$2:$X$1001,MATCH(ROWS($V$2:V636),$V$2:$V$1001,0),0), INDEX($AC$1004:$AS$1004,1,MATCH(COLUMNS($AC$1006:AG1006),$AC$1006:$AS$1006,0)))),"Fix")))</f>
        <v xml:space="preserve"> </v>
      </c>
      <c r="G636" s="4" t="str">
        <f ca="1">IF(OR(INDEX($W$2:$W$1001,MATCH(ROWS($V$2:V636),$V$2:$V$1001,0),1)&gt;=100000,INDEX($AC$1005:$AS$1005,1,MATCH(COLUMNS($AC$1006:AH1006),$AC$1006:$AS$1006,0))&gt;=100000), " ",IF(INDEX($AC$2:$AS$1001,MATCH(ROWS($V$2:V636),$V$2:$V$1001,0),MATCH(COLUMNS($AC$1006:AH1006),$AC$1006:$AS$1006,0)), HYPERLINK("#",""), HYPERLINK(CONCATENATE("#metadata!", ADDRESS(INDEX($X$2:$X$1001,MATCH(ROWS($V$2:V636),$V$2:$V$1001,0),0), INDEX($AC$1004:$AS$1004,1,MATCH(COLUMNS($AC$1006:AH1006),$AC$1006:$AS$1006,0)))),"Fix")))</f>
        <v xml:space="preserve"> </v>
      </c>
      <c r="H636" s="4" t="str">
        <f ca="1">IF(OR(INDEX($W$2:$W$1001,MATCH(ROWS($V$2:V636),$V$2:$V$1001,0),1)&gt;=100000,INDEX($AC$1005:$AS$1005,1,MATCH(COLUMNS($AC$1006:AI1006),$AC$1006:$AS$1006,0))&gt;=100000), " ",IF(INDEX($AC$2:$AS$1001,MATCH(ROWS($V$2:V636),$V$2:$V$1001,0),MATCH(COLUMNS($AC$1006:AI1006),$AC$1006:$AS$1006,0)), HYPERLINK("#",""), HYPERLINK(CONCATENATE("#metadata!", ADDRESS(INDEX($X$2:$X$1001,MATCH(ROWS($V$2:V636),$V$2:$V$1001,0),0), INDEX($AC$1004:$AS$1004,1,MATCH(COLUMNS($AC$1006:AI1006),$AC$1006:$AS$1006,0)))),"Fix")))</f>
        <v xml:space="preserve"> </v>
      </c>
      <c r="I636" s="4" t="str">
        <f ca="1">IF(OR(INDEX($W$2:$W$1001,MATCH(ROWS($V$2:V636),$V$2:$V$1001,0),1)&gt;=100000,INDEX($AC$1005:$AS$1005,1,MATCH(COLUMNS($AC$1006:AJ1006),$AC$1006:$AS$1006,0))&gt;=100000), " ",IF(INDEX($AC$2:$AS$1001,MATCH(ROWS($V$2:V636),$V$2:$V$1001,0),MATCH(COLUMNS($AC$1006:AJ1006),$AC$1006:$AS$1006,0)), HYPERLINK("#",""), HYPERLINK(CONCATENATE("#metadata!", ADDRESS(INDEX($X$2:$X$1001,MATCH(ROWS($V$2:V636),$V$2:$V$1001,0),0), INDEX($AC$1004:$AS$1004,1,MATCH(COLUMNS($AC$1006:AJ1006),$AC$1006:$AS$1006,0)))),"Fix")))</f>
        <v xml:space="preserve"> </v>
      </c>
      <c r="J636" s="4" t="str">
        <f ca="1">IF(OR(INDEX($W$2:$W$1001,MATCH(ROWS($V$2:V636),$V$2:$V$1001,0),1)&gt;=100000,INDEX($AC$1005:$AS$1005,1,MATCH(COLUMNS($AC$1006:AK1006),$AC$1006:$AS$1006,0))&gt;=100000), " ",IF(INDEX($AC$2:$AS$1001,MATCH(ROWS($V$2:V636),$V$2:$V$1001,0),MATCH(COLUMNS($AC$1006:AK1006),$AC$1006:$AS$1006,0)), HYPERLINK("#",""), HYPERLINK(CONCATENATE("#metadata!", ADDRESS(INDEX($X$2:$X$1001,MATCH(ROWS($V$2:V636),$V$2:$V$1001,0),0), INDEX($AC$1004:$AS$1004,1,MATCH(COLUMNS($AC$1006:AK1006),$AC$1006:$AS$1006,0)))),"Fix")))</f>
        <v xml:space="preserve"> </v>
      </c>
      <c r="K636" s="4" t="str">
        <f ca="1">IF(OR(INDEX($W$2:$W$1001,MATCH(ROWS($V$2:V636),$V$2:$V$1001,0),1)&gt;=100000,INDEX($AC$1005:$AS$1005,1,MATCH(COLUMNS($AC$1006:AL1006),$AC$1006:$AS$1006,0))&gt;=100000), " ",IF(INDEX($AC$2:$AS$1001,MATCH(ROWS($V$2:V636),$V$2:$V$1001,0),MATCH(COLUMNS($AC$1006:AL1006),$AC$1006:$AS$1006,0)), HYPERLINK("#",""), HYPERLINK(CONCATENATE("#metadata!", ADDRESS(INDEX($X$2:$X$1001,MATCH(ROWS($V$2:V636),$V$2:$V$1001,0),0), INDEX($AC$1004:$AS$1004,1,MATCH(COLUMNS($AC$1006:AL1006),$AC$1006:$AS$1006,0)))),"Fix")))</f>
        <v xml:space="preserve"> </v>
      </c>
      <c r="L636" s="4" t="str">
        <f ca="1">IF(OR(INDEX($W$2:$W$1001,MATCH(ROWS($V$2:V636),$V$2:$V$1001,0),1)&gt;=100000,INDEX($AC$1005:$AS$1005,1,MATCH(COLUMNS($AC$1006:AM1006),$AC$1006:$AS$1006,0))&gt;=100000), " ",IF(INDEX($AC$2:$AS$1001,MATCH(ROWS($V$2:V636),$V$2:$V$1001,0),MATCH(COLUMNS($AC$1006:AM1006),$AC$1006:$AS$1006,0)), HYPERLINK("#",""), HYPERLINK(CONCATENATE("#metadata!", ADDRESS(INDEX($X$2:$X$1001,MATCH(ROWS($V$2:V636),$V$2:$V$1001,0),0), INDEX($AC$1004:$AS$1004,1,MATCH(COLUMNS($AC$1006:AM1006),$AC$1006:$AS$1006,0)))),"Fix")))</f>
        <v xml:space="preserve"> </v>
      </c>
      <c r="M636" s="4" t="str">
        <f ca="1">IF(OR(INDEX($W$2:$W$1001,MATCH(ROWS($V$2:V636),$V$2:$V$1001,0),1)&gt;=100000,INDEX($AC$1005:$AS$1005,1,MATCH(COLUMNS($AC$1006:AN1006),$AC$1006:$AS$1006,0))&gt;=100000), " ",IF(INDEX($AC$2:$AS$1001,MATCH(ROWS($V$2:V636),$V$2:$V$1001,0),MATCH(COLUMNS($AC$1006:AN1006),$AC$1006:$AS$1006,0)), HYPERLINK("#",""), HYPERLINK(CONCATENATE("#metadata!", ADDRESS(INDEX($X$2:$X$1001,MATCH(ROWS($V$2:V636),$V$2:$V$1001,0),0), INDEX($AC$1004:$AS$1004,1,MATCH(COLUMNS($AC$1006:AN1006),$AC$1006:$AS$1006,0)))),"Fix")))</f>
        <v xml:space="preserve"> </v>
      </c>
      <c r="N636" s="4" t="str">
        <f ca="1">IF(OR(INDEX($W$2:$W$1001,MATCH(ROWS($V$2:V636),$V$2:$V$1001,0),1)&gt;=100000,INDEX($AC$1005:$AS$1005,1,MATCH(COLUMNS($AC$1006:AO1006),$AC$1006:$AS$1006,0))&gt;=100000), " ",IF(INDEX($AC$2:$AS$1001,MATCH(ROWS($V$2:V636),$V$2:$V$1001,0),MATCH(COLUMNS($AC$1006:AO1006),$AC$1006:$AS$1006,0)), HYPERLINK("#",""), HYPERLINK(CONCATENATE("#metadata!", ADDRESS(INDEX($X$2:$X$1001,MATCH(ROWS($V$2:V636),$V$2:$V$1001,0),0), INDEX($AC$1004:$AS$1004,1,MATCH(COLUMNS($AC$1006:AO1006),$AC$1006:$AS$1006,0)))),"Fix")))</f>
        <v xml:space="preserve"> </v>
      </c>
      <c r="O636" s="4" t="str">
        <f ca="1">IF(OR(INDEX($W$2:$W$1001,MATCH(ROWS($V$2:V636),$V$2:$V$1001,0),1)&gt;=100000,INDEX($AC$1005:$AS$1005,1,MATCH(COLUMNS($AC$1006:AP1006),$AC$1006:$AS$1006,0))&gt;=100000), " ",IF(INDEX($AC$2:$AS$1001,MATCH(ROWS($V$2:V636),$V$2:$V$1001,0),MATCH(COLUMNS($AC$1006:AP1006),$AC$1006:$AS$1006,0)), HYPERLINK("#",""), HYPERLINK(CONCATENATE("#metadata!", ADDRESS(INDEX($X$2:$X$1001,MATCH(ROWS($V$2:V636),$V$2:$V$1001,0),0), INDEX($AC$1004:$AS$1004,1,MATCH(COLUMNS($AC$1006:AP1006),$AC$1006:$AS$1006,0)))),"Fix")))</f>
        <v xml:space="preserve"> </v>
      </c>
      <c r="P636" s="4" t="str">
        <f ca="1">IF(OR(INDEX($W$2:$W$1001,MATCH(ROWS($V$2:V636),$V$2:$V$1001,0),1)&gt;=100000,INDEX($AC$1005:$AS$1005,1,MATCH(COLUMNS($AC$1006:AQ1006),$AC$1006:$AS$1006,0))&gt;=100000), " ",IF(INDEX($AC$2:$AS$1001,MATCH(ROWS($V$2:V636),$V$2:$V$1001,0),MATCH(COLUMNS($AC$1006:AQ1006),$AC$1006:$AS$1006,0)), HYPERLINK("#",""), HYPERLINK(CONCATENATE("#metadata!", ADDRESS(INDEX($X$2:$X$1001,MATCH(ROWS($V$2:V636),$V$2:$V$1001,0),0), INDEX($AC$1004:$AS$1004,1,MATCH(COLUMNS($AC$1006:AQ1006),$AC$1006:$AS$1006,0)))),"Fix")))</f>
        <v xml:space="preserve"> </v>
      </c>
      <c r="Q636" s="4" t="str">
        <f ca="1">IF(OR(INDEX($W$2:$W$1001,MATCH(ROWS($V$2:V636),$V$2:$V$1001,0),1)&gt;=100000,INDEX($AC$1005:$AS$1005,1,MATCH(COLUMNS($AC$1006:AR1006),$AC$1006:$AS$1006,0))&gt;=100000), " ",IF(INDEX($AC$2:$AS$1001,MATCH(ROWS($V$2:V636),$V$2:$V$1001,0),MATCH(COLUMNS($AC$1006:AR1006),$AC$1006:$AS$1006,0)), HYPERLINK("#",""), HYPERLINK(CONCATENATE("#metadata!", ADDRESS(INDEX($X$2:$X$1001,MATCH(ROWS($V$2:V636),$V$2:$V$1001,0),0), INDEX($AC$1004:$AS$1004,1,MATCH(COLUMNS($AC$1006:AR1006),$AC$1006:$AS$1006,0)))),"Fix")))</f>
        <v xml:space="preserve"> </v>
      </c>
      <c r="R636" s="4" t="str">
        <f ca="1">IF(OR(INDEX($W$2:$W$1001,MATCH(ROWS($V$2:V636),$V$2:$V$1001,0),1)&gt;=100000,INDEX($AC$1005:$AS$1005,1,MATCH(COLUMNS($AC$1006:AS1006),$AC$1006:$AS$1006,0))&gt;=100000), " ",IF(INDEX($AC$2:$AS$1001,MATCH(ROWS($V$2:V636),$V$2:$V$1001,0),MATCH(COLUMNS($AC$1006:AS1006),$AC$1006:$AS$1006,0)), HYPERLINK("#",""), HYPERLINK(CONCATENATE("#metadata!", ADDRESS(INDEX($X$2:$X$1001,MATCH(ROWS($V$2:V636),$V$2:$V$1001,0),0), INDEX($AC$1004:$AS$1004,1,MATCH(COLUMNS($AC$1006:AS1006),$AC$1006:$AS$1006,0)))),"Fix")))</f>
        <v xml:space="preserve"> </v>
      </c>
      <c r="V636">
        <v>635</v>
      </c>
      <c r="W636">
        <v>100636</v>
      </c>
      <c r="X636">
        <v>636</v>
      </c>
      <c r="Y636" t="b">
        <f t="shared" si="9"/>
        <v>1</v>
      </c>
      <c r="Z636" t="b">
        <f>COUNTBLANK(metadata!B636:R636)=COLUMNS(metadata!B636:R636)</f>
        <v>1</v>
      </c>
      <c r="AA636" t="str">
        <v/>
      </c>
      <c r="AC636" t="b">
        <f ca="1"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AD636" t="b">
        <f>IF(metadata!C636="",FALSE,ISNUMBER(VALUE(metadata!C636)))</f>
        <v>0</v>
      </c>
      <c r="AE636" t="b">
        <f>AND(IF(metadata!D636="",FALSE,TRUE),EXACT(metadata!D636,"years"))</f>
        <v>0</v>
      </c>
      <c r="AF636" t="b">
        <f>OR(AND(IF(metadata!E636="",FALSE,TRUE),OR(EXACT(metadata!E636,"not applicable"),EXACT(metadata!E636,"missing: not collected"),EXACT(metadata!E636,"missing: not provided"),EXACT(metadata!E636,"missing: restricted access"))),AND(IF(metadata!E636="",FALSE,ISNUMBER(VALUE(metadata!E636))),metadata!E636&gt;0))</f>
        <v>0</v>
      </c>
      <c r="AG636" t="b">
        <f>AND(IF(metadata!F636="",FALSE,TRUE),EXACT(metadata!F636,"Not applicable"))</f>
        <v>0</v>
      </c>
      <c r="AH636" t="b">
        <f>AND(IF(metadata!G636="",FALSE,TRUE),EXACT(metadata!G636,"urban biome"))</f>
        <v>0</v>
      </c>
      <c r="AI636" t="b">
        <f>AND(IF(metadata!H636="",FALSE,TRUE),EXACT(metadata!H636,"human-associated habitat"))</f>
        <v>0</v>
      </c>
      <c r="AJ636" t="b">
        <f>AND(IF(metadata!I636="",FALSE,TRUE),OR(EXACT(metadata!I636,"human-associated"),EXACT(metadata!I636,"human-skin"),EXACT(metadata!I636,"human-oral"),EXACT(metadata!I636,"human-gut"),EXACT(metadata!I636,"human-vaginal")))</f>
        <v>0</v>
      </c>
      <c r="AK636" t="b">
        <f>IF(metadata!J636="",FALSE,ISNUMBER(VALUE(metadata!J636)))</f>
        <v>0</v>
      </c>
      <c r="AL636" t="b">
        <f>AND(IF(metadata!K636="",FALSE,TRUE),EXACT(metadata!K636,"cm"))</f>
        <v>0</v>
      </c>
      <c r="AM636" t="b">
        <f>AND(IF(metadata!L636="",FALSE,TRUE),EXACT(metadata!L636,"human"))</f>
        <v>0</v>
      </c>
      <c r="AN636" t="b">
        <f>AND(IF(metadata!M636="",FALSE,TRUE),EXACT(metadata!M636,"Homo sapiens"))</f>
        <v>0</v>
      </c>
      <c r="AO636" t="b">
        <f>AND(IF(metadata!N636="",FALSE,TRUE),EXACT(metadata!N636,"9606"))</f>
        <v>0</v>
      </c>
      <c r="AP636" t="b">
        <f>IF(metadata!O636="",FALSE,TRUE)</f>
        <v>0</v>
      </c>
      <c r="AQ636" t="b">
        <f>IF(metadata!P636="",FALSE,TRUE)</f>
        <v>0</v>
      </c>
      <c r="AR636" t="b">
        <f>IF(metadata!Q636="",FALSE,ISNUMBER(VALUE(metadata!Q636)))</f>
        <v>0</v>
      </c>
      <c r="AS636" t="b">
        <f>AND(IF(metadata!R636="",FALSE,TRUE),EXACT(metadata!R636,"kg"))</f>
        <v>0</v>
      </c>
    </row>
    <row r="637" spans="1:45" x14ac:dyDescent="0.2">
      <c r="A637" s="5" t="str">
        <f ca="1">IF(B637=" "," ",HYPERLINK(CONCATENATE("#metadata!",ADDRESS(INDEX($X$2:$X$1001,MATCH(ROWS($V$2:V637),$V$2:$V$1001,0),0),1)),INDEX($AA$2:$AA$1001,MATCH(ROWS($V$2:V637),$V$2:$V$1001,0),0)))</f>
        <v xml:space="preserve"> </v>
      </c>
      <c r="B637" s="4" t="str">
        <f ca="1">IF(OR(INDEX($W$2:$W$1001,MATCH(ROWS($V$2:V637),$V$2:$V$1001,0),1)&gt;=100000,INDEX($AC$1005:$AS$1005,1,MATCH(COLUMNS($AC$1006:AC1006),$AC$1006:$AS$1006,0))&gt;=100000), " ",IF(INDEX($AC$2:$AS$1001,MATCH(ROWS($V$2:V637),$V$2:$V$1001,0),MATCH(COLUMNS($AC$1006:AC1006),$AC$1006:$AS$1006,0)), HYPERLINK("#",""), HYPERLINK(CONCATENATE("#metadata!", ADDRESS(INDEX($X$2:$X$1001,MATCH(ROWS($V$2:V637),$V$2:$V$1001,0),0), INDEX($AC$1004:$AS$1004,1,MATCH(COLUMNS($AC$1006:AC1006),$AC$1006:$AS$1006,0)))),"Fix")))</f>
        <v xml:space="preserve"> </v>
      </c>
      <c r="C637" s="4" t="str">
        <f ca="1">IF(OR(INDEX($W$2:$W$1001,MATCH(ROWS($V$2:V637),$V$2:$V$1001,0),1)&gt;=100000,INDEX($AC$1005:$AS$1005,1,MATCH(COLUMNS($AC$1006:AD1006),$AC$1006:$AS$1006,0))&gt;=100000), " ",IF(INDEX($AC$2:$AS$1001,MATCH(ROWS($V$2:V637),$V$2:$V$1001,0),MATCH(COLUMNS($AC$1006:AD1006),$AC$1006:$AS$1006,0)), HYPERLINK("#",""), HYPERLINK(CONCATENATE("#metadata!", ADDRESS(INDEX($X$2:$X$1001,MATCH(ROWS($V$2:V637),$V$2:$V$1001,0),0), INDEX($AC$1004:$AS$1004,1,MATCH(COLUMNS($AC$1006:AD1006),$AC$1006:$AS$1006,0)))),"Fix")))</f>
        <v xml:space="preserve"> </v>
      </c>
      <c r="D637" s="4" t="str">
        <f ca="1">IF(OR(INDEX($W$2:$W$1001,MATCH(ROWS($V$2:V637),$V$2:$V$1001,0),1)&gt;=100000,INDEX($AC$1005:$AS$1005,1,MATCH(COLUMNS($AC$1006:AE1006),$AC$1006:$AS$1006,0))&gt;=100000), " ",IF(INDEX($AC$2:$AS$1001,MATCH(ROWS($V$2:V637),$V$2:$V$1001,0),MATCH(COLUMNS($AC$1006:AE1006),$AC$1006:$AS$1006,0)), HYPERLINK("#",""), HYPERLINK(CONCATENATE("#metadata!", ADDRESS(INDEX($X$2:$X$1001,MATCH(ROWS($V$2:V637),$V$2:$V$1001,0),0), INDEX($AC$1004:$AS$1004,1,MATCH(COLUMNS($AC$1006:AE1006),$AC$1006:$AS$1006,0)))),"Fix")))</f>
        <v xml:space="preserve"> </v>
      </c>
      <c r="E637" s="4" t="str">
        <f ca="1">IF(OR(INDEX($W$2:$W$1001,MATCH(ROWS($V$2:V637),$V$2:$V$1001,0),1)&gt;=100000,INDEX($AC$1005:$AS$1005,1,MATCH(COLUMNS($AC$1006:AF1006),$AC$1006:$AS$1006,0))&gt;=100000), " ",IF(INDEX($AC$2:$AS$1001,MATCH(ROWS($V$2:V637),$V$2:$V$1001,0),MATCH(COLUMNS($AC$1006:AF1006),$AC$1006:$AS$1006,0)), HYPERLINK("#",""), HYPERLINK(CONCATENATE("#metadata!", ADDRESS(INDEX($X$2:$X$1001,MATCH(ROWS($V$2:V637),$V$2:$V$1001,0),0), INDEX($AC$1004:$AS$1004,1,MATCH(COLUMNS($AC$1006:AF1006),$AC$1006:$AS$1006,0)))),"Fix")))</f>
        <v xml:space="preserve"> </v>
      </c>
      <c r="F637" s="4" t="str">
        <f ca="1">IF(OR(INDEX($W$2:$W$1001,MATCH(ROWS($V$2:V637),$V$2:$V$1001,0),1)&gt;=100000,INDEX($AC$1005:$AS$1005,1,MATCH(COLUMNS($AC$1006:AG1006),$AC$1006:$AS$1006,0))&gt;=100000), " ",IF(INDEX($AC$2:$AS$1001,MATCH(ROWS($V$2:V637),$V$2:$V$1001,0),MATCH(COLUMNS($AC$1006:AG1006),$AC$1006:$AS$1006,0)), HYPERLINK("#",""), HYPERLINK(CONCATENATE("#metadata!", ADDRESS(INDEX($X$2:$X$1001,MATCH(ROWS($V$2:V637),$V$2:$V$1001,0),0), INDEX($AC$1004:$AS$1004,1,MATCH(COLUMNS($AC$1006:AG1006),$AC$1006:$AS$1006,0)))),"Fix")))</f>
        <v xml:space="preserve"> </v>
      </c>
      <c r="G637" s="4" t="str">
        <f ca="1">IF(OR(INDEX($W$2:$W$1001,MATCH(ROWS($V$2:V637),$V$2:$V$1001,0),1)&gt;=100000,INDEX($AC$1005:$AS$1005,1,MATCH(COLUMNS($AC$1006:AH1006),$AC$1006:$AS$1006,0))&gt;=100000), " ",IF(INDEX($AC$2:$AS$1001,MATCH(ROWS($V$2:V637),$V$2:$V$1001,0),MATCH(COLUMNS($AC$1006:AH1006),$AC$1006:$AS$1006,0)), HYPERLINK("#",""), HYPERLINK(CONCATENATE("#metadata!", ADDRESS(INDEX($X$2:$X$1001,MATCH(ROWS($V$2:V637),$V$2:$V$1001,0),0), INDEX($AC$1004:$AS$1004,1,MATCH(COLUMNS($AC$1006:AH1006),$AC$1006:$AS$1006,0)))),"Fix")))</f>
        <v xml:space="preserve"> </v>
      </c>
      <c r="H637" s="4" t="str">
        <f ca="1">IF(OR(INDEX($W$2:$W$1001,MATCH(ROWS($V$2:V637),$V$2:$V$1001,0),1)&gt;=100000,INDEX($AC$1005:$AS$1005,1,MATCH(COLUMNS($AC$1006:AI1006),$AC$1006:$AS$1006,0))&gt;=100000), " ",IF(INDEX($AC$2:$AS$1001,MATCH(ROWS($V$2:V637),$V$2:$V$1001,0),MATCH(COLUMNS($AC$1006:AI1006),$AC$1006:$AS$1006,0)), HYPERLINK("#",""), HYPERLINK(CONCATENATE("#metadata!", ADDRESS(INDEX($X$2:$X$1001,MATCH(ROWS($V$2:V637),$V$2:$V$1001,0),0), INDEX($AC$1004:$AS$1004,1,MATCH(COLUMNS($AC$1006:AI1006),$AC$1006:$AS$1006,0)))),"Fix")))</f>
        <v xml:space="preserve"> </v>
      </c>
      <c r="I637" s="4" t="str">
        <f ca="1">IF(OR(INDEX($W$2:$W$1001,MATCH(ROWS($V$2:V637),$V$2:$V$1001,0),1)&gt;=100000,INDEX($AC$1005:$AS$1005,1,MATCH(COLUMNS($AC$1006:AJ1006),$AC$1006:$AS$1006,0))&gt;=100000), " ",IF(INDEX($AC$2:$AS$1001,MATCH(ROWS($V$2:V637),$V$2:$V$1001,0),MATCH(COLUMNS($AC$1006:AJ1006),$AC$1006:$AS$1006,0)), HYPERLINK("#",""), HYPERLINK(CONCATENATE("#metadata!", ADDRESS(INDEX($X$2:$X$1001,MATCH(ROWS($V$2:V637),$V$2:$V$1001,0),0), INDEX($AC$1004:$AS$1004,1,MATCH(COLUMNS($AC$1006:AJ1006),$AC$1006:$AS$1006,0)))),"Fix")))</f>
        <v xml:space="preserve"> </v>
      </c>
      <c r="J637" s="4" t="str">
        <f ca="1">IF(OR(INDEX($W$2:$W$1001,MATCH(ROWS($V$2:V637),$V$2:$V$1001,0),1)&gt;=100000,INDEX($AC$1005:$AS$1005,1,MATCH(COLUMNS($AC$1006:AK1006),$AC$1006:$AS$1006,0))&gt;=100000), " ",IF(INDEX($AC$2:$AS$1001,MATCH(ROWS($V$2:V637),$V$2:$V$1001,0),MATCH(COLUMNS($AC$1006:AK1006),$AC$1006:$AS$1006,0)), HYPERLINK("#",""), HYPERLINK(CONCATENATE("#metadata!", ADDRESS(INDEX($X$2:$X$1001,MATCH(ROWS($V$2:V637),$V$2:$V$1001,0),0), INDEX($AC$1004:$AS$1004,1,MATCH(COLUMNS($AC$1006:AK1006),$AC$1006:$AS$1006,0)))),"Fix")))</f>
        <v xml:space="preserve"> </v>
      </c>
      <c r="K637" s="4" t="str">
        <f ca="1">IF(OR(INDEX($W$2:$W$1001,MATCH(ROWS($V$2:V637),$V$2:$V$1001,0),1)&gt;=100000,INDEX($AC$1005:$AS$1005,1,MATCH(COLUMNS($AC$1006:AL1006),$AC$1006:$AS$1006,0))&gt;=100000), " ",IF(INDEX($AC$2:$AS$1001,MATCH(ROWS($V$2:V637),$V$2:$V$1001,0),MATCH(COLUMNS($AC$1006:AL1006),$AC$1006:$AS$1006,0)), HYPERLINK("#",""), HYPERLINK(CONCATENATE("#metadata!", ADDRESS(INDEX($X$2:$X$1001,MATCH(ROWS($V$2:V637),$V$2:$V$1001,0),0), INDEX($AC$1004:$AS$1004,1,MATCH(COLUMNS($AC$1006:AL1006),$AC$1006:$AS$1006,0)))),"Fix")))</f>
        <v xml:space="preserve"> </v>
      </c>
      <c r="L637" s="4" t="str">
        <f ca="1">IF(OR(INDEX($W$2:$W$1001,MATCH(ROWS($V$2:V637),$V$2:$V$1001,0),1)&gt;=100000,INDEX($AC$1005:$AS$1005,1,MATCH(COLUMNS($AC$1006:AM1006),$AC$1006:$AS$1006,0))&gt;=100000), " ",IF(INDEX($AC$2:$AS$1001,MATCH(ROWS($V$2:V637),$V$2:$V$1001,0),MATCH(COLUMNS($AC$1006:AM1006),$AC$1006:$AS$1006,0)), HYPERLINK("#",""), HYPERLINK(CONCATENATE("#metadata!", ADDRESS(INDEX($X$2:$X$1001,MATCH(ROWS($V$2:V637),$V$2:$V$1001,0),0), INDEX($AC$1004:$AS$1004,1,MATCH(COLUMNS($AC$1006:AM1006),$AC$1006:$AS$1006,0)))),"Fix")))</f>
        <v xml:space="preserve"> </v>
      </c>
      <c r="M637" s="4" t="str">
        <f ca="1">IF(OR(INDEX($W$2:$W$1001,MATCH(ROWS($V$2:V637),$V$2:$V$1001,0),1)&gt;=100000,INDEX($AC$1005:$AS$1005,1,MATCH(COLUMNS($AC$1006:AN1006),$AC$1006:$AS$1006,0))&gt;=100000), " ",IF(INDEX($AC$2:$AS$1001,MATCH(ROWS($V$2:V637),$V$2:$V$1001,0),MATCH(COLUMNS($AC$1006:AN1006),$AC$1006:$AS$1006,0)), HYPERLINK("#",""), HYPERLINK(CONCATENATE("#metadata!", ADDRESS(INDEX($X$2:$X$1001,MATCH(ROWS($V$2:V637),$V$2:$V$1001,0),0), INDEX($AC$1004:$AS$1004,1,MATCH(COLUMNS($AC$1006:AN1006),$AC$1006:$AS$1006,0)))),"Fix")))</f>
        <v xml:space="preserve"> </v>
      </c>
      <c r="N637" s="4" t="str">
        <f ca="1">IF(OR(INDEX($W$2:$W$1001,MATCH(ROWS($V$2:V637),$V$2:$V$1001,0),1)&gt;=100000,INDEX($AC$1005:$AS$1005,1,MATCH(COLUMNS($AC$1006:AO1006),$AC$1006:$AS$1006,0))&gt;=100000), " ",IF(INDEX($AC$2:$AS$1001,MATCH(ROWS($V$2:V637),$V$2:$V$1001,0),MATCH(COLUMNS($AC$1006:AO1006),$AC$1006:$AS$1006,0)), HYPERLINK("#",""), HYPERLINK(CONCATENATE("#metadata!", ADDRESS(INDEX($X$2:$X$1001,MATCH(ROWS($V$2:V637),$V$2:$V$1001,0),0), INDEX($AC$1004:$AS$1004,1,MATCH(COLUMNS($AC$1006:AO1006),$AC$1006:$AS$1006,0)))),"Fix")))</f>
        <v xml:space="preserve"> </v>
      </c>
      <c r="O637" s="4" t="str">
        <f ca="1">IF(OR(INDEX($W$2:$W$1001,MATCH(ROWS($V$2:V637),$V$2:$V$1001,0),1)&gt;=100000,INDEX($AC$1005:$AS$1005,1,MATCH(COLUMNS($AC$1006:AP1006),$AC$1006:$AS$1006,0))&gt;=100000), " ",IF(INDEX($AC$2:$AS$1001,MATCH(ROWS($V$2:V637),$V$2:$V$1001,0),MATCH(COLUMNS($AC$1006:AP1006),$AC$1006:$AS$1006,0)), HYPERLINK("#",""), HYPERLINK(CONCATENATE("#metadata!", ADDRESS(INDEX($X$2:$X$1001,MATCH(ROWS($V$2:V637),$V$2:$V$1001,0),0), INDEX($AC$1004:$AS$1004,1,MATCH(COLUMNS($AC$1006:AP1006),$AC$1006:$AS$1006,0)))),"Fix")))</f>
        <v xml:space="preserve"> </v>
      </c>
      <c r="P637" s="4" t="str">
        <f ca="1">IF(OR(INDEX($W$2:$W$1001,MATCH(ROWS($V$2:V637),$V$2:$V$1001,0),1)&gt;=100000,INDEX($AC$1005:$AS$1005,1,MATCH(COLUMNS($AC$1006:AQ1006),$AC$1006:$AS$1006,0))&gt;=100000), " ",IF(INDEX($AC$2:$AS$1001,MATCH(ROWS($V$2:V637),$V$2:$V$1001,0),MATCH(COLUMNS($AC$1006:AQ1006),$AC$1006:$AS$1006,0)), HYPERLINK("#",""), HYPERLINK(CONCATENATE("#metadata!", ADDRESS(INDEX($X$2:$X$1001,MATCH(ROWS($V$2:V637),$V$2:$V$1001,0),0), INDEX($AC$1004:$AS$1004,1,MATCH(COLUMNS($AC$1006:AQ1006),$AC$1006:$AS$1006,0)))),"Fix")))</f>
        <v xml:space="preserve"> </v>
      </c>
      <c r="Q637" s="4" t="str">
        <f ca="1">IF(OR(INDEX($W$2:$W$1001,MATCH(ROWS($V$2:V637),$V$2:$V$1001,0),1)&gt;=100000,INDEX($AC$1005:$AS$1005,1,MATCH(COLUMNS($AC$1006:AR1006),$AC$1006:$AS$1006,0))&gt;=100000), " ",IF(INDEX($AC$2:$AS$1001,MATCH(ROWS($V$2:V637),$V$2:$V$1001,0),MATCH(COLUMNS($AC$1006:AR1006),$AC$1006:$AS$1006,0)), HYPERLINK("#",""), HYPERLINK(CONCATENATE("#metadata!", ADDRESS(INDEX($X$2:$X$1001,MATCH(ROWS($V$2:V637),$V$2:$V$1001,0),0), INDEX($AC$1004:$AS$1004,1,MATCH(COLUMNS($AC$1006:AR1006),$AC$1006:$AS$1006,0)))),"Fix")))</f>
        <v xml:space="preserve"> </v>
      </c>
      <c r="R637" s="4" t="str">
        <f ca="1">IF(OR(INDEX($W$2:$W$1001,MATCH(ROWS($V$2:V637),$V$2:$V$1001,0),1)&gt;=100000,INDEX($AC$1005:$AS$1005,1,MATCH(COLUMNS($AC$1006:AS1006),$AC$1006:$AS$1006,0))&gt;=100000), " ",IF(INDEX($AC$2:$AS$1001,MATCH(ROWS($V$2:V637),$V$2:$V$1001,0),MATCH(COLUMNS($AC$1006:AS1006),$AC$1006:$AS$1006,0)), HYPERLINK("#",""), HYPERLINK(CONCATENATE("#metadata!", ADDRESS(INDEX($X$2:$X$1001,MATCH(ROWS($V$2:V637),$V$2:$V$1001,0),0), INDEX($AC$1004:$AS$1004,1,MATCH(COLUMNS($AC$1006:AS1006),$AC$1006:$AS$1006,0)))),"Fix")))</f>
        <v xml:space="preserve"> </v>
      </c>
      <c r="V637">
        <v>636</v>
      </c>
      <c r="W637">
        <v>100637</v>
      </c>
      <c r="X637">
        <v>637</v>
      </c>
      <c r="Y637" t="b">
        <f t="shared" si="9"/>
        <v>1</v>
      </c>
      <c r="Z637" t="b">
        <f>COUNTBLANK(metadata!B637:R637)=COLUMNS(metadata!B637:R637)</f>
        <v>1</v>
      </c>
      <c r="AA637" t="str">
        <v/>
      </c>
      <c r="AC637" t="b">
        <f ca="1"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AD637" t="b">
        <f>IF(metadata!C637="",FALSE,ISNUMBER(VALUE(metadata!C637)))</f>
        <v>0</v>
      </c>
      <c r="AE637" t="b">
        <f>AND(IF(metadata!D637="",FALSE,TRUE),EXACT(metadata!D637,"years"))</f>
        <v>0</v>
      </c>
      <c r="AF637" t="b">
        <f>OR(AND(IF(metadata!E637="",FALSE,TRUE),OR(EXACT(metadata!E637,"not applicable"),EXACT(metadata!E637,"missing: not collected"),EXACT(metadata!E637,"missing: not provided"),EXACT(metadata!E637,"missing: restricted access"))),AND(IF(metadata!E637="",FALSE,ISNUMBER(VALUE(metadata!E637))),metadata!E637&gt;0))</f>
        <v>0</v>
      </c>
      <c r="AG637" t="b">
        <f>AND(IF(metadata!F637="",FALSE,TRUE),EXACT(metadata!F637,"Not applicable"))</f>
        <v>0</v>
      </c>
      <c r="AH637" t="b">
        <f>AND(IF(metadata!G637="",FALSE,TRUE),EXACT(metadata!G637,"urban biome"))</f>
        <v>0</v>
      </c>
      <c r="AI637" t="b">
        <f>AND(IF(metadata!H637="",FALSE,TRUE),EXACT(metadata!H637,"human-associated habitat"))</f>
        <v>0</v>
      </c>
      <c r="AJ637" t="b">
        <f>AND(IF(metadata!I637="",FALSE,TRUE),OR(EXACT(metadata!I637,"human-associated"),EXACT(metadata!I637,"human-skin"),EXACT(metadata!I637,"human-oral"),EXACT(metadata!I637,"human-gut"),EXACT(metadata!I637,"human-vaginal")))</f>
        <v>0</v>
      </c>
      <c r="AK637" t="b">
        <f>IF(metadata!J637="",FALSE,ISNUMBER(VALUE(metadata!J637)))</f>
        <v>0</v>
      </c>
      <c r="AL637" t="b">
        <f>AND(IF(metadata!K637="",FALSE,TRUE),EXACT(metadata!K637,"cm"))</f>
        <v>0</v>
      </c>
      <c r="AM637" t="b">
        <f>AND(IF(metadata!L637="",FALSE,TRUE),EXACT(metadata!L637,"human"))</f>
        <v>0</v>
      </c>
      <c r="AN637" t="b">
        <f>AND(IF(metadata!M637="",FALSE,TRUE),EXACT(metadata!M637,"Homo sapiens"))</f>
        <v>0</v>
      </c>
      <c r="AO637" t="b">
        <f>AND(IF(metadata!N637="",FALSE,TRUE),EXACT(metadata!N637,"9606"))</f>
        <v>0</v>
      </c>
      <c r="AP637" t="b">
        <f>IF(metadata!O637="",FALSE,TRUE)</f>
        <v>0</v>
      </c>
      <c r="AQ637" t="b">
        <f>IF(metadata!P637="",FALSE,TRUE)</f>
        <v>0</v>
      </c>
      <c r="AR637" t="b">
        <f>IF(metadata!Q637="",FALSE,ISNUMBER(VALUE(metadata!Q637)))</f>
        <v>0</v>
      </c>
      <c r="AS637" t="b">
        <f>AND(IF(metadata!R637="",FALSE,TRUE),EXACT(metadata!R637,"kg"))</f>
        <v>0</v>
      </c>
    </row>
    <row r="638" spans="1:45" x14ac:dyDescent="0.2">
      <c r="A638" s="5" t="str">
        <f ca="1">IF(B638=" "," ",HYPERLINK(CONCATENATE("#metadata!",ADDRESS(INDEX($X$2:$X$1001,MATCH(ROWS($V$2:V638),$V$2:$V$1001,0),0),1)),INDEX($AA$2:$AA$1001,MATCH(ROWS($V$2:V638),$V$2:$V$1001,0),0)))</f>
        <v xml:space="preserve"> </v>
      </c>
      <c r="B638" s="4" t="str">
        <f ca="1">IF(OR(INDEX($W$2:$W$1001,MATCH(ROWS($V$2:V638),$V$2:$V$1001,0),1)&gt;=100000,INDEX($AC$1005:$AS$1005,1,MATCH(COLUMNS($AC$1006:AC1006),$AC$1006:$AS$1006,0))&gt;=100000), " ",IF(INDEX($AC$2:$AS$1001,MATCH(ROWS($V$2:V638),$V$2:$V$1001,0),MATCH(COLUMNS($AC$1006:AC1006),$AC$1006:$AS$1006,0)), HYPERLINK("#",""), HYPERLINK(CONCATENATE("#metadata!", ADDRESS(INDEX($X$2:$X$1001,MATCH(ROWS($V$2:V638),$V$2:$V$1001,0),0), INDEX($AC$1004:$AS$1004,1,MATCH(COLUMNS($AC$1006:AC1006),$AC$1006:$AS$1006,0)))),"Fix")))</f>
        <v xml:space="preserve"> </v>
      </c>
      <c r="C638" s="4" t="str">
        <f ca="1">IF(OR(INDEX($W$2:$W$1001,MATCH(ROWS($V$2:V638),$V$2:$V$1001,0),1)&gt;=100000,INDEX($AC$1005:$AS$1005,1,MATCH(COLUMNS($AC$1006:AD1006),$AC$1006:$AS$1006,0))&gt;=100000), " ",IF(INDEX($AC$2:$AS$1001,MATCH(ROWS($V$2:V638),$V$2:$V$1001,0),MATCH(COLUMNS($AC$1006:AD1006),$AC$1006:$AS$1006,0)), HYPERLINK("#",""), HYPERLINK(CONCATENATE("#metadata!", ADDRESS(INDEX($X$2:$X$1001,MATCH(ROWS($V$2:V638),$V$2:$V$1001,0),0), INDEX($AC$1004:$AS$1004,1,MATCH(COLUMNS($AC$1006:AD1006),$AC$1006:$AS$1006,0)))),"Fix")))</f>
        <v xml:space="preserve"> </v>
      </c>
      <c r="D638" s="4" t="str">
        <f ca="1">IF(OR(INDEX($W$2:$W$1001,MATCH(ROWS($V$2:V638),$V$2:$V$1001,0),1)&gt;=100000,INDEX($AC$1005:$AS$1005,1,MATCH(COLUMNS($AC$1006:AE1006),$AC$1006:$AS$1006,0))&gt;=100000), " ",IF(INDEX($AC$2:$AS$1001,MATCH(ROWS($V$2:V638),$V$2:$V$1001,0),MATCH(COLUMNS($AC$1006:AE1006),$AC$1006:$AS$1006,0)), HYPERLINK("#",""), HYPERLINK(CONCATENATE("#metadata!", ADDRESS(INDEX($X$2:$X$1001,MATCH(ROWS($V$2:V638),$V$2:$V$1001,0),0), INDEX($AC$1004:$AS$1004,1,MATCH(COLUMNS($AC$1006:AE1006),$AC$1006:$AS$1006,0)))),"Fix")))</f>
        <v xml:space="preserve"> </v>
      </c>
      <c r="E638" s="4" t="str">
        <f ca="1">IF(OR(INDEX($W$2:$W$1001,MATCH(ROWS($V$2:V638),$V$2:$V$1001,0),1)&gt;=100000,INDEX($AC$1005:$AS$1005,1,MATCH(COLUMNS($AC$1006:AF1006),$AC$1006:$AS$1006,0))&gt;=100000), " ",IF(INDEX($AC$2:$AS$1001,MATCH(ROWS($V$2:V638),$V$2:$V$1001,0),MATCH(COLUMNS($AC$1006:AF1006),$AC$1006:$AS$1006,0)), HYPERLINK("#",""), HYPERLINK(CONCATENATE("#metadata!", ADDRESS(INDEX($X$2:$X$1001,MATCH(ROWS($V$2:V638),$V$2:$V$1001,0),0), INDEX($AC$1004:$AS$1004,1,MATCH(COLUMNS($AC$1006:AF1006),$AC$1006:$AS$1006,0)))),"Fix")))</f>
        <v xml:space="preserve"> </v>
      </c>
      <c r="F638" s="4" t="str">
        <f ca="1">IF(OR(INDEX($W$2:$W$1001,MATCH(ROWS($V$2:V638),$V$2:$V$1001,0),1)&gt;=100000,INDEX($AC$1005:$AS$1005,1,MATCH(COLUMNS($AC$1006:AG1006),$AC$1006:$AS$1006,0))&gt;=100000), " ",IF(INDEX($AC$2:$AS$1001,MATCH(ROWS($V$2:V638),$V$2:$V$1001,0),MATCH(COLUMNS($AC$1006:AG1006),$AC$1006:$AS$1006,0)), HYPERLINK("#",""), HYPERLINK(CONCATENATE("#metadata!", ADDRESS(INDEX($X$2:$X$1001,MATCH(ROWS($V$2:V638),$V$2:$V$1001,0),0), INDEX($AC$1004:$AS$1004,1,MATCH(COLUMNS($AC$1006:AG1006),$AC$1006:$AS$1006,0)))),"Fix")))</f>
        <v xml:space="preserve"> </v>
      </c>
      <c r="G638" s="4" t="str">
        <f ca="1">IF(OR(INDEX($W$2:$W$1001,MATCH(ROWS($V$2:V638),$V$2:$V$1001,0),1)&gt;=100000,INDEX($AC$1005:$AS$1005,1,MATCH(COLUMNS($AC$1006:AH1006),$AC$1006:$AS$1006,0))&gt;=100000), " ",IF(INDEX($AC$2:$AS$1001,MATCH(ROWS($V$2:V638),$V$2:$V$1001,0),MATCH(COLUMNS($AC$1006:AH1006),$AC$1006:$AS$1006,0)), HYPERLINK("#",""), HYPERLINK(CONCATENATE("#metadata!", ADDRESS(INDEX($X$2:$X$1001,MATCH(ROWS($V$2:V638),$V$2:$V$1001,0),0), INDEX($AC$1004:$AS$1004,1,MATCH(COLUMNS($AC$1006:AH1006),$AC$1006:$AS$1006,0)))),"Fix")))</f>
        <v xml:space="preserve"> </v>
      </c>
      <c r="H638" s="4" t="str">
        <f ca="1">IF(OR(INDEX($W$2:$W$1001,MATCH(ROWS($V$2:V638),$V$2:$V$1001,0),1)&gt;=100000,INDEX($AC$1005:$AS$1005,1,MATCH(COLUMNS($AC$1006:AI1006),$AC$1006:$AS$1006,0))&gt;=100000), " ",IF(INDEX($AC$2:$AS$1001,MATCH(ROWS($V$2:V638),$V$2:$V$1001,0),MATCH(COLUMNS($AC$1006:AI1006),$AC$1006:$AS$1006,0)), HYPERLINK("#",""), HYPERLINK(CONCATENATE("#metadata!", ADDRESS(INDEX($X$2:$X$1001,MATCH(ROWS($V$2:V638),$V$2:$V$1001,0),0), INDEX($AC$1004:$AS$1004,1,MATCH(COLUMNS($AC$1006:AI1006),$AC$1006:$AS$1006,0)))),"Fix")))</f>
        <v xml:space="preserve"> </v>
      </c>
      <c r="I638" s="4" t="str">
        <f ca="1">IF(OR(INDEX($W$2:$W$1001,MATCH(ROWS($V$2:V638),$V$2:$V$1001,0),1)&gt;=100000,INDEX($AC$1005:$AS$1005,1,MATCH(COLUMNS($AC$1006:AJ1006),$AC$1006:$AS$1006,0))&gt;=100000), " ",IF(INDEX($AC$2:$AS$1001,MATCH(ROWS($V$2:V638),$V$2:$V$1001,0),MATCH(COLUMNS($AC$1006:AJ1006),$AC$1006:$AS$1006,0)), HYPERLINK("#",""), HYPERLINK(CONCATENATE("#metadata!", ADDRESS(INDEX($X$2:$X$1001,MATCH(ROWS($V$2:V638),$V$2:$V$1001,0),0), INDEX($AC$1004:$AS$1004,1,MATCH(COLUMNS($AC$1006:AJ1006),$AC$1006:$AS$1006,0)))),"Fix")))</f>
        <v xml:space="preserve"> </v>
      </c>
      <c r="J638" s="4" t="str">
        <f ca="1">IF(OR(INDEX($W$2:$W$1001,MATCH(ROWS($V$2:V638),$V$2:$V$1001,0),1)&gt;=100000,INDEX($AC$1005:$AS$1005,1,MATCH(COLUMNS($AC$1006:AK1006),$AC$1006:$AS$1006,0))&gt;=100000), " ",IF(INDEX($AC$2:$AS$1001,MATCH(ROWS($V$2:V638),$V$2:$V$1001,0),MATCH(COLUMNS($AC$1006:AK1006),$AC$1006:$AS$1006,0)), HYPERLINK("#",""), HYPERLINK(CONCATENATE("#metadata!", ADDRESS(INDEX($X$2:$X$1001,MATCH(ROWS($V$2:V638),$V$2:$V$1001,0),0), INDEX($AC$1004:$AS$1004,1,MATCH(COLUMNS($AC$1006:AK1006),$AC$1006:$AS$1006,0)))),"Fix")))</f>
        <v xml:space="preserve"> </v>
      </c>
      <c r="K638" s="4" t="str">
        <f ca="1">IF(OR(INDEX($W$2:$W$1001,MATCH(ROWS($V$2:V638),$V$2:$V$1001,0),1)&gt;=100000,INDEX($AC$1005:$AS$1005,1,MATCH(COLUMNS($AC$1006:AL1006),$AC$1006:$AS$1006,0))&gt;=100000), " ",IF(INDEX($AC$2:$AS$1001,MATCH(ROWS($V$2:V638),$V$2:$V$1001,0),MATCH(COLUMNS($AC$1006:AL1006),$AC$1006:$AS$1006,0)), HYPERLINK("#",""), HYPERLINK(CONCATENATE("#metadata!", ADDRESS(INDEX($X$2:$X$1001,MATCH(ROWS($V$2:V638),$V$2:$V$1001,0),0), INDEX($AC$1004:$AS$1004,1,MATCH(COLUMNS($AC$1006:AL1006),$AC$1006:$AS$1006,0)))),"Fix")))</f>
        <v xml:space="preserve"> </v>
      </c>
      <c r="L638" s="4" t="str">
        <f ca="1">IF(OR(INDEX($W$2:$W$1001,MATCH(ROWS($V$2:V638),$V$2:$V$1001,0),1)&gt;=100000,INDEX($AC$1005:$AS$1005,1,MATCH(COLUMNS($AC$1006:AM1006),$AC$1006:$AS$1006,0))&gt;=100000), " ",IF(INDEX($AC$2:$AS$1001,MATCH(ROWS($V$2:V638),$V$2:$V$1001,0),MATCH(COLUMNS($AC$1006:AM1006),$AC$1006:$AS$1006,0)), HYPERLINK("#",""), HYPERLINK(CONCATENATE("#metadata!", ADDRESS(INDEX($X$2:$X$1001,MATCH(ROWS($V$2:V638),$V$2:$V$1001,0),0), INDEX($AC$1004:$AS$1004,1,MATCH(COLUMNS($AC$1006:AM1006),$AC$1006:$AS$1006,0)))),"Fix")))</f>
        <v xml:space="preserve"> </v>
      </c>
      <c r="M638" s="4" t="str">
        <f ca="1">IF(OR(INDEX($W$2:$W$1001,MATCH(ROWS($V$2:V638),$V$2:$V$1001,0),1)&gt;=100000,INDEX($AC$1005:$AS$1005,1,MATCH(COLUMNS($AC$1006:AN1006),$AC$1006:$AS$1006,0))&gt;=100000), " ",IF(INDEX($AC$2:$AS$1001,MATCH(ROWS($V$2:V638),$V$2:$V$1001,0),MATCH(COLUMNS($AC$1006:AN1006),$AC$1006:$AS$1006,0)), HYPERLINK("#",""), HYPERLINK(CONCATENATE("#metadata!", ADDRESS(INDEX($X$2:$X$1001,MATCH(ROWS($V$2:V638),$V$2:$V$1001,0),0), INDEX($AC$1004:$AS$1004,1,MATCH(COLUMNS($AC$1006:AN1006),$AC$1006:$AS$1006,0)))),"Fix")))</f>
        <v xml:space="preserve"> </v>
      </c>
      <c r="N638" s="4" t="str">
        <f ca="1">IF(OR(INDEX($W$2:$W$1001,MATCH(ROWS($V$2:V638),$V$2:$V$1001,0),1)&gt;=100000,INDEX($AC$1005:$AS$1005,1,MATCH(COLUMNS($AC$1006:AO1006),$AC$1006:$AS$1006,0))&gt;=100000), " ",IF(INDEX($AC$2:$AS$1001,MATCH(ROWS($V$2:V638),$V$2:$V$1001,0),MATCH(COLUMNS($AC$1006:AO1006),$AC$1006:$AS$1006,0)), HYPERLINK("#",""), HYPERLINK(CONCATENATE("#metadata!", ADDRESS(INDEX($X$2:$X$1001,MATCH(ROWS($V$2:V638),$V$2:$V$1001,0),0), INDEX($AC$1004:$AS$1004,1,MATCH(COLUMNS($AC$1006:AO1006),$AC$1006:$AS$1006,0)))),"Fix")))</f>
        <v xml:space="preserve"> </v>
      </c>
      <c r="O638" s="4" t="str">
        <f ca="1">IF(OR(INDEX($W$2:$W$1001,MATCH(ROWS($V$2:V638),$V$2:$V$1001,0),1)&gt;=100000,INDEX($AC$1005:$AS$1005,1,MATCH(COLUMNS($AC$1006:AP1006),$AC$1006:$AS$1006,0))&gt;=100000), " ",IF(INDEX($AC$2:$AS$1001,MATCH(ROWS($V$2:V638),$V$2:$V$1001,0),MATCH(COLUMNS($AC$1006:AP1006),$AC$1006:$AS$1006,0)), HYPERLINK("#",""), HYPERLINK(CONCATENATE("#metadata!", ADDRESS(INDEX($X$2:$X$1001,MATCH(ROWS($V$2:V638),$V$2:$V$1001,0),0), INDEX($AC$1004:$AS$1004,1,MATCH(COLUMNS($AC$1006:AP1006),$AC$1006:$AS$1006,0)))),"Fix")))</f>
        <v xml:space="preserve"> </v>
      </c>
      <c r="P638" s="4" t="str">
        <f ca="1">IF(OR(INDEX($W$2:$W$1001,MATCH(ROWS($V$2:V638),$V$2:$V$1001,0),1)&gt;=100000,INDEX($AC$1005:$AS$1005,1,MATCH(COLUMNS($AC$1006:AQ1006),$AC$1006:$AS$1006,0))&gt;=100000), " ",IF(INDEX($AC$2:$AS$1001,MATCH(ROWS($V$2:V638),$V$2:$V$1001,0),MATCH(COLUMNS($AC$1006:AQ1006),$AC$1006:$AS$1006,0)), HYPERLINK("#",""), HYPERLINK(CONCATENATE("#metadata!", ADDRESS(INDEX($X$2:$X$1001,MATCH(ROWS($V$2:V638),$V$2:$V$1001,0),0), INDEX($AC$1004:$AS$1004,1,MATCH(COLUMNS($AC$1006:AQ1006),$AC$1006:$AS$1006,0)))),"Fix")))</f>
        <v xml:space="preserve"> </v>
      </c>
      <c r="Q638" s="4" t="str">
        <f ca="1">IF(OR(INDEX($W$2:$W$1001,MATCH(ROWS($V$2:V638),$V$2:$V$1001,0),1)&gt;=100000,INDEX($AC$1005:$AS$1005,1,MATCH(COLUMNS($AC$1006:AR1006),$AC$1006:$AS$1006,0))&gt;=100000), " ",IF(INDEX($AC$2:$AS$1001,MATCH(ROWS($V$2:V638),$V$2:$V$1001,0),MATCH(COLUMNS($AC$1006:AR1006),$AC$1006:$AS$1006,0)), HYPERLINK("#",""), HYPERLINK(CONCATENATE("#metadata!", ADDRESS(INDEX($X$2:$X$1001,MATCH(ROWS($V$2:V638),$V$2:$V$1001,0),0), INDEX($AC$1004:$AS$1004,1,MATCH(COLUMNS($AC$1006:AR1006),$AC$1006:$AS$1006,0)))),"Fix")))</f>
        <v xml:space="preserve"> </v>
      </c>
      <c r="R638" s="4" t="str">
        <f ca="1">IF(OR(INDEX($W$2:$W$1001,MATCH(ROWS($V$2:V638),$V$2:$V$1001,0),1)&gt;=100000,INDEX($AC$1005:$AS$1005,1,MATCH(COLUMNS($AC$1006:AS1006),$AC$1006:$AS$1006,0))&gt;=100000), " ",IF(INDEX($AC$2:$AS$1001,MATCH(ROWS($V$2:V638),$V$2:$V$1001,0),MATCH(COLUMNS($AC$1006:AS1006),$AC$1006:$AS$1006,0)), HYPERLINK("#",""), HYPERLINK(CONCATENATE("#metadata!", ADDRESS(INDEX($X$2:$X$1001,MATCH(ROWS($V$2:V638),$V$2:$V$1001,0),0), INDEX($AC$1004:$AS$1004,1,MATCH(COLUMNS($AC$1006:AS1006),$AC$1006:$AS$1006,0)))),"Fix")))</f>
        <v xml:space="preserve"> </v>
      </c>
      <c r="V638">
        <v>637</v>
      </c>
      <c r="W638">
        <v>100638</v>
      </c>
      <c r="X638">
        <v>638</v>
      </c>
      <c r="Y638" t="b">
        <f t="shared" si="9"/>
        <v>1</v>
      </c>
      <c r="Z638" t="b">
        <f>COUNTBLANK(metadata!B638:R638)=COLUMNS(metadata!B638:R638)</f>
        <v>1</v>
      </c>
      <c r="AA638" t="str">
        <v/>
      </c>
      <c r="AC638" t="b">
        <f ca="1"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AD638" t="b">
        <f>IF(metadata!C638="",FALSE,ISNUMBER(VALUE(metadata!C638)))</f>
        <v>0</v>
      </c>
      <c r="AE638" t="b">
        <f>AND(IF(metadata!D638="",FALSE,TRUE),EXACT(metadata!D638,"years"))</f>
        <v>0</v>
      </c>
      <c r="AF638" t="b">
        <f>OR(AND(IF(metadata!E638="",FALSE,TRUE),OR(EXACT(metadata!E638,"not applicable"),EXACT(metadata!E638,"missing: not collected"),EXACT(metadata!E638,"missing: not provided"),EXACT(metadata!E638,"missing: restricted access"))),AND(IF(metadata!E638="",FALSE,ISNUMBER(VALUE(metadata!E638))),metadata!E638&gt;0))</f>
        <v>0</v>
      </c>
      <c r="AG638" t="b">
        <f>AND(IF(metadata!F638="",FALSE,TRUE),EXACT(metadata!F638,"Not applicable"))</f>
        <v>0</v>
      </c>
      <c r="AH638" t="b">
        <f>AND(IF(metadata!G638="",FALSE,TRUE),EXACT(metadata!G638,"urban biome"))</f>
        <v>0</v>
      </c>
      <c r="AI638" t="b">
        <f>AND(IF(metadata!H638="",FALSE,TRUE),EXACT(metadata!H638,"human-associated habitat"))</f>
        <v>0</v>
      </c>
      <c r="AJ638" t="b">
        <f>AND(IF(metadata!I638="",FALSE,TRUE),OR(EXACT(metadata!I638,"human-associated"),EXACT(metadata!I638,"human-skin"),EXACT(metadata!I638,"human-oral"),EXACT(metadata!I638,"human-gut"),EXACT(metadata!I638,"human-vaginal")))</f>
        <v>0</v>
      </c>
      <c r="AK638" t="b">
        <f>IF(metadata!J638="",FALSE,ISNUMBER(VALUE(metadata!J638)))</f>
        <v>0</v>
      </c>
      <c r="AL638" t="b">
        <f>AND(IF(metadata!K638="",FALSE,TRUE),EXACT(metadata!K638,"cm"))</f>
        <v>0</v>
      </c>
      <c r="AM638" t="b">
        <f>AND(IF(metadata!L638="",FALSE,TRUE),EXACT(metadata!L638,"human"))</f>
        <v>0</v>
      </c>
      <c r="AN638" t="b">
        <f>AND(IF(metadata!M638="",FALSE,TRUE),EXACT(metadata!M638,"Homo sapiens"))</f>
        <v>0</v>
      </c>
      <c r="AO638" t="b">
        <f>AND(IF(metadata!N638="",FALSE,TRUE),EXACT(metadata!N638,"9606"))</f>
        <v>0</v>
      </c>
      <c r="AP638" t="b">
        <f>IF(metadata!O638="",FALSE,TRUE)</f>
        <v>0</v>
      </c>
      <c r="AQ638" t="b">
        <f>IF(metadata!P638="",FALSE,TRUE)</f>
        <v>0</v>
      </c>
      <c r="AR638" t="b">
        <f>IF(metadata!Q638="",FALSE,ISNUMBER(VALUE(metadata!Q638)))</f>
        <v>0</v>
      </c>
      <c r="AS638" t="b">
        <f>AND(IF(metadata!R638="",FALSE,TRUE),EXACT(metadata!R638,"kg"))</f>
        <v>0</v>
      </c>
    </row>
    <row r="639" spans="1:45" x14ac:dyDescent="0.2">
      <c r="A639" s="5" t="str">
        <f ca="1">IF(B639=" "," ",HYPERLINK(CONCATENATE("#metadata!",ADDRESS(INDEX($X$2:$X$1001,MATCH(ROWS($V$2:V639),$V$2:$V$1001,0),0),1)),INDEX($AA$2:$AA$1001,MATCH(ROWS($V$2:V639),$V$2:$V$1001,0),0)))</f>
        <v xml:space="preserve"> </v>
      </c>
      <c r="B639" s="4" t="str">
        <f ca="1">IF(OR(INDEX($W$2:$W$1001,MATCH(ROWS($V$2:V639),$V$2:$V$1001,0),1)&gt;=100000,INDEX($AC$1005:$AS$1005,1,MATCH(COLUMNS($AC$1006:AC1006),$AC$1006:$AS$1006,0))&gt;=100000), " ",IF(INDEX($AC$2:$AS$1001,MATCH(ROWS($V$2:V639),$V$2:$V$1001,0),MATCH(COLUMNS($AC$1006:AC1006),$AC$1006:$AS$1006,0)), HYPERLINK("#",""), HYPERLINK(CONCATENATE("#metadata!", ADDRESS(INDEX($X$2:$X$1001,MATCH(ROWS($V$2:V639),$V$2:$V$1001,0),0), INDEX($AC$1004:$AS$1004,1,MATCH(COLUMNS($AC$1006:AC1006),$AC$1006:$AS$1006,0)))),"Fix")))</f>
        <v xml:space="preserve"> </v>
      </c>
      <c r="C639" s="4" t="str">
        <f ca="1">IF(OR(INDEX($W$2:$W$1001,MATCH(ROWS($V$2:V639),$V$2:$V$1001,0),1)&gt;=100000,INDEX($AC$1005:$AS$1005,1,MATCH(COLUMNS($AC$1006:AD1006),$AC$1006:$AS$1006,0))&gt;=100000), " ",IF(INDEX($AC$2:$AS$1001,MATCH(ROWS($V$2:V639),$V$2:$V$1001,0),MATCH(COLUMNS($AC$1006:AD1006),$AC$1006:$AS$1006,0)), HYPERLINK("#",""), HYPERLINK(CONCATENATE("#metadata!", ADDRESS(INDEX($X$2:$X$1001,MATCH(ROWS($V$2:V639),$V$2:$V$1001,0),0), INDEX($AC$1004:$AS$1004,1,MATCH(COLUMNS($AC$1006:AD1006),$AC$1006:$AS$1006,0)))),"Fix")))</f>
        <v xml:space="preserve"> </v>
      </c>
      <c r="D639" s="4" t="str">
        <f ca="1">IF(OR(INDEX($W$2:$W$1001,MATCH(ROWS($V$2:V639),$V$2:$V$1001,0),1)&gt;=100000,INDEX($AC$1005:$AS$1005,1,MATCH(COLUMNS($AC$1006:AE1006),$AC$1006:$AS$1006,0))&gt;=100000), " ",IF(INDEX($AC$2:$AS$1001,MATCH(ROWS($V$2:V639),$V$2:$V$1001,0),MATCH(COLUMNS($AC$1006:AE1006),$AC$1006:$AS$1006,0)), HYPERLINK("#",""), HYPERLINK(CONCATENATE("#metadata!", ADDRESS(INDEX($X$2:$X$1001,MATCH(ROWS($V$2:V639),$V$2:$V$1001,0),0), INDEX($AC$1004:$AS$1004,1,MATCH(COLUMNS($AC$1006:AE1006),$AC$1006:$AS$1006,0)))),"Fix")))</f>
        <v xml:space="preserve"> </v>
      </c>
      <c r="E639" s="4" t="str">
        <f ca="1">IF(OR(INDEX($W$2:$W$1001,MATCH(ROWS($V$2:V639),$V$2:$V$1001,0),1)&gt;=100000,INDEX($AC$1005:$AS$1005,1,MATCH(COLUMNS($AC$1006:AF1006),$AC$1006:$AS$1006,0))&gt;=100000), " ",IF(INDEX($AC$2:$AS$1001,MATCH(ROWS($V$2:V639),$V$2:$V$1001,0),MATCH(COLUMNS($AC$1006:AF1006),$AC$1006:$AS$1006,0)), HYPERLINK("#",""), HYPERLINK(CONCATENATE("#metadata!", ADDRESS(INDEX($X$2:$X$1001,MATCH(ROWS($V$2:V639),$V$2:$V$1001,0),0), INDEX($AC$1004:$AS$1004,1,MATCH(COLUMNS($AC$1006:AF1006),$AC$1006:$AS$1006,0)))),"Fix")))</f>
        <v xml:space="preserve"> </v>
      </c>
      <c r="F639" s="4" t="str">
        <f ca="1">IF(OR(INDEX($W$2:$W$1001,MATCH(ROWS($V$2:V639),$V$2:$V$1001,0),1)&gt;=100000,INDEX($AC$1005:$AS$1005,1,MATCH(COLUMNS($AC$1006:AG1006),$AC$1006:$AS$1006,0))&gt;=100000), " ",IF(INDEX($AC$2:$AS$1001,MATCH(ROWS($V$2:V639),$V$2:$V$1001,0),MATCH(COLUMNS($AC$1006:AG1006),$AC$1006:$AS$1006,0)), HYPERLINK("#",""), HYPERLINK(CONCATENATE("#metadata!", ADDRESS(INDEX($X$2:$X$1001,MATCH(ROWS($V$2:V639),$V$2:$V$1001,0),0), INDEX($AC$1004:$AS$1004,1,MATCH(COLUMNS($AC$1006:AG1006),$AC$1006:$AS$1006,0)))),"Fix")))</f>
        <v xml:space="preserve"> </v>
      </c>
      <c r="G639" s="4" t="str">
        <f ca="1">IF(OR(INDEX($W$2:$W$1001,MATCH(ROWS($V$2:V639),$V$2:$V$1001,0),1)&gt;=100000,INDEX($AC$1005:$AS$1005,1,MATCH(COLUMNS($AC$1006:AH1006),$AC$1006:$AS$1006,0))&gt;=100000), " ",IF(INDEX($AC$2:$AS$1001,MATCH(ROWS($V$2:V639),$V$2:$V$1001,0),MATCH(COLUMNS($AC$1006:AH1006),$AC$1006:$AS$1006,0)), HYPERLINK("#",""), HYPERLINK(CONCATENATE("#metadata!", ADDRESS(INDEX($X$2:$X$1001,MATCH(ROWS($V$2:V639),$V$2:$V$1001,0),0), INDEX($AC$1004:$AS$1004,1,MATCH(COLUMNS($AC$1006:AH1006),$AC$1006:$AS$1006,0)))),"Fix")))</f>
        <v xml:space="preserve"> </v>
      </c>
      <c r="H639" s="4" t="str">
        <f ca="1">IF(OR(INDEX($W$2:$W$1001,MATCH(ROWS($V$2:V639),$V$2:$V$1001,0),1)&gt;=100000,INDEX($AC$1005:$AS$1005,1,MATCH(COLUMNS($AC$1006:AI1006),$AC$1006:$AS$1006,0))&gt;=100000), " ",IF(INDEX($AC$2:$AS$1001,MATCH(ROWS($V$2:V639),$V$2:$V$1001,0),MATCH(COLUMNS($AC$1006:AI1006),$AC$1006:$AS$1006,0)), HYPERLINK("#",""), HYPERLINK(CONCATENATE("#metadata!", ADDRESS(INDEX($X$2:$X$1001,MATCH(ROWS($V$2:V639),$V$2:$V$1001,0),0), INDEX($AC$1004:$AS$1004,1,MATCH(COLUMNS($AC$1006:AI1006),$AC$1006:$AS$1006,0)))),"Fix")))</f>
        <v xml:space="preserve"> </v>
      </c>
      <c r="I639" s="4" t="str">
        <f ca="1">IF(OR(INDEX($W$2:$W$1001,MATCH(ROWS($V$2:V639),$V$2:$V$1001,0),1)&gt;=100000,INDEX($AC$1005:$AS$1005,1,MATCH(COLUMNS($AC$1006:AJ1006),$AC$1006:$AS$1006,0))&gt;=100000), " ",IF(INDEX($AC$2:$AS$1001,MATCH(ROWS($V$2:V639),$V$2:$V$1001,0),MATCH(COLUMNS($AC$1006:AJ1006),$AC$1006:$AS$1006,0)), HYPERLINK("#",""), HYPERLINK(CONCATENATE("#metadata!", ADDRESS(INDEX($X$2:$X$1001,MATCH(ROWS($V$2:V639),$V$2:$V$1001,0),0), INDEX($AC$1004:$AS$1004,1,MATCH(COLUMNS($AC$1006:AJ1006),$AC$1006:$AS$1006,0)))),"Fix")))</f>
        <v xml:space="preserve"> </v>
      </c>
      <c r="J639" s="4" t="str">
        <f ca="1">IF(OR(INDEX($W$2:$W$1001,MATCH(ROWS($V$2:V639),$V$2:$V$1001,0),1)&gt;=100000,INDEX($AC$1005:$AS$1005,1,MATCH(COLUMNS($AC$1006:AK1006),$AC$1006:$AS$1006,0))&gt;=100000), " ",IF(INDEX($AC$2:$AS$1001,MATCH(ROWS($V$2:V639),$V$2:$V$1001,0),MATCH(COLUMNS($AC$1006:AK1006),$AC$1006:$AS$1006,0)), HYPERLINK("#",""), HYPERLINK(CONCATENATE("#metadata!", ADDRESS(INDEX($X$2:$X$1001,MATCH(ROWS($V$2:V639),$V$2:$V$1001,0),0), INDEX($AC$1004:$AS$1004,1,MATCH(COLUMNS($AC$1006:AK1006),$AC$1006:$AS$1006,0)))),"Fix")))</f>
        <v xml:space="preserve"> </v>
      </c>
      <c r="K639" s="4" t="str">
        <f ca="1">IF(OR(INDEX($W$2:$W$1001,MATCH(ROWS($V$2:V639),$V$2:$V$1001,0),1)&gt;=100000,INDEX($AC$1005:$AS$1005,1,MATCH(COLUMNS($AC$1006:AL1006),$AC$1006:$AS$1006,0))&gt;=100000), " ",IF(INDEX($AC$2:$AS$1001,MATCH(ROWS($V$2:V639),$V$2:$V$1001,0),MATCH(COLUMNS($AC$1006:AL1006),$AC$1006:$AS$1006,0)), HYPERLINK("#",""), HYPERLINK(CONCATENATE("#metadata!", ADDRESS(INDEX($X$2:$X$1001,MATCH(ROWS($V$2:V639),$V$2:$V$1001,0),0), INDEX($AC$1004:$AS$1004,1,MATCH(COLUMNS($AC$1006:AL1006),$AC$1006:$AS$1006,0)))),"Fix")))</f>
        <v xml:space="preserve"> </v>
      </c>
      <c r="L639" s="4" t="str">
        <f ca="1">IF(OR(INDEX($W$2:$W$1001,MATCH(ROWS($V$2:V639),$V$2:$V$1001,0),1)&gt;=100000,INDEX($AC$1005:$AS$1005,1,MATCH(COLUMNS($AC$1006:AM1006),$AC$1006:$AS$1006,0))&gt;=100000), " ",IF(INDEX($AC$2:$AS$1001,MATCH(ROWS($V$2:V639),$V$2:$V$1001,0),MATCH(COLUMNS($AC$1006:AM1006),$AC$1006:$AS$1006,0)), HYPERLINK("#",""), HYPERLINK(CONCATENATE("#metadata!", ADDRESS(INDEX($X$2:$X$1001,MATCH(ROWS($V$2:V639),$V$2:$V$1001,0),0), INDEX($AC$1004:$AS$1004,1,MATCH(COLUMNS($AC$1006:AM1006),$AC$1006:$AS$1006,0)))),"Fix")))</f>
        <v xml:space="preserve"> </v>
      </c>
      <c r="M639" s="4" t="str">
        <f ca="1">IF(OR(INDEX($W$2:$W$1001,MATCH(ROWS($V$2:V639),$V$2:$V$1001,0),1)&gt;=100000,INDEX($AC$1005:$AS$1005,1,MATCH(COLUMNS($AC$1006:AN1006),$AC$1006:$AS$1006,0))&gt;=100000), " ",IF(INDEX($AC$2:$AS$1001,MATCH(ROWS($V$2:V639),$V$2:$V$1001,0),MATCH(COLUMNS($AC$1006:AN1006),$AC$1006:$AS$1006,0)), HYPERLINK("#",""), HYPERLINK(CONCATENATE("#metadata!", ADDRESS(INDEX($X$2:$X$1001,MATCH(ROWS($V$2:V639),$V$2:$V$1001,0),0), INDEX($AC$1004:$AS$1004,1,MATCH(COLUMNS($AC$1006:AN1006),$AC$1006:$AS$1006,0)))),"Fix")))</f>
        <v xml:space="preserve"> </v>
      </c>
      <c r="N639" s="4" t="str">
        <f ca="1">IF(OR(INDEX($W$2:$W$1001,MATCH(ROWS($V$2:V639),$V$2:$V$1001,0),1)&gt;=100000,INDEX($AC$1005:$AS$1005,1,MATCH(COLUMNS($AC$1006:AO1006),$AC$1006:$AS$1006,0))&gt;=100000), " ",IF(INDEX($AC$2:$AS$1001,MATCH(ROWS($V$2:V639),$V$2:$V$1001,0),MATCH(COLUMNS($AC$1006:AO1006),$AC$1006:$AS$1006,0)), HYPERLINK("#",""), HYPERLINK(CONCATENATE("#metadata!", ADDRESS(INDEX($X$2:$X$1001,MATCH(ROWS($V$2:V639),$V$2:$V$1001,0),0), INDEX($AC$1004:$AS$1004,1,MATCH(COLUMNS($AC$1006:AO1006),$AC$1006:$AS$1006,0)))),"Fix")))</f>
        <v xml:space="preserve"> </v>
      </c>
      <c r="O639" s="4" t="str">
        <f ca="1">IF(OR(INDEX($W$2:$W$1001,MATCH(ROWS($V$2:V639),$V$2:$V$1001,0),1)&gt;=100000,INDEX($AC$1005:$AS$1005,1,MATCH(COLUMNS($AC$1006:AP1006),$AC$1006:$AS$1006,0))&gt;=100000), " ",IF(INDEX($AC$2:$AS$1001,MATCH(ROWS($V$2:V639),$V$2:$V$1001,0),MATCH(COLUMNS($AC$1006:AP1006),$AC$1006:$AS$1006,0)), HYPERLINK("#",""), HYPERLINK(CONCATENATE("#metadata!", ADDRESS(INDEX($X$2:$X$1001,MATCH(ROWS($V$2:V639),$V$2:$V$1001,0),0), INDEX($AC$1004:$AS$1004,1,MATCH(COLUMNS($AC$1006:AP1006),$AC$1006:$AS$1006,0)))),"Fix")))</f>
        <v xml:space="preserve"> </v>
      </c>
      <c r="P639" s="4" t="str">
        <f ca="1">IF(OR(INDEX($W$2:$W$1001,MATCH(ROWS($V$2:V639),$V$2:$V$1001,0),1)&gt;=100000,INDEX($AC$1005:$AS$1005,1,MATCH(COLUMNS($AC$1006:AQ1006),$AC$1006:$AS$1006,0))&gt;=100000), " ",IF(INDEX($AC$2:$AS$1001,MATCH(ROWS($V$2:V639),$V$2:$V$1001,0),MATCH(COLUMNS($AC$1006:AQ1006),$AC$1006:$AS$1006,0)), HYPERLINK("#",""), HYPERLINK(CONCATENATE("#metadata!", ADDRESS(INDEX($X$2:$X$1001,MATCH(ROWS($V$2:V639),$V$2:$V$1001,0),0), INDEX($AC$1004:$AS$1004,1,MATCH(COLUMNS($AC$1006:AQ1006),$AC$1006:$AS$1006,0)))),"Fix")))</f>
        <v xml:space="preserve"> </v>
      </c>
      <c r="Q639" s="4" t="str">
        <f ca="1">IF(OR(INDEX($W$2:$W$1001,MATCH(ROWS($V$2:V639),$V$2:$V$1001,0),1)&gt;=100000,INDEX($AC$1005:$AS$1005,1,MATCH(COLUMNS($AC$1006:AR1006),$AC$1006:$AS$1006,0))&gt;=100000), " ",IF(INDEX($AC$2:$AS$1001,MATCH(ROWS($V$2:V639),$V$2:$V$1001,0),MATCH(COLUMNS($AC$1006:AR1006),$AC$1006:$AS$1006,0)), HYPERLINK("#",""), HYPERLINK(CONCATENATE("#metadata!", ADDRESS(INDEX($X$2:$X$1001,MATCH(ROWS($V$2:V639),$V$2:$V$1001,0),0), INDEX($AC$1004:$AS$1004,1,MATCH(COLUMNS($AC$1006:AR1006),$AC$1006:$AS$1006,0)))),"Fix")))</f>
        <v xml:space="preserve"> </v>
      </c>
      <c r="R639" s="4" t="str">
        <f ca="1">IF(OR(INDEX($W$2:$W$1001,MATCH(ROWS($V$2:V639),$V$2:$V$1001,0),1)&gt;=100000,INDEX($AC$1005:$AS$1005,1,MATCH(COLUMNS($AC$1006:AS1006),$AC$1006:$AS$1006,0))&gt;=100000), " ",IF(INDEX($AC$2:$AS$1001,MATCH(ROWS($V$2:V639),$V$2:$V$1001,0),MATCH(COLUMNS($AC$1006:AS1006),$AC$1006:$AS$1006,0)), HYPERLINK("#",""), HYPERLINK(CONCATENATE("#metadata!", ADDRESS(INDEX($X$2:$X$1001,MATCH(ROWS($V$2:V639),$V$2:$V$1001,0),0), INDEX($AC$1004:$AS$1004,1,MATCH(COLUMNS($AC$1006:AS1006),$AC$1006:$AS$1006,0)))),"Fix")))</f>
        <v xml:space="preserve"> </v>
      </c>
      <c r="V639">
        <v>638</v>
      </c>
      <c r="W639">
        <v>100639</v>
      </c>
      <c r="X639">
        <v>639</v>
      </c>
      <c r="Y639" t="b">
        <f t="shared" si="9"/>
        <v>1</v>
      </c>
      <c r="Z639" t="b">
        <f>COUNTBLANK(metadata!B639:R639)=COLUMNS(metadata!B639:R639)</f>
        <v>1</v>
      </c>
      <c r="AA639" t="str">
        <v/>
      </c>
      <c r="AC639" t="b">
        <f ca="1"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AD639" t="b">
        <f>IF(metadata!C639="",FALSE,ISNUMBER(VALUE(metadata!C639)))</f>
        <v>0</v>
      </c>
      <c r="AE639" t="b">
        <f>AND(IF(metadata!D639="",FALSE,TRUE),EXACT(metadata!D639,"years"))</f>
        <v>0</v>
      </c>
      <c r="AF639" t="b">
        <f>OR(AND(IF(metadata!E639="",FALSE,TRUE),OR(EXACT(metadata!E639,"not applicable"),EXACT(metadata!E639,"missing: not collected"),EXACT(metadata!E639,"missing: not provided"),EXACT(metadata!E639,"missing: restricted access"))),AND(IF(metadata!E639="",FALSE,ISNUMBER(VALUE(metadata!E639))),metadata!E639&gt;0))</f>
        <v>0</v>
      </c>
      <c r="AG639" t="b">
        <f>AND(IF(metadata!F639="",FALSE,TRUE),EXACT(metadata!F639,"Not applicable"))</f>
        <v>0</v>
      </c>
      <c r="AH639" t="b">
        <f>AND(IF(metadata!G639="",FALSE,TRUE),EXACT(metadata!G639,"urban biome"))</f>
        <v>0</v>
      </c>
      <c r="AI639" t="b">
        <f>AND(IF(metadata!H639="",FALSE,TRUE),EXACT(metadata!H639,"human-associated habitat"))</f>
        <v>0</v>
      </c>
      <c r="AJ639" t="b">
        <f>AND(IF(metadata!I639="",FALSE,TRUE),OR(EXACT(metadata!I639,"human-associated"),EXACT(metadata!I639,"human-skin"),EXACT(metadata!I639,"human-oral"),EXACT(metadata!I639,"human-gut"),EXACT(metadata!I639,"human-vaginal")))</f>
        <v>0</v>
      </c>
      <c r="AK639" t="b">
        <f>IF(metadata!J639="",FALSE,ISNUMBER(VALUE(metadata!J639)))</f>
        <v>0</v>
      </c>
      <c r="AL639" t="b">
        <f>AND(IF(metadata!K639="",FALSE,TRUE),EXACT(metadata!K639,"cm"))</f>
        <v>0</v>
      </c>
      <c r="AM639" t="b">
        <f>AND(IF(metadata!L639="",FALSE,TRUE),EXACT(metadata!L639,"human"))</f>
        <v>0</v>
      </c>
      <c r="AN639" t="b">
        <f>AND(IF(metadata!M639="",FALSE,TRUE),EXACT(metadata!M639,"Homo sapiens"))</f>
        <v>0</v>
      </c>
      <c r="AO639" t="b">
        <f>AND(IF(metadata!N639="",FALSE,TRUE),EXACT(metadata!N639,"9606"))</f>
        <v>0</v>
      </c>
      <c r="AP639" t="b">
        <f>IF(metadata!O639="",FALSE,TRUE)</f>
        <v>0</v>
      </c>
      <c r="AQ639" t="b">
        <f>IF(metadata!P639="",FALSE,TRUE)</f>
        <v>0</v>
      </c>
      <c r="AR639" t="b">
        <f>IF(metadata!Q639="",FALSE,ISNUMBER(VALUE(metadata!Q639)))</f>
        <v>0</v>
      </c>
      <c r="AS639" t="b">
        <f>AND(IF(metadata!R639="",FALSE,TRUE),EXACT(metadata!R639,"kg"))</f>
        <v>0</v>
      </c>
    </row>
    <row r="640" spans="1:45" x14ac:dyDescent="0.2">
      <c r="A640" s="5" t="str">
        <f ca="1">IF(B640=" "," ",HYPERLINK(CONCATENATE("#metadata!",ADDRESS(INDEX($X$2:$X$1001,MATCH(ROWS($V$2:V640),$V$2:$V$1001,0),0),1)),INDEX($AA$2:$AA$1001,MATCH(ROWS($V$2:V640),$V$2:$V$1001,0),0)))</f>
        <v xml:space="preserve"> </v>
      </c>
      <c r="B640" s="4" t="str">
        <f ca="1">IF(OR(INDEX($W$2:$W$1001,MATCH(ROWS($V$2:V640),$V$2:$V$1001,0),1)&gt;=100000,INDEX($AC$1005:$AS$1005,1,MATCH(COLUMNS($AC$1006:AC1006),$AC$1006:$AS$1006,0))&gt;=100000), " ",IF(INDEX($AC$2:$AS$1001,MATCH(ROWS($V$2:V640),$V$2:$V$1001,0),MATCH(COLUMNS($AC$1006:AC1006),$AC$1006:$AS$1006,0)), HYPERLINK("#",""), HYPERLINK(CONCATENATE("#metadata!", ADDRESS(INDEX($X$2:$X$1001,MATCH(ROWS($V$2:V640),$V$2:$V$1001,0),0), INDEX($AC$1004:$AS$1004,1,MATCH(COLUMNS($AC$1006:AC1006),$AC$1006:$AS$1006,0)))),"Fix")))</f>
        <v xml:space="preserve"> </v>
      </c>
      <c r="C640" s="4" t="str">
        <f ca="1">IF(OR(INDEX($W$2:$W$1001,MATCH(ROWS($V$2:V640),$V$2:$V$1001,0),1)&gt;=100000,INDEX($AC$1005:$AS$1005,1,MATCH(COLUMNS($AC$1006:AD1006),$AC$1006:$AS$1006,0))&gt;=100000), " ",IF(INDEX($AC$2:$AS$1001,MATCH(ROWS($V$2:V640),$V$2:$V$1001,0),MATCH(COLUMNS($AC$1006:AD1006),$AC$1006:$AS$1006,0)), HYPERLINK("#",""), HYPERLINK(CONCATENATE("#metadata!", ADDRESS(INDEX($X$2:$X$1001,MATCH(ROWS($V$2:V640),$V$2:$V$1001,0),0), INDEX($AC$1004:$AS$1004,1,MATCH(COLUMNS($AC$1006:AD1006),$AC$1006:$AS$1006,0)))),"Fix")))</f>
        <v xml:space="preserve"> </v>
      </c>
      <c r="D640" s="4" t="str">
        <f ca="1">IF(OR(INDEX($W$2:$W$1001,MATCH(ROWS($V$2:V640),$V$2:$V$1001,0),1)&gt;=100000,INDEX($AC$1005:$AS$1005,1,MATCH(COLUMNS($AC$1006:AE1006),$AC$1006:$AS$1006,0))&gt;=100000), " ",IF(INDEX($AC$2:$AS$1001,MATCH(ROWS($V$2:V640),$V$2:$V$1001,0),MATCH(COLUMNS($AC$1006:AE1006),$AC$1006:$AS$1006,0)), HYPERLINK("#",""), HYPERLINK(CONCATENATE("#metadata!", ADDRESS(INDEX($X$2:$X$1001,MATCH(ROWS($V$2:V640),$V$2:$V$1001,0),0), INDEX($AC$1004:$AS$1004,1,MATCH(COLUMNS($AC$1006:AE1006),$AC$1006:$AS$1006,0)))),"Fix")))</f>
        <v xml:space="preserve"> </v>
      </c>
      <c r="E640" s="4" t="str">
        <f ca="1">IF(OR(INDEX($W$2:$W$1001,MATCH(ROWS($V$2:V640),$V$2:$V$1001,0),1)&gt;=100000,INDEX($AC$1005:$AS$1005,1,MATCH(COLUMNS($AC$1006:AF1006),$AC$1006:$AS$1006,0))&gt;=100000), " ",IF(INDEX($AC$2:$AS$1001,MATCH(ROWS($V$2:V640),$V$2:$V$1001,0),MATCH(COLUMNS($AC$1006:AF1006),$AC$1006:$AS$1006,0)), HYPERLINK("#",""), HYPERLINK(CONCATENATE("#metadata!", ADDRESS(INDEX($X$2:$X$1001,MATCH(ROWS($V$2:V640),$V$2:$V$1001,0),0), INDEX($AC$1004:$AS$1004,1,MATCH(COLUMNS($AC$1006:AF1006),$AC$1006:$AS$1006,0)))),"Fix")))</f>
        <v xml:space="preserve"> </v>
      </c>
      <c r="F640" s="4" t="str">
        <f ca="1">IF(OR(INDEX($W$2:$W$1001,MATCH(ROWS($V$2:V640),$V$2:$V$1001,0),1)&gt;=100000,INDEX($AC$1005:$AS$1005,1,MATCH(COLUMNS($AC$1006:AG1006),$AC$1006:$AS$1006,0))&gt;=100000), " ",IF(INDEX($AC$2:$AS$1001,MATCH(ROWS($V$2:V640),$V$2:$V$1001,0),MATCH(COLUMNS($AC$1006:AG1006),$AC$1006:$AS$1006,0)), HYPERLINK("#",""), HYPERLINK(CONCATENATE("#metadata!", ADDRESS(INDEX($X$2:$X$1001,MATCH(ROWS($V$2:V640),$V$2:$V$1001,0),0), INDEX($AC$1004:$AS$1004,1,MATCH(COLUMNS($AC$1006:AG1006),$AC$1006:$AS$1006,0)))),"Fix")))</f>
        <v xml:space="preserve"> </v>
      </c>
      <c r="G640" s="4" t="str">
        <f ca="1">IF(OR(INDEX($W$2:$W$1001,MATCH(ROWS($V$2:V640),$V$2:$V$1001,0),1)&gt;=100000,INDEX($AC$1005:$AS$1005,1,MATCH(COLUMNS($AC$1006:AH1006),$AC$1006:$AS$1006,0))&gt;=100000), " ",IF(INDEX($AC$2:$AS$1001,MATCH(ROWS($V$2:V640),$V$2:$V$1001,0),MATCH(COLUMNS($AC$1006:AH1006),$AC$1006:$AS$1006,0)), HYPERLINK("#",""), HYPERLINK(CONCATENATE("#metadata!", ADDRESS(INDEX($X$2:$X$1001,MATCH(ROWS($V$2:V640),$V$2:$V$1001,0),0), INDEX($AC$1004:$AS$1004,1,MATCH(COLUMNS($AC$1006:AH1006),$AC$1006:$AS$1006,0)))),"Fix")))</f>
        <v xml:space="preserve"> </v>
      </c>
      <c r="H640" s="4" t="str">
        <f ca="1">IF(OR(INDEX($W$2:$W$1001,MATCH(ROWS($V$2:V640),$V$2:$V$1001,0),1)&gt;=100000,INDEX($AC$1005:$AS$1005,1,MATCH(COLUMNS($AC$1006:AI1006),$AC$1006:$AS$1006,0))&gt;=100000), " ",IF(INDEX($AC$2:$AS$1001,MATCH(ROWS($V$2:V640),$V$2:$V$1001,0),MATCH(COLUMNS($AC$1006:AI1006),$AC$1006:$AS$1006,0)), HYPERLINK("#",""), HYPERLINK(CONCATENATE("#metadata!", ADDRESS(INDEX($X$2:$X$1001,MATCH(ROWS($V$2:V640),$V$2:$V$1001,0),0), INDEX($AC$1004:$AS$1004,1,MATCH(COLUMNS($AC$1006:AI1006),$AC$1006:$AS$1006,0)))),"Fix")))</f>
        <v xml:space="preserve"> </v>
      </c>
      <c r="I640" s="4" t="str">
        <f ca="1">IF(OR(INDEX($W$2:$W$1001,MATCH(ROWS($V$2:V640),$V$2:$V$1001,0),1)&gt;=100000,INDEX($AC$1005:$AS$1005,1,MATCH(COLUMNS($AC$1006:AJ1006),$AC$1006:$AS$1006,0))&gt;=100000), " ",IF(INDEX($AC$2:$AS$1001,MATCH(ROWS($V$2:V640),$V$2:$V$1001,0),MATCH(COLUMNS($AC$1006:AJ1006),$AC$1006:$AS$1006,0)), HYPERLINK("#",""), HYPERLINK(CONCATENATE("#metadata!", ADDRESS(INDEX($X$2:$X$1001,MATCH(ROWS($V$2:V640),$V$2:$V$1001,0),0), INDEX($AC$1004:$AS$1004,1,MATCH(COLUMNS($AC$1006:AJ1006),$AC$1006:$AS$1006,0)))),"Fix")))</f>
        <v xml:space="preserve"> </v>
      </c>
      <c r="J640" s="4" t="str">
        <f ca="1">IF(OR(INDEX($W$2:$W$1001,MATCH(ROWS($V$2:V640),$V$2:$V$1001,0),1)&gt;=100000,INDEX($AC$1005:$AS$1005,1,MATCH(COLUMNS($AC$1006:AK1006),$AC$1006:$AS$1006,0))&gt;=100000), " ",IF(INDEX($AC$2:$AS$1001,MATCH(ROWS($V$2:V640),$V$2:$V$1001,0),MATCH(COLUMNS($AC$1006:AK1006),$AC$1006:$AS$1006,0)), HYPERLINK("#",""), HYPERLINK(CONCATENATE("#metadata!", ADDRESS(INDEX($X$2:$X$1001,MATCH(ROWS($V$2:V640),$V$2:$V$1001,0),0), INDEX($AC$1004:$AS$1004,1,MATCH(COLUMNS($AC$1006:AK1006),$AC$1006:$AS$1006,0)))),"Fix")))</f>
        <v xml:space="preserve"> </v>
      </c>
      <c r="K640" s="4" t="str">
        <f ca="1">IF(OR(INDEX($W$2:$W$1001,MATCH(ROWS($V$2:V640),$V$2:$V$1001,0),1)&gt;=100000,INDEX($AC$1005:$AS$1005,1,MATCH(COLUMNS($AC$1006:AL1006),$AC$1006:$AS$1006,0))&gt;=100000), " ",IF(INDEX($AC$2:$AS$1001,MATCH(ROWS($V$2:V640),$V$2:$V$1001,0),MATCH(COLUMNS($AC$1006:AL1006),$AC$1006:$AS$1006,0)), HYPERLINK("#",""), HYPERLINK(CONCATENATE("#metadata!", ADDRESS(INDEX($X$2:$X$1001,MATCH(ROWS($V$2:V640),$V$2:$V$1001,0),0), INDEX($AC$1004:$AS$1004,1,MATCH(COLUMNS($AC$1006:AL1006),$AC$1006:$AS$1006,0)))),"Fix")))</f>
        <v xml:space="preserve"> </v>
      </c>
      <c r="L640" s="4" t="str">
        <f ca="1">IF(OR(INDEX($W$2:$W$1001,MATCH(ROWS($V$2:V640),$V$2:$V$1001,0),1)&gt;=100000,INDEX($AC$1005:$AS$1005,1,MATCH(COLUMNS($AC$1006:AM1006),$AC$1006:$AS$1006,0))&gt;=100000), " ",IF(INDEX($AC$2:$AS$1001,MATCH(ROWS($V$2:V640),$V$2:$V$1001,0),MATCH(COLUMNS($AC$1006:AM1006),$AC$1006:$AS$1006,0)), HYPERLINK("#",""), HYPERLINK(CONCATENATE("#metadata!", ADDRESS(INDEX($X$2:$X$1001,MATCH(ROWS($V$2:V640),$V$2:$V$1001,0),0), INDEX($AC$1004:$AS$1004,1,MATCH(COLUMNS($AC$1006:AM1006),$AC$1006:$AS$1006,0)))),"Fix")))</f>
        <v xml:space="preserve"> </v>
      </c>
      <c r="M640" s="4" t="str">
        <f ca="1">IF(OR(INDEX($W$2:$W$1001,MATCH(ROWS($V$2:V640),$V$2:$V$1001,0),1)&gt;=100000,INDEX($AC$1005:$AS$1005,1,MATCH(COLUMNS($AC$1006:AN1006),$AC$1006:$AS$1006,0))&gt;=100000), " ",IF(INDEX($AC$2:$AS$1001,MATCH(ROWS($V$2:V640),$V$2:$V$1001,0),MATCH(COLUMNS($AC$1006:AN1006),$AC$1006:$AS$1006,0)), HYPERLINK("#",""), HYPERLINK(CONCATENATE("#metadata!", ADDRESS(INDEX($X$2:$X$1001,MATCH(ROWS($V$2:V640),$V$2:$V$1001,0),0), INDEX($AC$1004:$AS$1004,1,MATCH(COLUMNS($AC$1006:AN1006),$AC$1006:$AS$1006,0)))),"Fix")))</f>
        <v xml:space="preserve"> </v>
      </c>
      <c r="N640" s="4" t="str">
        <f ca="1">IF(OR(INDEX($W$2:$W$1001,MATCH(ROWS($V$2:V640),$V$2:$V$1001,0),1)&gt;=100000,INDEX($AC$1005:$AS$1005,1,MATCH(COLUMNS($AC$1006:AO1006),$AC$1006:$AS$1006,0))&gt;=100000), " ",IF(INDEX($AC$2:$AS$1001,MATCH(ROWS($V$2:V640),$V$2:$V$1001,0),MATCH(COLUMNS($AC$1006:AO1006),$AC$1006:$AS$1006,0)), HYPERLINK("#",""), HYPERLINK(CONCATENATE("#metadata!", ADDRESS(INDEX($X$2:$X$1001,MATCH(ROWS($V$2:V640),$V$2:$V$1001,0),0), INDEX($AC$1004:$AS$1004,1,MATCH(COLUMNS($AC$1006:AO1006),$AC$1006:$AS$1006,0)))),"Fix")))</f>
        <v xml:space="preserve"> </v>
      </c>
      <c r="O640" s="4" t="str">
        <f ca="1">IF(OR(INDEX($W$2:$W$1001,MATCH(ROWS($V$2:V640),$V$2:$V$1001,0),1)&gt;=100000,INDEX($AC$1005:$AS$1005,1,MATCH(COLUMNS($AC$1006:AP1006),$AC$1006:$AS$1006,0))&gt;=100000), " ",IF(INDEX($AC$2:$AS$1001,MATCH(ROWS($V$2:V640),$V$2:$V$1001,0),MATCH(COLUMNS($AC$1006:AP1006),$AC$1006:$AS$1006,0)), HYPERLINK("#",""), HYPERLINK(CONCATENATE("#metadata!", ADDRESS(INDEX($X$2:$X$1001,MATCH(ROWS($V$2:V640),$V$2:$V$1001,0),0), INDEX($AC$1004:$AS$1004,1,MATCH(COLUMNS($AC$1006:AP1006),$AC$1006:$AS$1006,0)))),"Fix")))</f>
        <v xml:space="preserve"> </v>
      </c>
      <c r="P640" s="4" t="str">
        <f ca="1">IF(OR(INDEX($W$2:$W$1001,MATCH(ROWS($V$2:V640),$V$2:$V$1001,0),1)&gt;=100000,INDEX($AC$1005:$AS$1005,1,MATCH(COLUMNS($AC$1006:AQ1006),$AC$1006:$AS$1006,0))&gt;=100000), " ",IF(INDEX($AC$2:$AS$1001,MATCH(ROWS($V$2:V640),$V$2:$V$1001,0),MATCH(COLUMNS($AC$1006:AQ1006),$AC$1006:$AS$1006,0)), HYPERLINK("#",""), HYPERLINK(CONCATENATE("#metadata!", ADDRESS(INDEX($X$2:$X$1001,MATCH(ROWS($V$2:V640),$V$2:$V$1001,0),0), INDEX($AC$1004:$AS$1004,1,MATCH(COLUMNS($AC$1006:AQ1006),$AC$1006:$AS$1006,0)))),"Fix")))</f>
        <v xml:space="preserve"> </v>
      </c>
      <c r="Q640" s="4" t="str">
        <f ca="1">IF(OR(INDEX($W$2:$W$1001,MATCH(ROWS($V$2:V640),$V$2:$V$1001,0),1)&gt;=100000,INDEX($AC$1005:$AS$1005,1,MATCH(COLUMNS($AC$1006:AR1006),$AC$1006:$AS$1006,0))&gt;=100000), " ",IF(INDEX($AC$2:$AS$1001,MATCH(ROWS($V$2:V640),$V$2:$V$1001,0),MATCH(COLUMNS($AC$1006:AR1006),$AC$1006:$AS$1006,0)), HYPERLINK("#",""), HYPERLINK(CONCATENATE("#metadata!", ADDRESS(INDEX($X$2:$X$1001,MATCH(ROWS($V$2:V640),$V$2:$V$1001,0),0), INDEX($AC$1004:$AS$1004,1,MATCH(COLUMNS($AC$1006:AR1006),$AC$1006:$AS$1006,0)))),"Fix")))</f>
        <v xml:space="preserve"> </v>
      </c>
      <c r="R640" s="4" t="str">
        <f ca="1">IF(OR(INDEX($W$2:$W$1001,MATCH(ROWS($V$2:V640),$V$2:$V$1001,0),1)&gt;=100000,INDEX($AC$1005:$AS$1005,1,MATCH(COLUMNS($AC$1006:AS1006),$AC$1006:$AS$1006,0))&gt;=100000), " ",IF(INDEX($AC$2:$AS$1001,MATCH(ROWS($V$2:V640),$V$2:$V$1001,0),MATCH(COLUMNS($AC$1006:AS1006),$AC$1006:$AS$1006,0)), HYPERLINK("#",""), HYPERLINK(CONCATENATE("#metadata!", ADDRESS(INDEX($X$2:$X$1001,MATCH(ROWS($V$2:V640),$V$2:$V$1001,0),0), INDEX($AC$1004:$AS$1004,1,MATCH(COLUMNS($AC$1006:AS1006),$AC$1006:$AS$1006,0)))),"Fix")))</f>
        <v xml:space="preserve"> </v>
      </c>
      <c r="V640">
        <v>639</v>
      </c>
      <c r="W640">
        <v>100640</v>
      </c>
      <c r="X640">
        <v>640</v>
      </c>
      <c r="Y640" t="b">
        <f t="shared" si="9"/>
        <v>1</v>
      </c>
      <c r="Z640" t="b">
        <f>COUNTBLANK(metadata!B640:R640)=COLUMNS(metadata!B640:R640)</f>
        <v>1</v>
      </c>
      <c r="AA640" t="str">
        <v/>
      </c>
      <c r="AC640" t="b">
        <f ca="1"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AD640" t="b">
        <f>IF(metadata!C640="",FALSE,ISNUMBER(VALUE(metadata!C640)))</f>
        <v>0</v>
      </c>
      <c r="AE640" t="b">
        <f>AND(IF(metadata!D640="",FALSE,TRUE),EXACT(metadata!D640,"years"))</f>
        <v>0</v>
      </c>
      <c r="AF640" t="b">
        <f>OR(AND(IF(metadata!E640="",FALSE,TRUE),OR(EXACT(metadata!E640,"not applicable"),EXACT(metadata!E640,"missing: not collected"),EXACT(metadata!E640,"missing: not provided"),EXACT(metadata!E640,"missing: restricted access"))),AND(IF(metadata!E640="",FALSE,ISNUMBER(VALUE(metadata!E640))),metadata!E640&gt;0))</f>
        <v>0</v>
      </c>
      <c r="AG640" t="b">
        <f>AND(IF(metadata!F640="",FALSE,TRUE),EXACT(metadata!F640,"Not applicable"))</f>
        <v>0</v>
      </c>
      <c r="AH640" t="b">
        <f>AND(IF(metadata!G640="",FALSE,TRUE),EXACT(metadata!G640,"urban biome"))</f>
        <v>0</v>
      </c>
      <c r="AI640" t="b">
        <f>AND(IF(metadata!H640="",FALSE,TRUE),EXACT(metadata!H640,"human-associated habitat"))</f>
        <v>0</v>
      </c>
      <c r="AJ640" t="b">
        <f>AND(IF(metadata!I640="",FALSE,TRUE),OR(EXACT(metadata!I640,"human-associated"),EXACT(metadata!I640,"human-skin"),EXACT(metadata!I640,"human-oral"),EXACT(metadata!I640,"human-gut"),EXACT(metadata!I640,"human-vaginal")))</f>
        <v>0</v>
      </c>
      <c r="AK640" t="b">
        <f>IF(metadata!J640="",FALSE,ISNUMBER(VALUE(metadata!J640)))</f>
        <v>0</v>
      </c>
      <c r="AL640" t="b">
        <f>AND(IF(metadata!K640="",FALSE,TRUE),EXACT(metadata!K640,"cm"))</f>
        <v>0</v>
      </c>
      <c r="AM640" t="b">
        <f>AND(IF(metadata!L640="",FALSE,TRUE),EXACT(metadata!L640,"human"))</f>
        <v>0</v>
      </c>
      <c r="AN640" t="b">
        <f>AND(IF(metadata!M640="",FALSE,TRUE),EXACT(metadata!M640,"Homo sapiens"))</f>
        <v>0</v>
      </c>
      <c r="AO640" t="b">
        <f>AND(IF(metadata!N640="",FALSE,TRUE),EXACT(metadata!N640,"9606"))</f>
        <v>0</v>
      </c>
      <c r="AP640" t="b">
        <f>IF(metadata!O640="",FALSE,TRUE)</f>
        <v>0</v>
      </c>
      <c r="AQ640" t="b">
        <f>IF(metadata!P640="",FALSE,TRUE)</f>
        <v>0</v>
      </c>
      <c r="AR640" t="b">
        <f>IF(metadata!Q640="",FALSE,ISNUMBER(VALUE(metadata!Q640)))</f>
        <v>0</v>
      </c>
      <c r="AS640" t="b">
        <f>AND(IF(metadata!R640="",FALSE,TRUE),EXACT(metadata!R640,"kg"))</f>
        <v>0</v>
      </c>
    </row>
    <row r="641" spans="1:45" x14ac:dyDescent="0.2">
      <c r="A641" s="5" t="str">
        <f ca="1">IF(B641=" "," ",HYPERLINK(CONCATENATE("#metadata!",ADDRESS(INDEX($X$2:$X$1001,MATCH(ROWS($V$2:V641),$V$2:$V$1001,0),0),1)),INDEX($AA$2:$AA$1001,MATCH(ROWS($V$2:V641),$V$2:$V$1001,0),0)))</f>
        <v xml:space="preserve"> </v>
      </c>
      <c r="B641" s="4" t="str">
        <f ca="1">IF(OR(INDEX($W$2:$W$1001,MATCH(ROWS($V$2:V641),$V$2:$V$1001,0),1)&gt;=100000,INDEX($AC$1005:$AS$1005,1,MATCH(COLUMNS($AC$1006:AC1006),$AC$1006:$AS$1006,0))&gt;=100000), " ",IF(INDEX($AC$2:$AS$1001,MATCH(ROWS($V$2:V641),$V$2:$V$1001,0),MATCH(COLUMNS($AC$1006:AC1006),$AC$1006:$AS$1006,0)), HYPERLINK("#",""), HYPERLINK(CONCATENATE("#metadata!", ADDRESS(INDEX($X$2:$X$1001,MATCH(ROWS($V$2:V641),$V$2:$V$1001,0),0), INDEX($AC$1004:$AS$1004,1,MATCH(COLUMNS($AC$1006:AC1006),$AC$1006:$AS$1006,0)))),"Fix")))</f>
        <v xml:space="preserve"> </v>
      </c>
      <c r="C641" s="4" t="str">
        <f ca="1">IF(OR(INDEX($W$2:$W$1001,MATCH(ROWS($V$2:V641),$V$2:$V$1001,0),1)&gt;=100000,INDEX($AC$1005:$AS$1005,1,MATCH(COLUMNS($AC$1006:AD1006),$AC$1006:$AS$1006,0))&gt;=100000), " ",IF(INDEX($AC$2:$AS$1001,MATCH(ROWS($V$2:V641),$V$2:$V$1001,0),MATCH(COLUMNS($AC$1006:AD1006),$AC$1006:$AS$1006,0)), HYPERLINK("#",""), HYPERLINK(CONCATENATE("#metadata!", ADDRESS(INDEX($X$2:$X$1001,MATCH(ROWS($V$2:V641),$V$2:$V$1001,0),0), INDEX($AC$1004:$AS$1004,1,MATCH(COLUMNS($AC$1006:AD1006),$AC$1006:$AS$1006,0)))),"Fix")))</f>
        <v xml:space="preserve"> </v>
      </c>
      <c r="D641" s="4" t="str">
        <f ca="1">IF(OR(INDEX($W$2:$W$1001,MATCH(ROWS($V$2:V641),$V$2:$V$1001,0),1)&gt;=100000,INDEX($AC$1005:$AS$1005,1,MATCH(COLUMNS($AC$1006:AE1006),$AC$1006:$AS$1006,0))&gt;=100000), " ",IF(INDEX($AC$2:$AS$1001,MATCH(ROWS($V$2:V641),$V$2:$V$1001,0),MATCH(COLUMNS($AC$1006:AE1006),$AC$1006:$AS$1006,0)), HYPERLINK("#",""), HYPERLINK(CONCATENATE("#metadata!", ADDRESS(INDEX($X$2:$X$1001,MATCH(ROWS($V$2:V641),$V$2:$V$1001,0),0), INDEX($AC$1004:$AS$1004,1,MATCH(COLUMNS($AC$1006:AE1006),$AC$1006:$AS$1006,0)))),"Fix")))</f>
        <v xml:space="preserve"> </v>
      </c>
      <c r="E641" s="4" t="str">
        <f ca="1">IF(OR(INDEX($W$2:$W$1001,MATCH(ROWS($V$2:V641),$V$2:$V$1001,0),1)&gt;=100000,INDEX($AC$1005:$AS$1005,1,MATCH(COLUMNS($AC$1006:AF1006),$AC$1006:$AS$1006,0))&gt;=100000), " ",IF(INDEX($AC$2:$AS$1001,MATCH(ROWS($V$2:V641),$V$2:$V$1001,0),MATCH(COLUMNS($AC$1006:AF1006),$AC$1006:$AS$1006,0)), HYPERLINK("#",""), HYPERLINK(CONCATENATE("#metadata!", ADDRESS(INDEX($X$2:$X$1001,MATCH(ROWS($V$2:V641),$V$2:$V$1001,0),0), INDEX($AC$1004:$AS$1004,1,MATCH(COLUMNS($AC$1006:AF1006),$AC$1006:$AS$1006,0)))),"Fix")))</f>
        <v xml:space="preserve"> </v>
      </c>
      <c r="F641" s="4" t="str">
        <f ca="1">IF(OR(INDEX($W$2:$W$1001,MATCH(ROWS($V$2:V641),$V$2:$V$1001,0),1)&gt;=100000,INDEX($AC$1005:$AS$1005,1,MATCH(COLUMNS($AC$1006:AG1006),$AC$1006:$AS$1006,0))&gt;=100000), " ",IF(INDEX($AC$2:$AS$1001,MATCH(ROWS($V$2:V641),$V$2:$V$1001,0),MATCH(COLUMNS($AC$1006:AG1006),$AC$1006:$AS$1006,0)), HYPERLINK("#",""), HYPERLINK(CONCATENATE("#metadata!", ADDRESS(INDEX($X$2:$X$1001,MATCH(ROWS($V$2:V641),$V$2:$V$1001,0),0), INDEX($AC$1004:$AS$1004,1,MATCH(COLUMNS($AC$1006:AG1006),$AC$1006:$AS$1006,0)))),"Fix")))</f>
        <v xml:space="preserve"> </v>
      </c>
      <c r="G641" s="4" t="str">
        <f ca="1">IF(OR(INDEX($W$2:$W$1001,MATCH(ROWS($V$2:V641),$V$2:$V$1001,0),1)&gt;=100000,INDEX($AC$1005:$AS$1005,1,MATCH(COLUMNS($AC$1006:AH1006),$AC$1006:$AS$1006,0))&gt;=100000), " ",IF(INDEX($AC$2:$AS$1001,MATCH(ROWS($V$2:V641),$V$2:$V$1001,0),MATCH(COLUMNS($AC$1006:AH1006),$AC$1006:$AS$1006,0)), HYPERLINK("#",""), HYPERLINK(CONCATENATE("#metadata!", ADDRESS(INDEX($X$2:$X$1001,MATCH(ROWS($V$2:V641),$V$2:$V$1001,0),0), INDEX($AC$1004:$AS$1004,1,MATCH(COLUMNS($AC$1006:AH1006),$AC$1006:$AS$1006,0)))),"Fix")))</f>
        <v xml:space="preserve"> </v>
      </c>
      <c r="H641" s="4" t="str">
        <f ca="1">IF(OR(INDEX($W$2:$W$1001,MATCH(ROWS($V$2:V641),$V$2:$V$1001,0),1)&gt;=100000,INDEX($AC$1005:$AS$1005,1,MATCH(COLUMNS($AC$1006:AI1006),$AC$1006:$AS$1006,0))&gt;=100000), " ",IF(INDEX($AC$2:$AS$1001,MATCH(ROWS($V$2:V641),$V$2:$V$1001,0),MATCH(COLUMNS($AC$1006:AI1006),$AC$1006:$AS$1006,0)), HYPERLINK("#",""), HYPERLINK(CONCATENATE("#metadata!", ADDRESS(INDEX($X$2:$X$1001,MATCH(ROWS($V$2:V641),$V$2:$V$1001,0),0), INDEX($AC$1004:$AS$1004,1,MATCH(COLUMNS($AC$1006:AI1006),$AC$1006:$AS$1006,0)))),"Fix")))</f>
        <v xml:space="preserve"> </v>
      </c>
      <c r="I641" s="4" t="str">
        <f ca="1">IF(OR(INDEX($W$2:$W$1001,MATCH(ROWS($V$2:V641),$V$2:$V$1001,0),1)&gt;=100000,INDEX($AC$1005:$AS$1005,1,MATCH(COLUMNS($AC$1006:AJ1006),$AC$1006:$AS$1006,0))&gt;=100000), " ",IF(INDEX($AC$2:$AS$1001,MATCH(ROWS($V$2:V641),$V$2:$V$1001,0),MATCH(COLUMNS($AC$1006:AJ1006),$AC$1006:$AS$1006,0)), HYPERLINK("#",""), HYPERLINK(CONCATENATE("#metadata!", ADDRESS(INDEX($X$2:$X$1001,MATCH(ROWS($V$2:V641),$V$2:$V$1001,0),0), INDEX($AC$1004:$AS$1004,1,MATCH(COLUMNS($AC$1006:AJ1006),$AC$1006:$AS$1006,0)))),"Fix")))</f>
        <v xml:space="preserve"> </v>
      </c>
      <c r="J641" s="4" t="str">
        <f ca="1">IF(OR(INDEX($W$2:$W$1001,MATCH(ROWS($V$2:V641),$V$2:$V$1001,0),1)&gt;=100000,INDEX($AC$1005:$AS$1005,1,MATCH(COLUMNS($AC$1006:AK1006),$AC$1006:$AS$1006,0))&gt;=100000), " ",IF(INDEX($AC$2:$AS$1001,MATCH(ROWS($V$2:V641),$V$2:$V$1001,0),MATCH(COLUMNS($AC$1006:AK1006),$AC$1006:$AS$1006,0)), HYPERLINK("#",""), HYPERLINK(CONCATENATE("#metadata!", ADDRESS(INDEX($X$2:$X$1001,MATCH(ROWS($V$2:V641),$V$2:$V$1001,0),0), INDEX($AC$1004:$AS$1004,1,MATCH(COLUMNS($AC$1006:AK1006),$AC$1006:$AS$1006,0)))),"Fix")))</f>
        <v xml:space="preserve"> </v>
      </c>
      <c r="K641" s="4" t="str">
        <f ca="1">IF(OR(INDEX($W$2:$W$1001,MATCH(ROWS($V$2:V641),$V$2:$V$1001,0),1)&gt;=100000,INDEX($AC$1005:$AS$1005,1,MATCH(COLUMNS($AC$1006:AL1006),$AC$1006:$AS$1006,0))&gt;=100000), " ",IF(INDEX($AC$2:$AS$1001,MATCH(ROWS($V$2:V641),$V$2:$V$1001,0),MATCH(COLUMNS($AC$1006:AL1006),$AC$1006:$AS$1006,0)), HYPERLINK("#",""), HYPERLINK(CONCATENATE("#metadata!", ADDRESS(INDEX($X$2:$X$1001,MATCH(ROWS($V$2:V641),$V$2:$V$1001,0),0), INDEX($AC$1004:$AS$1004,1,MATCH(COLUMNS($AC$1006:AL1006),$AC$1006:$AS$1006,0)))),"Fix")))</f>
        <v xml:space="preserve"> </v>
      </c>
      <c r="L641" s="4" t="str">
        <f ca="1">IF(OR(INDEX($W$2:$W$1001,MATCH(ROWS($V$2:V641),$V$2:$V$1001,0),1)&gt;=100000,INDEX($AC$1005:$AS$1005,1,MATCH(COLUMNS($AC$1006:AM1006),$AC$1006:$AS$1006,0))&gt;=100000), " ",IF(INDEX($AC$2:$AS$1001,MATCH(ROWS($V$2:V641),$V$2:$V$1001,0),MATCH(COLUMNS($AC$1006:AM1006),$AC$1006:$AS$1006,0)), HYPERLINK("#",""), HYPERLINK(CONCATENATE("#metadata!", ADDRESS(INDEX($X$2:$X$1001,MATCH(ROWS($V$2:V641),$V$2:$V$1001,0),0), INDEX($AC$1004:$AS$1004,1,MATCH(COLUMNS($AC$1006:AM1006),$AC$1006:$AS$1006,0)))),"Fix")))</f>
        <v xml:space="preserve"> </v>
      </c>
      <c r="M641" s="4" t="str">
        <f ca="1">IF(OR(INDEX($W$2:$W$1001,MATCH(ROWS($V$2:V641),$V$2:$V$1001,0),1)&gt;=100000,INDEX($AC$1005:$AS$1005,1,MATCH(COLUMNS($AC$1006:AN1006),$AC$1006:$AS$1006,0))&gt;=100000), " ",IF(INDEX($AC$2:$AS$1001,MATCH(ROWS($V$2:V641),$V$2:$V$1001,0),MATCH(COLUMNS($AC$1006:AN1006),$AC$1006:$AS$1006,0)), HYPERLINK("#",""), HYPERLINK(CONCATENATE("#metadata!", ADDRESS(INDEX($X$2:$X$1001,MATCH(ROWS($V$2:V641),$V$2:$V$1001,0),0), INDEX($AC$1004:$AS$1004,1,MATCH(COLUMNS($AC$1006:AN1006),$AC$1006:$AS$1006,0)))),"Fix")))</f>
        <v xml:space="preserve"> </v>
      </c>
      <c r="N641" s="4" t="str">
        <f ca="1">IF(OR(INDEX($W$2:$W$1001,MATCH(ROWS($V$2:V641),$V$2:$V$1001,0),1)&gt;=100000,INDEX($AC$1005:$AS$1005,1,MATCH(COLUMNS($AC$1006:AO1006),$AC$1006:$AS$1006,0))&gt;=100000), " ",IF(INDEX($AC$2:$AS$1001,MATCH(ROWS($V$2:V641),$V$2:$V$1001,0),MATCH(COLUMNS($AC$1006:AO1006),$AC$1006:$AS$1006,0)), HYPERLINK("#",""), HYPERLINK(CONCATENATE("#metadata!", ADDRESS(INDEX($X$2:$X$1001,MATCH(ROWS($V$2:V641),$V$2:$V$1001,0),0), INDEX($AC$1004:$AS$1004,1,MATCH(COLUMNS($AC$1006:AO1006),$AC$1006:$AS$1006,0)))),"Fix")))</f>
        <v xml:space="preserve"> </v>
      </c>
      <c r="O641" s="4" t="str">
        <f ca="1">IF(OR(INDEX($W$2:$W$1001,MATCH(ROWS($V$2:V641),$V$2:$V$1001,0),1)&gt;=100000,INDEX($AC$1005:$AS$1005,1,MATCH(COLUMNS($AC$1006:AP1006),$AC$1006:$AS$1006,0))&gt;=100000), " ",IF(INDEX($AC$2:$AS$1001,MATCH(ROWS($V$2:V641),$V$2:$V$1001,0),MATCH(COLUMNS($AC$1006:AP1006),$AC$1006:$AS$1006,0)), HYPERLINK("#",""), HYPERLINK(CONCATENATE("#metadata!", ADDRESS(INDEX($X$2:$X$1001,MATCH(ROWS($V$2:V641),$V$2:$V$1001,0),0), INDEX($AC$1004:$AS$1004,1,MATCH(COLUMNS($AC$1006:AP1006),$AC$1006:$AS$1006,0)))),"Fix")))</f>
        <v xml:space="preserve"> </v>
      </c>
      <c r="P641" s="4" t="str">
        <f ca="1">IF(OR(INDEX($W$2:$W$1001,MATCH(ROWS($V$2:V641),$V$2:$V$1001,0),1)&gt;=100000,INDEX($AC$1005:$AS$1005,1,MATCH(COLUMNS($AC$1006:AQ1006),$AC$1006:$AS$1006,0))&gt;=100000), " ",IF(INDEX($AC$2:$AS$1001,MATCH(ROWS($V$2:V641),$V$2:$V$1001,0),MATCH(COLUMNS($AC$1006:AQ1006),$AC$1006:$AS$1006,0)), HYPERLINK("#",""), HYPERLINK(CONCATENATE("#metadata!", ADDRESS(INDEX($X$2:$X$1001,MATCH(ROWS($V$2:V641),$V$2:$V$1001,0),0), INDEX($AC$1004:$AS$1004,1,MATCH(COLUMNS($AC$1006:AQ1006),$AC$1006:$AS$1006,0)))),"Fix")))</f>
        <v xml:space="preserve"> </v>
      </c>
      <c r="Q641" s="4" t="str">
        <f ca="1">IF(OR(INDEX($W$2:$W$1001,MATCH(ROWS($V$2:V641),$V$2:$V$1001,0),1)&gt;=100000,INDEX($AC$1005:$AS$1005,1,MATCH(COLUMNS($AC$1006:AR1006),$AC$1006:$AS$1006,0))&gt;=100000), " ",IF(INDEX($AC$2:$AS$1001,MATCH(ROWS($V$2:V641),$V$2:$V$1001,0),MATCH(COLUMNS($AC$1006:AR1006),$AC$1006:$AS$1006,0)), HYPERLINK("#",""), HYPERLINK(CONCATENATE("#metadata!", ADDRESS(INDEX($X$2:$X$1001,MATCH(ROWS($V$2:V641),$V$2:$V$1001,0),0), INDEX($AC$1004:$AS$1004,1,MATCH(COLUMNS($AC$1006:AR1006),$AC$1006:$AS$1006,0)))),"Fix")))</f>
        <v xml:space="preserve"> </v>
      </c>
      <c r="R641" s="4" t="str">
        <f ca="1">IF(OR(INDEX($W$2:$W$1001,MATCH(ROWS($V$2:V641),$V$2:$V$1001,0),1)&gt;=100000,INDEX($AC$1005:$AS$1005,1,MATCH(COLUMNS($AC$1006:AS1006),$AC$1006:$AS$1006,0))&gt;=100000), " ",IF(INDEX($AC$2:$AS$1001,MATCH(ROWS($V$2:V641),$V$2:$V$1001,0),MATCH(COLUMNS($AC$1006:AS1006),$AC$1006:$AS$1006,0)), HYPERLINK("#",""), HYPERLINK(CONCATENATE("#metadata!", ADDRESS(INDEX($X$2:$X$1001,MATCH(ROWS($V$2:V641),$V$2:$V$1001,0),0), INDEX($AC$1004:$AS$1004,1,MATCH(COLUMNS($AC$1006:AS1006),$AC$1006:$AS$1006,0)))),"Fix")))</f>
        <v xml:space="preserve"> </v>
      </c>
      <c r="V641">
        <v>640</v>
      </c>
      <c r="W641">
        <v>100641</v>
      </c>
      <c r="X641">
        <v>641</v>
      </c>
      <c r="Y641" t="b">
        <f t="shared" si="9"/>
        <v>1</v>
      </c>
      <c r="Z641" t="b">
        <f>COUNTBLANK(metadata!B641:R641)=COLUMNS(metadata!B641:R641)</f>
        <v>1</v>
      </c>
      <c r="AA641" t="str">
        <v/>
      </c>
      <c r="AC641" t="b">
        <f ca="1"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AD641" t="b">
        <f>IF(metadata!C641="",FALSE,ISNUMBER(VALUE(metadata!C641)))</f>
        <v>0</v>
      </c>
      <c r="AE641" t="b">
        <f>AND(IF(metadata!D641="",FALSE,TRUE),EXACT(metadata!D641,"years"))</f>
        <v>0</v>
      </c>
      <c r="AF641" t="b">
        <f>OR(AND(IF(metadata!E641="",FALSE,TRUE),OR(EXACT(metadata!E641,"not applicable"),EXACT(metadata!E641,"missing: not collected"),EXACT(metadata!E641,"missing: not provided"),EXACT(metadata!E641,"missing: restricted access"))),AND(IF(metadata!E641="",FALSE,ISNUMBER(VALUE(metadata!E641))),metadata!E641&gt;0))</f>
        <v>0</v>
      </c>
      <c r="AG641" t="b">
        <f>AND(IF(metadata!F641="",FALSE,TRUE),EXACT(metadata!F641,"Not applicable"))</f>
        <v>0</v>
      </c>
      <c r="AH641" t="b">
        <f>AND(IF(metadata!G641="",FALSE,TRUE),EXACT(metadata!G641,"urban biome"))</f>
        <v>0</v>
      </c>
      <c r="AI641" t="b">
        <f>AND(IF(metadata!H641="",FALSE,TRUE),EXACT(metadata!H641,"human-associated habitat"))</f>
        <v>0</v>
      </c>
      <c r="AJ641" t="b">
        <f>AND(IF(metadata!I641="",FALSE,TRUE),OR(EXACT(metadata!I641,"human-associated"),EXACT(metadata!I641,"human-skin"),EXACT(metadata!I641,"human-oral"),EXACT(metadata!I641,"human-gut"),EXACT(metadata!I641,"human-vaginal")))</f>
        <v>0</v>
      </c>
      <c r="AK641" t="b">
        <f>IF(metadata!J641="",FALSE,ISNUMBER(VALUE(metadata!J641)))</f>
        <v>0</v>
      </c>
      <c r="AL641" t="b">
        <f>AND(IF(metadata!K641="",FALSE,TRUE),EXACT(metadata!K641,"cm"))</f>
        <v>0</v>
      </c>
      <c r="AM641" t="b">
        <f>AND(IF(metadata!L641="",FALSE,TRUE),EXACT(metadata!L641,"human"))</f>
        <v>0</v>
      </c>
      <c r="AN641" t="b">
        <f>AND(IF(metadata!M641="",FALSE,TRUE),EXACT(metadata!M641,"Homo sapiens"))</f>
        <v>0</v>
      </c>
      <c r="AO641" t="b">
        <f>AND(IF(metadata!N641="",FALSE,TRUE),EXACT(metadata!N641,"9606"))</f>
        <v>0</v>
      </c>
      <c r="AP641" t="b">
        <f>IF(metadata!O641="",FALSE,TRUE)</f>
        <v>0</v>
      </c>
      <c r="AQ641" t="b">
        <f>IF(metadata!P641="",FALSE,TRUE)</f>
        <v>0</v>
      </c>
      <c r="AR641" t="b">
        <f>IF(metadata!Q641="",FALSE,ISNUMBER(VALUE(metadata!Q641)))</f>
        <v>0</v>
      </c>
      <c r="AS641" t="b">
        <f>AND(IF(metadata!R641="",FALSE,TRUE),EXACT(metadata!R641,"kg"))</f>
        <v>0</v>
      </c>
    </row>
    <row r="642" spans="1:45" x14ac:dyDescent="0.2">
      <c r="A642" s="5" t="str">
        <f ca="1">IF(B642=" "," ",HYPERLINK(CONCATENATE("#metadata!",ADDRESS(INDEX($X$2:$X$1001,MATCH(ROWS($V$2:V642),$V$2:$V$1001,0),0),1)),INDEX($AA$2:$AA$1001,MATCH(ROWS($V$2:V642),$V$2:$V$1001,0),0)))</f>
        <v xml:space="preserve"> </v>
      </c>
      <c r="B642" s="4" t="str">
        <f ca="1">IF(OR(INDEX($W$2:$W$1001,MATCH(ROWS($V$2:V642),$V$2:$V$1001,0),1)&gt;=100000,INDEX($AC$1005:$AS$1005,1,MATCH(COLUMNS($AC$1006:AC1006),$AC$1006:$AS$1006,0))&gt;=100000), " ",IF(INDEX($AC$2:$AS$1001,MATCH(ROWS($V$2:V642),$V$2:$V$1001,0),MATCH(COLUMNS($AC$1006:AC1006),$AC$1006:$AS$1006,0)), HYPERLINK("#",""), HYPERLINK(CONCATENATE("#metadata!", ADDRESS(INDEX($X$2:$X$1001,MATCH(ROWS($V$2:V642),$V$2:$V$1001,0),0), INDEX($AC$1004:$AS$1004,1,MATCH(COLUMNS($AC$1006:AC1006),$AC$1006:$AS$1006,0)))),"Fix")))</f>
        <v xml:space="preserve"> </v>
      </c>
      <c r="C642" s="4" t="str">
        <f ca="1">IF(OR(INDEX($W$2:$W$1001,MATCH(ROWS($V$2:V642),$V$2:$V$1001,0),1)&gt;=100000,INDEX($AC$1005:$AS$1005,1,MATCH(COLUMNS($AC$1006:AD1006),$AC$1006:$AS$1006,0))&gt;=100000), " ",IF(INDEX($AC$2:$AS$1001,MATCH(ROWS($V$2:V642),$V$2:$V$1001,0),MATCH(COLUMNS($AC$1006:AD1006),$AC$1006:$AS$1006,0)), HYPERLINK("#",""), HYPERLINK(CONCATENATE("#metadata!", ADDRESS(INDEX($X$2:$X$1001,MATCH(ROWS($V$2:V642),$V$2:$V$1001,0),0), INDEX($AC$1004:$AS$1004,1,MATCH(COLUMNS($AC$1006:AD1006),$AC$1006:$AS$1006,0)))),"Fix")))</f>
        <v xml:space="preserve"> </v>
      </c>
      <c r="D642" s="4" t="str">
        <f ca="1">IF(OR(INDEX($W$2:$W$1001,MATCH(ROWS($V$2:V642),$V$2:$V$1001,0),1)&gt;=100000,INDEX($AC$1005:$AS$1005,1,MATCH(COLUMNS($AC$1006:AE1006),$AC$1006:$AS$1006,0))&gt;=100000), " ",IF(INDEX($AC$2:$AS$1001,MATCH(ROWS($V$2:V642),$V$2:$V$1001,0),MATCH(COLUMNS($AC$1006:AE1006),$AC$1006:$AS$1006,0)), HYPERLINK("#",""), HYPERLINK(CONCATENATE("#metadata!", ADDRESS(INDEX($X$2:$X$1001,MATCH(ROWS($V$2:V642),$V$2:$V$1001,0),0), INDEX($AC$1004:$AS$1004,1,MATCH(COLUMNS($AC$1006:AE1006),$AC$1006:$AS$1006,0)))),"Fix")))</f>
        <v xml:space="preserve"> </v>
      </c>
      <c r="E642" s="4" t="str">
        <f ca="1">IF(OR(INDEX($W$2:$W$1001,MATCH(ROWS($V$2:V642),$V$2:$V$1001,0),1)&gt;=100000,INDEX($AC$1005:$AS$1005,1,MATCH(COLUMNS($AC$1006:AF1006),$AC$1006:$AS$1006,0))&gt;=100000), " ",IF(INDEX($AC$2:$AS$1001,MATCH(ROWS($V$2:V642),$V$2:$V$1001,0),MATCH(COLUMNS($AC$1006:AF1006),$AC$1006:$AS$1006,0)), HYPERLINK("#",""), HYPERLINK(CONCATENATE("#metadata!", ADDRESS(INDEX($X$2:$X$1001,MATCH(ROWS($V$2:V642),$V$2:$V$1001,0),0), INDEX($AC$1004:$AS$1004,1,MATCH(COLUMNS($AC$1006:AF1006),$AC$1006:$AS$1006,0)))),"Fix")))</f>
        <v xml:space="preserve"> </v>
      </c>
      <c r="F642" s="4" t="str">
        <f ca="1">IF(OR(INDEX($W$2:$W$1001,MATCH(ROWS($V$2:V642),$V$2:$V$1001,0),1)&gt;=100000,INDEX($AC$1005:$AS$1005,1,MATCH(COLUMNS($AC$1006:AG1006),$AC$1006:$AS$1006,0))&gt;=100000), " ",IF(INDEX($AC$2:$AS$1001,MATCH(ROWS($V$2:V642),$V$2:$V$1001,0),MATCH(COLUMNS($AC$1006:AG1006),$AC$1006:$AS$1006,0)), HYPERLINK("#",""), HYPERLINK(CONCATENATE("#metadata!", ADDRESS(INDEX($X$2:$X$1001,MATCH(ROWS($V$2:V642),$V$2:$V$1001,0),0), INDEX($AC$1004:$AS$1004,1,MATCH(COLUMNS($AC$1006:AG1006),$AC$1006:$AS$1006,0)))),"Fix")))</f>
        <v xml:space="preserve"> </v>
      </c>
      <c r="G642" s="4" t="str">
        <f ca="1">IF(OR(INDEX($W$2:$W$1001,MATCH(ROWS($V$2:V642),$V$2:$V$1001,0),1)&gt;=100000,INDEX($AC$1005:$AS$1005,1,MATCH(COLUMNS($AC$1006:AH1006),$AC$1006:$AS$1006,0))&gt;=100000), " ",IF(INDEX($AC$2:$AS$1001,MATCH(ROWS($V$2:V642),$V$2:$V$1001,0),MATCH(COLUMNS($AC$1006:AH1006),$AC$1006:$AS$1006,0)), HYPERLINK("#",""), HYPERLINK(CONCATENATE("#metadata!", ADDRESS(INDEX($X$2:$X$1001,MATCH(ROWS($V$2:V642),$V$2:$V$1001,0),0), INDEX($AC$1004:$AS$1004,1,MATCH(COLUMNS($AC$1006:AH1006),$AC$1006:$AS$1006,0)))),"Fix")))</f>
        <v xml:space="preserve"> </v>
      </c>
      <c r="H642" s="4" t="str">
        <f ca="1">IF(OR(INDEX($W$2:$W$1001,MATCH(ROWS($V$2:V642),$V$2:$V$1001,0),1)&gt;=100000,INDEX($AC$1005:$AS$1005,1,MATCH(COLUMNS($AC$1006:AI1006),$AC$1006:$AS$1006,0))&gt;=100000), " ",IF(INDEX($AC$2:$AS$1001,MATCH(ROWS($V$2:V642),$V$2:$V$1001,0),MATCH(COLUMNS($AC$1006:AI1006),$AC$1006:$AS$1006,0)), HYPERLINK("#",""), HYPERLINK(CONCATENATE("#metadata!", ADDRESS(INDEX($X$2:$X$1001,MATCH(ROWS($V$2:V642),$V$2:$V$1001,0),0), INDEX($AC$1004:$AS$1004,1,MATCH(COLUMNS($AC$1006:AI1006),$AC$1006:$AS$1006,0)))),"Fix")))</f>
        <v xml:space="preserve"> </v>
      </c>
      <c r="I642" s="4" t="str">
        <f ca="1">IF(OR(INDEX($W$2:$W$1001,MATCH(ROWS($V$2:V642),$V$2:$V$1001,0),1)&gt;=100000,INDEX($AC$1005:$AS$1005,1,MATCH(COLUMNS($AC$1006:AJ1006),$AC$1006:$AS$1006,0))&gt;=100000), " ",IF(INDEX($AC$2:$AS$1001,MATCH(ROWS($V$2:V642),$V$2:$V$1001,0),MATCH(COLUMNS($AC$1006:AJ1006),$AC$1006:$AS$1006,0)), HYPERLINK("#",""), HYPERLINK(CONCATENATE("#metadata!", ADDRESS(INDEX($X$2:$X$1001,MATCH(ROWS($V$2:V642),$V$2:$V$1001,0),0), INDEX($AC$1004:$AS$1004,1,MATCH(COLUMNS($AC$1006:AJ1006),$AC$1006:$AS$1006,0)))),"Fix")))</f>
        <v xml:space="preserve"> </v>
      </c>
      <c r="J642" s="4" t="str">
        <f ca="1">IF(OR(INDEX($W$2:$W$1001,MATCH(ROWS($V$2:V642),$V$2:$V$1001,0),1)&gt;=100000,INDEX($AC$1005:$AS$1005,1,MATCH(COLUMNS($AC$1006:AK1006),$AC$1006:$AS$1006,0))&gt;=100000), " ",IF(INDEX($AC$2:$AS$1001,MATCH(ROWS($V$2:V642),$V$2:$V$1001,0),MATCH(COLUMNS($AC$1006:AK1006),$AC$1006:$AS$1006,0)), HYPERLINK("#",""), HYPERLINK(CONCATENATE("#metadata!", ADDRESS(INDEX($X$2:$X$1001,MATCH(ROWS($V$2:V642),$V$2:$V$1001,0),0), INDEX($AC$1004:$AS$1004,1,MATCH(COLUMNS($AC$1006:AK1006),$AC$1006:$AS$1006,0)))),"Fix")))</f>
        <v xml:space="preserve"> </v>
      </c>
      <c r="K642" s="4" t="str">
        <f ca="1">IF(OR(INDEX($W$2:$W$1001,MATCH(ROWS($V$2:V642),$V$2:$V$1001,0),1)&gt;=100000,INDEX($AC$1005:$AS$1005,1,MATCH(COLUMNS($AC$1006:AL1006),$AC$1006:$AS$1006,0))&gt;=100000), " ",IF(INDEX($AC$2:$AS$1001,MATCH(ROWS($V$2:V642),$V$2:$V$1001,0),MATCH(COLUMNS($AC$1006:AL1006),$AC$1006:$AS$1006,0)), HYPERLINK("#",""), HYPERLINK(CONCATENATE("#metadata!", ADDRESS(INDEX($X$2:$X$1001,MATCH(ROWS($V$2:V642),$V$2:$V$1001,0),0), INDEX($AC$1004:$AS$1004,1,MATCH(COLUMNS($AC$1006:AL1006),$AC$1006:$AS$1006,0)))),"Fix")))</f>
        <v xml:space="preserve"> </v>
      </c>
      <c r="L642" s="4" t="str">
        <f ca="1">IF(OR(INDEX($W$2:$W$1001,MATCH(ROWS($V$2:V642),$V$2:$V$1001,0),1)&gt;=100000,INDEX($AC$1005:$AS$1005,1,MATCH(COLUMNS($AC$1006:AM1006),$AC$1006:$AS$1006,0))&gt;=100000), " ",IF(INDEX($AC$2:$AS$1001,MATCH(ROWS($V$2:V642),$V$2:$V$1001,0),MATCH(COLUMNS($AC$1006:AM1006),$AC$1006:$AS$1006,0)), HYPERLINK("#",""), HYPERLINK(CONCATENATE("#metadata!", ADDRESS(INDEX($X$2:$X$1001,MATCH(ROWS($V$2:V642),$V$2:$V$1001,0),0), INDEX($AC$1004:$AS$1004,1,MATCH(COLUMNS($AC$1006:AM1006),$AC$1006:$AS$1006,0)))),"Fix")))</f>
        <v xml:space="preserve"> </v>
      </c>
      <c r="M642" s="4" t="str">
        <f ca="1">IF(OR(INDEX($W$2:$W$1001,MATCH(ROWS($V$2:V642),$V$2:$V$1001,0),1)&gt;=100000,INDEX($AC$1005:$AS$1005,1,MATCH(COLUMNS($AC$1006:AN1006),$AC$1006:$AS$1006,0))&gt;=100000), " ",IF(INDEX($AC$2:$AS$1001,MATCH(ROWS($V$2:V642),$V$2:$V$1001,0),MATCH(COLUMNS($AC$1006:AN1006),$AC$1006:$AS$1006,0)), HYPERLINK("#",""), HYPERLINK(CONCATENATE("#metadata!", ADDRESS(INDEX($X$2:$X$1001,MATCH(ROWS($V$2:V642),$V$2:$V$1001,0),0), INDEX($AC$1004:$AS$1004,1,MATCH(COLUMNS($AC$1006:AN1006),$AC$1006:$AS$1006,0)))),"Fix")))</f>
        <v xml:space="preserve"> </v>
      </c>
      <c r="N642" s="4" t="str">
        <f ca="1">IF(OR(INDEX($W$2:$W$1001,MATCH(ROWS($V$2:V642),$V$2:$V$1001,0),1)&gt;=100000,INDEX($AC$1005:$AS$1005,1,MATCH(COLUMNS($AC$1006:AO1006),$AC$1006:$AS$1006,0))&gt;=100000), " ",IF(INDEX($AC$2:$AS$1001,MATCH(ROWS($V$2:V642),$V$2:$V$1001,0),MATCH(COLUMNS($AC$1006:AO1006),$AC$1006:$AS$1006,0)), HYPERLINK("#",""), HYPERLINK(CONCATENATE("#metadata!", ADDRESS(INDEX($X$2:$X$1001,MATCH(ROWS($V$2:V642),$V$2:$V$1001,0),0), INDEX($AC$1004:$AS$1004,1,MATCH(COLUMNS($AC$1006:AO1006),$AC$1006:$AS$1006,0)))),"Fix")))</f>
        <v xml:space="preserve"> </v>
      </c>
      <c r="O642" s="4" t="str">
        <f ca="1">IF(OR(INDEX($W$2:$W$1001,MATCH(ROWS($V$2:V642),$V$2:$V$1001,0),1)&gt;=100000,INDEX($AC$1005:$AS$1005,1,MATCH(COLUMNS($AC$1006:AP1006),$AC$1006:$AS$1006,0))&gt;=100000), " ",IF(INDEX($AC$2:$AS$1001,MATCH(ROWS($V$2:V642),$V$2:$V$1001,0),MATCH(COLUMNS($AC$1006:AP1006),$AC$1006:$AS$1006,0)), HYPERLINK("#",""), HYPERLINK(CONCATENATE("#metadata!", ADDRESS(INDEX($X$2:$X$1001,MATCH(ROWS($V$2:V642),$V$2:$V$1001,0),0), INDEX($AC$1004:$AS$1004,1,MATCH(COLUMNS($AC$1006:AP1006),$AC$1006:$AS$1006,0)))),"Fix")))</f>
        <v xml:space="preserve"> </v>
      </c>
      <c r="P642" s="4" t="str">
        <f ca="1">IF(OR(INDEX($W$2:$W$1001,MATCH(ROWS($V$2:V642),$V$2:$V$1001,0),1)&gt;=100000,INDEX($AC$1005:$AS$1005,1,MATCH(COLUMNS($AC$1006:AQ1006),$AC$1006:$AS$1006,0))&gt;=100000), " ",IF(INDEX($AC$2:$AS$1001,MATCH(ROWS($V$2:V642),$V$2:$V$1001,0),MATCH(COLUMNS($AC$1006:AQ1006),$AC$1006:$AS$1006,0)), HYPERLINK("#",""), HYPERLINK(CONCATENATE("#metadata!", ADDRESS(INDEX($X$2:$X$1001,MATCH(ROWS($V$2:V642),$V$2:$V$1001,0),0), INDEX($AC$1004:$AS$1004,1,MATCH(COLUMNS($AC$1006:AQ1006),$AC$1006:$AS$1006,0)))),"Fix")))</f>
        <v xml:space="preserve"> </v>
      </c>
      <c r="Q642" s="4" t="str">
        <f ca="1">IF(OR(INDEX($W$2:$W$1001,MATCH(ROWS($V$2:V642),$V$2:$V$1001,0),1)&gt;=100000,INDEX($AC$1005:$AS$1005,1,MATCH(COLUMNS($AC$1006:AR1006),$AC$1006:$AS$1006,0))&gt;=100000), " ",IF(INDEX($AC$2:$AS$1001,MATCH(ROWS($V$2:V642),$V$2:$V$1001,0),MATCH(COLUMNS($AC$1006:AR1006),$AC$1006:$AS$1006,0)), HYPERLINK("#",""), HYPERLINK(CONCATENATE("#metadata!", ADDRESS(INDEX($X$2:$X$1001,MATCH(ROWS($V$2:V642),$V$2:$V$1001,0),0), INDEX($AC$1004:$AS$1004,1,MATCH(COLUMNS($AC$1006:AR1006),$AC$1006:$AS$1006,0)))),"Fix")))</f>
        <v xml:space="preserve"> </v>
      </c>
      <c r="R642" s="4" t="str">
        <f ca="1">IF(OR(INDEX($W$2:$W$1001,MATCH(ROWS($V$2:V642),$V$2:$V$1001,0),1)&gt;=100000,INDEX($AC$1005:$AS$1005,1,MATCH(COLUMNS($AC$1006:AS1006),$AC$1006:$AS$1006,0))&gt;=100000), " ",IF(INDEX($AC$2:$AS$1001,MATCH(ROWS($V$2:V642),$V$2:$V$1001,0),MATCH(COLUMNS($AC$1006:AS1006),$AC$1006:$AS$1006,0)), HYPERLINK("#",""), HYPERLINK(CONCATENATE("#metadata!", ADDRESS(INDEX($X$2:$X$1001,MATCH(ROWS($V$2:V642),$V$2:$V$1001,0),0), INDEX($AC$1004:$AS$1004,1,MATCH(COLUMNS($AC$1006:AS1006),$AC$1006:$AS$1006,0)))),"Fix")))</f>
        <v xml:space="preserve"> </v>
      </c>
      <c r="V642">
        <v>641</v>
      </c>
      <c r="W642">
        <v>100642</v>
      </c>
      <c r="X642">
        <v>642</v>
      </c>
      <c r="Y642" t="b">
        <f t="shared" ref="Y642:Y705" si="10">IF(Z642,TRUE,AND(AC642:AS642))</f>
        <v>1</v>
      </c>
      <c r="Z642" t="b">
        <f>COUNTBLANK(metadata!B642:R642)=COLUMNS(metadata!B642:R642)</f>
        <v>1</v>
      </c>
      <c r="AA642" t="str">
        <v/>
      </c>
      <c r="AC642" t="b">
        <f ca="1"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AD642" t="b">
        <f>IF(metadata!C642="",FALSE,ISNUMBER(VALUE(metadata!C642)))</f>
        <v>0</v>
      </c>
      <c r="AE642" t="b">
        <f>AND(IF(metadata!D642="",FALSE,TRUE),EXACT(metadata!D642,"years"))</f>
        <v>0</v>
      </c>
      <c r="AF642" t="b">
        <f>OR(AND(IF(metadata!E642="",FALSE,TRUE),OR(EXACT(metadata!E642,"not applicable"),EXACT(metadata!E642,"missing: not collected"),EXACT(metadata!E642,"missing: not provided"),EXACT(metadata!E642,"missing: restricted access"))),AND(IF(metadata!E642="",FALSE,ISNUMBER(VALUE(metadata!E642))),metadata!E642&gt;0))</f>
        <v>0</v>
      </c>
      <c r="AG642" t="b">
        <f>AND(IF(metadata!F642="",FALSE,TRUE),EXACT(metadata!F642,"Not applicable"))</f>
        <v>0</v>
      </c>
      <c r="AH642" t="b">
        <f>AND(IF(metadata!G642="",FALSE,TRUE),EXACT(metadata!G642,"urban biome"))</f>
        <v>0</v>
      </c>
      <c r="AI642" t="b">
        <f>AND(IF(metadata!H642="",FALSE,TRUE),EXACT(metadata!H642,"human-associated habitat"))</f>
        <v>0</v>
      </c>
      <c r="AJ642" t="b">
        <f>AND(IF(metadata!I642="",FALSE,TRUE),OR(EXACT(metadata!I642,"human-associated"),EXACT(metadata!I642,"human-skin"),EXACT(metadata!I642,"human-oral"),EXACT(metadata!I642,"human-gut"),EXACT(metadata!I642,"human-vaginal")))</f>
        <v>0</v>
      </c>
      <c r="AK642" t="b">
        <f>IF(metadata!J642="",FALSE,ISNUMBER(VALUE(metadata!J642)))</f>
        <v>0</v>
      </c>
      <c r="AL642" t="b">
        <f>AND(IF(metadata!K642="",FALSE,TRUE),EXACT(metadata!K642,"cm"))</f>
        <v>0</v>
      </c>
      <c r="AM642" t="b">
        <f>AND(IF(metadata!L642="",FALSE,TRUE),EXACT(metadata!L642,"human"))</f>
        <v>0</v>
      </c>
      <c r="AN642" t="b">
        <f>AND(IF(metadata!M642="",FALSE,TRUE),EXACT(metadata!M642,"Homo sapiens"))</f>
        <v>0</v>
      </c>
      <c r="AO642" t="b">
        <f>AND(IF(metadata!N642="",FALSE,TRUE),EXACT(metadata!N642,"9606"))</f>
        <v>0</v>
      </c>
      <c r="AP642" t="b">
        <f>IF(metadata!O642="",FALSE,TRUE)</f>
        <v>0</v>
      </c>
      <c r="AQ642" t="b">
        <f>IF(metadata!P642="",FALSE,TRUE)</f>
        <v>0</v>
      </c>
      <c r="AR642" t="b">
        <f>IF(metadata!Q642="",FALSE,ISNUMBER(VALUE(metadata!Q642)))</f>
        <v>0</v>
      </c>
      <c r="AS642" t="b">
        <f>AND(IF(metadata!R642="",FALSE,TRUE),EXACT(metadata!R642,"kg"))</f>
        <v>0</v>
      </c>
    </row>
    <row r="643" spans="1:45" x14ac:dyDescent="0.2">
      <c r="A643" s="5" t="str">
        <f ca="1">IF(B643=" "," ",HYPERLINK(CONCATENATE("#metadata!",ADDRESS(INDEX($X$2:$X$1001,MATCH(ROWS($V$2:V643),$V$2:$V$1001,0),0),1)),INDEX($AA$2:$AA$1001,MATCH(ROWS($V$2:V643),$V$2:$V$1001,0),0)))</f>
        <v xml:space="preserve"> </v>
      </c>
      <c r="B643" s="4" t="str">
        <f ca="1">IF(OR(INDEX($W$2:$W$1001,MATCH(ROWS($V$2:V643),$V$2:$V$1001,0),1)&gt;=100000,INDEX($AC$1005:$AS$1005,1,MATCH(COLUMNS($AC$1006:AC1006),$AC$1006:$AS$1006,0))&gt;=100000), " ",IF(INDEX($AC$2:$AS$1001,MATCH(ROWS($V$2:V643),$V$2:$V$1001,0),MATCH(COLUMNS($AC$1006:AC1006),$AC$1006:$AS$1006,0)), HYPERLINK("#",""), HYPERLINK(CONCATENATE("#metadata!", ADDRESS(INDEX($X$2:$X$1001,MATCH(ROWS($V$2:V643),$V$2:$V$1001,0),0), INDEX($AC$1004:$AS$1004,1,MATCH(COLUMNS($AC$1006:AC1006),$AC$1006:$AS$1006,0)))),"Fix")))</f>
        <v xml:space="preserve"> </v>
      </c>
      <c r="C643" s="4" t="str">
        <f ca="1">IF(OR(INDEX($W$2:$W$1001,MATCH(ROWS($V$2:V643),$V$2:$V$1001,0),1)&gt;=100000,INDEX($AC$1005:$AS$1005,1,MATCH(COLUMNS($AC$1006:AD1006),$AC$1006:$AS$1006,0))&gt;=100000), " ",IF(INDEX($AC$2:$AS$1001,MATCH(ROWS($V$2:V643),$V$2:$V$1001,0),MATCH(COLUMNS($AC$1006:AD1006),$AC$1006:$AS$1006,0)), HYPERLINK("#",""), HYPERLINK(CONCATENATE("#metadata!", ADDRESS(INDEX($X$2:$X$1001,MATCH(ROWS($V$2:V643),$V$2:$V$1001,0),0), INDEX($AC$1004:$AS$1004,1,MATCH(COLUMNS($AC$1006:AD1006),$AC$1006:$AS$1006,0)))),"Fix")))</f>
        <v xml:space="preserve"> </v>
      </c>
      <c r="D643" s="4" t="str">
        <f ca="1">IF(OR(INDEX($W$2:$W$1001,MATCH(ROWS($V$2:V643),$V$2:$V$1001,0),1)&gt;=100000,INDEX($AC$1005:$AS$1005,1,MATCH(COLUMNS($AC$1006:AE1006),$AC$1006:$AS$1006,0))&gt;=100000), " ",IF(INDEX($AC$2:$AS$1001,MATCH(ROWS($V$2:V643),$V$2:$V$1001,0),MATCH(COLUMNS($AC$1006:AE1006),$AC$1006:$AS$1006,0)), HYPERLINK("#",""), HYPERLINK(CONCATENATE("#metadata!", ADDRESS(INDEX($X$2:$X$1001,MATCH(ROWS($V$2:V643),$V$2:$V$1001,0),0), INDEX($AC$1004:$AS$1004,1,MATCH(COLUMNS($AC$1006:AE1006),$AC$1006:$AS$1006,0)))),"Fix")))</f>
        <v xml:space="preserve"> </v>
      </c>
      <c r="E643" s="4" t="str">
        <f ca="1">IF(OR(INDEX($W$2:$W$1001,MATCH(ROWS($V$2:V643),$V$2:$V$1001,0),1)&gt;=100000,INDEX($AC$1005:$AS$1005,1,MATCH(COLUMNS($AC$1006:AF1006),$AC$1006:$AS$1006,0))&gt;=100000), " ",IF(INDEX($AC$2:$AS$1001,MATCH(ROWS($V$2:V643),$V$2:$V$1001,0),MATCH(COLUMNS($AC$1006:AF1006),$AC$1006:$AS$1006,0)), HYPERLINK("#",""), HYPERLINK(CONCATENATE("#metadata!", ADDRESS(INDEX($X$2:$X$1001,MATCH(ROWS($V$2:V643),$V$2:$V$1001,0),0), INDEX($AC$1004:$AS$1004,1,MATCH(COLUMNS($AC$1006:AF1006),$AC$1006:$AS$1006,0)))),"Fix")))</f>
        <v xml:space="preserve"> </v>
      </c>
      <c r="F643" s="4" t="str">
        <f ca="1">IF(OR(INDEX($W$2:$W$1001,MATCH(ROWS($V$2:V643),$V$2:$V$1001,0),1)&gt;=100000,INDEX($AC$1005:$AS$1005,1,MATCH(COLUMNS($AC$1006:AG1006),$AC$1006:$AS$1006,0))&gt;=100000), " ",IF(INDEX($AC$2:$AS$1001,MATCH(ROWS($V$2:V643),$V$2:$V$1001,0),MATCH(COLUMNS($AC$1006:AG1006),$AC$1006:$AS$1006,0)), HYPERLINK("#",""), HYPERLINK(CONCATENATE("#metadata!", ADDRESS(INDEX($X$2:$X$1001,MATCH(ROWS($V$2:V643),$V$2:$V$1001,0),0), INDEX($AC$1004:$AS$1004,1,MATCH(COLUMNS($AC$1006:AG1006),$AC$1006:$AS$1006,0)))),"Fix")))</f>
        <v xml:space="preserve"> </v>
      </c>
      <c r="G643" s="4" t="str">
        <f ca="1">IF(OR(INDEX($W$2:$W$1001,MATCH(ROWS($V$2:V643),$V$2:$V$1001,0),1)&gt;=100000,INDEX($AC$1005:$AS$1005,1,MATCH(COLUMNS($AC$1006:AH1006),$AC$1006:$AS$1006,0))&gt;=100000), " ",IF(INDEX($AC$2:$AS$1001,MATCH(ROWS($V$2:V643),$V$2:$V$1001,0),MATCH(COLUMNS($AC$1006:AH1006),$AC$1006:$AS$1006,0)), HYPERLINK("#",""), HYPERLINK(CONCATENATE("#metadata!", ADDRESS(INDEX($X$2:$X$1001,MATCH(ROWS($V$2:V643),$V$2:$V$1001,0),0), INDEX($AC$1004:$AS$1004,1,MATCH(COLUMNS($AC$1006:AH1006),$AC$1006:$AS$1006,0)))),"Fix")))</f>
        <v xml:space="preserve"> </v>
      </c>
      <c r="H643" s="4" t="str">
        <f ca="1">IF(OR(INDEX($W$2:$W$1001,MATCH(ROWS($V$2:V643),$V$2:$V$1001,0),1)&gt;=100000,INDEX($AC$1005:$AS$1005,1,MATCH(COLUMNS($AC$1006:AI1006),$AC$1006:$AS$1006,0))&gt;=100000), " ",IF(INDEX($AC$2:$AS$1001,MATCH(ROWS($V$2:V643),$V$2:$V$1001,0),MATCH(COLUMNS($AC$1006:AI1006),$AC$1006:$AS$1006,0)), HYPERLINK("#",""), HYPERLINK(CONCATENATE("#metadata!", ADDRESS(INDEX($X$2:$X$1001,MATCH(ROWS($V$2:V643),$V$2:$V$1001,0),0), INDEX($AC$1004:$AS$1004,1,MATCH(COLUMNS($AC$1006:AI1006),$AC$1006:$AS$1006,0)))),"Fix")))</f>
        <v xml:space="preserve"> </v>
      </c>
      <c r="I643" s="4" t="str">
        <f ca="1">IF(OR(INDEX($W$2:$W$1001,MATCH(ROWS($V$2:V643),$V$2:$V$1001,0),1)&gt;=100000,INDEX($AC$1005:$AS$1005,1,MATCH(COLUMNS($AC$1006:AJ1006),$AC$1006:$AS$1006,0))&gt;=100000), " ",IF(INDEX($AC$2:$AS$1001,MATCH(ROWS($V$2:V643),$V$2:$V$1001,0),MATCH(COLUMNS($AC$1006:AJ1006),$AC$1006:$AS$1006,0)), HYPERLINK("#",""), HYPERLINK(CONCATENATE("#metadata!", ADDRESS(INDEX($X$2:$X$1001,MATCH(ROWS($V$2:V643),$V$2:$V$1001,0),0), INDEX($AC$1004:$AS$1004,1,MATCH(COLUMNS($AC$1006:AJ1006),$AC$1006:$AS$1006,0)))),"Fix")))</f>
        <v xml:space="preserve"> </v>
      </c>
      <c r="J643" s="4" t="str">
        <f ca="1">IF(OR(INDEX($W$2:$W$1001,MATCH(ROWS($V$2:V643),$V$2:$V$1001,0),1)&gt;=100000,INDEX($AC$1005:$AS$1005,1,MATCH(COLUMNS($AC$1006:AK1006),$AC$1006:$AS$1006,0))&gt;=100000), " ",IF(INDEX($AC$2:$AS$1001,MATCH(ROWS($V$2:V643),$V$2:$V$1001,0),MATCH(COLUMNS($AC$1006:AK1006),$AC$1006:$AS$1006,0)), HYPERLINK("#",""), HYPERLINK(CONCATENATE("#metadata!", ADDRESS(INDEX($X$2:$X$1001,MATCH(ROWS($V$2:V643),$V$2:$V$1001,0),0), INDEX($AC$1004:$AS$1004,1,MATCH(COLUMNS($AC$1006:AK1006),$AC$1006:$AS$1006,0)))),"Fix")))</f>
        <v xml:space="preserve"> </v>
      </c>
      <c r="K643" s="4" t="str">
        <f ca="1">IF(OR(INDEX($W$2:$W$1001,MATCH(ROWS($V$2:V643),$V$2:$V$1001,0),1)&gt;=100000,INDEX($AC$1005:$AS$1005,1,MATCH(COLUMNS($AC$1006:AL1006),$AC$1006:$AS$1006,0))&gt;=100000), " ",IF(INDEX($AC$2:$AS$1001,MATCH(ROWS($V$2:V643),$V$2:$V$1001,0),MATCH(COLUMNS($AC$1006:AL1006),$AC$1006:$AS$1006,0)), HYPERLINK("#",""), HYPERLINK(CONCATENATE("#metadata!", ADDRESS(INDEX($X$2:$X$1001,MATCH(ROWS($V$2:V643),$V$2:$V$1001,0),0), INDEX($AC$1004:$AS$1004,1,MATCH(COLUMNS($AC$1006:AL1006),$AC$1006:$AS$1006,0)))),"Fix")))</f>
        <v xml:space="preserve"> </v>
      </c>
      <c r="L643" s="4" t="str">
        <f ca="1">IF(OR(INDEX($W$2:$W$1001,MATCH(ROWS($V$2:V643),$V$2:$V$1001,0),1)&gt;=100000,INDEX($AC$1005:$AS$1005,1,MATCH(COLUMNS($AC$1006:AM1006),$AC$1006:$AS$1006,0))&gt;=100000), " ",IF(INDEX($AC$2:$AS$1001,MATCH(ROWS($V$2:V643),$V$2:$V$1001,0),MATCH(COLUMNS($AC$1006:AM1006),$AC$1006:$AS$1006,0)), HYPERLINK("#",""), HYPERLINK(CONCATENATE("#metadata!", ADDRESS(INDEX($X$2:$X$1001,MATCH(ROWS($V$2:V643),$V$2:$V$1001,0),0), INDEX($AC$1004:$AS$1004,1,MATCH(COLUMNS($AC$1006:AM1006),$AC$1006:$AS$1006,0)))),"Fix")))</f>
        <v xml:space="preserve"> </v>
      </c>
      <c r="M643" s="4" t="str">
        <f ca="1">IF(OR(INDEX($W$2:$W$1001,MATCH(ROWS($V$2:V643),$V$2:$V$1001,0),1)&gt;=100000,INDEX($AC$1005:$AS$1005,1,MATCH(COLUMNS($AC$1006:AN1006),$AC$1006:$AS$1006,0))&gt;=100000), " ",IF(INDEX($AC$2:$AS$1001,MATCH(ROWS($V$2:V643),$V$2:$V$1001,0),MATCH(COLUMNS($AC$1006:AN1006),$AC$1006:$AS$1006,0)), HYPERLINK("#",""), HYPERLINK(CONCATENATE("#metadata!", ADDRESS(INDEX($X$2:$X$1001,MATCH(ROWS($V$2:V643),$V$2:$V$1001,0),0), INDEX($AC$1004:$AS$1004,1,MATCH(COLUMNS($AC$1006:AN1006),$AC$1006:$AS$1006,0)))),"Fix")))</f>
        <v xml:space="preserve"> </v>
      </c>
      <c r="N643" s="4" t="str">
        <f ca="1">IF(OR(INDEX($W$2:$W$1001,MATCH(ROWS($V$2:V643),$V$2:$V$1001,0),1)&gt;=100000,INDEX($AC$1005:$AS$1005,1,MATCH(COLUMNS($AC$1006:AO1006),$AC$1006:$AS$1006,0))&gt;=100000), " ",IF(INDEX($AC$2:$AS$1001,MATCH(ROWS($V$2:V643),$V$2:$V$1001,0),MATCH(COLUMNS($AC$1006:AO1006),$AC$1006:$AS$1006,0)), HYPERLINK("#",""), HYPERLINK(CONCATENATE("#metadata!", ADDRESS(INDEX($X$2:$X$1001,MATCH(ROWS($V$2:V643),$V$2:$V$1001,0),0), INDEX($AC$1004:$AS$1004,1,MATCH(COLUMNS($AC$1006:AO1006),$AC$1006:$AS$1006,0)))),"Fix")))</f>
        <v xml:space="preserve"> </v>
      </c>
      <c r="O643" s="4" t="str">
        <f ca="1">IF(OR(INDEX($W$2:$W$1001,MATCH(ROWS($V$2:V643),$V$2:$V$1001,0),1)&gt;=100000,INDEX($AC$1005:$AS$1005,1,MATCH(COLUMNS($AC$1006:AP1006),$AC$1006:$AS$1006,0))&gt;=100000), " ",IF(INDEX($AC$2:$AS$1001,MATCH(ROWS($V$2:V643),$V$2:$V$1001,0),MATCH(COLUMNS($AC$1006:AP1006),$AC$1006:$AS$1006,0)), HYPERLINK("#",""), HYPERLINK(CONCATENATE("#metadata!", ADDRESS(INDEX($X$2:$X$1001,MATCH(ROWS($V$2:V643),$V$2:$V$1001,0),0), INDEX($AC$1004:$AS$1004,1,MATCH(COLUMNS($AC$1006:AP1006),$AC$1006:$AS$1006,0)))),"Fix")))</f>
        <v xml:space="preserve"> </v>
      </c>
      <c r="P643" s="4" t="str">
        <f ca="1">IF(OR(INDEX($W$2:$W$1001,MATCH(ROWS($V$2:V643),$V$2:$V$1001,0),1)&gt;=100000,INDEX($AC$1005:$AS$1005,1,MATCH(COLUMNS($AC$1006:AQ1006),$AC$1006:$AS$1006,0))&gt;=100000), " ",IF(INDEX($AC$2:$AS$1001,MATCH(ROWS($V$2:V643),$V$2:$V$1001,0),MATCH(COLUMNS($AC$1006:AQ1006),$AC$1006:$AS$1006,0)), HYPERLINK("#",""), HYPERLINK(CONCATENATE("#metadata!", ADDRESS(INDEX($X$2:$X$1001,MATCH(ROWS($V$2:V643),$V$2:$V$1001,0),0), INDEX($AC$1004:$AS$1004,1,MATCH(COLUMNS($AC$1006:AQ1006),$AC$1006:$AS$1006,0)))),"Fix")))</f>
        <v xml:space="preserve"> </v>
      </c>
      <c r="Q643" s="4" t="str">
        <f ca="1">IF(OR(INDEX($W$2:$W$1001,MATCH(ROWS($V$2:V643),$V$2:$V$1001,0),1)&gt;=100000,INDEX($AC$1005:$AS$1005,1,MATCH(COLUMNS($AC$1006:AR1006),$AC$1006:$AS$1006,0))&gt;=100000), " ",IF(INDEX($AC$2:$AS$1001,MATCH(ROWS($V$2:V643),$V$2:$V$1001,0),MATCH(COLUMNS($AC$1006:AR1006),$AC$1006:$AS$1006,0)), HYPERLINK("#",""), HYPERLINK(CONCATENATE("#metadata!", ADDRESS(INDEX($X$2:$X$1001,MATCH(ROWS($V$2:V643),$V$2:$V$1001,0),0), INDEX($AC$1004:$AS$1004,1,MATCH(COLUMNS($AC$1006:AR1006),$AC$1006:$AS$1006,0)))),"Fix")))</f>
        <v xml:space="preserve"> </v>
      </c>
      <c r="R643" s="4" t="str">
        <f ca="1">IF(OR(INDEX($W$2:$W$1001,MATCH(ROWS($V$2:V643),$V$2:$V$1001,0),1)&gt;=100000,INDEX($AC$1005:$AS$1005,1,MATCH(COLUMNS($AC$1006:AS1006),$AC$1006:$AS$1006,0))&gt;=100000), " ",IF(INDEX($AC$2:$AS$1001,MATCH(ROWS($V$2:V643),$V$2:$V$1001,0),MATCH(COLUMNS($AC$1006:AS1006),$AC$1006:$AS$1006,0)), HYPERLINK("#",""), HYPERLINK(CONCATENATE("#metadata!", ADDRESS(INDEX($X$2:$X$1001,MATCH(ROWS($V$2:V643),$V$2:$V$1001,0),0), INDEX($AC$1004:$AS$1004,1,MATCH(COLUMNS($AC$1006:AS1006),$AC$1006:$AS$1006,0)))),"Fix")))</f>
        <v xml:space="preserve"> </v>
      </c>
      <c r="V643">
        <v>642</v>
      </c>
      <c r="W643">
        <v>100643</v>
      </c>
      <c r="X643">
        <v>643</v>
      </c>
      <c r="Y643" t="b">
        <f t="shared" si="10"/>
        <v>1</v>
      </c>
      <c r="Z643" t="b">
        <f>COUNTBLANK(metadata!B643:R643)=COLUMNS(metadata!B643:R643)</f>
        <v>1</v>
      </c>
      <c r="AA643" t="str">
        <v/>
      </c>
      <c r="AC643" t="b">
        <f ca="1"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AD643" t="b">
        <f>IF(metadata!C643="",FALSE,ISNUMBER(VALUE(metadata!C643)))</f>
        <v>0</v>
      </c>
      <c r="AE643" t="b">
        <f>AND(IF(metadata!D643="",FALSE,TRUE),EXACT(metadata!D643,"years"))</f>
        <v>0</v>
      </c>
      <c r="AF643" t="b">
        <f>OR(AND(IF(metadata!E643="",FALSE,TRUE),OR(EXACT(metadata!E643,"not applicable"),EXACT(metadata!E643,"missing: not collected"),EXACT(metadata!E643,"missing: not provided"),EXACT(metadata!E643,"missing: restricted access"))),AND(IF(metadata!E643="",FALSE,ISNUMBER(VALUE(metadata!E643))),metadata!E643&gt;0))</f>
        <v>0</v>
      </c>
      <c r="AG643" t="b">
        <f>AND(IF(metadata!F643="",FALSE,TRUE),EXACT(metadata!F643,"Not applicable"))</f>
        <v>0</v>
      </c>
      <c r="AH643" t="b">
        <f>AND(IF(metadata!G643="",FALSE,TRUE),EXACT(metadata!G643,"urban biome"))</f>
        <v>0</v>
      </c>
      <c r="AI643" t="b">
        <f>AND(IF(metadata!H643="",FALSE,TRUE),EXACT(metadata!H643,"human-associated habitat"))</f>
        <v>0</v>
      </c>
      <c r="AJ643" t="b">
        <f>AND(IF(metadata!I643="",FALSE,TRUE),OR(EXACT(metadata!I643,"human-associated"),EXACT(metadata!I643,"human-skin"),EXACT(metadata!I643,"human-oral"),EXACT(metadata!I643,"human-gut"),EXACT(metadata!I643,"human-vaginal")))</f>
        <v>0</v>
      </c>
      <c r="AK643" t="b">
        <f>IF(metadata!J643="",FALSE,ISNUMBER(VALUE(metadata!J643)))</f>
        <v>0</v>
      </c>
      <c r="AL643" t="b">
        <f>AND(IF(metadata!K643="",FALSE,TRUE),EXACT(metadata!K643,"cm"))</f>
        <v>0</v>
      </c>
      <c r="AM643" t="b">
        <f>AND(IF(metadata!L643="",FALSE,TRUE),EXACT(metadata!L643,"human"))</f>
        <v>0</v>
      </c>
      <c r="AN643" t="b">
        <f>AND(IF(metadata!M643="",FALSE,TRUE),EXACT(metadata!M643,"Homo sapiens"))</f>
        <v>0</v>
      </c>
      <c r="AO643" t="b">
        <f>AND(IF(metadata!N643="",FALSE,TRUE),EXACT(metadata!N643,"9606"))</f>
        <v>0</v>
      </c>
      <c r="AP643" t="b">
        <f>IF(metadata!O643="",FALSE,TRUE)</f>
        <v>0</v>
      </c>
      <c r="AQ643" t="b">
        <f>IF(metadata!P643="",FALSE,TRUE)</f>
        <v>0</v>
      </c>
      <c r="AR643" t="b">
        <f>IF(metadata!Q643="",FALSE,ISNUMBER(VALUE(metadata!Q643)))</f>
        <v>0</v>
      </c>
      <c r="AS643" t="b">
        <f>AND(IF(metadata!R643="",FALSE,TRUE),EXACT(metadata!R643,"kg"))</f>
        <v>0</v>
      </c>
    </row>
    <row r="644" spans="1:45" x14ac:dyDescent="0.2">
      <c r="A644" s="5" t="str">
        <f ca="1">IF(B644=" "," ",HYPERLINK(CONCATENATE("#metadata!",ADDRESS(INDEX($X$2:$X$1001,MATCH(ROWS($V$2:V644),$V$2:$V$1001,0),0),1)),INDEX($AA$2:$AA$1001,MATCH(ROWS($V$2:V644),$V$2:$V$1001,0),0)))</f>
        <v xml:space="preserve"> </v>
      </c>
      <c r="B644" s="4" t="str">
        <f ca="1">IF(OR(INDEX($W$2:$W$1001,MATCH(ROWS($V$2:V644),$V$2:$V$1001,0),1)&gt;=100000,INDEX($AC$1005:$AS$1005,1,MATCH(COLUMNS($AC$1006:AC1006),$AC$1006:$AS$1006,0))&gt;=100000), " ",IF(INDEX($AC$2:$AS$1001,MATCH(ROWS($V$2:V644),$V$2:$V$1001,0),MATCH(COLUMNS($AC$1006:AC1006),$AC$1006:$AS$1006,0)), HYPERLINK("#",""), HYPERLINK(CONCATENATE("#metadata!", ADDRESS(INDEX($X$2:$X$1001,MATCH(ROWS($V$2:V644),$V$2:$V$1001,0),0), INDEX($AC$1004:$AS$1004,1,MATCH(COLUMNS($AC$1006:AC1006),$AC$1006:$AS$1006,0)))),"Fix")))</f>
        <v xml:space="preserve"> </v>
      </c>
      <c r="C644" s="4" t="str">
        <f ca="1">IF(OR(INDEX($W$2:$W$1001,MATCH(ROWS($V$2:V644),$V$2:$V$1001,0),1)&gt;=100000,INDEX($AC$1005:$AS$1005,1,MATCH(COLUMNS($AC$1006:AD1006),$AC$1006:$AS$1006,0))&gt;=100000), " ",IF(INDEX($AC$2:$AS$1001,MATCH(ROWS($V$2:V644),$V$2:$V$1001,0),MATCH(COLUMNS($AC$1006:AD1006),$AC$1006:$AS$1006,0)), HYPERLINK("#",""), HYPERLINK(CONCATENATE("#metadata!", ADDRESS(INDEX($X$2:$X$1001,MATCH(ROWS($V$2:V644),$V$2:$V$1001,0),0), INDEX($AC$1004:$AS$1004,1,MATCH(COLUMNS($AC$1006:AD1006),$AC$1006:$AS$1006,0)))),"Fix")))</f>
        <v xml:space="preserve"> </v>
      </c>
      <c r="D644" s="4" t="str">
        <f ca="1">IF(OR(INDEX($W$2:$W$1001,MATCH(ROWS($V$2:V644),$V$2:$V$1001,0),1)&gt;=100000,INDEX($AC$1005:$AS$1005,1,MATCH(COLUMNS($AC$1006:AE1006),$AC$1006:$AS$1006,0))&gt;=100000), " ",IF(INDEX($AC$2:$AS$1001,MATCH(ROWS($V$2:V644),$V$2:$V$1001,0),MATCH(COLUMNS($AC$1006:AE1006),$AC$1006:$AS$1006,0)), HYPERLINK("#",""), HYPERLINK(CONCATENATE("#metadata!", ADDRESS(INDEX($X$2:$X$1001,MATCH(ROWS($V$2:V644),$V$2:$V$1001,0),0), INDEX($AC$1004:$AS$1004,1,MATCH(COLUMNS($AC$1006:AE1006),$AC$1006:$AS$1006,0)))),"Fix")))</f>
        <v xml:space="preserve"> </v>
      </c>
      <c r="E644" s="4" t="str">
        <f ca="1">IF(OR(INDEX($W$2:$W$1001,MATCH(ROWS($V$2:V644),$V$2:$V$1001,0),1)&gt;=100000,INDEX($AC$1005:$AS$1005,1,MATCH(COLUMNS($AC$1006:AF1006),$AC$1006:$AS$1006,0))&gt;=100000), " ",IF(INDEX($AC$2:$AS$1001,MATCH(ROWS($V$2:V644),$V$2:$V$1001,0),MATCH(COLUMNS($AC$1006:AF1006),$AC$1006:$AS$1006,0)), HYPERLINK("#",""), HYPERLINK(CONCATENATE("#metadata!", ADDRESS(INDEX($X$2:$X$1001,MATCH(ROWS($V$2:V644),$V$2:$V$1001,0),0), INDEX($AC$1004:$AS$1004,1,MATCH(COLUMNS($AC$1006:AF1006),$AC$1006:$AS$1006,0)))),"Fix")))</f>
        <v xml:space="preserve"> </v>
      </c>
      <c r="F644" s="4" t="str">
        <f ca="1">IF(OR(INDEX($W$2:$W$1001,MATCH(ROWS($V$2:V644),$V$2:$V$1001,0),1)&gt;=100000,INDEX($AC$1005:$AS$1005,1,MATCH(COLUMNS($AC$1006:AG1006),$AC$1006:$AS$1006,0))&gt;=100000), " ",IF(INDEX($AC$2:$AS$1001,MATCH(ROWS($V$2:V644),$V$2:$V$1001,0),MATCH(COLUMNS($AC$1006:AG1006),$AC$1006:$AS$1006,0)), HYPERLINK("#",""), HYPERLINK(CONCATENATE("#metadata!", ADDRESS(INDEX($X$2:$X$1001,MATCH(ROWS($V$2:V644),$V$2:$V$1001,0),0), INDEX($AC$1004:$AS$1004,1,MATCH(COLUMNS($AC$1006:AG1006),$AC$1006:$AS$1006,0)))),"Fix")))</f>
        <v xml:space="preserve"> </v>
      </c>
      <c r="G644" s="4" t="str">
        <f ca="1">IF(OR(INDEX($W$2:$W$1001,MATCH(ROWS($V$2:V644),$V$2:$V$1001,0),1)&gt;=100000,INDEX($AC$1005:$AS$1005,1,MATCH(COLUMNS($AC$1006:AH1006),$AC$1006:$AS$1006,0))&gt;=100000), " ",IF(INDEX($AC$2:$AS$1001,MATCH(ROWS($V$2:V644),$V$2:$V$1001,0),MATCH(COLUMNS($AC$1006:AH1006),$AC$1006:$AS$1006,0)), HYPERLINK("#",""), HYPERLINK(CONCATENATE("#metadata!", ADDRESS(INDEX($X$2:$X$1001,MATCH(ROWS($V$2:V644),$V$2:$V$1001,0),0), INDEX($AC$1004:$AS$1004,1,MATCH(COLUMNS($AC$1006:AH1006),$AC$1006:$AS$1006,0)))),"Fix")))</f>
        <v xml:space="preserve"> </v>
      </c>
      <c r="H644" s="4" t="str">
        <f ca="1">IF(OR(INDEX($W$2:$W$1001,MATCH(ROWS($V$2:V644),$V$2:$V$1001,0),1)&gt;=100000,INDEX($AC$1005:$AS$1005,1,MATCH(COLUMNS($AC$1006:AI1006),$AC$1006:$AS$1006,0))&gt;=100000), " ",IF(INDEX($AC$2:$AS$1001,MATCH(ROWS($V$2:V644),$V$2:$V$1001,0),MATCH(COLUMNS($AC$1006:AI1006),$AC$1006:$AS$1006,0)), HYPERLINK("#",""), HYPERLINK(CONCATENATE("#metadata!", ADDRESS(INDEX($X$2:$X$1001,MATCH(ROWS($V$2:V644),$V$2:$V$1001,0),0), INDEX($AC$1004:$AS$1004,1,MATCH(COLUMNS($AC$1006:AI1006),$AC$1006:$AS$1006,0)))),"Fix")))</f>
        <v xml:space="preserve"> </v>
      </c>
      <c r="I644" s="4" t="str">
        <f ca="1">IF(OR(INDEX($W$2:$W$1001,MATCH(ROWS($V$2:V644),$V$2:$V$1001,0),1)&gt;=100000,INDEX($AC$1005:$AS$1005,1,MATCH(COLUMNS($AC$1006:AJ1006),$AC$1006:$AS$1006,0))&gt;=100000), " ",IF(INDEX($AC$2:$AS$1001,MATCH(ROWS($V$2:V644),$V$2:$V$1001,0),MATCH(COLUMNS($AC$1006:AJ1006),$AC$1006:$AS$1006,0)), HYPERLINK("#",""), HYPERLINK(CONCATENATE("#metadata!", ADDRESS(INDEX($X$2:$X$1001,MATCH(ROWS($V$2:V644),$V$2:$V$1001,0),0), INDEX($AC$1004:$AS$1004,1,MATCH(COLUMNS($AC$1006:AJ1006),$AC$1006:$AS$1006,0)))),"Fix")))</f>
        <v xml:space="preserve"> </v>
      </c>
      <c r="J644" s="4" t="str">
        <f ca="1">IF(OR(INDEX($W$2:$W$1001,MATCH(ROWS($V$2:V644),$V$2:$V$1001,0),1)&gt;=100000,INDEX($AC$1005:$AS$1005,1,MATCH(COLUMNS($AC$1006:AK1006),$AC$1006:$AS$1006,0))&gt;=100000), " ",IF(INDEX($AC$2:$AS$1001,MATCH(ROWS($V$2:V644),$V$2:$V$1001,0),MATCH(COLUMNS($AC$1006:AK1006),$AC$1006:$AS$1006,0)), HYPERLINK("#",""), HYPERLINK(CONCATENATE("#metadata!", ADDRESS(INDEX($X$2:$X$1001,MATCH(ROWS($V$2:V644),$V$2:$V$1001,0),0), INDEX($AC$1004:$AS$1004,1,MATCH(COLUMNS($AC$1006:AK1006),$AC$1006:$AS$1006,0)))),"Fix")))</f>
        <v xml:space="preserve"> </v>
      </c>
      <c r="K644" s="4" t="str">
        <f ca="1">IF(OR(INDEX($W$2:$W$1001,MATCH(ROWS($V$2:V644),$V$2:$V$1001,0),1)&gt;=100000,INDEX($AC$1005:$AS$1005,1,MATCH(COLUMNS($AC$1006:AL1006),$AC$1006:$AS$1006,0))&gt;=100000), " ",IF(INDEX($AC$2:$AS$1001,MATCH(ROWS($V$2:V644),$V$2:$V$1001,0),MATCH(COLUMNS($AC$1006:AL1006),$AC$1006:$AS$1006,0)), HYPERLINK("#",""), HYPERLINK(CONCATENATE("#metadata!", ADDRESS(INDEX($X$2:$X$1001,MATCH(ROWS($V$2:V644),$V$2:$V$1001,0),0), INDEX($AC$1004:$AS$1004,1,MATCH(COLUMNS($AC$1006:AL1006),$AC$1006:$AS$1006,0)))),"Fix")))</f>
        <v xml:space="preserve"> </v>
      </c>
      <c r="L644" s="4" t="str">
        <f ca="1">IF(OR(INDEX($W$2:$W$1001,MATCH(ROWS($V$2:V644),$V$2:$V$1001,0),1)&gt;=100000,INDEX($AC$1005:$AS$1005,1,MATCH(COLUMNS($AC$1006:AM1006),$AC$1006:$AS$1006,0))&gt;=100000), " ",IF(INDEX($AC$2:$AS$1001,MATCH(ROWS($V$2:V644),$V$2:$V$1001,0),MATCH(COLUMNS($AC$1006:AM1006),$AC$1006:$AS$1006,0)), HYPERLINK("#",""), HYPERLINK(CONCATENATE("#metadata!", ADDRESS(INDEX($X$2:$X$1001,MATCH(ROWS($V$2:V644),$V$2:$V$1001,0),0), INDEX($AC$1004:$AS$1004,1,MATCH(COLUMNS($AC$1006:AM1006),$AC$1006:$AS$1006,0)))),"Fix")))</f>
        <v xml:space="preserve"> </v>
      </c>
      <c r="M644" s="4" t="str">
        <f ca="1">IF(OR(INDEX($W$2:$W$1001,MATCH(ROWS($V$2:V644),$V$2:$V$1001,0),1)&gt;=100000,INDEX($AC$1005:$AS$1005,1,MATCH(COLUMNS($AC$1006:AN1006),$AC$1006:$AS$1006,0))&gt;=100000), " ",IF(INDEX($AC$2:$AS$1001,MATCH(ROWS($V$2:V644),$V$2:$V$1001,0),MATCH(COLUMNS($AC$1006:AN1006),$AC$1006:$AS$1006,0)), HYPERLINK("#",""), HYPERLINK(CONCATENATE("#metadata!", ADDRESS(INDEX($X$2:$X$1001,MATCH(ROWS($V$2:V644),$V$2:$V$1001,0),0), INDEX($AC$1004:$AS$1004,1,MATCH(COLUMNS($AC$1006:AN1006),$AC$1006:$AS$1006,0)))),"Fix")))</f>
        <v xml:space="preserve"> </v>
      </c>
      <c r="N644" s="4" t="str">
        <f ca="1">IF(OR(INDEX($W$2:$W$1001,MATCH(ROWS($V$2:V644),$V$2:$V$1001,0),1)&gt;=100000,INDEX($AC$1005:$AS$1005,1,MATCH(COLUMNS($AC$1006:AO1006),$AC$1006:$AS$1006,0))&gt;=100000), " ",IF(INDEX($AC$2:$AS$1001,MATCH(ROWS($V$2:V644),$V$2:$V$1001,0),MATCH(COLUMNS($AC$1006:AO1006),$AC$1006:$AS$1006,0)), HYPERLINK("#",""), HYPERLINK(CONCATENATE("#metadata!", ADDRESS(INDEX($X$2:$X$1001,MATCH(ROWS($V$2:V644),$V$2:$V$1001,0),0), INDEX($AC$1004:$AS$1004,1,MATCH(COLUMNS($AC$1006:AO1006),$AC$1006:$AS$1006,0)))),"Fix")))</f>
        <v xml:space="preserve"> </v>
      </c>
      <c r="O644" s="4" t="str">
        <f ca="1">IF(OR(INDEX($W$2:$W$1001,MATCH(ROWS($V$2:V644),$V$2:$V$1001,0),1)&gt;=100000,INDEX($AC$1005:$AS$1005,1,MATCH(COLUMNS($AC$1006:AP1006),$AC$1006:$AS$1006,0))&gt;=100000), " ",IF(INDEX($AC$2:$AS$1001,MATCH(ROWS($V$2:V644),$V$2:$V$1001,0),MATCH(COLUMNS($AC$1006:AP1006),$AC$1006:$AS$1006,0)), HYPERLINK("#",""), HYPERLINK(CONCATENATE("#metadata!", ADDRESS(INDEX($X$2:$X$1001,MATCH(ROWS($V$2:V644),$V$2:$V$1001,0),0), INDEX($AC$1004:$AS$1004,1,MATCH(COLUMNS($AC$1006:AP1006),$AC$1006:$AS$1006,0)))),"Fix")))</f>
        <v xml:space="preserve"> </v>
      </c>
      <c r="P644" s="4" t="str">
        <f ca="1">IF(OR(INDEX($W$2:$W$1001,MATCH(ROWS($V$2:V644),$V$2:$V$1001,0),1)&gt;=100000,INDEX($AC$1005:$AS$1005,1,MATCH(COLUMNS($AC$1006:AQ1006),$AC$1006:$AS$1006,0))&gt;=100000), " ",IF(INDEX($AC$2:$AS$1001,MATCH(ROWS($V$2:V644),$V$2:$V$1001,0),MATCH(COLUMNS($AC$1006:AQ1006),$AC$1006:$AS$1006,0)), HYPERLINK("#",""), HYPERLINK(CONCATENATE("#metadata!", ADDRESS(INDEX($X$2:$X$1001,MATCH(ROWS($V$2:V644),$V$2:$V$1001,0),0), INDEX($AC$1004:$AS$1004,1,MATCH(COLUMNS($AC$1006:AQ1006),$AC$1006:$AS$1006,0)))),"Fix")))</f>
        <v xml:space="preserve"> </v>
      </c>
      <c r="Q644" s="4" t="str">
        <f ca="1">IF(OR(INDEX($W$2:$W$1001,MATCH(ROWS($V$2:V644),$V$2:$V$1001,0),1)&gt;=100000,INDEX($AC$1005:$AS$1005,1,MATCH(COLUMNS($AC$1006:AR1006),$AC$1006:$AS$1006,0))&gt;=100000), " ",IF(INDEX($AC$2:$AS$1001,MATCH(ROWS($V$2:V644),$V$2:$V$1001,0),MATCH(COLUMNS($AC$1006:AR1006),$AC$1006:$AS$1006,0)), HYPERLINK("#",""), HYPERLINK(CONCATENATE("#metadata!", ADDRESS(INDEX($X$2:$X$1001,MATCH(ROWS($V$2:V644),$V$2:$V$1001,0),0), INDEX($AC$1004:$AS$1004,1,MATCH(COLUMNS($AC$1006:AR1006),$AC$1006:$AS$1006,0)))),"Fix")))</f>
        <v xml:space="preserve"> </v>
      </c>
      <c r="R644" s="4" t="str">
        <f ca="1">IF(OR(INDEX($W$2:$W$1001,MATCH(ROWS($V$2:V644),$V$2:$V$1001,0),1)&gt;=100000,INDEX($AC$1005:$AS$1005,1,MATCH(COLUMNS($AC$1006:AS1006),$AC$1006:$AS$1006,0))&gt;=100000), " ",IF(INDEX($AC$2:$AS$1001,MATCH(ROWS($V$2:V644),$V$2:$V$1001,0),MATCH(COLUMNS($AC$1006:AS1006),$AC$1006:$AS$1006,0)), HYPERLINK("#",""), HYPERLINK(CONCATENATE("#metadata!", ADDRESS(INDEX($X$2:$X$1001,MATCH(ROWS($V$2:V644),$V$2:$V$1001,0),0), INDEX($AC$1004:$AS$1004,1,MATCH(COLUMNS($AC$1006:AS1006),$AC$1006:$AS$1006,0)))),"Fix")))</f>
        <v xml:space="preserve"> </v>
      </c>
      <c r="V644">
        <v>643</v>
      </c>
      <c r="W644">
        <v>100644</v>
      </c>
      <c r="X644">
        <v>644</v>
      </c>
      <c r="Y644" t="b">
        <f t="shared" si="10"/>
        <v>1</v>
      </c>
      <c r="Z644" t="b">
        <f>COUNTBLANK(metadata!B644:R644)=COLUMNS(metadata!B644:R644)</f>
        <v>1</v>
      </c>
      <c r="AA644" t="str">
        <v/>
      </c>
      <c r="AC644" t="b">
        <f ca="1"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AD644" t="b">
        <f>IF(metadata!C644="",FALSE,ISNUMBER(VALUE(metadata!C644)))</f>
        <v>0</v>
      </c>
      <c r="AE644" t="b">
        <f>AND(IF(metadata!D644="",FALSE,TRUE),EXACT(metadata!D644,"years"))</f>
        <v>0</v>
      </c>
      <c r="AF644" t="b">
        <f>OR(AND(IF(metadata!E644="",FALSE,TRUE),OR(EXACT(metadata!E644,"not applicable"),EXACT(metadata!E644,"missing: not collected"),EXACT(metadata!E644,"missing: not provided"),EXACT(metadata!E644,"missing: restricted access"))),AND(IF(metadata!E644="",FALSE,ISNUMBER(VALUE(metadata!E644))),metadata!E644&gt;0))</f>
        <v>0</v>
      </c>
      <c r="AG644" t="b">
        <f>AND(IF(metadata!F644="",FALSE,TRUE),EXACT(metadata!F644,"Not applicable"))</f>
        <v>0</v>
      </c>
      <c r="AH644" t="b">
        <f>AND(IF(metadata!G644="",FALSE,TRUE),EXACT(metadata!G644,"urban biome"))</f>
        <v>0</v>
      </c>
      <c r="AI644" t="b">
        <f>AND(IF(metadata!H644="",FALSE,TRUE),EXACT(metadata!H644,"human-associated habitat"))</f>
        <v>0</v>
      </c>
      <c r="AJ644" t="b">
        <f>AND(IF(metadata!I644="",FALSE,TRUE),OR(EXACT(metadata!I644,"human-associated"),EXACT(metadata!I644,"human-skin"),EXACT(metadata!I644,"human-oral"),EXACT(metadata!I644,"human-gut"),EXACT(metadata!I644,"human-vaginal")))</f>
        <v>0</v>
      </c>
      <c r="AK644" t="b">
        <f>IF(metadata!J644="",FALSE,ISNUMBER(VALUE(metadata!J644)))</f>
        <v>0</v>
      </c>
      <c r="AL644" t="b">
        <f>AND(IF(metadata!K644="",FALSE,TRUE),EXACT(metadata!K644,"cm"))</f>
        <v>0</v>
      </c>
      <c r="AM644" t="b">
        <f>AND(IF(metadata!L644="",FALSE,TRUE),EXACT(metadata!L644,"human"))</f>
        <v>0</v>
      </c>
      <c r="AN644" t="b">
        <f>AND(IF(metadata!M644="",FALSE,TRUE),EXACT(metadata!M644,"Homo sapiens"))</f>
        <v>0</v>
      </c>
      <c r="AO644" t="b">
        <f>AND(IF(metadata!N644="",FALSE,TRUE),EXACT(metadata!N644,"9606"))</f>
        <v>0</v>
      </c>
      <c r="AP644" t="b">
        <f>IF(metadata!O644="",FALSE,TRUE)</f>
        <v>0</v>
      </c>
      <c r="AQ644" t="b">
        <f>IF(metadata!P644="",FALSE,TRUE)</f>
        <v>0</v>
      </c>
      <c r="AR644" t="b">
        <f>IF(metadata!Q644="",FALSE,ISNUMBER(VALUE(metadata!Q644)))</f>
        <v>0</v>
      </c>
      <c r="AS644" t="b">
        <f>AND(IF(metadata!R644="",FALSE,TRUE),EXACT(metadata!R644,"kg"))</f>
        <v>0</v>
      </c>
    </row>
    <row r="645" spans="1:45" x14ac:dyDescent="0.2">
      <c r="A645" s="5" t="str">
        <f ca="1">IF(B645=" "," ",HYPERLINK(CONCATENATE("#metadata!",ADDRESS(INDEX($X$2:$X$1001,MATCH(ROWS($V$2:V645),$V$2:$V$1001,0),0),1)),INDEX($AA$2:$AA$1001,MATCH(ROWS($V$2:V645),$V$2:$V$1001,0),0)))</f>
        <v xml:space="preserve"> </v>
      </c>
      <c r="B645" s="4" t="str">
        <f ca="1">IF(OR(INDEX($W$2:$W$1001,MATCH(ROWS($V$2:V645),$V$2:$V$1001,0),1)&gt;=100000,INDEX($AC$1005:$AS$1005,1,MATCH(COLUMNS($AC$1006:AC1006),$AC$1006:$AS$1006,0))&gt;=100000), " ",IF(INDEX($AC$2:$AS$1001,MATCH(ROWS($V$2:V645),$V$2:$V$1001,0),MATCH(COLUMNS($AC$1006:AC1006),$AC$1006:$AS$1006,0)), HYPERLINK("#",""), HYPERLINK(CONCATENATE("#metadata!", ADDRESS(INDEX($X$2:$X$1001,MATCH(ROWS($V$2:V645),$V$2:$V$1001,0),0), INDEX($AC$1004:$AS$1004,1,MATCH(COLUMNS($AC$1006:AC1006),$AC$1006:$AS$1006,0)))),"Fix")))</f>
        <v xml:space="preserve"> </v>
      </c>
      <c r="C645" s="4" t="str">
        <f ca="1">IF(OR(INDEX($W$2:$W$1001,MATCH(ROWS($V$2:V645),$V$2:$V$1001,0),1)&gt;=100000,INDEX($AC$1005:$AS$1005,1,MATCH(COLUMNS($AC$1006:AD1006),$AC$1006:$AS$1006,0))&gt;=100000), " ",IF(INDEX($AC$2:$AS$1001,MATCH(ROWS($V$2:V645),$V$2:$V$1001,0),MATCH(COLUMNS($AC$1006:AD1006),$AC$1006:$AS$1006,0)), HYPERLINK("#",""), HYPERLINK(CONCATENATE("#metadata!", ADDRESS(INDEX($X$2:$X$1001,MATCH(ROWS($V$2:V645),$V$2:$V$1001,0),0), INDEX($AC$1004:$AS$1004,1,MATCH(COLUMNS($AC$1006:AD1006),$AC$1006:$AS$1006,0)))),"Fix")))</f>
        <v xml:space="preserve"> </v>
      </c>
      <c r="D645" s="4" t="str">
        <f ca="1">IF(OR(INDEX($W$2:$W$1001,MATCH(ROWS($V$2:V645),$V$2:$V$1001,0),1)&gt;=100000,INDEX($AC$1005:$AS$1005,1,MATCH(COLUMNS($AC$1006:AE1006),$AC$1006:$AS$1006,0))&gt;=100000), " ",IF(INDEX($AC$2:$AS$1001,MATCH(ROWS($V$2:V645),$V$2:$V$1001,0),MATCH(COLUMNS($AC$1006:AE1006),$AC$1006:$AS$1006,0)), HYPERLINK("#",""), HYPERLINK(CONCATENATE("#metadata!", ADDRESS(INDEX($X$2:$X$1001,MATCH(ROWS($V$2:V645),$V$2:$V$1001,0),0), INDEX($AC$1004:$AS$1004,1,MATCH(COLUMNS($AC$1006:AE1006),$AC$1006:$AS$1006,0)))),"Fix")))</f>
        <v xml:space="preserve"> </v>
      </c>
      <c r="E645" s="4" t="str">
        <f ca="1">IF(OR(INDEX($W$2:$W$1001,MATCH(ROWS($V$2:V645),$V$2:$V$1001,0),1)&gt;=100000,INDEX($AC$1005:$AS$1005,1,MATCH(COLUMNS($AC$1006:AF1006),$AC$1006:$AS$1006,0))&gt;=100000), " ",IF(INDEX($AC$2:$AS$1001,MATCH(ROWS($V$2:V645),$V$2:$V$1001,0),MATCH(COLUMNS($AC$1006:AF1006),$AC$1006:$AS$1006,0)), HYPERLINK("#",""), HYPERLINK(CONCATENATE("#metadata!", ADDRESS(INDEX($X$2:$X$1001,MATCH(ROWS($V$2:V645),$V$2:$V$1001,0),0), INDEX($AC$1004:$AS$1004,1,MATCH(COLUMNS($AC$1006:AF1006),$AC$1006:$AS$1006,0)))),"Fix")))</f>
        <v xml:space="preserve"> </v>
      </c>
      <c r="F645" s="4" t="str">
        <f ca="1">IF(OR(INDEX($W$2:$W$1001,MATCH(ROWS($V$2:V645),$V$2:$V$1001,0),1)&gt;=100000,INDEX($AC$1005:$AS$1005,1,MATCH(COLUMNS($AC$1006:AG1006),$AC$1006:$AS$1006,0))&gt;=100000), " ",IF(INDEX($AC$2:$AS$1001,MATCH(ROWS($V$2:V645),$V$2:$V$1001,0),MATCH(COLUMNS($AC$1006:AG1006),$AC$1006:$AS$1006,0)), HYPERLINK("#",""), HYPERLINK(CONCATENATE("#metadata!", ADDRESS(INDEX($X$2:$X$1001,MATCH(ROWS($V$2:V645),$V$2:$V$1001,0),0), INDEX($AC$1004:$AS$1004,1,MATCH(COLUMNS($AC$1006:AG1006),$AC$1006:$AS$1006,0)))),"Fix")))</f>
        <v xml:space="preserve"> </v>
      </c>
      <c r="G645" s="4" t="str">
        <f ca="1">IF(OR(INDEX($W$2:$W$1001,MATCH(ROWS($V$2:V645),$V$2:$V$1001,0),1)&gt;=100000,INDEX($AC$1005:$AS$1005,1,MATCH(COLUMNS($AC$1006:AH1006),$AC$1006:$AS$1006,0))&gt;=100000), " ",IF(INDEX($AC$2:$AS$1001,MATCH(ROWS($V$2:V645),$V$2:$V$1001,0),MATCH(COLUMNS($AC$1006:AH1006),$AC$1006:$AS$1006,0)), HYPERLINK("#",""), HYPERLINK(CONCATENATE("#metadata!", ADDRESS(INDEX($X$2:$X$1001,MATCH(ROWS($V$2:V645),$V$2:$V$1001,0),0), INDEX($AC$1004:$AS$1004,1,MATCH(COLUMNS($AC$1006:AH1006),$AC$1006:$AS$1006,0)))),"Fix")))</f>
        <v xml:space="preserve"> </v>
      </c>
      <c r="H645" s="4" t="str">
        <f ca="1">IF(OR(INDEX($W$2:$W$1001,MATCH(ROWS($V$2:V645),$V$2:$V$1001,0),1)&gt;=100000,INDEX($AC$1005:$AS$1005,1,MATCH(COLUMNS($AC$1006:AI1006),$AC$1006:$AS$1006,0))&gt;=100000), " ",IF(INDEX($AC$2:$AS$1001,MATCH(ROWS($V$2:V645),$V$2:$V$1001,0),MATCH(COLUMNS($AC$1006:AI1006),$AC$1006:$AS$1006,0)), HYPERLINK("#",""), HYPERLINK(CONCATENATE("#metadata!", ADDRESS(INDEX($X$2:$X$1001,MATCH(ROWS($V$2:V645),$V$2:$V$1001,0),0), INDEX($AC$1004:$AS$1004,1,MATCH(COLUMNS($AC$1006:AI1006),$AC$1006:$AS$1006,0)))),"Fix")))</f>
        <v xml:space="preserve"> </v>
      </c>
      <c r="I645" s="4" t="str">
        <f ca="1">IF(OR(INDEX($W$2:$W$1001,MATCH(ROWS($V$2:V645),$V$2:$V$1001,0),1)&gt;=100000,INDEX($AC$1005:$AS$1005,1,MATCH(COLUMNS($AC$1006:AJ1006),$AC$1006:$AS$1006,0))&gt;=100000), " ",IF(INDEX($AC$2:$AS$1001,MATCH(ROWS($V$2:V645),$V$2:$V$1001,0),MATCH(COLUMNS($AC$1006:AJ1006),$AC$1006:$AS$1006,0)), HYPERLINK("#",""), HYPERLINK(CONCATENATE("#metadata!", ADDRESS(INDEX($X$2:$X$1001,MATCH(ROWS($V$2:V645),$V$2:$V$1001,0),0), INDEX($AC$1004:$AS$1004,1,MATCH(COLUMNS($AC$1006:AJ1006),$AC$1006:$AS$1006,0)))),"Fix")))</f>
        <v xml:space="preserve"> </v>
      </c>
      <c r="J645" s="4" t="str">
        <f ca="1">IF(OR(INDEX($W$2:$W$1001,MATCH(ROWS($V$2:V645),$V$2:$V$1001,0),1)&gt;=100000,INDEX($AC$1005:$AS$1005,1,MATCH(COLUMNS($AC$1006:AK1006),$AC$1006:$AS$1006,0))&gt;=100000), " ",IF(INDEX($AC$2:$AS$1001,MATCH(ROWS($V$2:V645),$V$2:$V$1001,0),MATCH(COLUMNS($AC$1006:AK1006),$AC$1006:$AS$1006,0)), HYPERLINK("#",""), HYPERLINK(CONCATENATE("#metadata!", ADDRESS(INDEX($X$2:$X$1001,MATCH(ROWS($V$2:V645),$V$2:$V$1001,0),0), INDEX($AC$1004:$AS$1004,1,MATCH(COLUMNS($AC$1006:AK1006),$AC$1006:$AS$1006,0)))),"Fix")))</f>
        <v xml:space="preserve"> </v>
      </c>
      <c r="K645" s="4" t="str">
        <f ca="1">IF(OR(INDEX($W$2:$W$1001,MATCH(ROWS($V$2:V645),$V$2:$V$1001,0),1)&gt;=100000,INDEX($AC$1005:$AS$1005,1,MATCH(COLUMNS($AC$1006:AL1006),$AC$1006:$AS$1006,0))&gt;=100000), " ",IF(INDEX($AC$2:$AS$1001,MATCH(ROWS($V$2:V645),$V$2:$V$1001,0),MATCH(COLUMNS($AC$1006:AL1006),$AC$1006:$AS$1006,0)), HYPERLINK("#",""), HYPERLINK(CONCATENATE("#metadata!", ADDRESS(INDEX($X$2:$X$1001,MATCH(ROWS($V$2:V645),$V$2:$V$1001,0),0), INDEX($AC$1004:$AS$1004,1,MATCH(COLUMNS($AC$1006:AL1006),$AC$1006:$AS$1006,0)))),"Fix")))</f>
        <v xml:space="preserve"> </v>
      </c>
      <c r="L645" s="4" t="str">
        <f ca="1">IF(OR(INDEX($W$2:$W$1001,MATCH(ROWS($V$2:V645),$V$2:$V$1001,0),1)&gt;=100000,INDEX($AC$1005:$AS$1005,1,MATCH(COLUMNS($AC$1006:AM1006),$AC$1006:$AS$1006,0))&gt;=100000), " ",IF(INDEX($AC$2:$AS$1001,MATCH(ROWS($V$2:V645),$V$2:$V$1001,0),MATCH(COLUMNS($AC$1006:AM1006),$AC$1006:$AS$1006,0)), HYPERLINK("#",""), HYPERLINK(CONCATENATE("#metadata!", ADDRESS(INDEX($X$2:$X$1001,MATCH(ROWS($V$2:V645),$V$2:$V$1001,0),0), INDEX($AC$1004:$AS$1004,1,MATCH(COLUMNS($AC$1006:AM1006),$AC$1006:$AS$1006,0)))),"Fix")))</f>
        <v xml:space="preserve"> </v>
      </c>
      <c r="M645" s="4" t="str">
        <f ca="1">IF(OR(INDEX($W$2:$W$1001,MATCH(ROWS($V$2:V645),$V$2:$V$1001,0),1)&gt;=100000,INDEX($AC$1005:$AS$1005,1,MATCH(COLUMNS($AC$1006:AN1006),$AC$1006:$AS$1006,0))&gt;=100000), " ",IF(INDEX($AC$2:$AS$1001,MATCH(ROWS($V$2:V645),$V$2:$V$1001,0),MATCH(COLUMNS($AC$1006:AN1006),$AC$1006:$AS$1006,0)), HYPERLINK("#",""), HYPERLINK(CONCATENATE("#metadata!", ADDRESS(INDEX($X$2:$X$1001,MATCH(ROWS($V$2:V645),$V$2:$V$1001,0),0), INDEX($AC$1004:$AS$1004,1,MATCH(COLUMNS($AC$1006:AN1006),$AC$1006:$AS$1006,0)))),"Fix")))</f>
        <v xml:space="preserve"> </v>
      </c>
      <c r="N645" s="4" t="str">
        <f ca="1">IF(OR(INDEX($W$2:$W$1001,MATCH(ROWS($V$2:V645),$V$2:$V$1001,0),1)&gt;=100000,INDEX($AC$1005:$AS$1005,1,MATCH(COLUMNS($AC$1006:AO1006),$AC$1006:$AS$1006,0))&gt;=100000), " ",IF(INDEX($AC$2:$AS$1001,MATCH(ROWS($V$2:V645),$V$2:$V$1001,0),MATCH(COLUMNS($AC$1006:AO1006),$AC$1006:$AS$1006,0)), HYPERLINK("#",""), HYPERLINK(CONCATENATE("#metadata!", ADDRESS(INDEX($X$2:$X$1001,MATCH(ROWS($V$2:V645),$V$2:$V$1001,0),0), INDEX($AC$1004:$AS$1004,1,MATCH(COLUMNS($AC$1006:AO1006),$AC$1006:$AS$1006,0)))),"Fix")))</f>
        <v xml:space="preserve"> </v>
      </c>
      <c r="O645" s="4" t="str">
        <f ca="1">IF(OR(INDEX($W$2:$W$1001,MATCH(ROWS($V$2:V645),$V$2:$V$1001,0),1)&gt;=100000,INDEX($AC$1005:$AS$1005,1,MATCH(COLUMNS($AC$1006:AP1006),$AC$1006:$AS$1006,0))&gt;=100000), " ",IF(INDEX($AC$2:$AS$1001,MATCH(ROWS($V$2:V645),$V$2:$V$1001,0),MATCH(COLUMNS($AC$1006:AP1006),$AC$1006:$AS$1006,0)), HYPERLINK("#",""), HYPERLINK(CONCATENATE("#metadata!", ADDRESS(INDEX($X$2:$X$1001,MATCH(ROWS($V$2:V645),$V$2:$V$1001,0),0), INDEX($AC$1004:$AS$1004,1,MATCH(COLUMNS($AC$1006:AP1006),$AC$1006:$AS$1006,0)))),"Fix")))</f>
        <v xml:space="preserve"> </v>
      </c>
      <c r="P645" s="4" t="str">
        <f ca="1">IF(OR(INDEX($W$2:$W$1001,MATCH(ROWS($V$2:V645),$V$2:$V$1001,0),1)&gt;=100000,INDEX($AC$1005:$AS$1005,1,MATCH(COLUMNS($AC$1006:AQ1006),$AC$1006:$AS$1006,0))&gt;=100000), " ",IF(INDEX($AC$2:$AS$1001,MATCH(ROWS($V$2:V645),$V$2:$V$1001,0),MATCH(COLUMNS($AC$1006:AQ1006),$AC$1006:$AS$1006,0)), HYPERLINK("#",""), HYPERLINK(CONCATENATE("#metadata!", ADDRESS(INDEX($X$2:$X$1001,MATCH(ROWS($V$2:V645),$V$2:$V$1001,0),0), INDEX($AC$1004:$AS$1004,1,MATCH(COLUMNS($AC$1006:AQ1006),$AC$1006:$AS$1006,0)))),"Fix")))</f>
        <v xml:space="preserve"> </v>
      </c>
      <c r="Q645" s="4" t="str">
        <f ca="1">IF(OR(INDEX($W$2:$W$1001,MATCH(ROWS($V$2:V645),$V$2:$V$1001,0),1)&gt;=100000,INDEX($AC$1005:$AS$1005,1,MATCH(COLUMNS($AC$1006:AR1006),$AC$1006:$AS$1006,0))&gt;=100000), " ",IF(INDEX($AC$2:$AS$1001,MATCH(ROWS($V$2:V645),$V$2:$V$1001,0),MATCH(COLUMNS($AC$1006:AR1006),$AC$1006:$AS$1006,0)), HYPERLINK("#",""), HYPERLINK(CONCATENATE("#metadata!", ADDRESS(INDEX($X$2:$X$1001,MATCH(ROWS($V$2:V645),$V$2:$V$1001,0),0), INDEX($AC$1004:$AS$1004,1,MATCH(COLUMNS($AC$1006:AR1006),$AC$1006:$AS$1006,0)))),"Fix")))</f>
        <v xml:space="preserve"> </v>
      </c>
      <c r="R645" s="4" t="str">
        <f ca="1">IF(OR(INDEX($W$2:$W$1001,MATCH(ROWS($V$2:V645),$V$2:$V$1001,0),1)&gt;=100000,INDEX($AC$1005:$AS$1005,1,MATCH(COLUMNS($AC$1006:AS1006),$AC$1006:$AS$1006,0))&gt;=100000), " ",IF(INDEX($AC$2:$AS$1001,MATCH(ROWS($V$2:V645),$V$2:$V$1001,0),MATCH(COLUMNS($AC$1006:AS1006),$AC$1006:$AS$1006,0)), HYPERLINK("#",""), HYPERLINK(CONCATENATE("#metadata!", ADDRESS(INDEX($X$2:$X$1001,MATCH(ROWS($V$2:V645),$V$2:$V$1001,0),0), INDEX($AC$1004:$AS$1004,1,MATCH(COLUMNS($AC$1006:AS1006),$AC$1006:$AS$1006,0)))),"Fix")))</f>
        <v xml:space="preserve"> </v>
      </c>
      <c r="V645">
        <v>644</v>
      </c>
      <c r="W645">
        <v>100645</v>
      </c>
      <c r="X645">
        <v>645</v>
      </c>
      <c r="Y645" t="b">
        <f t="shared" si="10"/>
        <v>1</v>
      </c>
      <c r="Z645" t="b">
        <f>COUNTBLANK(metadata!B645:R645)=COLUMNS(metadata!B645:R645)</f>
        <v>1</v>
      </c>
      <c r="AA645" t="str">
        <v/>
      </c>
      <c r="AC645" t="b">
        <f ca="1"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AD645" t="b">
        <f>IF(metadata!C645="",FALSE,ISNUMBER(VALUE(metadata!C645)))</f>
        <v>0</v>
      </c>
      <c r="AE645" t="b">
        <f>AND(IF(metadata!D645="",FALSE,TRUE),EXACT(metadata!D645,"years"))</f>
        <v>0</v>
      </c>
      <c r="AF645" t="b">
        <f>OR(AND(IF(metadata!E645="",FALSE,TRUE),OR(EXACT(metadata!E645,"not applicable"),EXACT(metadata!E645,"missing: not collected"),EXACT(metadata!E645,"missing: not provided"),EXACT(metadata!E645,"missing: restricted access"))),AND(IF(metadata!E645="",FALSE,ISNUMBER(VALUE(metadata!E645))),metadata!E645&gt;0))</f>
        <v>0</v>
      </c>
      <c r="AG645" t="b">
        <f>AND(IF(metadata!F645="",FALSE,TRUE),EXACT(metadata!F645,"Not applicable"))</f>
        <v>0</v>
      </c>
      <c r="AH645" t="b">
        <f>AND(IF(metadata!G645="",FALSE,TRUE),EXACT(metadata!G645,"urban biome"))</f>
        <v>0</v>
      </c>
      <c r="AI645" t="b">
        <f>AND(IF(metadata!H645="",FALSE,TRUE),EXACT(metadata!H645,"human-associated habitat"))</f>
        <v>0</v>
      </c>
      <c r="AJ645" t="b">
        <f>AND(IF(metadata!I645="",FALSE,TRUE),OR(EXACT(metadata!I645,"human-associated"),EXACT(metadata!I645,"human-skin"),EXACT(metadata!I645,"human-oral"),EXACT(metadata!I645,"human-gut"),EXACT(metadata!I645,"human-vaginal")))</f>
        <v>0</v>
      </c>
      <c r="AK645" t="b">
        <f>IF(metadata!J645="",FALSE,ISNUMBER(VALUE(metadata!J645)))</f>
        <v>0</v>
      </c>
      <c r="AL645" t="b">
        <f>AND(IF(metadata!K645="",FALSE,TRUE),EXACT(metadata!K645,"cm"))</f>
        <v>0</v>
      </c>
      <c r="AM645" t="b">
        <f>AND(IF(metadata!L645="",FALSE,TRUE),EXACT(metadata!L645,"human"))</f>
        <v>0</v>
      </c>
      <c r="AN645" t="b">
        <f>AND(IF(metadata!M645="",FALSE,TRUE),EXACT(metadata!M645,"Homo sapiens"))</f>
        <v>0</v>
      </c>
      <c r="AO645" t="b">
        <f>AND(IF(metadata!N645="",FALSE,TRUE),EXACT(metadata!N645,"9606"))</f>
        <v>0</v>
      </c>
      <c r="AP645" t="b">
        <f>IF(metadata!O645="",FALSE,TRUE)</f>
        <v>0</v>
      </c>
      <c r="AQ645" t="b">
        <f>IF(metadata!P645="",FALSE,TRUE)</f>
        <v>0</v>
      </c>
      <c r="AR645" t="b">
        <f>IF(metadata!Q645="",FALSE,ISNUMBER(VALUE(metadata!Q645)))</f>
        <v>0</v>
      </c>
      <c r="AS645" t="b">
        <f>AND(IF(metadata!R645="",FALSE,TRUE),EXACT(metadata!R645,"kg"))</f>
        <v>0</v>
      </c>
    </row>
    <row r="646" spans="1:45" x14ac:dyDescent="0.2">
      <c r="A646" s="5" t="str">
        <f ca="1">IF(B646=" "," ",HYPERLINK(CONCATENATE("#metadata!",ADDRESS(INDEX($X$2:$X$1001,MATCH(ROWS($V$2:V646),$V$2:$V$1001,0),0),1)),INDEX($AA$2:$AA$1001,MATCH(ROWS($V$2:V646),$V$2:$V$1001,0),0)))</f>
        <v xml:space="preserve"> </v>
      </c>
      <c r="B646" s="4" t="str">
        <f ca="1">IF(OR(INDEX($W$2:$W$1001,MATCH(ROWS($V$2:V646),$V$2:$V$1001,0),1)&gt;=100000,INDEX($AC$1005:$AS$1005,1,MATCH(COLUMNS($AC$1006:AC1006),$AC$1006:$AS$1006,0))&gt;=100000), " ",IF(INDEX($AC$2:$AS$1001,MATCH(ROWS($V$2:V646),$V$2:$V$1001,0),MATCH(COLUMNS($AC$1006:AC1006),$AC$1006:$AS$1006,0)), HYPERLINK("#",""), HYPERLINK(CONCATENATE("#metadata!", ADDRESS(INDEX($X$2:$X$1001,MATCH(ROWS($V$2:V646),$V$2:$V$1001,0),0), INDEX($AC$1004:$AS$1004,1,MATCH(COLUMNS($AC$1006:AC1006),$AC$1006:$AS$1006,0)))),"Fix")))</f>
        <v xml:space="preserve"> </v>
      </c>
      <c r="C646" s="4" t="str">
        <f ca="1">IF(OR(INDEX($W$2:$W$1001,MATCH(ROWS($V$2:V646),$V$2:$V$1001,0),1)&gt;=100000,INDEX($AC$1005:$AS$1005,1,MATCH(COLUMNS($AC$1006:AD1006),$AC$1006:$AS$1006,0))&gt;=100000), " ",IF(INDEX($AC$2:$AS$1001,MATCH(ROWS($V$2:V646),$V$2:$V$1001,0),MATCH(COLUMNS($AC$1006:AD1006),$AC$1006:$AS$1006,0)), HYPERLINK("#",""), HYPERLINK(CONCATENATE("#metadata!", ADDRESS(INDEX($X$2:$X$1001,MATCH(ROWS($V$2:V646),$V$2:$V$1001,0),0), INDEX($AC$1004:$AS$1004,1,MATCH(COLUMNS($AC$1006:AD1006),$AC$1006:$AS$1006,0)))),"Fix")))</f>
        <v xml:space="preserve"> </v>
      </c>
      <c r="D646" s="4" t="str">
        <f ca="1">IF(OR(INDEX($W$2:$W$1001,MATCH(ROWS($V$2:V646),$V$2:$V$1001,0),1)&gt;=100000,INDEX($AC$1005:$AS$1005,1,MATCH(COLUMNS($AC$1006:AE1006),$AC$1006:$AS$1006,0))&gt;=100000), " ",IF(INDEX($AC$2:$AS$1001,MATCH(ROWS($V$2:V646),$V$2:$V$1001,0),MATCH(COLUMNS($AC$1006:AE1006),$AC$1006:$AS$1006,0)), HYPERLINK("#",""), HYPERLINK(CONCATENATE("#metadata!", ADDRESS(INDEX($X$2:$X$1001,MATCH(ROWS($V$2:V646),$V$2:$V$1001,0),0), INDEX($AC$1004:$AS$1004,1,MATCH(COLUMNS($AC$1006:AE1006),$AC$1006:$AS$1006,0)))),"Fix")))</f>
        <v xml:space="preserve"> </v>
      </c>
      <c r="E646" s="4" t="str">
        <f ca="1">IF(OR(INDEX($W$2:$W$1001,MATCH(ROWS($V$2:V646),$V$2:$V$1001,0),1)&gt;=100000,INDEX($AC$1005:$AS$1005,1,MATCH(COLUMNS($AC$1006:AF1006),$AC$1006:$AS$1006,0))&gt;=100000), " ",IF(INDEX($AC$2:$AS$1001,MATCH(ROWS($V$2:V646),$V$2:$V$1001,0),MATCH(COLUMNS($AC$1006:AF1006),$AC$1006:$AS$1006,0)), HYPERLINK("#",""), HYPERLINK(CONCATENATE("#metadata!", ADDRESS(INDEX($X$2:$X$1001,MATCH(ROWS($V$2:V646),$V$2:$V$1001,0),0), INDEX($AC$1004:$AS$1004,1,MATCH(COLUMNS($AC$1006:AF1006),$AC$1006:$AS$1006,0)))),"Fix")))</f>
        <v xml:space="preserve"> </v>
      </c>
      <c r="F646" s="4" t="str">
        <f ca="1">IF(OR(INDEX($W$2:$W$1001,MATCH(ROWS($V$2:V646),$V$2:$V$1001,0),1)&gt;=100000,INDEX($AC$1005:$AS$1005,1,MATCH(COLUMNS($AC$1006:AG1006),$AC$1006:$AS$1006,0))&gt;=100000), " ",IF(INDEX($AC$2:$AS$1001,MATCH(ROWS($V$2:V646),$V$2:$V$1001,0),MATCH(COLUMNS($AC$1006:AG1006),$AC$1006:$AS$1006,0)), HYPERLINK("#",""), HYPERLINK(CONCATENATE("#metadata!", ADDRESS(INDEX($X$2:$X$1001,MATCH(ROWS($V$2:V646),$V$2:$V$1001,0),0), INDEX($AC$1004:$AS$1004,1,MATCH(COLUMNS($AC$1006:AG1006),$AC$1006:$AS$1006,0)))),"Fix")))</f>
        <v xml:space="preserve"> </v>
      </c>
      <c r="G646" s="4" t="str">
        <f ca="1">IF(OR(INDEX($W$2:$W$1001,MATCH(ROWS($V$2:V646),$V$2:$V$1001,0),1)&gt;=100000,INDEX($AC$1005:$AS$1005,1,MATCH(COLUMNS($AC$1006:AH1006),$AC$1006:$AS$1006,0))&gt;=100000), " ",IF(INDEX($AC$2:$AS$1001,MATCH(ROWS($V$2:V646),$V$2:$V$1001,0),MATCH(COLUMNS($AC$1006:AH1006),$AC$1006:$AS$1006,0)), HYPERLINK("#",""), HYPERLINK(CONCATENATE("#metadata!", ADDRESS(INDEX($X$2:$X$1001,MATCH(ROWS($V$2:V646),$V$2:$V$1001,0),0), INDEX($AC$1004:$AS$1004,1,MATCH(COLUMNS($AC$1006:AH1006),$AC$1006:$AS$1006,0)))),"Fix")))</f>
        <v xml:space="preserve"> </v>
      </c>
      <c r="H646" s="4" t="str">
        <f ca="1">IF(OR(INDEX($W$2:$W$1001,MATCH(ROWS($V$2:V646),$V$2:$V$1001,0),1)&gt;=100000,INDEX($AC$1005:$AS$1005,1,MATCH(COLUMNS($AC$1006:AI1006),$AC$1006:$AS$1006,0))&gt;=100000), " ",IF(INDEX($AC$2:$AS$1001,MATCH(ROWS($V$2:V646),$V$2:$V$1001,0),MATCH(COLUMNS($AC$1006:AI1006),$AC$1006:$AS$1006,0)), HYPERLINK("#",""), HYPERLINK(CONCATENATE("#metadata!", ADDRESS(INDEX($X$2:$X$1001,MATCH(ROWS($V$2:V646),$V$2:$V$1001,0),0), INDEX($AC$1004:$AS$1004,1,MATCH(COLUMNS($AC$1006:AI1006),$AC$1006:$AS$1006,0)))),"Fix")))</f>
        <v xml:space="preserve"> </v>
      </c>
      <c r="I646" s="4" t="str">
        <f ca="1">IF(OR(INDEX($W$2:$W$1001,MATCH(ROWS($V$2:V646),$V$2:$V$1001,0),1)&gt;=100000,INDEX($AC$1005:$AS$1005,1,MATCH(COLUMNS($AC$1006:AJ1006),$AC$1006:$AS$1006,0))&gt;=100000), " ",IF(INDEX($AC$2:$AS$1001,MATCH(ROWS($V$2:V646),$V$2:$V$1001,0),MATCH(COLUMNS($AC$1006:AJ1006),$AC$1006:$AS$1006,0)), HYPERLINK("#",""), HYPERLINK(CONCATENATE("#metadata!", ADDRESS(INDEX($X$2:$X$1001,MATCH(ROWS($V$2:V646),$V$2:$V$1001,0),0), INDEX($AC$1004:$AS$1004,1,MATCH(COLUMNS($AC$1006:AJ1006),$AC$1006:$AS$1006,0)))),"Fix")))</f>
        <v xml:space="preserve"> </v>
      </c>
      <c r="J646" s="4" t="str">
        <f ca="1">IF(OR(INDEX($W$2:$W$1001,MATCH(ROWS($V$2:V646),$V$2:$V$1001,0),1)&gt;=100000,INDEX($AC$1005:$AS$1005,1,MATCH(COLUMNS($AC$1006:AK1006),$AC$1006:$AS$1006,0))&gt;=100000), " ",IF(INDEX($AC$2:$AS$1001,MATCH(ROWS($V$2:V646),$V$2:$V$1001,0),MATCH(COLUMNS($AC$1006:AK1006),$AC$1006:$AS$1006,0)), HYPERLINK("#",""), HYPERLINK(CONCATENATE("#metadata!", ADDRESS(INDEX($X$2:$X$1001,MATCH(ROWS($V$2:V646),$V$2:$V$1001,0),0), INDEX($AC$1004:$AS$1004,1,MATCH(COLUMNS($AC$1006:AK1006),$AC$1006:$AS$1006,0)))),"Fix")))</f>
        <v xml:space="preserve"> </v>
      </c>
      <c r="K646" s="4" t="str">
        <f ca="1">IF(OR(INDEX($W$2:$W$1001,MATCH(ROWS($V$2:V646),$V$2:$V$1001,0),1)&gt;=100000,INDEX($AC$1005:$AS$1005,1,MATCH(COLUMNS($AC$1006:AL1006),$AC$1006:$AS$1006,0))&gt;=100000), " ",IF(INDEX($AC$2:$AS$1001,MATCH(ROWS($V$2:V646),$V$2:$V$1001,0),MATCH(COLUMNS($AC$1006:AL1006),$AC$1006:$AS$1006,0)), HYPERLINK("#",""), HYPERLINK(CONCATENATE("#metadata!", ADDRESS(INDEX($X$2:$X$1001,MATCH(ROWS($V$2:V646),$V$2:$V$1001,0),0), INDEX($AC$1004:$AS$1004,1,MATCH(COLUMNS($AC$1006:AL1006),$AC$1006:$AS$1006,0)))),"Fix")))</f>
        <v xml:space="preserve"> </v>
      </c>
      <c r="L646" s="4" t="str">
        <f ca="1">IF(OR(INDEX($W$2:$W$1001,MATCH(ROWS($V$2:V646),$V$2:$V$1001,0),1)&gt;=100000,INDEX($AC$1005:$AS$1005,1,MATCH(COLUMNS($AC$1006:AM1006),$AC$1006:$AS$1006,0))&gt;=100000), " ",IF(INDEX($AC$2:$AS$1001,MATCH(ROWS($V$2:V646),$V$2:$V$1001,0),MATCH(COLUMNS($AC$1006:AM1006),$AC$1006:$AS$1006,0)), HYPERLINK("#",""), HYPERLINK(CONCATENATE("#metadata!", ADDRESS(INDEX($X$2:$X$1001,MATCH(ROWS($V$2:V646),$V$2:$V$1001,0),0), INDEX($AC$1004:$AS$1004,1,MATCH(COLUMNS($AC$1006:AM1006),$AC$1006:$AS$1006,0)))),"Fix")))</f>
        <v xml:space="preserve"> </v>
      </c>
      <c r="M646" s="4" t="str">
        <f ca="1">IF(OR(INDEX($W$2:$W$1001,MATCH(ROWS($V$2:V646),$V$2:$V$1001,0),1)&gt;=100000,INDEX($AC$1005:$AS$1005,1,MATCH(COLUMNS($AC$1006:AN1006),$AC$1006:$AS$1006,0))&gt;=100000), " ",IF(INDEX($AC$2:$AS$1001,MATCH(ROWS($V$2:V646),$V$2:$V$1001,0),MATCH(COLUMNS($AC$1006:AN1006),$AC$1006:$AS$1006,0)), HYPERLINK("#",""), HYPERLINK(CONCATENATE("#metadata!", ADDRESS(INDEX($X$2:$X$1001,MATCH(ROWS($V$2:V646),$V$2:$V$1001,0),0), INDEX($AC$1004:$AS$1004,1,MATCH(COLUMNS($AC$1006:AN1006),$AC$1006:$AS$1006,0)))),"Fix")))</f>
        <v xml:space="preserve"> </v>
      </c>
      <c r="N646" s="4" t="str">
        <f ca="1">IF(OR(INDEX($W$2:$W$1001,MATCH(ROWS($V$2:V646),$V$2:$V$1001,0),1)&gt;=100000,INDEX($AC$1005:$AS$1005,1,MATCH(COLUMNS($AC$1006:AO1006),$AC$1006:$AS$1006,0))&gt;=100000), " ",IF(INDEX($AC$2:$AS$1001,MATCH(ROWS($V$2:V646),$V$2:$V$1001,0),MATCH(COLUMNS($AC$1006:AO1006),$AC$1006:$AS$1006,0)), HYPERLINK("#",""), HYPERLINK(CONCATENATE("#metadata!", ADDRESS(INDEX($X$2:$X$1001,MATCH(ROWS($V$2:V646),$V$2:$V$1001,0),0), INDEX($AC$1004:$AS$1004,1,MATCH(COLUMNS($AC$1006:AO1006),$AC$1006:$AS$1006,0)))),"Fix")))</f>
        <v xml:space="preserve"> </v>
      </c>
      <c r="O646" s="4" t="str">
        <f ca="1">IF(OR(INDEX($W$2:$W$1001,MATCH(ROWS($V$2:V646),$V$2:$V$1001,0),1)&gt;=100000,INDEX($AC$1005:$AS$1005,1,MATCH(COLUMNS($AC$1006:AP1006),$AC$1006:$AS$1006,0))&gt;=100000), " ",IF(INDEX($AC$2:$AS$1001,MATCH(ROWS($V$2:V646),$V$2:$V$1001,0),MATCH(COLUMNS($AC$1006:AP1006),$AC$1006:$AS$1006,0)), HYPERLINK("#",""), HYPERLINK(CONCATENATE("#metadata!", ADDRESS(INDEX($X$2:$X$1001,MATCH(ROWS($V$2:V646),$V$2:$V$1001,0),0), INDEX($AC$1004:$AS$1004,1,MATCH(COLUMNS($AC$1006:AP1006),$AC$1006:$AS$1006,0)))),"Fix")))</f>
        <v xml:space="preserve"> </v>
      </c>
      <c r="P646" s="4" t="str">
        <f ca="1">IF(OR(INDEX($W$2:$W$1001,MATCH(ROWS($V$2:V646),$V$2:$V$1001,0),1)&gt;=100000,INDEX($AC$1005:$AS$1005,1,MATCH(COLUMNS($AC$1006:AQ1006),$AC$1006:$AS$1006,0))&gt;=100000), " ",IF(INDEX($AC$2:$AS$1001,MATCH(ROWS($V$2:V646),$V$2:$V$1001,0),MATCH(COLUMNS($AC$1006:AQ1006),$AC$1006:$AS$1006,0)), HYPERLINK("#",""), HYPERLINK(CONCATENATE("#metadata!", ADDRESS(INDEX($X$2:$X$1001,MATCH(ROWS($V$2:V646),$V$2:$V$1001,0),0), INDEX($AC$1004:$AS$1004,1,MATCH(COLUMNS($AC$1006:AQ1006),$AC$1006:$AS$1006,0)))),"Fix")))</f>
        <v xml:space="preserve"> </v>
      </c>
      <c r="Q646" s="4" t="str">
        <f ca="1">IF(OR(INDEX($W$2:$W$1001,MATCH(ROWS($V$2:V646),$V$2:$V$1001,0),1)&gt;=100000,INDEX($AC$1005:$AS$1005,1,MATCH(COLUMNS($AC$1006:AR1006),$AC$1006:$AS$1006,0))&gt;=100000), " ",IF(INDEX($AC$2:$AS$1001,MATCH(ROWS($V$2:V646),$V$2:$V$1001,0),MATCH(COLUMNS($AC$1006:AR1006),$AC$1006:$AS$1006,0)), HYPERLINK("#",""), HYPERLINK(CONCATENATE("#metadata!", ADDRESS(INDEX($X$2:$X$1001,MATCH(ROWS($V$2:V646),$V$2:$V$1001,0),0), INDEX($AC$1004:$AS$1004,1,MATCH(COLUMNS($AC$1006:AR1006),$AC$1006:$AS$1006,0)))),"Fix")))</f>
        <v xml:space="preserve"> </v>
      </c>
      <c r="R646" s="4" t="str">
        <f ca="1">IF(OR(INDEX($W$2:$W$1001,MATCH(ROWS($V$2:V646),$V$2:$V$1001,0),1)&gt;=100000,INDEX($AC$1005:$AS$1005,1,MATCH(COLUMNS($AC$1006:AS1006),$AC$1006:$AS$1006,0))&gt;=100000), " ",IF(INDEX($AC$2:$AS$1001,MATCH(ROWS($V$2:V646),$V$2:$V$1001,0),MATCH(COLUMNS($AC$1006:AS1006),$AC$1006:$AS$1006,0)), HYPERLINK("#",""), HYPERLINK(CONCATENATE("#metadata!", ADDRESS(INDEX($X$2:$X$1001,MATCH(ROWS($V$2:V646),$V$2:$V$1001,0),0), INDEX($AC$1004:$AS$1004,1,MATCH(COLUMNS($AC$1006:AS1006),$AC$1006:$AS$1006,0)))),"Fix")))</f>
        <v xml:space="preserve"> </v>
      </c>
      <c r="V646">
        <v>645</v>
      </c>
      <c r="W646">
        <v>100646</v>
      </c>
      <c r="X646">
        <v>646</v>
      </c>
      <c r="Y646" t="b">
        <f t="shared" si="10"/>
        <v>1</v>
      </c>
      <c r="Z646" t="b">
        <f>COUNTBLANK(metadata!B646:R646)=COLUMNS(metadata!B646:R646)</f>
        <v>1</v>
      </c>
      <c r="AA646" t="str">
        <v/>
      </c>
      <c r="AC646" t="b">
        <f ca="1"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AD646" t="b">
        <f>IF(metadata!C646="",FALSE,ISNUMBER(VALUE(metadata!C646)))</f>
        <v>0</v>
      </c>
      <c r="AE646" t="b">
        <f>AND(IF(metadata!D646="",FALSE,TRUE),EXACT(metadata!D646,"years"))</f>
        <v>0</v>
      </c>
      <c r="AF646" t="b">
        <f>OR(AND(IF(metadata!E646="",FALSE,TRUE),OR(EXACT(metadata!E646,"not applicable"),EXACT(metadata!E646,"missing: not collected"),EXACT(metadata!E646,"missing: not provided"),EXACT(metadata!E646,"missing: restricted access"))),AND(IF(metadata!E646="",FALSE,ISNUMBER(VALUE(metadata!E646))),metadata!E646&gt;0))</f>
        <v>0</v>
      </c>
      <c r="AG646" t="b">
        <f>AND(IF(metadata!F646="",FALSE,TRUE),EXACT(metadata!F646,"Not applicable"))</f>
        <v>0</v>
      </c>
      <c r="AH646" t="b">
        <f>AND(IF(metadata!G646="",FALSE,TRUE),EXACT(metadata!G646,"urban biome"))</f>
        <v>0</v>
      </c>
      <c r="AI646" t="b">
        <f>AND(IF(metadata!H646="",FALSE,TRUE),EXACT(metadata!H646,"human-associated habitat"))</f>
        <v>0</v>
      </c>
      <c r="AJ646" t="b">
        <f>AND(IF(metadata!I646="",FALSE,TRUE),OR(EXACT(metadata!I646,"human-associated"),EXACT(metadata!I646,"human-skin"),EXACT(metadata!I646,"human-oral"),EXACT(metadata!I646,"human-gut"),EXACT(metadata!I646,"human-vaginal")))</f>
        <v>0</v>
      </c>
      <c r="AK646" t="b">
        <f>IF(metadata!J646="",FALSE,ISNUMBER(VALUE(metadata!J646)))</f>
        <v>0</v>
      </c>
      <c r="AL646" t="b">
        <f>AND(IF(metadata!K646="",FALSE,TRUE),EXACT(metadata!K646,"cm"))</f>
        <v>0</v>
      </c>
      <c r="AM646" t="b">
        <f>AND(IF(metadata!L646="",FALSE,TRUE),EXACT(metadata!L646,"human"))</f>
        <v>0</v>
      </c>
      <c r="AN646" t="b">
        <f>AND(IF(metadata!M646="",FALSE,TRUE),EXACT(metadata!M646,"Homo sapiens"))</f>
        <v>0</v>
      </c>
      <c r="AO646" t="b">
        <f>AND(IF(metadata!N646="",FALSE,TRUE),EXACT(metadata!N646,"9606"))</f>
        <v>0</v>
      </c>
      <c r="AP646" t="b">
        <f>IF(metadata!O646="",FALSE,TRUE)</f>
        <v>0</v>
      </c>
      <c r="AQ646" t="b">
        <f>IF(metadata!P646="",FALSE,TRUE)</f>
        <v>0</v>
      </c>
      <c r="AR646" t="b">
        <f>IF(metadata!Q646="",FALSE,ISNUMBER(VALUE(metadata!Q646)))</f>
        <v>0</v>
      </c>
      <c r="AS646" t="b">
        <f>AND(IF(metadata!R646="",FALSE,TRUE),EXACT(metadata!R646,"kg"))</f>
        <v>0</v>
      </c>
    </row>
    <row r="647" spans="1:45" x14ac:dyDescent="0.2">
      <c r="A647" s="5" t="str">
        <f ca="1">IF(B647=" "," ",HYPERLINK(CONCATENATE("#metadata!",ADDRESS(INDEX($X$2:$X$1001,MATCH(ROWS($V$2:V647),$V$2:$V$1001,0),0),1)),INDEX($AA$2:$AA$1001,MATCH(ROWS($V$2:V647),$V$2:$V$1001,0),0)))</f>
        <v xml:space="preserve"> </v>
      </c>
      <c r="B647" s="4" t="str">
        <f ca="1">IF(OR(INDEX($W$2:$W$1001,MATCH(ROWS($V$2:V647),$V$2:$V$1001,0),1)&gt;=100000,INDEX($AC$1005:$AS$1005,1,MATCH(COLUMNS($AC$1006:AC1006),$AC$1006:$AS$1006,0))&gt;=100000), " ",IF(INDEX($AC$2:$AS$1001,MATCH(ROWS($V$2:V647),$V$2:$V$1001,0),MATCH(COLUMNS($AC$1006:AC1006),$AC$1006:$AS$1006,0)), HYPERLINK("#",""), HYPERLINK(CONCATENATE("#metadata!", ADDRESS(INDEX($X$2:$X$1001,MATCH(ROWS($V$2:V647),$V$2:$V$1001,0),0), INDEX($AC$1004:$AS$1004,1,MATCH(COLUMNS($AC$1006:AC1006),$AC$1006:$AS$1006,0)))),"Fix")))</f>
        <v xml:space="preserve"> </v>
      </c>
      <c r="C647" s="4" t="str">
        <f ca="1">IF(OR(INDEX($W$2:$W$1001,MATCH(ROWS($V$2:V647),$V$2:$V$1001,0),1)&gt;=100000,INDEX($AC$1005:$AS$1005,1,MATCH(COLUMNS($AC$1006:AD1006),$AC$1006:$AS$1006,0))&gt;=100000), " ",IF(INDEX($AC$2:$AS$1001,MATCH(ROWS($V$2:V647),$V$2:$V$1001,0),MATCH(COLUMNS($AC$1006:AD1006),$AC$1006:$AS$1006,0)), HYPERLINK("#",""), HYPERLINK(CONCATENATE("#metadata!", ADDRESS(INDEX($X$2:$X$1001,MATCH(ROWS($V$2:V647),$V$2:$V$1001,0),0), INDEX($AC$1004:$AS$1004,1,MATCH(COLUMNS($AC$1006:AD1006),$AC$1006:$AS$1006,0)))),"Fix")))</f>
        <v xml:space="preserve"> </v>
      </c>
      <c r="D647" s="4" t="str">
        <f ca="1">IF(OR(INDEX($W$2:$W$1001,MATCH(ROWS($V$2:V647),$V$2:$V$1001,0),1)&gt;=100000,INDEX($AC$1005:$AS$1005,1,MATCH(COLUMNS($AC$1006:AE1006),$AC$1006:$AS$1006,0))&gt;=100000), " ",IF(INDEX($AC$2:$AS$1001,MATCH(ROWS($V$2:V647),$V$2:$V$1001,0),MATCH(COLUMNS($AC$1006:AE1006),$AC$1006:$AS$1006,0)), HYPERLINK("#",""), HYPERLINK(CONCATENATE("#metadata!", ADDRESS(INDEX($X$2:$X$1001,MATCH(ROWS($V$2:V647),$V$2:$V$1001,0),0), INDEX($AC$1004:$AS$1004,1,MATCH(COLUMNS($AC$1006:AE1006),$AC$1006:$AS$1006,0)))),"Fix")))</f>
        <v xml:space="preserve"> </v>
      </c>
      <c r="E647" s="4" t="str">
        <f ca="1">IF(OR(INDEX($W$2:$W$1001,MATCH(ROWS($V$2:V647),$V$2:$V$1001,0),1)&gt;=100000,INDEX($AC$1005:$AS$1005,1,MATCH(COLUMNS($AC$1006:AF1006),$AC$1006:$AS$1006,0))&gt;=100000), " ",IF(INDEX($AC$2:$AS$1001,MATCH(ROWS($V$2:V647),$V$2:$V$1001,0),MATCH(COLUMNS($AC$1006:AF1006),$AC$1006:$AS$1006,0)), HYPERLINK("#",""), HYPERLINK(CONCATENATE("#metadata!", ADDRESS(INDEX($X$2:$X$1001,MATCH(ROWS($V$2:V647),$V$2:$V$1001,0),0), INDEX($AC$1004:$AS$1004,1,MATCH(COLUMNS($AC$1006:AF1006),$AC$1006:$AS$1006,0)))),"Fix")))</f>
        <v xml:space="preserve"> </v>
      </c>
      <c r="F647" s="4" t="str">
        <f ca="1">IF(OR(INDEX($W$2:$W$1001,MATCH(ROWS($V$2:V647),$V$2:$V$1001,0),1)&gt;=100000,INDEX($AC$1005:$AS$1005,1,MATCH(COLUMNS($AC$1006:AG1006),$AC$1006:$AS$1006,0))&gt;=100000), " ",IF(INDEX($AC$2:$AS$1001,MATCH(ROWS($V$2:V647),$V$2:$V$1001,0),MATCH(COLUMNS($AC$1006:AG1006),$AC$1006:$AS$1006,0)), HYPERLINK("#",""), HYPERLINK(CONCATENATE("#metadata!", ADDRESS(INDEX($X$2:$X$1001,MATCH(ROWS($V$2:V647),$V$2:$V$1001,0),0), INDEX($AC$1004:$AS$1004,1,MATCH(COLUMNS($AC$1006:AG1006),$AC$1006:$AS$1006,0)))),"Fix")))</f>
        <v xml:space="preserve"> </v>
      </c>
      <c r="G647" s="4" t="str">
        <f ca="1">IF(OR(INDEX($W$2:$W$1001,MATCH(ROWS($V$2:V647),$V$2:$V$1001,0),1)&gt;=100000,INDEX($AC$1005:$AS$1005,1,MATCH(COLUMNS($AC$1006:AH1006),$AC$1006:$AS$1006,0))&gt;=100000), " ",IF(INDEX($AC$2:$AS$1001,MATCH(ROWS($V$2:V647),$V$2:$V$1001,0),MATCH(COLUMNS($AC$1006:AH1006),$AC$1006:$AS$1006,0)), HYPERLINK("#",""), HYPERLINK(CONCATENATE("#metadata!", ADDRESS(INDEX($X$2:$X$1001,MATCH(ROWS($V$2:V647),$V$2:$V$1001,0),0), INDEX($AC$1004:$AS$1004,1,MATCH(COLUMNS($AC$1006:AH1006),$AC$1006:$AS$1006,0)))),"Fix")))</f>
        <v xml:space="preserve"> </v>
      </c>
      <c r="H647" s="4" t="str">
        <f ca="1">IF(OR(INDEX($W$2:$W$1001,MATCH(ROWS($V$2:V647),$V$2:$V$1001,0),1)&gt;=100000,INDEX($AC$1005:$AS$1005,1,MATCH(COLUMNS($AC$1006:AI1006),$AC$1006:$AS$1006,0))&gt;=100000), " ",IF(INDEX($AC$2:$AS$1001,MATCH(ROWS($V$2:V647),$V$2:$V$1001,0),MATCH(COLUMNS($AC$1006:AI1006),$AC$1006:$AS$1006,0)), HYPERLINK("#",""), HYPERLINK(CONCATENATE("#metadata!", ADDRESS(INDEX($X$2:$X$1001,MATCH(ROWS($V$2:V647),$V$2:$V$1001,0),0), INDEX($AC$1004:$AS$1004,1,MATCH(COLUMNS($AC$1006:AI1006),$AC$1006:$AS$1006,0)))),"Fix")))</f>
        <v xml:space="preserve"> </v>
      </c>
      <c r="I647" s="4" t="str">
        <f ca="1">IF(OR(INDEX($W$2:$W$1001,MATCH(ROWS($V$2:V647),$V$2:$V$1001,0),1)&gt;=100000,INDEX($AC$1005:$AS$1005,1,MATCH(COLUMNS($AC$1006:AJ1006),$AC$1006:$AS$1006,0))&gt;=100000), " ",IF(INDEX($AC$2:$AS$1001,MATCH(ROWS($V$2:V647),$V$2:$V$1001,0),MATCH(COLUMNS($AC$1006:AJ1006),$AC$1006:$AS$1006,0)), HYPERLINK("#",""), HYPERLINK(CONCATENATE("#metadata!", ADDRESS(INDEX($X$2:$X$1001,MATCH(ROWS($V$2:V647),$V$2:$V$1001,0),0), INDEX($AC$1004:$AS$1004,1,MATCH(COLUMNS($AC$1006:AJ1006),$AC$1006:$AS$1006,0)))),"Fix")))</f>
        <v xml:space="preserve"> </v>
      </c>
      <c r="J647" s="4" t="str">
        <f ca="1">IF(OR(INDEX($W$2:$W$1001,MATCH(ROWS($V$2:V647),$V$2:$V$1001,0),1)&gt;=100000,INDEX($AC$1005:$AS$1005,1,MATCH(COLUMNS($AC$1006:AK1006),$AC$1006:$AS$1006,0))&gt;=100000), " ",IF(INDEX($AC$2:$AS$1001,MATCH(ROWS($V$2:V647),$V$2:$V$1001,0),MATCH(COLUMNS($AC$1006:AK1006),$AC$1006:$AS$1006,0)), HYPERLINK("#",""), HYPERLINK(CONCATENATE("#metadata!", ADDRESS(INDEX($X$2:$X$1001,MATCH(ROWS($V$2:V647),$V$2:$V$1001,0),0), INDEX($AC$1004:$AS$1004,1,MATCH(COLUMNS($AC$1006:AK1006),$AC$1006:$AS$1006,0)))),"Fix")))</f>
        <v xml:space="preserve"> </v>
      </c>
      <c r="K647" s="4" t="str">
        <f ca="1">IF(OR(INDEX($W$2:$W$1001,MATCH(ROWS($V$2:V647),$V$2:$V$1001,0),1)&gt;=100000,INDEX($AC$1005:$AS$1005,1,MATCH(COLUMNS($AC$1006:AL1006),$AC$1006:$AS$1006,0))&gt;=100000), " ",IF(INDEX($AC$2:$AS$1001,MATCH(ROWS($V$2:V647),$V$2:$V$1001,0),MATCH(COLUMNS($AC$1006:AL1006),$AC$1006:$AS$1006,0)), HYPERLINK("#",""), HYPERLINK(CONCATENATE("#metadata!", ADDRESS(INDEX($X$2:$X$1001,MATCH(ROWS($V$2:V647),$V$2:$V$1001,0),0), INDEX($AC$1004:$AS$1004,1,MATCH(COLUMNS($AC$1006:AL1006),$AC$1006:$AS$1006,0)))),"Fix")))</f>
        <v xml:space="preserve"> </v>
      </c>
      <c r="L647" s="4" t="str">
        <f ca="1">IF(OR(INDEX($W$2:$W$1001,MATCH(ROWS($V$2:V647),$V$2:$V$1001,0),1)&gt;=100000,INDEX($AC$1005:$AS$1005,1,MATCH(COLUMNS($AC$1006:AM1006),$AC$1006:$AS$1006,0))&gt;=100000), " ",IF(INDEX($AC$2:$AS$1001,MATCH(ROWS($V$2:V647),$V$2:$V$1001,0),MATCH(COLUMNS($AC$1006:AM1006),$AC$1006:$AS$1006,0)), HYPERLINK("#",""), HYPERLINK(CONCATENATE("#metadata!", ADDRESS(INDEX($X$2:$X$1001,MATCH(ROWS($V$2:V647),$V$2:$V$1001,0),0), INDEX($AC$1004:$AS$1004,1,MATCH(COLUMNS($AC$1006:AM1006),$AC$1006:$AS$1006,0)))),"Fix")))</f>
        <v xml:space="preserve"> </v>
      </c>
      <c r="M647" s="4" t="str">
        <f ca="1">IF(OR(INDEX($W$2:$W$1001,MATCH(ROWS($V$2:V647),$V$2:$V$1001,0),1)&gt;=100000,INDEX($AC$1005:$AS$1005,1,MATCH(COLUMNS($AC$1006:AN1006),$AC$1006:$AS$1006,0))&gt;=100000), " ",IF(INDEX($AC$2:$AS$1001,MATCH(ROWS($V$2:V647),$V$2:$V$1001,0),MATCH(COLUMNS($AC$1006:AN1006),$AC$1006:$AS$1006,0)), HYPERLINK("#",""), HYPERLINK(CONCATENATE("#metadata!", ADDRESS(INDEX($X$2:$X$1001,MATCH(ROWS($V$2:V647),$V$2:$V$1001,0),0), INDEX($AC$1004:$AS$1004,1,MATCH(COLUMNS($AC$1006:AN1006),$AC$1006:$AS$1006,0)))),"Fix")))</f>
        <v xml:space="preserve"> </v>
      </c>
      <c r="N647" s="4" t="str">
        <f ca="1">IF(OR(INDEX($W$2:$W$1001,MATCH(ROWS($V$2:V647),$V$2:$V$1001,0),1)&gt;=100000,INDEX($AC$1005:$AS$1005,1,MATCH(COLUMNS($AC$1006:AO1006),$AC$1006:$AS$1006,0))&gt;=100000), " ",IF(INDEX($AC$2:$AS$1001,MATCH(ROWS($V$2:V647),$V$2:$V$1001,0),MATCH(COLUMNS($AC$1006:AO1006),$AC$1006:$AS$1006,0)), HYPERLINK("#",""), HYPERLINK(CONCATENATE("#metadata!", ADDRESS(INDEX($X$2:$X$1001,MATCH(ROWS($V$2:V647),$V$2:$V$1001,0),0), INDEX($AC$1004:$AS$1004,1,MATCH(COLUMNS($AC$1006:AO1006),$AC$1006:$AS$1006,0)))),"Fix")))</f>
        <v xml:space="preserve"> </v>
      </c>
      <c r="O647" s="4" t="str">
        <f ca="1">IF(OR(INDEX($W$2:$W$1001,MATCH(ROWS($V$2:V647),$V$2:$V$1001,0),1)&gt;=100000,INDEX($AC$1005:$AS$1005,1,MATCH(COLUMNS($AC$1006:AP1006),$AC$1006:$AS$1006,0))&gt;=100000), " ",IF(INDEX($AC$2:$AS$1001,MATCH(ROWS($V$2:V647),$V$2:$V$1001,0),MATCH(COLUMNS($AC$1006:AP1006),$AC$1006:$AS$1006,0)), HYPERLINK("#",""), HYPERLINK(CONCATENATE("#metadata!", ADDRESS(INDEX($X$2:$X$1001,MATCH(ROWS($V$2:V647),$V$2:$V$1001,0),0), INDEX($AC$1004:$AS$1004,1,MATCH(COLUMNS($AC$1006:AP1006),$AC$1006:$AS$1006,0)))),"Fix")))</f>
        <v xml:space="preserve"> </v>
      </c>
      <c r="P647" s="4" t="str">
        <f ca="1">IF(OR(INDEX($W$2:$W$1001,MATCH(ROWS($V$2:V647),$V$2:$V$1001,0),1)&gt;=100000,INDEX($AC$1005:$AS$1005,1,MATCH(COLUMNS($AC$1006:AQ1006),$AC$1006:$AS$1006,0))&gt;=100000), " ",IF(INDEX($AC$2:$AS$1001,MATCH(ROWS($V$2:V647),$V$2:$V$1001,0),MATCH(COLUMNS($AC$1006:AQ1006),$AC$1006:$AS$1006,0)), HYPERLINK("#",""), HYPERLINK(CONCATENATE("#metadata!", ADDRESS(INDEX($X$2:$X$1001,MATCH(ROWS($V$2:V647),$V$2:$V$1001,0),0), INDEX($AC$1004:$AS$1004,1,MATCH(COLUMNS($AC$1006:AQ1006),$AC$1006:$AS$1006,0)))),"Fix")))</f>
        <v xml:space="preserve"> </v>
      </c>
      <c r="Q647" s="4" t="str">
        <f ca="1">IF(OR(INDEX($W$2:$W$1001,MATCH(ROWS($V$2:V647),$V$2:$V$1001,0),1)&gt;=100000,INDEX($AC$1005:$AS$1005,1,MATCH(COLUMNS($AC$1006:AR1006),$AC$1006:$AS$1006,0))&gt;=100000), " ",IF(INDEX($AC$2:$AS$1001,MATCH(ROWS($V$2:V647),$V$2:$V$1001,0),MATCH(COLUMNS($AC$1006:AR1006),$AC$1006:$AS$1006,0)), HYPERLINK("#",""), HYPERLINK(CONCATENATE("#metadata!", ADDRESS(INDEX($X$2:$X$1001,MATCH(ROWS($V$2:V647),$V$2:$V$1001,0),0), INDEX($AC$1004:$AS$1004,1,MATCH(COLUMNS($AC$1006:AR1006),$AC$1006:$AS$1006,0)))),"Fix")))</f>
        <v xml:space="preserve"> </v>
      </c>
      <c r="R647" s="4" t="str">
        <f ca="1">IF(OR(INDEX($W$2:$W$1001,MATCH(ROWS($V$2:V647),$V$2:$V$1001,0),1)&gt;=100000,INDEX($AC$1005:$AS$1005,1,MATCH(COLUMNS($AC$1006:AS1006),$AC$1006:$AS$1006,0))&gt;=100000), " ",IF(INDEX($AC$2:$AS$1001,MATCH(ROWS($V$2:V647),$V$2:$V$1001,0),MATCH(COLUMNS($AC$1006:AS1006),$AC$1006:$AS$1006,0)), HYPERLINK("#",""), HYPERLINK(CONCATENATE("#metadata!", ADDRESS(INDEX($X$2:$X$1001,MATCH(ROWS($V$2:V647),$V$2:$V$1001,0),0), INDEX($AC$1004:$AS$1004,1,MATCH(COLUMNS($AC$1006:AS1006),$AC$1006:$AS$1006,0)))),"Fix")))</f>
        <v xml:space="preserve"> </v>
      </c>
      <c r="V647">
        <v>646</v>
      </c>
      <c r="W647">
        <v>100647</v>
      </c>
      <c r="X647">
        <v>647</v>
      </c>
      <c r="Y647" t="b">
        <f t="shared" si="10"/>
        <v>1</v>
      </c>
      <c r="Z647" t="b">
        <f>COUNTBLANK(metadata!B647:R647)=COLUMNS(metadata!B647:R647)</f>
        <v>1</v>
      </c>
      <c r="AA647" t="str">
        <v/>
      </c>
      <c r="AC647" t="b">
        <f ca="1"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AD647" t="b">
        <f>IF(metadata!C647="",FALSE,ISNUMBER(VALUE(metadata!C647)))</f>
        <v>0</v>
      </c>
      <c r="AE647" t="b">
        <f>AND(IF(metadata!D647="",FALSE,TRUE),EXACT(metadata!D647,"years"))</f>
        <v>0</v>
      </c>
      <c r="AF647" t="b">
        <f>OR(AND(IF(metadata!E647="",FALSE,TRUE),OR(EXACT(metadata!E647,"not applicable"),EXACT(metadata!E647,"missing: not collected"),EXACT(metadata!E647,"missing: not provided"),EXACT(metadata!E647,"missing: restricted access"))),AND(IF(metadata!E647="",FALSE,ISNUMBER(VALUE(metadata!E647))),metadata!E647&gt;0))</f>
        <v>0</v>
      </c>
      <c r="AG647" t="b">
        <f>AND(IF(metadata!F647="",FALSE,TRUE),EXACT(metadata!F647,"Not applicable"))</f>
        <v>0</v>
      </c>
      <c r="AH647" t="b">
        <f>AND(IF(metadata!G647="",FALSE,TRUE),EXACT(metadata!G647,"urban biome"))</f>
        <v>0</v>
      </c>
      <c r="AI647" t="b">
        <f>AND(IF(metadata!H647="",FALSE,TRUE),EXACT(metadata!H647,"human-associated habitat"))</f>
        <v>0</v>
      </c>
      <c r="AJ647" t="b">
        <f>AND(IF(metadata!I647="",FALSE,TRUE),OR(EXACT(metadata!I647,"human-associated"),EXACT(metadata!I647,"human-skin"),EXACT(metadata!I647,"human-oral"),EXACT(metadata!I647,"human-gut"),EXACT(metadata!I647,"human-vaginal")))</f>
        <v>0</v>
      </c>
      <c r="AK647" t="b">
        <f>IF(metadata!J647="",FALSE,ISNUMBER(VALUE(metadata!J647)))</f>
        <v>0</v>
      </c>
      <c r="AL647" t="b">
        <f>AND(IF(metadata!K647="",FALSE,TRUE),EXACT(metadata!K647,"cm"))</f>
        <v>0</v>
      </c>
      <c r="AM647" t="b">
        <f>AND(IF(metadata!L647="",FALSE,TRUE),EXACT(metadata!L647,"human"))</f>
        <v>0</v>
      </c>
      <c r="AN647" t="b">
        <f>AND(IF(metadata!M647="",FALSE,TRUE),EXACT(metadata!M647,"Homo sapiens"))</f>
        <v>0</v>
      </c>
      <c r="AO647" t="b">
        <f>AND(IF(metadata!N647="",FALSE,TRUE),EXACT(metadata!N647,"9606"))</f>
        <v>0</v>
      </c>
      <c r="AP647" t="b">
        <f>IF(metadata!O647="",FALSE,TRUE)</f>
        <v>0</v>
      </c>
      <c r="AQ647" t="b">
        <f>IF(metadata!P647="",FALSE,TRUE)</f>
        <v>0</v>
      </c>
      <c r="AR647" t="b">
        <f>IF(metadata!Q647="",FALSE,ISNUMBER(VALUE(metadata!Q647)))</f>
        <v>0</v>
      </c>
      <c r="AS647" t="b">
        <f>AND(IF(metadata!R647="",FALSE,TRUE),EXACT(metadata!R647,"kg"))</f>
        <v>0</v>
      </c>
    </row>
    <row r="648" spans="1:45" x14ac:dyDescent="0.2">
      <c r="A648" s="5" t="str">
        <f ca="1">IF(B648=" "," ",HYPERLINK(CONCATENATE("#metadata!",ADDRESS(INDEX($X$2:$X$1001,MATCH(ROWS($V$2:V648),$V$2:$V$1001,0),0),1)),INDEX($AA$2:$AA$1001,MATCH(ROWS($V$2:V648),$V$2:$V$1001,0),0)))</f>
        <v xml:space="preserve"> </v>
      </c>
      <c r="B648" s="4" t="str">
        <f ca="1">IF(OR(INDEX($W$2:$W$1001,MATCH(ROWS($V$2:V648),$V$2:$V$1001,0),1)&gt;=100000,INDEX($AC$1005:$AS$1005,1,MATCH(COLUMNS($AC$1006:AC1006),$AC$1006:$AS$1006,0))&gt;=100000), " ",IF(INDEX($AC$2:$AS$1001,MATCH(ROWS($V$2:V648),$V$2:$V$1001,0),MATCH(COLUMNS($AC$1006:AC1006),$AC$1006:$AS$1006,0)), HYPERLINK("#",""), HYPERLINK(CONCATENATE("#metadata!", ADDRESS(INDEX($X$2:$X$1001,MATCH(ROWS($V$2:V648),$V$2:$V$1001,0),0), INDEX($AC$1004:$AS$1004,1,MATCH(COLUMNS($AC$1006:AC1006),$AC$1006:$AS$1006,0)))),"Fix")))</f>
        <v xml:space="preserve"> </v>
      </c>
      <c r="C648" s="4" t="str">
        <f ca="1">IF(OR(INDEX($W$2:$W$1001,MATCH(ROWS($V$2:V648),$V$2:$V$1001,0),1)&gt;=100000,INDEX($AC$1005:$AS$1005,1,MATCH(COLUMNS($AC$1006:AD1006),$AC$1006:$AS$1006,0))&gt;=100000), " ",IF(INDEX($AC$2:$AS$1001,MATCH(ROWS($V$2:V648),$V$2:$V$1001,0),MATCH(COLUMNS($AC$1006:AD1006),$AC$1006:$AS$1006,0)), HYPERLINK("#",""), HYPERLINK(CONCATENATE("#metadata!", ADDRESS(INDEX($X$2:$X$1001,MATCH(ROWS($V$2:V648),$V$2:$V$1001,0),0), INDEX($AC$1004:$AS$1004,1,MATCH(COLUMNS($AC$1006:AD1006),$AC$1006:$AS$1006,0)))),"Fix")))</f>
        <v xml:space="preserve"> </v>
      </c>
      <c r="D648" s="4" t="str">
        <f ca="1">IF(OR(INDEX($W$2:$W$1001,MATCH(ROWS($V$2:V648),$V$2:$V$1001,0),1)&gt;=100000,INDEX($AC$1005:$AS$1005,1,MATCH(COLUMNS($AC$1006:AE1006),$AC$1006:$AS$1006,0))&gt;=100000), " ",IF(INDEX($AC$2:$AS$1001,MATCH(ROWS($V$2:V648),$V$2:$V$1001,0),MATCH(COLUMNS($AC$1006:AE1006),$AC$1006:$AS$1006,0)), HYPERLINK("#",""), HYPERLINK(CONCATENATE("#metadata!", ADDRESS(INDEX($X$2:$X$1001,MATCH(ROWS($V$2:V648),$V$2:$V$1001,0),0), INDEX($AC$1004:$AS$1004,1,MATCH(COLUMNS($AC$1006:AE1006),$AC$1006:$AS$1006,0)))),"Fix")))</f>
        <v xml:space="preserve"> </v>
      </c>
      <c r="E648" s="4" t="str">
        <f ca="1">IF(OR(INDEX($W$2:$W$1001,MATCH(ROWS($V$2:V648),$V$2:$V$1001,0),1)&gt;=100000,INDEX($AC$1005:$AS$1005,1,MATCH(COLUMNS($AC$1006:AF1006),$AC$1006:$AS$1006,0))&gt;=100000), " ",IF(INDEX($AC$2:$AS$1001,MATCH(ROWS($V$2:V648),$V$2:$V$1001,0),MATCH(COLUMNS($AC$1006:AF1006),$AC$1006:$AS$1006,0)), HYPERLINK("#",""), HYPERLINK(CONCATENATE("#metadata!", ADDRESS(INDEX($X$2:$X$1001,MATCH(ROWS($V$2:V648),$V$2:$V$1001,0),0), INDEX($AC$1004:$AS$1004,1,MATCH(COLUMNS($AC$1006:AF1006),$AC$1006:$AS$1006,0)))),"Fix")))</f>
        <v xml:space="preserve"> </v>
      </c>
      <c r="F648" s="4" t="str">
        <f ca="1">IF(OR(INDEX($W$2:$W$1001,MATCH(ROWS($V$2:V648),$V$2:$V$1001,0),1)&gt;=100000,INDEX($AC$1005:$AS$1005,1,MATCH(COLUMNS($AC$1006:AG1006),$AC$1006:$AS$1006,0))&gt;=100000), " ",IF(INDEX($AC$2:$AS$1001,MATCH(ROWS($V$2:V648),$V$2:$V$1001,0),MATCH(COLUMNS($AC$1006:AG1006),$AC$1006:$AS$1006,0)), HYPERLINK("#",""), HYPERLINK(CONCATENATE("#metadata!", ADDRESS(INDEX($X$2:$X$1001,MATCH(ROWS($V$2:V648),$V$2:$V$1001,0),0), INDEX($AC$1004:$AS$1004,1,MATCH(COLUMNS($AC$1006:AG1006),$AC$1006:$AS$1006,0)))),"Fix")))</f>
        <v xml:space="preserve"> </v>
      </c>
      <c r="G648" s="4" t="str">
        <f ca="1">IF(OR(INDEX($W$2:$W$1001,MATCH(ROWS($V$2:V648),$V$2:$V$1001,0),1)&gt;=100000,INDEX($AC$1005:$AS$1005,1,MATCH(COLUMNS($AC$1006:AH1006),$AC$1006:$AS$1006,0))&gt;=100000), " ",IF(INDEX($AC$2:$AS$1001,MATCH(ROWS($V$2:V648),$V$2:$V$1001,0),MATCH(COLUMNS($AC$1006:AH1006),$AC$1006:$AS$1006,0)), HYPERLINK("#",""), HYPERLINK(CONCATENATE("#metadata!", ADDRESS(INDEX($X$2:$X$1001,MATCH(ROWS($V$2:V648),$V$2:$V$1001,0),0), INDEX($AC$1004:$AS$1004,1,MATCH(COLUMNS($AC$1006:AH1006),$AC$1006:$AS$1006,0)))),"Fix")))</f>
        <v xml:space="preserve"> </v>
      </c>
      <c r="H648" s="4" t="str">
        <f ca="1">IF(OR(INDEX($W$2:$W$1001,MATCH(ROWS($V$2:V648),$V$2:$V$1001,0),1)&gt;=100000,INDEX($AC$1005:$AS$1005,1,MATCH(COLUMNS($AC$1006:AI1006),$AC$1006:$AS$1006,0))&gt;=100000), " ",IF(INDEX($AC$2:$AS$1001,MATCH(ROWS($V$2:V648),$V$2:$V$1001,0),MATCH(COLUMNS($AC$1006:AI1006),$AC$1006:$AS$1006,0)), HYPERLINK("#",""), HYPERLINK(CONCATENATE("#metadata!", ADDRESS(INDEX($X$2:$X$1001,MATCH(ROWS($V$2:V648),$V$2:$V$1001,0),0), INDEX($AC$1004:$AS$1004,1,MATCH(COLUMNS($AC$1006:AI1006),$AC$1006:$AS$1006,0)))),"Fix")))</f>
        <v xml:space="preserve"> </v>
      </c>
      <c r="I648" s="4" t="str">
        <f ca="1">IF(OR(INDEX($W$2:$W$1001,MATCH(ROWS($V$2:V648),$V$2:$V$1001,0),1)&gt;=100000,INDEX($AC$1005:$AS$1005,1,MATCH(COLUMNS($AC$1006:AJ1006),$AC$1006:$AS$1006,0))&gt;=100000), " ",IF(INDEX($AC$2:$AS$1001,MATCH(ROWS($V$2:V648),$V$2:$V$1001,0),MATCH(COLUMNS($AC$1006:AJ1006),$AC$1006:$AS$1006,0)), HYPERLINK("#",""), HYPERLINK(CONCATENATE("#metadata!", ADDRESS(INDEX($X$2:$X$1001,MATCH(ROWS($V$2:V648),$V$2:$V$1001,0),0), INDEX($AC$1004:$AS$1004,1,MATCH(COLUMNS($AC$1006:AJ1006),$AC$1006:$AS$1006,0)))),"Fix")))</f>
        <v xml:space="preserve"> </v>
      </c>
      <c r="J648" s="4" t="str">
        <f ca="1">IF(OR(INDEX($W$2:$W$1001,MATCH(ROWS($V$2:V648),$V$2:$V$1001,0),1)&gt;=100000,INDEX($AC$1005:$AS$1005,1,MATCH(COLUMNS($AC$1006:AK1006),$AC$1006:$AS$1006,0))&gt;=100000), " ",IF(INDEX($AC$2:$AS$1001,MATCH(ROWS($V$2:V648),$V$2:$V$1001,0),MATCH(COLUMNS($AC$1006:AK1006),$AC$1006:$AS$1006,0)), HYPERLINK("#",""), HYPERLINK(CONCATENATE("#metadata!", ADDRESS(INDEX($X$2:$X$1001,MATCH(ROWS($V$2:V648),$V$2:$V$1001,0),0), INDEX($AC$1004:$AS$1004,1,MATCH(COLUMNS($AC$1006:AK1006),$AC$1006:$AS$1006,0)))),"Fix")))</f>
        <v xml:space="preserve"> </v>
      </c>
      <c r="K648" s="4" t="str">
        <f ca="1">IF(OR(INDEX($W$2:$W$1001,MATCH(ROWS($V$2:V648),$V$2:$V$1001,0),1)&gt;=100000,INDEX($AC$1005:$AS$1005,1,MATCH(COLUMNS($AC$1006:AL1006),$AC$1006:$AS$1006,0))&gt;=100000), " ",IF(INDEX($AC$2:$AS$1001,MATCH(ROWS($V$2:V648),$V$2:$V$1001,0),MATCH(COLUMNS($AC$1006:AL1006),$AC$1006:$AS$1006,0)), HYPERLINK("#",""), HYPERLINK(CONCATENATE("#metadata!", ADDRESS(INDEX($X$2:$X$1001,MATCH(ROWS($V$2:V648),$V$2:$V$1001,0),0), INDEX($AC$1004:$AS$1004,1,MATCH(COLUMNS($AC$1006:AL1006),$AC$1006:$AS$1006,0)))),"Fix")))</f>
        <v xml:space="preserve"> </v>
      </c>
      <c r="L648" s="4" t="str">
        <f ca="1">IF(OR(INDEX($W$2:$W$1001,MATCH(ROWS($V$2:V648),$V$2:$V$1001,0),1)&gt;=100000,INDEX($AC$1005:$AS$1005,1,MATCH(COLUMNS($AC$1006:AM1006),$AC$1006:$AS$1006,0))&gt;=100000), " ",IF(INDEX($AC$2:$AS$1001,MATCH(ROWS($V$2:V648),$V$2:$V$1001,0),MATCH(COLUMNS($AC$1006:AM1006),$AC$1006:$AS$1006,0)), HYPERLINK("#",""), HYPERLINK(CONCATENATE("#metadata!", ADDRESS(INDEX($X$2:$X$1001,MATCH(ROWS($V$2:V648),$V$2:$V$1001,0),0), INDEX($AC$1004:$AS$1004,1,MATCH(COLUMNS($AC$1006:AM1006),$AC$1006:$AS$1006,0)))),"Fix")))</f>
        <v xml:space="preserve"> </v>
      </c>
      <c r="M648" s="4" t="str">
        <f ca="1">IF(OR(INDEX($W$2:$W$1001,MATCH(ROWS($V$2:V648),$V$2:$V$1001,0),1)&gt;=100000,INDEX($AC$1005:$AS$1005,1,MATCH(COLUMNS($AC$1006:AN1006),$AC$1006:$AS$1006,0))&gt;=100000), " ",IF(INDEX($AC$2:$AS$1001,MATCH(ROWS($V$2:V648),$V$2:$V$1001,0),MATCH(COLUMNS($AC$1006:AN1006),$AC$1006:$AS$1006,0)), HYPERLINK("#",""), HYPERLINK(CONCATENATE("#metadata!", ADDRESS(INDEX($X$2:$X$1001,MATCH(ROWS($V$2:V648),$V$2:$V$1001,0),0), INDEX($AC$1004:$AS$1004,1,MATCH(COLUMNS($AC$1006:AN1006),$AC$1006:$AS$1006,0)))),"Fix")))</f>
        <v xml:space="preserve"> </v>
      </c>
      <c r="N648" s="4" t="str">
        <f ca="1">IF(OR(INDEX($W$2:$W$1001,MATCH(ROWS($V$2:V648),$V$2:$V$1001,0),1)&gt;=100000,INDEX($AC$1005:$AS$1005,1,MATCH(COLUMNS($AC$1006:AO1006),$AC$1006:$AS$1006,0))&gt;=100000), " ",IF(INDEX($AC$2:$AS$1001,MATCH(ROWS($V$2:V648),$V$2:$V$1001,0),MATCH(COLUMNS($AC$1006:AO1006),$AC$1006:$AS$1006,0)), HYPERLINK("#",""), HYPERLINK(CONCATENATE("#metadata!", ADDRESS(INDEX($X$2:$X$1001,MATCH(ROWS($V$2:V648),$V$2:$V$1001,0),0), INDEX($AC$1004:$AS$1004,1,MATCH(COLUMNS($AC$1006:AO1006),$AC$1006:$AS$1006,0)))),"Fix")))</f>
        <v xml:space="preserve"> </v>
      </c>
      <c r="O648" s="4" t="str">
        <f ca="1">IF(OR(INDEX($W$2:$W$1001,MATCH(ROWS($V$2:V648),$V$2:$V$1001,0),1)&gt;=100000,INDEX($AC$1005:$AS$1005,1,MATCH(COLUMNS($AC$1006:AP1006),$AC$1006:$AS$1006,0))&gt;=100000), " ",IF(INDEX($AC$2:$AS$1001,MATCH(ROWS($V$2:V648),$V$2:$V$1001,0),MATCH(COLUMNS($AC$1006:AP1006),$AC$1006:$AS$1006,0)), HYPERLINK("#",""), HYPERLINK(CONCATENATE("#metadata!", ADDRESS(INDEX($X$2:$X$1001,MATCH(ROWS($V$2:V648),$V$2:$V$1001,0),0), INDEX($AC$1004:$AS$1004,1,MATCH(COLUMNS($AC$1006:AP1006),$AC$1006:$AS$1006,0)))),"Fix")))</f>
        <v xml:space="preserve"> </v>
      </c>
      <c r="P648" s="4" t="str">
        <f ca="1">IF(OR(INDEX($W$2:$W$1001,MATCH(ROWS($V$2:V648),$V$2:$V$1001,0),1)&gt;=100000,INDEX($AC$1005:$AS$1005,1,MATCH(COLUMNS($AC$1006:AQ1006),$AC$1006:$AS$1006,0))&gt;=100000), " ",IF(INDEX($AC$2:$AS$1001,MATCH(ROWS($V$2:V648),$V$2:$V$1001,0),MATCH(COLUMNS($AC$1006:AQ1006),$AC$1006:$AS$1006,0)), HYPERLINK("#",""), HYPERLINK(CONCATENATE("#metadata!", ADDRESS(INDEX($X$2:$X$1001,MATCH(ROWS($V$2:V648),$V$2:$V$1001,0),0), INDEX($AC$1004:$AS$1004,1,MATCH(COLUMNS($AC$1006:AQ1006),$AC$1006:$AS$1006,0)))),"Fix")))</f>
        <v xml:space="preserve"> </v>
      </c>
      <c r="Q648" s="4" t="str">
        <f ca="1">IF(OR(INDEX($W$2:$W$1001,MATCH(ROWS($V$2:V648),$V$2:$V$1001,0),1)&gt;=100000,INDEX($AC$1005:$AS$1005,1,MATCH(COLUMNS($AC$1006:AR1006),$AC$1006:$AS$1006,0))&gt;=100000), " ",IF(INDEX($AC$2:$AS$1001,MATCH(ROWS($V$2:V648),$V$2:$V$1001,0),MATCH(COLUMNS($AC$1006:AR1006),$AC$1006:$AS$1006,0)), HYPERLINK("#",""), HYPERLINK(CONCATENATE("#metadata!", ADDRESS(INDEX($X$2:$X$1001,MATCH(ROWS($V$2:V648),$V$2:$V$1001,0),0), INDEX($AC$1004:$AS$1004,1,MATCH(COLUMNS($AC$1006:AR1006),$AC$1006:$AS$1006,0)))),"Fix")))</f>
        <v xml:space="preserve"> </v>
      </c>
      <c r="R648" s="4" t="str">
        <f ca="1">IF(OR(INDEX($W$2:$W$1001,MATCH(ROWS($V$2:V648),$V$2:$V$1001,0),1)&gt;=100000,INDEX($AC$1005:$AS$1005,1,MATCH(COLUMNS($AC$1006:AS1006),$AC$1006:$AS$1006,0))&gt;=100000), " ",IF(INDEX($AC$2:$AS$1001,MATCH(ROWS($V$2:V648),$V$2:$V$1001,0),MATCH(COLUMNS($AC$1006:AS1006),$AC$1006:$AS$1006,0)), HYPERLINK("#",""), HYPERLINK(CONCATENATE("#metadata!", ADDRESS(INDEX($X$2:$X$1001,MATCH(ROWS($V$2:V648),$V$2:$V$1001,0),0), INDEX($AC$1004:$AS$1004,1,MATCH(COLUMNS($AC$1006:AS1006),$AC$1006:$AS$1006,0)))),"Fix")))</f>
        <v xml:space="preserve"> </v>
      </c>
      <c r="V648">
        <v>647</v>
      </c>
      <c r="W648">
        <v>100648</v>
      </c>
      <c r="X648">
        <v>648</v>
      </c>
      <c r="Y648" t="b">
        <f t="shared" si="10"/>
        <v>1</v>
      </c>
      <c r="Z648" t="b">
        <f>COUNTBLANK(metadata!B648:R648)=COLUMNS(metadata!B648:R648)</f>
        <v>1</v>
      </c>
      <c r="AA648" t="str">
        <v/>
      </c>
      <c r="AC648" t="b">
        <f ca="1"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AD648" t="b">
        <f>IF(metadata!C648="",FALSE,ISNUMBER(VALUE(metadata!C648)))</f>
        <v>0</v>
      </c>
      <c r="AE648" t="b">
        <f>AND(IF(metadata!D648="",FALSE,TRUE),EXACT(metadata!D648,"years"))</f>
        <v>0</v>
      </c>
      <c r="AF648" t="b">
        <f>OR(AND(IF(metadata!E648="",FALSE,TRUE),OR(EXACT(metadata!E648,"not applicable"),EXACT(metadata!E648,"missing: not collected"),EXACT(metadata!E648,"missing: not provided"),EXACT(metadata!E648,"missing: restricted access"))),AND(IF(metadata!E648="",FALSE,ISNUMBER(VALUE(metadata!E648))),metadata!E648&gt;0))</f>
        <v>0</v>
      </c>
      <c r="AG648" t="b">
        <f>AND(IF(metadata!F648="",FALSE,TRUE),EXACT(metadata!F648,"Not applicable"))</f>
        <v>0</v>
      </c>
      <c r="AH648" t="b">
        <f>AND(IF(metadata!G648="",FALSE,TRUE),EXACT(metadata!G648,"urban biome"))</f>
        <v>0</v>
      </c>
      <c r="AI648" t="b">
        <f>AND(IF(metadata!H648="",FALSE,TRUE),EXACT(metadata!H648,"human-associated habitat"))</f>
        <v>0</v>
      </c>
      <c r="AJ648" t="b">
        <f>AND(IF(metadata!I648="",FALSE,TRUE),OR(EXACT(metadata!I648,"human-associated"),EXACT(metadata!I648,"human-skin"),EXACT(metadata!I648,"human-oral"),EXACT(metadata!I648,"human-gut"),EXACT(metadata!I648,"human-vaginal")))</f>
        <v>0</v>
      </c>
      <c r="AK648" t="b">
        <f>IF(metadata!J648="",FALSE,ISNUMBER(VALUE(metadata!J648)))</f>
        <v>0</v>
      </c>
      <c r="AL648" t="b">
        <f>AND(IF(metadata!K648="",FALSE,TRUE),EXACT(metadata!K648,"cm"))</f>
        <v>0</v>
      </c>
      <c r="AM648" t="b">
        <f>AND(IF(metadata!L648="",FALSE,TRUE),EXACT(metadata!L648,"human"))</f>
        <v>0</v>
      </c>
      <c r="AN648" t="b">
        <f>AND(IF(metadata!M648="",FALSE,TRUE),EXACT(metadata!M648,"Homo sapiens"))</f>
        <v>0</v>
      </c>
      <c r="AO648" t="b">
        <f>AND(IF(metadata!N648="",FALSE,TRUE),EXACT(metadata!N648,"9606"))</f>
        <v>0</v>
      </c>
      <c r="AP648" t="b">
        <f>IF(metadata!O648="",FALSE,TRUE)</f>
        <v>0</v>
      </c>
      <c r="AQ648" t="b">
        <f>IF(metadata!P648="",FALSE,TRUE)</f>
        <v>0</v>
      </c>
      <c r="AR648" t="b">
        <f>IF(metadata!Q648="",FALSE,ISNUMBER(VALUE(metadata!Q648)))</f>
        <v>0</v>
      </c>
      <c r="AS648" t="b">
        <f>AND(IF(metadata!R648="",FALSE,TRUE),EXACT(metadata!R648,"kg"))</f>
        <v>0</v>
      </c>
    </row>
    <row r="649" spans="1:45" x14ac:dyDescent="0.2">
      <c r="A649" s="5" t="str">
        <f ca="1">IF(B649=" "," ",HYPERLINK(CONCATENATE("#metadata!",ADDRESS(INDEX($X$2:$X$1001,MATCH(ROWS($V$2:V649),$V$2:$V$1001,0),0),1)),INDEX($AA$2:$AA$1001,MATCH(ROWS($V$2:V649),$V$2:$V$1001,0),0)))</f>
        <v xml:space="preserve"> </v>
      </c>
      <c r="B649" s="4" t="str">
        <f ca="1">IF(OR(INDEX($W$2:$W$1001,MATCH(ROWS($V$2:V649),$V$2:$V$1001,0),1)&gt;=100000,INDEX($AC$1005:$AS$1005,1,MATCH(COLUMNS($AC$1006:AC1006),$AC$1006:$AS$1006,0))&gt;=100000), " ",IF(INDEX($AC$2:$AS$1001,MATCH(ROWS($V$2:V649),$V$2:$V$1001,0),MATCH(COLUMNS($AC$1006:AC1006),$AC$1006:$AS$1006,0)), HYPERLINK("#",""), HYPERLINK(CONCATENATE("#metadata!", ADDRESS(INDEX($X$2:$X$1001,MATCH(ROWS($V$2:V649),$V$2:$V$1001,0),0), INDEX($AC$1004:$AS$1004,1,MATCH(COLUMNS($AC$1006:AC1006),$AC$1006:$AS$1006,0)))),"Fix")))</f>
        <v xml:space="preserve"> </v>
      </c>
      <c r="C649" s="4" t="str">
        <f ca="1">IF(OR(INDEX($W$2:$W$1001,MATCH(ROWS($V$2:V649),$V$2:$V$1001,0),1)&gt;=100000,INDEX($AC$1005:$AS$1005,1,MATCH(COLUMNS($AC$1006:AD1006),$AC$1006:$AS$1006,0))&gt;=100000), " ",IF(INDEX($AC$2:$AS$1001,MATCH(ROWS($V$2:V649),$V$2:$V$1001,0),MATCH(COLUMNS($AC$1006:AD1006),$AC$1006:$AS$1006,0)), HYPERLINK("#",""), HYPERLINK(CONCATENATE("#metadata!", ADDRESS(INDEX($X$2:$X$1001,MATCH(ROWS($V$2:V649),$V$2:$V$1001,0),0), INDEX($AC$1004:$AS$1004,1,MATCH(COLUMNS($AC$1006:AD1006),$AC$1006:$AS$1006,0)))),"Fix")))</f>
        <v xml:space="preserve"> </v>
      </c>
      <c r="D649" s="4" t="str">
        <f ca="1">IF(OR(INDEX($W$2:$W$1001,MATCH(ROWS($V$2:V649),$V$2:$V$1001,0),1)&gt;=100000,INDEX($AC$1005:$AS$1005,1,MATCH(COLUMNS($AC$1006:AE1006),$AC$1006:$AS$1006,0))&gt;=100000), " ",IF(INDEX($AC$2:$AS$1001,MATCH(ROWS($V$2:V649),$V$2:$V$1001,0),MATCH(COLUMNS($AC$1006:AE1006),$AC$1006:$AS$1006,0)), HYPERLINK("#",""), HYPERLINK(CONCATENATE("#metadata!", ADDRESS(INDEX($X$2:$X$1001,MATCH(ROWS($V$2:V649),$V$2:$V$1001,0),0), INDEX($AC$1004:$AS$1004,1,MATCH(COLUMNS($AC$1006:AE1006),$AC$1006:$AS$1006,0)))),"Fix")))</f>
        <v xml:space="preserve"> </v>
      </c>
      <c r="E649" s="4" t="str">
        <f ca="1">IF(OR(INDEX($W$2:$W$1001,MATCH(ROWS($V$2:V649),$V$2:$V$1001,0),1)&gt;=100000,INDEX($AC$1005:$AS$1005,1,MATCH(COLUMNS($AC$1006:AF1006),$AC$1006:$AS$1006,0))&gt;=100000), " ",IF(INDEX($AC$2:$AS$1001,MATCH(ROWS($V$2:V649),$V$2:$V$1001,0),MATCH(COLUMNS($AC$1006:AF1006),$AC$1006:$AS$1006,0)), HYPERLINK("#",""), HYPERLINK(CONCATENATE("#metadata!", ADDRESS(INDEX($X$2:$X$1001,MATCH(ROWS($V$2:V649),$V$2:$V$1001,0),0), INDEX($AC$1004:$AS$1004,1,MATCH(COLUMNS($AC$1006:AF1006),$AC$1006:$AS$1006,0)))),"Fix")))</f>
        <v xml:space="preserve"> </v>
      </c>
      <c r="F649" s="4" t="str">
        <f ca="1">IF(OR(INDEX($W$2:$W$1001,MATCH(ROWS($V$2:V649),$V$2:$V$1001,0),1)&gt;=100000,INDEX($AC$1005:$AS$1005,1,MATCH(COLUMNS($AC$1006:AG1006),$AC$1006:$AS$1006,0))&gt;=100000), " ",IF(INDEX($AC$2:$AS$1001,MATCH(ROWS($V$2:V649),$V$2:$V$1001,0),MATCH(COLUMNS($AC$1006:AG1006),$AC$1006:$AS$1006,0)), HYPERLINK("#",""), HYPERLINK(CONCATENATE("#metadata!", ADDRESS(INDEX($X$2:$X$1001,MATCH(ROWS($V$2:V649),$V$2:$V$1001,0),0), INDEX($AC$1004:$AS$1004,1,MATCH(COLUMNS($AC$1006:AG1006),$AC$1006:$AS$1006,0)))),"Fix")))</f>
        <v xml:space="preserve"> </v>
      </c>
      <c r="G649" s="4" t="str">
        <f ca="1">IF(OR(INDEX($W$2:$W$1001,MATCH(ROWS($V$2:V649),$V$2:$V$1001,0),1)&gt;=100000,INDEX($AC$1005:$AS$1005,1,MATCH(COLUMNS($AC$1006:AH1006),$AC$1006:$AS$1006,0))&gt;=100000), " ",IF(INDEX($AC$2:$AS$1001,MATCH(ROWS($V$2:V649),$V$2:$V$1001,0),MATCH(COLUMNS($AC$1006:AH1006),$AC$1006:$AS$1006,0)), HYPERLINK("#",""), HYPERLINK(CONCATENATE("#metadata!", ADDRESS(INDEX($X$2:$X$1001,MATCH(ROWS($V$2:V649),$V$2:$V$1001,0),0), INDEX($AC$1004:$AS$1004,1,MATCH(COLUMNS($AC$1006:AH1006),$AC$1006:$AS$1006,0)))),"Fix")))</f>
        <v xml:space="preserve"> </v>
      </c>
      <c r="H649" s="4" t="str">
        <f ca="1">IF(OR(INDEX($W$2:$W$1001,MATCH(ROWS($V$2:V649),$V$2:$V$1001,0),1)&gt;=100000,INDEX($AC$1005:$AS$1005,1,MATCH(COLUMNS($AC$1006:AI1006),$AC$1006:$AS$1006,0))&gt;=100000), " ",IF(INDEX($AC$2:$AS$1001,MATCH(ROWS($V$2:V649),$V$2:$V$1001,0),MATCH(COLUMNS($AC$1006:AI1006),$AC$1006:$AS$1006,0)), HYPERLINK("#",""), HYPERLINK(CONCATENATE("#metadata!", ADDRESS(INDEX($X$2:$X$1001,MATCH(ROWS($V$2:V649),$V$2:$V$1001,0),0), INDEX($AC$1004:$AS$1004,1,MATCH(COLUMNS($AC$1006:AI1006),$AC$1006:$AS$1006,0)))),"Fix")))</f>
        <v xml:space="preserve"> </v>
      </c>
      <c r="I649" s="4" t="str">
        <f ca="1">IF(OR(INDEX($W$2:$W$1001,MATCH(ROWS($V$2:V649),$V$2:$V$1001,0),1)&gt;=100000,INDEX($AC$1005:$AS$1005,1,MATCH(COLUMNS($AC$1006:AJ1006),$AC$1006:$AS$1006,0))&gt;=100000), " ",IF(INDEX($AC$2:$AS$1001,MATCH(ROWS($V$2:V649),$V$2:$V$1001,0),MATCH(COLUMNS($AC$1006:AJ1006),$AC$1006:$AS$1006,0)), HYPERLINK("#",""), HYPERLINK(CONCATENATE("#metadata!", ADDRESS(INDEX($X$2:$X$1001,MATCH(ROWS($V$2:V649),$V$2:$V$1001,0),0), INDEX($AC$1004:$AS$1004,1,MATCH(COLUMNS($AC$1006:AJ1006),$AC$1006:$AS$1006,0)))),"Fix")))</f>
        <v xml:space="preserve"> </v>
      </c>
      <c r="J649" s="4" t="str">
        <f ca="1">IF(OR(INDEX($W$2:$W$1001,MATCH(ROWS($V$2:V649),$V$2:$V$1001,0),1)&gt;=100000,INDEX($AC$1005:$AS$1005,1,MATCH(COLUMNS($AC$1006:AK1006),$AC$1006:$AS$1006,0))&gt;=100000), " ",IF(INDEX($AC$2:$AS$1001,MATCH(ROWS($V$2:V649),$V$2:$V$1001,0),MATCH(COLUMNS($AC$1006:AK1006),$AC$1006:$AS$1006,0)), HYPERLINK("#",""), HYPERLINK(CONCATENATE("#metadata!", ADDRESS(INDEX($X$2:$X$1001,MATCH(ROWS($V$2:V649),$V$2:$V$1001,0),0), INDEX($AC$1004:$AS$1004,1,MATCH(COLUMNS($AC$1006:AK1006),$AC$1006:$AS$1006,0)))),"Fix")))</f>
        <v xml:space="preserve"> </v>
      </c>
      <c r="K649" s="4" t="str">
        <f ca="1">IF(OR(INDEX($W$2:$W$1001,MATCH(ROWS($V$2:V649),$V$2:$V$1001,0),1)&gt;=100000,INDEX($AC$1005:$AS$1005,1,MATCH(COLUMNS($AC$1006:AL1006),$AC$1006:$AS$1006,0))&gt;=100000), " ",IF(INDEX($AC$2:$AS$1001,MATCH(ROWS($V$2:V649),$V$2:$V$1001,0),MATCH(COLUMNS($AC$1006:AL1006),$AC$1006:$AS$1006,0)), HYPERLINK("#",""), HYPERLINK(CONCATENATE("#metadata!", ADDRESS(INDEX($X$2:$X$1001,MATCH(ROWS($V$2:V649),$V$2:$V$1001,0),0), INDEX($AC$1004:$AS$1004,1,MATCH(COLUMNS($AC$1006:AL1006),$AC$1006:$AS$1006,0)))),"Fix")))</f>
        <v xml:space="preserve"> </v>
      </c>
      <c r="L649" s="4" t="str">
        <f ca="1">IF(OR(INDEX($W$2:$W$1001,MATCH(ROWS($V$2:V649),$V$2:$V$1001,0),1)&gt;=100000,INDEX($AC$1005:$AS$1005,1,MATCH(COLUMNS($AC$1006:AM1006),$AC$1006:$AS$1006,0))&gt;=100000), " ",IF(INDEX($AC$2:$AS$1001,MATCH(ROWS($V$2:V649),$V$2:$V$1001,0),MATCH(COLUMNS($AC$1006:AM1006),$AC$1006:$AS$1006,0)), HYPERLINK("#",""), HYPERLINK(CONCATENATE("#metadata!", ADDRESS(INDEX($X$2:$X$1001,MATCH(ROWS($V$2:V649),$V$2:$V$1001,0),0), INDEX($AC$1004:$AS$1004,1,MATCH(COLUMNS($AC$1006:AM1006),$AC$1006:$AS$1006,0)))),"Fix")))</f>
        <v xml:space="preserve"> </v>
      </c>
      <c r="M649" s="4" t="str">
        <f ca="1">IF(OR(INDEX($W$2:$W$1001,MATCH(ROWS($V$2:V649),$V$2:$V$1001,0),1)&gt;=100000,INDEX($AC$1005:$AS$1005,1,MATCH(COLUMNS($AC$1006:AN1006),$AC$1006:$AS$1006,0))&gt;=100000), " ",IF(INDEX($AC$2:$AS$1001,MATCH(ROWS($V$2:V649),$V$2:$V$1001,0),MATCH(COLUMNS($AC$1006:AN1006),$AC$1006:$AS$1006,0)), HYPERLINK("#",""), HYPERLINK(CONCATENATE("#metadata!", ADDRESS(INDEX($X$2:$X$1001,MATCH(ROWS($V$2:V649),$V$2:$V$1001,0),0), INDEX($AC$1004:$AS$1004,1,MATCH(COLUMNS($AC$1006:AN1006),$AC$1006:$AS$1006,0)))),"Fix")))</f>
        <v xml:space="preserve"> </v>
      </c>
      <c r="N649" s="4" t="str">
        <f ca="1">IF(OR(INDEX($W$2:$W$1001,MATCH(ROWS($V$2:V649),$V$2:$V$1001,0),1)&gt;=100000,INDEX($AC$1005:$AS$1005,1,MATCH(COLUMNS($AC$1006:AO1006),$AC$1006:$AS$1006,0))&gt;=100000), " ",IF(INDEX($AC$2:$AS$1001,MATCH(ROWS($V$2:V649),$V$2:$V$1001,0),MATCH(COLUMNS($AC$1006:AO1006),$AC$1006:$AS$1006,0)), HYPERLINK("#",""), HYPERLINK(CONCATENATE("#metadata!", ADDRESS(INDEX($X$2:$X$1001,MATCH(ROWS($V$2:V649),$V$2:$V$1001,0),0), INDEX($AC$1004:$AS$1004,1,MATCH(COLUMNS($AC$1006:AO1006),$AC$1006:$AS$1006,0)))),"Fix")))</f>
        <v xml:space="preserve"> </v>
      </c>
      <c r="O649" s="4" t="str">
        <f ca="1">IF(OR(INDEX($W$2:$W$1001,MATCH(ROWS($V$2:V649),$V$2:$V$1001,0),1)&gt;=100000,INDEX($AC$1005:$AS$1005,1,MATCH(COLUMNS($AC$1006:AP1006),$AC$1006:$AS$1006,0))&gt;=100000), " ",IF(INDEX($AC$2:$AS$1001,MATCH(ROWS($V$2:V649),$V$2:$V$1001,0),MATCH(COLUMNS($AC$1006:AP1006),$AC$1006:$AS$1006,0)), HYPERLINK("#",""), HYPERLINK(CONCATENATE("#metadata!", ADDRESS(INDEX($X$2:$X$1001,MATCH(ROWS($V$2:V649),$V$2:$V$1001,0),0), INDEX($AC$1004:$AS$1004,1,MATCH(COLUMNS($AC$1006:AP1006),$AC$1006:$AS$1006,0)))),"Fix")))</f>
        <v xml:space="preserve"> </v>
      </c>
      <c r="P649" s="4" t="str">
        <f ca="1">IF(OR(INDEX($W$2:$W$1001,MATCH(ROWS($V$2:V649),$V$2:$V$1001,0),1)&gt;=100000,INDEX($AC$1005:$AS$1005,1,MATCH(COLUMNS($AC$1006:AQ1006),$AC$1006:$AS$1006,0))&gt;=100000), " ",IF(INDEX($AC$2:$AS$1001,MATCH(ROWS($V$2:V649),$V$2:$V$1001,0),MATCH(COLUMNS($AC$1006:AQ1006),$AC$1006:$AS$1006,0)), HYPERLINK("#",""), HYPERLINK(CONCATENATE("#metadata!", ADDRESS(INDEX($X$2:$X$1001,MATCH(ROWS($V$2:V649),$V$2:$V$1001,0),0), INDEX($AC$1004:$AS$1004,1,MATCH(COLUMNS($AC$1006:AQ1006),$AC$1006:$AS$1006,0)))),"Fix")))</f>
        <v xml:space="preserve"> </v>
      </c>
      <c r="Q649" s="4" t="str">
        <f ca="1">IF(OR(INDEX($W$2:$W$1001,MATCH(ROWS($V$2:V649),$V$2:$V$1001,0),1)&gt;=100000,INDEX($AC$1005:$AS$1005,1,MATCH(COLUMNS($AC$1006:AR1006),$AC$1006:$AS$1006,0))&gt;=100000), " ",IF(INDEX($AC$2:$AS$1001,MATCH(ROWS($V$2:V649),$V$2:$V$1001,0),MATCH(COLUMNS($AC$1006:AR1006),$AC$1006:$AS$1006,0)), HYPERLINK("#",""), HYPERLINK(CONCATENATE("#metadata!", ADDRESS(INDEX($X$2:$X$1001,MATCH(ROWS($V$2:V649),$V$2:$V$1001,0),0), INDEX($AC$1004:$AS$1004,1,MATCH(COLUMNS($AC$1006:AR1006),$AC$1006:$AS$1006,0)))),"Fix")))</f>
        <v xml:space="preserve"> </v>
      </c>
      <c r="R649" s="4" t="str">
        <f ca="1">IF(OR(INDEX($W$2:$W$1001,MATCH(ROWS($V$2:V649),$V$2:$V$1001,0),1)&gt;=100000,INDEX($AC$1005:$AS$1005,1,MATCH(COLUMNS($AC$1006:AS1006),$AC$1006:$AS$1006,0))&gt;=100000), " ",IF(INDEX($AC$2:$AS$1001,MATCH(ROWS($V$2:V649),$V$2:$V$1001,0),MATCH(COLUMNS($AC$1006:AS1006),$AC$1006:$AS$1006,0)), HYPERLINK("#",""), HYPERLINK(CONCATENATE("#metadata!", ADDRESS(INDEX($X$2:$X$1001,MATCH(ROWS($V$2:V649),$V$2:$V$1001,0),0), INDEX($AC$1004:$AS$1004,1,MATCH(COLUMNS($AC$1006:AS1006),$AC$1006:$AS$1006,0)))),"Fix")))</f>
        <v xml:space="preserve"> </v>
      </c>
      <c r="V649">
        <v>648</v>
      </c>
      <c r="W649">
        <v>100649</v>
      </c>
      <c r="X649">
        <v>649</v>
      </c>
      <c r="Y649" t="b">
        <f t="shared" si="10"/>
        <v>1</v>
      </c>
      <c r="Z649" t="b">
        <f>COUNTBLANK(metadata!B649:R649)=COLUMNS(metadata!B649:R649)</f>
        <v>1</v>
      </c>
      <c r="AA649" t="str">
        <v/>
      </c>
      <c r="AC649" t="b">
        <f ca="1"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AD649" t="b">
        <f>IF(metadata!C649="",FALSE,ISNUMBER(VALUE(metadata!C649)))</f>
        <v>0</v>
      </c>
      <c r="AE649" t="b">
        <f>AND(IF(metadata!D649="",FALSE,TRUE),EXACT(metadata!D649,"years"))</f>
        <v>0</v>
      </c>
      <c r="AF649" t="b">
        <f>OR(AND(IF(metadata!E649="",FALSE,TRUE),OR(EXACT(metadata!E649,"not applicable"),EXACT(metadata!E649,"missing: not collected"),EXACT(metadata!E649,"missing: not provided"),EXACT(metadata!E649,"missing: restricted access"))),AND(IF(metadata!E649="",FALSE,ISNUMBER(VALUE(metadata!E649))),metadata!E649&gt;0))</f>
        <v>0</v>
      </c>
      <c r="AG649" t="b">
        <f>AND(IF(metadata!F649="",FALSE,TRUE),EXACT(metadata!F649,"Not applicable"))</f>
        <v>0</v>
      </c>
      <c r="AH649" t="b">
        <f>AND(IF(metadata!G649="",FALSE,TRUE),EXACT(metadata!G649,"urban biome"))</f>
        <v>0</v>
      </c>
      <c r="AI649" t="b">
        <f>AND(IF(metadata!H649="",FALSE,TRUE),EXACT(metadata!H649,"human-associated habitat"))</f>
        <v>0</v>
      </c>
      <c r="AJ649" t="b">
        <f>AND(IF(metadata!I649="",FALSE,TRUE),OR(EXACT(metadata!I649,"human-associated"),EXACT(metadata!I649,"human-skin"),EXACT(metadata!I649,"human-oral"),EXACT(metadata!I649,"human-gut"),EXACT(metadata!I649,"human-vaginal")))</f>
        <v>0</v>
      </c>
      <c r="AK649" t="b">
        <f>IF(metadata!J649="",FALSE,ISNUMBER(VALUE(metadata!J649)))</f>
        <v>0</v>
      </c>
      <c r="AL649" t="b">
        <f>AND(IF(metadata!K649="",FALSE,TRUE),EXACT(metadata!K649,"cm"))</f>
        <v>0</v>
      </c>
      <c r="AM649" t="b">
        <f>AND(IF(metadata!L649="",FALSE,TRUE),EXACT(metadata!L649,"human"))</f>
        <v>0</v>
      </c>
      <c r="AN649" t="b">
        <f>AND(IF(metadata!M649="",FALSE,TRUE),EXACT(metadata!M649,"Homo sapiens"))</f>
        <v>0</v>
      </c>
      <c r="AO649" t="b">
        <f>AND(IF(metadata!N649="",FALSE,TRUE),EXACT(metadata!N649,"9606"))</f>
        <v>0</v>
      </c>
      <c r="AP649" t="b">
        <f>IF(metadata!O649="",FALSE,TRUE)</f>
        <v>0</v>
      </c>
      <c r="AQ649" t="b">
        <f>IF(metadata!P649="",FALSE,TRUE)</f>
        <v>0</v>
      </c>
      <c r="AR649" t="b">
        <f>IF(metadata!Q649="",FALSE,ISNUMBER(VALUE(metadata!Q649)))</f>
        <v>0</v>
      </c>
      <c r="AS649" t="b">
        <f>AND(IF(metadata!R649="",FALSE,TRUE),EXACT(metadata!R649,"kg"))</f>
        <v>0</v>
      </c>
    </row>
    <row r="650" spans="1:45" x14ac:dyDescent="0.2">
      <c r="A650" s="5" t="str">
        <f ca="1">IF(B650=" "," ",HYPERLINK(CONCATENATE("#metadata!",ADDRESS(INDEX($X$2:$X$1001,MATCH(ROWS($V$2:V650),$V$2:$V$1001,0),0),1)),INDEX($AA$2:$AA$1001,MATCH(ROWS($V$2:V650),$V$2:$V$1001,0),0)))</f>
        <v xml:space="preserve"> </v>
      </c>
      <c r="B650" s="4" t="str">
        <f ca="1">IF(OR(INDEX($W$2:$W$1001,MATCH(ROWS($V$2:V650),$V$2:$V$1001,0),1)&gt;=100000,INDEX($AC$1005:$AS$1005,1,MATCH(COLUMNS($AC$1006:AC1006),$AC$1006:$AS$1006,0))&gt;=100000), " ",IF(INDEX($AC$2:$AS$1001,MATCH(ROWS($V$2:V650),$V$2:$V$1001,0),MATCH(COLUMNS($AC$1006:AC1006),$AC$1006:$AS$1006,0)), HYPERLINK("#",""), HYPERLINK(CONCATENATE("#metadata!", ADDRESS(INDEX($X$2:$X$1001,MATCH(ROWS($V$2:V650),$V$2:$V$1001,0),0), INDEX($AC$1004:$AS$1004,1,MATCH(COLUMNS($AC$1006:AC1006),$AC$1006:$AS$1006,0)))),"Fix")))</f>
        <v xml:space="preserve"> </v>
      </c>
      <c r="C650" s="4" t="str">
        <f ca="1">IF(OR(INDEX($W$2:$W$1001,MATCH(ROWS($V$2:V650),$V$2:$V$1001,0),1)&gt;=100000,INDEX($AC$1005:$AS$1005,1,MATCH(COLUMNS($AC$1006:AD1006),$AC$1006:$AS$1006,0))&gt;=100000), " ",IF(INDEX($AC$2:$AS$1001,MATCH(ROWS($V$2:V650),$V$2:$V$1001,0),MATCH(COLUMNS($AC$1006:AD1006),$AC$1006:$AS$1006,0)), HYPERLINK("#",""), HYPERLINK(CONCATENATE("#metadata!", ADDRESS(INDEX($X$2:$X$1001,MATCH(ROWS($V$2:V650),$V$2:$V$1001,0),0), INDEX($AC$1004:$AS$1004,1,MATCH(COLUMNS($AC$1006:AD1006),$AC$1006:$AS$1006,0)))),"Fix")))</f>
        <v xml:space="preserve"> </v>
      </c>
      <c r="D650" s="4" t="str">
        <f ca="1">IF(OR(INDEX($W$2:$W$1001,MATCH(ROWS($V$2:V650),$V$2:$V$1001,0),1)&gt;=100000,INDEX($AC$1005:$AS$1005,1,MATCH(COLUMNS($AC$1006:AE1006),$AC$1006:$AS$1006,0))&gt;=100000), " ",IF(INDEX($AC$2:$AS$1001,MATCH(ROWS($V$2:V650),$V$2:$V$1001,0),MATCH(COLUMNS($AC$1006:AE1006),$AC$1006:$AS$1006,0)), HYPERLINK("#",""), HYPERLINK(CONCATENATE("#metadata!", ADDRESS(INDEX($X$2:$X$1001,MATCH(ROWS($V$2:V650),$V$2:$V$1001,0),0), INDEX($AC$1004:$AS$1004,1,MATCH(COLUMNS($AC$1006:AE1006),$AC$1006:$AS$1006,0)))),"Fix")))</f>
        <v xml:space="preserve"> </v>
      </c>
      <c r="E650" s="4" t="str">
        <f ca="1">IF(OR(INDEX($W$2:$W$1001,MATCH(ROWS($V$2:V650),$V$2:$V$1001,0),1)&gt;=100000,INDEX($AC$1005:$AS$1005,1,MATCH(COLUMNS($AC$1006:AF1006),$AC$1006:$AS$1006,0))&gt;=100000), " ",IF(INDEX($AC$2:$AS$1001,MATCH(ROWS($V$2:V650),$V$2:$V$1001,0),MATCH(COLUMNS($AC$1006:AF1006),$AC$1006:$AS$1006,0)), HYPERLINK("#",""), HYPERLINK(CONCATENATE("#metadata!", ADDRESS(INDEX($X$2:$X$1001,MATCH(ROWS($V$2:V650),$V$2:$V$1001,0),0), INDEX($AC$1004:$AS$1004,1,MATCH(COLUMNS($AC$1006:AF1006),$AC$1006:$AS$1006,0)))),"Fix")))</f>
        <v xml:space="preserve"> </v>
      </c>
      <c r="F650" s="4" t="str">
        <f ca="1">IF(OR(INDEX($W$2:$W$1001,MATCH(ROWS($V$2:V650),$V$2:$V$1001,0),1)&gt;=100000,INDEX($AC$1005:$AS$1005,1,MATCH(COLUMNS($AC$1006:AG1006),$AC$1006:$AS$1006,0))&gt;=100000), " ",IF(INDEX($AC$2:$AS$1001,MATCH(ROWS($V$2:V650),$V$2:$V$1001,0),MATCH(COLUMNS($AC$1006:AG1006),$AC$1006:$AS$1006,0)), HYPERLINK("#",""), HYPERLINK(CONCATENATE("#metadata!", ADDRESS(INDEX($X$2:$X$1001,MATCH(ROWS($V$2:V650),$V$2:$V$1001,0),0), INDEX($AC$1004:$AS$1004,1,MATCH(COLUMNS($AC$1006:AG1006),$AC$1006:$AS$1006,0)))),"Fix")))</f>
        <v xml:space="preserve"> </v>
      </c>
      <c r="G650" s="4" t="str">
        <f ca="1">IF(OR(INDEX($W$2:$W$1001,MATCH(ROWS($V$2:V650),$V$2:$V$1001,0),1)&gt;=100000,INDEX($AC$1005:$AS$1005,1,MATCH(COLUMNS($AC$1006:AH1006),$AC$1006:$AS$1006,0))&gt;=100000), " ",IF(INDEX($AC$2:$AS$1001,MATCH(ROWS($V$2:V650),$V$2:$V$1001,0),MATCH(COLUMNS($AC$1006:AH1006),$AC$1006:$AS$1006,0)), HYPERLINK("#",""), HYPERLINK(CONCATENATE("#metadata!", ADDRESS(INDEX($X$2:$X$1001,MATCH(ROWS($V$2:V650),$V$2:$V$1001,0),0), INDEX($AC$1004:$AS$1004,1,MATCH(COLUMNS($AC$1006:AH1006),$AC$1006:$AS$1006,0)))),"Fix")))</f>
        <v xml:space="preserve"> </v>
      </c>
      <c r="H650" s="4" t="str">
        <f ca="1">IF(OR(INDEX($W$2:$W$1001,MATCH(ROWS($V$2:V650),$V$2:$V$1001,0),1)&gt;=100000,INDEX($AC$1005:$AS$1005,1,MATCH(COLUMNS($AC$1006:AI1006),$AC$1006:$AS$1006,0))&gt;=100000), " ",IF(INDEX($AC$2:$AS$1001,MATCH(ROWS($V$2:V650),$V$2:$V$1001,0),MATCH(COLUMNS($AC$1006:AI1006),$AC$1006:$AS$1006,0)), HYPERLINK("#",""), HYPERLINK(CONCATENATE("#metadata!", ADDRESS(INDEX($X$2:$X$1001,MATCH(ROWS($V$2:V650),$V$2:$V$1001,0),0), INDEX($AC$1004:$AS$1004,1,MATCH(COLUMNS($AC$1006:AI1006),$AC$1006:$AS$1006,0)))),"Fix")))</f>
        <v xml:space="preserve"> </v>
      </c>
      <c r="I650" s="4" t="str">
        <f ca="1">IF(OR(INDEX($W$2:$W$1001,MATCH(ROWS($V$2:V650),$V$2:$V$1001,0),1)&gt;=100000,INDEX($AC$1005:$AS$1005,1,MATCH(COLUMNS($AC$1006:AJ1006),$AC$1006:$AS$1006,0))&gt;=100000), " ",IF(INDEX($AC$2:$AS$1001,MATCH(ROWS($V$2:V650),$V$2:$V$1001,0),MATCH(COLUMNS($AC$1006:AJ1006),$AC$1006:$AS$1006,0)), HYPERLINK("#",""), HYPERLINK(CONCATENATE("#metadata!", ADDRESS(INDEX($X$2:$X$1001,MATCH(ROWS($V$2:V650),$V$2:$V$1001,0),0), INDEX($AC$1004:$AS$1004,1,MATCH(COLUMNS($AC$1006:AJ1006),$AC$1006:$AS$1006,0)))),"Fix")))</f>
        <v xml:space="preserve"> </v>
      </c>
      <c r="J650" s="4" t="str">
        <f ca="1">IF(OR(INDEX($W$2:$W$1001,MATCH(ROWS($V$2:V650),$V$2:$V$1001,0),1)&gt;=100000,INDEX($AC$1005:$AS$1005,1,MATCH(COLUMNS($AC$1006:AK1006),$AC$1006:$AS$1006,0))&gt;=100000), " ",IF(INDEX($AC$2:$AS$1001,MATCH(ROWS($V$2:V650),$V$2:$V$1001,0),MATCH(COLUMNS($AC$1006:AK1006),$AC$1006:$AS$1006,0)), HYPERLINK("#",""), HYPERLINK(CONCATENATE("#metadata!", ADDRESS(INDEX($X$2:$X$1001,MATCH(ROWS($V$2:V650),$V$2:$V$1001,0),0), INDEX($AC$1004:$AS$1004,1,MATCH(COLUMNS($AC$1006:AK1006),$AC$1006:$AS$1006,0)))),"Fix")))</f>
        <v xml:space="preserve"> </v>
      </c>
      <c r="K650" s="4" t="str">
        <f ca="1">IF(OR(INDEX($W$2:$W$1001,MATCH(ROWS($V$2:V650),$V$2:$V$1001,0),1)&gt;=100000,INDEX($AC$1005:$AS$1005,1,MATCH(COLUMNS($AC$1006:AL1006),$AC$1006:$AS$1006,0))&gt;=100000), " ",IF(INDEX($AC$2:$AS$1001,MATCH(ROWS($V$2:V650),$V$2:$V$1001,0),MATCH(COLUMNS($AC$1006:AL1006),$AC$1006:$AS$1006,0)), HYPERLINK("#",""), HYPERLINK(CONCATENATE("#metadata!", ADDRESS(INDEX($X$2:$X$1001,MATCH(ROWS($V$2:V650),$V$2:$V$1001,0),0), INDEX($AC$1004:$AS$1004,1,MATCH(COLUMNS($AC$1006:AL1006),$AC$1006:$AS$1006,0)))),"Fix")))</f>
        <v xml:space="preserve"> </v>
      </c>
      <c r="L650" s="4" t="str">
        <f ca="1">IF(OR(INDEX($W$2:$W$1001,MATCH(ROWS($V$2:V650),$V$2:$V$1001,0),1)&gt;=100000,INDEX($AC$1005:$AS$1005,1,MATCH(COLUMNS($AC$1006:AM1006),$AC$1006:$AS$1006,0))&gt;=100000), " ",IF(INDEX($AC$2:$AS$1001,MATCH(ROWS($V$2:V650),$V$2:$V$1001,0),MATCH(COLUMNS($AC$1006:AM1006),$AC$1006:$AS$1006,0)), HYPERLINK("#",""), HYPERLINK(CONCATENATE("#metadata!", ADDRESS(INDEX($X$2:$X$1001,MATCH(ROWS($V$2:V650),$V$2:$V$1001,0),0), INDEX($AC$1004:$AS$1004,1,MATCH(COLUMNS($AC$1006:AM1006),$AC$1006:$AS$1006,0)))),"Fix")))</f>
        <v xml:space="preserve"> </v>
      </c>
      <c r="M650" s="4" t="str">
        <f ca="1">IF(OR(INDEX($W$2:$W$1001,MATCH(ROWS($V$2:V650),$V$2:$V$1001,0),1)&gt;=100000,INDEX($AC$1005:$AS$1005,1,MATCH(COLUMNS($AC$1006:AN1006),$AC$1006:$AS$1006,0))&gt;=100000), " ",IF(INDEX($AC$2:$AS$1001,MATCH(ROWS($V$2:V650),$V$2:$V$1001,0),MATCH(COLUMNS($AC$1006:AN1006),$AC$1006:$AS$1006,0)), HYPERLINK("#",""), HYPERLINK(CONCATENATE("#metadata!", ADDRESS(INDEX($X$2:$X$1001,MATCH(ROWS($V$2:V650),$V$2:$V$1001,0),0), INDEX($AC$1004:$AS$1004,1,MATCH(COLUMNS($AC$1006:AN1006),$AC$1006:$AS$1006,0)))),"Fix")))</f>
        <v xml:space="preserve"> </v>
      </c>
      <c r="N650" s="4" t="str">
        <f ca="1">IF(OR(INDEX($W$2:$W$1001,MATCH(ROWS($V$2:V650),$V$2:$V$1001,0),1)&gt;=100000,INDEX($AC$1005:$AS$1005,1,MATCH(COLUMNS($AC$1006:AO1006),$AC$1006:$AS$1006,0))&gt;=100000), " ",IF(INDEX($AC$2:$AS$1001,MATCH(ROWS($V$2:V650),$V$2:$V$1001,0),MATCH(COLUMNS($AC$1006:AO1006),$AC$1006:$AS$1006,0)), HYPERLINK("#",""), HYPERLINK(CONCATENATE("#metadata!", ADDRESS(INDEX($X$2:$X$1001,MATCH(ROWS($V$2:V650),$V$2:$V$1001,0),0), INDEX($AC$1004:$AS$1004,1,MATCH(COLUMNS($AC$1006:AO1006),$AC$1006:$AS$1006,0)))),"Fix")))</f>
        <v xml:space="preserve"> </v>
      </c>
      <c r="O650" s="4" t="str">
        <f ca="1">IF(OR(INDEX($W$2:$W$1001,MATCH(ROWS($V$2:V650),$V$2:$V$1001,0),1)&gt;=100000,INDEX($AC$1005:$AS$1005,1,MATCH(COLUMNS($AC$1006:AP1006),$AC$1006:$AS$1006,0))&gt;=100000), " ",IF(INDEX($AC$2:$AS$1001,MATCH(ROWS($V$2:V650),$V$2:$V$1001,0),MATCH(COLUMNS($AC$1006:AP1006),$AC$1006:$AS$1006,0)), HYPERLINK("#",""), HYPERLINK(CONCATENATE("#metadata!", ADDRESS(INDEX($X$2:$X$1001,MATCH(ROWS($V$2:V650),$V$2:$V$1001,0),0), INDEX($AC$1004:$AS$1004,1,MATCH(COLUMNS($AC$1006:AP1006),$AC$1006:$AS$1006,0)))),"Fix")))</f>
        <v xml:space="preserve"> </v>
      </c>
      <c r="P650" s="4" t="str">
        <f ca="1">IF(OR(INDEX($W$2:$W$1001,MATCH(ROWS($V$2:V650),$V$2:$V$1001,0),1)&gt;=100000,INDEX($AC$1005:$AS$1005,1,MATCH(COLUMNS($AC$1006:AQ1006),$AC$1006:$AS$1006,0))&gt;=100000), " ",IF(INDEX($AC$2:$AS$1001,MATCH(ROWS($V$2:V650),$V$2:$V$1001,0),MATCH(COLUMNS($AC$1006:AQ1006),$AC$1006:$AS$1006,0)), HYPERLINK("#",""), HYPERLINK(CONCATENATE("#metadata!", ADDRESS(INDEX($X$2:$X$1001,MATCH(ROWS($V$2:V650),$V$2:$V$1001,0),0), INDEX($AC$1004:$AS$1004,1,MATCH(COLUMNS($AC$1006:AQ1006),$AC$1006:$AS$1006,0)))),"Fix")))</f>
        <v xml:space="preserve"> </v>
      </c>
      <c r="Q650" s="4" t="str">
        <f ca="1">IF(OR(INDEX($W$2:$W$1001,MATCH(ROWS($V$2:V650),$V$2:$V$1001,0),1)&gt;=100000,INDEX($AC$1005:$AS$1005,1,MATCH(COLUMNS($AC$1006:AR1006),$AC$1006:$AS$1006,0))&gt;=100000), " ",IF(INDEX($AC$2:$AS$1001,MATCH(ROWS($V$2:V650),$V$2:$V$1001,0),MATCH(COLUMNS($AC$1006:AR1006),$AC$1006:$AS$1006,0)), HYPERLINK("#",""), HYPERLINK(CONCATENATE("#metadata!", ADDRESS(INDEX($X$2:$X$1001,MATCH(ROWS($V$2:V650),$V$2:$V$1001,0),0), INDEX($AC$1004:$AS$1004,1,MATCH(COLUMNS($AC$1006:AR1006),$AC$1006:$AS$1006,0)))),"Fix")))</f>
        <v xml:space="preserve"> </v>
      </c>
      <c r="R650" s="4" t="str">
        <f ca="1">IF(OR(INDEX($W$2:$W$1001,MATCH(ROWS($V$2:V650),$V$2:$V$1001,0),1)&gt;=100000,INDEX($AC$1005:$AS$1005,1,MATCH(COLUMNS($AC$1006:AS1006),$AC$1006:$AS$1006,0))&gt;=100000), " ",IF(INDEX($AC$2:$AS$1001,MATCH(ROWS($V$2:V650),$V$2:$V$1001,0),MATCH(COLUMNS($AC$1006:AS1006),$AC$1006:$AS$1006,0)), HYPERLINK("#",""), HYPERLINK(CONCATENATE("#metadata!", ADDRESS(INDEX($X$2:$X$1001,MATCH(ROWS($V$2:V650),$V$2:$V$1001,0),0), INDEX($AC$1004:$AS$1004,1,MATCH(COLUMNS($AC$1006:AS1006),$AC$1006:$AS$1006,0)))),"Fix")))</f>
        <v xml:space="preserve"> </v>
      </c>
      <c r="V650">
        <v>649</v>
      </c>
      <c r="W650">
        <v>100650</v>
      </c>
      <c r="X650">
        <v>650</v>
      </c>
      <c r="Y650" t="b">
        <f t="shared" si="10"/>
        <v>1</v>
      </c>
      <c r="Z650" t="b">
        <f>COUNTBLANK(metadata!B650:R650)=COLUMNS(metadata!B650:R650)</f>
        <v>1</v>
      </c>
      <c r="AA650" t="str">
        <v/>
      </c>
      <c r="AC650" t="b">
        <f ca="1"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AD650" t="b">
        <f>IF(metadata!C650="",FALSE,ISNUMBER(VALUE(metadata!C650)))</f>
        <v>0</v>
      </c>
      <c r="AE650" t="b">
        <f>AND(IF(metadata!D650="",FALSE,TRUE),EXACT(metadata!D650,"years"))</f>
        <v>0</v>
      </c>
      <c r="AF650" t="b">
        <f>OR(AND(IF(metadata!E650="",FALSE,TRUE),OR(EXACT(metadata!E650,"not applicable"),EXACT(metadata!E650,"missing: not collected"),EXACT(metadata!E650,"missing: not provided"),EXACT(metadata!E650,"missing: restricted access"))),AND(IF(metadata!E650="",FALSE,ISNUMBER(VALUE(metadata!E650))),metadata!E650&gt;0))</f>
        <v>0</v>
      </c>
      <c r="AG650" t="b">
        <f>AND(IF(metadata!F650="",FALSE,TRUE),EXACT(metadata!F650,"Not applicable"))</f>
        <v>0</v>
      </c>
      <c r="AH650" t="b">
        <f>AND(IF(metadata!G650="",FALSE,TRUE),EXACT(metadata!G650,"urban biome"))</f>
        <v>0</v>
      </c>
      <c r="AI650" t="b">
        <f>AND(IF(metadata!H650="",FALSE,TRUE),EXACT(metadata!H650,"human-associated habitat"))</f>
        <v>0</v>
      </c>
      <c r="AJ650" t="b">
        <f>AND(IF(metadata!I650="",FALSE,TRUE),OR(EXACT(metadata!I650,"human-associated"),EXACT(metadata!I650,"human-skin"),EXACT(metadata!I650,"human-oral"),EXACT(metadata!I650,"human-gut"),EXACT(metadata!I650,"human-vaginal")))</f>
        <v>0</v>
      </c>
      <c r="AK650" t="b">
        <f>IF(metadata!J650="",FALSE,ISNUMBER(VALUE(metadata!J650)))</f>
        <v>0</v>
      </c>
      <c r="AL650" t="b">
        <f>AND(IF(metadata!K650="",FALSE,TRUE),EXACT(metadata!K650,"cm"))</f>
        <v>0</v>
      </c>
      <c r="AM650" t="b">
        <f>AND(IF(metadata!L650="",FALSE,TRUE),EXACT(metadata!L650,"human"))</f>
        <v>0</v>
      </c>
      <c r="AN650" t="b">
        <f>AND(IF(metadata!M650="",FALSE,TRUE),EXACT(metadata!M650,"Homo sapiens"))</f>
        <v>0</v>
      </c>
      <c r="AO650" t="b">
        <f>AND(IF(metadata!N650="",FALSE,TRUE),EXACT(metadata!N650,"9606"))</f>
        <v>0</v>
      </c>
      <c r="AP650" t="b">
        <f>IF(metadata!O650="",FALSE,TRUE)</f>
        <v>0</v>
      </c>
      <c r="AQ650" t="b">
        <f>IF(metadata!P650="",FALSE,TRUE)</f>
        <v>0</v>
      </c>
      <c r="AR650" t="b">
        <f>IF(metadata!Q650="",FALSE,ISNUMBER(VALUE(metadata!Q650)))</f>
        <v>0</v>
      </c>
      <c r="AS650" t="b">
        <f>AND(IF(metadata!R650="",FALSE,TRUE),EXACT(metadata!R650,"kg"))</f>
        <v>0</v>
      </c>
    </row>
    <row r="651" spans="1:45" x14ac:dyDescent="0.2">
      <c r="A651" s="5" t="str">
        <f ca="1">IF(B651=" "," ",HYPERLINK(CONCATENATE("#metadata!",ADDRESS(INDEX($X$2:$X$1001,MATCH(ROWS($V$2:V651),$V$2:$V$1001,0),0),1)),INDEX($AA$2:$AA$1001,MATCH(ROWS($V$2:V651),$V$2:$V$1001,0),0)))</f>
        <v xml:space="preserve"> </v>
      </c>
      <c r="B651" s="4" t="str">
        <f ca="1">IF(OR(INDEX($W$2:$W$1001,MATCH(ROWS($V$2:V651),$V$2:$V$1001,0),1)&gt;=100000,INDEX($AC$1005:$AS$1005,1,MATCH(COLUMNS($AC$1006:AC1006),$AC$1006:$AS$1006,0))&gt;=100000), " ",IF(INDEX($AC$2:$AS$1001,MATCH(ROWS($V$2:V651),$V$2:$V$1001,0),MATCH(COLUMNS($AC$1006:AC1006),$AC$1006:$AS$1006,0)), HYPERLINK("#",""), HYPERLINK(CONCATENATE("#metadata!", ADDRESS(INDEX($X$2:$X$1001,MATCH(ROWS($V$2:V651),$V$2:$V$1001,0),0), INDEX($AC$1004:$AS$1004,1,MATCH(COLUMNS($AC$1006:AC1006),$AC$1006:$AS$1006,0)))),"Fix")))</f>
        <v xml:space="preserve"> </v>
      </c>
      <c r="C651" s="4" t="str">
        <f ca="1">IF(OR(INDEX($W$2:$W$1001,MATCH(ROWS($V$2:V651),$V$2:$V$1001,0),1)&gt;=100000,INDEX($AC$1005:$AS$1005,1,MATCH(COLUMNS($AC$1006:AD1006),$AC$1006:$AS$1006,0))&gt;=100000), " ",IF(INDEX($AC$2:$AS$1001,MATCH(ROWS($V$2:V651),$V$2:$V$1001,0),MATCH(COLUMNS($AC$1006:AD1006),$AC$1006:$AS$1006,0)), HYPERLINK("#",""), HYPERLINK(CONCATENATE("#metadata!", ADDRESS(INDEX($X$2:$X$1001,MATCH(ROWS($V$2:V651),$V$2:$V$1001,0),0), INDEX($AC$1004:$AS$1004,1,MATCH(COLUMNS($AC$1006:AD1006),$AC$1006:$AS$1006,0)))),"Fix")))</f>
        <v xml:space="preserve"> </v>
      </c>
      <c r="D651" s="4" t="str">
        <f ca="1">IF(OR(INDEX($W$2:$W$1001,MATCH(ROWS($V$2:V651),$V$2:$V$1001,0),1)&gt;=100000,INDEX($AC$1005:$AS$1005,1,MATCH(COLUMNS($AC$1006:AE1006),$AC$1006:$AS$1006,0))&gt;=100000), " ",IF(INDEX($AC$2:$AS$1001,MATCH(ROWS($V$2:V651),$V$2:$V$1001,0),MATCH(COLUMNS($AC$1006:AE1006),$AC$1006:$AS$1006,0)), HYPERLINK("#",""), HYPERLINK(CONCATENATE("#metadata!", ADDRESS(INDEX($X$2:$X$1001,MATCH(ROWS($V$2:V651),$V$2:$V$1001,0),0), INDEX($AC$1004:$AS$1004,1,MATCH(COLUMNS($AC$1006:AE1006),$AC$1006:$AS$1006,0)))),"Fix")))</f>
        <v xml:space="preserve"> </v>
      </c>
      <c r="E651" s="4" t="str">
        <f ca="1">IF(OR(INDEX($W$2:$W$1001,MATCH(ROWS($V$2:V651),$V$2:$V$1001,0),1)&gt;=100000,INDEX($AC$1005:$AS$1005,1,MATCH(COLUMNS($AC$1006:AF1006),$AC$1006:$AS$1006,0))&gt;=100000), " ",IF(INDEX($AC$2:$AS$1001,MATCH(ROWS($V$2:V651),$V$2:$V$1001,0),MATCH(COLUMNS($AC$1006:AF1006),$AC$1006:$AS$1006,0)), HYPERLINK("#",""), HYPERLINK(CONCATENATE("#metadata!", ADDRESS(INDEX($X$2:$X$1001,MATCH(ROWS($V$2:V651),$V$2:$V$1001,0),0), INDEX($AC$1004:$AS$1004,1,MATCH(COLUMNS($AC$1006:AF1006),$AC$1006:$AS$1006,0)))),"Fix")))</f>
        <v xml:space="preserve"> </v>
      </c>
      <c r="F651" s="4" t="str">
        <f ca="1">IF(OR(INDEX($W$2:$W$1001,MATCH(ROWS($V$2:V651),$V$2:$V$1001,0),1)&gt;=100000,INDEX($AC$1005:$AS$1005,1,MATCH(COLUMNS($AC$1006:AG1006),$AC$1006:$AS$1006,0))&gt;=100000), " ",IF(INDEX($AC$2:$AS$1001,MATCH(ROWS($V$2:V651),$V$2:$V$1001,0),MATCH(COLUMNS($AC$1006:AG1006),$AC$1006:$AS$1006,0)), HYPERLINK("#",""), HYPERLINK(CONCATENATE("#metadata!", ADDRESS(INDEX($X$2:$X$1001,MATCH(ROWS($V$2:V651),$V$2:$V$1001,0),0), INDEX($AC$1004:$AS$1004,1,MATCH(COLUMNS($AC$1006:AG1006),$AC$1006:$AS$1006,0)))),"Fix")))</f>
        <v xml:space="preserve"> </v>
      </c>
      <c r="G651" s="4" t="str">
        <f ca="1">IF(OR(INDEX($W$2:$W$1001,MATCH(ROWS($V$2:V651),$V$2:$V$1001,0),1)&gt;=100000,INDEX($AC$1005:$AS$1005,1,MATCH(COLUMNS($AC$1006:AH1006),$AC$1006:$AS$1006,0))&gt;=100000), " ",IF(INDEX($AC$2:$AS$1001,MATCH(ROWS($V$2:V651),$V$2:$V$1001,0),MATCH(COLUMNS($AC$1006:AH1006),$AC$1006:$AS$1006,0)), HYPERLINK("#",""), HYPERLINK(CONCATENATE("#metadata!", ADDRESS(INDEX($X$2:$X$1001,MATCH(ROWS($V$2:V651),$V$2:$V$1001,0),0), INDEX($AC$1004:$AS$1004,1,MATCH(COLUMNS($AC$1006:AH1006),$AC$1006:$AS$1006,0)))),"Fix")))</f>
        <v xml:space="preserve"> </v>
      </c>
      <c r="H651" s="4" t="str">
        <f ca="1">IF(OR(INDEX($W$2:$W$1001,MATCH(ROWS($V$2:V651),$V$2:$V$1001,0),1)&gt;=100000,INDEX($AC$1005:$AS$1005,1,MATCH(COLUMNS($AC$1006:AI1006),$AC$1006:$AS$1006,0))&gt;=100000), " ",IF(INDEX($AC$2:$AS$1001,MATCH(ROWS($V$2:V651),$V$2:$V$1001,0),MATCH(COLUMNS($AC$1006:AI1006),$AC$1006:$AS$1006,0)), HYPERLINK("#",""), HYPERLINK(CONCATENATE("#metadata!", ADDRESS(INDEX($X$2:$X$1001,MATCH(ROWS($V$2:V651),$V$2:$V$1001,0),0), INDEX($AC$1004:$AS$1004,1,MATCH(COLUMNS($AC$1006:AI1006),$AC$1006:$AS$1006,0)))),"Fix")))</f>
        <v xml:space="preserve"> </v>
      </c>
      <c r="I651" s="4" t="str">
        <f ca="1">IF(OR(INDEX($W$2:$W$1001,MATCH(ROWS($V$2:V651),$V$2:$V$1001,0),1)&gt;=100000,INDEX($AC$1005:$AS$1005,1,MATCH(COLUMNS($AC$1006:AJ1006),$AC$1006:$AS$1006,0))&gt;=100000), " ",IF(INDEX($AC$2:$AS$1001,MATCH(ROWS($V$2:V651),$V$2:$V$1001,0),MATCH(COLUMNS($AC$1006:AJ1006),$AC$1006:$AS$1006,0)), HYPERLINK("#",""), HYPERLINK(CONCATENATE("#metadata!", ADDRESS(INDEX($X$2:$X$1001,MATCH(ROWS($V$2:V651),$V$2:$V$1001,0),0), INDEX($AC$1004:$AS$1004,1,MATCH(COLUMNS($AC$1006:AJ1006),$AC$1006:$AS$1006,0)))),"Fix")))</f>
        <v xml:space="preserve"> </v>
      </c>
      <c r="J651" s="4" t="str">
        <f ca="1">IF(OR(INDEX($W$2:$W$1001,MATCH(ROWS($V$2:V651),$V$2:$V$1001,0),1)&gt;=100000,INDEX($AC$1005:$AS$1005,1,MATCH(COLUMNS($AC$1006:AK1006),$AC$1006:$AS$1006,0))&gt;=100000), " ",IF(INDEX($AC$2:$AS$1001,MATCH(ROWS($V$2:V651),$V$2:$V$1001,0),MATCH(COLUMNS($AC$1006:AK1006),$AC$1006:$AS$1006,0)), HYPERLINK("#",""), HYPERLINK(CONCATENATE("#metadata!", ADDRESS(INDEX($X$2:$X$1001,MATCH(ROWS($V$2:V651),$V$2:$V$1001,0),0), INDEX($AC$1004:$AS$1004,1,MATCH(COLUMNS($AC$1006:AK1006),$AC$1006:$AS$1006,0)))),"Fix")))</f>
        <v xml:space="preserve"> </v>
      </c>
      <c r="K651" s="4" t="str">
        <f ca="1">IF(OR(INDEX($W$2:$W$1001,MATCH(ROWS($V$2:V651),$V$2:$V$1001,0),1)&gt;=100000,INDEX($AC$1005:$AS$1005,1,MATCH(COLUMNS($AC$1006:AL1006),$AC$1006:$AS$1006,0))&gt;=100000), " ",IF(INDEX($AC$2:$AS$1001,MATCH(ROWS($V$2:V651),$V$2:$V$1001,0),MATCH(COLUMNS($AC$1006:AL1006),$AC$1006:$AS$1006,0)), HYPERLINK("#",""), HYPERLINK(CONCATENATE("#metadata!", ADDRESS(INDEX($X$2:$X$1001,MATCH(ROWS($V$2:V651),$V$2:$V$1001,0),0), INDEX($AC$1004:$AS$1004,1,MATCH(COLUMNS($AC$1006:AL1006),$AC$1006:$AS$1006,0)))),"Fix")))</f>
        <v xml:space="preserve"> </v>
      </c>
      <c r="L651" s="4" t="str">
        <f ca="1">IF(OR(INDEX($W$2:$W$1001,MATCH(ROWS($V$2:V651),$V$2:$V$1001,0),1)&gt;=100000,INDEX($AC$1005:$AS$1005,1,MATCH(COLUMNS($AC$1006:AM1006),$AC$1006:$AS$1006,0))&gt;=100000), " ",IF(INDEX($AC$2:$AS$1001,MATCH(ROWS($V$2:V651),$V$2:$V$1001,0),MATCH(COLUMNS($AC$1006:AM1006),$AC$1006:$AS$1006,0)), HYPERLINK("#",""), HYPERLINK(CONCATENATE("#metadata!", ADDRESS(INDEX($X$2:$X$1001,MATCH(ROWS($V$2:V651),$V$2:$V$1001,0),0), INDEX($AC$1004:$AS$1004,1,MATCH(COLUMNS($AC$1006:AM1006),$AC$1006:$AS$1006,0)))),"Fix")))</f>
        <v xml:space="preserve"> </v>
      </c>
      <c r="M651" s="4" t="str">
        <f ca="1">IF(OR(INDEX($W$2:$W$1001,MATCH(ROWS($V$2:V651),$V$2:$V$1001,0),1)&gt;=100000,INDEX($AC$1005:$AS$1005,1,MATCH(COLUMNS($AC$1006:AN1006),$AC$1006:$AS$1006,0))&gt;=100000), " ",IF(INDEX($AC$2:$AS$1001,MATCH(ROWS($V$2:V651),$V$2:$V$1001,0),MATCH(COLUMNS($AC$1006:AN1006),$AC$1006:$AS$1006,0)), HYPERLINK("#",""), HYPERLINK(CONCATENATE("#metadata!", ADDRESS(INDEX($X$2:$X$1001,MATCH(ROWS($V$2:V651),$V$2:$V$1001,0),0), INDEX($AC$1004:$AS$1004,1,MATCH(COLUMNS($AC$1006:AN1006),$AC$1006:$AS$1006,0)))),"Fix")))</f>
        <v xml:space="preserve"> </v>
      </c>
      <c r="N651" s="4" t="str">
        <f ca="1">IF(OR(INDEX($W$2:$W$1001,MATCH(ROWS($V$2:V651),$V$2:$V$1001,0),1)&gt;=100000,INDEX($AC$1005:$AS$1005,1,MATCH(COLUMNS($AC$1006:AO1006),$AC$1006:$AS$1006,0))&gt;=100000), " ",IF(INDEX($AC$2:$AS$1001,MATCH(ROWS($V$2:V651),$V$2:$V$1001,0),MATCH(COLUMNS($AC$1006:AO1006),$AC$1006:$AS$1006,0)), HYPERLINK("#",""), HYPERLINK(CONCATENATE("#metadata!", ADDRESS(INDEX($X$2:$X$1001,MATCH(ROWS($V$2:V651),$V$2:$V$1001,0),0), INDEX($AC$1004:$AS$1004,1,MATCH(COLUMNS($AC$1006:AO1006),$AC$1006:$AS$1006,0)))),"Fix")))</f>
        <v xml:space="preserve"> </v>
      </c>
      <c r="O651" s="4" t="str">
        <f ca="1">IF(OR(INDEX($W$2:$W$1001,MATCH(ROWS($V$2:V651),$V$2:$V$1001,0),1)&gt;=100000,INDEX($AC$1005:$AS$1005,1,MATCH(COLUMNS($AC$1006:AP1006),$AC$1006:$AS$1006,0))&gt;=100000), " ",IF(INDEX($AC$2:$AS$1001,MATCH(ROWS($V$2:V651),$V$2:$V$1001,0),MATCH(COLUMNS($AC$1006:AP1006),$AC$1006:$AS$1006,0)), HYPERLINK("#",""), HYPERLINK(CONCATENATE("#metadata!", ADDRESS(INDEX($X$2:$X$1001,MATCH(ROWS($V$2:V651),$V$2:$V$1001,0),0), INDEX($AC$1004:$AS$1004,1,MATCH(COLUMNS($AC$1006:AP1006),$AC$1006:$AS$1006,0)))),"Fix")))</f>
        <v xml:space="preserve"> </v>
      </c>
      <c r="P651" s="4" t="str">
        <f ca="1">IF(OR(INDEX($W$2:$W$1001,MATCH(ROWS($V$2:V651),$V$2:$V$1001,0),1)&gt;=100000,INDEX($AC$1005:$AS$1005,1,MATCH(COLUMNS($AC$1006:AQ1006),$AC$1006:$AS$1006,0))&gt;=100000), " ",IF(INDEX($AC$2:$AS$1001,MATCH(ROWS($V$2:V651),$V$2:$V$1001,0),MATCH(COLUMNS($AC$1006:AQ1006),$AC$1006:$AS$1006,0)), HYPERLINK("#",""), HYPERLINK(CONCATENATE("#metadata!", ADDRESS(INDEX($X$2:$X$1001,MATCH(ROWS($V$2:V651),$V$2:$V$1001,0),0), INDEX($AC$1004:$AS$1004,1,MATCH(COLUMNS($AC$1006:AQ1006),$AC$1006:$AS$1006,0)))),"Fix")))</f>
        <v xml:space="preserve"> </v>
      </c>
      <c r="Q651" s="4" t="str">
        <f ca="1">IF(OR(INDEX($W$2:$W$1001,MATCH(ROWS($V$2:V651),$V$2:$V$1001,0),1)&gt;=100000,INDEX($AC$1005:$AS$1005,1,MATCH(COLUMNS($AC$1006:AR1006),$AC$1006:$AS$1006,0))&gt;=100000), " ",IF(INDEX($AC$2:$AS$1001,MATCH(ROWS($V$2:V651),$V$2:$V$1001,0),MATCH(COLUMNS($AC$1006:AR1006),$AC$1006:$AS$1006,0)), HYPERLINK("#",""), HYPERLINK(CONCATENATE("#metadata!", ADDRESS(INDEX($X$2:$X$1001,MATCH(ROWS($V$2:V651),$V$2:$V$1001,0),0), INDEX($AC$1004:$AS$1004,1,MATCH(COLUMNS($AC$1006:AR1006),$AC$1006:$AS$1006,0)))),"Fix")))</f>
        <v xml:space="preserve"> </v>
      </c>
      <c r="R651" s="4" t="str">
        <f ca="1">IF(OR(INDEX($W$2:$W$1001,MATCH(ROWS($V$2:V651),$V$2:$V$1001,0),1)&gt;=100000,INDEX($AC$1005:$AS$1005,1,MATCH(COLUMNS($AC$1006:AS1006),$AC$1006:$AS$1006,0))&gt;=100000), " ",IF(INDEX($AC$2:$AS$1001,MATCH(ROWS($V$2:V651),$V$2:$V$1001,0),MATCH(COLUMNS($AC$1006:AS1006),$AC$1006:$AS$1006,0)), HYPERLINK("#",""), HYPERLINK(CONCATENATE("#metadata!", ADDRESS(INDEX($X$2:$X$1001,MATCH(ROWS($V$2:V651),$V$2:$V$1001,0),0), INDEX($AC$1004:$AS$1004,1,MATCH(COLUMNS($AC$1006:AS1006),$AC$1006:$AS$1006,0)))),"Fix")))</f>
        <v xml:space="preserve"> </v>
      </c>
      <c r="V651">
        <v>650</v>
      </c>
      <c r="W651">
        <v>100651</v>
      </c>
      <c r="X651">
        <v>651</v>
      </c>
      <c r="Y651" t="b">
        <f t="shared" si="10"/>
        <v>1</v>
      </c>
      <c r="Z651" t="b">
        <f>COUNTBLANK(metadata!B651:R651)=COLUMNS(metadata!B651:R651)</f>
        <v>1</v>
      </c>
      <c r="AA651" t="str">
        <v/>
      </c>
      <c r="AC651" t="b">
        <f ca="1"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AD651" t="b">
        <f>IF(metadata!C651="",FALSE,ISNUMBER(VALUE(metadata!C651)))</f>
        <v>0</v>
      </c>
      <c r="AE651" t="b">
        <f>AND(IF(metadata!D651="",FALSE,TRUE),EXACT(metadata!D651,"years"))</f>
        <v>0</v>
      </c>
      <c r="AF651" t="b">
        <f>OR(AND(IF(metadata!E651="",FALSE,TRUE),OR(EXACT(metadata!E651,"not applicable"),EXACT(metadata!E651,"missing: not collected"),EXACT(metadata!E651,"missing: not provided"),EXACT(metadata!E651,"missing: restricted access"))),AND(IF(metadata!E651="",FALSE,ISNUMBER(VALUE(metadata!E651))),metadata!E651&gt;0))</f>
        <v>0</v>
      </c>
      <c r="AG651" t="b">
        <f>AND(IF(metadata!F651="",FALSE,TRUE),EXACT(metadata!F651,"Not applicable"))</f>
        <v>0</v>
      </c>
      <c r="AH651" t="b">
        <f>AND(IF(metadata!G651="",FALSE,TRUE),EXACT(metadata!G651,"urban biome"))</f>
        <v>0</v>
      </c>
      <c r="AI651" t="b">
        <f>AND(IF(metadata!H651="",FALSE,TRUE),EXACT(metadata!H651,"human-associated habitat"))</f>
        <v>0</v>
      </c>
      <c r="AJ651" t="b">
        <f>AND(IF(metadata!I651="",FALSE,TRUE),OR(EXACT(metadata!I651,"human-associated"),EXACT(metadata!I651,"human-skin"),EXACT(metadata!I651,"human-oral"),EXACT(metadata!I651,"human-gut"),EXACT(metadata!I651,"human-vaginal")))</f>
        <v>0</v>
      </c>
      <c r="AK651" t="b">
        <f>IF(metadata!J651="",FALSE,ISNUMBER(VALUE(metadata!J651)))</f>
        <v>0</v>
      </c>
      <c r="AL651" t="b">
        <f>AND(IF(metadata!K651="",FALSE,TRUE),EXACT(metadata!K651,"cm"))</f>
        <v>0</v>
      </c>
      <c r="AM651" t="b">
        <f>AND(IF(metadata!L651="",FALSE,TRUE),EXACT(metadata!L651,"human"))</f>
        <v>0</v>
      </c>
      <c r="AN651" t="b">
        <f>AND(IF(metadata!M651="",FALSE,TRUE),EXACT(metadata!M651,"Homo sapiens"))</f>
        <v>0</v>
      </c>
      <c r="AO651" t="b">
        <f>AND(IF(metadata!N651="",FALSE,TRUE),EXACT(metadata!N651,"9606"))</f>
        <v>0</v>
      </c>
      <c r="AP651" t="b">
        <f>IF(metadata!O651="",FALSE,TRUE)</f>
        <v>0</v>
      </c>
      <c r="AQ651" t="b">
        <f>IF(metadata!P651="",FALSE,TRUE)</f>
        <v>0</v>
      </c>
      <c r="AR651" t="b">
        <f>IF(metadata!Q651="",FALSE,ISNUMBER(VALUE(metadata!Q651)))</f>
        <v>0</v>
      </c>
      <c r="AS651" t="b">
        <f>AND(IF(metadata!R651="",FALSE,TRUE),EXACT(metadata!R651,"kg"))</f>
        <v>0</v>
      </c>
    </row>
    <row r="652" spans="1:45" x14ac:dyDescent="0.2">
      <c r="A652" s="5" t="str">
        <f ca="1">IF(B652=" "," ",HYPERLINK(CONCATENATE("#metadata!",ADDRESS(INDEX($X$2:$X$1001,MATCH(ROWS($V$2:V652),$V$2:$V$1001,0),0),1)),INDEX($AA$2:$AA$1001,MATCH(ROWS($V$2:V652),$V$2:$V$1001,0),0)))</f>
        <v xml:space="preserve"> </v>
      </c>
      <c r="B652" s="4" t="str">
        <f ca="1">IF(OR(INDEX($W$2:$W$1001,MATCH(ROWS($V$2:V652),$V$2:$V$1001,0),1)&gt;=100000,INDEX($AC$1005:$AS$1005,1,MATCH(COLUMNS($AC$1006:AC1006),$AC$1006:$AS$1006,0))&gt;=100000), " ",IF(INDEX($AC$2:$AS$1001,MATCH(ROWS($V$2:V652),$V$2:$V$1001,0),MATCH(COLUMNS($AC$1006:AC1006),$AC$1006:$AS$1006,0)), HYPERLINK("#",""), HYPERLINK(CONCATENATE("#metadata!", ADDRESS(INDEX($X$2:$X$1001,MATCH(ROWS($V$2:V652),$V$2:$V$1001,0),0), INDEX($AC$1004:$AS$1004,1,MATCH(COLUMNS($AC$1006:AC1006),$AC$1006:$AS$1006,0)))),"Fix")))</f>
        <v xml:space="preserve"> </v>
      </c>
      <c r="C652" s="4" t="str">
        <f ca="1">IF(OR(INDEX($W$2:$W$1001,MATCH(ROWS($V$2:V652),$V$2:$V$1001,0),1)&gt;=100000,INDEX($AC$1005:$AS$1005,1,MATCH(COLUMNS($AC$1006:AD1006),$AC$1006:$AS$1006,0))&gt;=100000), " ",IF(INDEX($AC$2:$AS$1001,MATCH(ROWS($V$2:V652),$V$2:$V$1001,0),MATCH(COLUMNS($AC$1006:AD1006),$AC$1006:$AS$1006,0)), HYPERLINK("#",""), HYPERLINK(CONCATENATE("#metadata!", ADDRESS(INDEX($X$2:$X$1001,MATCH(ROWS($V$2:V652),$V$2:$V$1001,0),0), INDEX($AC$1004:$AS$1004,1,MATCH(COLUMNS($AC$1006:AD1006),$AC$1006:$AS$1006,0)))),"Fix")))</f>
        <v xml:space="preserve"> </v>
      </c>
      <c r="D652" s="4" t="str">
        <f ca="1">IF(OR(INDEX($W$2:$W$1001,MATCH(ROWS($V$2:V652),$V$2:$V$1001,0),1)&gt;=100000,INDEX($AC$1005:$AS$1005,1,MATCH(COLUMNS($AC$1006:AE1006),$AC$1006:$AS$1006,0))&gt;=100000), " ",IF(INDEX($AC$2:$AS$1001,MATCH(ROWS($V$2:V652),$V$2:$V$1001,0),MATCH(COLUMNS($AC$1006:AE1006),$AC$1006:$AS$1006,0)), HYPERLINK("#",""), HYPERLINK(CONCATENATE("#metadata!", ADDRESS(INDEX($X$2:$X$1001,MATCH(ROWS($V$2:V652),$V$2:$V$1001,0),0), INDEX($AC$1004:$AS$1004,1,MATCH(COLUMNS($AC$1006:AE1006),$AC$1006:$AS$1006,0)))),"Fix")))</f>
        <v xml:space="preserve"> </v>
      </c>
      <c r="E652" s="4" t="str">
        <f ca="1">IF(OR(INDEX($W$2:$W$1001,MATCH(ROWS($V$2:V652),$V$2:$V$1001,0),1)&gt;=100000,INDEX($AC$1005:$AS$1005,1,MATCH(COLUMNS($AC$1006:AF1006),$AC$1006:$AS$1006,0))&gt;=100000), " ",IF(INDEX($AC$2:$AS$1001,MATCH(ROWS($V$2:V652),$V$2:$V$1001,0),MATCH(COLUMNS($AC$1006:AF1006),$AC$1006:$AS$1006,0)), HYPERLINK("#",""), HYPERLINK(CONCATENATE("#metadata!", ADDRESS(INDEX($X$2:$X$1001,MATCH(ROWS($V$2:V652),$V$2:$V$1001,0),0), INDEX($AC$1004:$AS$1004,1,MATCH(COLUMNS($AC$1006:AF1006),$AC$1006:$AS$1006,0)))),"Fix")))</f>
        <v xml:space="preserve"> </v>
      </c>
      <c r="F652" s="4" t="str">
        <f ca="1">IF(OR(INDEX($W$2:$W$1001,MATCH(ROWS($V$2:V652),$V$2:$V$1001,0),1)&gt;=100000,INDEX($AC$1005:$AS$1005,1,MATCH(COLUMNS($AC$1006:AG1006),$AC$1006:$AS$1006,0))&gt;=100000), " ",IF(INDEX($AC$2:$AS$1001,MATCH(ROWS($V$2:V652),$V$2:$V$1001,0),MATCH(COLUMNS($AC$1006:AG1006),$AC$1006:$AS$1006,0)), HYPERLINK("#",""), HYPERLINK(CONCATENATE("#metadata!", ADDRESS(INDEX($X$2:$X$1001,MATCH(ROWS($V$2:V652),$V$2:$V$1001,0),0), INDEX($AC$1004:$AS$1004,1,MATCH(COLUMNS($AC$1006:AG1006),$AC$1006:$AS$1006,0)))),"Fix")))</f>
        <v xml:space="preserve"> </v>
      </c>
      <c r="G652" s="4" t="str">
        <f ca="1">IF(OR(INDEX($W$2:$W$1001,MATCH(ROWS($V$2:V652),$V$2:$V$1001,0),1)&gt;=100000,INDEX($AC$1005:$AS$1005,1,MATCH(COLUMNS($AC$1006:AH1006),$AC$1006:$AS$1006,0))&gt;=100000), " ",IF(INDEX($AC$2:$AS$1001,MATCH(ROWS($V$2:V652),$V$2:$V$1001,0),MATCH(COLUMNS($AC$1006:AH1006),$AC$1006:$AS$1006,0)), HYPERLINK("#",""), HYPERLINK(CONCATENATE("#metadata!", ADDRESS(INDEX($X$2:$X$1001,MATCH(ROWS($V$2:V652),$V$2:$V$1001,0),0), INDEX($AC$1004:$AS$1004,1,MATCH(COLUMNS($AC$1006:AH1006),$AC$1006:$AS$1006,0)))),"Fix")))</f>
        <v xml:space="preserve"> </v>
      </c>
      <c r="H652" s="4" t="str">
        <f ca="1">IF(OR(INDEX($W$2:$W$1001,MATCH(ROWS($V$2:V652),$V$2:$V$1001,0),1)&gt;=100000,INDEX($AC$1005:$AS$1005,1,MATCH(COLUMNS($AC$1006:AI1006),$AC$1006:$AS$1006,0))&gt;=100000), " ",IF(INDEX($AC$2:$AS$1001,MATCH(ROWS($V$2:V652),$V$2:$V$1001,0),MATCH(COLUMNS($AC$1006:AI1006),$AC$1006:$AS$1006,0)), HYPERLINK("#",""), HYPERLINK(CONCATENATE("#metadata!", ADDRESS(INDEX($X$2:$X$1001,MATCH(ROWS($V$2:V652),$V$2:$V$1001,0),0), INDEX($AC$1004:$AS$1004,1,MATCH(COLUMNS($AC$1006:AI1006),$AC$1006:$AS$1006,0)))),"Fix")))</f>
        <v xml:space="preserve"> </v>
      </c>
      <c r="I652" s="4" t="str">
        <f ca="1">IF(OR(INDEX($W$2:$W$1001,MATCH(ROWS($V$2:V652),$V$2:$V$1001,0),1)&gt;=100000,INDEX($AC$1005:$AS$1005,1,MATCH(COLUMNS($AC$1006:AJ1006),$AC$1006:$AS$1006,0))&gt;=100000), " ",IF(INDEX($AC$2:$AS$1001,MATCH(ROWS($V$2:V652),$V$2:$V$1001,0),MATCH(COLUMNS($AC$1006:AJ1006),$AC$1006:$AS$1006,0)), HYPERLINK("#",""), HYPERLINK(CONCATENATE("#metadata!", ADDRESS(INDEX($X$2:$X$1001,MATCH(ROWS($V$2:V652),$V$2:$V$1001,0),0), INDEX($AC$1004:$AS$1004,1,MATCH(COLUMNS($AC$1006:AJ1006),$AC$1006:$AS$1006,0)))),"Fix")))</f>
        <v xml:space="preserve"> </v>
      </c>
      <c r="J652" s="4" t="str">
        <f ca="1">IF(OR(INDEX($W$2:$W$1001,MATCH(ROWS($V$2:V652),$V$2:$V$1001,0),1)&gt;=100000,INDEX($AC$1005:$AS$1005,1,MATCH(COLUMNS($AC$1006:AK1006),$AC$1006:$AS$1006,0))&gt;=100000), " ",IF(INDEX($AC$2:$AS$1001,MATCH(ROWS($V$2:V652),$V$2:$V$1001,0),MATCH(COLUMNS($AC$1006:AK1006),$AC$1006:$AS$1006,0)), HYPERLINK("#",""), HYPERLINK(CONCATENATE("#metadata!", ADDRESS(INDEX($X$2:$X$1001,MATCH(ROWS($V$2:V652),$V$2:$V$1001,0),0), INDEX($AC$1004:$AS$1004,1,MATCH(COLUMNS($AC$1006:AK1006),$AC$1006:$AS$1006,0)))),"Fix")))</f>
        <v xml:space="preserve"> </v>
      </c>
      <c r="K652" s="4" t="str">
        <f ca="1">IF(OR(INDEX($W$2:$W$1001,MATCH(ROWS($V$2:V652),$V$2:$V$1001,0),1)&gt;=100000,INDEX($AC$1005:$AS$1005,1,MATCH(COLUMNS($AC$1006:AL1006),$AC$1006:$AS$1006,0))&gt;=100000), " ",IF(INDEX($AC$2:$AS$1001,MATCH(ROWS($V$2:V652),$V$2:$V$1001,0),MATCH(COLUMNS($AC$1006:AL1006),$AC$1006:$AS$1006,0)), HYPERLINK("#",""), HYPERLINK(CONCATENATE("#metadata!", ADDRESS(INDEX($X$2:$X$1001,MATCH(ROWS($V$2:V652),$V$2:$V$1001,0),0), INDEX($AC$1004:$AS$1004,1,MATCH(COLUMNS($AC$1006:AL1006),$AC$1006:$AS$1006,0)))),"Fix")))</f>
        <v xml:space="preserve"> </v>
      </c>
      <c r="L652" s="4" t="str">
        <f ca="1">IF(OR(INDEX($W$2:$W$1001,MATCH(ROWS($V$2:V652),$V$2:$V$1001,0),1)&gt;=100000,INDEX($AC$1005:$AS$1005,1,MATCH(COLUMNS($AC$1006:AM1006),$AC$1006:$AS$1006,0))&gt;=100000), " ",IF(INDEX($AC$2:$AS$1001,MATCH(ROWS($V$2:V652),$V$2:$V$1001,0),MATCH(COLUMNS($AC$1006:AM1006),$AC$1006:$AS$1006,0)), HYPERLINK("#",""), HYPERLINK(CONCATENATE("#metadata!", ADDRESS(INDEX($X$2:$X$1001,MATCH(ROWS($V$2:V652),$V$2:$V$1001,0),0), INDEX($AC$1004:$AS$1004,1,MATCH(COLUMNS($AC$1006:AM1006),$AC$1006:$AS$1006,0)))),"Fix")))</f>
        <v xml:space="preserve"> </v>
      </c>
      <c r="M652" s="4" t="str">
        <f ca="1">IF(OR(INDEX($W$2:$W$1001,MATCH(ROWS($V$2:V652),$V$2:$V$1001,0),1)&gt;=100000,INDEX($AC$1005:$AS$1005,1,MATCH(COLUMNS($AC$1006:AN1006),$AC$1006:$AS$1006,0))&gt;=100000), " ",IF(INDEX($AC$2:$AS$1001,MATCH(ROWS($V$2:V652),$V$2:$V$1001,0),MATCH(COLUMNS($AC$1006:AN1006),$AC$1006:$AS$1006,0)), HYPERLINK("#",""), HYPERLINK(CONCATENATE("#metadata!", ADDRESS(INDEX($X$2:$X$1001,MATCH(ROWS($V$2:V652),$V$2:$V$1001,0),0), INDEX($AC$1004:$AS$1004,1,MATCH(COLUMNS($AC$1006:AN1006),$AC$1006:$AS$1006,0)))),"Fix")))</f>
        <v xml:space="preserve"> </v>
      </c>
      <c r="N652" s="4" t="str">
        <f ca="1">IF(OR(INDEX($W$2:$W$1001,MATCH(ROWS($V$2:V652),$V$2:$V$1001,0),1)&gt;=100000,INDEX($AC$1005:$AS$1005,1,MATCH(COLUMNS($AC$1006:AO1006),$AC$1006:$AS$1006,0))&gt;=100000), " ",IF(INDEX($AC$2:$AS$1001,MATCH(ROWS($V$2:V652),$V$2:$V$1001,0),MATCH(COLUMNS($AC$1006:AO1006),$AC$1006:$AS$1006,0)), HYPERLINK("#",""), HYPERLINK(CONCATENATE("#metadata!", ADDRESS(INDEX($X$2:$X$1001,MATCH(ROWS($V$2:V652),$V$2:$V$1001,0),0), INDEX($AC$1004:$AS$1004,1,MATCH(COLUMNS($AC$1006:AO1006),$AC$1006:$AS$1006,0)))),"Fix")))</f>
        <v xml:space="preserve"> </v>
      </c>
      <c r="O652" s="4" t="str">
        <f ca="1">IF(OR(INDEX($W$2:$W$1001,MATCH(ROWS($V$2:V652),$V$2:$V$1001,0),1)&gt;=100000,INDEX($AC$1005:$AS$1005,1,MATCH(COLUMNS($AC$1006:AP1006),$AC$1006:$AS$1006,0))&gt;=100000), " ",IF(INDEX($AC$2:$AS$1001,MATCH(ROWS($V$2:V652),$V$2:$V$1001,0),MATCH(COLUMNS($AC$1006:AP1006),$AC$1006:$AS$1006,0)), HYPERLINK("#",""), HYPERLINK(CONCATENATE("#metadata!", ADDRESS(INDEX($X$2:$X$1001,MATCH(ROWS($V$2:V652),$V$2:$V$1001,0),0), INDEX($AC$1004:$AS$1004,1,MATCH(COLUMNS($AC$1006:AP1006),$AC$1006:$AS$1006,0)))),"Fix")))</f>
        <v xml:space="preserve"> </v>
      </c>
      <c r="P652" s="4" t="str">
        <f ca="1">IF(OR(INDEX($W$2:$W$1001,MATCH(ROWS($V$2:V652),$V$2:$V$1001,0),1)&gt;=100000,INDEX($AC$1005:$AS$1005,1,MATCH(COLUMNS($AC$1006:AQ1006),$AC$1006:$AS$1006,0))&gt;=100000), " ",IF(INDEX($AC$2:$AS$1001,MATCH(ROWS($V$2:V652),$V$2:$V$1001,0),MATCH(COLUMNS($AC$1006:AQ1006),$AC$1006:$AS$1006,0)), HYPERLINK("#",""), HYPERLINK(CONCATENATE("#metadata!", ADDRESS(INDEX($X$2:$X$1001,MATCH(ROWS($V$2:V652),$V$2:$V$1001,0),0), INDEX($AC$1004:$AS$1004,1,MATCH(COLUMNS($AC$1006:AQ1006),$AC$1006:$AS$1006,0)))),"Fix")))</f>
        <v xml:space="preserve"> </v>
      </c>
      <c r="Q652" s="4" t="str">
        <f ca="1">IF(OR(INDEX($W$2:$W$1001,MATCH(ROWS($V$2:V652),$V$2:$V$1001,0),1)&gt;=100000,INDEX($AC$1005:$AS$1005,1,MATCH(COLUMNS($AC$1006:AR1006),$AC$1006:$AS$1006,0))&gt;=100000), " ",IF(INDEX($AC$2:$AS$1001,MATCH(ROWS($V$2:V652),$V$2:$V$1001,0),MATCH(COLUMNS($AC$1006:AR1006),$AC$1006:$AS$1006,0)), HYPERLINK("#",""), HYPERLINK(CONCATENATE("#metadata!", ADDRESS(INDEX($X$2:$X$1001,MATCH(ROWS($V$2:V652),$V$2:$V$1001,0),0), INDEX($AC$1004:$AS$1004,1,MATCH(COLUMNS($AC$1006:AR1006),$AC$1006:$AS$1006,0)))),"Fix")))</f>
        <v xml:space="preserve"> </v>
      </c>
      <c r="R652" s="4" t="str">
        <f ca="1">IF(OR(INDEX($W$2:$W$1001,MATCH(ROWS($V$2:V652),$V$2:$V$1001,0),1)&gt;=100000,INDEX($AC$1005:$AS$1005,1,MATCH(COLUMNS($AC$1006:AS1006),$AC$1006:$AS$1006,0))&gt;=100000), " ",IF(INDEX($AC$2:$AS$1001,MATCH(ROWS($V$2:V652),$V$2:$V$1001,0),MATCH(COLUMNS($AC$1006:AS1006),$AC$1006:$AS$1006,0)), HYPERLINK("#",""), HYPERLINK(CONCATENATE("#metadata!", ADDRESS(INDEX($X$2:$X$1001,MATCH(ROWS($V$2:V652),$V$2:$V$1001,0),0), INDEX($AC$1004:$AS$1004,1,MATCH(COLUMNS($AC$1006:AS1006),$AC$1006:$AS$1006,0)))),"Fix")))</f>
        <v xml:space="preserve"> </v>
      </c>
      <c r="V652">
        <v>651</v>
      </c>
      <c r="W652">
        <v>100652</v>
      </c>
      <c r="X652">
        <v>652</v>
      </c>
      <c r="Y652" t="b">
        <f t="shared" si="10"/>
        <v>1</v>
      </c>
      <c r="Z652" t="b">
        <f>COUNTBLANK(metadata!B652:R652)=COLUMNS(metadata!B652:R652)</f>
        <v>1</v>
      </c>
      <c r="AA652" t="str">
        <v/>
      </c>
      <c r="AC652" t="b">
        <f ca="1"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AD652" t="b">
        <f>IF(metadata!C652="",FALSE,ISNUMBER(VALUE(metadata!C652)))</f>
        <v>0</v>
      </c>
      <c r="AE652" t="b">
        <f>AND(IF(metadata!D652="",FALSE,TRUE),EXACT(metadata!D652,"years"))</f>
        <v>0</v>
      </c>
      <c r="AF652" t="b">
        <f>OR(AND(IF(metadata!E652="",FALSE,TRUE),OR(EXACT(metadata!E652,"not applicable"),EXACT(metadata!E652,"missing: not collected"),EXACT(metadata!E652,"missing: not provided"),EXACT(metadata!E652,"missing: restricted access"))),AND(IF(metadata!E652="",FALSE,ISNUMBER(VALUE(metadata!E652))),metadata!E652&gt;0))</f>
        <v>0</v>
      </c>
      <c r="AG652" t="b">
        <f>AND(IF(metadata!F652="",FALSE,TRUE),EXACT(metadata!F652,"Not applicable"))</f>
        <v>0</v>
      </c>
      <c r="AH652" t="b">
        <f>AND(IF(metadata!G652="",FALSE,TRUE),EXACT(metadata!G652,"urban biome"))</f>
        <v>0</v>
      </c>
      <c r="AI652" t="b">
        <f>AND(IF(metadata!H652="",FALSE,TRUE),EXACT(metadata!H652,"human-associated habitat"))</f>
        <v>0</v>
      </c>
      <c r="AJ652" t="b">
        <f>AND(IF(metadata!I652="",FALSE,TRUE),OR(EXACT(metadata!I652,"human-associated"),EXACT(metadata!I652,"human-skin"),EXACT(metadata!I652,"human-oral"),EXACT(metadata!I652,"human-gut"),EXACT(metadata!I652,"human-vaginal")))</f>
        <v>0</v>
      </c>
      <c r="AK652" t="b">
        <f>IF(metadata!J652="",FALSE,ISNUMBER(VALUE(metadata!J652)))</f>
        <v>0</v>
      </c>
      <c r="AL652" t="b">
        <f>AND(IF(metadata!K652="",FALSE,TRUE),EXACT(metadata!K652,"cm"))</f>
        <v>0</v>
      </c>
      <c r="AM652" t="b">
        <f>AND(IF(metadata!L652="",FALSE,TRUE),EXACT(metadata!L652,"human"))</f>
        <v>0</v>
      </c>
      <c r="AN652" t="b">
        <f>AND(IF(metadata!M652="",FALSE,TRUE),EXACT(metadata!M652,"Homo sapiens"))</f>
        <v>0</v>
      </c>
      <c r="AO652" t="b">
        <f>AND(IF(metadata!N652="",FALSE,TRUE),EXACT(metadata!N652,"9606"))</f>
        <v>0</v>
      </c>
      <c r="AP652" t="b">
        <f>IF(metadata!O652="",FALSE,TRUE)</f>
        <v>0</v>
      </c>
      <c r="AQ652" t="b">
        <f>IF(metadata!P652="",FALSE,TRUE)</f>
        <v>0</v>
      </c>
      <c r="AR652" t="b">
        <f>IF(metadata!Q652="",FALSE,ISNUMBER(VALUE(metadata!Q652)))</f>
        <v>0</v>
      </c>
      <c r="AS652" t="b">
        <f>AND(IF(metadata!R652="",FALSE,TRUE),EXACT(metadata!R652,"kg"))</f>
        <v>0</v>
      </c>
    </row>
    <row r="653" spans="1:45" x14ac:dyDescent="0.2">
      <c r="A653" s="5" t="str">
        <f ca="1">IF(B653=" "," ",HYPERLINK(CONCATENATE("#metadata!",ADDRESS(INDEX($X$2:$X$1001,MATCH(ROWS($V$2:V653),$V$2:$V$1001,0),0),1)),INDEX($AA$2:$AA$1001,MATCH(ROWS($V$2:V653),$V$2:$V$1001,0),0)))</f>
        <v xml:space="preserve"> </v>
      </c>
      <c r="B653" s="4" t="str">
        <f ca="1">IF(OR(INDEX($W$2:$W$1001,MATCH(ROWS($V$2:V653),$V$2:$V$1001,0),1)&gt;=100000,INDEX($AC$1005:$AS$1005,1,MATCH(COLUMNS($AC$1006:AC1006),$AC$1006:$AS$1006,0))&gt;=100000), " ",IF(INDEX($AC$2:$AS$1001,MATCH(ROWS($V$2:V653),$V$2:$V$1001,0),MATCH(COLUMNS($AC$1006:AC1006),$AC$1006:$AS$1006,0)), HYPERLINK("#",""), HYPERLINK(CONCATENATE("#metadata!", ADDRESS(INDEX($X$2:$X$1001,MATCH(ROWS($V$2:V653),$V$2:$V$1001,0),0), INDEX($AC$1004:$AS$1004,1,MATCH(COLUMNS($AC$1006:AC1006),$AC$1006:$AS$1006,0)))),"Fix")))</f>
        <v xml:space="preserve"> </v>
      </c>
      <c r="C653" s="4" t="str">
        <f ca="1">IF(OR(INDEX($W$2:$W$1001,MATCH(ROWS($V$2:V653),$V$2:$V$1001,0),1)&gt;=100000,INDEX($AC$1005:$AS$1005,1,MATCH(COLUMNS($AC$1006:AD1006),$AC$1006:$AS$1006,0))&gt;=100000), " ",IF(INDEX($AC$2:$AS$1001,MATCH(ROWS($V$2:V653),$V$2:$V$1001,0),MATCH(COLUMNS($AC$1006:AD1006),$AC$1006:$AS$1006,0)), HYPERLINK("#",""), HYPERLINK(CONCATENATE("#metadata!", ADDRESS(INDEX($X$2:$X$1001,MATCH(ROWS($V$2:V653),$V$2:$V$1001,0),0), INDEX($AC$1004:$AS$1004,1,MATCH(COLUMNS($AC$1006:AD1006),$AC$1006:$AS$1006,0)))),"Fix")))</f>
        <v xml:space="preserve"> </v>
      </c>
      <c r="D653" s="4" t="str">
        <f ca="1">IF(OR(INDEX($W$2:$W$1001,MATCH(ROWS($V$2:V653),$V$2:$V$1001,0),1)&gt;=100000,INDEX($AC$1005:$AS$1005,1,MATCH(COLUMNS($AC$1006:AE1006),$AC$1006:$AS$1006,0))&gt;=100000), " ",IF(INDEX($AC$2:$AS$1001,MATCH(ROWS($V$2:V653),$V$2:$V$1001,0),MATCH(COLUMNS($AC$1006:AE1006),$AC$1006:$AS$1006,0)), HYPERLINK("#",""), HYPERLINK(CONCATENATE("#metadata!", ADDRESS(INDEX($X$2:$X$1001,MATCH(ROWS($V$2:V653),$V$2:$V$1001,0),0), INDEX($AC$1004:$AS$1004,1,MATCH(COLUMNS($AC$1006:AE1006),$AC$1006:$AS$1006,0)))),"Fix")))</f>
        <v xml:space="preserve"> </v>
      </c>
      <c r="E653" s="4" t="str">
        <f ca="1">IF(OR(INDEX($W$2:$W$1001,MATCH(ROWS($V$2:V653),$V$2:$V$1001,0),1)&gt;=100000,INDEX($AC$1005:$AS$1005,1,MATCH(COLUMNS($AC$1006:AF1006),$AC$1006:$AS$1006,0))&gt;=100000), " ",IF(INDEX($AC$2:$AS$1001,MATCH(ROWS($V$2:V653),$V$2:$V$1001,0),MATCH(COLUMNS($AC$1006:AF1006),$AC$1006:$AS$1006,0)), HYPERLINK("#",""), HYPERLINK(CONCATENATE("#metadata!", ADDRESS(INDEX($X$2:$X$1001,MATCH(ROWS($V$2:V653),$V$2:$V$1001,0),0), INDEX($AC$1004:$AS$1004,1,MATCH(COLUMNS($AC$1006:AF1006),$AC$1006:$AS$1006,0)))),"Fix")))</f>
        <v xml:space="preserve"> </v>
      </c>
      <c r="F653" s="4" t="str">
        <f ca="1">IF(OR(INDEX($W$2:$W$1001,MATCH(ROWS($V$2:V653),$V$2:$V$1001,0),1)&gt;=100000,INDEX($AC$1005:$AS$1005,1,MATCH(COLUMNS($AC$1006:AG1006),$AC$1006:$AS$1006,0))&gt;=100000), " ",IF(INDEX($AC$2:$AS$1001,MATCH(ROWS($V$2:V653),$V$2:$V$1001,0),MATCH(COLUMNS($AC$1006:AG1006),$AC$1006:$AS$1006,0)), HYPERLINK("#",""), HYPERLINK(CONCATENATE("#metadata!", ADDRESS(INDEX($X$2:$X$1001,MATCH(ROWS($V$2:V653),$V$2:$V$1001,0),0), INDEX($AC$1004:$AS$1004,1,MATCH(COLUMNS($AC$1006:AG1006),$AC$1006:$AS$1006,0)))),"Fix")))</f>
        <v xml:space="preserve"> </v>
      </c>
      <c r="G653" s="4" t="str">
        <f ca="1">IF(OR(INDEX($W$2:$W$1001,MATCH(ROWS($V$2:V653),$V$2:$V$1001,0),1)&gt;=100000,INDEX($AC$1005:$AS$1005,1,MATCH(COLUMNS($AC$1006:AH1006),$AC$1006:$AS$1006,0))&gt;=100000), " ",IF(INDEX($AC$2:$AS$1001,MATCH(ROWS($V$2:V653),$V$2:$V$1001,0),MATCH(COLUMNS($AC$1006:AH1006),$AC$1006:$AS$1006,0)), HYPERLINK("#",""), HYPERLINK(CONCATENATE("#metadata!", ADDRESS(INDEX($X$2:$X$1001,MATCH(ROWS($V$2:V653),$V$2:$V$1001,0),0), INDEX($AC$1004:$AS$1004,1,MATCH(COLUMNS($AC$1006:AH1006),$AC$1006:$AS$1006,0)))),"Fix")))</f>
        <v xml:space="preserve"> </v>
      </c>
      <c r="H653" s="4" t="str">
        <f ca="1">IF(OR(INDEX($W$2:$W$1001,MATCH(ROWS($V$2:V653),$V$2:$V$1001,0),1)&gt;=100000,INDEX($AC$1005:$AS$1005,1,MATCH(COLUMNS($AC$1006:AI1006),$AC$1006:$AS$1006,0))&gt;=100000), " ",IF(INDEX($AC$2:$AS$1001,MATCH(ROWS($V$2:V653),$V$2:$V$1001,0),MATCH(COLUMNS($AC$1006:AI1006),$AC$1006:$AS$1006,0)), HYPERLINK("#",""), HYPERLINK(CONCATENATE("#metadata!", ADDRESS(INDEX($X$2:$X$1001,MATCH(ROWS($V$2:V653),$V$2:$V$1001,0),0), INDEX($AC$1004:$AS$1004,1,MATCH(COLUMNS($AC$1006:AI1006),$AC$1006:$AS$1006,0)))),"Fix")))</f>
        <v xml:space="preserve"> </v>
      </c>
      <c r="I653" s="4" t="str">
        <f ca="1">IF(OR(INDEX($W$2:$W$1001,MATCH(ROWS($V$2:V653),$V$2:$V$1001,0),1)&gt;=100000,INDEX($AC$1005:$AS$1005,1,MATCH(COLUMNS($AC$1006:AJ1006),$AC$1006:$AS$1006,0))&gt;=100000), " ",IF(INDEX($AC$2:$AS$1001,MATCH(ROWS($V$2:V653),$V$2:$V$1001,0),MATCH(COLUMNS($AC$1006:AJ1006),$AC$1006:$AS$1006,0)), HYPERLINK("#",""), HYPERLINK(CONCATENATE("#metadata!", ADDRESS(INDEX($X$2:$X$1001,MATCH(ROWS($V$2:V653),$V$2:$V$1001,0),0), INDEX($AC$1004:$AS$1004,1,MATCH(COLUMNS($AC$1006:AJ1006),$AC$1006:$AS$1006,0)))),"Fix")))</f>
        <v xml:space="preserve"> </v>
      </c>
      <c r="J653" s="4" t="str">
        <f ca="1">IF(OR(INDEX($W$2:$W$1001,MATCH(ROWS($V$2:V653),$V$2:$V$1001,0),1)&gt;=100000,INDEX($AC$1005:$AS$1005,1,MATCH(COLUMNS($AC$1006:AK1006),$AC$1006:$AS$1006,0))&gt;=100000), " ",IF(INDEX($AC$2:$AS$1001,MATCH(ROWS($V$2:V653),$V$2:$V$1001,0),MATCH(COLUMNS($AC$1006:AK1006),$AC$1006:$AS$1006,0)), HYPERLINK("#",""), HYPERLINK(CONCATENATE("#metadata!", ADDRESS(INDEX($X$2:$X$1001,MATCH(ROWS($V$2:V653),$V$2:$V$1001,0),0), INDEX($AC$1004:$AS$1004,1,MATCH(COLUMNS($AC$1006:AK1006),$AC$1006:$AS$1006,0)))),"Fix")))</f>
        <v xml:space="preserve"> </v>
      </c>
      <c r="K653" s="4" t="str">
        <f ca="1">IF(OR(INDEX($W$2:$W$1001,MATCH(ROWS($V$2:V653),$V$2:$V$1001,0),1)&gt;=100000,INDEX($AC$1005:$AS$1005,1,MATCH(COLUMNS($AC$1006:AL1006),$AC$1006:$AS$1006,0))&gt;=100000), " ",IF(INDEX($AC$2:$AS$1001,MATCH(ROWS($V$2:V653),$V$2:$V$1001,0),MATCH(COLUMNS($AC$1006:AL1006),$AC$1006:$AS$1006,0)), HYPERLINK("#",""), HYPERLINK(CONCATENATE("#metadata!", ADDRESS(INDEX($X$2:$X$1001,MATCH(ROWS($V$2:V653),$V$2:$V$1001,0),0), INDEX($AC$1004:$AS$1004,1,MATCH(COLUMNS($AC$1006:AL1006),$AC$1006:$AS$1006,0)))),"Fix")))</f>
        <v xml:space="preserve"> </v>
      </c>
      <c r="L653" s="4" t="str">
        <f ca="1">IF(OR(INDEX($W$2:$W$1001,MATCH(ROWS($V$2:V653),$V$2:$V$1001,0),1)&gt;=100000,INDEX($AC$1005:$AS$1005,1,MATCH(COLUMNS($AC$1006:AM1006),$AC$1006:$AS$1006,0))&gt;=100000), " ",IF(INDEX($AC$2:$AS$1001,MATCH(ROWS($V$2:V653),$V$2:$V$1001,0),MATCH(COLUMNS($AC$1006:AM1006),$AC$1006:$AS$1006,0)), HYPERLINK("#",""), HYPERLINK(CONCATENATE("#metadata!", ADDRESS(INDEX($X$2:$X$1001,MATCH(ROWS($V$2:V653),$V$2:$V$1001,0),0), INDEX($AC$1004:$AS$1004,1,MATCH(COLUMNS($AC$1006:AM1006),$AC$1006:$AS$1006,0)))),"Fix")))</f>
        <v xml:space="preserve"> </v>
      </c>
      <c r="M653" s="4" t="str">
        <f ca="1">IF(OR(INDEX($W$2:$W$1001,MATCH(ROWS($V$2:V653),$V$2:$V$1001,0),1)&gt;=100000,INDEX($AC$1005:$AS$1005,1,MATCH(COLUMNS($AC$1006:AN1006),$AC$1006:$AS$1006,0))&gt;=100000), " ",IF(INDEX($AC$2:$AS$1001,MATCH(ROWS($V$2:V653),$V$2:$V$1001,0),MATCH(COLUMNS($AC$1006:AN1006),$AC$1006:$AS$1006,0)), HYPERLINK("#",""), HYPERLINK(CONCATENATE("#metadata!", ADDRESS(INDEX($X$2:$X$1001,MATCH(ROWS($V$2:V653),$V$2:$V$1001,0),0), INDEX($AC$1004:$AS$1004,1,MATCH(COLUMNS($AC$1006:AN1006),$AC$1006:$AS$1006,0)))),"Fix")))</f>
        <v xml:space="preserve"> </v>
      </c>
      <c r="N653" s="4" t="str">
        <f ca="1">IF(OR(INDEX($W$2:$W$1001,MATCH(ROWS($V$2:V653),$V$2:$V$1001,0),1)&gt;=100000,INDEX($AC$1005:$AS$1005,1,MATCH(COLUMNS($AC$1006:AO1006),$AC$1006:$AS$1006,0))&gt;=100000), " ",IF(INDEX($AC$2:$AS$1001,MATCH(ROWS($V$2:V653),$V$2:$V$1001,0),MATCH(COLUMNS($AC$1006:AO1006),$AC$1006:$AS$1006,0)), HYPERLINK("#",""), HYPERLINK(CONCATENATE("#metadata!", ADDRESS(INDEX($X$2:$X$1001,MATCH(ROWS($V$2:V653),$V$2:$V$1001,0),0), INDEX($AC$1004:$AS$1004,1,MATCH(COLUMNS($AC$1006:AO1006),$AC$1006:$AS$1006,0)))),"Fix")))</f>
        <v xml:space="preserve"> </v>
      </c>
      <c r="O653" s="4" t="str">
        <f ca="1">IF(OR(INDEX($W$2:$W$1001,MATCH(ROWS($V$2:V653),$V$2:$V$1001,0),1)&gt;=100000,INDEX($AC$1005:$AS$1005,1,MATCH(COLUMNS($AC$1006:AP1006),$AC$1006:$AS$1006,0))&gt;=100000), " ",IF(INDEX($AC$2:$AS$1001,MATCH(ROWS($V$2:V653),$V$2:$V$1001,0),MATCH(COLUMNS($AC$1006:AP1006),$AC$1006:$AS$1006,0)), HYPERLINK("#",""), HYPERLINK(CONCATENATE("#metadata!", ADDRESS(INDEX($X$2:$X$1001,MATCH(ROWS($V$2:V653),$V$2:$V$1001,0),0), INDEX($AC$1004:$AS$1004,1,MATCH(COLUMNS($AC$1006:AP1006),$AC$1006:$AS$1006,0)))),"Fix")))</f>
        <v xml:space="preserve"> </v>
      </c>
      <c r="P653" s="4" t="str">
        <f ca="1">IF(OR(INDEX($W$2:$W$1001,MATCH(ROWS($V$2:V653),$V$2:$V$1001,0),1)&gt;=100000,INDEX($AC$1005:$AS$1005,1,MATCH(COLUMNS($AC$1006:AQ1006),$AC$1006:$AS$1006,0))&gt;=100000), " ",IF(INDEX($AC$2:$AS$1001,MATCH(ROWS($V$2:V653),$V$2:$V$1001,0),MATCH(COLUMNS($AC$1006:AQ1006),$AC$1006:$AS$1006,0)), HYPERLINK("#",""), HYPERLINK(CONCATENATE("#metadata!", ADDRESS(INDEX($X$2:$X$1001,MATCH(ROWS($V$2:V653),$V$2:$V$1001,0),0), INDEX($AC$1004:$AS$1004,1,MATCH(COLUMNS($AC$1006:AQ1006),$AC$1006:$AS$1006,0)))),"Fix")))</f>
        <v xml:space="preserve"> </v>
      </c>
      <c r="Q653" s="4" t="str">
        <f ca="1">IF(OR(INDEX($W$2:$W$1001,MATCH(ROWS($V$2:V653),$V$2:$V$1001,0),1)&gt;=100000,INDEX($AC$1005:$AS$1005,1,MATCH(COLUMNS($AC$1006:AR1006),$AC$1006:$AS$1006,0))&gt;=100000), " ",IF(INDEX($AC$2:$AS$1001,MATCH(ROWS($V$2:V653),$V$2:$V$1001,0),MATCH(COLUMNS($AC$1006:AR1006),$AC$1006:$AS$1006,0)), HYPERLINK("#",""), HYPERLINK(CONCATENATE("#metadata!", ADDRESS(INDEX($X$2:$X$1001,MATCH(ROWS($V$2:V653),$V$2:$V$1001,0),0), INDEX($AC$1004:$AS$1004,1,MATCH(COLUMNS($AC$1006:AR1006),$AC$1006:$AS$1006,0)))),"Fix")))</f>
        <v xml:space="preserve"> </v>
      </c>
      <c r="R653" s="4" t="str">
        <f ca="1">IF(OR(INDEX($W$2:$W$1001,MATCH(ROWS($V$2:V653),$V$2:$V$1001,0),1)&gt;=100000,INDEX($AC$1005:$AS$1005,1,MATCH(COLUMNS($AC$1006:AS1006),$AC$1006:$AS$1006,0))&gt;=100000), " ",IF(INDEX($AC$2:$AS$1001,MATCH(ROWS($V$2:V653),$V$2:$V$1001,0),MATCH(COLUMNS($AC$1006:AS1006),$AC$1006:$AS$1006,0)), HYPERLINK("#",""), HYPERLINK(CONCATENATE("#metadata!", ADDRESS(INDEX($X$2:$X$1001,MATCH(ROWS($V$2:V653),$V$2:$V$1001,0),0), INDEX($AC$1004:$AS$1004,1,MATCH(COLUMNS($AC$1006:AS1006),$AC$1006:$AS$1006,0)))),"Fix")))</f>
        <v xml:space="preserve"> </v>
      </c>
      <c r="V653">
        <v>652</v>
      </c>
      <c r="W653">
        <v>100653</v>
      </c>
      <c r="X653">
        <v>653</v>
      </c>
      <c r="Y653" t="b">
        <f t="shared" si="10"/>
        <v>1</v>
      </c>
      <c r="Z653" t="b">
        <f>COUNTBLANK(metadata!B653:R653)=COLUMNS(metadata!B653:R653)</f>
        <v>1</v>
      </c>
      <c r="AA653" t="str">
        <v/>
      </c>
      <c r="AC653" t="b">
        <f ca="1"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AD653" t="b">
        <f>IF(metadata!C653="",FALSE,ISNUMBER(VALUE(metadata!C653)))</f>
        <v>0</v>
      </c>
      <c r="AE653" t="b">
        <f>AND(IF(metadata!D653="",FALSE,TRUE),EXACT(metadata!D653,"years"))</f>
        <v>0</v>
      </c>
      <c r="AF653" t="b">
        <f>OR(AND(IF(metadata!E653="",FALSE,TRUE),OR(EXACT(metadata!E653,"not applicable"),EXACT(metadata!E653,"missing: not collected"),EXACT(metadata!E653,"missing: not provided"),EXACT(metadata!E653,"missing: restricted access"))),AND(IF(metadata!E653="",FALSE,ISNUMBER(VALUE(metadata!E653))),metadata!E653&gt;0))</f>
        <v>0</v>
      </c>
      <c r="AG653" t="b">
        <f>AND(IF(metadata!F653="",FALSE,TRUE),EXACT(metadata!F653,"Not applicable"))</f>
        <v>0</v>
      </c>
      <c r="AH653" t="b">
        <f>AND(IF(metadata!G653="",FALSE,TRUE),EXACT(metadata!G653,"urban biome"))</f>
        <v>0</v>
      </c>
      <c r="AI653" t="b">
        <f>AND(IF(metadata!H653="",FALSE,TRUE),EXACT(metadata!H653,"human-associated habitat"))</f>
        <v>0</v>
      </c>
      <c r="AJ653" t="b">
        <f>AND(IF(metadata!I653="",FALSE,TRUE),OR(EXACT(metadata!I653,"human-associated"),EXACT(metadata!I653,"human-skin"),EXACT(metadata!I653,"human-oral"),EXACT(metadata!I653,"human-gut"),EXACT(metadata!I653,"human-vaginal")))</f>
        <v>0</v>
      </c>
      <c r="AK653" t="b">
        <f>IF(metadata!J653="",FALSE,ISNUMBER(VALUE(metadata!J653)))</f>
        <v>0</v>
      </c>
      <c r="AL653" t="b">
        <f>AND(IF(metadata!K653="",FALSE,TRUE),EXACT(metadata!K653,"cm"))</f>
        <v>0</v>
      </c>
      <c r="AM653" t="b">
        <f>AND(IF(metadata!L653="",FALSE,TRUE),EXACT(metadata!L653,"human"))</f>
        <v>0</v>
      </c>
      <c r="AN653" t="b">
        <f>AND(IF(metadata!M653="",FALSE,TRUE),EXACT(metadata!M653,"Homo sapiens"))</f>
        <v>0</v>
      </c>
      <c r="AO653" t="b">
        <f>AND(IF(metadata!N653="",FALSE,TRUE),EXACT(metadata!N653,"9606"))</f>
        <v>0</v>
      </c>
      <c r="AP653" t="b">
        <f>IF(metadata!O653="",FALSE,TRUE)</f>
        <v>0</v>
      </c>
      <c r="AQ653" t="b">
        <f>IF(metadata!P653="",FALSE,TRUE)</f>
        <v>0</v>
      </c>
      <c r="AR653" t="b">
        <f>IF(metadata!Q653="",FALSE,ISNUMBER(VALUE(metadata!Q653)))</f>
        <v>0</v>
      </c>
      <c r="AS653" t="b">
        <f>AND(IF(metadata!R653="",FALSE,TRUE),EXACT(metadata!R653,"kg"))</f>
        <v>0</v>
      </c>
    </row>
    <row r="654" spans="1:45" x14ac:dyDescent="0.2">
      <c r="A654" s="5" t="str">
        <f ca="1">IF(B654=" "," ",HYPERLINK(CONCATENATE("#metadata!",ADDRESS(INDEX($X$2:$X$1001,MATCH(ROWS($V$2:V654),$V$2:$V$1001,0),0),1)),INDEX($AA$2:$AA$1001,MATCH(ROWS($V$2:V654),$V$2:$V$1001,0),0)))</f>
        <v xml:space="preserve"> </v>
      </c>
      <c r="B654" s="4" t="str">
        <f ca="1">IF(OR(INDEX($W$2:$W$1001,MATCH(ROWS($V$2:V654),$V$2:$V$1001,0),1)&gt;=100000,INDEX($AC$1005:$AS$1005,1,MATCH(COLUMNS($AC$1006:AC1006),$AC$1006:$AS$1006,0))&gt;=100000), " ",IF(INDEX($AC$2:$AS$1001,MATCH(ROWS($V$2:V654),$V$2:$V$1001,0),MATCH(COLUMNS($AC$1006:AC1006),$AC$1006:$AS$1006,0)), HYPERLINK("#",""), HYPERLINK(CONCATENATE("#metadata!", ADDRESS(INDEX($X$2:$X$1001,MATCH(ROWS($V$2:V654),$V$2:$V$1001,0),0), INDEX($AC$1004:$AS$1004,1,MATCH(COLUMNS($AC$1006:AC1006),$AC$1006:$AS$1006,0)))),"Fix")))</f>
        <v xml:space="preserve"> </v>
      </c>
      <c r="C654" s="4" t="str">
        <f ca="1">IF(OR(INDEX($W$2:$W$1001,MATCH(ROWS($V$2:V654),$V$2:$V$1001,0),1)&gt;=100000,INDEX($AC$1005:$AS$1005,1,MATCH(COLUMNS($AC$1006:AD1006),$AC$1006:$AS$1006,0))&gt;=100000), " ",IF(INDEX($AC$2:$AS$1001,MATCH(ROWS($V$2:V654),$V$2:$V$1001,0),MATCH(COLUMNS($AC$1006:AD1006),$AC$1006:$AS$1006,0)), HYPERLINK("#",""), HYPERLINK(CONCATENATE("#metadata!", ADDRESS(INDEX($X$2:$X$1001,MATCH(ROWS($V$2:V654),$V$2:$V$1001,0),0), INDEX($AC$1004:$AS$1004,1,MATCH(COLUMNS($AC$1006:AD1006),$AC$1006:$AS$1006,0)))),"Fix")))</f>
        <v xml:space="preserve"> </v>
      </c>
      <c r="D654" s="4" t="str">
        <f ca="1">IF(OR(INDEX($W$2:$W$1001,MATCH(ROWS($V$2:V654),$V$2:$V$1001,0),1)&gt;=100000,INDEX($AC$1005:$AS$1005,1,MATCH(COLUMNS($AC$1006:AE1006),$AC$1006:$AS$1006,0))&gt;=100000), " ",IF(INDEX($AC$2:$AS$1001,MATCH(ROWS($V$2:V654),$V$2:$V$1001,0),MATCH(COLUMNS($AC$1006:AE1006),$AC$1006:$AS$1006,0)), HYPERLINK("#",""), HYPERLINK(CONCATENATE("#metadata!", ADDRESS(INDEX($X$2:$X$1001,MATCH(ROWS($V$2:V654),$V$2:$V$1001,0),0), INDEX($AC$1004:$AS$1004,1,MATCH(COLUMNS($AC$1006:AE1006),$AC$1006:$AS$1006,0)))),"Fix")))</f>
        <v xml:space="preserve"> </v>
      </c>
      <c r="E654" s="4" t="str">
        <f ca="1">IF(OR(INDEX($W$2:$W$1001,MATCH(ROWS($V$2:V654),$V$2:$V$1001,0),1)&gt;=100000,INDEX($AC$1005:$AS$1005,1,MATCH(COLUMNS($AC$1006:AF1006),$AC$1006:$AS$1006,0))&gt;=100000), " ",IF(INDEX($AC$2:$AS$1001,MATCH(ROWS($V$2:V654),$V$2:$V$1001,0),MATCH(COLUMNS($AC$1006:AF1006),$AC$1006:$AS$1006,0)), HYPERLINK("#",""), HYPERLINK(CONCATENATE("#metadata!", ADDRESS(INDEX($X$2:$X$1001,MATCH(ROWS($V$2:V654),$V$2:$V$1001,0),0), INDEX($AC$1004:$AS$1004,1,MATCH(COLUMNS($AC$1006:AF1006),$AC$1006:$AS$1006,0)))),"Fix")))</f>
        <v xml:space="preserve"> </v>
      </c>
      <c r="F654" s="4" t="str">
        <f ca="1">IF(OR(INDEX($W$2:$W$1001,MATCH(ROWS($V$2:V654),$V$2:$V$1001,0),1)&gt;=100000,INDEX($AC$1005:$AS$1005,1,MATCH(COLUMNS($AC$1006:AG1006),$AC$1006:$AS$1006,0))&gt;=100000), " ",IF(INDEX($AC$2:$AS$1001,MATCH(ROWS($V$2:V654),$V$2:$V$1001,0),MATCH(COLUMNS($AC$1006:AG1006),$AC$1006:$AS$1006,0)), HYPERLINK("#",""), HYPERLINK(CONCATENATE("#metadata!", ADDRESS(INDEX($X$2:$X$1001,MATCH(ROWS($V$2:V654),$V$2:$V$1001,0),0), INDEX($AC$1004:$AS$1004,1,MATCH(COLUMNS($AC$1006:AG1006),$AC$1006:$AS$1006,0)))),"Fix")))</f>
        <v xml:space="preserve"> </v>
      </c>
      <c r="G654" s="4" t="str">
        <f ca="1">IF(OR(INDEX($W$2:$W$1001,MATCH(ROWS($V$2:V654),$V$2:$V$1001,0),1)&gt;=100000,INDEX($AC$1005:$AS$1005,1,MATCH(COLUMNS($AC$1006:AH1006),$AC$1006:$AS$1006,0))&gt;=100000), " ",IF(INDEX($AC$2:$AS$1001,MATCH(ROWS($V$2:V654),$V$2:$V$1001,0),MATCH(COLUMNS($AC$1006:AH1006),$AC$1006:$AS$1006,0)), HYPERLINK("#",""), HYPERLINK(CONCATENATE("#metadata!", ADDRESS(INDEX($X$2:$X$1001,MATCH(ROWS($V$2:V654),$V$2:$V$1001,0),0), INDEX($AC$1004:$AS$1004,1,MATCH(COLUMNS($AC$1006:AH1006),$AC$1006:$AS$1006,0)))),"Fix")))</f>
        <v xml:space="preserve"> </v>
      </c>
      <c r="H654" s="4" t="str">
        <f ca="1">IF(OR(INDEX($W$2:$W$1001,MATCH(ROWS($V$2:V654),$V$2:$V$1001,0),1)&gt;=100000,INDEX($AC$1005:$AS$1005,1,MATCH(COLUMNS($AC$1006:AI1006),$AC$1006:$AS$1006,0))&gt;=100000), " ",IF(INDEX($AC$2:$AS$1001,MATCH(ROWS($V$2:V654),$V$2:$V$1001,0),MATCH(COLUMNS($AC$1006:AI1006),$AC$1006:$AS$1006,0)), HYPERLINK("#",""), HYPERLINK(CONCATENATE("#metadata!", ADDRESS(INDEX($X$2:$X$1001,MATCH(ROWS($V$2:V654),$V$2:$V$1001,0),0), INDEX($AC$1004:$AS$1004,1,MATCH(COLUMNS($AC$1006:AI1006),$AC$1006:$AS$1006,0)))),"Fix")))</f>
        <v xml:space="preserve"> </v>
      </c>
      <c r="I654" s="4" t="str">
        <f ca="1">IF(OR(INDEX($W$2:$W$1001,MATCH(ROWS($V$2:V654),$V$2:$V$1001,0),1)&gt;=100000,INDEX($AC$1005:$AS$1005,1,MATCH(COLUMNS($AC$1006:AJ1006),$AC$1006:$AS$1006,0))&gt;=100000), " ",IF(INDEX($AC$2:$AS$1001,MATCH(ROWS($V$2:V654),$V$2:$V$1001,0),MATCH(COLUMNS($AC$1006:AJ1006),$AC$1006:$AS$1006,0)), HYPERLINK("#",""), HYPERLINK(CONCATENATE("#metadata!", ADDRESS(INDEX($X$2:$X$1001,MATCH(ROWS($V$2:V654),$V$2:$V$1001,0),0), INDEX($AC$1004:$AS$1004,1,MATCH(COLUMNS($AC$1006:AJ1006),$AC$1006:$AS$1006,0)))),"Fix")))</f>
        <v xml:space="preserve"> </v>
      </c>
      <c r="J654" s="4" t="str">
        <f ca="1">IF(OR(INDEX($W$2:$W$1001,MATCH(ROWS($V$2:V654),$V$2:$V$1001,0),1)&gt;=100000,INDEX($AC$1005:$AS$1005,1,MATCH(COLUMNS($AC$1006:AK1006),$AC$1006:$AS$1006,0))&gt;=100000), " ",IF(INDEX($AC$2:$AS$1001,MATCH(ROWS($V$2:V654),$V$2:$V$1001,0),MATCH(COLUMNS($AC$1006:AK1006),$AC$1006:$AS$1006,0)), HYPERLINK("#",""), HYPERLINK(CONCATENATE("#metadata!", ADDRESS(INDEX($X$2:$X$1001,MATCH(ROWS($V$2:V654),$V$2:$V$1001,0),0), INDEX($AC$1004:$AS$1004,1,MATCH(COLUMNS($AC$1006:AK1006),$AC$1006:$AS$1006,0)))),"Fix")))</f>
        <v xml:space="preserve"> </v>
      </c>
      <c r="K654" s="4" t="str">
        <f ca="1">IF(OR(INDEX($W$2:$W$1001,MATCH(ROWS($V$2:V654),$V$2:$V$1001,0),1)&gt;=100000,INDEX($AC$1005:$AS$1005,1,MATCH(COLUMNS($AC$1006:AL1006),$AC$1006:$AS$1006,0))&gt;=100000), " ",IF(INDEX($AC$2:$AS$1001,MATCH(ROWS($V$2:V654),$V$2:$V$1001,0),MATCH(COLUMNS($AC$1006:AL1006),$AC$1006:$AS$1006,0)), HYPERLINK("#",""), HYPERLINK(CONCATENATE("#metadata!", ADDRESS(INDEX($X$2:$X$1001,MATCH(ROWS($V$2:V654),$V$2:$V$1001,0),0), INDEX($AC$1004:$AS$1004,1,MATCH(COLUMNS($AC$1006:AL1006),$AC$1006:$AS$1006,0)))),"Fix")))</f>
        <v xml:space="preserve"> </v>
      </c>
      <c r="L654" s="4" t="str">
        <f ca="1">IF(OR(INDEX($W$2:$W$1001,MATCH(ROWS($V$2:V654),$V$2:$V$1001,0),1)&gt;=100000,INDEX($AC$1005:$AS$1005,1,MATCH(COLUMNS($AC$1006:AM1006),$AC$1006:$AS$1006,0))&gt;=100000), " ",IF(INDEX($AC$2:$AS$1001,MATCH(ROWS($V$2:V654),$V$2:$V$1001,0),MATCH(COLUMNS($AC$1006:AM1006),$AC$1006:$AS$1006,0)), HYPERLINK("#",""), HYPERLINK(CONCATENATE("#metadata!", ADDRESS(INDEX($X$2:$X$1001,MATCH(ROWS($V$2:V654),$V$2:$V$1001,0),0), INDEX($AC$1004:$AS$1004,1,MATCH(COLUMNS($AC$1006:AM1006),$AC$1006:$AS$1006,0)))),"Fix")))</f>
        <v xml:space="preserve"> </v>
      </c>
      <c r="M654" s="4" t="str">
        <f ca="1">IF(OR(INDEX($W$2:$W$1001,MATCH(ROWS($V$2:V654),$V$2:$V$1001,0),1)&gt;=100000,INDEX($AC$1005:$AS$1005,1,MATCH(COLUMNS($AC$1006:AN1006),$AC$1006:$AS$1006,0))&gt;=100000), " ",IF(INDEX($AC$2:$AS$1001,MATCH(ROWS($V$2:V654),$V$2:$V$1001,0),MATCH(COLUMNS($AC$1006:AN1006),$AC$1006:$AS$1006,0)), HYPERLINK("#",""), HYPERLINK(CONCATENATE("#metadata!", ADDRESS(INDEX($X$2:$X$1001,MATCH(ROWS($V$2:V654),$V$2:$V$1001,0),0), INDEX($AC$1004:$AS$1004,1,MATCH(COLUMNS($AC$1006:AN1006),$AC$1006:$AS$1006,0)))),"Fix")))</f>
        <v xml:space="preserve"> </v>
      </c>
      <c r="N654" s="4" t="str">
        <f ca="1">IF(OR(INDEX($W$2:$W$1001,MATCH(ROWS($V$2:V654),$V$2:$V$1001,0),1)&gt;=100000,INDEX($AC$1005:$AS$1005,1,MATCH(COLUMNS($AC$1006:AO1006),$AC$1006:$AS$1006,0))&gt;=100000), " ",IF(INDEX($AC$2:$AS$1001,MATCH(ROWS($V$2:V654),$V$2:$V$1001,0),MATCH(COLUMNS($AC$1006:AO1006),$AC$1006:$AS$1006,0)), HYPERLINK("#",""), HYPERLINK(CONCATENATE("#metadata!", ADDRESS(INDEX($X$2:$X$1001,MATCH(ROWS($V$2:V654),$V$2:$V$1001,0),0), INDEX($AC$1004:$AS$1004,1,MATCH(COLUMNS($AC$1006:AO1006),$AC$1006:$AS$1006,0)))),"Fix")))</f>
        <v xml:space="preserve"> </v>
      </c>
      <c r="O654" s="4" t="str">
        <f ca="1">IF(OR(INDEX($W$2:$W$1001,MATCH(ROWS($V$2:V654),$V$2:$V$1001,0),1)&gt;=100000,INDEX($AC$1005:$AS$1005,1,MATCH(COLUMNS($AC$1006:AP1006),$AC$1006:$AS$1006,0))&gt;=100000), " ",IF(INDEX($AC$2:$AS$1001,MATCH(ROWS($V$2:V654),$V$2:$V$1001,0),MATCH(COLUMNS($AC$1006:AP1006),$AC$1006:$AS$1006,0)), HYPERLINK("#",""), HYPERLINK(CONCATENATE("#metadata!", ADDRESS(INDEX($X$2:$X$1001,MATCH(ROWS($V$2:V654),$V$2:$V$1001,0),0), INDEX($AC$1004:$AS$1004,1,MATCH(COLUMNS($AC$1006:AP1006),$AC$1006:$AS$1006,0)))),"Fix")))</f>
        <v xml:space="preserve"> </v>
      </c>
      <c r="P654" s="4" t="str">
        <f ca="1">IF(OR(INDEX($W$2:$W$1001,MATCH(ROWS($V$2:V654),$V$2:$V$1001,0),1)&gt;=100000,INDEX($AC$1005:$AS$1005,1,MATCH(COLUMNS($AC$1006:AQ1006),$AC$1006:$AS$1006,0))&gt;=100000), " ",IF(INDEX($AC$2:$AS$1001,MATCH(ROWS($V$2:V654),$V$2:$V$1001,0),MATCH(COLUMNS($AC$1006:AQ1006),$AC$1006:$AS$1006,0)), HYPERLINK("#",""), HYPERLINK(CONCATENATE("#metadata!", ADDRESS(INDEX($X$2:$X$1001,MATCH(ROWS($V$2:V654),$V$2:$V$1001,0),0), INDEX($AC$1004:$AS$1004,1,MATCH(COLUMNS($AC$1006:AQ1006),$AC$1006:$AS$1006,0)))),"Fix")))</f>
        <v xml:space="preserve"> </v>
      </c>
      <c r="Q654" s="4" t="str">
        <f ca="1">IF(OR(INDEX($W$2:$W$1001,MATCH(ROWS($V$2:V654),$V$2:$V$1001,0),1)&gt;=100000,INDEX($AC$1005:$AS$1005,1,MATCH(COLUMNS($AC$1006:AR1006),$AC$1006:$AS$1006,0))&gt;=100000), " ",IF(INDEX($AC$2:$AS$1001,MATCH(ROWS($V$2:V654),$V$2:$V$1001,0),MATCH(COLUMNS($AC$1006:AR1006),$AC$1006:$AS$1006,0)), HYPERLINK("#",""), HYPERLINK(CONCATENATE("#metadata!", ADDRESS(INDEX($X$2:$X$1001,MATCH(ROWS($V$2:V654),$V$2:$V$1001,0),0), INDEX($AC$1004:$AS$1004,1,MATCH(COLUMNS($AC$1006:AR1006),$AC$1006:$AS$1006,0)))),"Fix")))</f>
        <v xml:space="preserve"> </v>
      </c>
      <c r="R654" s="4" t="str">
        <f ca="1">IF(OR(INDEX($W$2:$W$1001,MATCH(ROWS($V$2:V654),$V$2:$V$1001,0),1)&gt;=100000,INDEX($AC$1005:$AS$1005,1,MATCH(COLUMNS($AC$1006:AS1006),$AC$1006:$AS$1006,0))&gt;=100000), " ",IF(INDEX($AC$2:$AS$1001,MATCH(ROWS($V$2:V654),$V$2:$V$1001,0),MATCH(COLUMNS($AC$1006:AS1006),$AC$1006:$AS$1006,0)), HYPERLINK("#",""), HYPERLINK(CONCATENATE("#metadata!", ADDRESS(INDEX($X$2:$X$1001,MATCH(ROWS($V$2:V654),$V$2:$V$1001,0),0), INDEX($AC$1004:$AS$1004,1,MATCH(COLUMNS($AC$1006:AS1006),$AC$1006:$AS$1006,0)))),"Fix")))</f>
        <v xml:space="preserve"> </v>
      </c>
      <c r="V654">
        <v>653</v>
      </c>
      <c r="W654">
        <v>100654</v>
      </c>
      <c r="X654">
        <v>654</v>
      </c>
      <c r="Y654" t="b">
        <f t="shared" si="10"/>
        <v>1</v>
      </c>
      <c r="Z654" t="b">
        <f>COUNTBLANK(metadata!B654:R654)=COLUMNS(metadata!B654:R654)</f>
        <v>1</v>
      </c>
      <c r="AA654" t="str">
        <v/>
      </c>
      <c r="AC654" t="b">
        <f ca="1"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AD654" t="b">
        <f>IF(metadata!C654="",FALSE,ISNUMBER(VALUE(metadata!C654)))</f>
        <v>0</v>
      </c>
      <c r="AE654" t="b">
        <f>AND(IF(metadata!D654="",FALSE,TRUE),EXACT(metadata!D654,"years"))</f>
        <v>0</v>
      </c>
      <c r="AF654" t="b">
        <f>OR(AND(IF(metadata!E654="",FALSE,TRUE),OR(EXACT(metadata!E654,"not applicable"),EXACT(metadata!E654,"missing: not collected"),EXACT(metadata!E654,"missing: not provided"),EXACT(metadata!E654,"missing: restricted access"))),AND(IF(metadata!E654="",FALSE,ISNUMBER(VALUE(metadata!E654))),metadata!E654&gt;0))</f>
        <v>0</v>
      </c>
      <c r="AG654" t="b">
        <f>AND(IF(metadata!F654="",FALSE,TRUE),EXACT(metadata!F654,"Not applicable"))</f>
        <v>0</v>
      </c>
      <c r="AH654" t="b">
        <f>AND(IF(metadata!G654="",FALSE,TRUE),EXACT(metadata!G654,"urban biome"))</f>
        <v>0</v>
      </c>
      <c r="AI654" t="b">
        <f>AND(IF(metadata!H654="",FALSE,TRUE),EXACT(metadata!H654,"human-associated habitat"))</f>
        <v>0</v>
      </c>
      <c r="AJ654" t="b">
        <f>AND(IF(metadata!I654="",FALSE,TRUE),OR(EXACT(metadata!I654,"human-associated"),EXACT(metadata!I654,"human-skin"),EXACT(metadata!I654,"human-oral"),EXACT(metadata!I654,"human-gut"),EXACT(metadata!I654,"human-vaginal")))</f>
        <v>0</v>
      </c>
      <c r="AK654" t="b">
        <f>IF(metadata!J654="",FALSE,ISNUMBER(VALUE(metadata!J654)))</f>
        <v>0</v>
      </c>
      <c r="AL654" t="b">
        <f>AND(IF(metadata!K654="",FALSE,TRUE),EXACT(metadata!K654,"cm"))</f>
        <v>0</v>
      </c>
      <c r="AM654" t="b">
        <f>AND(IF(metadata!L654="",FALSE,TRUE),EXACT(metadata!L654,"human"))</f>
        <v>0</v>
      </c>
      <c r="AN654" t="b">
        <f>AND(IF(metadata!M654="",FALSE,TRUE),EXACT(metadata!M654,"Homo sapiens"))</f>
        <v>0</v>
      </c>
      <c r="AO654" t="b">
        <f>AND(IF(metadata!N654="",FALSE,TRUE),EXACT(metadata!N654,"9606"))</f>
        <v>0</v>
      </c>
      <c r="AP654" t="b">
        <f>IF(metadata!O654="",FALSE,TRUE)</f>
        <v>0</v>
      </c>
      <c r="AQ654" t="b">
        <f>IF(metadata!P654="",FALSE,TRUE)</f>
        <v>0</v>
      </c>
      <c r="AR654" t="b">
        <f>IF(metadata!Q654="",FALSE,ISNUMBER(VALUE(metadata!Q654)))</f>
        <v>0</v>
      </c>
      <c r="AS654" t="b">
        <f>AND(IF(metadata!R654="",FALSE,TRUE),EXACT(metadata!R654,"kg"))</f>
        <v>0</v>
      </c>
    </row>
    <row r="655" spans="1:45" x14ac:dyDescent="0.2">
      <c r="A655" s="5" t="str">
        <f ca="1">IF(B655=" "," ",HYPERLINK(CONCATENATE("#metadata!",ADDRESS(INDEX($X$2:$X$1001,MATCH(ROWS($V$2:V655),$V$2:$V$1001,0),0),1)),INDEX($AA$2:$AA$1001,MATCH(ROWS($V$2:V655),$V$2:$V$1001,0),0)))</f>
        <v xml:space="preserve"> </v>
      </c>
      <c r="B655" s="4" t="str">
        <f ca="1">IF(OR(INDEX($W$2:$W$1001,MATCH(ROWS($V$2:V655),$V$2:$V$1001,0),1)&gt;=100000,INDEX($AC$1005:$AS$1005,1,MATCH(COLUMNS($AC$1006:AC1006),$AC$1006:$AS$1006,0))&gt;=100000), " ",IF(INDEX($AC$2:$AS$1001,MATCH(ROWS($V$2:V655),$V$2:$V$1001,0),MATCH(COLUMNS($AC$1006:AC1006),$AC$1006:$AS$1006,0)), HYPERLINK("#",""), HYPERLINK(CONCATENATE("#metadata!", ADDRESS(INDEX($X$2:$X$1001,MATCH(ROWS($V$2:V655),$V$2:$V$1001,0),0), INDEX($AC$1004:$AS$1004,1,MATCH(COLUMNS($AC$1006:AC1006),$AC$1006:$AS$1006,0)))),"Fix")))</f>
        <v xml:space="preserve"> </v>
      </c>
      <c r="C655" s="4" t="str">
        <f ca="1">IF(OR(INDEX($W$2:$W$1001,MATCH(ROWS($V$2:V655),$V$2:$V$1001,0),1)&gt;=100000,INDEX($AC$1005:$AS$1005,1,MATCH(COLUMNS($AC$1006:AD1006),$AC$1006:$AS$1006,0))&gt;=100000), " ",IF(INDEX($AC$2:$AS$1001,MATCH(ROWS($V$2:V655),$V$2:$V$1001,0),MATCH(COLUMNS($AC$1006:AD1006),$AC$1006:$AS$1006,0)), HYPERLINK("#",""), HYPERLINK(CONCATENATE("#metadata!", ADDRESS(INDEX($X$2:$X$1001,MATCH(ROWS($V$2:V655),$V$2:$V$1001,0),0), INDEX($AC$1004:$AS$1004,1,MATCH(COLUMNS($AC$1006:AD1006),$AC$1006:$AS$1006,0)))),"Fix")))</f>
        <v xml:space="preserve"> </v>
      </c>
      <c r="D655" s="4" t="str">
        <f ca="1">IF(OR(INDEX($W$2:$W$1001,MATCH(ROWS($V$2:V655),$V$2:$V$1001,0),1)&gt;=100000,INDEX($AC$1005:$AS$1005,1,MATCH(COLUMNS($AC$1006:AE1006),$AC$1006:$AS$1006,0))&gt;=100000), " ",IF(INDEX($AC$2:$AS$1001,MATCH(ROWS($V$2:V655),$V$2:$V$1001,0),MATCH(COLUMNS($AC$1006:AE1006),$AC$1006:$AS$1006,0)), HYPERLINK("#",""), HYPERLINK(CONCATENATE("#metadata!", ADDRESS(INDEX($X$2:$X$1001,MATCH(ROWS($V$2:V655),$V$2:$V$1001,0),0), INDEX($AC$1004:$AS$1004,1,MATCH(COLUMNS($AC$1006:AE1006),$AC$1006:$AS$1006,0)))),"Fix")))</f>
        <v xml:space="preserve"> </v>
      </c>
      <c r="E655" s="4" t="str">
        <f ca="1">IF(OR(INDEX($W$2:$W$1001,MATCH(ROWS($V$2:V655),$V$2:$V$1001,0),1)&gt;=100000,INDEX($AC$1005:$AS$1005,1,MATCH(COLUMNS($AC$1006:AF1006),$AC$1006:$AS$1006,0))&gt;=100000), " ",IF(INDEX($AC$2:$AS$1001,MATCH(ROWS($V$2:V655),$V$2:$V$1001,0),MATCH(COLUMNS($AC$1006:AF1006),$AC$1006:$AS$1006,0)), HYPERLINK("#",""), HYPERLINK(CONCATENATE("#metadata!", ADDRESS(INDEX($X$2:$X$1001,MATCH(ROWS($V$2:V655),$V$2:$V$1001,0),0), INDEX($AC$1004:$AS$1004,1,MATCH(COLUMNS($AC$1006:AF1006),$AC$1006:$AS$1006,0)))),"Fix")))</f>
        <v xml:space="preserve"> </v>
      </c>
      <c r="F655" s="4" t="str">
        <f ca="1">IF(OR(INDEX($W$2:$W$1001,MATCH(ROWS($V$2:V655),$V$2:$V$1001,0),1)&gt;=100000,INDEX($AC$1005:$AS$1005,1,MATCH(COLUMNS($AC$1006:AG1006),$AC$1006:$AS$1006,0))&gt;=100000), " ",IF(INDEX($AC$2:$AS$1001,MATCH(ROWS($V$2:V655),$V$2:$V$1001,0),MATCH(COLUMNS($AC$1006:AG1006),$AC$1006:$AS$1006,0)), HYPERLINK("#",""), HYPERLINK(CONCATENATE("#metadata!", ADDRESS(INDEX($X$2:$X$1001,MATCH(ROWS($V$2:V655),$V$2:$V$1001,0),0), INDEX($AC$1004:$AS$1004,1,MATCH(COLUMNS($AC$1006:AG1006),$AC$1006:$AS$1006,0)))),"Fix")))</f>
        <v xml:space="preserve"> </v>
      </c>
      <c r="G655" s="4" t="str">
        <f ca="1">IF(OR(INDEX($W$2:$W$1001,MATCH(ROWS($V$2:V655),$V$2:$V$1001,0),1)&gt;=100000,INDEX($AC$1005:$AS$1005,1,MATCH(COLUMNS($AC$1006:AH1006),$AC$1006:$AS$1006,0))&gt;=100000), " ",IF(INDEX($AC$2:$AS$1001,MATCH(ROWS($V$2:V655),$V$2:$V$1001,0),MATCH(COLUMNS($AC$1006:AH1006),$AC$1006:$AS$1006,0)), HYPERLINK("#",""), HYPERLINK(CONCATENATE("#metadata!", ADDRESS(INDEX($X$2:$X$1001,MATCH(ROWS($V$2:V655),$V$2:$V$1001,0),0), INDEX($AC$1004:$AS$1004,1,MATCH(COLUMNS($AC$1006:AH1006),$AC$1006:$AS$1006,0)))),"Fix")))</f>
        <v xml:space="preserve"> </v>
      </c>
      <c r="H655" s="4" t="str">
        <f ca="1">IF(OR(INDEX($W$2:$W$1001,MATCH(ROWS($V$2:V655),$V$2:$V$1001,0),1)&gt;=100000,INDEX($AC$1005:$AS$1005,1,MATCH(COLUMNS($AC$1006:AI1006),$AC$1006:$AS$1006,0))&gt;=100000), " ",IF(INDEX($AC$2:$AS$1001,MATCH(ROWS($V$2:V655),$V$2:$V$1001,0),MATCH(COLUMNS($AC$1006:AI1006),$AC$1006:$AS$1006,0)), HYPERLINK("#",""), HYPERLINK(CONCATENATE("#metadata!", ADDRESS(INDEX($X$2:$X$1001,MATCH(ROWS($V$2:V655),$V$2:$V$1001,0),0), INDEX($AC$1004:$AS$1004,1,MATCH(COLUMNS($AC$1006:AI1006),$AC$1006:$AS$1006,0)))),"Fix")))</f>
        <v xml:space="preserve"> </v>
      </c>
      <c r="I655" s="4" t="str">
        <f ca="1">IF(OR(INDEX($W$2:$W$1001,MATCH(ROWS($V$2:V655),$V$2:$V$1001,0),1)&gt;=100000,INDEX($AC$1005:$AS$1005,1,MATCH(COLUMNS($AC$1006:AJ1006),$AC$1006:$AS$1006,0))&gt;=100000), " ",IF(INDEX($AC$2:$AS$1001,MATCH(ROWS($V$2:V655),$V$2:$V$1001,0),MATCH(COLUMNS($AC$1006:AJ1006),$AC$1006:$AS$1006,0)), HYPERLINK("#",""), HYPERLINK(CONCATENATE("#metadata!", ADDRESS(INDEX($X$2:$X$1001,MATCH(ROWS($V$2:V655),$V$2:$V$1001,0),0), INDEX($AC$1004:$AS$1004,1,MATCH(COLUMNS($AC$1006:AJ1006),$AC$1006:$AS$1006,0)))),"Fix")))</f>
        <v xml:space="preserve"> </v>
      </c>
      <c r="J655" s="4" t="str">
        <f ca="1">IF(OR(INDEX($W$2:$W$1001,MATCH(ROWS($V$2:V655),$V$2:$V$1001,0),1)&gt;=100000,INDEX($AC$1005:$AS$1005,1,MATCH(COLUMNS($AC$1006:AK1006),$AC$1006:$AS$1006,0))&gt;=100000), " ",IF(INDEX($AC$2:$AS$1001,MATCH(ROWS($V$2:V655),$V$2:$V$1001,0),MATCH(COLUMNS($AC$1006:AK1006),$AC$1006:$AS$1006,0)), HYPERLINK("#",""), HYPERLINK(CONCATENATE("#metadata!", ADDRESS(INDEX($X$2:$X$1001,MATCH(ROWS($V$2:V655),$V$2:$V$1001,0),0), INDEX($AC$1004:$AS$1004,1,MATCH(COLUMNS($AC$1006:AK1006),$AC$1006:$AS$1006,0)))),"Fix")))</f>
        <v xml:space="preserve"> </v>
      </c>
      <c r="K655" s="4" t="str">
        <f ca="1">IF(OR(INDEX($W$2:$W$1001,MATCH(ROWS($V$2:V655),$V$2:$V$1001,0),1)&gt;=100000,INDEX($AC$1005:$AS$1005,1,MATCH(COLUMNS($AC$1006:AL1006),$AC$1006:$AS$1006,0))&gt;=100000), " ",IF(INDEX($AC$2:$AS$1001,MATCH(ROWS($V$2:V655),$V$2:$V$1001,0),MATCH(COLUMNS($AC$1006:AL1006),$AC$1006:$AS$1006,0)), HYPERLINK("#",""), HYPERLINK(CONCATENATE("#metadata!", ADDRESS(INDEX($X$2:$X$1001,MATCH(ROWS($V$2:V655),$V$2:$V$1001,0),0), INDEX($AC$1004:$AS$1004,1,MATCH(COLUMNS($AC$1006:AL1006),$AC$1006:$AS$1006,0)))),"Fix")))</f>
        <v xml:space="preserve"> </v>
      </c>
      <c r="L655" s="4" t="str">
        <f ca="1">IF(OR(INDEX($W$2:$W$1001,MATCH(ROWS($V$2:V655),$V$2:$V$1001,0),1)&gt;=100000,INDEX($AC$1005:$AS$1005,1,MATCH(COLUMNS($AC$1006:AM1006),$AC$1006:$AS$1006,0))&gt;=100000), " ",IF(INDEX($AC$2:$AS$1001,MATCH(ROWS($V$2:V655),$V$2:$V$1001,0),MATCH(COLUMNS($AC$1006:AM1006),$AC$1006:$AS$1006,0)), HYPERLINK("#",""), HYPERLINK(CONCATENATE("#metadata!", ADDRESS(INDEX($X$2:$X$1001,MATCH(ROWS($V$2:V655),$V$2:$V$1001,0),0), INDEX($AC$1004:$AS$1004,1,MATCH(COLUMNS($AC$1006:AM1006),$AC$1006:$AS$1006,0)))),"Fix")))</f>
        <v xml:space="preserve"> </v>
      </c>
      <c r="M655" s="4" t="str">
        <f ca="1">IF(OR(INDEX($W$2:$W$1001,MATCH(ROWS($V$2:V655),$V$2:$V$1001,0),1)&gt;=100000,INDEX($AC$1005:$AS$1005,1,MATCH(COLUMNS($AC$1006:AN1006),$AC$1006:$AS$1006,0))&gt;=100000), " ",IF(INDEX($AC$2:$AS$1001,MATCH(ROWS($V$2:V655),$V$2:$V$1001,0),MATCH(COLUMNS($AC$1006:AN1006),$AC$1006:$AS$1006,0)), HYPERLINK("#",""), HYPERLINK(CONCATENATE("#metadata!", ADDRESS(INDEX($X$2:$X$1001,MATCH(ROWS($V$2:V655),$V$2:$V$1001,0),0), INDEX($AC$1004:$AS$1004,1,MATCH(COLUMNS($AC$1006:AN1006),$AC$1006:$AS$1006,0)))),"Fix")))</f>
        <v xml:space="preserve"> </v>
      </c>
      <c r="N655" s="4" t="str">
        <f ca="1">IF(OR(INDEX($W$2:$W$1001,MATCH(ROWS($V$2:V655),$V$2:$V$1001,0),1)&gt;=100000,INDEX($AC$1005:$AS$1005,1,MATCH(COLUMNS($AC$1006:AO1006),$AC$1006:$AS$1006,0))&gt;=100000), " ",IF(INDEX($AC$2:$AS$1001,MATCH(ROWS($V$2:V655),$V$2:$V$1001,0),MATCH(COLUMNS($AC$1006:AO1006),$AC$1006:$AS$1006,0)), HYPERLINK("#",""), HYPERLINK(CONCATENATE("#metadata!", ADDRESS(INDEX($X$2:$X$1001,MATCH(ROWS($V$2:V655),$V$2:$V$1001,0),0), INDEX($AC$1004:$AS$1004,1,MATCH(COLUMNS($AC$1006:AO1006),$AC$1006:$AS$1006,0)))),"Fix")))</f>
        <v xml:space="preserve"> </v>
      </c>
      <c r="O655" s="4" t="str">
        <f ca="1">IF(OR(INDEX($W$2:$W$1001,MATCH(ROWS($V$2:V655),$V$2:$V$1001,0),1)&gt;=100000,INDEX($AC$1005:$AS$1005,1,MATCH(COLUMNS($AC$1006:AP1006),$AC$1006:$AS$1006,0))&gt;=100000), " ",IF(INDEX($AC$2:$AS$1001,MATCH(ROWS($V$2:V655),$V$2:$V$1001,0),MATCH(COLUMNS($AC$1006:AP1006),$AC$1006:$AS$1006,0)), HYPERLINK("#",""), HYPERLINK(CONCATENATE("#metadata!", ADDRESS(INDEX($X$2:$X$1001,MATCH(ROWS($V$2:V655),$V$2:$V$1001,0),0), INDEX($AC$1004:$AS$1004,1,MATCH(COLUMNS($AC$1006:AP1006),$AC$1006:$AS$1006,0)))),"Fix")))</f>
        <v xml:space="preserve"> </v>
      </c>
      <c r="P655" s="4" t="str">
        <f ca="1">IF(OR(INDEX($W$2:$W$1001,MATCH(ROWS($V$2:V655),$V$2:$V$1001,0),1)&gt;=100000,INDEX($AC$1005:$AS$1005,1,MATCH(COLUMNS($AC$1006:AQ1006),$AC$1006:$AS$1006,0))&gt;=100000), " ",IF(INDEX($AC$2:$AS$1001,MATCH(ROWS($V$2:V655),$V$2:$V$1001,0),MATCH(COLUMNS($AC$1006:AQ1006),$AC$1006:$AS$1006,0)), HYPERLINK("#",""), HYPERLINK(CONCATENATE("#metadata!", ADDRESS(INDEX($X$2:$X$1001,MATCH(ROWS($V$2:V655),$V$2:$V$1001,0),0), INDEX($AC$1004:$AS$1004,1,MATCH(COLUMNS($AC$1006:AQ1006),$AC$1006:$AS$1006,0)))),"Fix")))</f>
        <v xml:space="preserve"> </v>
      </c>
      <c r="Q655" s="4" t="str">
        <f ca="1">IF(OR(INDEX($W$2:$W$1001,MATCH(ROWS($V$2:V655),$V$2:$V$1001,0),1)&gt;=100000,INDEX($AC$1005:$AS$1005,1,MATCH(COLUMNS($AC$1006:AR1006),$AC$1006:$AS$1006,0))&gt;=100000), " ",IF(INDEX($AC$2:$AS$1001,MATCH(ROWS($V$2:V655),$V$2:$V$1001,0),MATCH(COLUMNS($AC$1006:AR1006),$AC$1006:$AS$1006,0)), HYPERLINK("#",""), HYPERLINK(CONCATENATE("#metadata!", ADDRESS(INDEX($X$2:$X$1001,MATCH(ROWS($V$2:V655),$V$2:$V$1001,0),0), INDEX($AC$1004:$AS$1004,1,MATCH(COLUMNS($AC$1006:AR1006),$AC$1006:$AS$1006,0)))),"Fix")))</f>
        <v xml:space="preserve"> </v>
      </c>
      <c r="R655" s="4" t="str">
        <f ca="1">IF(OR(INDEX($W$2:$W$1001,MATCH(ROWS($V$2:V655),$V$2:$V$1001,0),1)&gt;=100000,INDEX($AC$1005:$AS$1005,1,MATCH(COLUMNS($AC$1006:AS1006),$AC$1006:$AS$1006,0))&gt;=100000), " ",IF(INDEX($AC$2:$AS$1001,MATCH(ROWS($V$2:V655),$V$2:$V$1001,0),MATCH(COLUMNS($AC$1006:AS1006),$AC$1006:$AS$1006,0)), HYPERLINK("#",""), HYPERLINK(CONCATENATE("#metadata!", ADDRESS(INDEX($X$2:$X$1001,MATCH(ROWS($V$2:V655),$V$2:$V$1001,0),0), INDEX($AC$1004:$AS$1004,1,MATCH(COLUMNS($AC$1006:AS1006),$AC$1006:$AS$1006,0)))),"Fix")))</f>
        <v xml:space="preserve"> </v>
      </c>
      <c r="V655">
        <v>654</v>
      </c>
      <c r="W655">
        <v>100655</v>
      </c>
      <c r="X655">
        <v>655</v>
      </c>
      <c r="Y655" t="b">
        <f t="shared" si="10"/>
        <v>1</v>
      </c>
      <c r="Z655" t="b">
        <f>COUNTBLANK(metadata!B655:R655)=COLUMNS(metadata!B655:R655)</f>
        <v>1</v>
      </c>
      <c r="AA655" t="str">
        <v/>
      </c>
      <c r="AC655" t="b">
        <f ca="1"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AD655" t="b">
        <f>IF(metadata!C655="",FALSE,ISNUMBER(VALUE(metadata!C655)))</f>
        <v>0</v>
      </c>
      <c r="AE655" t="b">
        <f>AND(IF(metadata!D655="",FALSE,TRUE),EXACT(metadata!D655,"years"))</f>
        <v>0</v>
      </c>
      <c r="AF655" t="b">
        <f>OR(AND(IF(metadata!E655="",FALSE,TRUE),OR(EXACT(metadata!E655,"not applicable"),EXACT(metadata!E655,"missing: not collected"),EXACT(metadata!E655,"missing: not provided"),EXACT(metadata!E655,"missing: restricted access"))),AND(IF(metadata!E655="",FALSE,ISNUMBER(VALUE(metadata!E655))),metadata!E655&gt;0))</f>
        <v>0</v>
      </c>
      <c r="AG655" t="b">
        <f>AND(IF(metadata!F655="",FALSE,TRUE),EXACT(metadata!F655,"Not applicable"))</f>
        <v>0</v>
      </c>
      <c r="AH655" t="b">
        <f>AND(IF(metadata!G655="",FALSE,TRUE),EXACT(metadata!G655,"urban biome"))</f>
        <v>0</v>
      </c>
      <c r="AI655" t="b">
        <f>AND(IF(metadata!H655="",FALSE,TRUE),EXACT(metadata!H655,"human-associated habitat"))</f>
        <v>0</v>
      </c>
      <c r="AJ655" t="b">
        <f>AND(IF(metadata!I655="",FALSE,TRUE),OR(EXACT(metadata!I655,"human-associated"),EXACT(metadata!I655,"human-skin"),EXACT(metadata!I655,"human-oral"),EXACT(metadata!I655,"human-gut"),EXACT(metadata!I655,"human-vaginal")))</f>
        <v>0</v>
      </c>
      <c r="AK655" t="b">
        <f>IF(metadata!J655="",FALSE,ISNUMBER(VALUE(metadata!J655)))</f>
        <v>0</v>
      </c>
      <c r="AL655" t="b">
        <f>AND(IF(metadata!K655="",FALSE,TRUE),EXACT(metadata!K655,"cm"))</f>
        <v>0</v>
      </c>
      <c r="AM655" t="b">
        <f>AND(IF(metadata!L655="",FALSE,TRUE),EXACT(metadata!L655,"human"))</f>
        <v>0</v>
      </c>
      <c r="AN655" t="b">
        <f>AND(IF(metadata!M655="",FALSE,TRUE),EXACT(metadata!M655,"Homo sapiens"))</f>
        <v>0</v>
      </c>
      <c r="AO655" t="b">
        <f>AND(IF(metadata!N655="",FALSE,TRUE),EXACT(metadata!N655,"9606"))</f>
        <v>0</v>
      </c>
      <c r="AP655" t="b">
        <f>IF(metadata!O655="",FALSE,TRUE)</f>
        <v>0</v>
      </c>
      <c r="AQ655" t="b">
        <f>IF(metadata!P655="",FALSE,TRUE)</f>
        <v>0</v>
      </c>
      <c r="AR655" t="b">
        <f>IF(metadata!Q655="",FALSE,ISNUMBER(VALUE(metadata!Q655)))</f>
        <v>0</v>
      </c>
      <c r="AS655" t="b">
        <f>AND(IF(metadata!R655="",FALSE,TRUE),EXACT(metadata!R655,"kg"))</f>
        <v>0</v>
      </c>
    </row>
    <row r="656" spans="1:45" x14ac:dyDescent="0.2">
      <c r="A656" s="5" t="str">
        <f ca="1">IF(B656=" "," ",HYPERLINK(CONCATENATE("#metadata!",ADDRESS(INDEX($X$2:$X$1001,MATCH(ROWS($V$2:V656),$V$2:$V$1001,0),0),1)),INDEX($AA$2:$AA$1001,MATCH(ROWS($V$2:V656),$V$2:$V$1001,0),0)))</f>
        <v xml:space="preserve"> </v>
      </c>
      <c r="B656" s="4" t="str">
        <f ca="1">IF(OR(INDEX($W$2:$W$1001,MATCH(ROWS($V$2:V656),$V$2:$V$1001,0),1)&gt;=100000,INDEX($AC$1005:$AS$1005,1,MATCH(COLUMNS($AC$1006:AC1006),$AC$1006:$AS$1006,0))&gt;=100000), " ",IF(INDEX($AC$2:$AS$1001,MATCH(ROWS($V$2:V656),$V$2:$V$1001,0),MATCH(COLUMNS($AC$1006:AC1006),$AC$1006:$AS$1006,0)), HYPERLINK("#",""), HYPERLINK(CONCATENATE("#metadata!", ADDRESS(INDEX($X$2:$X$1001,MATCH(ROWS($V$2:V656),$V$2:$V$1001,0),0), INDEX($AC$1004:$AS$1004,1,MATCH(COLUMNS($AC$1006:AC1006),$AC$1006:$AS$1006,0)))),"Fix")))</f>
        <v xml:space="preserve"> </v>
      </c>
      <c r="C656" s="4" t="str">
        <f ca="1">IF(OR(INDEX($W$2:$W$1001,MATCH(ROWS($V$2:V656),$V$2:$V$1001,0),1)&gt;=100000,INDEX($AC$1005:$AS$1005,1,MATCH(COLUMNS($AC$1006:AD1006),$AC$1006:$AS$1006,0))&gt;=100000), " ",IF(INDEX($AC$2:$AS$1001,MATCH(ROWS($V$2:V656),$V$2:$V$1001,0),MATCH(COLUMNS($AC$1006:AD1006),$AC$1006:$AS$1006,0)), HYPERLINK("#",""), HYPERLINK(CONCATENATE("#metadata!", ADDRESS(INDEX($X$2:$X$1001,MATCH(ROWS($V$2:V656),$V$2:$V$1001,0),0), INDEX($AC$1004:$AS$1004,1,MATCH(COLUMNS($AC$1006:AD1006),$AC$1006:$AS$1006,0)))),"Fix")))</f>
        <v xml:space="preserve"> </v>
      </c>
      <c r="D656" s="4" t="str">
        <f ca="1">IF(OR(INDEX($W$2:$W$1001,MATCH(ROWS($V$2:V656),$V$2:$V$1001,0),1)&gt;=100000,INDEX($AC$1005:$AS$1005,1,MATCH(COLUMNS($AC$1006:AE1006),$AC$1006:$AS$1006,0))&gt;=100000), " ",IF(INDEX($AC$2:$AS$1001,MATCH(ROWS($V$2:V656),$V$2:$V$1001,0),MATCH(COLUMNS($AC$1006:AE1006),$AC$1006:$AS$1006,0)), HYPERLINK("#",""), HYPERLINK(CONCATENATE("#metadata!", ADDRESS(INDEX($X$2:$X$1001,MATCH(ROWS($V$2:V656),$V$2:$V$1001,0),0), INDEX($AC$1004:$AS$1004,1,MATCH(COLUMNS($AC$1006:AE1006),$AC$1006:$AS$1006,0)))),"Fix")))</f>
        <v xml:space="preserve"> </v>
      </c>
      <c r="E656" s="4" t="str">
        <f ca="1">IF(OR(INDEX($W$2:$W$1001,MATCH(ROWS($V$2:V656),$V$2:$V$1001,0),1)&gt;=100000,INDEX($AC$1005:$AS$1005,1,MATCH(COLUMNS($AC$1006:AF1006),$AC$1006:$AS$1006,0))&gt;=100000), " ",IF(INDEX($AC$2:$AS$1001,MATCH(ROWS($V$2:V656),$V$2:$V$1001,0),MATCH(COLUMNS($AC$1006:AF1006),$AC$1006:$AS$1006,0)), HYPERLINK("#",""), HYPERLINK(CONCATENATE("#metadata!", ADDRESS(INDEX($X$2:$X$1001,MATCH(ROWS($V$2:V656),$V$2:$V$1001,0),0), INDEX($AC$1004:$AS$1004,1,MATCH(COLUMNS($AC$1006:AF1006),$AC$1006:$AS$1006,0)))),"Fix")))</f>
        <v xml:space="preserve"> </v>
      </c>
      <c r="F656" s="4" t="str">
        <f ca="1">IF(OR(INDEX($W$2:$W$1001,MATCH(ROWS($V$2:V656),$V$2:$V$1001,0),1)&gt;=100000,INDEX($AC$1005:$AS$1005,1,MATCH(COLUMNS($AC$1006:AG1006),$AC$1006:$AS$1006,0))&gt;=100000), " ",IF(INDEX($AC$2:$AS$1001,MATCH(ROWS($V$2:V656),$V$2:$V$1001,0),MATCH(COLUMNS($AC$1006:AG1006),$AC$1006:$AS$1006,0)), HYPERLINK("#",""), HYPERLINK(CONCATENATE("#metadata!", ADDRESS(INDEX($X$2:$X$1001,MATCH(ROWS($V$2:V656),$V$2:$V$1001,0),0), INDEX($AC$1004:$AS$1004,1,MATCH(COLUMNS($AC$1006:AG1006),$AC$1006:$AS$1006,0)))),"Fix")))</f>
        <v xml:space="preserve"> </v>
      </c>
      <c r="G656" s="4" t="str">
        <f ca="1">IF(OR(INDEX($W$2:$W$1001,MATCH(ROWS($V$2:V656),$V$2:$V$1001,0),1)&gt;=100000,INDEX($AC$1005:$AS$1005,1,MATCH(COLUMNS($AC$1006:AH1006),$AC$1006:$AS$1006,0))&gt;=100000), " ",IF(INDEX($AC$2:$AS$1001,MATCH(ROWS($V$2:V656),$V$2:$V$1001,0),MATCH(COLUMNS($AC$1006:AH1006),$AC$1006:$AS$1006,0)), HYPERLINK("#",""), HYPERLINK(CONCATENATE("#metadata!", ADDRESS(INDEX($X$2:$X$1001,MATCH(ROWS($V$2:V656),$V$2:$V$1001,0),0), INDEX($AC$1004:$AS$1004,1,MATCH(COLUMNS($AC$1006:AH1006),$AC$1006:$AS$1006,0)))),"Fix")))</f>
        <v xml:space="preserve"> </v>
      </c>
      <c r="H656" s="4" t="str">
        <f ca="1">IF(OR(INDEX($W$2:$W$1001,MATCH(ROWS($V$2:V656),$V$2:$V$1001,0),1)&gt;=100000,INDEX($AC$1005:$AS$1005,1,MATCH(COLUMNS($AC$1006:AI1006),$AC$1006:$AS$1006,0))&gt;=100000), " ",IF(INDEX($AC$2:$AS$1001,MATCH(ROWS($V$2:V656),$V$2:$V$1001,0),MATCH(COLUMNS($AC$1006:AI1006),$AC$1006:$AS$1006,0)), HYPERLINK("#",""), HYPERLINK(CONCATENATE("#metadata!", ADDRESS(INDEX($X$2:$X$1001,MATCH(ROWS($V$2:V656),$V$2:$V$1001,0),0), INDEX($AC$1004:$AS$1004,1,MATCH(COLUMNS($AC$1006:AI1006),$AC$1006:$AS$1006,0)))),"Fix")))</f>
        <v xml:space="preserve"> </v>
      </c>
      <c r="I656" s="4" t="str">
        <f ca="1">IF(OR(INDEX($W$2:$W$1001,MATCH(ROWS($V$2:V656),$V$2:$V$1001,0),1)&gt;=100000,INDEX($AC$1005:$AS$1005,1,MATCH(COLUMNS($AC$1006:AJ1006),$AC$1006:$AS$1006,0))&gt;=100000), " ",IF(INDEX($AC$2:$AS$1001,MATCH(ROWS($V$2:V656),$V$2:$V$1001,0),MATCH(COLUMNS($AC$1006:AJ1006),$AC$1006:$AS$1006,0)), HYPERLINK("#",""), HYPERLINK(CONCATENATE("#metadata!", ADDRESS(INDEX($X$2:$X$1001,MATCH(ROWS($V$2:V656),$V$2:$V$1001,0),0), INDEX($AC$1004:$AS$1004,1,MATCH(COLUMNS($AC$1006:AJ1006),$AC$1006:$AS$1006,0)))),"Fix")))</f>
        <v xml:space="preserve"> </v>
      </c>
      <c r="J656" s="4" t="str">
        <f ca="1">IF(OR(INDEX($W$2:$W$1001,MATCH(ROWS($V$2:V656),$V$2:$V$1001,0),1)&gt;=100000,INDEX($AC$1005:$AS$1005,1,MATCH(COLUMNS($AC$1006:AK1006),$AC$1006:$AS$1006,0))&gt;=100000), " ",IF(INDEX($AC$2:$AS$1001,MATCH(ROWS($V$2:V656),$V$2:$V$1001,0),MATCH(COLUMNS($AC$1006:AK1006),$AC$1006:$AS$1006,0)), HYPERLINK("#",""), HYPERLINK(CONCATENATE("#metadata!", ADDRESS(INDEX($X$2:$X$1001,MATCH(ROWS($V$2:V656),$V$2:$V$1001,0),0), INDEX($AC$1004:$AS$1004,1,MATCH(COLUMNS($AC$1006:AK1006),$AC$1006:$AS$1006,0)))),"Fix")))</f>
        <v xml:space="preserve"> </v>
      </c>
      <c r="K656" s="4" t="str">
        <f ca="1">IF(OR(INDEX($W$2:$W$1001,MATCH(ROWS($V$2:V656),$V$2:$V$1001,0),1)&gt;=100000,INDEX($AC$1005:$AS$1005,1,MATCH(COLUMNS($AC$1006:AL1006),$AC$1006:$AS$1006,0))&gt;=100000), " ",IF(INDEX($AC$2:$AS$1001,MATCH(ROWS($V$2:V656),$V$2:$V$1001,0),MATCH(COLUMNS($AC$1006:AL1006),$AC$1006:$AS$1006,0)), HYPERLINK("#",""), HYPERLINK(CONCATENATE("#metadata!", ADDRESS(INDEX($X$2:$X$1001,MATCH(ROWS($V$2:V656),$V$2:$V$1001,0),0), INDEX($AC$1004:$AS$1004,1,MATCH(COLUMNS($AC$1006:AL1006),$AC$1006:$AS$1006,0)))),"Fix")))</f>
        <v xml:space="preserve"> </v>
      </c>
      <c r="L656" s="4" t="str">
        <f ca="1">IF(OR(INDEX($W$2:$W$1001,MATCH(ROWS($V$2:V656),$V$2:$V$1001,0),1)&gt;=100000,INDEX($AC$1005:$AS$1005,1,MATCH(COLUMNS($AC$1006:AM1006),$AC$1006:$AS$1006,0))&gt;=100000), " ",IF(INDEX($AC$2:$AS$1001,MATCH(ROWS($V$2:V656),$V$2:$V$1001,0),MATCH(COLUMNS($AC$1006:AM1006),$AC$1006:$AS$1006,0)), HYPERLINK("#",""), HYPERLINK(CONCATENATE("#metadata!", ADDRESS(INDEX($X$2:$X$1001,MATCH(ROWS($V$2:V656),$V$2:$V$1001,0),0), INDEX($AC$1004:$AS$1004,1,MATCH(COLUMNS($AC$1006:AM1006),$AC$1006:$AS$1006,0)))),"Fix")))</f>
        <v xml:space="preserve"> </v>
      </c>
      <c r="M656" s="4" t="str">
        <f ca="1">IF(OR(INDEX($W$2:$W$1001,MATCH(ROWS($V$2:V656),$V$2:$V$1001,0),1)&gt;=100000,INDEX($AC$1005:$AS$1005,1,MATCH(COLUMNS($AC$1006:AN1006),$AC$1006:$AS$1006,0))&gt;=100000), " ",IF(INDEX($AC$2:$AS$1001,MATCH(ROWS($V$2:V656),$V$2:$V$1001,0),MATCH(COLUMNS($AC$1006:AN1006),$AC$1006:$AS$1006,0)), HYPERLINK("#",""), HYPERLINK(CONCATENATE("#metadata!", ADDRESS(INDEX($X$2:$X$1001,MATCH(ROWS($V$2:V656),$V$2:$V$1001,0),0), INDEX($AC$1004:$AS$1004,1,MATCH(COLUMNS($AC$1006:AN1006),$AC$1006:$AS$1006,0)))),"Fix")))</f>
        <v xml:space="preserve"> </v>
      </c>
      <c r="N656" s="4" t="str">
        <f ca="1">IF(OR(INDEX($W$2:$W$1001,MATCH(ROWS($V$2:V656),$V$2:$V$1001,0),1)&gt;=100000,INDEX($AC$1005:$AS$1005,1,MATCH(COLUMNS($AC$1006:AO1006),$AC$1006:$AS$1006,0))&gt;=100000), " ",IF(INDEX($AC$2:$AS$1001,MATCH(ROWS($V$2:V656),$V$2:$V$1001,0),MATCH(COLUMNS($AC$1006:AO1006),$AC$1006:$AS$1006,0)), HYPERLINK("#",""), HYPERLINK(CONCATENATE("#metadata!", ADDRESS(INDEX($X$2:$X$1001,MATCH(ROWS($V$2:V656),$V$2:$V$1001,0),0), INDEX($AC$1004:$AS$1004,1,MATCH(COLUMNS($AC$1006:AO1006),$AC$1006:$AS$1006,0)))),"Fix")))</f>
        <v xml:space="preserve"> </v>
      </c>
      <c r="O656" s="4" t="str">
        <f ca="1">IF(OR(INDEX($W$2:$W$1001,MATCH(ROWS($V$2:V656),$V$2:$V$1001,0),1)&gt;=100000,INDEX($AC$1005:$AS$1005,1,MATCH(COLUMNS($AC$1006:AP1006),$AC$1006:$AS$1006,0))&gt;=100000), " ",IF(INDEX($AC$2:$AS$1001,MATCH(ROWS($V$2:V656),$V$2:$V$1001,0),MATCH(COLUMNS($AC$1006:AP1006),$AC$1006:$AS$1006,0)), HYPERLINK("#",""), HYPERLINK(CONCATENATE("#metadata!", ADDRESS(INDEX($X$2:$X$1001,MATCH(ROWS($V$2:V656),$V$2:$V$1001,0),0), INDEX($AC$1004:$AS$1004,1,MATCH(COLUMNS($AC$1006:AP1006),$AC$1006:$AS$1006,0)))),"Fix")))</f>
        <v xml:space="preserve"> </v>
      </c>
      <c r="P656" s="4" t="str">
        <f ca="1">IF(OR(INDEX($W$2:$W$1001,MATCH(ROWS($V$2:V656),$V$2:$V$1001,0),1)&gt;=100000,INDEX($AC$1005:$AS$1005,1,MATCH(COLUMNS($AC$1006:AQ1006),$AC$1006:$AS$1006,0))&gt;=100000), " ",IF(INDEX($AC$2:$AS$1001,MATCH(ROWS($V$2:V656),$V$2:$V$1001,0),MATCH(COLUMNS($AC$1006:AQ1006),$AC$1006:$AS$1006,0)), HYPERLINK("#",""), HYPERLINK(CONCATENATE("#metadata!", ADDRESS(INDEX($X$2:$X$1001,MATCH(ROWS($V$2:V656),$V$2:$V$1001,0),0), INDEX($AC$1004:$AS$1004,1,MATCH(COLUMNS($AC$1006:AQ1006),$AC$1006:$AS$1006,0)))),"Fix")))</f>
        <v xml:space="preserve"> </v>
      </c>
      <c r="Q656" s="4" t="str">
        <f ca="1">IF(OR(INDEX($W$2:$W$1001,MATCH(ROWS($V$2:V656),$V$2:$V$1001,0),1)&gt;=100000,INDEX($AC$1005:$AS$1005,1,MATCH(COLUMNS($AC$1006:AR1006),$AC$1006:$AS$1006,0))&gt;=100000), " ",IF(INDEX($AC$2:$AS$1001,MATCH(ROWS($V$2:V656),$V$2:$V$1001,0),MATCH(COLUMNS($AC$1006:AR1006),$AC$1006:$AS$1006,0)), HYPERLINK("#",""), HYPERLINK(CONCATENATE("#metadata!", ADDRESS(INDEX($X$2:$X$1001,MATCH(ROWS($V$2:V656),$V$2:$V$1001,0),0), INDEX($AC$1004:$AS$1004,1,MATCH(COLUMNS($AC$1006:AR1006),$AC$1006:$AS$1006,0)))),"Fix")))</f>
        <v xml:space="preserve"> </v>
      </c>
      <c r="R656" s="4" t="str">
        <f ca="1">IF(OR(INDEX($W$2:$W$1001,MATCH(ROWS($V$2:V656),$V$2:$V$1001,0),1)&gt;=100000,INDEX($AC$1005:$AS$1005,1,MATCH(COLUMNS($AC$1006:AS1006),$AC$1006:$AS$1006,0))&gt;=100000), " ",IF(INDEX($AC$2:$AS$1001,MATCH(ROWS($V$2:V656),$V$2:$V$1001,0),MATCH(COLUMNS($AC$1006:AS1006),$AC$1006:$AS$1006,0)), HYPERLINK("#",""), HYPERLINK(CONCATENATE("#metadata!", ADDRESS(INDEX($X$2:$X$1001,MATCH(ROWS($V$2:V656),$V$2:$V$1001,0),0), INDEX($AC$1004:$AS$1004,1,MATCH(COLUMNS($AC$1006:AS1006),$AC$1006:$AS$1006,0)))),"Fix")))</f>
        <v xml:space="preserve"> </v>
      </c>
      <c r="V656">
        <v>655</v>
      </c>
      <c r="W656">
        <v>100656</v>
      </c>
      <c r="X656">
        <v>656</v>
      </c>
      <c r="Y656" t="b">
        <f t="shared" si="10"/>
        <v>1</v>
      </c>
      <c r="Z656" t="b">
        <f>COUNTBLANK(metadata!B656:R656)=COLUMNS(metadata!B656:R656)</f>
        <v>1</v>
      </c>
      <c r="AA656" t="str">
        <v/>
      </c>
      <c r="AC656" t="b">
        <f ca="1"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AD656" t="b">
        <f>IF(metadata!C656="",FALSE,ISNUMBER(VALUE(metadata!C656)))</f>
        <v>0</v>
      </c>
      <c r="AE656" t="b">
        <f>AND(IF(metadata!D656="",FALSE,TRUE),EXACT(metadata!D656,"years"))</f>
        <v>0</v>
      </c>
      <c r="AF656" t="b">
        <f>OR(AND(IF(metadata!E656="",FALSE,TRUE),OR(EXACT(metadata!E656,"not applicable"),EXACT(metadata!E656,"missing: not collected"),EXACT(metadata!E656,"missing: not provided"),EXACT(metadata!E656,"missing: restricted access"))),AND(IF(metadata!E656="",FALSE,ISNUMBER(VALUE(metadata!E656))),metadata!E656&gt;0))</f>
        <v>0</v>
      </c>
      <c r="AG656" t="b">
        <f>AND(IF(metadata!F656="",FALSE,TRUE),EXACT(metadata!F656,"Not applicable"))</f>
        <v>0</v>
      </c>
      <c r="AH656" t="b">
        <f>AND(IF(metadata!G656="",FALSE,TRUE),EXACT(metadata!G656,"urban biome"))</f>
        <v>0</v>
      </c>
      <c r="AI656" t="b">
        <f>AND(IF(metadata!H656="",FALSE,TRUE),EXACT(metadata!H656,"human-associated habitat"))</f>
        <v>0</v>
      </c>
      <c r="AJ656" t="b">
        <f>AND(IF(metadata!I656="",FALSE,TRUE),OR(EXACT(metadata!I656,"human-associated"),EXACT(metadata!I656,"human-skin"),EXACT(metadata!I656,"human-oral"),EXACT(metadata!I656,"human-gut"),EXACT(metadata!I656,"human-vaginal")))</f>
        <v>0</v>
      </c>
      <c r="AK656" t="b">
        <f>IF(metadata!J656="",FALSE,ISNUMBER(VALUE(metadata!J656)))</f>
        <v>0</v>
      </c>
      <c r="AL656" t="b">
        <f>AND(IF(metadata!K656="",FALSE,TRUE),EXACT(metadata!K656,"cm"))</f>
        <v>0</v>
      </c>
      <c r="AM656" t="b">
        <f>AND(IF(metadata!L656="",FALSE,TRUE),EXACT(metadata!L656,"human"))</f>
        <v>0</v>
      </c>
      <c r="AN656" t="b">
        <f>AND(IF(metadata!M656="",FALSE,TRUE),EXACT(metadata!M656,"Homo sapiens"))</f>
        <v>0</v>
      </c>
      <c r="AO656" t="b">
        <f>AND(IF(metadata!N656="",FALSE,TRUE),EXACT(metadata!N656,"9606"))</f>
        <v>0</v>
      </c>
      <c r="AP656" t="b">
        <f>IF(metadata!O656="",FALSE,TRUE)</f>
        <v>0</v>
      </c>
      <c r="AQ656" t="b">
        <f>IF(metadata!P656="",FALSE,TRUE)</f>
        <v>0</v>
      </c>
      <c r="AR656" t="b">
        <f>IF(metadata!Q656="",FALSE,ISNUMBER(VALUE(metadata!Q656)))</f>
        <v>0</v>
      </c>
      <c r="AS656" t="b">
        <f>AND(IF(metadata!R656="",FALSE,TRUE),EXACT(metadata!R656,"kg"))</f>
        <v>0</v>
      </c>
    </row>
    <row r="657" spans="1:45" x14ac:dyDescent="0.2">
      <c r="A657" s="5" t="str">
        <f ca="1">IF(B657=" "," ",HYPERLINK(CONCATENATE("#metadata!",ADDRESS(INDEX($X$2:$X$1001,MATCH(ROWS($V$2:V657),$V$2:$V$1001,0),0),1)),INDEX($AA$2:$AA$1001,MATCH(ROWS($V$2:V657),$V$2:$V$1001,0),0)))</f>
        <v xml:space="preserve"> </v>
      </c>
      <c r="B657" s="4" t="str">
        <f ca="1">IF(OR(INDEX($W$2:$W$1001,MATCH(ROWS($V$2:V657),$V$2:$V$1001,0),1)&gt;=100000,INDEX($AC$1005:$AS$1005,1,MATCH(COLUMNS($AC$1006:AC1006),$AC$1006:$AS$1006,0))&gt;=100000), " ",IF(INDEX($AC$2:$AS$1001,MATCH(ROWS($V$2:V657),$V$2:$V$1001,0),MATCH(COLUMNS($AC$1006:AC1006),$AC$1006:$AS$1006,0)), HYPERLINK("#",""), HYPERLINK(CONCATENATE("#metadata!", ADDRESS(INDEX($X$2:$X$1001,MATCH(ROWS($V$2:V657),$V$2:$V$1001,0),0), INDEX($AC$1004:$AS$1004,1,MATCH(COLUMNS($AC$1006:AC1006),$AC$1006:$AS$1006,0)))),"Fix")))</f>
        <v xml:space="preserve"> </v>
      </c>
      <c r="C657" s="4" t="str">
        <f ca="1">IF(OR(INDEX($W$2:$W$1001,MATCH(ROWS($V$2:V657),$V$2:$V$1001,0),1)&gt;=100000,INDEX($AC$1005:$AS$1005,1,MATCH(COLUMNS($AC$1006:AD1006),$AC$1006:$AS$1006,0))&gt;=100000), " ",IF(INDEX($AC$2:$AS$1001,MATCH(ROWS($V$2:V657),$V$2:$V$1001,0),MATCH(COLUMNS($AC$1006:AD1006),$AC$1006:$AS$1006,0)), HYPERLINK("#",""), HYPERLINK(CONCATENATE("#metadata!", ADDRESS(INDEX($X$2:$X$1001,MATCH(ROWS($V$2:V657),$V$2:$V$1001,0),0), INDEX($AC$1004:$AS$1004,1,MATCH(COLUMNS($AC$1006:AD1006),$AC$1006:$AS$1006,0)))),"Fix")))</f>
        <v xml:space="preserve"> </v>
      </c>
      <c r="D657" s="4" t="str">
        <f ca="1">IF(OR(INDEX($W$2:$W$1001,MATCH(ROWS($V$2:V657),$V$2:$V$1001,0),1)&gt;=100000,INDEX($AC$1005:$AS$1005,1,MATCH(COLUMNS($AC$1006:AE1006),$AC$1006:$AS$1006,0))&gt;=100000), " ",IF(INDEX($AC$2:$AS$1001,MATCH(ROWS($V$2:V657),$V$2:$V$1001,0),MATCH(COLUMNS($AC$1006:AE1006),$AC$1006:$AS$1006,0)), HYPERLINK("#",""), HYPERLINK(CONCATENATE("#metadata!", ADDRESS(INDEX($X$2:$X$1001,MATCH(ROWS($V$2:V657),$V$2:$V$1001,0),0), INDEX($AC$1004:$AS$1004,1,MATCH(COLUMNS($AC$1006:AE1006),$AC$1006:$AS$1006,0)))),"Fix")))</f>
        <v xml:space="preserve"> </v>
      </c>
      <c r="E657" s="4" t="str">
        <f ca="1">IF(OR(INDEX($W$2:$W$1001,MATCH(ROWS($V$2:V657),$V$2:$V$1001,0),1)&gt;=100000,INDEX($AC$1005:$AS$1005,1,MATCH(COLUMNS($AC$1006:AF1006),$AC$1006:$AS$1006,0))&gt;=100000), " ",IF(INDEX($AC$2:$AS$1001,MATCH(ROWS($V$2:V657),$V$2:$V$1001,0),MATCH(COLUMNS($AC$1006:AF1006),$AC$1006:$AS$1006,0)), HYPERLINK("#",""), HYPERLINK(CONCATENATE("#metadata!", ADDRESS(INDEX($X$2:$X$1001,MATCH(ROWS($V$2:V657),$V$2:$V$1001,0),0), INDEX($AC$1004:$AS$1004,1,MATCH(COLUMNS($AC$1006:AF1006),$AC$1006:$AS$1006,0)))),"Fix")))</f>
        <v xml:space="preserve"> </v>
      </c>
      <c r="F657" s="4" t="str">
        <f ca="1">IF(OR(INDEX($W$2:$W$1001,MATCH(ROWS($V$2:V657),$V$2:$V$1001,0),1)&gt;=100000,INDEX($AC$1005:$AS$1005,1,MATCH(COLUMNS($AC$1006:AG1006),$AC$1006:$AS$1006,0))&gt;=100000), " ",IF(INDEX($AC$2:$AS$1001,MATCH(ROWS($V$2:V657),$V$2:$V$1001,0),MATCH(COLUMNS($AC$1006:AG1006),$AC$1006:$AS$1006,0)), HYPERLINK("#",""), HYPERLINK(CONCATENATE("#metadata!", ADDRESS(INDEX($X$2:$X$1001,MATCH(ROWS($V$2:V657),$V$2:$V$1001,0),0), INDEX($AC$1004:$AS$1004,1,MATCH(COLUMNS($AC$1006:AG1006),$AC$1006:$AS$1006,0)))),"Fix")))</f>
        <v xml:space="preserve"> </v>
      </c>
      <c r="G657" s="4" t="str">
        <f ca="1">IF(OR(INDEX($W$2:$W$1001,MATCH(ROWS($V$2:V657),$V$2:$V$1001,0),1)&gt;=100000,INDEX($AC$1005:$AS$1005,1,MATCH(COLUMNS($AC$1006:AH1006),$AC$1006:$AS$1006,0))&gt;=100000), " ",IF(INDEX($AC$2:$AS$1001,MATCH(ROWS($V$2:V657),$V$2:$V$1001,0),MATCH(COLUMNS($AC$1006:AH1006),$AC$1006:$AS$1006,0)), HYPERLINK("#",""), HYPERLINK(CONCATENATE("#metadata!", ADDRESS(INDEX($X$2:$X$1001,MATCH(ROWS($V$2:V657),$V$2:$V$1001,0),0), INDEX($AC$1004:$AS$1004,1,MATCH(COLUMNS($AC$1006:AH1006),$AC$1006:$AS$1006,0)))),"Fix")))</f>
        <v xml:space="preserve"> </v>
      </c>
      <c r="H657" s="4" t="str">
        <f ca="1">IF(OR(INDEX($W$2:$W$1001,MATCH(ROWS($V$2:V657),$V$2:$V$1001,0),1)&gt;=100000,INDEX($AC$1005:$AS$1005,1,MATCH(COLUMNS($AC$1006:AI1006),$AC$1006:$AS$1006,0))&gt;=100000), " ",IF(INDEX($AC$2:$AS$1001,MATCH(ROWS($V$2:V657),$V$2:$V$1001,0),MATCH(COLUMNS($AC$1006:AI1006),$AC$1006:$AS$1006,0)), HYPERLINK("#",""), HYPERLINK(CONCATENATE("#metadata!", ADDRESS(INDEX($X$2:$X$1001,MATCH(ROWS($V$2:V657),$V$2:$V$1001,0),0), INDEX($AC$1004:$AS$1004,1,MATCH(COLUMNS($AC$1006:AI1006),$AC$1006:$AS$1006,0)))),"Fix")))</f>
        <v xml:space="preserve"> </v>
      </c>
      <c r="I657" s="4" t="str">
        <f ca="1">IF(OR(INDEX($W$2:$W$1001,MATCH(ROWS($V$2:V657),$V$2:$V$1001,0),1)&gt;=100000,INDEX($AC$1005:$AS$1005,1,MATCH(COLUMNS($AC$1006:AJ1006),$AC$1006:$AS$1006,0))&gt;=100000), " ",IF(INDEX($AC$2:$AS$1001,MATCH(ROWS($V$2:V657),$V$2:$V$1001,0),MATCH(COLUMNS($AC$1006:AJ1006),$AC$1006:$AS$1006,0)), HYPERLINK("#",""), HYPERLINK(CONCATENATE("#metadata!", ADDRESS(INDEX($X$2:$X$1001,MATCH(ROWS($V$2:V657),$V$2:$V$1001,0),0), INDEX($AC$1004:$AS$1004,1,MATCH(COLUMNS($AC$1006:AJ1006),$AC$1006:$AS$1006,0)))),"Fix")))</f>
        <v xml:space="preserve"> </v>
      </c>
      <c r="J657" s="4" t="str">
        <f ca="1">IF(OR(INDEX($W$2:$W$1001,MATCH(ROWS($V$2:V657),$V$2:$V$1001,0),1)&gt;=100000,INDEX($AC$1005:$AS$1005,1,MATCH(COLUMNS($AC$1006:AK1006),$AC$1006:$AS$1006,0))&gt;=100000), " ",IF(INDEX($AC$2:$AS$1001,MATCH(ROWS($V$2:V657),$V$2:$V$1001,0),MATCH(COLUMNS($AC$1006:AK1006),$AC$1006:$AS$1006,0)), HYPERLINK("#",""), HYPERLINK(CONCATENATE("#metadata!", ADDRESS(INDEX($X$2:$X$1001,MATCH(ROWS($V$2:V657),$V$2:$V$1001,0),0), INDEX($AC$1004:$AS$1004,1,MATCH(COLUMNS($AC$1006:AK1006),$AC$1006:$AS$1006,0)))),"Fix")))</f>
        <v xml:space="preserve"> </v>
      </c>
      <c r="K657" s="4" t="str">
        <f ca="1">IF(OR(INDEX($W$2:$W$1001,MATCH(ROWS($V$2:V657),$V$2:$V$1001,0),1)&gt;=100000,INDEX($AC$1005:$AS$1005,1,MATCH(COLUMNS($AC$1006:AL1006),$AC$1006:$AS$1006,0))&gt;=100000), " ",IF(INDEX($AC$2:$AS$1001,MATCH(ROWS($V$2:V657),$V$2:$V$1001,0),MATCH(COLUMNS($AC$1006:AL1006),$AC$1006:$AS$1006,0)), HYPERLINK("#",""), HYPERLINK(CONCATENATE("#metadata!", ADDRESS(INDEX($X$2:$X$1001,MATCH(ROWS($V$2:V657),$V$2:$V$1001,0),0), INDEX($AC$1004:$AS$1004,1,MATCH(COLUMNS($AC$1006:AL1006),$AC$1006:$AS$1006,0)))),"Fix")))</f>
        <v xml:space="preserve"> </v>
      </c>
      <c r="L657" s="4" t="str">
        <f ca="1">IF(OR(INDEX($W$2:$W$1001,MATCH(ROWS($V$2:V657),$V$2:$V$1001,0),1)&gt;=100000,INDEX($AC$1005:$AS$1005,1,MATCH(COLUMNS($AC$1006:AM1006),$AC$1006:$AS$1006,0))&gt;=100000), " ",IF(INDEX($AC$2:$AS$1001,MATCH(ROWS($V$2:V657),$V$2:$V$1001,0),MATCH(COLUMNS($AC$1006:AM1006),$AC$1006:$AS$1006,0)), HYPERLINK("#",""), HYPERLINK(CONCATENATE("#metadata!", ADDRESS(INDEX($X$2:$X$1001,MATCH(ROWS($V$2:V657),$V$2:$V$1001,0),0), INDEX($AC$1004:$AS$1004,1,MATCH(COLUMNS($AC$1006:AM1006),$AC$1006:$AS$1006,0)))),"Fix")))</f>
        <v xml:space="preserve"> </v>
      </c>
      <c r="M657" s="4" t="str">
        <f ca="1">IF(OR(INDEX($W$2:$W$1001,MATCH(ROWS($V$2:V657),$V$2:$V$1001,0),1)&gt;=100000,INDEX($AC$1005:$AS$1005,1,MATCH(COLUMNS($AC$1006:AN1006),$AC$1006:$AS$1006,0))&gt;=100000), " ",IF(INDEX($AC$2:$AS$1001,MATCH(ROWS($V$2:V657),$V$2:$V$1001,0),MATCH(COLUMNS($AC$1006:AN1006),$AC$1006:$AS$1006,0)), HYPERLINK("#",""), HYPERLINK(CONCATENATE("#metadata!", ADDRESS(INDEX($X$2:$X$1001,MATCH(ROWS($V$2:V657),$V$2:$V$1001,0),0), INDEX($AC$1004:$AS$1004,1,MATCH(COLUMNS($AC$1006:AN1006),$AC$1006:$AS$1006,0)))),"Fix")))</f>
        <v xml:space="preserve"> </v>
      </c>
      <c r="N657" s="4" t="str">
        <f ca="1">IF(OR(INDEX($W$2:$W$1001,MATCH(ROWS($V$2:V657),$V$2:$V$1001,0),1)&gt;=100000,INDEX($AC$1005:$AS$1005,1,MATCH(COLUMNS($AC$1006:AO1006),$AC$1006:$AS$1006,0))&gt;=100000), " ",IF(INDEX($AC$2:$AS$1001,MATCH(ROWS($V$2:V657),$V$2:$V$1001,0),MATCH(COLUMNS($AC$1006:AO1006),$AC$1006:$AS$1006,0)), HYPERLINK("#",""), HYPERLINK(CONCATENATE("#metadata!", ADDRESS(INDEX($X$2:$X$1001,MATCH(ROWS($V$2:V657),$V$2:$V$1001,0),0), INDEX($AC$1004:$AS$1004,1,MATCH(COLUMNS($AC$1006:AO1006),$AC$1006:$AS$1006,0)))),"Fix")))</f>
        <v xml:space="preserve"> </v>
      </c>
      <c r="O657" s="4" t="str">
        <f ca="1">IF(OR(INDEX($W$2:$W$1001,MATCH(ROWS($V$2:V657),$V$2:$V$1001,0),1)&gt;=100000,INDEX($AC$1005:$AS$1005,1,MATCH(COLUMNS($AC$1006:AP1006),$AC$1006:$AS$1006,0))&gt;=100000), " ",IF(INDEX($AC$2:$AS$1001,MATCH(ROWS($V$2:V657),$V$2:$V$1001,0),MATCH(COLUMNS($AC$1006:AP1006),$AC$1006:$AS$1006,0)), HYPERLINK("#",""), HYPERLINK(CONCATENATE("#metadata!", ADDRESS(INDEX($X$2:$X$1001,MATCH(ROWS($V$2:V657),$V$2:$V$1001,0),0), INDEX($AC$1004:$AS$1004,1,MATCH(COLUMNS($AC$1006:AP1006),$AC$1006:$AS$1006,0)))),"Fix")))</f>
        <v xml:space="preserve"> </v>
      </c>
      <c r="P657" s="4" t="str">
        <f ca="1">IF(OR(INDEX($W$2:$W$1001,MATCH(ROWS($V$2:V657),$V$2:$V$1001,0),1)&gt;=100000,INDEX($AC$1005:$AS$1005,1,MATCH(COLUMNS($AC$1006:AQ1006),$AC$1006:$AS$1006,0))&gt;=100000), " ",IF(INDEX($AC$2:$AS$1001,MATCH(ROWS($V$2:V657),$V$2:$V$1001,0),MATCH(COLUMNS($AC$1006:AQ1006),$AC$1006:$AS$1006,0)), HYPERLINK("#",""), HYPERLINK(CONCATENATE("#metadata!", ADDRESS(INDEX($X$2:$X$1001,MATCH(ROWS($V$2:V657),$V$2:$V$1001,0),0), INDEX($AC$1004:$AS$1004,1,MATCH(COLUMNS($AC$1006:AQ1006),$AC$1006:$AS$1006,0)))),"Fix")))</f>
        <v xml:space="preserve"> </v>
      </c>
      <c r="Q657" s="4" t="str">
        <f ca="1">IF(OR(INDEX($W$2:$W$1001,MATCH(ROWS($V$2:V657),$V$2:$V$1001,0),1)&gt;=100000,INDEX($AC$1005:$AS$1005,1,MATCH(COLUMNS($AC$1006:AR1006),$AC$1006:$AS$1006,0))&gt;=100000), " ",IF(INDEX($AC$2:$AS$1001,MATCH(ROWS($V$2:V657),$V$2:$V$1001,0),MATCH(COLUMNS($AC$1006:AR1006),$AC$1006:$AS$1006,0)), HYPERLINK("#",""), HYPERLINK(CONCATENATE("#metadata!", ADDRESS(INDEX($X$2:$X$1001,MATCH(ROWS($V$2:V657),$V$2:$V$1001,0),0), INDEX($AC$1004:$AS$1004,1,MATCH(COLUMNS($AC$1006:AR1006),$AC$1006:$AS$1006,0)))),"Fix")))</f>
        <v xml:space="preserve"> </v>
      </c>
      <c r="R657" s="4" t="str">
        <f ca="1">IF(OR(INDEX($W$2:$W$1001,MATCH(ROWS($V$2:V657),$V$2:$V$1001,0),1)&gt;=100000,INDEX($AC$1005:$AS$1005,1,MATCH(COLUMNS($AC$1006:AS1006),$AC$1006:$AS$1006,0))&gt;=100000), " ",IF(INDEX($AC$2:$AS$1001,MATCH(ROWS($V$2:V657),$V$2:$V$1001,0),MATCH(COLUMNS($AC$1006:AS1006),$AC$1006:$AS$1006,0)), HYPERLINK("#",""), HYPERLINK(CONCATENATE("#metadata!", ADDRESS(INDEX($X$2:$X$1001,MATCH(ROWS($V$2:V657),$V$2:$V$1001,0),0), INDEX($AC$1004:$AS$1004,1,MATCH(COLUMNS($AC$1006:AS1006),$AC$1006:$AS$1006,0)))),"Fix")))</f>
        <v xml:space="preserve"> </v>
      </c>
      <c r="V657">
        <v>656</v>
      </c>
      <c r="W657">
        <v>100657</v>
      </c>
      <c r="X657">
        <v>657</v>
      </c>
      <c r="Y657" t="b">
        <f t="shared" si="10"/>
        <v>1</v>
      </c>
      <c r="Z657" t="b">
        <f>COUNTBLANK(metadata!B657:R657)=COLUMNS(metadata!B657:R657)</f>
        <v>1</v>
      </c>
      <c r="AA657" t="str">
        <v/>
      </c>
      <c r="AC657" t="b">
        <f ca="1"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AD657" t="b">
        <f>IF(metadata!C657="",FALSE,ISNUMBER(VALUE(metadata!C657)))</f>
        <v>0</v>
      </c>
      <c r="AE657" t="b">
        <f>AND(IF(metadata!D657="",FALSE,TRUE),EXACT(metadata!D657,"years"))</f>
        <v>0</v>
      </c>
      <c r="AF657" t="b">
        <f>OR(AND(IF(metadata!E657="",FALSE,TRUE),OR(EXACT(metadata!E657,"not applicable"),EXACT(metadata!E657,"missing: not collected"),EXACT(metadata!E657,"missing: not provided"),EXACT(metadata!E657,"missing: restricted access"))),AND(IF(metadata!E657="",FALSE,ISNUMBER(VALUE(metadata!E657))),metadata!E657&gt;0))</f>
        <v>0</v>
      </c>
      <c r="AG657" t="b">
        <f>AND(IF(metadata!F657="",FALSE,TRUE),EXACT(metadata!F657,"Not applicable"))</f>
        <v>0</v>
      </c>
      <c r="AH657" t="b">
        <f>AND(IF(metadata!G657="",FALSE,TRUE),EXACT(metadata!G657,"urban biome"))</f>
        <v>0</v>
      </c>
      <c r="AI657" t="b">
        <f>AND(IF(metadata!H657="",FALSE,TRUE),EXACT(metadata!H657,"human-associated habitat"))</f>
        <v>0</v>
      </c>
      <c r="AJ657" t="b">
        <f>AND(IF(metadata!I657="",FALSE,TRUE),OR(EXACT(metadata!I657,"human-associated"),EXACT(metadata!I657,"human-skin"),EXACT(metadata!I657,"human-oral"),EXACT(metadata!I657,"human-gut"),EXACT(metadata!I657,"human-vaginal")))</f>
        <v>0</v>
      </c>
      <c r="AK657" t="b">
        <f>IF(metadata!J657="",FALSE,ISNUMBER(VALUE(metadata!J657)))</f>
        <v>0</v>
      </c>
      <c r="AL657" t="b">
        <f>AND(IF(metadata!K657="",FALSE,TRUE),EXACT(metadata!K657,"cm"))</f>
        <v>0</v>
      </c>
      <c r="AM657" t="b">
        <f>AND(IF(metadata!L657="",FALSE,TRUE),EXACT(metadata!L657,"human"))</f>
        <v>0</v>
      </c>
      <c r="AN657" t="b">
        <f>AND(IF(metadata!M657="",FALSE,TRUE),EXACT(metadata!M657,"Homo sapiens"))</f>
        <v>0</v>
      </c>
      <c r="AO657" t="b">
        <f>AND(IF(metadata!N657="",FALSE,TRUE),EXACT(metadata!N657,"9606"))</f>
        <v>0</v>
      </c>
      <c r="AP657" t="b">
        <f>IF(metadata!O657="",FALSE,TRUE)</f>
        <v>0</v>
      </c>
      <c r="AQ657" t="b">
        <f>IF(metadata!P657="",FALSE,TRUE)</f>
        <v>0</v>
      </c>
      <c r="AR657" t="b">
        <f>IF(metadata!Q657="",FALSE,ISNUMBER(VALUE(metadata!Q657)))</f>
        <v>0</v>
      </c>
      <c r="AS657" t="b">
        <f>AND(IF(metadata!R657="",FALSE,TRUE),EXACT(metadata!R657,"kg"))</f>
        <v>0</v>
      </c>
    </row>
    <row r="658" spans="1:45" x14ac:dyDescent="0.2">
      <c r="A658" s="5" t="str">
        <f ca="1">IF(B658=" "," ",HYPERLINK(CONCATENATE("#metadata!",ADDRESS(INDEX($X$2:$X$1001,MATCH(ROWS($V$2:V658),$V$2:$V$1001,0),0),1)),INDEX($AA$2:$AA$1001,MATCH(ROWS($V$2:V658),$V$2:$V$1001,0),0)))</f>
        <v xml:space="preserve"> </v>
      </c>
      <c r="B658" s="4" t="str">
        <f ca="1">IF(OR(INDEX($W$2:$W$1001,MATCH(ROWS($V$2:V658),$V$2:$V$1001,0),1)&gt;=100000,INDEX($AC$1005:$AS$1005,1,MATCH(COLUMNS($AC$1006:AC1006),$AC$1006:$AS$1006,0))&gt;=100000), " ",IF(INDEX($AC$2:$AS$1001,MATCH(ROWS($V$2:V658),$V$2:$V$1001,0),MATCH(COLUMNS($AC$1006:AC1006),$AC$1006:$AS$1006,0)), HYPERLINK("#",""), HYPERLINK(CONCATENATE("#metadata!", ADDRESS(INDEX($X$2:$X$1001,MATCH(ROWS($V$2:V658),$V$2:$V$1001,0),0), INDEX($AC$1004:$AS$1004,1,MATCH(COLUMNS($AC$1006:AC1006),$AC$1006:$AS$1006,0)))),"Fix")))</f>
        <v xml:space="preserve"> </v>
      </c>
      <c r="C658" s="4" t="str">
        <f ca="1">IF(OR(INDEX($W$2:$W$1001,MATCH(ROWS($V$2:V658),$V$2:$V$1001,0),1)&gt;=100000,INDEX($AC$1005:$AS$1005,1,MATCH(COLUMNS($AC$1006:AD1006),$AC$1006:$AS$1006,0))&gt;=100000), " ",IF(INDEX($AC$2:$AS$1001,MATCH(ROWS($V$2:V658),$V$2:$V$1001,0),MATCH(COLUMNS($AC$1006:AD1006),$AC$1006:$AS$1006,0)), HYPERLINK("#",""), HYPERLINK(CONCATENATE("#metadata!", ADDRESS(INDEX($X$2:$X$1001,MATCH(ROWS($V$2:V658),$V$2:$V$1001,0),0), INDEX($AC$1004:$AS$1004,1,MATCH(COLUMNS($AC$1006:AD1006),$AC$1006:$AS$1006,0)))),"Fix")))</f>
        <v xml:space="preserve"> </v>
      </c>
      <c r="D658" s="4" t="str">
        <f ca="1">IF(OR(INDEX($W$2:$W$1001,MATCH(ROWS($V$2:V658),$V$2:$V$1001,0),1)&gt;=100000,INDEX($AC$1005:$AS$1005,1,MATCH(COLUMNS($AC$1006:AE1006),$AC$1006:$AS$1006,0))&gt;=100000), " ",IF(INDEX($AC$2:$AS$1001,MATCH(ROWS($V$2:V658),$V$2:$V$1001,0),MATCH(COLUMNS($AC$1006:AE1006),$AC$1006:$AS$1006,0)), HYPERLINK("#",""), HYPERLINK(CONCATENATE("#metadata!", ADDRESS(INDEX($X$2:$X$1001,MATCH(ROWS($V$2:V658),$V$2:$V$1001,0),0), INDEX($AC$1004:$AS$1004,1,MATCH(COLUMNS($AC$1006:AE1006),$AC$1006:$AS$1006,0)))),"Fix")))</f>
        <v xml:space="preserve"> </v>
      </c>
      <c r="E658" s="4" t="str">
        <f ca="1">IF(OR(INDEX($W$2:$W$1001,MATCH(ROWS($V$2:V658),$V$2:$V$1001,0),1)&gt;=100000,INDEX($AC$1005:$AS$1005,1,MATCH(COLUMNS($AC$1006:AF1006),$AC$1006:$AS$1006,0))&gt;=100000), " ",IF(INDEX($AC$2:$AS$1001,MATCH(ROWS($V$2:V658),$V$2:$V$1001,0),MATCH(COLUMNS($AC$1006:AF1006),$AC$1006:$AS$1006,0)), HYPERLINK("#",""), HYPERLINK(CONCATENATE("#metadata!", ADDRESS(INDEX($X$2:$X$1001,MATCH(ROWS($V$2:V658),$V$2:$V$1001,0),0), INDEX($AC$1004:$AS$1004,1,MATCH(COLUMNS($AC$1006:AF1006),$AC$1006:$AS$1006,0)))),"Fix")))</f>
        <v xml:space="preserve"> </v>
      </c>
      <c r="F658" s="4" t="str">
        <f ca="1">IF(OR(INDEX($W$2:$W$1001,MATCH(ROWS($V$2:V658),$V$2:$V$1001,0),1)&gt;=100000,INDEX($AC$1005:$AS$1005,1,MATCH(COLUMNS($AC$1006:AG1006),$AC$1006:$AS$1006,0))&gt;=100000), " ",IF(INDEX($AC$2:$AS$1001,MATCH(ROWS($V$2:V658),$V$2:$V$1001,0),MATCH(COLUMNS($AC$1006:AG1006),$AC$1006:$AS$1006,0)), HYPERLINK("#",""), HYPERLINK(CONCATENATE("#metadata!", ADDRESS(INDEX($X$2:$X$1001,MATCH(ROWS($V$2:V658),$V$2:$V$1001,0),0), INDEX($AC$1004:$AS$1004,1,MATCH(COLUMNS($AC$1006:AG1006),$AC$1006:$AS$1006,0)))),"Fix")))</f>
        <v xml:space="preserve"> </v>
      </c>
      <c r="G658" s="4" t="str">
        <f ca="1">IF(OR(INDEX($W$2:$W$1001,MATCH(ROWS($V$2:V658),$V$2:$V$1001,0),1)&gt;=100000,INDEX($AC$1005:$AS$1005,1,MATCH(COLUMNS($AC$1006:AH1006),$AC$1006:$AS$1006,0))&gt;=100000), " ",IF(INDEX($AC$2:$AS$1001,MATCH(ROWS($V$2:V658),$V$2:$V$1001,0),MATCH(COLUMNS($AC$1006:AH1006),$AC$1006:$AS$1006,0)), HYPERLINK("#",""), HYPERLINK(CONCATENATE("#metadata!", ADDRESS(INDEX($X$2:$X$1001,MATCH(ROWS($V$2:V658),$V$2:$V$1001,0),0), INDEX($AC$1004:$AS$1004,1,MATCH(COLUMNS($AC$1006:AH1006),$AC$1006:$AS$1006,0)))),"Fix")))</f>
        <v xml:space="preserve"> </v>
      </c>
      <c r="H658" s="4" t="str">
        <f ca="1">IF(OR(INDEX($W$2:$W$1001,MATCH(ROWS($V$2:V658),$V$2:$V$1001,0),1)&gt;=100000,INDEX($AC$1005:$AS$1005,1,MATCH(COLUMNS($AC$1006:AI1006),$AC$1006:$AS$1006,0))&gt;=100000), " ",IF(INDEX($AC$2:$AS$1001,MATCH(ROWS($V$2:V658),$V$2:$V$1001,0),MATCH(COLUMNS($AC$1006:AI1006),$AC$1006:$AS$1006,0)), HYPERLINK("#",""), HYPERLINK(CONCATENATE("#metadata!", ADDRESS(INDEX($X$2:$X$1001,MATCH(ROWS($V$2:V658),$V$2:$V$1001,0),0), INDEX($AC$1004:$AS$1004,1,MATCH(COLUMNS($AC$1006:AI1006),$AC$1006:$AS$1006,0)))),"Fix")))</f>
        <v xml:space="preserve"> </v>
      </c>
      <c r="I658" s="4" t="str">
        <f ca="1">IF(OR(INDEX($W$2:$W$1001,MATCH(ROWS($V$2:V658),$V$2:$V$1001,0),1)&gt;=100000,INDEX($AC$1005:$AS$1005,1,MATCH(COLUMNS($AC$1006:AJ1006),$AC$1006:$AS$1006,0))&gt;=100000), " ",IF(INDEX($AC$2:$AS$1001,MATCH(ROWS($V$2:V658),$V$2:$V$1001,0),MATCH(COLUMNS($AC$1006:AJ1006),$AC$1006:$AS$1006,0)), HYPERLINK("#",""), HYPERLINK(CONCATENATE("#metadata!", ADDRESS(INDEX($X$2:$X$1001,MATCH(ROWS($V$2:V658),$V$2:$V$1001,0),0), INDEX($AC$1004:$AS$1004,1,MATCH(COLUMNS($AC$1006:AJ1006),$AC$1006:$AS$1006,0)))),"Fix")))</f>
        <v xml:space="preserve"> </v>
      </c>
      <c r="J658" s="4" t="str">
        <f ca="1">IF(OR(INDEX($W$2:$W$1001,MATCH(ROWS($V$2:V658),$V$2:$V$1001,0),1)&gt;=100000,INDEX($AC$1005:$AS$1005,1,MATCH(COLUMNS($AC$1006:AK1006),$AC$1006:$AS$1006,0))&gt;=100000), " ",IF(INDEX($AC$2:$AS$1001,MATCH(ROWS($V$2:V658),$V$2:$V$1001,0),MATCH(COLUMNS($AC$1006:AK1006),$AC$1006:$AS$1006,0)), HYPERLINK("#",""), HYPERLINK(CONCATENATE("#metadata!", ADDRESS(INDEX($X$2:$X$1001,MATCH(ROWS($V$2:V658),$V$2:$V$1001,0),0), INDEX($AC$1004:$AS$1004,1,MATCH(COLUMNS($AC$1006:AK1006),$AC$1006:$AS$1006,0)))),"Fix")))</f>
        <v xml:space="preserve"> </v>
      </c>
      <c r="K658" s="4" t="str">
        <f ca="1">IF(OR(INDEX($W$2:$W$1001,MATCH(ROWS($V$2:V658),$V$2:$V$1001,0),1)&gt;=100000,INDEX($AC$1005:$AS$1005,1,MATCH(COLUMNS($AC$1006:AL1006),$AC$1006:$AS$1006,0))&gt;=100000), " ",IF(INDEX($AC$2:$AS$1001,MATCH(ROWS($V$2:V658),$V$2:$V$1001,0),MATCH(COLUMNS($AC$1006:AL1006),$AC$1006:$AS$1006,0)), HYPERLINK("#",""), HYPERLINK(CONCATENATE("#metadata!", ADDRESS(INDEX($X$2:$X$1001,MATCH(ROWS($V$2:V658),$V$2:$V$1001,0),0), INDEX($AC$1004:$AS$1004,1,MATCH(COLUMNS($AC$1006:AL1006),$AC$1006:$AS$1006,0)))),"Fix")))</f>
        <v xml:space="preserve"> </v>
      </c>
      <c r="L658" s="4" t="str">
        <f ca="1">IF(OR(INDEX($W$2:$W$1001,MATCH(ROWS($V$2:V658),$V$2:$V$1001,0),1)&gt;=100000,INDEX($AC$1005:$AS$1005,1,MATCH(COLUMNS($AC$1006:AM1006),$AC$1006:$AS$1006,0))&gt;=100000), " ",IF(INDEX($AC$2:$AS$1001,MATCH(ROWS($V$2:V658),$V$2:$V$1001,0),MATCH(COLUMNS($AC$1006:AM1006),$AC$1006:$AS$1006,0)), HYPERLINK("#",""), HYPERLINK(CONCATENATE("#metadata!", ADDRESS(INDEX($X$2:$X$1001,MATCH(ROWS($V$2:V658),$V$2:$V$1001,0),0), INDEX($AC$1004:$AS$1004,1,MATCH(COLUMNS($AC$1006:AM1006),$AC$1006:$AS$1006,0)))),"Fix")))</f>
        <v xml:space="preserve"> </v>
      </c>
      <c r="M658" s="4" t="str">
        <f ca="1">IF(OR(INDEX($W$2:$W$1001,MATCH(ROWS($V$2:V658),$V$2:$V$1001,0),1)&gt;=100000,INDEX($AC$1005:$AS$1005,1,MATCH(COLUMNS($AC$1006:AN1006),$AC$1006:$AS$1006,0))&gt;=100000), " ",IF(INDEX($AC$2:$AS$1001,MATCH(ROWS($V$2:V658),$V$2:$V$1001,0),MATCH(COLUMNS($AC$1006:AN1006),$AC$1006:$AS$1006,0)), HYPERLINK("#",""), HYPERLINK(CONCATENATE("#metadata!", ADDRESS(INDEX($X$2:$X$1001,MATCH(ROWS($V$2:V658),$V$2:$V$1001,0),0), INDEX($AC$1004:$AS$1004,1,MATCH(COLUMNS($AC$1006:AN1006),$AC$1006:$AS$1006,0)))),"Fix")))</f>
        <v xml:space="preserve"> </v>
      </c>
      <c r="N658" s="4" t="str">
        <f ca="1">IF(OR(INDEX($W$2:$W$1001,MATCH(ROWS($V$2:V658),$V$2:$V$1001,0),1)&gt;=100000,INDEX($AC$1005:$AS$1005,1,MATCH(COLUMNS($AC$1006:AO1006),$AC$1006:$AS$1006,0))&gt;=100000), " ",IF(INDEX($AC$2:$AS$1001,MATCH(ROWS($V$2:V658),$V$2:$V$1001,0),MATCH(COLUMNS($AC$1006:AO1006),$AC$1006:$AS$1006,0)), HYPERLINK("#",""), HYPERLINK(CONCATENATE("#metadata!", ADDRESS(INDEX($X$2:$X$1001,MATCH(ROWS($V$2:V658),$V$2:$V$1001,0),0), INDEX($AC$1004:$AS$1004,1,MATCH(COLUMNS($AC$1006:AO1006),$AC$1006:$AS$1006,0)))),"Fix")))</f>
        <v xml:space="preserve"> </v>
      </c>
      <c r="O658" s="4" t="str">
        <f ca="1">IF(OR(INDEX($W$2:$W$1001,MATCH(ROWS($V$2:V658),$V$2:$V$1001,0),1)&gt;=100000,INDEX($AC$1005:$AS$1005,1,MATCH(COLUMNS($AC$1006:AP1006),$AC$1006:$AS$1006,0))&gt;=100000), " ",IF(INDEX($AC$2:$AS$1001,MATCH(ROWS($V$2:V658),$V$2:$V$1001,0),MATCH(COLUMNS($AC$1006:AP1006),$AC$1006:$AS$1006,0)), HYPERLINK("#",""), HYPERLINK(CONCATENATE("#metadata!", ADDRESS(INDEX($X$2:$X$1001,MATCH(ROWS($V$2:V658),$V$2:$V$1001,0),0), INDEX($AC$1004:$AS$1004,1,MATCH(COLUMNS($AC$1006:AP1006),$AC$1006:$AS$1006,0)))),"Fix")))</f>
        <v xml:space="preserve"> </v>
      </c>
      <c r="P658" s="4" t="str">
        <f ca="1">IF(OR(INDEX($W$2:$W$1001,MATCH(ROWS($V$2:V658),$V$2:$V$1001,0),1)&gt;=100000,INDEX($AC$1005:$AS$1005,1,MATCH(COLUMNS($AC$1006:AQ1006),$AC$1006:$AS$1006,0))&gt;=100000), " ",IF(INDEX($AC$2:$AS$1001,MATCH(ROWS($V$2:V658),$V$2:$V$1001,0),MATCH(COLUMNS($AC$1006:AQ1006),$AC$1006:$AS$1006,0)), HYPERLINK("#",""), HYPERLINK(CONCATENATE("#metadata!", ADDRESS(INDEX($X$2:$X$1001,MATCH(ROWS($V$2:V658),$V$2:$V$1001,0),0), INDEX($AC$1004:$AS$1004,1,MATCH(COLUMNS($AC$1006:AQ1006),$AC$1006:$AS$1006,0)))),"Fix")))</f>
        <v xml:space="preserve"> </v>
      </c>
      <c r="Q658" s="4" t="str">
        <f ca="1">IF(OR(INDEX($W$2:$W$1001,MATCH(ROWS($V$2:V658),$V$2:$V$1001,0),1)&gt;=100000,INDEX($AC$1005:$AS$1005,1,MATCH(COLUMNS($AC$1006:AR1006),$AC$1006:$AS$1006,0))&gt;=100000), " ",IF(INDEX($AC$2:$AS$1001,MATCH(ROWS($V$2:V658),$V$2:$V$1001,0),MATCH(COLUMNS($AC$1006:AR1006),$AC$1006:$AS$1006,0)), HYPERLINK("#",""), HYPERLINK(CONCATENATE("#metadata!", ADDRESS(INDEX($X$2:$X$1001,MATCH(ROWS($V$2:V658),$V$2:$V$1001,0),0), INDEX($AC$1004:$AS$1004,1,MATCH(COLUMNS($AC$1006:AR1006),$AC$1006:$AS$1006,0)))),"Fix")))</f>
        <v xml:space="preserve"> </v>
      </c>
      <c r="R658" s="4" t="str">
        <f ca="1">IF(OR(INDEX($W$2:$W$1001,MATCH(ROWS($V$2:V658),$V$2:$V$1001,0),1)&gt;=100000,INDEX($AC$1005:$AS$1005,1,MATCH(COLUMNS($AC$1006:AS1006),$AC$1006:$AS$1006,0))&gt;=100000), " ",IF(INDEX($AC$2:$AS$1001,MATCH(ROWS($V$2:V658),$V$2:$V$1001,0),MATCH(COLUMNS($AC$1006:AS1006),$AC$1006:$AS$1006,0)), HYPERLINK("#",""), HYPERLINK(CONCATENATE("#metadata!", ADDRESS(INDEX($X$2:$X$1001,MATCH(ROWS($V$2:V658),$V$2:$V$1001,0),0), INDEX($AC$1004:$AS$1004,1,MATCH(COLUMNS($AC$1006:AS1006),$AC$1006:$AS$1006,0)))),"Fix")))</f>
        <v xml:space="preserve"> </v>
      </c>
      <c r="V658">
        <v>657</v>
      </c>
      <c r="W658">
        <v>100658</v>
      </c>
      <c r="X658">
        <v>658</v>
      </c>
      <c r="Y658" t="b">
        <f t="shared" si="10"/>
        <v>1</v>
      </c>
      <c r="Z658" t="b">
        <f>COUNTBLANK(metadata!B658:R658)=COLUMNS(metadata!B658:R658)</f>
        <v>1</v>
      </c>
      <c r="AA658" t="str">
        <v/>
      </c>
      <c r="AC658" t="b">
        <f ca="1"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AD658" t="b">
        <f>IF(metadata!C658="",FALSE,ISNUMBER(VALUE(metadata!C658)))</f>
        <v>0</v>
      </c>
      <c r="AE658" t="b">
        <f>AND(IF(metadata!D658="",FALSE,TRUE),EXACT(metadata!D658,"years"))</f>
        <v>0</v>
      </c>
      <c r="AF658" t="b">
        <f>OR(AND(IF(metadata!E658="",FALSE,TRUE),OR(EXACT(metadata!E658,"not applicable"),EXACT(metadata!E658,"missing: not collected"),EXACT(metadata!E658,"missing: not provided"),EXACT(metadata!E658,"missing: restricted access"))),AND(IF(metadata!E658="",FALSE,ISNUMBER(VALUE(metadata!E658))),metadata!E658&gt;0))</f>
        <v>0</v>
      </c>
      <c r="AG658" t="b">
        <f>AND(IF(metadata!F658="",FALSE,TRUE),EXACT(metadata!F658,"Not applicable"))</f>
        <v>0</v>
      </c>
      <c r="AH658" t="b">
        <f>AND(IF(metadata!G658="",FALSE,TRUE),EXACT(metadata!G658,"urban biome"))</f>
        <v>0</v>
      </c>
      <c r="AI658" t="b">
        <f>AND(IF(metadata!H658="",FALSE,TRUE),EXACT(metadata!H658,"human-associated habitat"))</f>
        <v>0</v>
      </c>
      <c r="AJ658" t="b">
        <f>AND(IF(metadata!I658="",FALSE,TRUE),OR(EXACT(metadata!I658,"human-associated"),EXACT(metadata!I658,"human-skin"),EXACT(metadata!I658,"human-oral"),EXACT(metadata!I658,"human-gut"),EXACT(metadata!I658,"human-vaginal")))</f>
        <v>0</v>
      </c>
      <c r="AK658" t="b">
        <f>IF(metadata!J658="",FALSE,ISNUMBER(VALUE(metadata!J658)))</f>
        <v>0</v>
      </c>
      <c r="AL658" t="b">
        <f>AND(IF(metadata!K658="",FALSE,TRUE),EXACT(metadata!K658,"cm"))</f>
        <v>0</v>
      </c>
      <c r="AM658" t="b">
        <f>AND(IF(metadata!L658="",FALSE,TRUE),EXACT(metadata!L658,"human"))</f>
        <v>0</v>
      </c>
      <c r="AN658" t="b">
        <f>AND(IF(metadata!M658="",FALSE,TRUE),EXACT(metadata!M658,"Homo sapiens"))</f>
        <v>0</v>
      </c>
      <c r="AO658" t="b">
        <f>AND(IF(metadata!N658="",FALSE,TRUE),EXACT(metadata!N658,"9606"))</f>
        <v>0</v>
      </c>
      <c r="AP658" t="b">
        <f>IF(metadata!O658="",FALSE,TRUE)</f>
        <v>0</v>
      </c>
      <c r="AQ658" t="b">
        <f>IF(metadata!P658="",FALSE,TRUE)</f>
        <v>0</v>
      </c>
      <c r="AR658" t="b">
        <f>IF(metadata!Q658="",FALSE,ISNUMBER(VALUE(metadata!Q658)))</f>
        <v>0</v>
      </c>
      <c r="AS658" t="b">
        <f>AND(IF(metadata!R658="",FALSE,TRUE),EXACT(metadata!R658,"kg"))</f>
        <v>0</v>
      </c>
    </row>
    <row r="659" spans="1:45" x14ac:dyDescent="0.2">
      <c r="A659" s="5" t="str">
        <f ca="1">IF(B659=" "," ",HYPERLINK(CONCATENATE("#metadata!",ADDRESS(INDEX($X$2:$X$1001,MATCH(ROWS($V$2:V659),$V$2:$V$1001,0),0),1)),INDEX($AA$2:$AA$1001,MATCH(ROWS($V$2:V659),$V$2:$V$1001,0),0)))</f>
        <v xml:space="preserve"> </v>
      </c>
      <c r="B659" s="4" t="str">
        <f ca="1">IF(OR(INDEX($W$2:$W$1001,MATCH(ROWS($V$2:V659),$V$2:$V$1001,0),1)&gt;=100000,INDEX($AC$1005:$AS$1005,1,MATCH(COLUMNS($AC$1006:AC1006),$AC$1006:$AS$1006,0))&gt;=100000), " ",IF(INDEX($AC$2:$AS$1001,MATCH(ROWS($V$2:V659),$V$2:$V$1001,0),MATCH(COLUMNS($AC$1006:AC1006),$AC$1006:$AS$1006,0)), HYPERLINK("#",""), HYPERLINK(CONCATENATE("#metadata!", ADDRESS(INDEX($X$2:$X$1001,MATCH(ROWS($V$2:V659),$V$2:$V$1001,0),0), INDEX($AC$1004:$AS$1004,1,MATCH(COLUMNS($AC$1006:AC1006),$AC$1006:$AS$1006,0)))),"Fix")))</f>
        <v xml:space="preserve"> </v>
      </c>
      <c r="C659" s="4" t="str">
        <f ca="1">IF(OR(INDEX($W$2:$W$1001,MATCH(ROWS($V$2:V659),$V$2:$V$1001,0),1)&gt;=100000,INDEX($AC$1005:$AS$1005,1,MATCH(COLUMNS($AC$1006:AD1006),$AC$1006:$AS$1006,0))&gt;=100000), " ",IF(INDEX($AC$2:$AS$1001,MATCH(ROWS($V$2:V659),$V$2:$V$1001,0),MATCH(COLUMNS($AC$1006:AD1006),$AC$1006:$AS$1006,0)), HYPERLINK("#",""), HYPERLINK(CONCATENATE("#metadata!", ADDRESS(INDEX($X$2:$X$1001,MATCH(ROWS($V$2:V659),$V$2:$V$1001,0),0), INDEX($AC$1004:$AS$1004,1,MATCH(COLUMNS($AC$1006:AD1006),$AC$1006:$AS$1006,0)))),"Fix")))</f>
        <v xml:space="preserve"> </v>
      </c>
      <c r="D659" s="4" t="str">
        <f ca="1">IF(OR(INDEX($W$2:$W$1001,MATCH(ROWS($V$2:V659),$V$2:$V$1001,0),1)&gt;=100000,INDEX($AC$1005:$AS$1005,1,MATCH(COLUMNS($AC$1006:AE1006),$AC$1006:$AS$1006,0))&gt;=100000), " ",IF(INDEX($AC$2:$AS$1001,MATCH(ROWS($V$2:V659),$V$2:$V$1001,0),MATCH(COLUMNS($AC$1006:AE1006),$AC$1006:$AS$1006,0)), HYPERLINK("#",""), HYPERLINK(CONCATENATE("#metadata!", ADDRESS(INDEX($X$2:$X$1001,MATCH(ROWS($V$2:V659),$V$2:$V$1001,0),0), INDEX($AC$1004:$AS$1004,1,MATCH(COLUMNS($AC$1006:AE1006),$AC$1006:$AS$1006,0)))),"Fix")))</f>
        <v xml:space="preserve"> </v>
      </c>
      <c r="E659" s="4" t="str">
        <f ca="1">IF(OR(INDEX($W$2:$W$1001,MATCH(ROWS($V$2:V659),$V$2:$V$1001,0),1)&gt;=100000,INDEX($AC$1005:$AS$1005,1,MATCH(COLUMNS($AC$1006:AF1006),$AC$1006:$AS$1006,0))&gt;=100000), " ",IF(INDEX($AC$2:$AS$1001,MATCH(ROWS($V$2:V659),$V$2:$V$1001,0),MATCH(COLUMNS($AC$1006:AF1006),$AC$1006:$AS$1006,0)), HYPERLINK("#",""), HYPERLINK(CONCATENATE("#metadata!", ADDRESS(INDEX($X$2:$X$1001,MATCH(ROWS($V$2:V659),$V$2:$V$1001,0),0), INDEX($AC$1004:$AS$1004,1,MATCH(COLUMNS($AC$1006:AF1006),$AC$1006:$AS$1006,0)))),"Fix")))</f>
        <v xml:space="preserve"> </v>
      </c>
      <c r="F659" s="4" t="str">
        <f ca="1">IF(OR(INDEX($W$2:$W$1001,MATCH(ROWS($V$2:V659),$V$2:$V$1001,0),1)&gt;=100000,INDEX($AC$1005:$AS$1005,1,MATCH(COLUMNS($AC$1006:AG1006),$AC$1006:$AS$1006,0))&gt;=100000), " ",IF(INDEX($AC$2:$AS$1001,MATCH(ROWS($V$2:V659),$V$2:$V$1001,0),MATCH(COLUMNS($AC$1006:AG1006),$AC$1006:$AS$1006,0)), HYPERLINK("#",""), HYPERLINK(CONCATENATE("#metadata!", ADDRESS(INDEX($X$2:$X$1001,MATCH(ROWS($V$2:V659),$V$2:$V$1001,0),0), INDEX($AC$1004:$AS$1004,1,MATCH(COLUMNS($AC$1006:AG1006),$AC$1006:$AS$1006,0)))),"Fix")))</f>
        <v xml:space="preserve"> </v>
      </c>
      <c r="G659" s="4" t="str">
        <f ca="1">IF(OR(INDEX($W$2:$W$1001,MATCH(ROWS($V$2:V659),$V$2:$V$1001,0),1)&gt;=100000,INDEX($AC$1005:$AS$1005,1,MATCH(COLUMNS($AC$1006:AH1006),$AC$1006:$AS$1006,0))&gt;=100000), " ",IF(INDEX($AC$2:$AS$1001,MATCH(ROWS($V$2:V659),$V$2:$V$1001,0),MATCH(COLUMNS($AC$1006:AH1006),$AC$1006:$AS$1006,0)), HYPERLINK("#",""), HYPERLINK(CONCATENATE("#metadata!", ADDRESS(INDEX($X$2:$X$1001,MATCH(ROWS($V$2:V659),$V$2:$V$1001,0),0), INDEX($AC$1004:$AS$1004,1,MATCH(COLUMNS($AC$1006:AH1006),$AC$1006:$AS$1006,0)))),"Fix")))</f>
        <v xml:space="preserve"> </v>
      </c>
      <c r="H659" s="4" t="str">
        <f ca="1">IF(OR(INDEX($W$2:$W$1001,MATCH(ROWS($V$2:V659),$V$2:$V$1001,0),1)&gt;=100000,INDEX($AC$1005:$AS$1005,1,MATCH(COLUMNS($AC$1006:AI1006),$AC$1006:$AS$1006,0))&gt;=100000), " ",IF(INDEX($AC$2:$AS$1001,MATCH(ROWS($V$2:V659),$V$2:$V$1001,0),MATCH(COLUMNS($AC$1006:AI1006),$AC$1006:$AS$1006,0)), HYPERLINK("#",""), HYPERLINK(CONCATENATE("#metadata!", ADDRESS(INDEX($X$2:$X$1001,MATCH(ROWS($V$2:V659),$V$2:$V$1001,0),0), INDEX($AC$1004:$AS$1004,1,MATCH(COLUMNS($AC$1006:AI1006),$AC$1006:$AS$1006,0)))),"Fix")))</f>
        <v xml:space="preserve"> </v>
      </c>
      <c r="I659" s="4" t="str">
        <f ca="1">IF(OR(INDEX($W$2:$W$1001,MATCH(ROWS($V$2:V659),$V$2:$V$1001,0),1)&gt;=100000,INDEX($AC$1005:$AS$1005,1,MATCH(COLUMNS($AC$1006:AJ1006),$AC$1006:$AS$1006,0))&gt;=100000), " ",IF(INDEX($AC$2:$AS$1001,MATCH(ROWS($V$2:V659),$V$2:$V$1001,0),MATCH(COLUMNS($AC$1006:AJ1006),$AC$1006:$AS$1006,0)), HYPERLINK("#",""), HYPERLINK(CONCATENATE("#metadata!", ADDRESS(INDEX($X$2:$X$1001,MATCH(ROWS($V$2:V659),$V$2:$V$1001,0),0), INDEX($AC$1004:$AS$1004,1,MATCH(COLUMNS($AC$1006:AJ1006),$AC$1006:$AS$1006,0)))),"Fix")))</f>
        <v xml:space="preserve"> </v>
      </c>
      <c r="J659" s="4" t="str">
        <f ca="1">IF(OR(INDEX($W$2:$W$1001,MATCH(ROWS($V$2:V659),$V$2:$V$1001,0),1)&gt;=100000,INDEX($AC$1005:$AS$1005,1,MATCH(COLUMNS($AC$1006:AK1006),$AC$1006:$AS$1006,0))&gt;=100000), " ",IF(INDEX($AC$2:$AS$1001,MATCH(ROWS($V$2:V659),$V$2:$V$1001,0),MATCH(COLUMNS($AC$1006:AK1006),$AC$1006:$AS$1006,0)), HYPERLINK("#",""), HYPERLINK(CONCATENATE("#metadata!", ADDRESS(INDEX($X$2:$X$1001,MATCH(ROWS($V$2:V659),$V$2:$V$1001,0),0), INDEX($AC$1004:$AS$1004,1,MATCH(COLUMNS($AC$1006:AK1006),$AC$1006:$AS$1006,0)))),"Fix")))</f>
        <v xml:space="preserve"> </v>
      </c>
      <c r="K659" s="4" t="str">
        <f ca="1">IF(OR(INDEX($W$2:$W$1001,MATCH(ROWS($V$2:V659),$V$2:$V$1001,0),1)&gt;=100000,INDEX($AC$1005:$AS$1005,1,MATCH(COLUMNS($AC$1006:AL1006),$AC$1006:$AS$1006,0))&gt;=100000), " ",IF(INDEX($AC$2:$AS$1001,MATCH(ROWS($V$2:V659),$V$2:$V$1001,0),MATCH(COLUMNS($AC$1006:AL1006),$AC$1006:$AS$1006,0)), HYPERLINK("#",""), HYPERLINK(CONCATENATE("#metadata!", ADDRESS(INDEX($X$2:$X$1001,MATCH(ROWS($V$2:V659),$V$2:$V$1001,0),0), INDEX($AC$1004:$AS$1004,1,MATCH(COLUMNS($AC$1006:AL1006),$AC$1006:$AS$1006,0)))),"Fix")))</f>
        <v xml:space="preserve"> </v>
      </c>
      <c r="L659" s="4" t="str">
        <f ca="1">IF(OR(INDEX($W$2:$W$1001,MATCH(ROWS($V$2:V659),$V$2:$V$1001,0),1)&gt;=100000,INDEX($AC$1005:$AS$1005,1,MATCH(COLUMNS($AC$1006:AM1006),$AC$1006:$AS$1006,0))&gt;=100000), " ",IF(INDEX($AC$2:$AS$1001,MATCH(ROWS($V$2:V659),$V$2:$V$1001,0),MATCH(COLUMNS($AC$1006:AM1006),$AC$1006:$AS$1006,0)), HYPERLINK("#",""), HYPERLINK(CONCATENATE("#metadata!", ADDRESS(INDEX($X$2:$X$1001,MATCH(ROWS($V$2:V659),$V$2:$V$1001,0),0), INDEX($AC$1004:$AS$1004,1,MATCH(COLUMNS($AC$1006:AM1006),$AC$1006:$AS$1006,0)))),"Fix")))</f>
        <v xml:space="preserve"> </v>
      </c>
      <c r="M659" s="4" t="str">
        <f ca="1">IF(OR(INDEX($W$2:$W$1001,MATCH(ROWS($V$2:V659),$V$2:$V$1001,0),1)&gt;=100000,INDEX($AC$1005:$AS$1005,1,MATCH(COLUMNS($AC$1006:AN1006),$AC$1006:$AS$1006,0))&gt;=100000), " ",IF(INDEX($AC$2:$AS$1001,MATCH(ROWS($V$2:V659),$V$2:$V$1001,0),MATCH(COLUMNS($AC$1006:AN1006),$AC$1006:$AS$1006,0)), HYPERLINK("#",""), HYPERLINK(CONCATENATE("#metadata!", ADDRESS(INDEX($X$2:$X$1001,MATCH(ROWS($V$2:V659),$V$2:$V$1001,0),0), INDEX($AC$1004:$AS$1004,1,MATCH(COLUMNS($AC$1006:AN1006),$AC$1006:$AS$1006,0)))),"Fix")))</f>
        <v xml:space="preserve"> </v>
      </c>
      <c r="N659" s="4" t="str">
        <f ca="1">IF(OR(INDEX($W$2:$W$1001,MATCH(ROWS($V$2:V659),$V$2:$V$1001,0),1)&gt;=100000,INDEX($AC$1005:$AS$1005,1,MATCH(COLUMNS($AC$1006:AO1006),$AC$1006:$AS$1006,0))&gt;=100000), " ",IF(INDEX($AC$2:$AS$1001,MATCH(ROWS($V$2:V659),$V$2:$V$1001,0),MATCH(COLUMNS($AC$1006:AO1006),$AC$1006:$AS$1006,0)), HYPERLINK("#",""), HYPERLINK(CONCATENATE("#metadata!", ADDRESS(INDEX($X$2:$X$1001,MATCH(ROWS($V$2:V659),$V$2:$V$1001,0),0), INDEX($AC$1004:$AS$1004,1,MATCH(COLUMNS($AC$1006:AO1006),$AC$1006:$AS$1006,0)))),"Fix")))</f>
        <v xml:space="preserve"> </v>
      </c>
      <c r="O659" s="4" t="str">
        <f ca="1">IF(OR(INDEX($W$2:$W$1001,MATCH(ROWS($V$2:V659),$V$2:$V$1001,0),1)&gt;=100000,INDEX($AC$1005:$AS$1005,1,MATCH(COLUMNS($AC$1006:AP1006),$AC$1006:$AS$1006,0))&gt;=100000), " ",IF(INDEX($AC$2:$AS$1001,MATCH(ROWS($V$2:V659),$V$2:$V$1001,0),MATCH(COLUMNS($AC$1006:AP1006),$AC$1006:$AS$1006,0)), HYPERLINK("#",""), HYPERLINK(CONCATENATE("#metadata!", ADDRESS(INDEX($X$2:$X$1001,MATCH(ROWS($V$2:V659),$V$2:$V$1001,0),0), INDEX($AC$1004:$AS$1004,1,MATCH(COLUMNS($AC$1006:AP1006),$AC$1006:$AS$1006,0)))),"Fix")))</f>
        <v xml:space="preserve"> </v>
      </c>
      <c r="P659" s="4" t="str">
        <f ca="1">IF(OR(INDEX($W$2:$W$1001,MATCH(ROWS($V$2:V659),$V$2:$V$1001,0),1)&gt;=100000,INDEX($AC$1005:$AS$1005,1,MATCH(COLUMNS($AC$1006:AQ1006),$AC$1006:$AS$1006,0))&gt;=100000), " ",IF(INDEX($AC$2:$AS$1001,MATCH(ROWS($V$2:V659),$V$2:$V$1001,0),MATCH(COLUMNS($AC$1006:AQ1006),$AC$1006:$AS$1006,0)), HYPERLINK("#",""), HYPERLINK(CONCATENATE("#metadata!", ADDRESS(INDEX($X$2:$X$1001,MATCH(ROWS($V$2:V659),$V$2:$V$1001,0),0), INDEX($AC$1004:$AS$1004,1,MATCH(COLUMNS($AC$1006:AQ1006),$AC$1006:$AS$1006,0)))),"Fix")))</f>
        <v xml:space="preserve"> </v>
      </c>
      <c r="Q659" s="4" t="str">
        <f ca="1">IF(OR(INDEX($W$2:$W$1001,MATCH(ROWS($V$2:V659),$V$2:$V$1001,0),1)&gt;=100000,INDEX($AC$1005:$AS$1005,1,MATCH(COLUMNS($AC$1006:AR1006),$AC$1006:$AS$1006,0))&gt;=100000), " ",IF(INDEX($AC$2:$AS$1001,MATCH(ROWS($V$2:V659),$V$2:$V$1001,0),MATCH(COLUMNS($AC$1006:AR1006),$AC$1006:$AS$1006,0)), HYPERLINK("#",""), HYPERLINK(CONCATENATE("#metadata!", ADDRESS(INDEX($X$2:$X$1001,MATCH(ROWS($V$2:V659),$V$2:$V$1001,0),0), INDEX($AC$1004:$AS$1004,1,MATCH(COLUMNS($AC$1006:AR1006),$AC$1006:$AS$1006,0)))),"Fix")))</f>
        <v xml:space="preserve"> </v>
      </c>
      <c r="R659" s="4" t="str">
        <f ca="1">IF(OR(INDEX($W$2:$W$1001,MATCH(ROWS($V$2:V659),$V$2:$V$1001,0),1)&gt;=100000,INDEX($AC$1005:$AS$1005,1,MATCH(COLUMNS($AC$1006:AS1006),$AC$1006:$AS$1006,0))&gt;=100000), " ",IF(INDEX($AC$2:$AS$1001,MATCH(ROWS($V$2:V659),$V$2:$V$1001,0),MATCH(COLUMNS($AC$1006:AS1006),$AC$1006:$AS$1006,0)), HYPERLINK("#",""), HYPERLINK(CONCATENATE("#metadata!", ADDRESS(INDEX($X$2:$X$1001,MATCH(ROWS($V$2:V659),$V$2:$V$1001,0),0), INDEX($AC$1004:$AS$1004,1,MATCH(COLUMNS($AC$1006:AS1006),$AC$1006:$AS$1006,0)))),"Fix")))</f>
        <v xml:space="preserve"> </v>
      </c>
      <c r="V659">
        <v>658</v>
      </c>
      <c r="W659">
        <v>100659</v>
      </c>
      <c r="X659">
        <v>659</v>
      </c>
      <c r="Y659" t="b">
        <f t="shared" si="10"/>
        <v>1</v>
      </c>
      <c r="Z659" t="b">
        <f>COUNTBLANK(metadata!B659:R659)=COLUMNS(metadata!B659:R659)</f>
        <v>1</v>
      </c>
      <c r="AA659" t="str">
        <v/>
      </c>
      <c r="AC659" t="b">
        <f ca="1"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AD659" t="b">
        <f>IF(metadata!C659="",FALSE,ISNUMBER(VALUE(metadata!C659)))</f>
        <v>0</v>
      </c>
      <c r="AE659" t="b">
        <f>AND(IF(metadata!D659="",FALSE,TRUE),EXACT(metadata!D659,"years"))</f>
        <v>0</v>
      </c>
      <c r="AF659" t="b">
        <f>OR(AND(IF(metadata!E659="",FALSE,TRUE),OR(EXACT(metadata!E659,"not applicable"),EXACT(metadata!E659,"missing: not collected"),EXACT(metadata!E659,"missing: not provided"),EXACT(metadata!E659,"missing: restricted access"))),AND(IF(metadata!E659="",FALSE,ISNUMBER(VALUE(metadata!E659))),metadata!E659&gt;0))</f>
        <v>0</v>
      </c>
      <c r="AG659" t="b">
        <f>AND(IF(metadata!F659="",FALSE,TRUE),EXACT(metadata!F659,"Not applicable"))</f>
        <v>0</v>
      </c>
      <c r="AH659" t="b">
        <f>AND(IF(metadata!G659="",FALSE,TRUE),EXACT(metadata!G659,"urban biome"))</f>
        <v>0</v>
      </c>
      <c r="AI659" t="b">
        <f>AND(IF(metadata!H659="",FALSE,TRUE),EXACT(metadata!H659,"human-associated habitat"))</f>
        <v>0</v>
      </c>
      <c r="AJ659" t="b">
        <f>AND(IF(metadata!I659="",FALSE,TRUE),OR(EXACT(metadata!I659,"human-associated"),EXACT(metadata!I659,"human-skin"),EXACT(metadata!I659,"human-oral"),EXACT(metadata!I659,"human-gut"),EXACT(metadata!I659,"human-vaginal")))</f>
        <v>0</v>
      </c>
      <c r="AK659" t="b">
        <f>IF(metadata!J659="",FALSE,ISNUMBER(VALUE(metadata!J659)))</f>
        <v>0</v>
      </c>
      <c r="AL659" t="b">
        <f>AND(IF(metadata!K659="",FALSE,TRUE),EXACT(metadata!K659,"cm"))</f>
        <v>0</v>
      </c>
      <c r="AM659" t="b">
        <f>AND(IF(metadata!L659="",FALSE,TRUE),EXACT(metadata!L659,"human"))</f>
        <v>0</v>
      </c>
      <c r="AN659" t="b">
        <f>AND(IF(metadata!M659="",FALSE,TRUE),EXACT(metadata!M659,"Homo sapiens"))</f>
        <v>0</v>
      </c>
      <c r="AO659" t="b">
        <f>AND(IF(metadata!N659="",FALSE,TRUE),EXACT(metadata!N659,"9606"))</f>
        <v>0</v>
      </c>
      <c r="AP659" t="b">
        <f>IF(metadata!O659="",FALSE,TRUE)</f>
        <v>0</v>
      </c>
      <c r="AQ659" t="b">
        <f>IF(metadata!P659="",FALSE,TRUE)</f>
        <v>0</v>
      </c>
      <c r="AR659" t="b">
        <f>IF(metadata!Q659="",FALSE,ISNUMBER(VALUE(metadata!Q659)))</f>
        <v>0</v>
      </c>
      <c r="AS659" t="b">
        <f>AND(IF(metadata!R659="",FALSE,TRUE),EXACT(metadata!R659,"kg"))</f>
        <v>0</v>
      </c>
    </row>
    <row r="660" spans="1:45" x14ac:dyDescent="0.2">
      <c r="A660" s="5" t="str">
        <f ca="1">IF(B660=" "," ",HYPERLINK(CONCATENATE("#metadata!",ADDRESS(INDEX($X$2:$X$1001,MATCH(ROWS($V$2:V660),$V$2:$V$1001,0),0),1)),INDEX($AA$2:$AA$1001,MATCH(ROWS($V$2:V660),$V$2:$V$1001,0),0)))</f>
        <v xml:space="preserve"> </v>
      </c>
      <c r="B660" s="4" t="str">
        <f ca="1">IF(OR(INDEX($W$2:$W$1001,MATCH(ROWS($V$2:V660),$V$2:$V$1001,0),1)&gt;=100000,INDEX($AC$1005:$AS$1005,1,MATCH(COLUMNS($AC$1006:AC1006),$AC$1006:$AS$1006,0))&gt;=100000), " ",IF(INDEX($AC$2:$AS$1001,MATCH(ROWS($V$2:V660),$V$2:$V$1001,0),MATCH(COLUMNS($AC$1006:AC1006),$AC$1006:$AS$1006,0)), HYPERLINK("#",""), HYPERLINK(CONCATENATE("#metadata!", ADDRESS(INDEX($X$2:$X$1001,MATCH(ROWS($V$2:V660),$V$2:$V$1001,0),0), INDEX($AC$1004:$AS$1004,1,MATCH(COLUMNS($AC$1006:AC1006),$AC$1006:$AS$1006,0)))),"Fix")))</f>
        <v xml:space="preserve"> </v>
      </c>
      <c r="C660" s="4" t="str">
        <f ca="1">IF(OR(INDEX($W$2:$W$1001,MATCH(ROWS($V$2:V660),$V$2:$V$1001,0),1)&gt;=100000,INDEX($AC$1005:$AS$1005,1,MATCH(COLUMNS($AC$1006:AD1006),$AC$1006:$AS$1006,0))&gt;=100000), " ",IF(INDEX($AC$2:$AS$1001,MATCH(ROWS($V$2:V660),$V$2:$V$1001,0),MATCH(COLUMNS($AC$1006:AD1006),$AC$1006:$AS$1006,0)), HYPERLINK("#",""), HYPERLINK(CONCATENATE("#metadata!", ADDRESS(INDEX($X$2:$X$1001,MATCH(ROWS($V$2:V660),$V$2:$V$1001,0),0), INDEX($AC$1004:$AS$1004,1,MATCH(COLUMNS($AC$1006:AD1006),$AC$1006:$AS$1006,0)))),"Fix")))</f>
        <v xml:space="preserve"> </v>
      </c>
      <c r="D660" s="4" t="str">
        <f ca="1">IF(OR(INDEX($W$2:$W$1001,MATCH(ROWS($V$2:V660),$V$2:$V$1001,0),1)&gt;=100000,INDEX($AC$1005:$AS$1005,1,MATCH(COLUMNS($AC$1006:AE1006),$AC$1006:$AS$1006,0))&gt;=100000), " ",IF(INDEX($AC$2:$AS$1001,MATCH(ROWS($V$2:V660),$V$2:$V$1001,0),MATCH(COLUMNS($AC$1006:AE1006),$AC$1006:$AS$1006,0)), HYPERLINK("#",""), HYPERLINK(CONCATENATE("#metadata!", ADDRESS(INDEX($X$2:$X$1001,MATCH(ROWS($V$2:V660),$V$2:$V$1001,0),0), INDEX($AC$1004:$AS$1004,1,MATCH(COLUMNS($AC$1006:AE1006),$AC$1006:$AS$1006,0)))),"Fix")))</f>
        <v xml:space="preserve"> </v>
      </c>
      <c r="E660" s="4" t="str">
        <f ca="1">IF(OR(INDEX($W$2:$W$1001,MATCH(ROWS($V$2:V660),$V$2:$V$1001,0),1)&gt;=100000,INDEX($AC$1005:$AS$1005,1,MATCH(COLUMNS($AC$1006:AF1006),$AC$1006:$AS$1006,0))&gt;=100000), " ",IF(INDEX($AC$2:$AS$1001,MATCH(ROWS($V$2:V660),$V$2:$V$1001,0),MATCH(COLUMNS($AC$1006:AF1006),$AC$1006:$AS$1006,0)), HYPERLINK("#",""), HYPERLINK(CONCATENATE("#metadata!", ADDRESS(INDEX($X$2:$X$1001,MATCH(ROWS($V$2:V660),$V$2:$V$1001,0),0), INDEX($AC$1004:$AS$1004,1,MATCH(COLUMNS($AC$1006:AF1006),$AC$1006:$AS$1006,0)))),"Fix")))</f>
        <v xml:space="preserve"> </v>
      </c>
      <c r="F660" s="4" t="str">
        <f ca="1">IF(OR(INDEX($W$2:$W$1001,MATCH(ROWS($V$2:V660),$V$2:$V$1001,0),1)&gt;=100000,INDEX($AC$1005:$AS$1005,1,MATCH(COLUMNS($AC$1006:AG1006),$AC$1006:$AS$1006,0))&gt;=100000), " ",IF(INDEX($AC$2:$AS$1001,MATCH(ROWS($V$2:V660),$V$2:$V$1001,0),MATCH(COLUMNS($AC$1006:AG1006),$AC$1006:$AS$1006,0)), HYPERLINK("#",""), HYPERLINK(CONCATENATE("#metadata!", ADDRESS(INDEX($X$2:$X$1001,MATCH(ROWS($V$2:V660),$V$2:$V$1001,0),0), INDEX($AC$1004:$AS$1004,1,MATCH(COLUMNS($AC$1006:AG1006),$AC$1006:$AS$1006,0)))),"Fix")))</f>
        <v xml:space="preserve"> </v>
      </c>
      <c r="G660" s="4" t="str">
        <f ca="1">IF(OR(INDEX($W$2:$W$1001,MATCH(ROWS($V$2:V660),$V$2:$V$1001,0),1)&gt;=100000,INDEX($AC$1005:$AS$1005,1,MATCH(COLUMNS($AC$1006:AH1006),$AC$1006:$AS$1006,0))&gt;=100000), " ",IF(INDEX($AC$2:$AS$1001,MATCH(ROWS($V$2:V660),$V$2:$V$1001,0),MATCH(COLUMNS($AC$1006:AH1006),$AC$1006:$AS$1006,0)), HYPERLINK("#",""), HYPERLINK(CONCATENATE("#metadata!", ADDRESS(INDEX($X$2:$X$1001,MATCH(ROWS($V$2:V660),$V$2:$V$1001,0),0), INDEX($AC$1004:$AS$1004,1,MATCH(COLUMNS($AC$1006:AH1006),$AC$1006:$AS$1006,0)))),"Fix")))</f>
        <v xml:space="preserve"> </v>
      </c>
      <c r="H660" s="4" t="str">
        <f ca="1">IF(OR(INDEX($W$2:$W$1001,MATCH(ROWS($V$2:V660),$V$2:$V$1001,0),1)&gt;=100000,INDEX($AC$1005:$AS$1005,1,MATCH(COLUMNS($AC$1006:AI1006),$AC$1006:$AS$1006,0))&gt;=100000), " ",IF(INDEX($AC$2:$AS$1001,MATCH(ROWS($V$2:V660),$V$2:$V$1001,0),MATCH(COLUMNS($AC$1006:AI1006),$AC$1006:$AS$1006,0)), HYPERLINK("#",""), HYPERLINK(CONCATENATE("#metadata!", ADDRESS(INDEX($X$2:$X$1001,MATCH(ROWS($V$2:V660),$V$2:$V$1001,0),0), INDEX($AC$1004:$AS$1004,1,MATCH(COLUMNS($AC$1006:AI1006),$AC$1006:$AS$1006,0)))),"Fix")))</f>
        <v xml:space="preserve"> </v>
      </c>
      <c r="I660" s="4" t="str">
        <f ca="1">IF(OR(INDEX($W$2:$W$1001,MATCH(ROWS($V$2:V660),$V$2:$V$1001,0),1)&gt;=100000,INDEX($AC$1005:$AS$1005,1,MATCH(COLUMNS($AC$1006:AJ1006),$AC$1006:$AS$1006,0))&gt;=100000), " ",IF(INDEX($AC$2:$AS$1001,MATCH(ROWS($V$2:V660),$V$2:$V$1001,0),MATCH(COLUMNS($AC$1006:AJ1006),$AC$1006:$AS$1006,0)), HYPERLINK("#",""), HYPERLINK(CONCATENATE("#metadata!", ADDRESS(INDEX($X$2:$X$1001,MATCH(ROWS($V$2:V660),$V$2:$V$1001,0),0), INDEX($AC$1004:$AS$1004,1,MATCH(COLUMNS($AC$1006:AJ1006),$AC$1006:$AS$1006,0)))),"Fix")))</f>
        <v xml:space="preserve"> </v>
      </c>
      <c r="J660" s="4" t="str">
        <f ca="1">IF(OR(INDEX($W$2:$W$1001,MATCH(ROWS($V$2:V660),$V$2:$V$1001,0),1)&gt;=100000,INDEX($AC$1005:$AS$1005,1,MATCH(COLUMNS($AC$1006:AK1006),$AC$1006:$AS$1006,0))&gt;=100000), " ",IF(INDEX($AC$2:$AS$1001,MATCH(ROWS($V$2:V660),$V$2:$V$1001,0),MATCH(COLUMNS($AC$1006:AK1006),$AC$1006:$AS$1006,0)), HYPERLINK("#",""), HYPERLINK(CONCATENATE("#metadata!", ADDRESS(INDEX($X$2:$X$1001,MATCH(ROWS($V$2:V660),$V$2:$V$1001,0),0), INDEX($AC$1004:$AS$1004,1,MATCH(COLUMNS($AC$1006:AK1006),$AC$1006:$AS$1006,0)))),"Fix")))</f>
        <v xml:space="preserve"> </v>
      </c>
      <c r="K660" s="4" t="str">
        <f ca="1">IF(OR(INDEX($W$2:$W$1001,MATCH(ROWS($V$2:V660),$V$2:$V$1001,0),1)&gt;=100000,INDEX($AC$1005:$AS$1005,1,MATCH(COLUMNS($AC$1006:AL1006),$AC$1006:$AS$1006,0))&gt;=100000), " ",IF(INDEX($AC$2:$AS$1001,MATCH(ROWS($V$2:V660),$V$2:$V$1001,0),MATCH(COLUMNS($AC$1006:AL1006),$AC$1006:$AS$1006,0)), HYPERLINK("#",""), HYPERLINK(CONCATENATE("#metadata!", ADDRESS(INDEX($X$2:$X$1001,MATCH(ROWS($V$2:V660),$V$2:$V$1001,0),0), INDEX($AC$1004:$AS$1004,1,MATCH(COLUMNS($AC$1006:AL1006),$AC$1006:$AS$1006,0)))),"Fix")))</f>
        <v xml:space="preserve"> </v>
      </c>
      <c r="L660" s="4" t="str">
        <f ca="1">IF(OR(INDEX($W$2:$W$1001,MATCH(ROWS($V$2:V660),$V$2:$V$1001,0),1)&gt;=100000,INDEX($AC$1005:$AS$1005,1,MATCH(COLUMNS($AC$1006:AM1006),$AC$1006:$AS$1006,0))&gt;=100000), " ",IF(INDEX($AC$2:$AS$1001,MATCH(ROWS($V$2:V660),$V$2:$V$1001,0),MATCH(COLUMNS($AC$1006:AM1006),$AC$1006:$AS$1006,0)), HYPERLINK("#",""), HYPERLINK(CONCATENATE("#metadata!", ADDRESS(INDEX($X$2:$X$1001,MATCH(ROWS($V$2:V660),$V$2:$V$1001,0),0), INDEX($AC$1004:$AS$1004,1,MATCH(COLUMNS($AC$1006:AM1006),$AC$1006:$AS$1006,0)))),"Fix")))</f>
        <v xml:space="preserve"> </v>
      </c>
      <c r="M660" s="4" t="str">
        <f ca="1">IF(OR(INDEX($W$2:$W$1001,MATCH(ROWS($V$2:V660),$V$2:$V$1001,0),1)&gt;=100000,INDEX($AC$1005:$AS$1005,1,MATCH(COLUMNS($AC$1006:AN1006),$AC$1006:$AS$1006,0))&gt;=100000), " ",IF(INDEX($AC$2:$AS$1001,MATCH(ROWS($V$2:V660),$V$2:$V$1001,0),MATCH(COLUMNS($AC$1006:AN1006),$AC$1006:$AS$1006,0)), HYPERLINK("#",""), HYPERLINK(CONCATENATE("#metadata!", ADDRESS(INDEX($X$2:$X$1001,MATCH(ROWS($V$2:V660),$V$2:$V$1001,0),0), INDEX($AC$1004:$AS$1004,1,MATCH(COLUMNS($AC$1006:AN1006),$AC$1006:$AS$1006,0)))),"Fix")))</f>
        <v xml:space="preserve"> </v>
      </c>
      <c r="N660" s="4" t="str">
        <f ca="1">IF(OR(INDEX($W$2:$W$1001,MATCH(ROWS($V$2:V660),$V$2:$V$1001,0),1)&gt;=100000,INDEX($AC$1005:$AS$1005,1,MATCH(COLUMNS($AC$1006:AO1006),$AC$1006:$AS$1006,0))&gt;=100000), " ",IF(INDEX($AC$2:$AS$1001,MATCH(ROWS($V$2:V660),$V$2:$V$1001,0),MATCH(COLUMNS($AC$1006:AO1006),$AC$1006:$AS$1006,0)), HYPERLINK("#",""), HYPERLINK(CONCATENATE("#metadata!", ADDRESS(INDEX($X$2:$X$1001,MATCH(ROWS($V$2:V660),$V$2:$V$1001,0),0), INDEX($AC$1004:$AS$1004,1,MATCH(COLUMNS($AC$1006:AO1006),$AC$1006:$AS$1006,0)))),"Fix")))</f>
        <v xml:space="preserve"> </v>
      </c>
      <c r="O660" s="4" t="str">
        <f ca="1">IF(OR(INDEX($W$2:$W$1001,MATCH(ROWS($V$2:V660),$V$2:$V$1001,0),1)&gt;=100000,INDEX($AC$1005:$AS$1005,1,MATCH(COLUMNS($AC$1006:AP1006),$AC$1006:$AS$1006,0))&gt;=100000), " ",IF(INDEX($AC$2:$AS$1001,MATCH(ROWS($V$2:V660),$V$2:$V$1001,0),MATCH(COLUMNS($AC$1006:AP1006),$AC$1006:$AS$1006,0)), HYPERLINK("#",""), HYPERLINK(CONCATENATE("#metadata!", ADDRESS(INDEX($X$2:$X$1001,MATCH(ROWS($V$2:V660),$V$2:$V$1001,0),0), INDEX($AC$1004:$AS$1004,1,MATCH(COLUMNS($AC$1006:AP1006),$AC$1006:$AS$1006,0)))),"Fix")))</f>
        <v xml:space="preserve"> </v>
      </c>
      <c r="P660" s="4" t="str">
        <f ca="1">IF(OR(INDEX($W$2:$W$1001,MATCH(ROWS($V$2:V660),$V$2:$V$1001,0),1)&gt;=100000,INDEX($AC$1005:$AS$1005,1,MATCH(COLUMNS($AC$1006:AQ1006),$AC$1006:$AS$1006,0))&gt;=100000), " ",IF(INDEX($AC$2:$AS$1001,MATCH(ROWS($V$2:V660),$V$2:$V$1001,0),MATCH(COLUMNS($AC$1006:AQ1006),$AC$1006:$AS$1006,0)), HYPERLINK("#",""), HYPERLINK(CONCATENATE("#metadata!", ADDRESS(INDEX($X$2:$X$1001,MATCH(ROWS($V$2:V660),$V$2:$V$1001,0),0), INDEX($AC$1004:$AS$1004,1,MATCH(COLUMNS($AC$1006:AQ1006),$AC$1006:$AS$1006,0)))),"Fix")))</f>
        <v xml:space="preserve"> </v>
      </c>
      <c r="Q660" s="4" t="str">
        <f ca="1">IF(OR(INDEX($W$2:$W$1001,MATCH(ROWS($V$2:V660),$V$2:$V$1001,0),1)&gt;=100000,INDEX($AC$1005:$AS$1005,1,MATCH(COLUMNS($AC$1006:AR1006),$AC$1006:$AS$1006,0))&gt;=100000), " ",IF(INDEX($AC$2:$AS$1001,MATCH(ROWS($V$2:V660),$V$2:$V$1001,0),MATCH(COLUMNS($AC$1006:AR1006),$AC$1006:$AS$1006,0)), HYPERLINK("#",""), HYPERLINK(CONCATENATE("#metadata!", ADDRESS(INDEX($X$2:$X$1001,MATCH(ROWS($V$2:V660),$V$2:$V$1001,0),0), INDEX($AC$1004:$AS$1004,1,MATCH(COLUMNS($AC$1006:AR1006),$AC$1006:$AS$1006,0)))),"Fix")))</f>
        <v xml:space="preserve"> </v>
      </c>
      <c r="R660" s="4" t="str">
        <f ca="1">IF(OR(INDEX($W$2:$W$1001,MATCH(ROWS($V$2:V660),$V$2:$V$1001,0),1)&gt;=100000,INDEX($AC$1005:$AS$1005,1,MATCH(COLUMNS($AC$1006:AS1006),$AC$1006:$AS$1006,0))&gt;=100000), " ",IF(INDEX($AC$2:$AS$1001,MATCH(ROWS($V$2:V660),$V$2:$V$1001,0),MATCH(COLUMNS($AC$1006:AS1006),$AC$1006:$AS$1006,0)), HYPERLINK("#",""), HYPERLINK(CONCATENATE("#metadata!", ADDRESS(INDEX($X$2:$X$1001,MATCH(ROWS($V$2:V660),$V$2:$V$1001,0),0), INDEX($AC$1004:$AS$1004,1,MATCH(COLUMNS($AC$1006:AS1006),$AC$1006:$AS$1006,0)))),"Fix")))</f>
        <v xml:space="preserve"> </v>
      </c>
      <c r="V660">
        <v>659</v>
      </c>
      <c r="W660">
        <v>100660</v>
      </c>
      <c r="X660">
        <v>660</v>
      </c>
      <c r="Y660" t="b">
        <f t="shared" si="10"/>
        <v>1</v>
      </c>
      <c r="Z660" t="b">
        <f>COUNTBLANK(metadata!B660:R660)=COLUMNS(metadata!B660:R660)</f>
        <v>1</v>
      </c>
      <c r="AA660" t="str">
        <v/>
      </c>
      <c r="AC660" t="b">
        <f ca="1"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AD660" t="b">
        <f>IF(metadata!C660="",FALSE,ISNUMBER(VALUE(metadata!C660)))</f>
        <v>0</v>
      </c>
      <c r="AE660" t="b">
        <f>AND(IF(metadata!D660="",FALSE,TRUE),EXACT(metadata!D660,"years"))</f>
        <v>0</v>
      </c>
      <c r="AF660" t="b">
        <f>OR(AND(IF(metadata!E660="",FALSE,TRUE),OR(EXACT(metadata!E660,"not applicable"),EXACT(metadata!E660,"missing: not collected"),EXACT(metadata!E660,"missing: not provided"),EXACT(metadata!E660,"missing: restricted access"))),AND(IF(metadata!E660="",FALSE,ISNUMBER(VALUE(metadata!E660))),metadata!E660&gt;0))</f>
        <v>0</v>
      </c>
      <c r="AG660" t="b">
        <f>AND(IF(metadata!F660="",FALSE,TRUE),EXACT(metadata!F660,"Not applicable"))</f>
        <v>0</v>
      </c>
      <c r="AH660" t="b">
        <f>AND(IF(metadata!G660="",FALSE,TRUE),EXACT(metadata!G660,"urban biome"))</f>
        <v>0</v>
      </c>
      <c r="AI660" t="b">
        <f>AND(IF(metadata!H660="",FALSE,TRUE),EXACT(metadata!H660,"human-associated habitat"))</f>
        <v>0</v>
      </c>
      <c r="AJ660" t="b">
        <f>AND(IF(metadata!I660="",FALSE,TRUE),OR(EXACT(metadata!I660,"human-associated"),EXACT(metadata!I660,"human-skin"),EXACT(metadata!I660,"human-oral"),EXACT(metadata!I660,"human-gut"),EXACT(metadata!I660,"human-vaginal")))</f>
        <v>0</v>
      </c>
      <c r="AK660" t="b">
        <f>IF(metadata!J660="",FALSE,ISNUMBER(VALUE(metadata!J660)))</f>
        <v>0</v>
      </c>
      <c r="AL660" t="b">
        <f>AND(IF(metadata!K660="",FALSE,TRUE),EXACT(metadata!K660,"cm"))</f>
        <v>0</v>
      </c>
      <c r="AM660" t="b">
        <f>AND(IF(metadata!L660="",FALSE,TRUE),EXACT(metadata!L660,"human"))</f>
        <v>0</v>
      </c>
      <c r="AN660" t="b">
        <f>AND(IF(metadata!M660="",FALSE,TRUE),EXACT(metadata!M660,"Homo sapiens"))</f>
        <v>0</v>
      </c>
      <c r="AO660" t="b">
        <f>AND(IF(metadata!N660="",FALSE,TRUE),EXACT(metadata!N660,"9606"))</f>
        <v>0</v>
      </c>
      <c r="AP660" t="b">
        <f>IF(metadata!O660="",FALSE,TRUE)</f>
        <v>0</v>
      </c>
      <c r="AQ660" t="b">
        <f>IF(metadata!P660="",FALSE,TRUE)</f>
        <v>0</v>
      </c>
      <c r="AR660" t="b">
        <f>IF(metadata!Q660="",FALSE,ISNUMBER(VALUE(metadata!Q660)))</f>
        <v>0</v>
      </c>
      <c r="AS660" t="b">
        <f>AND(IF(metadata!R660="",FALSE,TRUE),EXACT(metadata!R660,"kg"))</f>
        <v>0</v>
      </c>
    </row>
    <row r="661" spans="1:45" x14ac:dyDescent="0.2">
      <c r="A661" s="5" t="str">
        <f ca="1">IF(B661=" "," ",HYPERLINK(CONCATENATE("#metadata!",ADDRESS(INDEX($X$2:$X$1001,MATCH(ROWS($V$2:V661),$V$2:$V$1001,0),0),1)),INDEX($AA$2:$AA$1001,MATCH(ROWS($V$2:V661),$V$2:$V$1001,0),0)))</f>
        <v xml:space="preserve"> </v>
      </c>
      <c r="B661" s="4" t="str">
        <f ca="1">IF(OR(INDEX($W$2:$W$1001,MATCH(ROWS($V$2:V661),$V$2:$V$1001,0),1)&gt;=100000,INDEX($AC$1005:$AS$1005,1,MATCH(COLUMNS($AC$1006:AC1006),$AC$1006:$AS$1006,0))&gt;=100000), " ",IF(INDEX($AC$2:$AS$1001,MATCH(ROWS($V$2:V661),$V$2:$V$1001,0),MATCH(COLUMNS($AC$1006:AC1006),$AC$1006:$AS$1006,0)), HYPERLINK("#",""), HYPERLINK(CONCATENATE("#metadata!", ADDRESS(INDEX($X$2:$X$1001,MATCH(ROWS($V$2:V661),$V$2:$V$1001,0),0), INDEX($AC$1004:$AS$1004,1,MATCH(COLUMNS($AC$1006:AC1006),$AC$1006:$AS$1006,0)))),"Fix")))</f>
        <v xml:space="preserve"> </v>
      </c>
      <c r="C661" s="4" t="str">
        <f ca="1">IF(OR(INDEX($W$2:$W$1001,MATCH(ROWS($V$2:V661),$V$2:$V$1001,0),1)&gt;=100000,INDEX($AC$1005:$AS$1005,1,MATCH(COLUMNS($AC$1006:AD1006),$AC$1006:$AS$1006,0))&gt;=100000), " ",IF(INDEX($AC$2:$AS$1001,MATCH(ROWS($V$2:V661),$V$2:$V$1001,0),MATCH(COLUMNS($AC$1006:AD1006),$AC$1006:$AS$1006,0)), HYPERLINK("#",""), HYPERLINK(CONCATENATE("#metadata!", ADDRESS(INDEX($X$2:$X$1001,MATCH(ROWS($V$2:V661),$V$2:$V$1001,0),0), INDEX($AC$1004:$AS$1004,1,MATCH(COLUMNS($AC$1006:AD1006),$AC$1006:$AS$1006,0)))),"Fix")))</f>
        <v xml:space="preserve"> </v>
      </c>
      <c r="D661" s="4" t="str">
        <f ca="1">IF(OR(INDEX($W$2:$W$1001,MATCH(ROWS($V$2:V661),$V$2:$V$1001,0),1)&gt;=100000,INDEX($AC$1005:$AS$1005,1,MATCH(COLUMNS($AC$1006:AE1006),$AC$1006:$AS$1006,0))&gt;=100000), " ",IF(INDEX($AC$2:$AS$1001,MATCH(ROWS($V$2:V661),$V$2:$V$1001,0),MATCH(COLUMNS($AC$1006:AE1006),$AC$1006:$AS$1006,0)), HYPERLINK("#",""), HYPERLINK(CONCATENATE("#metadata!", ADDRESS(INDEX($X$2:$X$1001,MATCH(ROWS($V$2:V661),$V$2:$V$1001,0),0), INDEX($AC$1004:$AS$1004,1,MATCH(COLUMNS($AC$1006:AE1006),$AC$1006:$AS$1006,0)))),"Fix")))</f>
        <v xml:space="preserve"> </v>
      </c>
      <c r="E661" s="4" t="str">
        <f ca="1">IF(OR(INDEX($W$2:$W$1001,MATCH(ROWS($V$2:V661),$V$2:$V$1001,0),1)&gt;=100000,INDEX($AC$1005:$AS$1005,1,MATCH(COLUMNS($AC$1006:AF1006),$AC$1006:$AS$1006,0))&gt;=100000), " ",IF(INDEX($AC$2:$AS$1001,MATCH(ROWS($V$2:V661),$V$2:$V$1001,0),MATCH(COLUMNS($AC$1006:AF1006),$AC$1006:$AS$1006,0)), HYPERLINK("#",""), HYPERLINK(CONCATENATE("#metadata!", ADDRESS(INDEX($X$2:$X$1001,MATCH(ROWS($V$2:V661),$V$2:$V$1001,0),0), INDEX($AC$1004:$AS$1004,1,MATCH(COLUMNS($AC$1006:AF1006),$AC$1006:$AS$1006,0)))),"Fix")))</f>
        <v xml:space="preserve"> </v>
      </c>
      <c r="F661" s="4" t="str">
        <f ca="1">IF(OR(INDEX($W$2:$W$1001,MATCH(ROWS($V$2:V661),$V$2:$V$1001,0),1)&gt;=100000,INDEX($AC$1005:$AS$1005,1,MATCH(COLUMNS($AC$1006:AG1006),$AC$1006:$AS$1006,0))&gt;=100000), " ",IF(INDEX($AC$2:$AS$1001,MATCH(ROWS($V$2:V661),$V$2:$V$1001,0),MATCH(COLUMNS($AC$1006:AG1006),$AC$1006:$AS$1006,0)), HYPERLINK("#",""), HYPERLINK(CONCATENATE("#metadata!", ADDRESS(INDEX($X$2:$X$1001,MATCH(ROWS($V$2:V661),$V$2:$V$1001,0),0), INDEX($AC$1004:$AS$1004,1,MATCH(COLUMNS($AC$1006:AG1006),$AC$1006:$AS$1006,0)))),"Fix")))</f>
        <v xml:space="preserve"> </v>
      </c>
      <c r="G661" s="4" t="str">
        <f ca="1">IF(OR(INDEX($W$2:$W$1001,MATCH(ROWS($V$2:V661),$V$2:$V$1001,0),1)&gt;=100000,INDEX($AC$1005:$AS$1005,1,MATCH(COLUMNS($AC$1006:AH1006),$AC$1006:$AS$1006,0))&gt;=100000), " ",IF(INDEX($AC$2:$AS$1001,MATCH(ROWS($V$2:V661),$V$2:$V$1001,0),MATCH(COLUMNS($AC$1006:AH1006),$AC$1006:$AS$1006,0)), HYPERLINK("#",""), HYPERLINK(CONCATENATE("#metadata!", ADDRESS(INDEX($X$2:$X$1001,MATCH(ROWS($V$2:V661),$V$2:$V$1001,0),0), INDEX($AC$1004:$AS$1004,1,MATCH(COLUMNS($AC$1006:AH1006),$AC$1006:$AS$1006,0)))),"Fix")))</f>
        <v xml:space="preserve"> </v>
      </c>
      <c r="H661" s="4" t="str">
        <f ca="1">IF(OR(INDEX($W$2:$W$1001,MATCH(ROWS($V$2:V661),$V$2:$V$1001,0),1)&gt;=100000,INDEX($AC$1005:$AS$1005,1,MATCH(COLUMNS($AC$1006:AI1006),$AC$1006:$AS$1006,0))&gt;=100000), " ",IF(INDEX($AC$2:$AS$1001,MATCH(ROWS($V$2:V661),$V$2:$V$1001,0),MATCH(COLUMNS($AC$1006:AI1006),$AC$1006:$AS$1006,0)), HYPERLINK("#",""), HYPERLINK(CONCATENATE("#metadata!", ADDRESS(INDEX($X$2:$X$1001,MATCH(ROWS($V$2:V661),$V$2:$V$1001,0),0), INDEX($AC$1004:$AS$1004,1,MATCH(COLUMNS($AC$1006:AI1006),$AC$1006:$AS$1006,0)))),"Fix")))</f>
        <v xml:space="preserve"> </v>
      </c>
      <c r="I661" s="4" t="str">
        <f ca="1">IF(OR(INDEX($W$2:$W$1001,MATCH(ROWS($V$2:V661),$V$2:$V$1001,0),1)&gt;=100000,INDEX($AC$1005:$AS$1005,1,MATCH(COLUMNS($AC$1006:AJ1006),$AC$1006:$AS$1006,0))&gt;=100000), " ",IF(INDEX($AC$2:$AS$1001,MATCH(ROWS($V$2:V661),$V$2:$V$1001,0),MATCH(COLUMNS($AC$1006:AJ1006),$AC$1006:$AS$1006,0)), HYPERLINK("#",""), HYPERLINK(CONCATENATE("#metadata!", ADDRESS(INDEX($X$2:$X$1001,MATCH(ROWS($V$2:V661),$V$2:$V$1001,0),0), INDEX($AC$1004:$AS$1004,1,MATCH(COLUMNS($AC$1006:AJ1006),$AC$1006:$AS$1006,0)))),"Fix")))</f>
        <v xml:space="preserve"> </v>
      </c>
      <c r="J661" s="4" t="str">
        <f ca="1">IF(OR(INDEX($W$2:$W$1001,MATCH(ROWS($V$2:V661),$V$2:$V$1001,0),1)&gt;=100000,INDEX($AC$1005:$AS$1005,1,MATCH(COLUMNS($AC$1006:AK1006),$AC$1006:$AS$1006,0))&gt;=100000), " ",IF(INDEX($AC$2:$AS$1001,MATCH(ROWS($V$2:V661),$V$2:$V$1001,0),MATCH(COLUMNS($AC$1006:AK1006),$AC$1006:$AS$1006,0)), HYPERLINK("#",""), HYPERLINK(CONCATENATE("#metadata!", ADDRESS(INDEX($X$2:$X$1001,MATCH(ROWS($V$2:V661),$V$2:$V$1001,0),0), INDEX($AC$1004:$AS$1004,1,MATCH(COLUMNS($AC$1006:AK1006),$AC$1006:$AS$1006,0)))),"Fix")))</f>
        <v xml:space="preserve"> </v>
      </c>
      <c r="K661" s="4" t="str">
        <f ca="1">IF(OR(INDEX($W$2:$W$1001,MATCH(ROWS($V$2:V661),$V$2:$V$1001,0),1)&gt;=100000,INDEX($AC$1005:$AS$1005,1,MATCH(COLUMNS($AC$1006:AL1006),$AC$1006:$AS$1006,0))&gt;=100000), " ",IF(INDEX($AC$2:$AS$1001,MATCH(ROWS($V$2:V661),$V$2:$V$1001,0),MATCH(COLUMNS($AC$1006:AL1006),$AC$1006:$AS$1006,0)), HYPERLINK("#",""), HYPERLINK(CONCATENATE("#metadata!", ADDRESS(INDEX($X$2:$X$1001,MATCH(ROWS($V$2:V661),$V$2:$V$1001,0),0), INDEX($AC$1004:$AS$1004,1,MATCH(COLUMNS($AC$1006:AL1006),$AC$1006:$AS$1006,0)))),"Fix")))</f>
        <v xml:space="preserve"> </v>
      </c>
      <c r="L661" s="4" t="str">
        <f ca="1">IF(OR(INDEX($W$2:$W$1001,MATCH(ROWS($V$2:V661),$V$2:$V$1001,0),1)&gt;=100000,INDEX($AC$1005:$AS$1005,1,MATCH(COLUMNS($AC$1006:AM1006),$AC$1006:$AS$1006,0))&gt;=100000), " ",IF(INDEX($AC$2:$AS$1001,MATCH(ROWS($V$2:V661),$V$2:$V$1001,0),MATCH(COLUMNS($AC$1006:AM1006),$AC$1006:$AS$1006,0)), HYPERLINK("#",""), HYPERLINK(CONCATENATE("#metadata!", ADDRESS(INDEX($X$2:$X$1001,MATCH(ROWS($V$2:V661),$V$2:$V$1001,0),0), INDEX($AC$1004:$AS$1004,1,MATCH(COLUMNS($AC$1006:AM1006),$AC$1006:$AS$1006,0)))),"Fix")))</f>
        <v xml:space="preserve"> </v>
      </c>
      <c r="M661" s="4" t="str">
        <f ca="1">IF(OR(INDEX($W$2:$W$1001,MATCH(ROWS($V$2:V661),$V$2:$V$1001,0),1)&gt;=100000,INDEX($AC$1005:$AS$1005,1,MATCH(COLUMNS($AC$1006:AN1006),$AC$1006:$AS$1006,0))&gt;=100000), " ",IF(INDEX($AC$2:$AS$1001,MATCH(ROWS($V$2:V661),$V$2:$V$1001,0),MATCH(COLUMNS($AC$1006:AN1006),$AC$1006:$AS$1006,0)), HYPERLINK("#",""), HYPERLINK(CONCATENATE("#metadata!", ADDRESS(INDEX($X$2:$X$1001,MATCH(ROWS($V$2:V661),$V$2:$V$1001,0),0), INDEX($AC$1004:$AS$1004,1,MATCH(COLUMNS($AC$1006:AN1006),$AC$1006:$AS$1006,0)))),"Fix")))</f>
        <v xml:space="preserve"> </v>
      </c>
      <c r="N661" s="4" t="str">
        <f ca="1">IF(OR(INDEX($W$2:$W$1001,MATCH(ROWS($V$2:V661),$V$2:$V$1001,0),1)&gt;=100000,INDEX($AC$1005:$AS$1005,1,MATCH(COLUMNS($AC$1006:AO1006),$AC$1006:$AS$1006,0))&gt;=100000), " ",IF(INDEX($AC$2:$AS$1001,MATCH(ROWS($V$2:V661),$V$2:$V$1001,0),MATCH(COLUMNS($AC$1006:AO1006),$AC$1006:$AS$1006,0)), HYPERLINK("#",""), HYPERLINK(CONCATENATE("#metadata!", ADDRESS(INDEX($X$2:$X$1001,MATCH(ROWS($V$2:V661),$V$2:$V$1001,0),0), INDEX($AC$1004:$AS$1004,1,MATCH(COLUMNS($AC$1006:AO1006),$AC$1006:$AS$1006,0)))),"Fix")))</f>
        <v xml:space="preserve"> </v>
      </c>
      <c r="O661" s="4" t="str">
        <f ca="1">IF(OR(INDEX($W$2:$W$1001,MATCH(ROWS($V$2:V661),$V$2:$V$1001,0),1)&gt;=100000,INDEX($AC$1005:$AS$1005,1,MATCH(COLUMNS($AC$1006:AP1006),$AC$1006:$AS$1006,0))&gt;=100000), " ",IF(INDEX($AC$2:$AS$1001,MATCH(ROWS($V$2:V661),$V$2:$V$1001,0),MATCH(COLUMNS($AC$1006:AP1006),$AC$1006:$AS$1006,0)), HYPERLINK("#",""), HYPERLINK(CONCATENATE("#metadata!", ADDRESS(INDEX($X$2:$X$1001,MATCH(ROWS($V$2:V661),$V$2:$V$1001,0),0), INDEX($AC$1004:$AS$1004,1,MATCH(COLUMNS($AC$1006:AP1006),$AC$1006:$AS$1006,0)))),"Fix")))</f>
        <v xml:space="preserve"> </v>
      </c>
      <c r="P661" s="4" t="str">
        <f ca="1">IF(OR(INDEX($W$2:$W$1001,MATCH(ROWS($V$2:V661),$V$2:$V$1001,0),1)&gt;=100000,INDEX($AC$1005:$AS$1005,1,MATCH(COLUMNS($AC$1006:AQ1006),$AC$1006:$AS$1006,0))&gt;=100000), " ",IF(INDEX($AC$2:$AS$1001,MATCH(ROWS($V$2:V661),$V$2:$V$1001,0),MATCH(COLUMNS($AC$1006:AQ1006),$AC$1006:$AS$1006,0)), HYPERLINK("#",""), HYPERLINK(CONCATENATE("#metadata!", ADDRESS(INDEX($X$2:$X$1001,MATCH(ROWS($V$2:V661),$V$2:$V$1001,0),0), INDEX($AC$1004:$AS$1004,1,MATCH(COLUMNS($AC$1006:AQ1006),$AC$1006:$AS$1006,0)))),"Fix")))</f>
        <v xml:space="preserve"> </v>
      </c>
      <c r="Q661" s="4" t="str">
        <f ca="1">IF(OR(INDEX($W$2:$W$1001,MATCH(ROWS($V$2:V661),$V$2:$V$1001,0),1)&gt;=100000,INDEX($AC$1005:$AS$1005,1,MATCH(COLUMNS($AC$1006:AR1006),$AC$1006:$AS$1006,0))&gt;=100000), " ",IF(INDEX($AC$2:$AS$1001,MATCH(ROWS($V$2:V661),$V$2:$V$1001,0),MATCH(COLUMNS($AC$1006:AR1006),$AC$1006:$AS$1006,0)), HYPERLINK("#",""), HYPERLINK(CONCATENATE("#metadata!", ADDRESS(INDEX($X$2:$X$1001,MATCH(ROWS($V$2:V661),$V$2:$V$1001,0),0), INDEX($AC$1004:$AS$1004,1,MATCH(COLUMNS($AC$1006:AR1006),$AC$1006:$AS$1006,0)))),"Fix")))</f>
        <v xml:space="preserve"> </v>
      </c>
      <c r="R661" s="4" t="str">
        <f ca="1">IF(OR(INDEX($W$2:$W$1001,MATCH(ROWS($V$2:V661),$V$2:$V$1001,0),1)&gt;=100000,INDEX($AC$1005:$AS$1005,1,MATCH(COLUMNS($AC$1006:AS1006),$AC$1006:$AS$1006,0))&gt;=100000), " ",IF(INDEX($AC$2:$AS$1001,MATCH(ROWS($V$2:V661),$V$2:$V$1001,0),MATCH(COLUMNS($AC$1006:AS1006),$AC$1006:$AS$1006,0)), HYPERLINK("#",""), HYPERLINK(CONCATENATE("#metadata!", ADDRESS(INDEX($X$2:$X$1001,MATCH(ROWS($V$2:V661),$V$2:$V$1001,0),0), INDEX($AC$1004:$AS$1004,1,MATCH(COLUMNS($AC$1006:AS1006),$AC$1006:$AS$1006,0)))),"Fix")))</f>
        <v xml:space="preserve"> </v>
      </c>
      <c r="V661">
        <v>660</v>
      </c>
      <c r="W661">
        <v>100661</v>
      </c>
      <c r="X661">
        <v>661</v>
      </c>
      <c r="Y661" t="b">
        <f t="shared" si="10"/>
        <v>1</v>
      </c>
      <c r="Z661" t="b">
        <f>COUNTBLANK(metadata!B661:R661)=COLUMNS(metadata!B661:R661)</f>
        <v>1</v>
      </c>
      <c r="AA661" t="str">
        <v/>
      </c>
      <c r="AC661" t="b">
        <f ca="1"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AD661" t="b">
        <f>IF(metadata!C661="",FALSE,ISNUMBER(VALUE(metadata!C661)))</f>
        <v>0</v>
      </c>
      <c r="AE661" t="b">
        <f>AND(IF(metadata!D661="",FALSE,TRUE),EXACT(metadata!D661,"years"))</f>
        <v>0</v>
      </c>
      <c r="AF661" t="b">
        <f>OR(AND(IF(metadata!E661="",FALSE,TRUE),OR(EXACT(metadata!E661,"not applicable"),EXACT(metadata!E661,"missing: not collected"),EXACT(metadata!E661,"missing: not provided"),EXACT(metadata!E661,"missing: restricted access"))),AND(IF(metadata!E661="",FALSE,ISNUMBER(VALUE(metadata!E661))),metadata!E661&gt;0))</f>
        <v>0</v>
      </c>
      <c r="AG661" t="b">
        <f>AND(IF(metadata!F661="",FALSE,TRUE),EXACT(metadata!F661,"Not applicable"))</f>
        <v>0</v>
      </c>
      <c r="AH661" t="b">
        <f>AND(IF(metadata!G661="",FALSE,TRUE),EXACT(metadata!G661,"urban biome"))</f>
        <v>0</v>
      </c>
      <c r="AI661" t="b">
        <f>AND(IF(metadata!H661="",FALSE,TRUE),EXACT(metadata!H661,"human-associated habitat"))</f>
        <v>0</v>
      </c>
      <c r="AJ661" t="b">
        <f>AND(IF(metadata!I661="",FALSE,TRUE),OR(EXACT(metadata!I661,"human-associated"),EXACT(metadata!I661,"human-skin"),EXACT(metadata!I661,"human-oral"),EXACT(metadata!I661,"human-gut"),EXACT(metadata!I661,"human-vaginal")))</f>
        <v>0</v>
      </c>
      <c r="AK661" t="b">
        <f>IF(metadata!J661="",FALSE,ISNUMBER(VALUE(metadata!J661)))</f>
        <v>0</v>
      </c>
      <c r="AL661" t="b">
        <f>AND(IF(metadata!K661="",FALSE,TRUE),EXACT(metadata!K661,"cm"))</f>
        <v>0</v>
      </c>
      <c r="AM661" t="b">
        <f>AND(IF(metadata!L661="",FALSE,TRUE),EXACT(metadata!L661,"human"))</f>
        <v>0</v>
      </c>
      <c r="AN661" t="b">
        <f>AND(IF(metadata!M661="",FALSE,TRUE),EXACT(metadata!M661,"Homo sapiens"))</f>
        <v>0</v>
      </c>
      <c r="AO661" t="b">
        <f>AND(IF(metadata!N661="",FALSE,TRUE),EXACT(metadata!N661,"9606"))</f>
        <v>0</v>
      </c>
      <c r="AP661" t="b">
        <f>IF(metadata!O661="",FALSE,TRUE)</f>
        <v>0</v>
      </c>
      <c r="AQ661" t="b">
        <f>IF(metadata!P661="",FALSE,TRUE)</f>
        <v>0</v>
      </c>
      <c r="AR661" t="b">
        <f>IF(metadata!Q661="",FALSE,ISNUMBER(VALUE(metadata!Q661)))</f>
        <v>0</v>
      </c>
      <c r="AS661" t="b">
        <f>AND(IF(metadata!R661="",FALSE,TRUE),EXACT(metadata!R661,"kg"))</f>
        <v>0</v>
      </c>
    </row>
    <row r="662" spans="1:45" x14ac:dyDescent="0.2">
      <c r="A662" s="5" t="str">
        <f ca="1">IF(B662=" "," ",HYPERLINK(CONCATENATE("#metadata!",ADDRESS(INDEX($X$2:$X$1001,MATCH(ROWS($V$2:V662),$V$2:$V$1001,0),0),1)),INDEX($AA$2:$AA$1001,MATCH(ROWS($V$2:V662),$V$2:$V$1001,0),0)))</f>
        <v xml:space="preserve"> </v>
      </c>
      <c r="B662" s="4" t="str">
        <f ca="1">IF(OR(INDEX($W$2:$W$1001,MATCH(ROWS($V$2:V662),$V$2:$V$1001,0),1)&gt;=100000,INDEX($AC$1005:$AS$1005,1,MATCH(COLUMNS($AC$1006:AC1006),$AC$1006:$AS$1006,0))&gt;=100000), " ",IF(INDEX($AC$2:$AS$1001,MATCH(ROWS($V$2:V662),$V$2:$V$1001,0),MATCH(COLUMNS($AC$1006:AC1006),$AC$1006:$AS$1006,0)), HYPERLINK("#",""), HYPERLINK(CONCATENATE("#metadata!", ADDRESS(INDEX($X$2:$X$1001,MATCH(ROWS($V$2:V662),$V$2:$V$1001,0),0), INDEX($AC$1004:$AS$1004,1,MATCH(COLUMNS($AC$1006:AC1006),$AC$1006:$AS$1006,0)))),"Fix")))</f>
        <v xml:space="preserve"> </v>
      </c>
      <c r="C662" s="4" t="str">
        <f ca="1">IF(OR(INDEX($W$2:$W$1001,MATCH(ROWS($V$2:V662),$V$2:$V$1001,0),1)&gt;=100000,INDEX($AC$1005:$AS$1005,1,MATCH(COLUMNS($AC$1006:AD1006),$AC$1006:$AS$1006,0))&gt;=100000), " ",IF(INDEX($AC$2:$AS$1001,MATCH(ROWS($V$2:V662),$V$2:$V$1001,0),MATCH(COLUMNS($AC$1006:AD1006),$AC$1006:$AS$1006,0)), HYPERLINK("#",""), HYPERLINK(CONCATENATE("#metadata!", ADDRESS(INDEX($X$2:$X$1001,MATCH(ROWS($V$2:V662),$V$2:$V$1001,0),0), INDEX($AC$1004:$AS$1004,1,MATCH(COLUMNS($AC$1006:AD1006),$AC$1006:$AS$1006,0)))),"Fix")))</f>
        <v xml:space="preserve"> </v>
      </c>
      <c r="D662" s="4" t="str">
        <f ca="1">IF(OR(INDEX($W$2:$W$1001,MATCH(ROWS($V$2:V662),$V$2:$V$1001,0),1)&gt;=100000,INDEX($AC$1005:$AS$1005,1,MATCH(COLUMNS($AC$1006:AE1006),$AC$1006:$AS$1006,0))&gt;=100000), " ",IF(INDEX($AC$2:$AS$1001,MATCH(ROWS($V$2:V662),$V$2:$V$1001,0),MATCH(COLUMNS($AC$1006:AE1006),$AC$1006:$AS$1006,0)), HYPERLINK("#",""), HYPERLINK(CONCATENATE("#metadata!", ADDRESS(INDEX($X$2:$X$1001,MATCH(ROWS($V$2:V662),$V$2:$V$1001,0),0), INDEX($AC$1004:$AS$1004,1,MATCH(COLUMNS($AC$1006:AE1006),$AC$1006:$AS$1006,0)))),"Fix")))</f>
        <v xml:space="preserve"> </v>
      </c>
      <c r="E662" s="4" t="str">
        <f ca="1">IF(OR(INDEX($W$2:$W$1001,MATCH(ROWS($V$2:V662),$V$2:$V$1001,0),1)&gt;=100000,INDEX($AC$1005:$AS$1005,1,MATCH(COLUMNS($AC$1006:AF1006),$AC$1006:$AS$1006,0))&gt;=100000), " ",IF(INDEX($AC$2:$AS$1001,MATCH(ROWS($V$2:V662),$V$2:$V$1001,0),MATCH(COLUMNS($AC$1006:AF1006),$AC$1006:$AS$1006,0)), HYPERLINK("#",""), HYPERLINK(CONCATENATE("#metadata!", ADDRESS(INDEX($X$2:$X$1001,MATCH(ROWS($V$2:V662),$V$2:$V$1001,0),0), INDEX($AC$1004:$AS$1004,1,MATCH(COLUMNS($AC$1006:AF1006),$AC$1006:$AS$1006,0)))),"Fix")))</f>
        <v xml:space="preserve"> </v>
      </c>
      <c r="F662" s="4" t="str">
        <f ca="1">IF(OR(INDEX($W$2:$W$1001,MATCH(ROWS($V$2:V662),$V$2:$V$1001,0),1)&gt;=100000,INDEX($AC$1005:$AS$1005,1,MATCH(COLUMNS($AC$1006:AG1006),$AC$1006:$AS$1006,0))&gt;=100000), " ",IF(INDEX($AC$2:$AS$1001,MATCH(ROWS($V$2:V662),$V$2:$V$1001,0),MATCH(COLUMNS($AC$1006:AG1006),$AC$1006:$AS$1006,0)), HYPERLINK("#",""), HYPERLINK(CONCATENATE("#metadata!", ADDRESS(INDEX($X$2:$X$1001,MATCH(ROWS($V$2:V662),$V$2:$V$1001,0),0), INDEX($AC$1004:$AS$1004,1,MATCH(COLUMNS($AC$1006:AG1006),$AC$1006:$AS$1006,0)))),"Fix")))</f>
        <v xml:space="preserve"> </v>
      </c>
      <c r="G662" s="4" t="str">
        <f ca="1">IF(OR(INDEX($W$2:$W$1001,MATCH(ROWS($V$2:V662),$V$2:$V$1001,0),1)&gt;=100000,INDEX($AC$1005:$AS$1005,1,MATCH(COLUMNS($AC$1006:AH1006),$AC$1006:$AS$1006,0))&gt;=100000), " ",IF(INDEX($AC$2:$AS$1001,MATCH(ROWS($V$2:V662),$V$2:$V$1001,0),MATCH(COLUMNS($AC$1006:AH1006),$AC$1006:$AS$1006,0)), HYPERLINK("#",""), HYPERLINK(CONCATENATE("#metadata!", ADDRESS(INDEX($X$2:$X$1001,MATCH(ROWS($V$2:V662),$V$2:$V$1001,0),0), INDEX($AC$1004:$AS$1004,1,MATCH(COLUMNS($AC$1006:AH1006),$AC$1006:$AS$1006,0)))),"Fix")))</f>
        <v xml:space="preserve"> </v>
      </c>
      <c r="H662" s="4" t="str">
        <f ca="1">IF(OR(INDEX($W$2:$W$1001,MATCH(ROWS($V$2:V662),$V$2:$V$1001,0),1)&gt;=100000,INDEX($AC$1005:$AS$1005,1,MATCH(COLUMNS($AC$1006:AI1006),$AC$1006:$AS$1006,0))&gt;=100000), " ",IF(INDEX($AC$2:$AS$1001,MATCH(ROWS($V$2:V662),$V$2:$V$1001,0),MATCH(COLUMNS($AC$1006:AI1006),$AC$1006:$AS$1006,0)), HYPERLINK("#",""), HYPERLINK(CONCATENATE("#metadata!", ADDRESS(INDEX($X$2:$X$1001,MATCH(ROWS($V$2:V662),$V$2:$V$1001,0),0), INDEX($AC$1004:$AS$1004,1,MATCH(COLUMNS($AC$1006:AI1006),$AC$1006:$AS$1006,0)))),"Fix")))</f>
        <v xml:space="preserve"> </v>
      </c>
      <c r="I662" s="4" t="str">
        <f ca="1">IF(OR(INDEX($W$2:$W$1001,MATCH(ROWS($V$2:V662),$V$2:$V$1001,0),1)&gt;=100000,INDEX($AC$1005:$AS$1005,1,MATCH(COLUMNS($AC$1006:AJ1006),$AC$1006:$AS$1006,0))&gt;=100000), " ",IF(INDEX($AC$2:$AS$1001,MATCH(ROWS($V$2:V662),$V$2:$V$1001,0),MATCH(COLUMNS($AC$1006:AJ1006),$AC$1006:$AS$1006,0)), HYPERLINK("#",""), HYPERLINK(CONCATENATE("#metadata!", ADDRESS(INDEX($X$2:$X$1001,MATCH(ROWS($V$2:V662),$V$2:$V$1001,0),0), INDEX($AC$1004:$AS$1004,1,MATCH(COLUMNS($AC$1006:AJ1006),$AC$1006:$AS$1006,0)))),"Fix")))</f>
        <v xml:space="preserve"> </v>
      </c>
      <c r="J662" s="4" t="str">
        <f ca="1">IF(OR(INDEX($W$2:$W$1001,MATCH(ROWS($V$2:V662),$V$2:$V$1001,0),1)&gt;=100000,INDEX($AC$1005:$AS$1005,1,MATCH(COLUMNS($AC$1006:AK1006),$AC$1006:$AS$1006,0))&gt;=100000), " ",IF(INDEX($AC$2:$AS$1001,MATCH(ROWS($V$2:V662),$V$2:$V$1001,0),MATCH(COLUMNS($AC$1006:AK1006),$AC$1006:$AS$1006,0)), HYPERLINK("#",""), HYPERLINK(CONCATENATE("#metadata!", ADDRESS(INDEX($X$2:$X$1001,MATCH(ROWS($V$2:V662),$V$2:$V$1001,0),0), INDEX($AC$1004:$AS$1004,1,MATCH(COLUMNS($AC$1006:AK1006),$AC$1006:$AS$1006,0)))),"Fix")))</f>
        <v xml:space="preserve"> </v>
      </c>
      <c r="K662" s="4" t="str">
        <f ca="1">IF(OR(INDEX($W$2:$W$1001,MATCH(ROWS($V$2:V662),$V$2:$V$1001,0),1)&gt;=100000,INDEX($AC$1005:$AS$1005,1,MATCH(COLUMNS($AC$1006:AL1006),$AC$1006:$AS$1006,0))&gt;=100000), " ",IF(INDEX($AC$2:$AS$1001,MATCH(ROWS($V$2:V662),$V$2:$V$1001,0),MATCH(COLUMNS($AC$1006:AL1006),$AC$1006:$AS$1006,0)), HYPERLINK("#",""), HYPERLINK(CONCATENATE("#metadata!", ADDRESS(INDEX($X$2:$X$1001,MATCH(ROWS($V$2:V662),$V$2:$V$1001,0),0), INDEX($AC$1004:$AS$1004,1,MATCH(COLUMNS($AC$1006:AL1006),$AC$1006:$AS$1006,0)))),"Fix")))</f>
        <v xml:space="preserve"> </v>
      </c>
      <c r="L662" s="4" t="str">
        <f ca="1">IF(OR(INDEX($W$2:$W$1001,MATCH(ROWS($V$2:V662),$V$2:$V$1001,0),1)&gt;=100000,INDEX($AC$1005:$AS$1005,1,MATCH(COLUMNS($AC$1006:AM1006),$AC$1006:$AS$1006,0))&gt;=100000), " ",IF(INDEX($AC$2:$AS$1001,MATCH(ROWS($V$2:V662),$V$2:$V$1001,0),MATCH(COLUMNS($AC$1006:AM1006),$AC$1006:$AS$1006,0)), HYPERLINK("#",""), HYPERLINK(CONCATENATE("#metadata!", ADDRESS(INDEX($X$2:$X$1001,MATCH(ROWS($V$2:V662),$V$2:$V$1001,0),0), INDEX($AC$1004:$AS$1004,1,MATCH(COLUMNS($AC$1006:AM1006),$AC$1006:$AS$1006,0)))),"Fix")))</f>
        <v xml:space="preserve"> </v>
      </c>
      <c r="M662" s="4" t="str">
        <f ca="1">IF(OR(INDEX($W$2:$W$1001,MATCH(ROWS($V$2:V662),$V$2:$V$1001,0),1)&gt;=100000,INDEX($AC$1005:$AS$1005,1,MATCH(COLUMNS($AC$1006:AN1006),$AC$1006:$AS$1006,0))&gt;=100000), " ",IF(INDEX($AC$2:$AS$1001,MATCH(ROWS($V$2:V662),$V$2:$V$1001,0),MATCH(COLUMNS($AC$1006:AN1006),$AC$1006:$AS$1006,0)), HYPERLINK("#",""), HYPERLINK(CONCATENATE("#metadata!", ADDRESS(INDEX($X$2:$X$1001,MATCH(ROWS($V$2:V662),$V$2:$V$1001,0),0), INDEX($AC$1004:$AS$1004,1,MATCH(COLUMNS($AC$1006:AN1006),$AC$1006:$AS$1006,0)))),"Fix")))</f>
        <v xml:space="preserve"> </v>
      </c>
      <c r="N662" s="4" t="str">
        <f ca="1">IF(OR(INDEX($W$2:$W$1001,MATCH(ROWS($V$2:V662),$V$2:$V$1001,0),1)&gt;=100000,INDEX($AC$1005:$AS$1005,1,MATCH(COLUMNS($AC$1006:AO1006),$AC$1006:$AS$1006,0))&gt;=100000), " ",IF(INDEX($AC$2:$AS$1001,MATCH(ROWS($V$2:V662),$V$2:$V$1001,0),MATCH(COLUMNS($AC$1006:AO1006),$AC$1006:$AS$1006,0)), HYPERLINK("#",""), HYPERLINK(CONCATENATE("#metadata!", ADDRESS(INDEX($X$2:$X$1001,MATCH(ROWS($V$2:V662),$V$2:$V$1001,0),0), INDEX($AC$1004:$AS$1004,1,MATCH(COLUMNS($AC$1006:AO1006),$AC$1006:$AS$1006,0)))),"Fix")))</f>
        <v xml:space="preserve"> </v>
      </c>
      <c r="O662" s="4" t="str">
        <f ca="1">IF(OR(INDEX($W$2:$W$1001,MATCH(ROWS($V$2:V662),$V$2:$V$1001,0),1)&gt;=100000,INDEX($AC$1005:$AS$1005,1,MATCH(COLUMNS($AC$1006:AP1006),$AC$1006:$AS$1006,0))&gt;=100000), " ",IF(INDEX($AC$2:$AS$1001,MATCH(ROWS($V$2:V662),$V$2:$V$1001,0),MATCH(COLUMNS($AC$1006:AP1006),$AC$1006:$AS$1006,0)), HYPERLINK("#",""), HYPERLINK(CONCATENATE("#metadata!", ADDRESS(INDEX($X$2:$X$1001,MATCH(ROWS($V$2:V662),$V$2:$V$1001,0),0), INDEX($AC$1004:$AS$1004,1,MATCH(COLUMNS($AC$1006:AP1006),$AC$1006:$AS$1006,0)))),"Fix")))</f>
        <v xml:space="preserve"> </v>
      </c>
      <c r="P662" s="4" t="str">
        <f ca="1">IF(OR(INDEX($W$2:$W$1001,MATCH(ROWS($V$2:V662),$V$2:$V$1001,0),1)&gt;=100000,INDEX($AC$1005:$AS$1005,1,MATCH(COLUMNS($AC$1006:AQ1006),$AC$1006:$AS$1006,0))&gt;=100000), " ",IF(INDEX($AC$2:$AS$1001,MATCH(ROWS($V$2:V662),$V$2:$V$1001,0),MATCH(COLUMNS($AC$1006:AQ1006),$AC$1006:$AS$1006,0)), HYPERLINK("#",""), HYPERLINK(CONCATENATE("#metadata!", ADDRESS(INDEX($X$2:$X$1001,MATCH(ROWS($V$2:V662),$V$2:$V$1001,0),0), INDEX($AC$1004:$AS$1004,1,MATCH(COLUMNS($AC$1006:AQ1006),$AC$1006:$AS$1006,0)))),"Fix")))</f>
        <v xml:space="preserve"> </v>
      </c>
      <c r="Q662" s="4" t="str">
        <f ca="1">IF(OR(INDEX($W$2:$W$1001,MATCH(ROWS($V$2:V662),$V$2:$V$1001,0),1)&gt;=100000,INDEX($AC$1005:$AS$1005,1,MATCH(COLUMNS($AC$1006:AR1006),$AC$1006:$AS$1006,0))&gt;=100000), " ",IF(INDEX($AC$2:$AS$1001,MATCH(ROWS($V$2:V662),$V$2:$V$1001,0),MATCH(COLUMNS($AC$1006:AR1006),$AC$1006:$AS$1006,0)), HYPERLINK("#",""), HYPERLINK(CONCATENATE("#metadata!", ADDRESS(INDEX($X$2:$X$1001,MATCH(ROWS($V$2:V662),$V$2:$V$1001,0),0), INDEX($AC$1004:$AS$1004,1,MATCH(COLUMNS($AC$1006:AR1006),$AC$1006:$AS$1006,0)))),"Fix")))</f>
        <v xml:space="preserve"> </v>
      </c>
      <c r="R662" s="4" t="str">
        <f ca="1">IF(OR(INDEX($W$2:$W$1001,MATCH(ROWS($V$2:V662),$V$2:$V$1001,0),1)&gt;=100000,INDEX($AC$1005:$AS$1005,1,MATCH(COLUMNS($AC$1006:AS1006),$AC$1006:$AS$1006,0))&gt;=100000), " ",IF(INDEX($AC$2:$AS$1001,MATCH(ROWS($V$2:V662),$V$2:$V$1001,0),MATCH(COLUMNS($AC$1006:AS1006),$AC$1006:$AS$1006,0)), HYPERLINK("#",""), HYPERLINK(CONCATENATE("#metadata!", ADDRESS(INDEX($X$2:$X$1001,MATCH(ROWS($V$2:V662),$V$2:$V$1001,0),0), INDEX($AC$1004:$AS$1004,1,MATCH(COLUMNS($AC$1006:AS1006),$AC$1006:$AS$1006,0)))),"Fix")))</f>
        <v xml:space="preserve"> </v>
      </c>
      <c r="V662">
        <v>661</v>
      </c>
      <c r="W662">
        <v>100662</v>
      </c>
      <c r="X662">
        <v>662</v>
      </c>
      <c r="Y662" t="b">
        <f t="shared" si="10"/>
        <v>1</v>
      </c>
      <c r="Z662" t="b">
        <f>COUNTBLANK(metadata!B662:R662)=COLUMNS(metadata!B662:R662)</f>
        <v>1</v>
      </c>
      <c r="AA662" t="str">
        <v/>
      </c>
      <c r="AC662" t="b">
        <f ca="1"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AD662" t="b">
        <f>IF(metadata!C662="",FALSE,ISNUMBER(VALUE(metadata!C662)))</f>
        <v>0</v>
      </c>
      <c r="AE662" t="b">
        <f>AND(IF(metadata!D662="",FALSE,TRUE),EXACT(metadata!D662,"years"))</f>
        <v>0</v>
      </c>
      <c r="AF662" t="b">
        <f>OR(AND(IF(metadata!E662="",FALSE,TRUE),OR(EXACT(metadata!E662,"not applicable"),EXACT(metadata!E662,"missing: not collected"),EXACT(metadata!E662,"missing: not provided"),EXACT(metadata!E662,"missing: restricted access"))),AND(IF(metadata!E662="",FALSE,ISNUMBER(VALUE(metadata!E662))),metadata!E662&gt;0))</f>
        <v>0</v>
      </c>
      <c r="AG662" t="b">
        <f>AND(IF(metadata!F662="",FALSE,TRUE),EXACT(metadata!F662,"Not applicable"))</f>
        <v>0</v>
      </c>
      <c r="AH662" t="b">
        <f>AND(IF(metadata!G662="",FALSE,TRUE),EXACT(metadata!G662,"urban biome"))</f>
        <v>0</v>
      </c>
      <c r="AI662" t="b">
        <f>AND(IF(metadata!H662="",FALSE,TRUE),EXACT(metadata!H662,"human-associated habitat"))</f>
        <v>0</v>
      </c>
      <c r="AJ662" t="b">
        <f>AND(IF(metadata!I662="",FALSE,TRUE),OR(EXACT(metadata!I662,"human-associated"),EXACT(metadata!I662,"human-skin"),EXACT(metadata!I662,"human-oral"),EXACT(metadata!I662,"human-gut"),EXACT(metadata!I662,"human-vaginal")))</f>
        <v>0</v>
      </c>
      <c r="AK662" t="b">
        <f>IF(metadata!J662="",FALSE,ISNUMBER(VALUE(metadata!J662)))</f>
        <v>0</v>
      </c>
      <c r="AL662" t="b">
        <f>AND(IF(metadata!K662="",FALSE,TRUE),EXACT(metadata!K662,"cm"))</f>
        <v>0</v>
      </c>
      <c r="AM662" t="b">
        <f>AND(IF(metadata!L662="",FALSE,TRUE),EXACT(metadata!L662,"human"))</f>
        <v>0</v>
      </c>
      <c r="AN662" t="b">
        <f>AND(IF(metadata!M662="",FALSE,TRUE),EXACT(metadata!M662,"Homo sapiens"))</f>
        <v>0</v>
      </c>
      <c r="AO662" t="b">
        <f>AND(IF(metadata!N662="",FALSE,TRUE),EXACT(metadata!N662,"9606"))</f>
        <v>0</v>
      </c>
      <c r="AP662" t="b">
        <f>IF(metadata!O662="",FALSE,TRUE)</f>
        <v>0</v>
      </c>
      <c r="AQ662" t="b">
        <f>IF(metadata!P662="",FALSE,TRUE)</f>
        <v>0</v>
      </c>
      <c r="AR662" t="b">
        <f>IF(metadata!Q662="",FALSE,ISNUMBER(VALUE(metadata!Q662)))</f>
        <v>0</v>
      </c>
      <c r="AS662" t="b">
        <f>AND(IF(metadata!R662="",FALSE,TRUE),EXACT(metadata!R662,"kg"))</f>
        <v>0</v>
      </c>
    </row>
    <row r="663" spans="1:45" x14ac:dyDescent="0.2">
      <c r="A663" s="5" t="str">
        <f ca="1">IF(B663=" "," ",HYPERLINK(CONCATENATE("#metadata!",ADDRESS(INDEX($X$2:$X$1001,MATCH(ROWS($V$2:V663),$V$2:$V$1001,0),0),1)),INDEX($AA$2:$AA$1001,MATCH(ROWS($V$2:V663),$V$2:$V$1001,0),0)))</f>
        <v xml:space="preserve"> </v>
      </c>
      <c r="B663" s="4" t="str">
        <f ca="1">IF(OR(INDEX($W$2:$W$1001,MATCH(ROWS($V$2:V663),$V$2:$V$1001,0),1)&gt;=100000,INDEX($AC$1005:$AS$1005,1,MATCH(COLUMNS($AC$1006:AC1006),$AC$1006:$AS$1006,0))&gt;=100000), " ",IF(INDEX($AC$2:$AS$1001,MATCH(ROWS($V$2:V663),$V$2:$V$1001,0),MATCH(COLUMNS($AC$1006:AC1006),$AC$1006:$AS$1006,0)), HYPERLINK("#",""), HYPERLINK(CONCATENATE("#metadata!", ADDRESS(INDEX($X$2:$X$1001,MATCH(ROWS($V$2:V663),$V$2:$V$1001,0),0), INDEX($AC$1004:$AS$1004,1,MATCH(COLUMNS($AC$1006:AC1006),$AC$1006:$AS$1006,0)))),"Fix")))</f>
        <v xml:space="preserve"> </v>
      </c>
      <c r="C663" s="4" t="str">
        <f ca="1">IF(OR(INDEX($W$2:$W$1001,MATCH(ROWS($V$2:V663),$V$2:$V$1001,0),1)&gt;=100000,INDEX($AC$1005:$AS$1005,1,MATCH(COLUMNS($AC$1006:AD1006),$AC$1006:$AS$1006,0))&gt;=100000), " ",IF(INDEX($AC$2:$AS$1001,MATCH(ROWS($V$2:V663),$V$2:$V$1001,0),MATCH(COLUMNS($AC$1006:AD1006),$AC$1006:$AS$1006,0)), HYPERLINK("#",""), HYPERLINK(CONCATENATE("#metadata!", ADDRESS(INDEX($X$2:$X$1001,MATCH(ROWS($V$2:V663),$V$2:$V$1001,0),0), INDEX($AC$1004:$AS$1004,1,MATCH(COLUMNS($AC$1006:AD1006),$AC$1006:$AS$1006,0)))),"Fix")))</f>
        <v xml:space="preserve"> </v>
      </c>
      <c r="D663" s="4" t="str">
        <f ca="1">IF(OR(INDEX($W$2:$W$1001,MATCH(ROWS($V$2:V663),$V$2:$V$1001,0),1)&gt;=100000,INDEX($AC$1005:$AS$1005,1,MATCH(COLUMNS($AC$1006:AE1006),$AC$1006:$AS$1006,0))&gt;=100000), " ",IF(INDEX($AC$2:$AS$1001,MATCH(ROWS($V$2:V663),$V$2:$V$1001,0),MATCH(COLUMNS($AC$1006:AE1006),$AC$1006:$AS$1006,0)), HYPERLINK("#",""), HYPERLINK(CONCATENATE("#metadata!", ADDRESS(INDEX($X$2:$X$1001,MATCH(ROWS($V$2:V663),$V$2:$V$1001,0),0), INDEX($AC$1004:$AS$1004,1,MATCH(COLUMNS($AC$1006:AE1006),$AC$1006:$AS$1006,0)))),"Fix")))</f>
        <v xml:space="preserve"> </v>
      </c>
      <c r="E663" s="4" t="str">
        <f ca="1">IF(OR(INDEX($W$2:$W$1001,MATCH(ROWS($V$2:V663),$V$2:$V$1001,0),1)&gt;=100000,INDEX($AC$1005:$AS$1005,1,MATCH(COLUMNS($AC$1006:AF1006),$AC$1006:$AS$1006,0))&gt;=100000), " ",IF(INDEX($AC$2:$AS$1001,MATCH(ROWS($V$2:V663),$V$2:$V$1001,0),MATCH(COLUMNS($AC$1006:AF1006),$AC$1006:$AS$1006,0)), HYPERLINK("#",""), HYPERLINK(CONCATENATE("#metadata!", ADDRESS(INDEX($X$2:$X$1001,MATCH(ROWS($V$2:V663),$V$2:$V$1001,0),0), INDEX($AC$1004:$AS$1004,1,MATCH(COLUMNS($AC$1006:AF1006),$AC$1006:$AS$1006,0)))),"Fix")))</f>
        <v xml:space="preserve"> </v>
      </c>
      <c r="F663" s="4" t="str">
        <f ca="1">IF(OR(INDEX($W$2:$W$1001,MATCH(ROWS($V$2:V663),$V$2:$V$1001,0),1)&gt;=100000,INDEX($AC$1005:$AS$1005,1,MATCH(COLUMNS($AC$1006:AG1006),$AC$1006:$AS$1006,0))&gt;=100000), " ",IF(INDEX($AC$2:$AS$1001,MATCH(ROWS($V$2:V663),$V$2:$V$1001,0),MATCH(COLUMNS($AC$1006:AG1006),$AC$1006:$AS$1006,0)), HYPERLINK("#",""), HYPERLINK(CONCATENATE("#metadata!", ADDRESS(INDEX($X$2:$X$1001,MATCH(ROWS($V$2:V663),$V$2:$V$1001,0),0), INDEX($AC$1004:$AS$1004,1,MATCH(COLUMNS($AC$1006:AG1006),$AC$1006:$AS$1006,0)))),"Fix")))</f>
        <v xml:space="preserve"> </v>
      </c>
      <c r="G663" s="4" t="str">
        <f ca="1">IF(OR(INDEX($W$2:$W$1001,MATCH(ROWS($V$2:V663),$V$2:$V$1001,0),1)&gt;=100000,INDEX($AC$1005:$AS$1005,1,MATCH(COLUMNS($AC$1006:AH1006),$AC$1006:$AS$1006,0))&gt;=100000), " ",IF(INDEX($AC$2:$AS$1001,MATCH(ROWS($V$2:V663),$V$2:$V$1001,0),MATCH(COLUMNS($AC$1006:AH1006),$AC$1006:$AS$1006,0)), HYPERLINK("#",""), HYPERLINK(CONCATENATE("#metadata!", ADDRESS(INDEX($X$2:$X$1001,MATCH(ROWS($V$2:V663),$V$2:$V$1001,0),0), INDEX($AC$1004:$AS$1004,1,MATCH(COLUMNS($AC$1006:AH1006),$AC$1006:$AS$1006,0)))),"Fix")))</f>
        <v xml:space="preserve"> </v>
      </c>
      <c r="H663" s="4" t="str">
        <f ca="1">IF(OR(INDEX($W$2:$W$1001,MATCH(ROWS($V$2:V663),$V$2:$V$1001,0),1)&gt;=100000,INDEX($AC$1005:$AS$1005,1,MATCH(COLUMNS($AC$1006:AI1006),$AC$1006:$AS$1006,0))&gt;=100000), " ",IF(INDEX($AC$2:$AS$1001,MATCH(ROWS($V$2:V663),$V$2:$V$1001,0),MATCH(COLUMNS($AC$1006:AI1006),$AC$1006:$AS$1006,0)), HYPERLINK("#",""), HYPERLINK(CONCATENATE("#metadata!", ADDRESS(INDEX($X$2:$X$1001,MATCH(ROWS($V$2:V663),$V$2:$V$1001,0),0), INDEX($AC$1004:$AS$1004,1,MATCH(COLUMNS($AC$1006:AI1006),$AC$1006:$AS$1006,0)))),"Fix")))</f>
        <v xml:space="preserve"> </v>
      </c>
      <c r="I663" s="4" t="str">
        <f ca="1">IF(OR(INDEX($W$2:$W$1001,MATCH(ROWS($V$2:V663),$V$2:$V$1001,0),1)&gt;=100000,INDEX($AC$1005:$AS$1005,1,MATCH(COLUMNS($AC$1006:AJ1006),$AC$1006:$AS$1006,0))&gt;=100000), " ",IF(INDEX($AC$2:$AS$1001,MATCH(ROWS($V$2:V663),$V$2:$V$1001,0),MATCH(COLUMNS($AC$1006:AJ1006),$AC$1006:$AS$1006,0)), HYPERLINK("#",""), HYPERLINK(CONCATENATE("#metadata!", ADDRESS(INDEX($X$2:$X$1001,MATCH(ROWS($V$2:V663),$V$2:$V$1001,0),0), INDEX($AC$1004:$AS$1004,1,MATCH(COLUMNS($AC$1006:AJ1006),$AC$1006:$AS$1006,0)))),"Fix")))</f>
        <v xml:space="preserve"> </v>
      </c>
      <c r="J663" s="4" t="str">
        <f ca="1">IF(OR(INDEX($W$2:$W$1001,MATCH(ROWS($V$2:V663),$V$2:$V$1001,0),1)&gt;=100000,INDEX($AC$1005:$AS$1005,1,MATCH(COLUMNS($AC$1006:AK1006),$AC$1006:$AS$1006,0))&gt;=100000), " ",IF(INDEX($AC$2:$AS$1001,MATCH(ROWS($V$2:V663),$V$2:$V$1001,0),MATCH(COLUMNS($AC$1006:AK1006),$AC$1006:$AS$1006,0)), HYPERLINK("#",""), HYPERLINK(CONCATENATE("#metadata!", ADDRESS(INDEX($X$2:$X$1001,MATCH(ROWS($V$2:V663),$V$2:$V$1001,0),0), INDEX($AC$1004:$AS$1004,1,MATCH(COLUMNS($AC$1006:AK1006),$AC$1006:$AS$1006,0)))),"Fix")))</f>
        <v xml:space="preserve"> </v>
      </c>
      <c r="K663" s="4" t="str">
        <f ca="1">IF(OR(INDEX($W$2:$W$1001,MATCH(ROWS($V$2:V663),$V$2:$V$1001,0),1)&gt;=100000,INDEX($AC$1005:$AS$1005,1,MATCH(COLUMNS($AC$1006:AL1006),$AC$1006:$AS$1006,0))&gt;=100000), " ",IF(INDEX($AC$2:$AS$1001,MATCH(ROWS($V$2:V663),$V$2:$V$1001,0),MATCH(COLUMNS($AC$1006:AL1006),$AC$1006:$AS$1006,0)), HYPERLINK("#",""), HYPERLINK(CONCATENATE("#metadata!", ADDRESS(INDEX($X$2:$X$1001,MATCH(ROWS($V$2:V663),$V$2:$V$1001,0),0), INDEX($AC$1004:$AS$1004,1,MATCH(COLUMNS($AC$1006:AL1006),$AC$1006:$AS$1006,0)))),"Fix")))</f>
        <v xml:space="preserve"> </v>
      </c>
      <c r="L663" s="4" t="str">
        <f ca="1">IF(OR(INDEX($W$2:$W$1001,MATCH(ROWS($V$2:V663),$V$2:$V$1001,0),1)&gt;=100000,INDEX($AC$1005:$AS$1005,1,MATCH(COLUMNS($AC$1006:AM1006),$AC$1006:$AS$1006,0))&gt;=100000), " ",IF(INDEX($AC$2:$AS$1001,MATCH(ROWS($V$2:V663),$V$2:$V$1001,0),MATCH(COLUMNS($AC$1006:AM1006),$AC$1006:$AS$1006,0)), HYPERLINK("#",""), HYPERLINK(CONCATENATE("#metadata!", ADDRESS(INDEX($X$2:$X$1001,MATCH(ROWS($V$2:V663),$V$2:$V$1001,0),0), INDEX($AC$1004:$AS$1004,1,MATCH(COLUMNS($AC$1006:AM1006),$AC$1006:$AS$1006,0)))),"Fix")))</f>
        <v xml:space="preserve"> </v>
      </c>
      <c r="M663" s="4" t="str">
        <f ca="1">IF(OR(INDEX($W$2:$W$1001,MATCH(ROWS($V$2:V663),$V$2:$V$1001,0),1)&gt;=100000,INDEX($AC$1005:$AS$1005,1,MATCH(COLUMNS($AC$1006:AN1006),$AC$1006:$AS$1006,0))&gt;=100000), " ",IF(INDEX($AC$2:$AS$1001,MATCH(ROWS($V$2:V663),$V$2:$V$1001,0),MATCH(COLUMNS($AC$1006:AN1006),$AC$1006:$AS$1006,0)), HYPERLINK("#",""), HYPERLINK(CONCATENATE("#metadata!", ADDRESS(INDEX($X$2:$X$1001,MATCH(ROWS($V$2:V663),$V$2:$V$1001,0),0), INDEX($AC$1004:$AS$1004,1,MATCH(COLUMNS($AC$1006:AN1006),$AC$1006:$AS$1006,0)))),"Fix")))</f>
        <v xml:space="preserve"> </v>
      </c>
      <c r="N663" s="4" t="str">
        <f ca="1">IF(OR(INDEX($W$2:$W$1001,MATCH(ROWS($V$2:V663),$V$2:$V$1001,0),1)&gt;=100000,INDEX($AC$1005:$AS$1005,1,MATCH(COLUMNS($AC$1006:AO1006),$AC$1006:$AS$1006,0))&gt;=100000), " ",IF(INDEX($AC$2:$AS$1001,MATCH(ROWS($V$2:V663),$V$2:$V$1001,0),MATCH(COLUMNS($AC$1006:AO1006),$AC$1006:$AS$1006,0)), HYPERLINK("#",""), HYPERLINK(CONCATENATE("#metadata!", ADDRESS(INDEX($X$2:$X$1001,MATCH(ROWS($V$2:V663),$V$2:$V$1001,0),0), INDEX($AC$1004:$AS$1004,1,MATCH(COLUMNS($AC$1006:AO1006),$AC$1006:$AS$1006,0)))),"Fix")))</f>
        <v xml:space="preserve"> </v>
      </c>
      <c r="O663" s="4" t="str">
        <f ca="1">IF(OR(INDEX($W$2:$W$1001,MATCH(ROWS($V$2:V663),$V$2:$V$1001,0),1)&gt;=100000,INDEX($AC$1005:$AS$1005,1,MATCH(COLUMNS($AC$1006:AP1006),$AC$1006:$AS$1006,0))&gt;=100000), " ",IF(INDEX($AC$2:$AS$1001,MATCH(ROWS($V$2:V663),$V$2:$V$1001,0),MATCH(COLUMNS($AC$1006:AP1006),$AC$1006:$AS$1006,0)), HYPERLINK("#",""), HYPERLINK(CONCATENATE("#metadata!", ADDRESS(INDEX($X$2:$X$1001,MATCH(ROWS($V$2:V663),$V$2:$V$1001,0),0), INDEX($AC$1004:$AS$1004,1,MATCH(COLUMNS($AC$1006:AP1006),$AC$1006:$AS$1006,0)))),"Fix")))</f>
        <v xml:space="preserve"> </v>
      </c>
      <c r="P663" s="4" t="str">
        <f ca="1">IF(OR(INDEX($W$2:$W$1001,MATCH(ROWS($V$2:V663),$V$2:$V$1001,0),1)&gt;=100000,INDEX($AC$1005:$AS$1005,1,MATCH(COLUMNS($AC$1006:AQ1006),$AC$1006:$AS$1006,0))&gt;=100000), " ",IF(INDEX($AC$2:$AS$1001,MATCH(ROWS($V$2:V663),$V$2:$V$1001,0),MATCH(COLUMNS($AC$1006:AQ1006),$AC$1006:$AS$1006,0)), HYPERLINK("#",""), HYPERLINK(CONCATENATE("#metadata!", ADDRESS(INDEX($X$2:$X$1001,MATCH(ROWS($V$2:V663),$V$2:$V$1001,0),0), INDEX($AC$1004:$AS$1004,1,MATCH(COLUMNS($AC$1006:AQ1006),$AC$1006:$AS$1006,0)))),"Fix")))</f>
        <v xml:space="preserve"> </v>
      </c>
      <c r="Q663" s="4" t="str">
        <f ca="1">IF(OR(INDEX($W$2:$W$1001,MATCH(ROWS($V$2:V663),$V$2:$V$1001,0),1)&gt;=100000,INDEX($AC$1005:$AS$1005,1,MATCH(COLUMNS($AC$1006:AR1006),$AC$1006:$AS$1006,0))&gt;=100000), " ",IF(INDEX($AC$2:$AS$1001,MATCH(ROWS($V$2:V663),$V$2:$V$1001,0),MATCH(COLUMNS($AC$1006:AR1006),$AC$1006:$AS$1006,0)), HYPERLINK("#",""), HYPERLINK(CONCATENATE("#metadata!", ADDRESS(INDEX($X$2:$X$1001,MATCH(ROWS($V$2:V663),$V$2:$V$1001,0),0), INDEX($AC$1004:$AS$1004,1,MATCH(COLUMNS($AC$1006:AR1006),$AC$1006:$AS$1006,0)))),"Fix")))</f>
        <v xml:space="preserve"> </v>
      </c>
      <c r="R663" s="4" t="str">
        <f ca="1">IF(OR(INDEX($W$2:$W$1001,MATCH(ROWS($V$2:V663),$V$2:$V$1001,0),1)&gt;=100000,INDEX($AC$1005:$AS$1005,1,MATCH(COLUMNS($AC$1006:AS1006),$AC$1006:$AS$1006,0))&gt;=100000), " ",IF(INDEX($AC$2:$AS$1001,MATCH(ROWS($V$2:V663),$V$2:$V$1001,0),MATCH(COLUMNS($AC$1006:AS1006),$AC$1006:$AS$1006,0)), HYPERLINK("#",""), HYPERLINK(CONCATENATE("#metadata!", ADDRESS(INDEX($X$2:$X$1001,MATCH(ROWS($V$2:V663),$V$2:$V$1001,0),0), INDEX($AC$1004:$AS$1004,1,MATCH(COLUMNS($AC$1006:AS1006),$AC$1006:$AS$1006,0)))),"Fix")))</f>
        <v xml:space="preserve"> </v>
      </c>
      <c r="V663">
        <v>662</v>
      </c>
      <c r="W663">
        <v>100663</v>
      </c>
      <c r="X663">
        <v>663</v>
      </c>
      <c r="Y663" t="b">
        <f t="shared" si="10"/>
        <v>1</v>
      </c>
      <c r="Z663" t="b">
        <f>COUNTBLANK(metadata!B663:R663)=COLUMNS(metadata!B663:R663)</f>
        <v>1</v>
      </c>
      <c r="AA663" t="str">
        <v/>
      </c>
      <c r="AC663" t="b">
        <f ca="1"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AD663" t="b">
        <f>IF(metadata!C663="",FALSE,ISNUMBER(VALUE(metadata!C663)))</f>
        <v>0</v>
      </c>
      <c r="AE663" t="b">
        <f>AND(IF(metadata!D663="",FALSE,TRUE),EXACT(metadata!D663,"years"))</f>
        <v>0</v>
      </c>
      <c r="AF663" t="b">
        <f>OR(AND(IF(metadata!E663="",FALSE,TRUE),OR(EXACT(metadata!E663,"not applicable"),EXACT(metadata!E663,"missing: not collected"),EXACT(metadata!E663,"missing: not provided"),EXACT(metadata!E663,"missing: restricted access"))),AND(IF(metadata!E663="",FALSE,ISNUMBER(VALUE(metadata!E663))),metadata!E663&gt;0))</f>
        <v>0</v>
      </c>
      <c r="AG663" t="b">
        <f>AND(IF(metadata!F663="",FALSE,TRUE),EXACT(metadata!F663,"Not applicable"))</f>
        <v>0</v>
      </c>
      <c r="AH663" t="b">
        <f>AND(IF(metadata!G663="",FALSE,TRUE),EXACT(metadata!G663,"urban biome"))</f>
        <v>0</v>
      </c>
      <c r="AI663" t="b">
        <f>AND(IF(metadata!H663="",FALSE,TRUE),EXACT(metadata!H663,"human-associated habitat"))</f>
        <v>0</v>
      </c>
      <c r="AJ663" t="b">
        <f>AND(IF(metadata!I663="",FALSE,TRUE),OR(EXACT(metadata!I663,"human-associated"),EXACT(metadata!I663,"human-skin"),EXACT(metadata!I663,"human-oral"),EXACT(metadata!I663,"human-gut"),EXACT(metadata!I663,"human-vaginal")))</f>
        <v>0</v>
      </c>
      <c r="AK663" t="b">
        <f>IF(metadata!J663="",FALSE,ISNUMBER(VALUE(metadata!J663)))</f>
        <v>0</v>
      </c>
      <c r="AL663" t="b">
        <f>AND(IF(metadata!K663="",FALSE,TRUE),EXACT(metadata!K663,"cm"))</f>
        <v>0</v>
      </c>
      <c r="AM663" t="b">
        <f>AND(IF(metadata!L663="",FALSE,TRUE),EXACT(metadata!L663,"human"))</f>
        <v>0</v>
      </c>
      <c r="AN663" t="b">
        <f>AND(IF(metadata!M663="",FALSE,TRUE),EXACT(metadata!M663,"Homo sapiens"))</f>
        <v>0</v>
      </c>
      <c r="AO663" t="b">
        <f>AND(IF(metadata!N663="",FALSE,TRUE),EXACT(metadata!N663,"9606"))</f>
        <v>0</v>
      </c>
      <c r="AP663" t="b">
        <f>IF(metadata!O663="",FALSE,TRUE)</f>
        <v>0</v>
      </c>
      <c r="AQ663" t="b">
        <f>IF(metadata!P663="",FALSE,TRUE)</f>
        <v>0</v>
      </c>
      <c r="AR663" t="b">
        <f>IF(metadata!Q663="",FALSE,ISNUMBER(VALUE(metadata!Q663)))</f>
        <v>0</v>
      </c>
      <c r="AS663" t="b">
        <f>AND(IF(metadata!R663="",FALSE,TRUE),EXACT(metadata!R663,"kg"))</f>
        <v>0</v>
      </c>
    </row>
    <row r="664" spans="1:45" x14ac:dyDescent="0.2">
      <c r="A664" s="5" t="str">
        <f ca="1">IF(B664=" "," ",HYPERLINK(CONCATENATE("#metadata!",ADDRESS(INDEX($X$2:$X$1001,MATCH(ROWS($V$2:V664),$V$2:$V$1001,0),0),1)),INDEX($AA$2:$AA$1001,MATCH(ROWS($V$2:V664),$V$2:$V$1001,0),0)))</f>
        <v xml:space="preserve"> </v>
      </c>
      <c r="B664" s="4" t="str">
        <f ca="1">IF(OR(INDEX($W$2:$W$1001,MATCH(ROWS($V$2:V664),$V$2:$V$1001,0),1)&gt;=100000,INDEX($AC$1005:$AS$1005,1,MATCH(COLUMNS($AC$1006:AC1006),$AC$1006:$AS$1006,0))&gt;=100000), " ",IF(INDEX($AC$2:$AS$1001,MATCH(ROWS($V$2:V664),$V$2:$V$1001,0),MATCH(COLUMNS($AC$1006:AC1006),$AC$1006:$AS$1006,0)), HYPERLINK("#",""), HYPERLINK(CONCATENATE("#metadata!", ADDRESS(INDEX($X$2:$X$1001,MATCH(ROWS($V$2:V664),$V$2:$V$1001,0),0), INDEX($AC$1004:$AS$1004,1,MATCH(COLUMNS($AC$1006:AC1006),$AC$1006:$AS$1006,0)))),"Fix")))</f>
        <v xml:space="preserve"> </v>
      </c>
      <c r="C664" s="4" t="str">
        <f ca="1">IF(OR(INDEX($W$2:$W$1001,MATCH(ROWS($V$2:V664),$V$2:$V$1001,0),1)&gt;=100000,INDEX($AC$1005:$AS$1005,1,MATCH(COLUMNS($AC$1006:AD1006),$AC$1006:$AS$1006,0))&gt;=100000), " ",IF(INDEX($AC$2:$AS$1001,MATCH(ROWS($V$2:V664),$V$2:$V$1001,0),MATCH(COLUMNS($AC$1006:AD1006),$AC$1006:$AS$1006,0)), HYPERLINK("#",""), HYPERLINK(CONCATENATE("#metadata!", ADDRESS(INDEX($X$2:$X$1001,MATCH(ROWS($V$2:V664),$V$2:$V$1001,0),0), INDEX($AC$1004:$AS$1004,1,MATCH(COLUMNS($AC$1006:AD1006),$AC$1006:$AS$1006,0)))),"Fix")))</f>
        <v xml:space="preserve"> </v>
      </c>
      <c r="D664" s="4" t="str">
        <f ca="1">IF(OR(INDEX($W$2:$W$1001,MATCH(ROWS($V$2:V664),$V$2:$V$1001,0),1)&gt;=100000,INDEX($AC$1005:$AS$1005,1,MATCH(COLUMNS($AC$1006:AE1006),$AC$1006:$AS$1006,0))&gt;=100000), " ",IF(INDEX($AC$2:$AS$1001,MATCH(ROWS($V$2:V664),$V$2:$V$1001,0),MATCH(COLUMNS($AC$1006:AE1006),$AC$1006:$AS$1006,0)), HYPERLINK("#",""), HYPERLINK(CONCATENATE("#metadata!", ADDRESS(INDEX($X$2:$X$1001,MATCH(ROWS($V$2:V664),$V$2:$V$1001,0),0), INDEX($AC$1004:$AS$1004,1,MATCH(COLUMNS($AC$1006:AE1006),$AC$1006:$AS$1006,0)))),"Fix")))</f>
        <v xml:space="preserve"> </v>
      </c>
      <c r="E664" s="4" t="str">
        <f ca="1">IF(OR(INDEX($W$2:$W$1001,MATCH(ROWS($V$2:V664),$V$2:$V$1001,0),1)&gt;=100000,INDEX($AC$1005:$AS$1005,1,MATCH(COLUMNS($AC$1006:AF1006),$AC$1006:$AS$1006,0))&gt;=100000), " ",IF(INDEX($AC$2:$AS$1001,MATCH(ROWS($V$2:V664),$V$2:$V$1001,0),MATCH(COLUMNS($AC$1006:AF1006),$AC$1006:$AS$1006,0)), HYPERLINK("#",""), HYPERLINK(CONCATENATE("#metadata!", ADDRESS(INDEX($X$2:$X$1001,MATCH(ROWS($V$2:V664),$V$2:$V$1001,0),0), INDEX($AC$1004:$AS$1004,1,MATCH(COLUMNS($AC$1006:AF1006),$AC$1006:$AS$1006,0)))),"Fix")))</f>
        <v xml:space="preserve"> </v>
      </c>
      <c r="F664" s="4" t="str">
        <f ca="1">IF(OR(INDEX($W$2:$W$1001,MATCH(ROWS($V$2:V664),$V$2:$V$1001,0),1)&gt;=100000,INDEX($AC$1005:$AS$1005,1,MATCH(COLUMNS($AC$1006:AG1006),$AC$1006:$AS$1006,0))&gt;=100000), " ",IF(INDEX($AC$2:$AS$1001,MATCH(ROWS($V$2:V664),$V$2:$V$1001,0),MATCH(COLUMNS($AC$1006:AG1006),$AC$1006:$AS$1006,0)), HYPERLINK("#",""), HYPERLINK(CONCATENATE("#metadata!", ADDRESS(INDEX($X$2:$X$1001,MATCH(ROWS($V$2:V664),$V$2:$V$1001,0),0), INDEX($AC$1004:$AS$1004,1,MATCH(COLUMNS($AC$1006:AG1006),$AC$1006:$AS$1006,0)))),"Fix")))</f>
        <v xml:space="preserve"> </v>
      </c>
      <c r="G664" s="4" t="str">
        <f ca="1">IF(OR(INDEX($W$2:$W$1001,MATCH(ROWS($V$2:V664),$V$2:$V$1001,0),1)&gt;=100000,INDEX($AC$1005:$AS$1005,1,MATCH(COLUMNS($AC$1006:AH1006),$AC$1006:$AS$1006,0))&gt;=100000), " ",IF(INDEX($AC$2:$AS$1001,MATCH(ROWS($V$2:V664),$V$2:$V$1001,0),MATCH(COLUMNS($AC$1006:AH1006),$AC$1006:$AS$1006,0)), HYPERLINK("#",""), HYPERLINK(CONCATENATE("#metadata!", ADDRESS(INDEX($X$2:$X$1001,MATCH(ROWS($V$2:V664),$V$2:$V$1001,0),0), INDEX($AC$1004:$AS$1004,1,MATCH(COLUMNS($AC$1006:AH1006),$AC$1006:$AS$1006,0)))),"Fix")))</f>
        <v xml:space="preserve"> </v>
      </c>
      <c r="H664" s="4" t="str">
        <f ca="1">IF(OR(INDEX($W$2:$W$1001,MATCH(ROWS($V$2:V664),$V$2:$V$1001,0),1)&gt;=100000,INDEX($AC$1005:$AS$1005,1,MATCH(COLUMNS($AC$1006:AI1006),$AC$1006:$AS$1006,0))&gt;=100000), " ",IF(INDEX($AC$2:$AS$1001,MATCH(ROWS($V$2:V664),$V$2:$V$1001,0),MATCH(COLUMNS($AC$1006:AI1006),$AC$1006:$AS$1006,0)), HYPERLINK("#",""), HYPERLINK(CONCATENATE("#metadata!", ADDRESS(INDEX($X$2:$X$1001,MATCH(ROWS($V$2:V664),$V$2:$V$1001,0),0), INDEX($AC$1004:$AS$1004,1,MATCH(COLUMNS($AC$1006:AI1006),$AC$1006:$AS$1006,0)))),"Fix")))</f>
        <v xml:space="preserve"> </v>
      </c>
      <c r="I664" s="4" t="str">
        <f ca="1">IF(OR(INDEX($W$2:$W$1001,MATCH(ROWS($V$2:V664),$V$2:$V$1001,0),1)&gt;=100000,INDEX($AC$1005:$AS$1005,1,MATCH(COLUMNS($AC$1006:AJ1006),$AC$1006:$AS$1006,0))&gt;=100000), " ",IF(INDEX($AC$2:$AS$1001,MATCH(ROWS($V$2:V664),$V$2:$V$1001,0),MATCH(COLUMNS($AC$1006:AJ1006),$AC$1006:$AS$1006,0)), HYPERLINK("#",""), HYPERLINK(CONCATENATE("#metadata!", ADDRESS(INDEX($X$2:$X$1001,MATCH(ROWS($V$2:V664),$V$2:$V$1001,0),0), INDEX($AC$1004:$AS$1004,1,MATCH(COLUMNS($AC$1006:AJ1006),$AC$1006:$AS$1006,0)))),"Fix")))</f>
        <v xml:space="preserve"> </v>
      </c>
      <c r="J664" s="4" t="str">
        <f ca="1">IF(OR(INDEX($W$2:$W$1001,MATCH(ROWS($V$2:V664),$V$2:$V$1001,0),1)&gt;=100000,INDEX($AC$1005:$AS$1005,1,MATCH(COLUMNS($AC$1006:AK1006),$AC$1006:$AS$1006,0))&gt;=100000), " ",IF(INDEX($AC$2:$AS$1001,MATCH(ROWS($V$2:V664),$V$2:$V$1001,0),MATCH(COLUMNS($AC$1006:AK1006),$AC$1006:$AS$1006,0)), HYPERLINK("#",""), HYPERLINK(CONCATENATE("#metadata!", ADDRESS(INDEX($X$2:$X$1001,MATCH(ROWS($V$2:V664),$V$2:$V$1001,0),0), INDEX($AC$1004:$AS$1004,1,MATCH(COLUMNS($AC$1006:AK1006),$AC$1006:$AS$1006,0)))),"Fix")))</f>
        <v xml:space="preserve"> </v>
      </c>
      <c r="K664" s="4" t="str">
        <f ca="1">IF(OR(INDEX($W$2:$W$1001,MATCH(ROWS($V$2:V664),$V$2:$V$1001,0),1)&gt;=100000,INDEX($AC$1005:$AS$1005,1,MATCH(COLUMNS($AC$1006:AL1006),$AC$1006:$AS$1006,0))&gt;=100000), " ",IF(INDEX($AC$2:$AS$1001,MATCH(ROWS($V$2:V664),$V$2:$V$1001,0),MATCH(COLUMNS($AC$1006:AL1006),$AC$1006:$AS$1006,0)), HYPERLINK("#",""), HYPERLINK(CONCATENATE("#metadata!", ADDRESS(INDEX($X$2:$X$1001,MATCH(ROWS($V$2:V664),$V$2:$V$1001,0),0), INDEX($AC$1004:$AS$1004,1,MATCH(COLUMNS($AC$1006:AL1006),$AC$1006:$AS$1006,0)))),"Fix")))</f>
        <v xml:space="preserve"> </v>
      </c>
      <c r="L664" s="4" t="str">
        <f ca="1">IF(OR(INDEX($W$2:$W$1001,MATCH(ROWS($V$2:V664),$V$2:$V$1001,0),1)&gt;=100000,INDEX($AC$1005:$AS$1005,1,MATCH(COLUMNS($AC$1006:AM1006),$AC$1006:$AS$1006,0))&gt;=100000), " ",IF(INDEX($AC$2:$AS$1001,MATCH(ROWS($V$2:V664),$V$2:$V$1001,0),MATCH(COLUMNS($AC$1006:AM1006),$AC$1006:$AS$1006,0)), HYPERLINK("#",""), HYPERLINK(CONCATENATE("#metadata!", ADDRESS(INDEX($X$2:$X$1001,MATCH(ROWS($V$2:V664),$V$2:$V$1001,0),0), INDEX($AC$1004:$AS$1004,1,MATCH(COLUMNS($AC$1006:AM1006),$AC$1006:$AS$1006,0)))),"Fix")))</f>
        <v xml:space="preserve"> </v>
      </c>
      <c r="M664" s="4" t="str">
        <f ca="1">IF(OR(INDEX($W$2:$W$1001,MATCH(ROWS($V$2:V664),$V$2:$V$1001,0),1)&gt;=100000,INDEX($AC$1005:$AS$1005,1,MATCH(COLUMNS($AC$1006:AN1006),$AC$1006:$AS$1006,0))&gt;=100000), " ",IF(INDEX($AC$2:$AS$1001,MATCH(ROWS($V$2:V664),$V$2:$V$1001,0),MATCH(COLUMNS($AC$1006:AN1006),$AC$1006:$AS$1006,0)), HYPERLINK("#",""), HYPERLINK(CONCATENATE("#metadata!", ADDRESS(INDEX($X$2:$X$1001,MATCH(ROWS($V$2:V664),$V$2:$V$1001,0),0), INDEX($AC$1004:$AS$1004,1,MATCH(COLUMNS($AC$1006:AN1006),$AC$1006:$AS$1006,0)))),"Fix")))</f>
        <v xml:space="preserve"> </v>
      </c>
      <c r="N664" s="4" t="str">
        <f ca="1">IF(OR(INDEX($W$2:$W$1001,MATCH(ROWS($V$2:V664),$V$2:$V$1001,0),1)&gt;=100000,INDEX($AC$1005:$AS$1005,1,MATCH(COLUMNS($AC$1006:AO1006),$AC$1006:$AS$1006,0))&gt;=100000), " ",IF(INDEX($AC$2:$AS$1001,MATCH(ROWS($V$2:V664),$V$2:$V$1001,0),MATCH(COLUMNS($AC$1006:AO1006),$AC$1006:$AS$1006,0)), HYPERLINK("#",""), HYPERLINK(CONCATENATE("#metadata!", ADDRESS(INDEX($X$2:$X$1001,MATCH(ROWS($V$2:V664),$V$2:$V$1001,0),0), INDEX($AC$1004:$AS$1004,1,MATCH(COLUMNS($AC$1006:AO1006),$AC$1006:$AS$1006,0)))),"Fix")))</f>
        <v xml:space="preserve"> </v>
      </c>
      <c r="O664" s="4" t="str">
        <f ca="1">IF(OR(INDEX($W$2:$W$1001,MATCH(ROWS($V$2:V664),$V$2:$V$1001,0),1)&gt;=100000,INDEX($AC$1005:$AS$1005,1,MATCH(COLUMNS($AC$1006:AP1006),$AC$1006:$AS$1006,0))&gt;=100000), " ",IF(INDEX($AC$2:$AS$1001,MATCH(ROWS($V$2:V664),$V$2:$V$1001,0),MATCH(COLUMNS($AC$1006:AP1006),$AC$1006:$AS$1006,0)), HYPERLINK("#",""), HYPERLINK(CONCATENATE("#metadata!", ADDRESS(INDEX($X$2:$X$1001,MATCH(ROWS($V$2:V664),$V$2:$V$1001,0),0), INDEX($AC$1004:$AS$1004,1,MATCH(COLUMNS($AC$1006:AP1006),$AC$1006:$AS$1006,0)))),"Fix")))</f>
        <v xml:space="preserve"> </v>
      </c>
      <c r="P664" s="4" t="str">
        <f ca="1">IF(OR(INDEX($W$2:$W$1001,MATCH(ROWS($V$2:V664),$V$2:$V$1001,0),1)&gt;=100000,INDEX($AC$1005:$AS$1005,1,MATCH(COLUMNS($AC$1006:AQ1006),$AC$1006:$AS$1006,0))&gt;=100000), " ",IF(INDEX($AC$2:$AS$1001,MATCH(ROWS($V$2:V664),$V$2:$V$1001,0),MATCH(COLUMNS($AC$1006:AQ1006),$AC$1006:$AS$1006,0)), HYPERLINK("#",""), HYPERLINK(CONCATENATE("#metadata!", ADDRESS(INDEX($X$2:$X$1001,MATCH(ROWS($V$2:V664),$V$2:$V$1001,0),0), INDEX($AC$1004:$AS$1004,1,MATCH(COLUMNS($AC$1006:AQ1006),$AC$1006:$AS$1006,0)))),"Fix")))</f>
        <v xml:space="preserve"> </v>
      </c>
      <c r="Q664" s="4" t="str">
        <f ca="1">IF(OR(INDEX($W$2:$W$1001,MATCH(ROWS($V$2:V664),$V$2:$V$1001,0),1)&gt;=100000,INDEX($AC$1005:$AS$1005,1,MATCH(COLUMNS($AC$1006:AR1006),$AC$1006:$AS$1006,0))&gt;=100000), " ",IF(INDEX($AC$2:$AS$1001,MATCH(ROWS($V$2:V664),$V$2:$V$1001,0),MATCH(COLUMNS($AC$1006:AR1006),$AC$1006:$AS$1006,0)), HYPERLINK("#",""), HYPERLINK(CONCATENATE("#metadata!", ADDRESS(INDEX($X$2:$X$1001,MATCH(ROWS($V$2:V664),$V$2:$V$1001,0),0), INDEX($AC$1004:$AS$1004,1,MATCH(COLUMNS($AC$1006:AR1006),$AC$1006:$AS$1006,0)))),"Fix")))</f>
        <v xml:space="preserve"> </v>
      </c>
      <c r="R664" s="4" t="str">
        <f ca="1">IF(OR(INDEX($W$2:$W$1001,MATCH(ROWS($V$2:V664),$V$2:$V$1001,0),1)&gt;=100000,INDEX($AC$1005:$AS$1005,1,MATCH(COLUMNS($AC$1006:AS1006),$AC$1006:$AS$1006,0))&gt;=100000), " ",IF(INDEX($AC$2:$AS$1001,MATCH(ROWS($V$2:V664),$V$2:$V$1001,0),MATCH(COLUMNS($AC$1006:AS1006),$AC$1006:$AS$1006,0)), HYPERLINK("#",""), HYPERLINK(CONCATENATE("#metadata!", ADDRESS(INDEX($X$2:$X$1001,MATCH(ROWS($V$2:V664),$V$2:$V$1001,0),0), INDEX($AC$1004:$AS$1004,1,MATCH(COLUMNS($AC$1006:AS1006),$AC$1006:$AS$1006,0)))),"Fix")))</f>
        <v xml:space="preserve"> </v>
      </c>
      <c r="V664">
        <v>663</v>
      </c>
      <c r="W664">
        <v>100664</v>
      </c>
      <c r="X664">
        <v>664</v>
      </c>
      <c r="Y664" t="b">
        <f t="shared" si="10"/>
        <v>1</v>
      </c>
      <c r="Z664" t="b">
        <f>COUNTBLANK(metadata!B664:R664)=COLUMNS(metadata!B664:R664)</f>
        <v>1</v>
      </c>
      <c r="AA664" t="str">
        <v/>
      </c>
      <c r="AC664" t="b">
        <f ca="1"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AD664" t="b">
        <f>IF(metadata!C664="",FALSE,ISNUMBER(VALUE(metadata!C664)))</f>
        <v>0</v>
      </c>
      <c r="AE664" t="b">
        <f>AND(IF(metadata!D664="",FALSE,TRUE),EXACT(metadata!D664,"years"))</f>
        <v>0</v>
      </c>
      <c r="AF664" t="b">
        <f>OR(AND(IF(metadata!E664="",FALSE,TRUE),OR(EXACT(metadata!E664,"not applicable"),EXACT(metadata!E664,"missing: not collected"),EXACT(metadata!E664,"missing: not provided"),EXACT(metadata!E664,"missing: restricted access"))),AND(IF(metadata!E664="",FALSE,ISNUMBER(VALUE(metadata!E664))),metadata!E664&gt;0))</f>
        <v>0</v>
      </c>
      <c r="AG664" t="b">
        <f>AND(IF(metadata!F664="",FALSE,TRUE),EXACT(metadata!F664,"Not applicable"))</f>
        <v>0</v>
      </c>
      <c r="AH664" t="b">
        <f>AND(IF(metadata!G664="",FALSE,TRUE),EXACT(metadata!G664,"urban biome"))</f>
        <v>0</v>
      </c>
      <c r="AI664" t="b">
        <f>AND(IF(metadata!H664="",FALSE,TRUE),EXACT(metadata!H664,"human-associated habitat"))</f>
        <v>0</v>
      </c>
      <c r="AJ664" t="b">
        <f>AND(IF(metadata!I664="",FALSE,TRUE),OR(EXACT(metadata!I664,"human-associated"),EXACT(metadata!I664,"human-skin"),EXACT(metadata!I664,"human-oral"),EXACT(metadata!I664,"human-gut"),EXACT(metadata!I664,"human-vaginal")))</f>
        <v>0</v>
      </c>
      <c r="AK664" t="b">
        <f>IF(metadata!J664="",FALSE,ISNUMBER(VALUE(metadata!J664)))</f>
        <v>0</v>
      </c>
      <c r="AL664" t="b">
        <f>AND(IF(metadata!K664="",FALSE,TRUE),EXACT(metadata!K664,"cm"))</f>
        <v>0</v>
      </c>
      <c r="AM664" t="b">
        <f>AND(IF(metadata!L664="",FALSE,TRUE),EXACT(metadata!L664,"human"))</f>
        <v>0</v>
      </c>
      <c r="AN664" t="b">
        <f>AND(IF(metadata!M664="",FALSE,TRUE),EXACT(metadata!M664,"Homo sapiens"))</f>
        <v>0</v>
      </c>
      <c r="AO664" t="b">
        <f>AND(IF(metadata!N664="",FALSE,TRUE),EXACT(metadata!N664,"9606"))</f>
        <v>0</v>
      </c>
      <c r="AP664" t="b">
        <f>IF(metadata!O664="",FALSE,TRUE)</f>
        <v>0</v>
      </c>
      <c r="AQ664" t="b">
        <f>IF(metadata!P664="",FALSE,TRUE)</f>
        <v>0</v>
      </c>
      <c r="AR664" t="b">
        <f>IF(metadata!Q664="",FALSE,ISNUMBER(VALUE(metadata!Q664)))</f>
        <v>0</v>
      </c>
      <c r="AS664" t="b">
        <f>AND(IF(metadata!R664="",FALSE,TRUE),EXACT(metadata!R664,"kg"))</f>
        <v>0</v>
      </c>
    </row>
    <row r="665" spans="1:45" x14ac:dyDescent="0.2">
      <c r="A665" s="5" t="str">
        <f ca="1">IF(B665=" "," ",HYPERLINK(CONCATENATE("#metadata!",ADDRESS(INDEX($X$2:$X$1001,MATCH(ROWS($V$2:V665),$V$2:$V$1001,0),0),1)),INDEX($AA$2:$AA$1001,MATCH(ROWS($V$2:V665),$V$2:$V$1001,0),0)))</f>
        <v xml:space="preserve"> </v>
      </c>
      <c r="B665" s="4" t="str">
        <f ca="1">IF(OR(INDEX($W$2:$W$1001,MATCH(ROWS($V$2:V665),$V$2:$V$1001,0),1)&gt;=100000,INDEX($AC$1005:$AS$1005,1,MATCH(COLUMNS($AC$1006:AC1006),$AC$1006:$AS$1006,0))&gt;=100000), " ",IF(INDEX($AC$2:$AS$1001,MATCH(ROWS($V$2:V665),$V$2:$V$1001,0),MATCH(COLUMNS($AC$1006:AC1006),$AC$1006:$AS$1006,0)), HYPERLINK("#",""), HYPERLINK(CONCATENATE("#metadata!", ADDRESS(INDEX($X$2:$X$1001,MATCH(ROWS($V$2:V665),$V$2:$V$1001,0),0), INDEX($AC$1004:$AS$1004,1,MATCH(COLUMNS($AC$1006:AC1006),$AC$1006:$AS$1006,0)))),"Fix")))</f>
        <v xml:space="preserve"> </v>
      </c>
      <c r="C665" s="4" t="str">
        <f ca="1">IF(OR(INDEX($W$2:$W$1001,MATCH(ROWS($V$2:V665),$V$2:$V$1001,0),1)&gt;=100000,INDEX($AC$1005:$AS$1005,1,MATCH(COLUMNS($AC$1006:AD1006),$AC$1006:$AS$1006,0))&gt;=100000), " ",IF(INDEX($AC$2:$AS$1001,MATCH(ROWS($V$2:V665),$V$2:$V$1001,0),MATCH(COLUMNS($AC$1006:AD1006),$AC$1006:$AS$1006,0)), HYPERLINK("#",""), HYPERLINK(CONCATENATE("#metadata!", ADDRESS(INDEX($X$2:$X$1001,MATCH(ROWS($V$2:V665),$V$2:$V$1001,0),0), INDEX($AC$1004:$AS$1004,1,MATCH(COLUMNS($AC$1006:AD1006),$AC$1006:$AS$1006,0)))),"Fix")))</f>
        <v xml:space="preserve"> </v>
      </c>
      <c r="D665" s="4" t="str">
        <f ca="1">IF(OR(INDEX($W$2:$W$1001,MATCH(ROWS($V$2:V665),$V$2:$V$1001,0),1)&gt;=100000,INDEX($AC$1005:$AS$1005,1,MATCH(COLUMNS($AC$1006:AE1006),$AC$1006:$AS$1006,0))&gt;=100000), " ",IF(INDEX($AC$2:$AS$1001,MATCH(ROWS($V$2:V665),$V$2:$V$1001,0),MATCH(COLUMNS($AC$1006:AE1006),$AC$1006:$AS$1006,0)), HYPERLINK("#",""), HYPERLINK(CONCATENATE("#metadata!", ADDRESS(INDEX($X$2:$X$1001,MATCH(ROWS($V$2:V665),$V$2:$V$1001,0),0), INDEX($AC$1004:$AS$1004,1,MATCH(COLUMNS($AC$1006:AE1006),$AC$1006:$AS$1006,0)))),"Fix")))</f>
        <v xml:space="preserve"> </v>
      </c>
      <c r="E665" s="4" t="str">
        <f ca="1">IF(OR(INDEX($W$2:$W$1001,MATCH(ROWS($V$2:V665),$V$2:$V$1001,0),1)&gt;=100000,INDEX($AC$1005:$AS$1005,1,MATCH(COLUMNS($AC$1006:AF1006),$AC$1006:$AS$1006,0))&gt;=100000), " ",IF(INDEX($AC$2:$AS$1001,MATCH(ROWS($V$2:V665),$V$2:$V$1001,0),MATCH(COLUMNS($AC$1006:AF1006),$AC$1006:$AS$1006,0)), HYPERLINK("#",""), HYPERLINK(CONCATENATE("#metadata!", ADDRESS(INDEX($X$2:$X$1001,MATCH(ROWS($V$2:V665),$V$2:$V$1001,0),0), INDEX($AC$1004:$AS$1004,1,MATCH(COLUMNS($AC$1006:AF1006),$AC$1006:$AS$1006,0)))),"Fix")))</f>
        <v xml:space="preserve"> </v>
      </c>
      <c r="F665" s="4" t="str">
        <f ca="1">IF(OR(INDEX($W$2:$W$1001,MATCH(ROWS($V$2:V665),$V$2:$V$1001,0),1)&gt;=100000,INDEX($AC$1005:$AS$1005,1,MATCH(COLUMNS($AC$1006:AG1006),$AC$1006:$AS$1006,0))&gt;=100000), " ",IF(INDEX($AC$2:$AS$1001,MATCH(ROWS($V$2:V665),$V$2:$V$1001,0),MATCH(COLUMNS($AC$1006:AG1006),$AC$1006:$AS$1006,0)), HYPERLINK("#",""), HYPERLINK(CONCATENATE("#metadata!", ADDRESS(INDEX($X$2:$X$1001,MATCH(ROWS($V$2:V665),$V$2:$V$1001,0),0), INDEX($AC$1004:$AS$1004,1,MATCH(COLUMNS($AC$1006:AG1006),$AC$1006:$AS$1006,0)))),"Fix")))</f>
        <v xml:space="preserve"> </v>
      </c>
      <c r="G665" s="4" t="str">
        <f ca="1">IF(OR(INDEX($W$2:$W$1001,MATCH(ROWS($V$2:V665),$V$2:$V$1001,0),1)&gt;=100000,INDEX($AC$1005:$AS$1005,1,MATCH(COLUMNS($AC$1006:AH1006),$AC$1006:$AS$1006,0))&gt;=100000), " ",IF(INDEX($AC$2:$AS$1001,MATCH(ROWS($V$2:V665),$V$2:$V$1001,0),MATCH(COLUMNS($AC$1006:AH1006),$AC$1006:$AS$1006,0)), HYPERLINK("#",""), HYPERLINK(CONCATENATE("#metadata!", ADDRESS(INDEX($X$2:$X$1001,MATCH(ROWS($V$2:V665),$V$2:$V$1001,0),0), INDEX($AC$1004:$AS$1004,1,MATCH(COLUMNS($AC$1006:AH1006),$AC$1006:$AS$1006,0)))),"Fix")))</f>
        <v xml:space="preserve"> </v>
      </c>
      <c r="H665" s="4" t="str">
        <f ca="1">IF(OR(INDEX($W$2:$W$1001,MATCH(ROWS($V$2:V665),$V$2:$V$1001,0),1)&gt;=100000,INDEX($AC$1005:$AS$1005,1,MATCH(COLUMNS($AC$1006:AI1006),$AC$1006:$AS$1006,0))&gt;=100000), " ",IF(INDEX($AC$2:$AS$1001,MATCH(ROWS($V$2:V665),$V$2:$V$1001,0),MATCH(COLUMNS($AC$1006:AI1006),$AC$1006:$AS$1006,0)), HYPERLINK("#",""), HYPERLINK(CONCATENATE("#metadata!", ADDRESS(INDEX($X$2:$X$1001,MATCH(ROWS($V$2:V665),$V$2:$V$1001,0),0), INDEX($AC$1004:$AS$1004,1,MATCH(COLUMNS($AC$1006:AI1006),$AC$1006:$AS$1006,0)))),"Fix")))</f>
        <v xml:space="preserve"> </v>
      </c>
      <c r="I665" s="4" t="str">
        <f ca="1">IF(OR(INDEX($W$2:$W$1001,MATCH(ROWS($V$2:V665),$V$2:$V$1001,0),1)&gt;=100000,INDEX($AC$1005:$AS$1005,1,MATCH(COLUMNS($AC$1006:AJ1006),$AC$1006:$AS$1006,0))&gt;=100000), " ",IF(INDEX($AC$2:$AS$1001,MATCH(ROWS($V$2:V665),$V$2:$V$1001,0),MATCH(COLUMNS($AC$1006:AJ1006),$AC$1006:$AS$1006,0)), HYPERLINK("#",""), HYPERLINK(CONCATENATE("#metadata!", ADDRESS(INDEX($X$2:$X$1001,MATCH(ROWS($V$2:V665),$V$2:$V$1001,0),0), INDEX($AC$1004:$AS$1004,1,MATCH(COLUMNS($AC$1006:AJ1006),$AC$1006:$AS$1006,0)))),"Fix")))</f>
        <v xml:space="preserve"> </v>
      </c>
      <c r="J665" s="4" t="str">
        <f ca="1">IF(OR(INDEX($W$2:$W$1001,MATCH(ROWS($V$2:V665),$V$2:$V$1001,0),1)&gt;=100000,INDEX($AC$1005:$AS$1005,1,MATCH(COLUMNS($AC$1006:AK1006),$AC$1006:$AS$1006,0))&gt;=100000), " ",IF(INDEX($AC$2:$AS$1001,MATCH(ROWS($V$2:V665),$V$2:$V$1001,0),MATCH(COLUMNS($AC$1006:AK1006),$AC$1006:$AS$1006,0)), HYPERLINK("#",""), HYPERLINK(CONCATENATE("#metadata!", ADDRESS(INDEX($X$2:$X$1001,MATCH(ROWS($V$2:V665),$V$2:$V$1001,0),0), INDEX($AC$1004:$AS$1004,1,MATCH(COLUMNS($AC$1006:AK1006),$AC$1006:$AS$1006,0)))),"Fix")))</f>
        <v xml:space="preserve"> </v>
      </c>
      <c r="K665" s="4" t="str">
        <f ca="1">IF(OR(INDEX($W$2:$W$1001,MATCH(ROWS($V$2:V665),$V$2:$V$1001,0),1)&gt;=100000,INDEX($AC$1005:$AS$1005,1,MATCH(COLUMNS($AC$1006:AL1006),$AC$1006:$AS$1006,0))&gt;=100000), " ",IF(INDEX($AC$2:$AS$1001,MATCH(ROWS($V$2:V665),$V$2:$V$1001,0),MATCH(COLUMNS($AC$1006:AL1006),$AC$1006:$AS$1006,0)), HYPERLINK("#",""), HYPERLINK(CONCATENATE("#metadata!", ADDRESS(INDEX($X$2:$X$1001,MATCH(ROWS($V$2:V665),$V$2:$V$1001,0),0), INDEX($AC$1004:$AS$1004,1,MATCH(COLUMNS($AC$1006:AL1006),$AC$1006:$AS$1006,0)))),"Fix")))</f>
        <v xml:space="preserve"> </v>
      </c>
      <c r="L665" s="4" t="str">
        <f ca="1">IF(OR(INDEX($W$2:$W$1001,MATCH(ROWS($V$2:V665),$V$2:$V$1001,0),1)&gt;=100000,INDEX($AC$1005:$AS$1005,1,MATCH(COLUMNS($AC$1006:AM1006),$AC$1006:$AS$1006,0))&gt;=100000), " ",IF(INDEX($AC$2:$AS$1001,MATCH(ROWS($V$2:V665),$V$2:$V$1001,0),MATCH(COLUMNS($AC$1006:AM1006),$AC$1006:$AS$1006,0)), HYPERLINK("#",""), HYPERLINK(CONCATENATE("#metadata!", ADDRESS(INDEX($X$2:$X$1001,MATCH(ROWS($V$2:V665),$V$2:$V$1001,0),0), INDEX($AC$1004:$AS$1004,1,MATCH(COLUMNS($AC$1006:AM1006),$AC$1006:$AS$1006,0)))),"Fix")))</f>
        <v xml:space="preserve"> </v>
      </c>
      <c r="M665" s="4" t="str">
        <f ca="1">IF(OR(INDEX($W$2:$W$1001,MATCH(ROWS($V$2:V665),$V$2:$V$1001,0),1)&gt;=100000,INDEX($AC$1005:$AS$1005,1,MATCH(COLUMNS($AC$1006:AN1006),$AC$1006:$AS$1006,0))&gt;=100000), " ",IF(INDEX($AC$2:$AS$1001,MATCH(ROWS($V$2:V665),$V$2:$V$1001,0),MATCH(COLUMNS($AC$1006:AN1006),$AC$1006:$AS$1006,0)), HYPERLINK("#",""), HYPERLINK(CONCATENATE("#metadata!", ADDRESS(INDEX($X$2:$X$1001,MATCH(ROWS($V$2:V665),$V$2:$V$1001,0),0), INDEX($AC$1004:$AS$1004,1,MATCH(COLUMNS($AC$1006:AN1006),$AC$1006:$AS$1006,0)))),"Fix")))</f>
        <v xml:space="preserve"> </v>
      </c>
      <c r="N665" s="4" t="str">
        <f ca="1">IF(OR(INDEX($W$2:$W$1001,MATCH(ROWS($V$2:V665),$V$2:$V$1001,0),1)&gt;=100000,INDEX($AC$1005:$AS$1005,1,MATCH(COLUMNS($AC$1006:AO1006),$AC$1006:$AS$1006,0))&gt;=100000), " ",IF(INDEX($AC$2:$AS$1001,MATCH(ROWS($V$2:V665),$V$2:$V$1001,0),MATCH(COLUMNS($AC$1006:AO1006),$AC$1006:$AS$1006,0)), HYPERLINK("#",""), HYPERLINK(CONCATENATE("#metadata!", ADDRESS(INDEX($X$2:$X$1001,MATCH(ROWS($V$2:V665),$V$2:$V$1001,0),0), INDEX($AC$1004:$AS$1004,1,MATCH(COLUMNS($AC$1006:AO1006),$AC$1006:$AS$1006,0)))),"Fix")))</f>
        <v xml:space="preserve"> </v>
      </c>
      <c r="O665" s="4" t="str">
        <f ca="1">IF(OR(INDEX($W$2:$W$1001,MATCH(ROWS($V$2:V665),$V$2:$V$1001,0),1)&gt;=100000,INDEX($AC$1005:$AS$1005,1,MATCH(COLUMNS($AC$1006:AP1006),$AC$1006:$AS$1006,0))&gt;=100000), " ",IF(INDEX($AC$2:$AS$1001,MATCH(ROWS($V$2:V665),$V$2:$V$1001,0),MATCH(COLUMNS($AC$1006:AP1006),$AC$1006:$AS$1006,0)), HYPERLINK("#",""), HYPERLINK(CONCATENATE("#metadata!", ADDRESS(INDEX($X$2:$X$1001,MATCH(ROWS($V$2:V665),$V$2:$V$1001,0),0), INDEX($AC$1004:$AS$1004,1,MATCH(COLUMNS($AC$1006:AP1006),$AC$1006:$AS$1006,0)))),"Fix")))</f>
        <v xml:space="preserve"> </v>
      </c>
      <c r="P665" s="4" t="str">
        <f ca="1">IF(OR(INDEX($W$2:$W$1001,MATCH(ROWS($V$2:V665),$V$2:$V$1001,0),1)&gt;=100000,INDEX($AC$1005:$AS$1005,1,MATCH(COLUMNS($AC$1006:AQ1006),$AC$1006:$AS$1006,0))&gt;=100000), " ",IF(INDEX($AC$2:$AS$1001,MATCH(ROWS($V$2:V665),$V$2:$V$1001,0),MATCH(COLUMNS($AC$1006:AQ1006),$AC$1006:$AS$1006,0)), HYPERLINK("#",""), HYPERLINK(CONCATENATE("#metadata!", ADDRESS(INDEX($X$2:$X$1001,MATCH(ROWS($V$2:V665),$V$2:$V$1001,0),0), INDEX($AC$1004:$AS$1004,1,MATCH(COLUMNS($AC$1006:AQ1006),$AC$1006:$AS$1006,0)))),"Fix")))</f>
        <v xml:space="preserve"> </v>
      </c>
      <c r="Q665" s="4" t="str">
        <f ca="1">IF(OR(INDEX($W$2:$W$1001,MATCH(ROWS($V$2:V665),$V$2:$V$1001,0),1)&gt;=100000,INDEX($AC$1005:$AS$1005,1,MATCH(COLUMNS($AC$1006:AR1006),$AC$1006:$AS$1006,0))&gt;=100000), " ",IF(INDEX($AC$2:$AS$1001,MATCH(ROWS($V$2:V665),$V$2:$V$1001,0),MATCH(COLUMNS($AC$1006:AR1006),$AC$1006:$AS$1006,0)), HYPERLINK("#",""), HYPERLINK(CONCATENATE("#metadata!", ADDRESS(INDEX($X$2:$X$1001,MATCH(ROWS($V$2:V665),$V$2:$V$1001,0),0), INDEX($AC$1004:$AS$1004,1,MATCH(COLUMNS($AC$1006:AR1006),$AC$1006:$AS$1006,0)))),"Fix")))</f>
        <v xml:space="preserve"> </v>
      </c>
      <c r="R665" s="4" t="str">
        <f ca="1">IF(OR(INDEX($W$2:$W$1001,MATCH(ROWS($V$2:V665),$V$2:$V$1001,0),1)&gt;=100000,INDEX($AC$1005:$AS$1005,1,MATCH(COLUMNS($AC$1006:AS1006),$AC$1006:$AS$1006,0))&gt;=100000), " ",IF(INDEX($AC$2:$AS$1001,MATCH(ROWS($V$2:V665),$V$2:$V$1001,0),MATCH(COLUMNS($AC$1006:AS1006),$AC$1006:$AS$1006,0)), HYPERLINK("#",""), HYPERLINK(CONCATENATE("#metadata!", ADDRESS(INDEX($X$2:$X$1001,MATCH(ROWS($V$2:V665),$V$2:$V$1001,0),0), INDEX($AC$1004:$AS$1004,1,MATCH(COLUMNS($AC$1006:AS1006),$AC$1006:$AS$1006,0)))),"Fix")))</f>
        <v xml:space="preserve"> </v>
      </c>
      <c r="V665">
        <v>664</v>
      </c>
      <c r="W665">
        <v>100665</v>
      </c>
      <c r="X665">
        <v>665</v>
      </c>
      <c r="Y665" t="b">
        <f t="shared" si="10"/>
        <v>1</v>
      </c>
      <c r="Z665" t="b">
        <f>COUNTBLANK(metadata!B665:R665)=COLUMNS(metadata!B665:R665)</f>
        <v>1</v>
      </c>
      <c r="AA665" t="str">
        <v/>
      </c>
      <c r="AC665" t="b">
        <f ca="1"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AD665" t="b">
        <f>IF(metadata!C665="",FALSE,ISNUMBER(VALUE(metadata!C665)))</f>
        <v>0</v>
      </c>
      <c r="AE665" t="b">
        <f>AND(IF(metadata!D665="",FALSE,TRUE),EXACT(metadata!D665,"years"))</f>
        <v>0</v>
      </c>
      <c r="AF665" t="b">
        <f>OR(AND(IF(metadata!E665="",FALSE,TRUE),OR(EXACT(metadata!E665,"not applicable"),EXACT(metadata!E665,"missing: not collected"),EXACT(metadata!E665,"missing: not provided"),EXACT(metadata!E665,"missing: restricted access"))),AND(IF(metadata!E665="",FALSE,ISNUMBER(VALUE(metadata!E665))),metadata!E665&gt;0))</f>
        <v>0</v>
      </c>
      <c r="AG665" t="b">
        <f>AND(IF(metadata!F665="",FALSE,TRUE),EXACT(metadata!F665,"Not applicable"))</f>
        <v>0</v>
      </c>
      <c r="AH665" t="b">
        <f>AND(IF(metadata!G665="",FALSE,TRUE),EXACT(metadata!G665,"urban biome"))</f>
        <v>0</v>
      </c>
      <c r="AI665" t="b">
        <f>AND(IF(metadata!H665="",FALSE,TRUE),EXACT(metadata!H665,"human-associated habitat"))</f>
        <v>0</v>
      </c>
      <c r="AJ665" t="b">
        <f>AND(IF(metadata!I665="",FALSE,TRUE),OR(EXACT(metadata!I665,"human-associated"),EXACT(metadata!I665,"human-skin"),EXACT(metadata!I665,"human-oral"),EXACT(metadata!I665,"human-gut"),EXACT(metadata!I665,"human-vaginal")))</f>
        <v>0</v>
      </c>
      <c r="AK665" t="b">
        <f>IF(metadata!J665="",FALSE,ISNUMBER(VALUE(metadata!J665)))</f>
        <v>0</v>
      </c>
      <c r="AL665" t="b">
        <f>AND(IF(metadata!K665="",FALSE,TRUE),EXACT(metadata!K665,"cm"))</f>
        <v>0</v>
      </c>
      <c r="AM665" t="b">
        <f>AND(IF(metadata!L665="",FALSE,TRUE),EXACT(metadata!L665,"human"))</f>
        <v>0</v>
      </c>
      <c r="AN665" t="b">
        <f>AND(IF(metadata!M665="",FALSE,TRUE),EXACT(metadata!M665,"Homo sapiens"))</f>
        <v>0</v>
      </c>
      <c r="AO665" t="b">
        <f>AND(IF(metadata!N665="",FALSE,TRUE),EXACT(metadata!N665,"9606"))</f>
        <v>0</v>
      </c>
      <c r="AP665" t="b">
        <f>IF(metadata!O665="",FALSE,TRUE)</f>
        <v>0</v>
      </c>
      <c r="AQ665" t="b">
        <f>IF(metadata!P665="",FALSE,TRUE)</f>
        <v>0</v>
      </c>
      <c r="AR665" t="b">
        <f>IF(metadata!Q665="",FALSE,ISNUMBER(VALUE(metadata!Q665)))</f>
        <v>0</v>
      </c>
      <c r="AS665" t="b">
        <f>AND(IF(metadata!R665="",FALSE,TRUE),EXACT(metadata!R665,"kg"))</f>
        <v>0</v>
      </c>
    </row>
    <row r="666" spans="1:45" x14ac:dyDescent="0.2">
      <c r="A666" s="5" t="str">
        <f ca="1">IF(B666=" "," ",HYPERLINK(CONCATENATE("#metadata!",ADDRESS(INDEX($X$2:$X$1001,MATCH(ROWS($V$2:V666),$V$2:$V$1001,0),0),1)),INDEX($AA$2:$AA$1001,MATCH(ROWS($V$2:V666),$V$2:$V$1001,0),0)))</f>
        <v xml:space="preserve"> </v>
      </c>
      <c r="B666" s="4" t="str">
        <f ca="1">IF(OR(INDEX($W$2:$W$1001,MATCH(ROWS($V$2:V666),$V$2:$V$1001,0),1)&gt;=100000,INDEX($AC$1005:$AS$1005,1,MATCH(COLUMNS($AC$1006:AC1006),$AC$1006:$AS$1006,0))&gt;=100000), " ",IF(INDEX($AC$2:$AS$1001,MATCH(ROWS($V$2:V666),$V$2:$V$1001,0),MATCH(COLUMNS($AC$1006:AC1006),$AC$1006:$AS$1006,0)), HYPERLINK("#",""), HYPERLINK(CONCATENATE("#metadata!", ADDRESS(INDEX($X$2:$X$1001,MATCH(ROWS($V$2:V666),$V$2:$V$1001,0),0), INDEX($AC$1004:$AS$1004,1,MATCH(COLUMNS($AC$1006:AC1006),$AC$1006:$AS$1006,0)))),"Fix")))</f>
        <v xml:space="preserve"> </v>
      </c>
      <c r="C666" s="4" t="str">
        <f ca="1">IF(OR(INDEX($W$2:$W$1001,MATCH(ROWS($V$2:V666),$V$2:$V$1001,0),1)&gt;=100000,INDEX($AC$1005:$AS$1005,1,MATCH(COLUMNS($AC$1006:AD1006),$AC$1006:$AS$1006,0))&gt;=100000), " ",IF(INDEX($AC$2:$AS$1001,MATCH(ROWS($V$2:V666),$V$2:$V$1001,0),MATCH(COLUMNS($AC$1006:AD1006),$AC$1006:$AS$1006,0)), HYPERLINK("#",""), HYPERLINK(CONCATENATE("#metadata!", ADDRESS(INDEX($X$2:$X$1001,MATCH(ROWS($V$2:V666),$V$2:$V$1001,0),0), INDEX($AC$1004:$AS$1004,1,MATCH(COLUMNS($AC$1006:AD1006),$AC$1006:$AS$1006,0)))),"Fix")))</f>
        <v xml:space="preserve"> </v>
      </c>
      <c r="D666" s="4" t="str">
        <f ca="1">IF(OR(INDEX($W$2:$W$1001,MATCH(ROWS($V$2:V666),$V$2:$V$1001,0),1)&gt;=100000,INDEX($AC$1005:$AS$1005,1,MATCH(COLUMNS($AC$1006:AE1006),$AC$1006:$AS$1006,0))&gt;=100000), " ",IF(INDEX($AC$2:$AS$1001,MATCH(ROWS($V$2:V666),$V$2:$V$1001,0),MATCH(COLUMNS($AC$1006:AE1006),$AC$1006:$AS$1006,0)), HYPERLINK("#",""), HYPERLINK(CONCATENATE("#metadata!", ADDRESS(INDEX($X$2:$X$1001,MATCH(ROWS($V$2:V666),$V$2:$V$1001,0),0), INDEX($AC$1004:$AS$1004,1,MATCH(COLUMNS($AC$1006:AE1006),$AC$1006:$AS$1006,0)))),"Fix")))</f>
        <v xml:space="preserve"> </v>
      </c>
      <c r="E666" s="4" t="str">
        <f ca="1">IF(OR(INDEX($W$2:$W$1001,MATCH(ROWS($V$2:V666),$V$2:$V$1001,0),1)&gt;=100000,INDEX($AC$1005:$AS$1005,1,MATCH(COLUMNS($AC$1006:AF1006),$AC$1006:$AS$1006,0))&gt;=100000), " ",IF(INDEX($AC$2:$AS$1001,MATCH(ROWS($V$2:V666),$V$2:$V$1001,0),MATCH(COLUMNS($AC$1006:AF1006),$AC$1006:$AS$1006,0)), HYPERLINK("#",""), HYPERLINK(CONCATENATE("#metadata!", ADDRESS(INDEX($X$2:$X$1001,MATCH(ROWS($V$2:V666),$V$2:$V$1001,0),0), INDEX($AC$1004:$AS$1004,1,MATCH(COLUMNS($AC$1006:AF1006),$AC$1006:$AS$1006,0)))),"Fix")))</f>
        <v xml:space="preserve"> </v>
      </c>
      <c r="F666" s="4" t="str">
        <f ca="1">IF(OR(INDEX($W$2:$W$1001,MATCH(ROWS($V$2:V666),$V$2:$V$1001,0),1)&gt;=100000,INDEX($AC$1005:$AS$1005,1,MATCH(COLUMNS($AC$1006:AG1006),$AC$1006:$AS$1006,0))&gt;=100000), " ",IF(INDEX($AC$2:$AS$1001,MATCH(ROWS($V$2:V666),$V$2:$V$1001,0),MATCH(COLUMNS($AC$1006:AG1006),$AC$1006:$AS$1006,0)), HYPERLINK("#",""), HYPERLINK(CONCATENATE("#metadata!", ADDRESS(INDEX($X$2:$X$1001,MATCH(ROWS($V$2:V666),$V$2:$V$1001,0),0), INDEX($AC$1004:$AS$1004,1,MATCH(COLUMNS($AC$1006:AG1006),$AC$1006:$AS$1006,0)))),"Fix")))</f>
        <v xml:space="preserve"> </v>
      </c>
      <c r="G666" s="4" t="str">
        <f ca="1">IF(OR(INDEX($W$2:$W$1001,MATCH(ROWS($V$2:V666),$V$2:$V$1001,0),1)&gt;=100000,INDEX($AC$1005:$AS$1005,1,MATCH(COLUMNS($AC$1006:AH1006),$AC$1006:$AS$1006,0))&gt;=100000), " ",IF(INDEX($AC$2:$AS$1001,MATCH(ROWS($V$2:V666),$V$2:$V$1001,0),MATCH(COLUMNS($AC$1006:AH1006),$AC$1006:$AS$1006,0)), HYPERLINK("#",""), HYPERLINK(CONCATENATE("#metadata!", ADDRESS(INDEX($X$2:$X$1001,MATCH(ROWS($V$2:V666),$V$2:$V$1001,0),0), INDEX($AC$1004:$AS$1004,1,MATCH(COLUMNS($AC$1006:AH1006),$AC$1006:$AS$1006,0)))),"Fix")))</f>
        <v xml:space="preserve"> </v>
      </c>
      <c r="H666" s="4" t="str">
        <f ca="1">IF(OR(INDEX($W$2:$W$1001,MATCH(ROWS($V$2:V666),$V$2:$V$1001,0),1)&gt;=100000,INDEX($AC$1005:$AS$1005,1,MATCH(COLUMNS($AC$1006:AI1006),$AC$1006:$AS$1006,0))&gt;=100000), " ",IF(INDEX($AC$2:$AS$1001,MATCH(ROWS($V$2:V666),$V$2:$V$1001,0),MATCH(COLUMNS($AC$1006:AI1006),$AC$1006:$AS$1006,0)), HYPERLINK("#",""), HYPERLINK(CONCATENATE("#metadata!", ADDRESS(INDEX($X$2:$X$1001,MATCH(ROWS($V$2:V666),$V$2:$V$1001,0),0), INDEX($AC$1004:$AS$1004,1,MATCH(COLUMNS($AC$1006:AI1006),$AC$1006:$AS$1006,0)))),"Fix")))</f>
        <v xml:space="preserve"> </v>
      </c>
      <c r="I666" s="4" t="str">
        <f ca="1">IF(OR(INDEX($W$2:$W$1001,MATCH(ROWS($V$2:V666),$V$2:$V$1001,0),1)&gt;=100000,INDEX($AC$1005:$AS$1005,1,MATCH(COLUMNS($AC$1006:AJ1006),$AC$1006:$AS$1006,0))&gt;=100000), " ",IF(INDEX($AC$2:$AS$1001,MATCH(ROWS($V$2:V666),$V$2:$V$1001,0),MATCH(COLUMNS($AC$1006:AJ1006),$AC$1006:$AS$1006,0)), HYPERLINK("#",""), HYPERLINK(CONCATENATE("#metadata!", ADDRESS(INDEX($X$2:$X$1001,MATCH(ROWS($V$2:V666),$V$2:$V$1001,0),0), INDEX($AC$1004:$AS$1004,1,MATCH(COLUMNS($AC$1006:AJ1006),$AC$1006:$AS$1006,0)))),"Fix")))</f>
        <v xml:space="preserve"> </v>
      </c>
      <c r="J666" s="4" t="str">
        <f ca="1">IF(OR(INDEX($W$2:$W$1001,MATCH(ROWS($V$2:V666),$V$2:$V$1001,0),1)&gt;=100000,INDEX($AC$1005:$AS$1005,1,MATCH(COLUMNS($AC$1006:AK1006),$AC$1006:$AS$1006,0))&gt;=100000), " ",IF(INDEX($AC$2:$AS$1001,MATCH(ROWS($V$2:V666),$V$2:$V$1001,0),MATCH(COLUMNS($AC$1006:AK1006),$AC$1006:$AS$1006,0)), HYPERLINK("#",""), HYPERLINK(CONCATENATE("#metadata!", ADDRESS(INDEX($X$2:$X$1001,MATCH(ROWS($V$2:V666),$V$2:$V$1001,0),0), INDEX($AC$1004:$AS$1004,1,MATCH(COLUMNS($AC$1006:AK1006),$AC$1006:$AS$1006,0)))),"Fix")))</f>
        <v xml:space="preserve"> </v>
      </c>
      <c r="K666" s="4" t="str">
        <f ca="1">IF(OR(INDEX($W$2:$W$1001,MATCH(ROWS($V$2:V666),$V$2:$V$1001,0),1)&gt;=100000,INDEX($AC$1005:$AS$1005,1,MATCH(COLUMNS($AC$1006:AL1006),$AC$1006:$AS$1006,0))&gt;=100000), " ",IF(INDEX($AC$2:$AS$1001,MATCH(ROWS($V$2:V666),$V$2:$V$1001,0),MATCH(COLUMNS($AC$1006:AL1006),$AC$1006:$AS$1006,0)), HYPERLINK("#",""), HYPERLINK(CONCATENATE("#metadata!", ADDRESS(INDEX($X$2:$X$1001,MATCH(ROWS($V$2:V666),$V$2:$V$1001,0),0), INDEX($AC$1004:$AS$1004,1,MATCH(COLUMNS($AC$1006:AL1006),$AC$1006:$AS$1006,0)))),"Fix")))</f>
        <v xml:space="preserve"> </v>
      </c>
      <c r="L666" s="4" t="str">
        <f ca="1">IF(OR(INDEX($W$2:$W$1001,MATCH(ROWS($V$2:V666),$V$2:$V$1001,0),1)&gt;=100000,INDEX($AC$1005:$AS$1005,1,MATCH(COLUMNS($AC$1006:AM1006),$AC$1006:$AS$1006,0))&gt;=100000), " ",IF(INDEX($AC$2:$AS$1001,MATCH(ROWS($V$2:V666),$V$2:$V$1001,0),MATCH(COLUMNS($AC$1006:AM1006),$AC$1006:$AS$1006,0)), HYPERLINK("#",""), HYPERLINK(CONCATENATE("#metadata!", ADDRESS(INDEX($X$2:$X$1001,MATCH(ROWS($V$2:V666),$V$2:$V$1001,0),0), INDEX($AC$1004:$AS$1004,1,MATCH(COLUMNS($AC$1006:AM1006),$AC$1006:$AS$1006,0)))),"Fix")))</f>
        <v xml:space="preserve"> </v>
      </c>
      <c r="M666" s="4" t="str">
        <f ca="1">IF(OR(INDEX($W$2:$W$1001,MATCH(ROWS($V$2:V666),$V$2:$V$1001,0),1)&gt;=100000,INDEX($AC$1005:$AS$1005,1,MATCH(COLUMNS($AC$1006:AN1006),$AC$1006:$AS$1006,0))&gt;=100000), " ",IF(INDEX($AC$2:$AS$1001,MATCH(ROWS($V$2:V666),$V$2:$V$1001,0),MATCH(COLUMNS($AC$1006:AN1006),$AC$1006:$AS$1006,0)), HYPERLINK("#",""), HYPERLINK(CONCATENATE("#metadata!", ADDRESS(INDEX($X$2:$X$1001,MATCH(ROWS($V$2:V666),$V$2:$V$1001,0),0), INDEX($AC$1004:$AS$1004,1,MATCH(COLUMNS($AC$1006:AN1006),$AC$1006:$AS$1006,0)))),"Fix")))</f>
        <v xml:space="preserve"> </v>
      </c>
      <c r="N666" s="4" t="str">
        <f ca="1">IF(OR(INDEX($W$2:$W$1001,MATCH(ROWS($V$2:V666),$V$2:$V$1001,0),1)&gt;=100000,INDEX($AC$1005:$AS$1005,1,MATCH(COLUMNS($AC$1006:AO1006),$AC$1006:$AS$1006,0))&gt;=100000), " ",IF(INDEX($AC$2:$AS$1001,MATCH(ROWS($V$2:V666),$V$2:$V$1001,0),MATCH(COLUMNS($AC$1006:AO1006),$AC$1006:$AS$1006,0)), HYPERLINK("#",""), HYPERLINK(CONCATENATE("#metadata!", ADDRESS(INDEX($X$2:$X$1001,MATCH(ROWS($V$2:V666),$V$2:$V$1001,0),0), INDEX($AC$1004:$AS$1004,1,MATCH(COLUMNS($AC$1006:AO1006),$AC$1006:$AS$1006,0)))),"Fix")))</f>
        <v xml:space="preserve"> </v>
      </c>
      <c r="O666" s="4" t="str">
        <f ca="1">IF(OR(INDEX($W$2:$W$1001,MATCH(ROWS($V$2:V666),$V$2:$V$1001,0),1)&gt;=100000,INDEX($AC$1005:$AS$1005,1,MATCH(COLUMNS($AC$1006:AP1006),$AC$1006:$AS$1006,0))&gt;=100000), " ",IF(INDEX($AC$2:$AS$1001,MATCH(ROWS($V$2:V666),$V$2:$V$1001,0),MATCH(COLUMNS($AC$1006:AP1006),$AC$1006:$AS$1006,0)), HYPERLINK("#",""), HYPERLINK(CONCATENATE("#metadata!", ADDRESS(INDEX($X$2:$X$1001,MATCH(ROWS($V$2:V666),$V$2:$V$1001,0),0), INDEX($AC$1004:$AS$1004,1,MATCH(COLUMNS($AC$1006:AP1006),$AC$1006:$AS$1006,0)))),"Fix")))</f>
        <v xml:space="preserve"> </v>
      </c>
      <c r="P666" s="4" t="str">
        <f ca="1">IF(OR(INDEX($W$2:$W$1001,MATCH(ROWS($V$2:V666),$V$2:$V$1001,0),1)&gt;=100000,INDEX($AC$1005:$AS$1005,1,MATCH(COLUMNS($AC$1006:AQ1006),$AC$1006:$AS$1006,0))&gt;=100000), " ",IF(INDEX($AC$2:$AS$1001,MATCH(ROWS($V$2:V666),$V$2:$V$1001,0),MATCH(COLUMNS($AC$1006:AQ1006),$AC$1006:$AS$1006,0)), HYPERLINK("#",""), HYPERLINK(CONCATENATE("#metadata!", ADDRESS(INDEX($X$2:$X$1001,MATCH(ROWS($V$2:V666),$V$2:$V$1001,0),0), INDEX($AC$1004:$AS$1004,1,MATCH(COLUMNS($AC$1006:AQ1006),$AC$1006:$AS$1006,0)))),"Fix")))</f>
        <v xml:space="preserve"> </v>
      </c>
      <c r="Q666" s="4" t="str">
        <f ca="1">IF(OR(INDEX($W$2:$W$1001,MATCH(ROWS($V$2:V666),$V$2:$V$1001,0),1)&gt;=100000,INDEX($AC$1005:$AS$1005,1,MATCH(COLUMNS($AC$1006:AR1006),$AC$1006:$AS$1006,0))&gt;=100000), " ",IF(INDEX($AC$2:$AS$1001,MATCH(ROWS($V$2:V666),$V$2:$V$1001,0),MATCH(COLUMNS($AC$1006:AR1006),$AC$1006:$AS$1006,0)), HYPERLINK("#",""), HYPERLINK(CONCATENATE("#metadata!", ADDRESS(INDEX($X$2:$X$1001,MATCH(ROWS($V$2:V666),$V$2:$V$1001,0),0), INDEX($AC$1004:$AS$1004,1,MATCH(COLUMNS($AC$1006:AR1006),$AC$1006:$AS$1006,0)))),"Fix")))</f>
        <v xml:space="preserve"> </v>
      </c>
      <c r="R666" s="4" t="str">
        <f ca="1">IF(OR(INDEX($W$2:$W$1001,MATCH(ROWS($V$2:V666),$V$2:$V$1001,0),1)&gt;=100000,INDEX($AC$1005:$AS$1005,1,MATCH(COLUMNS($AC$1006:AS1006),$AC$1006:$AS$1006,0))&gt;=100000), " ",IF(INDEX($AC$2:$AS$1001,MATCH(ROWS($V$2:V666),$V$2:$V$1001,0),MATCH(COLUMNS($AC$1006:AS1006),$AC$1006:$AS$1006,0)), HYPERLINK("#",""), HYPERLINK(CONCATENATE("#metadata!", ADDRESS(INDEX($X$2:$X$1001,MATCH(ROWS($V$2:V666),$V$2:$V$1001,0),0), INDEX($AC$1004:$AS$1004,1,MATCH(COLUMNS($AC$1006:AS1006),$AC$1006:$AS$1006,0)))),"Fix")))</f>
        <v xml:space="preserve"> </v>
      </c>
      <c r="V666">
        <v>665</v>
      </c>
      <c r="W666">
        <v>100666</v>
      </c>
      <c r="X666">
        <v>666</v>
      </c>
      <c r="Y666" t="b">
        <f t="shared" si="10"/>
        <v>1</v>
      </c>
      <c r="Z666" t="b">
        <f>COUNTBLANK(metadata!B666:R666)=COLUMNS(metadata!B666:R666)</f>
        <v>1</v>
      </c>
      <c r="AA666" t="str">
        <v/>
      </c>
      <c r="AC666" t="b">
        <f ca="1"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AD666" t="b">
        <f>IF(metadata!C666="",FALSE,ISNUMBER(VALUE(metadata!C666)))</f>
        <v>0</v>
      </c>
      <c r="AE666" t="b">
        <f>AND(IF(metadata!D666="",FALSE,TRUE),EXACT(metadata!D666,"years"))</f>
        <v>0</v>
      </c>
      <c r="AF666" t="b">
        <f>OR(AND(IF(metadata!E666="",FALSE,TRUE),OR(EXACT(metadata!E666,"not applicable"),EXACT(metadata!E666,"missing: not collected"),EXACT(metadata!E666,"missing: not provided"),EXACT(metadata!E666,"missing: restricted access"))),AND(IF(metadata!E666="",FALSE,ISNUMBER(VALUE(metadata!E666))),metadata!E666&gt;0))</f>
        <v>0</v>
      </c>
      <c r="AG666" t="b">
        <f>AND(IF(metadata!F666="",FALSE,TRUE),EXACT(metadata!F666,"Not applicable"))</f>
        <v>0</v>
      </c>
      <c r="AH666" t="b">
        <f>AND(IF(metadata!G666="",FALSE,TRUE),EXACT(metadata!G666,"urban biome"))</f>
        <v>0</v>
      </c>
      <c r="AI666" t="b">
        <f>AND(IF(metadata!H666="",FALSE,TRUE),EXACT(metadata!H666,"human-associated habitat"))</f>
        <v>0</v>
      </c>
      <c r="AJ666" t="b">
        <f>AND(IF(metadata!I666="",FALSE,TRUE),OR(EXACT(metadata!I666,"human-associated"),EXACT(metadata!I666,"human-skin"),EXACT(metadata!I666,"human-oral"),EXACT(metadata!I666,"human-gut"),EXACT(metadata!I666,"human-vaginal")))</f>
        <v>0</v>
      </c>
      <c r="AK666" t="b">
        <f>IF(metadata!J666="",FALSE,ISNUMBER(VALUE(metadata!J666)))</f>
        <v>0</v>
      </c>
      <c r="AL666" t="b">
        <f>AND(IF(metadata!K666="",FALSE,TRUE),EXACT(metadata!K666,"cm"))</f>
        <v>0</v>
      </c>
      <c r="AM666" t="b">
        <f>AND(IF(metadata!L666="",FALSE,TRUE),EXACT(metadata!L666,"human"))</f>
        <v>0</v>
      </c>
      <c r="AN666" t="b">
        <f>AND(IF(metadata!M666="",FALSE,TRUE),EXACT(metadata!M666,"Homo sapiens"))</f>
        <v>0</v>
      </c>
      <c r="AO666" t="b">
        <f>AND(IF(metadata!N666="",FALSE,TRUE),EXACT(metadata!N666,"9606"))</f>
        <v>0</v>
      </c>
      <c r="AP666" t="b">
        <f>IF(metadata!O666="",FALSE,TRUE)</f>
        <v>0</v>
      </c>
      <c r="AQ666" t="b">
        <f>IF(metadata!P666="",FALSE,TRUE)</f>
        <v>0</v>
      </c>
      <c r="AR666" t="b">
        <f>IF(metadata!Q666="",FALSE,ISNUMBER(VALUE(metadata!Q666)))</f>
        <v>0</v>
      </c>
      <c r="AS666" t="b">
        <f>AND(IF(metadata!R666="",FALSE,TRUE),EXACT(metadata!R666,"kg"))</f>
        <v>0</v>
      </c>
    </row>
    <row r="667" spans="1:45" x14ac:dyDescent="0.2">
      <c r="A667" s="5" t="str">
        <f ca="1">IF(B667=" "," ",HYPERLINK(CONCATENATE("#metadata!",ADDRESS(INDEX($X$2:$X$1001,MATCH(ROWS($V$2:V667),$V$2:$V$1001,0),0),1)),INDEX($AA$2:$AA$1001,MATCH(ROWS($V$2:V667),$V$2:$V$1001,0),0)))</f>
        <v xml:space="preserve"> </v>
      </c>
      <c r="B667" s="4" t="str">
        <f ca="1">IF(OR(INDEX($W$2:$W$1001,MATCH(ROWS($V$2:V667),$V$2:$V$1001,0),1)&gt;=100000,INDEX($AC$1005:$AS$1005,1,MATCH(COLUMNS($AC$1006:AC1006),$AC$1006:$AS$1006,0))&gt;=100000), " ",IF(INDEX($AC$2:$AS$1001,MATCH(ROWS($V$2:V667),$V$2:$V$1001,0),MATCH(COLUMNS($AC$1006:AC1006),$AC$1006:$AS$1006,0)), HYPERLINK("#",""), HYPERLINK(CONCATENATE("#metadata!", ADDRESS(INDEX($X$2:$X$1001,MATCH(ROWS($V$2:V667),$V$2:$V$1001,0),0), INDEX($AC$1004:$AS$1004,1,MATCH(COLUMNS($AC$1006:AC1006),$AC$1006:$AS$1006,0)))),"Fix")))</f>
        <v xml:space="preserve"> </v>
      </c>
      <c r="C667" s="4" t="str">
        <f ca="1">IF(OR(INDEX($W$2:$W$1001,MATCH(ROWS($V$2:V667),$V$2:$V$1001,0),1)&gt;=100000,INDEX($AC$1005:$AS$1005,1,MATCH(COLUMNS($AC$1006:AD1006),$AC$1006:$AS$1006,0))&gt;=100000), " ",IF(INDEX($AC$2:$AS$1001,MATCH(ROWS($V$2:V667),$V$2:$V$1001,0),MATCH(COLUMNS($AC$1006:AD1006),$AC$1006:$AS$1006,0)), HYPERLINK("#",""), HYPERLINK(CONCATENATE("#metadata!", ADDRESS(INDEX($X$2:$X$1001,MATCH(ROWS($V$2:V667),$V$2:$V$1001,0),0), INDEX($AC$1004:$AS$1004,1,MATCH(COLUMNS($AC$1006:AD1006),$AC$1006:$AS$1006,0)))),"Fix")))</f>
        <v xml:space="preserve"> </v>
      </c>
      <c r="D667" s="4" t="str">
        <f ca="1">IF(OR(INDEX($W$2:$W$1001,MATCH(ROWS($V$2:V667),$V$2:$V$1001,0),1)&gt;=100000,INDEX($AC$1005:$AS$1005,1,MATCH(COLUMNS($AC$1006:AE1006),$AC$1006:$AS$1006,0))&gt;=100000), " ",IF(INDEX($AC$2:$AS$1001,MATCH(ROWS($V$2:V667),$V$2:$V$1001,0),MATCH(COLUMNS($AC$1006:AE1006),$AC$1006:$AS$1006,0)), HYPERLINK("#",""), HYPERLINK(CONCATENATE("#metadata!", ADDRESS(INDEX($X$2:$X$1001,MATCH(ROWS($V$2:V667),$V$2:$V$1001,0),0), INDEX($AC$1004:$AS$1004,1,MATCH(COLUMNS($AC$1006:AE1006),$AC$1006:$AS$1006,0)))),"Fix")))</f>
        <v xml:space="preserve"> </v>
      </c>
      <c r="E667" s="4" t="str">
        <f ca="1">IF(OR(INDEX($W$2:$W$1001,MATCH(ROWS($V$2:V667),$V$2:$V$1001,0),1)&gt;=100000,INDEX($AC$1005:$AS$1005,1,MATCH(COLUMNS($AC$1006:AF1006),$AC$1006:$AS$1006,0))&gt;=100000), " ",IF(INDEX($AC$2:$AS$1001,MATCH(ROWS($V$2:V667),$V$2:$V$1001,0),MATCH(COLUMNS($AC$1006:AF1006),$AC$1006:$AS$1006,0)), HYPERLINK("#",""), HYPERLINK(CONCATENATE("#metadata!", ADDRESS(INDEX($X$2:$X$1001,MATCH(ROWS($V$2:V667),$V$2:$V$1001,0),0), INDEX($AC$1004:$AS$1004,1,MATCH(COLUMNS($AC$1006:AF1006),$AC$1006:$AS$1006,0)))),"Fix")))</f>
        <v xml:space="preserve"> </v>
      </c>
      <c r="F667" s="4" t="str">
        <f ca="1">IF(OR(INDEX($W$2:$W$1001,MATCH(ROWS($V$2:V667),$V$2:$V$1001,0),1)&gt;=100000,INDEX($AC$1005:$AS$1005,1,MATCH(COLUMNS($AC$1006:AG1006),$AC$1006:$AS$1006,0))&gt;=100000), " ",IF(INDEX($AC$2:$AS$1001,MATCH(ROWS($V$2:V667),$V$2:$V$1001,0),MATCH(COLUMNS($AC$1006:AG1006),$AC$1006:$AS$1006,0)), HYPERLINK("#",""), HYPERLINK(CONCATENATE("#metadata!", ADDRESS(INDEX($X$2:$X$1001,MATCH(ROWS($V$2:V667),$V$2:$V$1001,0),0), INDEX($AC$1004:$AS$1004,1,MATCH(COLUMNS($AC$1006:AG1006),$AC$1006:$AS$1006,0)))),"Fix")))</f>
        <v xml:space="preserve"> </v>
      </c>
      <c r="G667" s="4" t="str">
        <f ca="1">IF(OR(INDEX($W$2:$W$1001,MATCH(ROWS($V$2:V667),$V$2:$V$1001,0),1)&gt;=100000,INDEX($AC$1005:$AS$1005,1,MATCH(COLUMNS($AC$1006:AH1006),$AC$1006:$AS$1006,0))&gt;=100000), " ",IF(INDEX($AC$2:$AS$1001,MATCH(ROWS($V$2:V667),$V$2:$V$1001,0),MATCH(COLUMNS($AC$1006:AH1006),$AC$1006:$AS$1006,0)), HYPERLINK("#",""), HYPERLINK(CONCATENATE("#metadata!", ADDRESS(INDEX($X$2:$X$1001,MATCH(ROWS($V$2:V667),$V$2:$V$1001,0),0), INDEX($AC$1004:$AS$1004,1,MATCH(COLUMNS($AC$1006:AH1006),$AC$1006:$AS$1006,0)))),"Fix")))</f>
        <v xml:space="preserve"> </v>
      </c>
      <c r="H667" s="4" t="str">
        <f ca="1">IF(OR(INDEX($W$2:$W$1001,MATCH(ROWS($V$2:V667),$V$2:$V$1001,0),1)&gt;=100000,INDEX($AC$1005:$AS$1005,1,MATCH(COLUMNS($AC$1006:AI1006),$AC$1006:$AS$1006,0))&gt;=100000), " ",IF(INDEX($AC$2:$AS$1001,MATCH(ROWS($V$2:V667),$V$2:$V$1001,0),MATCH(COLUMNS($AC$1006:AI1006),$AC$1006:$AS$1006,0)), HYPERLINK("#",""), HYPERLINK(CONCATENATE("#metadata!", ADDRESS(INDEX($X$2:$X$1001,MATCH(ROWS($V$2:V667),$V$2:$V$1001,0),0), INDEX($AC$1004:$AS$1004,1,MATCH(COLUMNS($AC$1006:AI1006),$AC$1006:$AS$1006,0)))),"Fix")))</f>
        <v xml:space="preserve"> </v>
      </c>
      <c r="I667" s="4" t="str">
        <f ca="1">IF(OR(INDEX($W$2:$W$1001,MATCH(ROWS($V$2:V667),$V$2:$V$1001,0),1)&gt;=100000,INDEX($AC$1005:$AS$1005,1,MATCH(COLUMNS($AC$1006:AJ1006),$AC$1006:$AS$1006,0))&gt;=100000), " ",IF(INDEX($AC$2:$AS$1001,MATCH(ROWS($V$2:V667),$V$2:$V$1001,0),MATCH(COLUMNS($AC$1006:AJ1006),$AC$1006:$AS$1006,0)), HYPERLINK("#",""), HYPERLINK(CONCATENATE("#metadata!", ADDRESS(INDEX($X$2:$X$1001,MATCH(ROWS($V$2:V667),$V$2:$V$1001,0),0), INDEX($AC$1004:$AS$1004,1,MATCH(COLUMNS($AC$1006:AJ1006),$AC$1006:$AS$1006,0)))),"Fix")))</f>
        <v xml:space="preserve"> </v>
      </c>
      <c r="J667" s="4" t="str">
        <f ca="1">IF(OR(INDEX($W$2:$W$1001,MATCH(ROWS($V$2:V667),$V$2:$V$1001,0),1)&gt;=100000,INDEX($AC$1005:$AS$1005,1,MATCH(COLUMNS($AC$1006:AK1006),$AC$1006:$AS$1006,0))&gt;=100000), " ",IF(INDEX($AC$2:$AS$1001,MATCH(ROWS($V$2:V667),$V$2:$V$1001,0),MATCH(COLUMNS($AC$1006:AK1006),$AC$1006:$AS$1006,0)), HYPERLINK("#",""), HYPERLINK(CONCATENATE("#metadata!", ADDRESS(INDEX($X$2:$X$1001,MATCH(ROWS($V$2:V667),$V$2:$V$1001,0),0), INDEX($AC$1004:$AS$1004,1,MATCH(COLUMNS($AC$1006:AK1006),$AC$1006:$AS$1006,0)))),"Fix")))</f>
        <v xml:space="preserve"> </v>
      </c>
      <c r="K667" s="4" t="str">
        <f ca="1">IF(OR(INDEX($W$2:$W$1001,MATCH(ROWS($V$2:V667),$V$2:$V$1001,0),1)&gt;=100000,INDEX($AC$1005:$AS$1005,1,MATCH(COLUMNS($AC$1006:AL1006),$AC$1006:$AS$1006,0))&gt;=100000), " ",IF(INDEX($AC$2:$AS$1001,MATCH(ROWS($V$2:V667),$V$2:$V$1001,0),MATCH(COLUMNS($AC$1006:AL1006),$AC$1006:$AS$1006,0)), HYPERLINK("#",""), HYPERLINK(CONCATENATE("#metadata!", ADDRESS(INDEX($X$2:$X$1001,MATCH(ROWS($V$2:V667),$V$2:$V$1001,0),0), INDEX($AC$1004:$AS$1004,1,MATCH(COLUMNS($AC$1006:AL1006),$AC$1006:$AS$1006,0)))),"Fix")))</f>
        <v xml:space="preserve"> </v>
      </c>
      <c r="L667" s="4" t="str">
        <f ca="1">IF(OR(INDEX($W$2:$W$1001,MATCH(ROWS($V$2:V667),$V$2:$V$1001,0),1)&gt;=100000,INDEX($AC$1005:$AS$1005,1,MATCH(COLUMNS($AC$1006:AM1006),$AC$1006:$AS$1006,0))&gt;=100000), " ",IF(INDEX($AC$2:$AS$1001,MATCH(ROWS($V$2:V667),$V$2:$V$1001,0),MATCH(COLUMNS($AC$1006:AM1006),$AC$1006:$AS$1006,0)), HYPERLINK("#",""), HYPERLINK(CONCATENATE("#metadata!", ADDRESS(INDEX($X$2:$X$1001,MATCH(ROWS($V$2:V667),$V$2:$V$1001,0),0), INDEX($AC$1004:$AS$1004,1,MATCH(COLUMNS($AC$1006:AM1006),$AC$1006:$AS$1006,0)))),"Fix")))</f>
        <v xml:space="preserve"> </v>
      </c>
      <c r="M667" s="4" t="str">
        <f ca="1">IF(OR(INDEX($W$2:$W$1001,MATCH(ROWS($V$2:V667),$V$2:$V$1001,0),1)&gt;=100000,INDEX($AC$1005:$AS$1005,1,MATCH(COLUMNS($AC$1006:AN1006),$AC$1006:$AS$1006,0))&gt;=100000), " ",IF(INDEX($AC$2:$AS$1001,MATCH(ROWS($V$2:V667),$V$2:$V$1001,0),MATCH(COLUMNS($AC$1006:AN1006),$AC$1006:$AS$1006,0)), HYPERLINK("#",""), HYPERLINK(CONCATENATE("#metadata!", ADDRESS(INDEX($X$2:$X$1001,MATCH(ROWS($V$2:V667),$V$2:$V$1001,0),0), INDEX($AC$1004:$AS$1004,1,MATCH(COLUMNS($AC$1006:AN1006),$AC$1006:$AS$1006,0)))),"Fix")))</f>
        <v xml:space="preserve"> </v>
      </c>
      <c r="N667" s="4" t="str">
        <f ca="1">IF(OR(INDEX($W$2:$W$1001,MATCH(ROWS($V$2:V667),$V$2:$V$1001,0),1)&gt;=100000,INDEX($AC$1005:$AS$1005,1,MATCH(COLUMNS($AC$1006:AO1006),$AC$1006:$AS$1006,0))&gt;=100000), " ",IF(INDEX($AC$2:$AS$1001,MATCH(ROWS($V$2:V667),$V$2:$V$1001,0),MATCH(COLUMNS($AC$1006:AO1006),$AC$1006:$AS$1006,0)), HYPERLINK("#",""), HYPERLINK(CONCATENATE("#metadata!", ADDRESS(INDEX($X$2:$X$1001,MATCH(ROWS($V$2:V667),$V$2:$V$1001,0),0), INDEX($AC$1004:$AS$1004,1,MATCH(COLUMNS($AC$1006:AO1006),$AC$1006:$AS$1006,0)))),"Fix")))</f>
        <v xml:space="preserve"> </v>
      </c>
      <c r="O667" s="4" t="str">
        <f ca="1">IF(OR(INDEX($W$2:$W$1001,MATCH(ROWS($V$2:V667),$V$2:$V$1001,0),1)&gt;=100000,INDEX($AC$1005:$AS$1005,1,MATCH(COLUMNS($AC$1006:AP1006),$AC$1006:$AS$1006,0))&gt;=100000), " ",IF(INDEX($AC$2:$AS$1001,MATCH(ROWS($V$2:V667),$V$2:$V$1001,0),MATCH(COLUMNS($AC$1006:AP1006),$AC$1006:$AS$1006,0)), HYPERLINK("#",""), HYPERLINK(CONCATENATE("#metadata!", ADDRESS(INDEX($X$2:$X$1001,MATCH(ROWS($V$2:V667),$V$2:$V$1001,0),0), INDEX($AC$1004:$AS$1004,1,MATCH(COLUMNS($AC$1006:AP1006),$AC$1006:$AS$1006,0)))),"Fix")))</f>
        <v xml:space="preserve"> </v>
      </c>
      <c r="P667" s="4" t="str">
        <f ca="1">IF(OR(INDEX($W$2:$W$1001,MATCH(ROWS($V$2:V667),$V$2:$V$1001,0),1)&gt;=100000,INDEX($AC$1005:$AS$1005,1,MATCH(COLUMNS($AC$1006:AQ1006),$AC$1006:$AS$1006,0))&gt;=100000), " ",IF(INDEX($AC$2:$AS$1001,MATCH(ROWS($V$2:V667),$V$2:$V$1001,0),MATCH(COLUMNS($AC$1006:AQ1006),$AC$1006:$AS$1006,0)), HYPERLINK("#",""), HYPERLINK(CONCATENATE("#metadata!", ADDRESS(INDEX($X$2:$X$1001,MATCH(ROWS($V$2:V667),$V$2:$V$1001,0),0), INDEX($AC$1004:$AS$1004,1,MATCH(COLUMNS($AC$1006:AQ1006),$AC$1006:$AS$1006,0)))),"Fix")))</f>
        <v xml:space="preserve"> </v>
      </c>
      <c r="Q667" s="4" t="str">
        <f ca="1">IF(OR(INDEX($W$2:$W$1001,MATCH(ROWS($V$2:V667),$V$2:$V$1001,0),1)&gt;=100000,INDEX($AC$1005:$AS$1005,1,MATCH(COLUMNS($AC$1006:AR1006),$AC$1006:$AS$1006,0))&gt;=100000), " ",IF(INDEX($AC$2:$AS$1001,MATCH(ROWS($V$2:V667),$V$2:$V$1001,0),MATCH(COLUMNS($AC$1006:AR1006),$AC$1006:$AS$1006,0)), HYPERLINK("#",""), HYPERLINK(CONCATENATE("#metadata!", ADDRESS(INDEX($X$2:$X$1001,MATCH(ROWS($V$2:V667),$V$2:$V$1001,0),0), INDEX($AC$1004:$AS$1004,1,MATCH(COLUMNS($AC$1006:AR1006),$AC$1006:$AS$1006,0)))),"Fix")))</f>
        <v xml:space="preserve"> </v>
      </c>
      <c r="R667" s="4" t="str">
        <f ca="1">IF(OR(INDEX($W$2:$W$1001,MATCH(ROWS($V$2:V667),$V$2:$V$1001,0),1)&gt;=100000,INDEX($AC$1005:$AS$1005,1,MATCH(COLUMNS($AC$1006:AS1006),$AC$1006:$AS$1006,0))&gt;=100000), " ",IF(INDEX($AC$2:$AS$1001,MATCH(ROWS($V$2:V667),$V$2:$V$1001,0),MATCH(COLUMNS($AC$1006:AS1006),$AC$1006:$AS$1006,0)), HYPERLINK("#",""), HYPERLINK(CONCATENATE("#metadata!", ADDRESS(INDEX($X$2:$X$1001,MATCH(ROWS($V$2:V667),$V$2:$V$1001,0),0), INDEX($AC$1004:$AS$1004,1,MATCH(COLUMNS($AC$1006:AS1006),$AC$1006:$AS$1006,0)))),"Fix")))</f>
        <v xml:space="preserve"> </v>
      </c>
      <c r="V667">
        <v>666</v>
      </c>
      <c r="W667">
        <v>100667</v>
      </c>
      <c r="X667">
        <v>667</v>
      </c>
      <c r="Y667" t="b">
        <f t="shared" si="10"/>
        <v>1</v>
      </c>
      <c r="Z667" t="b">
        <f>COUNTBLANK(metadata!B667:R667)=COLUMNS(metadata!B667:R667)</f>
        <v>1</v>
      </c>
      <c r="AA667" t="str">
        <v/>
      </c>
      <c r="AC667" t="b">
        <f ca="1"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AD667" t="b">
        <f>IF(metadata!C667="",FALSE,ISNUMBER(VALUE(metadata!C667)))</f>
        <v>0</v>
      </c>
      <c r="AE667" t="b">
        <f>AND(IF(metadata!D667="",FALSE,TRUE),EXACT(metadata!D667,"years"))</f>
        <v>0</v>
      </c>
      <c r="AF667" t="b">
        <f>OR(AND(IF(metadata!E667="",FALSE,TRUE),OR(EXACT(metadata!E667,"not applicable"),EXACT(metadata!E667,"missing: not collected"),EXACT(metadata!E667,"missing: not provided"),EXACT(metadata!E667,"missing: restricted access"))),AND(IF(metadata!E667="",FALSE,ISNUMBER(VALUE(metadata!E667))),metadata!E667&gt;0))</f>
        <v>0</v>
      </c>
      <c r="AG667" t="b">
        <f>AND(IF(metadata!F667="",FALSE,TRUE),EXACT(metadata!F667,"Not applicable"))</f>
        <v>0</v>
      </c>
      <c r="AH667" t="b">
        <f>AND(IF(metadata!G667="",FALSE,TRUE),EXACT(metadata!G667,"urban biome"))</f>
        <v>0</v>
      </c>
      <c r="AI667" t="b">
        <f>AND(IF(metadata!H667="",FALSE,TRUE),EXACT(metadata!H667,"human-associated habitat"))</f>
        <v>0</v>
      </c>
      <c r="AJ667" t="b">
        <f>AND(IF(metadata!I667="",FALSE,TRUE),OR(EXACT(metadata!I667,"human-associated"),EXACT(metadata!I667,"human-skin"),EXACT(metadata!I667,"human-oral"),EXACT(metadata!I667,"human-gut"),EXACT(metadata!I667,"human-vaginal")))</f>
        <v>0</v>
      </c>
      <c r="AK667" t="b">
        <f>IF(metadata!J667="",FALSE,ISNUMBER(VALUE(metadata!J667)))</f>
        <v>0</v>
      </c>
      <c r="AL667" t="b">
        <f>AND(IF(metadata!K667="",FALSE,TRUE),EXACT(metadata!K667,"cm"))</f>
        <v>0</v>
      </c>
      <c r="AM667" t="b">
        <f>AND(IF(metadata!L667="",FALSE,TRUE),EXACT(metadata!L667,"human"))</f>
        <v>0</v>
      </c>
      <c r="AN667" t="b">
        <f>AND(IF(metadata!M667="",FALSE,TRUE),EXACT(metadata!M667,"Homo sapiens"))</f>
        <v>0</v>
      </c>
      <c r="AO667" t="b">
        <f>AND(IF(metadata!N667="",FALSE,TRUE),EXACT(metadata!N667,"9606"))</f>
        <v>0</v>
      </c>
      <c r="AP667" t="b">
        <f>IF(metadata!O667="",FALSE,TRUE)</f>
        <v>0</v>
      </c>
      <c r="AQ667" t="b">
        <f>IF(metadata!P667="",FALSE,TRUE)</f>
        <v>0</v>
      </c>
      <c r="AR667" t="b">
        <f>IF(metadata!Q667="",FALSE,ISNUMBER(VALUE(metadata!Q667)))</f>
        <v>0</v>
      </c>
      <c r="AS667" t="b">
        <f>AND(IF(metadata!R667="",FALSE,TRUE),EXACT(metadata!R667,"kg"))</f>
        <v>0</v>
      </c>
    </row>
    <row r="668" spans="1:45" x14ac:dyDescent="0.2">
      <c r="A668" s="5" t="str">
        <f ca="1">IF(B668=" "," ",HYPERLINK(CONCATENATE("#metadata!",ADDRESS(INDEX($X$2:$X$1001,MATCH(ROWS($V$2:V668),$V$2:$V$1001,0),0),1)),INDEX($AA$2:$AA$1001,MATCH(ROWS($V$2:V668),$V$2:$V$1001,0),0)))</f>
        <v xml:space="preserve"> </v>
      </c>
      <c r="B668" s="4" t="str">
        <f ca="1">IF(OR(INDEX($W$2:$W$1001,MATCH(ROWS($V$2:V668),$V$2:$V$1001,0),1)&gt;=100000,INDEX($AC$1005:$AS$1005,1,MATCH(COLUMNS($AC$1006:AC1006),$AC$1006:$AS$1006,0))&gt;=100000), " ",IF(INDEX($AC$2:$AS$1001,MATCH(ROWS($V$2:V668),$V$2:$V$1001,0),MATCH(COLUMNS($AC$1006:AC1006),$AC$1006:$AS$1006,0)), HYPERLINK("#",""), HYPERLINK(CONCATENATE("#metadata!", ADDRESS(INDEX($X$2:$X$1001,MATCH(ROWS($V$2:V668),$V$2:$V$1001,0),0), INDEX($AC$1004:$AS$1004,1,MATCH(COLUMNS($AC$1006:AC1006),$AC$1006:$AS$1006,0)))),"Fix")))</f>
        <v xml:space="preserve"> </v>
      </c>
      <c r="C668" s="4" t="str">
        <f ca="1">IF(OR(INDEX($W$2:$W$1001,MATCH(ROWS($V$2:V668),$V$2:$V$1001,0),1)&gt;=100000,INDEX($AC$1005:$AS$1005,1,MATCH(COLUMNS($AC$1006:AD1006),$AC$1006:$AS$1006,0))&gt;=100000), " ",IF(INDEX($AC$2:$AS$1001,MATCH(ROWS($V$2:V668),$V$2:$V$1001,0),MATCH(COLUMNS($AC$1006:AD1006),$AC$1006:$AS$1006,0)), HYPERLINK("#",""), HYPERLINK(CONCATENATE("#metadata!", ADDRESS(INDEX($X$2:$X$1001,MATCH(ROWS($V$2:V668),$V$2:$V$1001,0),0), INDEX($AC$1004:$AS$1004,1,MATCH(COLUMNS($AC$1006:AD1006),$AC$1006:$AS$1006,0)))),"Fix")))</f>
        <v xml:space="preserve"> </v>
      </c>
      <c r="D668" s="4" t="str">
        <f ca="1">IF(OR(INDEX($W$2:$W$1001,MATCH(ROWS($V$2:V668),$V$2:$V$1001,0),1)&gt;=100000,INDEX($AC$1005:$AS$1005,1,MATCH(COLUMNS($AC$1006:AE1006),$AC$1006:$AS$1006,0))&gt;=100000), " ",IF(INDEX($AC$2:$AS$1001,MATCH(ROWS($V$2:V668),$V$2:$V$1001,0),MATCH(COLUMNS($AC$1006:AE1006),$AC$1006:$AS$1006,0)), HYPERLINK("#",""), HYPERLINK(CONCATENATE("#metadata!", ADDRESS(INDEX($X$2:$X$1001,MATCH(ROWS($V$2:V668),$V$2:$V$1001,0),0), INDEX($AC$1004:$AS$1004,1,MATCH(COLUMNS($AC$1006:AE1006),$AC$1006:$AS$1006,0)))),"Fix")))</f>
        <v xml:space="preserve"> </v>
      </c>
      <c r="E668" s="4" t="str">
        <f ca="1">IF(OR(INDEX($W$2:$W$1001,MATCH(ROWS($V$2:V668),$V$2:$V$1001,0),1)&gt;=100000,INDEX($AC$1005:$AS$1005,1,MATCH(COLUMNS($AC$1006:AF1006),$AC$1006:$AS$1006,0))&gt;=100000), " ",IF(INDEX($AC$2:$AS$1001,MATCH(ROWS($V$2:V668),$V$2:$V$1001,0),MATCH(COLUMNS($AC$1006:AF1006),$AC$1006:$AS$1006,0)), HYPERLINK("#",""), HYPERLINK(CONCATENATE("#metadata!", ADDRESS(INDEX($X$2:$X$1001,MATCH(ROWS($V$2:V668),$V$2:$V$1001,0),0), INDEX($AC$1004:$AS$1004,1,MATCH(COLUMNS($AC$1006:AF1006),$AC$1006:$AS$1006,0)))),"Fix")))</f>
        <v xml:space="preserve"> </v>
      </c>
      <c r="F668" s="4" t="str">
        <f ca="1">IF(OR(INDEX($W$2:$W$1001,MATCH(ROWS($V$2:V668),$V$2:$V$1001,0),1)&gt;=100000,INDEX($AC$1005:$AS$1005,1,MATCH(COLUMNS($AC$1006:AG1006),$AC$1006:$AS$1006,0))&gt;=100000), " ",IF(INDEX($AC$2:$AS$1001,MATCH(ROWS($V$2:V668),$V$2:$V$1001,0),MATCH(COLUMNS($AC$1006:AG1006),$AC$1006:$AS$1006,0)), HYPERLINK("#",""), HYPERLINK(CONCATENATE("#metadata!", ADDRESS(INDEX($X$2:$X$1001,MATCH(ROWS($V$2:V668),$V$2:$V$1001,0),0), INDEX($AC$1004:$AS$1004,1,MATCH(COLUMNS($AC$1006:AG1006),$AC$1006:$AS$1006,0)))),"Fix")))</f>
        <v xml:space="preserve"> </v>
      </c>
      <c r="G668" s="4" t="str">
        <f ca="1">IF(OR(INDEX($W$2:$W$1001,MATCH(ROWS($V$2:V668),$V$2:$V$1001,0),1)&gt;=100000,INDEX($AC$1005:$AS$1005,1,MATCH(COLUMNS($AC$1006:AH1006),$AC$1006:$AS$1006,0))&gt;=100000), " ",IF(INDEX($AC$2:$AS$1001,MATCH(ROWS($V$2:V668),$V$2:$V$1001,0),MATCH(COLUMNS($AC$1006:AH1006),$AC$1006:$AS$1006,0)), HYPERLINK("#",""), HYPERLINK(CONCATENATE("#metadata!", ADDRESS(INDEX($X$2:$X$1001,MATCH(ROWS($V$2:V668),$V$2:$V$1001,0),0), INDEX($AC$1004:$AS$1004,1,MATCH(COLUMNS($AC$1006:AH1006),$AC$1006:$AS$1006,0)))),"Fix")))</f>
        <v xml:space="preserve"> </v>
      </c>
      <c r="H668" s="4" t="str">
        <f ca="1">IF(OR(INDEX($W$2:$W$1001,MATCH(ROWS($V$2:V668),$V$2:$V$1001,0),1)&gt;=100000,INDEX($AC$1005:$AS$1005,1,MATCH(COLUMNS($AC$1006:AI1006),$AC$1006:$AS$1006,0))&gt;=100000), " ",IF(INDEX($AC$2:$AS$1001,MATCH(ROWS($V$2:V668),$V$2:$V$1001,0),MATCH(COLUMNS($AC$1006:AI1006),$AC$1006:$AS$1006,0)), HYPERLINK("#",""), HYPERLINK(CONCATENATE("#metadata!", ADDRESS(INDEX($X$2:$X$1001,MATCH(ROWS($V$2:V668),$V$2:$V$1001,0),0), INDEX($AC$1004:$AS$1004,1,MATCH(COLUMNS($AC$1006:AI1006),$AC$1006:$AS$1006,0)))),"Fix")))</f>
        <v xml:space="preserve"> </v>
      </c>
      <c r="I668" s="4" t="str">
        <f ca="1">IF(OR(INDEX($W$2:$W$1001,MATCH(ROWS($V$2:V668),$V$2:$V$1001,0),1)&gt;=100000,INDEX($AC$1005:$AS$1005,1,MATCH(COLUMNS($AC$1006:AJ1006),$AC$1006:$AS$1006,0))&gt;=100000), " ",IF(INDEX($AC$2:$AS$1001,MATCH(ROWS($V$2:V668),$V$2:$V$1001,0),MATCH(COLUMNS($AC$1006:AJ1006),$AC$1006:$AS$1006,0)), HYPERLINK("#",""), HYPERLINK(CONCATENATE("#metadata!", ADDRESS(INDEX($X$2:$X$1001,MATCH(ROWS($V$2:V668),$V$2:$V$1001,0),0), INDEX($AC$1004:$AS$1004,1,MATCH(COLUMNS($AC$1006:AJ1006),$AC$1006:$AS$1006,0)))),"Fix")))</f>
        <v xml:space="preserve"> </v>
      </c>
      <c r="J668" s="4" t="str">
        <f ca="1">IF(OR(INDEX($W$2:$W$1001,MATCH(ROWS($V$2:V668),$V$2:$V$1001,0),1)&gt;=100000,INDEX($AC$1005:$AS$1005,1,MATCH(COLUMNS($AC$1006:AK1006),$AC$1006:$AS$1006,0))&gt;=100000), " ",IF(INDEX($AC$2:$AS$1001,MATCH(ROWS($V$2:V668),$V$2:$V$1001,0),MATCH(COLUMNS($AC$1006:AK1006),$AC$1006:$AS$1006,0)), HYPERLINK("#",""), HYPERLINK(CONCATENATE("#metadata!", ADDRESS(INDEX($X$2:$X$1001,MATCH(ROWS($V$2:V668),$V$2:$V$1001,0),0), INDEX($AC$1004:$AS$1004,1,MATCH(COLUMNS($AC$1006:AK1006),$AC$1006:$AS$1006,0)))),"Fix")))</f>
        <v xml:space="preserve"> </v>
      </c>
      <c r="K668" s="4" t="str">
        <f ca="1">IF(OR(INDEX($W$2:$W$1001,MATCH(ROWS($V$2:V668),$V$2:$V$1001,0),1)&gt;=100000,INDEX($AC$1005:$AS$1005,1,MATCH(COLUMNS($AC$1006:AL1006),$AC$1006:$AS$1006,0))&gt;=100000), " ",IF(INDEX($AC$2:$AS$1001,MATCH(ROWS($V$2:V668),$V$2:$V$1001,0),MATCH(COLUMNS($AC$1006:AL1006),$AC$1006:$AS$1006,0)), HYPERLINK("#",""), HYPERLINK(CONCATENATE("#metadata!", ADDRESS(INDEX($X$2:$X$1001,MATCH(ROWS($V$2:V668),$V$2:$V$1001,0),0), INDEX($AC$1004:$AS$1004,1,MATCH(COLUMNS($AC$1006:AL1006),$AC$1006:$AS$1006,0)))),"Fix")))</f>
        <v xml:space="preserve"> </v>
      </c>
      <c r="L668" s="4" t="str">
        <f ca="1">IF(OR(INDEX($W$2:$W$1001,MATCH(ROWS($V$2:V668),$V$2:$V$1001,0),1)&gt;=100000,INDEX($AC$1005:$AS$1005,1,MATCH(COLUMNS($AC$1006:AM1006),$AC$1006:$AS$1006,0))&gt;=100000), " ",IF(INDEX($AC$2:$AS$1001,MATCH(ROWS($V$2:V668),$V$2:$V$1001,0),MATCH(COLUMNS($AC$1006:AM1006),$AC$1006:$AS$1006,0)), HYPERLINK("#",""), HYPERLINK(CONCATENATE("#metadata!", ADDRESS(INDEX($X$2:$X$1001,MATCH(ROWS($V$2:V668),$V$2:$V$1001,0),0), INDEX($AC$1004:$AS$1004,1,MATCH(COLUMNS($AC$1006:AM1006),$AC$1006:$AS$1006,0)))),"Fix")))</f>
        <v xml:space="preserve"> </v>
      </c>
      <c r="M668" s="4" t="str">
        <f ca="1">IF(OR(INDEX($W$2:$W$1001,MATCH(ROWS($V$2:V668),$V$2:$V$1001,0),1)&gt;=100000,INDEX($AC$1005:$AS$1005,1,MATCH(COLUMNS($AC$1006:AN1006),$AC$1006:$AS$1006,0))&gt;=100000), " ",IF(INDEX($AC$2:$AS$1001,MATCH(ROWS($V$2:V668),$V$2:$V$1001,0),MATCH(COLUMNS($AC$1006:AN1006),$AC$1006:$AS$1006,0)), HYPERLINK("#",""), HYPERLINK(CONCATENATE("#metadata!", ADDRESS(INDEX($X$2:$X$1001,MATCH(ROWS($V$2:V668),$V$2:$V$1001,0),0), INDEX($AC$1004:$AS$1004,1,MATCH(COLUMNS($AC$1006:AN1006),$AC$1006:$AS$1006,0)))),"Fix")))</f>
        <v xml:space="preserve"> </v>
      </c>
      <c r="N668" s="4" t="str">
        <f ca="1">IF(OR(INDEX($W$2:$W$1001,MATCH(ROWS($V$2:V668),$V$2:$V$1001,0),1)&gt;=100000,INDEX($AC$1005:$AS$1005,1,MATCH(COLUMNS($AC$1006:AO1006),$AC$1006:$AS$1006,0))&gt;=100000), " ",IF(INDEX($AC$2:$AS$1001,MATCH(ROWS($V$2:V668),$V$2:$V$1001,0),MATCH(COLUMNS($AC$1006:AO1006),$AC$1006:$AS$1006,0)), HYPERLINK("#",""), HYPERLINK(CONCATENATE("#metadata!", ADDRESS(INDEX($X$2:$X$1001,MATCH(ROWS($V$2:V668),$V$2:$V$1001,0),0), INDEX($AC$1004:$AS$1004,1,MATCH(COLUMNS($AC$1006:AO1006),$AC$1006:$AS$1006,0)))),"Fix")))</f>
        <v xml:space="preserve"> </v>
      </c>
      <c r="O668" s="4" t="str">
        <f ca="1">IF(OR(INDEX($W$2:$W$1001,MATCH(ROWS($V$2:V668),$V$2:$V$1001,0),1)&gt;=100000,INDEX($AC$1005:$AS$1005,1,MATCH(COLUMNS($AC$1006:AP1006),$AC$1006:$AS$1006,0))&gt;=100000), " ",IF(INDEX($AC$2:$AS$1001,MATCH(ROWS($V$2:V668),$V$2:$V$1001,0),MATCH(COLUMNS($AC$1006:AP1006),$AC$1006:$AS$1006,0)), HYPERLINK("#",""), HYPERLINK(CONCATENATE("#metadata!", ADDRESS(INDEX($X$2:$X$1001,MATCH(ROWS($V$2:V668),$V$2:$V$1001,0),0), INDEX($AC$1004:$AS$1004,1,MATCH(COLUMNS($AC$1006:AP1006),$AC$1006:$AS$1006,0)))),"Fix")))</f>
        <v xml:space="preserve"> </v>
      </c>
      <c r="P668" s="4" t="str">
        <f ca="1">IF(OR(INDEX($W$2:$W$1001,MATCH(ROWS($V$2:V668),$V$2:$V$1001,0),1)&gt;=100000,INDEX($AC$1005:$AS$1005,1,MATCH(COLUMNS($AC$1006:AQ1006),$AC$1006:$AS$1006,0))&gt;=100000), " ",IF(INDEX($AC$2:$AS$1001,MATCH(ROWS($V$2:V668),$V$2:$V$1001,0),MATCH(COLUMNS($AC$1006:AQ1006),$AC$1006:$AS$1006,0)), HYPERLINK("#",""), HYPERLINK(CONCATENATE("#metadata!", ADDRESS(INDEX($X$2:$X$1001,MATCH(ROWS($V$2:V668),$V$2:$V$1001,0),0), INDEX($AC$1004:$AS$1004,1,MATCH(COLUMNS($AC$1006:AQ1006),$AC$1006:$AS$1006,0)))),"Fix")))</f>
        <v xml:space="preserve"> </v>
      </c>
      <c r="Q668" s="4" t="str">
        <f ca="1">IF(OR(INDEX($W$2:$W$1001,MATCH(ROWS($V$2:V668),$V$2:$V$1001,0),1)&gt;=100000,INDEX($AC$1005:$AS$1005,1,MATCH(COLUMNS($AC$1006:AR1006),$AC$1006:$AS$1006,0))&gt;=100000), " ",IF(INDEX($AC$2:$AS$1001,MATCH(ROWS($V$2:V668),$V$2:$V$1001,0),MATCH(COLUMNS($AC$1006:AR1006),$AC$1006:$AS$1006,0)), HYPERLINK("#",""), HYPERLINK(CONCATENATE("#metadata!", ADDRESS(INDEX($X$2:$X$1001,MATCH(ROWS($V$2:V668),$V$2:$V$1001,0),0), INDEX($AC$1004:$AS$1004,1,MATCH(COLUMNS($AC$1006:AR1006),$AC$1006:$AS$1006,0)))),"Fix")))</f>
        <v xml:space="preserve"> </v>
      </c>
      <c r="R668" s="4" t="str">
        <f ca="1">IF(OR(INDEX($W$2:$W$1001,MATCH(ROWS($V$2:V668),$V$2:$V$1001,0),1)&gt;=100000,INDEX($AC$1005:$AS$1005,1,MATCH(COLUMNS($AC$1006:AS1006),$AC$1006:$AS$1006,0))&gt;=100000), " ",IF(INDEX($AC$2:$AS$1001,MATCH(ROWS($V$2:V668),$V$2:$V$1001,0),MATCH(COLUMNS($AC$1006:AS1006),$AC$1006:$AS$1006,0)), HYPERLINK("#",""), HYPERLINK(CONCATENATE("#metadata!", ADDRESS(INDEX($X$2:$X$1001,MATCH(ROWS($V$2:V668),$V$2:$V$1001,0),0), INDEX($AC$1004:$AS$1004,1,MATCH(COLUMNS($AC$1006:AS1006),$AC$1006:$AS$1006,0)))),"Fix")))</f>
        <v xml:space="preserve"> </v>
      </c>
      <c r="V668">
        <v>667</v>
      </c>
      <c r="W668">
        <v>100668</v>
      </c>
      <c r="X668">
        <v>668</v>
      </c>
      <c r="Y668" t="b">
        <f t="shared" si="10"/>
        <v>1</v>
      </c>
      <c r="Z668" t="b">
        <f>COUNTBLANK(metadata!B668:R668)=COLUMNS(metadata!B668:R668)</f>
        <v>1</v>
      </c>
      <c r="AA668" t="str">
        <v/>
      </c>
      <c r="AC668" t="b">
        <f ca="1"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AD668" t="b">
        <f>IF(metadata!C668="",FALSE,ISNUMBER(VALUE(metadata!C668)))</f>
        <v>0</v>
      </c>
      <c r="AE668" t="b">
        <f>AND(IF(metadata!D668="",FALSE,TRUE),EXACT(metadata!D668,"years"))</f>
        <v>0</v>
      </c>
      <c r="AF668" t="b">
        <f>OR(AND(IF(metadata!E668="",FALSE,TRUE),OR(EXACT(metadata!E668,"not applicable"),EXACT(metadata!E668,"missing: not collected"),EXACT(metadata!E668,"missing: not provided"),EXACT(metadata!E668,"missing: restricted access"))),AND(IF(metadata!E668="",FALSE,ISNUMBER(VALUE(metadata!E668))),metadata!E668&gt;0))</f>
        <v>0</v>
      </c>
      <c r="AG668" t="b">
        <f>AND(IF(metadata!F668="",FALSE,TRUE),EXACT(metadata!F668,"Not applicable"))</f>
        <v>0</v>
      </c>
      <c r="AH668" t="b">
        <f>AND(IF(metadata!G668="",FALSE,TRUE),EXACT(metadata!G668,"urban biome"))</f>
        <v>0</v>
      </c>
      <c r="AI668" t="b">
        <f>AND(IF(metadata!H668="",FALSE,TRUE),EXACT(metadata!H668,"human-associated habitat"))</f>
        <v>0</v>
      </c>
      <c r="AJ668" t="b">
        <f>AND(IF(metadata!I668="",FALSE,TRUE),OR(EXACT(metadata!I668,"human-associated"),EXACT(metadata!I668,"human-skin"),EXACT(metadata!I668,"human-oral"),EXACT(metadata!I668,"human-gut"),EXACT(metadata!I668,"human-vaginal")))</f>
        <v>0</v>
      </c>
      <c r="AK668" t="b">
        <f>IF(metadata!J668="",FALSE,ISNUMBER(VALUE(metadata!J668)))</f>
        <v>0</v>
      </c>
      <c r="AL668" t="b">
        <f>AND(IF(metadata!K668="",FALSE,TRUE),EXACT(metadata!K668,"cm"))</f>
        <v>0</v>
      </c>
      <c r="AM668" t="b">
        <f>AND(IF(metadata!L668="",FALSE,TRUE),EXACT(metadata!L668,"human"))</f>
        <v>0</v>
      </c>
      <c r="AN668" t="b">
        <f>AND(IF(metadata!M668="",FALSE,TRUE),EXACT(metadata!M668,"Homo sapiens"))</f>
        <v>0</v>
      </c>
      <c r="AO668" t="b">
        <f>AND(IF(metadata!N668="",FALSE,TRUE),EXACT(metadata!N668,"9606"))</f>
        <v>0</v>
      </c>
      <c r="AP668" t="b">
        <f>IF(metadata!O668="",FALSE,TRUE)</f>
        <v>0</v>
      </c>
      <c r="AQ668" t="b">
        <f>IF(metadata!P668="",FALSE,TRUE)</f>
        <v>0</v>
      </c>
      <c r="AR668" t="b">
        <f>IF(metadata!Q668="",FALSE,ISNUMBER(VALUE(metadata!Q668)))</f>
        <v>0</v>
      </c>
      <c r="AS668" t="b">
        <f>AND(IF(metadata!R668="",FALSE,TRUE),EXACT(metadata!R668,"kg"))</f>
        <v>0</v>
      </c>
    </row>
    <row r="669" spans="1:45" x14ac:dyDescent="0.2">
      <c r="A669" s="5" t="str">
        <f ca="1">IF(B669=" "," ",HYPERLINK(CONCATENATE("#metadata!",ADDRESS(INDEX($X$2:$X$1001,MATCH(ROWS($V$2:V669),$V$2:$V$1001,0),0),1)),INDEX($AA$2:$AA$1001,MATCH(ROWS($V$2:V669),$V$2:$V$1001,0),0)))</f>
        <v xml:space="preserve"> </v>
      </c>
      <c r="B669" s="4" t="str">
        <f ca="1">IF(OR(INDEX($W$2:$W$1001,MATCH(ROWS($V$2:V669),$V$2:$V$1001,0),1)&gt;=100000,INDEX($AC$1005:$AS$1005,1,MATCH(COLUMNS($AC$1006:AC1006),$AC$1006:$AS$1006,0))&gt;=100000), " ",IF(INDEX($AC$2:$AS$1001,MATCH(ROWS($V$2:V669),$V$2:$V$1001,0),MATCH(COLUMNS($AC$1006:AC1006),$AC$1006:$AS$1006,0)), HYPERLINK("#",""), HYPERLINK(CONCATENATE("#metadata!", ADDRESS(INDEX($X$2:$X$1001,MATCH(ROWS($V$2:V669),$V$2:$V$1001,0),0), INDEX($AC$1004:$AS$1004,1,MATCH(COLUMNS($AC$1006:AC1006),$AC$1006:$AS$1006,0)))),"Fix")))</f>
        <v xml:space="preserve"> </v>
      </c>
      <c r="C669" s="4" t="str">
        <f ca="1">IF(OR(INDEX($W$2:$W$1001,MATCH(ROWS($V$2:V669),$V$2:$V$1001,0),1)&gt;=100000,INDEX($AC$1005:$AS$1005,1,MATCH(COLUMNS($AC$1006:AD1006),$AC$1006:$AS$1006,0))&gt;=100000), " ",IF(INDEX($AC$2:$AS$1001,MATCH(ROWS($V$2:V669),$V$2:$V$1001,0),MATCH(COLUMNS($AC$1006:AD1006),$AC$1006:$AS$1006,0)), HYPERLINK("#",""), HYPERLINK(CONCATENATE("#metadata!", ADDRESS(INDEX($X$2:$X$1001,MATCH(ROWS($V$2:V669),$V$2:$V$1001,0),0), INDEX($AC$1004:$AS$1004,1,MATCH(COLUMNS($AC$1006:AD1006),$AC$1006:$AS$1006,0)))),"Fix")))</f>
        <v xml:space="preserve"> </v>
      </c>
      <c r="D669" s="4" t="str">
        <f ca="1">IF(OR(INDEX($W$2:$W$1001,MATCH(ROWS($V$2:V669),$V$2:$V$1001,0),1)&gt;=100000,INDEX($AC$1005:$AS$1005,1,MATCH(COLUMNS($AC$1006:AE1006),$AC$1006:$AS$1006,0))&gt;=100000), " ",IF(INDEX($AC$2:$AS$1001,MATCH(ROWS($V$2:V669),$V$2:$V$1001,0),MATCH(COLUMNS($AC$1006:AE1006),$AC$1006:$AS$1006,0)), HYPERLINK("#",""), HYPERLINK(CONCATENATE("#metadata!", ADDRESS(INDEX($X$2:$X$1001,MATCH(ROWS($V$2:V669),$V$2:$V$1001,0),0), INDEX($AC$1004:$AS$1004,1,MATCH(COLUMNS($AC$1006:AE1006),$AC$1006:$AS$1006,0)))),"Fix")))</f>
        <v xml:space="preserve"> </v>
      </c>
      <c r="E669" s="4" t="str">
        <f ca="1">IF(OR(INDEX($W$2:$W$1001,MATCH(ROWS($V$2:V669),$V$2:$V$1001,0),1)&gt;=100000,INDEX($AC$1005:$AS$1005,1,MATCH(COLUMNS($AC$1006:AF1006),$AC$1006:$AS$1006,0))&gt;=100000), " ",IF(INDEX($AC$2:$AS$1001,MATCH(ROWS($V$2:V669),$V$2:$V$1001,0),MATCH(COLUMNS($AC$1006:AF1006),$AC$1006:$AS$1006,0)), HYPERLINK("#",""), HYPERLINK(CONCATENATE("#metadata!", ADDRESS(INDEX($X$2:$X$1001,MATCH(ROWS($V$2:V669),$V$2:$V$1001,0),0), INDEX($AC$1004:$AS$1004,1,MATCH(COLUMNS($AC$1006:AF1006),$AC$1006:$AS$1006,0)))),"Fix")))</f>
        <v xml:space="preserve"> </v>
      </c>
      <c r="F669" s="4" t="str">
        <f ca="1">IF(OR(INDEX($W$2:$W$1001,MATCH(ROWS($V$2:V669),$V$2:$V$1001,0),1)&gt;=100000,INDEX($AC$1005:$AS$1005,1,MATCH(COLUMNS($AC$1006:AG1006),$AC$1006:$AS$1006,0))&gt;=100000), " ",IF(INDEX($AC$2:$AS$1001,MATCH(ROWS($V$2:V669),$V$2:$V$1001,0),MATCH(COLUMNS($AC$1006:AG1006),$AC$1006:$AS$1006,0)), HYPERLINK("#",""), HYPERLINK(CONCATENATE("#metadata!", ADDRESS(INDEX($X$2:$X$1001,MATCH(ROWS($V$2:V669),$V$2:$V$1001,0),0), INDEX($AC$1004:$AS$1004,1,MATCH(COLUMNS($AC$1006:AG1006),$AC$1006:$AS$1006,0)))),"Fix")))</f>
        <v xml:space="preserve"> </v>
      </c>
      <c r="G669" s="4" t="str">
        <f ca="1">IF(OR(INDEX($W$2:$W$1001,MATCH(ROWS($V$2:V669),$V$2:$V$1001,0),1)&gt;=100000,INDEX($AC$1005:$AS$1005,1,MATCH(COLUMNS($AC$1006:AH1006),$AC$1006:$AS$1006,0))&gt;=100000), " ",IF(INDEX($AC$2:$AS$1001,MATCH(ROWS($V$2:V669),$V$2:$V$1001,0),MATCH(COLUMNS($AC$1006:AH1006),$AC$1006:$AS$1006,0)), HYPERLINK("#",""), HYPERLINK(CONCATENATE("#metadata!", ADDRESS(INDEX($X$2:$X$1001,MATCH(ROWS($V$2:V669),$V$2:$V$1001,0),0), INDEX($AC$1004:$AS$1004,1,MATCH(COLUMNS($AC$1006:AH1006),$AC$1006:$AS$1006,0)))),"Fix")))</f>
        <v xml:space="preserve"> </v>
      </c>
      <c r="H669" s="4" t="str">
        <f ca="1">IF(OR(INDEX($W$2:$W$1001,MATCH(ROWS($V$2:V669),$V$2:$V$1001,0),1)&gt;=100000,INDEX($AC$1005:$AS$1005,1,MATCH(COLUMNS($AC$1006:AI1006),$AC$1006:$AS$1006,0))&gt;=100000), " ",IF(INDEX($AC$2:$AS$1001,MATCH(ROWS($V$2:V669),$V$2:$V$1001,0),MATCH(COLUMNS($AC$1006:AI1006),$AC$1006:$AS$1006,0)), HYPERLINK("#",""), HYPERLINK(CONCATENATE("#metadata!", ADDRESS(INDEX($X$2:$X$1001,MATCH(ROWS($V$2:V669),$V$2:$V$1001,0),0), INDEX($AC$1004:$AS$1004,1,MATCH(COLUMNS($AC$1006:AI1006),$AC$1006:$AS$1006,0)))),"Fix")))</f>
        <v xml:space="preserve"> </v>
      </c>
      <c r="I669" s="4" t="str">
        <f ca="1">IF(OR(INDEX($W$2:$W$1001,MATCH(ROWS($V$2:V669),$V$2:$V$1001,0),1)&gt;=100000,INDEX($AC$1005:$AS$1005,1,MATCH(COLUMNS($AC$1006:AJ1006),$AC$1006:$AS$1006,0))&gt;=100000), " ",IF(INDEX($AC$2:$AS$1001,MATCH(ROWS($V$2:V669),$V$2:$V$1001,0),MATCH(COLUMNS($AC$1006:AJ1006),$AC$1006:$AS$1006,0)), HYPERLINK("#",""), HYPERLINK(CONCATENATE("#metadata!", ADDRESS(INDEX($X$2:$X$1001,MATCH(ROWS($V$2:V669),$V$2:$V$1001,0),0), INDEX($AC$1004:$AS$1004,1,MATCH(COLUMNS($AC$1006:AJ1006),$AC$1006:$AS$1006,0)))),"Fix")))</f>
        <v xml:space="preserve"> </v>
      </c>
      <c r="J669" s="4" t="str">
        <f ca="1">IF(OR(INDEX($W$2:$W$1001,MATCH(ROWS($V$2:V669),$V$2:$V$1001,0),1)&gt;=100000,INDEX($AC$1005:$AS$1005,1,MATCH(COLUMNS($AC$1006:AK1006),$AC$1006:$AS$1006,0))&gt;=100000), " ",IF(INDEX($AC$2:$AS$1001,MATCH(ROWS($V$2:V669),$V$2:$V$1001,0),MATCH(COLUMNS($AC$1006:AK1006),$AC$1006:$AS$1006,0)), HYPERLINK("#",""), HYPERLINK(CONCATENATE("#metadata!", ADDRESS(INDEX($X$2:$X$1001,MATCH(ROWS($V$2:V669),$V$2:$V$1001,0),0), INDEX($AC$1004:$AS$1004,1,MATCH(COLUMNS($AC$1006:AK1006),$AC$1006:$AS$1006,0)))),"Fix")))</f>
        <v xml:space="preserve"> </v>
      </c>
      <c r="K669" s="4" t="str">
        <f ca="1">IF(OR(INDEX($W$2:$W$1001,MATCH(ROWS($V$2:V669),$V$2:$V$1001,0),1)&gt;=100000,INDEX($AC$1005:$AS$1005,1,MATCH(COLUMNS($AC$1006:AL1006),$AC$1006:$AS$1006,0))&gt;=100000), " ",IF(INDEX($AC$2:$AS$1001,MATCH(ROWS($V$2:V669),$V$2:$V$1001,0),MATCH(COLUMNS($AC$1006:AL1006),$AC$1006:$AS$1006,0)), HYPERLINK("#",""), HYPERLINK(CONCATENATE("#metadata!", ADDRESS(INDEX($X$2:$X$1001,MATCH(ROWS($V$2:V669),$V$2:$V$1001,0),0), INDEX($AC$1004:$AS$1004,1,MATCH(COLUMNS($AC$1006:AL1006),$AC$1006:$AS$1006,0)))),"Fix")))</f>
        <v xml:space="preserve"> </v>
      </c>
      <c r="L669" s="4" t="str">
        <f ca="1">IF(OR(INDEX($W$2:$W$1001,MATCH(ROWS($V$2:V669),$V$2:$V$1001,0),1)&gt;=100000,INDEX($AC$1005:$AS$1005,1,MATCH(COLUMNS($AC$1006:AM1006),$AC$1006:$AS$1006,0))&gt;=100000), " ",IF(INDEX($AC$2:$AS$1001,MATCH(ROWS($V$2:V669),$V$2:$V$1001,0),MATCH(COLUMNS($AC$1006:AM1006),$AC$1006:$AS$1006,0)), HYPERLINK("#",""), HYPERLINK(CONCATENATE("#metadata!", ADDRESS(INDEX($X$2:$X$1001,MATCH(ROWS($V$2:V669),$V$2:$V$1001,0),0), INDEX($AC$1004:$AS$1004,1,MATCH(COLUMNS($AC$1006:AM1006),$AC$1006:$AS$1006,0)))),"Fix")))</f>
        <v xml:space="preserve"> </v>
      </c>
      <c r="M669" s="4" t="str">
        <f ca="1">IF(OR(INDEX($W$2:$W$1001,MATCH(ROWS($V$2:V669),$V$2:$V$1001,0),1)&gt;=100000,INDEX($AC$1005:$AS$1005,1,MATCH(COLUMNS($AC$1006:AN1006),$AC$1006:$AS$1006,0))&gt;=100000), " ",IF(INDEX($AC$2:$AS$1001,MATCH(ROWS($V$2:V669),$V$2:$V$1001,0),MATCH(COLUMNS($AC$1006:AN1006),$AC$1006:$AS$1006,0)), HYPERLINK("#",""), HYPERLINK(CONCATENATE("#metadata!", ADDRESS(INDEX($X$2:$X$1001,MATCH(ROWS($V$2:V669),$V$2:$V$1001,0),0), INDEX($AC$1004:$AS$1004,1,MATCH(COLUMNS($AC$1006:AN1006),$AC$1006:$AS$1006,0)))),"Fix")))</f>
        <v xml:space="preserve"> </v>
      </c>
      <c r="N669" s="4" t="str">
        <f ca="1">IF(OR(INDEX($W$2:$W$1001,MATCH(ROWS($V$2:V669),$V$2:$V$1001,0),1)&gt;=100000,INDEX($AC$1005:$AS$1005,1,MATCH(COLUMNS($AC$1006:AO1006),$AC$1006:$AS$1006,0))&gt;=100000), " ",IF(INDEX($AC$2:$AS$1001,MATCH(ROWS($V$2:V669),$V$2:$V$1001,0),MATCH(COLUMNS($AC$1006:AO1006),$AC$1006:$AS$1006,0)), HYPERLINK("#",""), HYPERLINK(CONCATENATE("#metadata!", ADDRESS(INDEX($X$2:$X$1001,MATCH(ROWS($V$2:V669),$V$2:$V$1001,0),0), INDEX($AC$1004:$AS$1004,1,MATCH(COLUMNS($AC$1006:AO1006),$AC$1006:$AS$1006,0)))),"Fix")))</f>
        <v xml:space="preserve"> </v>
      </c>
      <c r="O669" s="4" t="str">
        <f ca="1">IF(OR(INDEX($W$2:$W$1001,MATCH(ROWS($V$2:V669),$V$2:$V$1001,0),1)&gt;=100000,INDEX($AC$1005:$AS$1005,1,MATCH(COLUMNS($AC$1006:AP1006),$AC$1006:$AS$1006,0))&gt;=100000), " ",IF(INDEX($AC$2:$AS$1001,MATCH(ROWS($V$2:V669),$V$2:$V$1001,0),MATCH(COLUMNS($AC$1006:AP1006),$AC$1006:$AS$1006,0)), HYPERLINK("#",""), HYPERLINK(CONCATENATE("#metadata!", ADDRESS(INDEX($X$2:$X$1001,MATCH(ROWS($V$2:V669),$V$2:$V$1001,0),0), INDEX($AC$1004:$AS$1004,1,MATCH(COLUMNS($AC$1006:AP1006),$AC$1006:$AS$1006,0)))),"Fix")))</f>
        <v xml:space="preserve"> </v>
      </c>
      <c r="P669" s="4" t="str">
        <f ca="1">IF(OR(INDEX($W$2:$W$1001,MATCH(ROWS($V$2:V669),$V$2:$V$1001,0),1)&gt;=100000,INDEX($AC$1005:$AS$1005,1,MATCH(COLUMNS($AC$1006:AQ1006),$AC$1006:$AS$1006,0))&gt;=100000), " ",IF(INDEX($AC$2:$AS$1001,MATCH(ROWS($V$2:V669),$V$2:$V$1001,0),MATCH(COLUMNS($AC$1006:AQ1006),$AC$1006:$AS$1006,0)), HYPERLINK("#",""), HYPERLINK(CONCATENATE("#metadata!", ADDRESS(INDEX($X$2:$X$1001,MATCH(ROWS($V$2:V669),$V$2:$V$1001,0),0), INDEX($AC$1004:$AS$1004,1,MATCH(COLUMNS($AC$1006:AQ1006),$AC$1006:$AS$1006,0)))),"Fix")))</f>
        <v xml:space="preserve"> </v>
      </c>
      <c r="Q669" s="4" t="str">
        <f ca="1">IF(OR(INDEX($W$2:$W$1001,MATCH(ROWS($V$2:V669),$V$2:$V$1001,0),1)&gt;=100000,INDEX($AC$1005:$AS$1005,1,MATCH(COLUMNS($AC$1006:AR1006),$AC$1006:$AS$1006,0))&gt;=100000), " ",IF(INDEX($AC$2:$AS$1001,MATCH(ROWS($V$2:V669),$V$2:$V$1001,0),MATCH(COLUMNS($AC$1006:AR1006),$AC$1006:$AS$1006,0)), HYPERLINK("#",""), HYPERLINK(CONCATENATE("#metadata!", ADDRESS(INDEX($X$2:$X$1001,MATCH(ROWS($V$2:V669),$V$2:$V$1001,0),0), INDEX($AC$1004:$AS$1004,1,MATCH(COLUMNS($AC$1006:AR1006),$AC$1006:$AS$1006,0)))),"Fix")))</f>
        <v xml:space="preserve"> </v>
      </c>
      <c r="R669" s="4" t="str">
        <f ca="1">IF(OR(INDEX($W$2:$W$1001,MATCH(ROWS($V$2:V669),$V$2:$V$1001,0),1)&gt;=100000,INDEX($AC$1005:$AS$1005,1,MATCH(COLUMNS($AC$1006:AS1006),$AC$1006:$AS$1006,0))&gt;=100000), " ",IF(INDEX($AC$2:$AS$1001,MATCH(ROWS($V$2:V669),$V$2:$V$1001,0),MATCH(COLUMNS($AC$1006:AS1006),$AC$1006:$AS$1006,0)), HYPERLINK("#",""), HYPERLINK(CONCATENATE("#metadata!", ADDRESS(INDEX($X$2:$X$1001,MATCH(ROWS($V$2:V669),$V$2:$V$1001,0),0), INDEX($AC$1004:$AS$1004,1,MATCH(COLUMNS($AC$1006:AS1006),$AC$1006:$AS$1006,0)))),"Fix")))</f>
        <v xml:space="preserve"> </v>
      </c>
      <c r="V669">
        <v>668</v>
      </c>
      <c r="W669">
        <v>100669</v>
      </c>
      <c r="X669">
        <v>669</v>
      </c>
      <c r="Y669" t="b">
        <f t="shared" si="10"/>
        <v>1</v>
      </c>
      <c r="Z669" t="b">
        <f>COUNTBLANK(metadata!B669:R669)=COLUMNS(metadata!B669:R669)</f>
        <v>1</v>
      </c>
      <c r="AA669" t="str">
        <v/>
      </c>
      <c r="AC669" t="b">
        <f ca="1"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AD669" t="b">
        <f>IF(metadata!C669="",FALSE,ISNUMBER(VALUE(metadata!C669)))</f>
        <v>0</v>
      </c>
      <c r="AE669" t="b">
        <f>AND(IF(metadata!D669="",FALSE,TRUE),EXACT(metadata!D669,"years"))</f>
        <v>0</v>
      </c>
      <c r="AF669" t="b">
        <f>OR(AND(IF(metadata!E669="",FALSE,TRUE),OR(EXACT(metadata!E669,"not applicable"),EXACT(metadata!E669,"missing: not collected"),EXACT(metadata!E669,"missing: not provided"),EXACT(metadata!E669,"missing: restricted access"))),AND(IF(metadata!E669="",FALSE,ISNUMBER(VALUE(metadata!E669))),metadata!E669&gt;0))</f>
        <v>0</v>
      </c>
      <c r="AG669" t="b">
        <f>AND(IF(metadata!F669="",FALSE,TRUE),EXACT(metadata!F669,"Not applicable"))</f>
        <v>0</v>
      </c>
      <c r="AH669" t="b">
        <f>AND(IF(metadata!G669="",FALSE,TRUE),EXACT(metadata!G669,"urban biome"))</f>
        <v>0</v>
      </c>
      <c r="AI669" t="b">
        <f>AND(IF(metadata!H669="",FALSE,TRUE),EXACT(metadata!H669,"human-associated habitat"))</f>
        <v>0</v>
      </c>
      <c r="AJ669" t="b">
        <f>AND(IF(metadata!I669="",FALSE,TRUE),OR(EXACT(metadata!I669,"human-associated"),EXACT(metadata!I669,"human-skin"),EXACT(metadata!I669,"human-oral"),EXACT(metadata!I669,"human-gut"),EXACT(metadata!I669,"human-vaginal")))</f>
        <v>0</v>
      </c>
      <c r="AK669" t="b">
        <f>IF(metadata!J669="",FALSE,ISNUMBER(VALUE(metadata!J669)))</f>
        <v>0</v>
      </c>
      <c r="AL669" t="b">
        <f>AND(IF(metadata!K669="",FALSE,TRUE),EXACT(metadata!K669,"cm"))</f>
        <v>0</v>
      </c>
      <c r="AM669" t="b">
        <f>AND(IF(metadata!L669="",FALSE,TRUE),EXACT(metadata!L669,"human"))</f>
        <v>0</v>
      </c>
      <c r="AN669" t="b">
        <f>AND(IF(metadata!M669="",FALSE,TRUE),EXACT(metadata!M669,"Homo sapiens"))</f>
        <v>0</v>
      </c>
      <c r="AO669" t="b">
        <f>AND(IF(metadata!N669="",FALSE,TRUE),EXACT(metadata!N669,"9606"))</f>
        <v>0</v>
      </c>
      <c r="AP669" t="b">
        <f>IF(metadata!O669="",FALSE,TRUE)</f>
        <v>0</v>
      </c>
      <c r="AQ669" t="b">
        <f>IF(metadata!P669="",FALSE,TRUE)</f>
        <v>0</v>
      </c>
      <c r="AR669" t="b">
        <f>IF(metadata!Q669="",FALSE,ISNUMBER(VALUE(metadata!Q669)))</f>
        <v>0</v>
      </c>
      <c r="AS669" t="b">
        <f>AND(IF(metadata!R669="",FALSE,TRUE),EXACT(metadata!R669,"kg"))</f>
        <v>0</v>
      </c>
    </row>
    <row r="670" spans="1:45" x14ac:dyDescent="0.2">
      <c r="A670" s="5" t="str">
        <f ca="1">IF(B670=" "," ",HYPERLINK(CONCATENATE("#metadata!",ADDRESS(INDEX($X$2:$X$1001,MATCH(ROWS($V$2:V670),$V$2:$V$1001,0),0),1)),INDEX($AA$2:$AA$1001,MATCH(ROWS($V$2:V670),$V$2:$V$1001,0),0)))</f>
        <v xml:space="preserve"> </v>
      </c>
      <c r="B670" s="4" t="str">
        <f ca="1">IF(OR(INDEX($W$2:$W$1001,MATCH(ROWS($V$2:V670),$V$2:$V$1001,0),1)&gt;=100000,INDEX($AC$1005:$AS$1005,1,MATCH(COLUMNS($AC$1006:AC1006),$AC$1006:$AS$1006,0))&gt;=100000), " ",IF(INDEX($AC$2:$AS$1001,MATCH(ROWS($V$2:V670),$V$2:$V$1001,0),MATCH(COLUMNS($AC$1006:AC1006),$AC$1006:$AS$1006,0)), HYPERLINK("#",""), HYPERLINK(CONCATENATE("#metadata!", ADDRESS(INDEX($X$2:$X$1001,MATCH(ROWS($V$2:V670),$V$2:$V$1001,0),0), INDEX($AC$1004:$AS$1004,1,MATCH(COLUMNS($AC$1006:AC1006),$AC$1006:$AS$1006,0)))),"Fix")))</f>
        <v xml:space="preserve"> </v>
      </c>
      <c r="C670" s="4" t="str">
        <f ca="1">IF(OR(INDEX($W$2:$W$1001,MATCH(ROWS($V$2:V670),$V$2:$V$1001,0),1)&gt;=100000,INDEX($AC$1005:$AS$1005,1,MATCH(COLUMNS($AC$1006:AD1006),$AC$1006:$AS$1006,0))&gt;=100000), " ",IF(INDEX($AC$2:$AS$1001,MATCH(ROWS($V$2:V670),$V$2:$V$1001,0),MATCH(COLUMNS($AC$1006:AD1006),$AC$1006:$AS$1006,0)), HYPERLINK("#",""), HYPERLINK(CONCATENATE("#metadata!", ADDRESS(INDEX($X$2:$X$1001,MATCH(ROWS($V$2:V670),$V$2:$V$1001,0),0), INDEX($AC$1004:$AS$1004,1,MATCH(COLUMNS($AC$1006:AD1006),$AC$1006:$AS$1006,0)))),"Fix")))</f>
        <v xml:space="preserve"> </v>
      </c>
      <c r="D670" s="4" t="str">
        <f ca="1">IF(OR(INDEX($W$2:$W$1001,MATCH(ROWS($V$2:V670),$V$2:$V$1001,0),1)&gt;=100000,INDEX($AC$1005:$AS$1005,1,MATCH(COLUMNS($AC$1006:AE1006),$AC$1006:$AS$1006,0))&gt;=100000), " ",IF(INDEX($AC$2:$AS$1001,MATCH(ROWS($V$2:V670),$V$2:$V$1001,0),MATCH(COLUMNS($AC$1006:AE1006),$AC$1006:$AS$1006,0)), HYPERLINK("#",""), HYPERLINK(CONCATENATE("#metadata!", ADDRESS(INDEX($X$2:$X$1001,MATCH(ROWS($V$2:V670),$V$2:$V$1001,0),0), INDEX($AC$1004:$AS$1004,1,MATCH(COLUMNS($AC$1006:AE1006),$AC$1006:$AS$1006,0)))),"Fix")))</f>
        <v xml:space="preserve"> </v>
      </c>
      <c r="E670" s="4" t="str">
        <f ca="1">IF(OR(INDEX($W$2:$W$1001,MATCH(ROWS($V$2:V670),$V$2:$V$1001,0),1)&gt;=100000,INDEX($AC$1005:$AS$1005,1,MATCH(COLUMNS($AC$1006:AF1006),$AC$1006:$AS$1006,0))&gt;=100000), " ",IF(INDEX($AC$2:$AS$1001,MATCH(ROWS($V$2:V670),$V$2:$V$1001,0),MATCH(COLUMNS($AC$1006:AF1006),$AC$1006:$AS$1006,0)), HYPERLINK("#",""), HYPERLINK(CONCATENATE("#metadata!", ADDRESS(INDEX($X$2:$X$1001,MATCH(ROWS($V$2:V670),$V$2:$V$1001,0),0), INDEX($AC$1004:$AS$1004,1,MATCH(COLUMNS($AC$1006:AF1006),$AC$1006:$AS$1006,0)))),"Fix")))</f>
        <v xml:space="preserve"> </v>
      </c>
      <c r="F670" s="4" t="str">
        <f ca="1">IF(OR(INDEX($W$2:$W$1001,MATCH(ROWS($V$2:V670),$V$2:$V$1001,0),1)&gt;=100000,INDEX($AC$1005:$AS$1005,1,MATCH(COLUMNS($AC$1006:AG1006),$AC$1006:$AS$1006,0))&gt;=100000), " ",IF(INDEX($AC$2:$AS$1001,MATCH(ROWS($V$2:V670),$V$2:$V$1001,0),MATCH(COLUMNS($AC$1006:AG1006),$AC$1006:$AS$1006,0)), HYPERLINK("#",""), HYPERLINK(CONCATENATE("#metadata!", ADDRESS(INDEX($X$2:$X$1001,MATCH(ROWS($V$2:V670),$V$2:$V$1001,0),0), INDEX($AC$1004:$AS$1004,1,MATCH(COLUMNS($AC$1006:AG1006),$AC$1006:$AS$1006,0)))),"Fix")))</f>
        <v xml:space="preserve"> </v>
      </c>
      <c r="G670" s="4" t="str">
        <f ca="1">IF(OR(INDEX($W$2:$W$1001,MATCH(ROWS($V$2:V670),$V$2:$V$1001,0),1)&gt;=100000,INDEX($AC$1005:$AS$1005,1,MATCH(COLUMNS($AC$1006:AH1006),$AC$1006:$AS$1006,0))&gt;=100000), " ",IF(INDEX($AC$2:$AS$1001,MATCH(ROWS($V$2:V670),$V$2:$V$1001,0),MATCH(COLUMNS($AC$1006:AH1006),$AC$1006:$AS$1006,0)), HYPERLINK("#",""), HYPERLINK(CONCATENATE("#metadata!", ADDRESS(INDEX($X$2:$X$1001,MATCH(ROWS($V$2:V670),$V$2:$V$1001,0),0), INDEX($AC$1004:$AS$1004,1,MATCH(COLUMNS($AC$1006:AH1006),$AC$1006:$AS$1006,0)))),"Fix")))</f>
        <v xml:space="preserve"> </v>
      </c>
      <c r="H670" s="4" t="str">
        <f ca="1">IF(OR(INDEX($W$2:$W$1001,MATCH(ROWS($V$2:V670),$V$2:$V$1001,0),1)&gt;=100000,INDEX($AC$1005:$AS$1005,1,MATCH(COLUMNS($AC$1006:AI1006),$AC$1006:$AS$1006,0))&gt;=100000), " ",IF(INDEX($AC$2:$AS$1001,MATCH(ROWS($V$2:V670),$V$2:$V$1001,0),MATCH(COLUMNS($AC$1006:AI1006),$AC$1006:$AS$1006,0)), HYPERLINK("#",""), HYPERLINK(CONCATENATE("#metadata!", ADDRESS(INDEX($X$2:$X$1001,MATCH(ROWS($V$2:V670),$V$2:$V$1001,0),0), INDEX($AC$1004:$AS$1004,1,MATCH(COLUMNS($AC$1006:AI1006),$AC$1006:$AS$1006,0)))),"Fix")))</f>
        <v xml:space="preserve"> </v>
      </c>
      <c r="I670" s="4" t="str">
        <f ca="1">IF(OR(INDEX($W$2:$W$1001,MATCH(ROWS($V$2:V670),$V$2:$V$1001,0),1)&gt;=100000,INDEX($AC$1005:$AS$1005,1,MATCH(COLUMNS($AC$1006:AJ1006),$AC$1006:$AS$1006,0))&gt;=100000), " ",IF(INDEX($AC$2:$AS$1001,MATCH(ROWS($V$2:V670),$V$2:$V$1001,0),MATCH(COLUMNS($AC$1006:AJ1006),$AC$1006:$AS$1006,0)), HYPERLINK("#",""), HYPERLINK(CONCATENATE("#metadata!", ADDRESS(INDEX($X$2:$X$1001,MATCH(ROWS($V$2:V670),$V$2:$V$1001,0),0), INDEX($AC$1004:$AS$1004,1,MATCH(COLUMNS($AC$1006:AJ1006),$AC$1006:$AS$1006,0)))),"Fix")))</f>
        <v xml:space="preserve"> </v>
      </c>
      <c r="J670" s="4" t="str">
        <f ca="1">IF(OR(INDEX($W$2:$W$1001,MATCH(ROWS($V$2:V670),$V$2:$V$1001,0),1)&gt;=100000,INDEX($AC$1005:$AS$1005,1,MATCH(COLUMNS($AC$1006:AK1006),$AC$1006:$AS$1006,0))&gt;=100000), " ",IF(INDEX($AC$2:$AS$1001,MATCH(ROWS($V$2:V670),$V$2:$V$1001,0),MATCH(COLUMNS($AC$1006:AK1006),$AC$1006:$AS$1006,0)), HYPERLINK("#",""), HYPERLINK(CONCATENATE("#metadata!", ADDRESS(INDEX($X$2:$X$1001,MATCH(ROWS($V$2:V670),$V$2:$V$1001,0),0), INDEX($AC$1004:$AS$1004,1,MATCH(COLUMNS($AC$1006:AK1006),$AC$1006:$AS$1006,0)))),"Fix")))</f>
        <v xml:space="preserve"> </v>
      </c>
      <c r="K670" s="4" t="str">
        <f ca="1">IF(OR(INDEX($W$2:$W$1001,MATCH(ROWS($V$2:V670),$V$2:$V$1001,0),1)&gt;=100000,INDEX($AC$1005:$AS$1005,1,MATCH(COLUMNS($AC$1006:AL1006),$AC$1006:$AS$1006,0))&gt;=100000), " ",IF(INDEX($AC$2:$AS$1001,MATCH(ROWS($V$2:V670),$V$2:$V$1001,0),MATCH(COLUMNS($AC$1006:AL1006),$AC$1006:$AS$1006,0)), HYPERLINK("#",""), HYPERLINK(CONCATENATE("#metadata!", ADDRESS(INDEX($X$2:$X$1001,MATCH(ROWS($V$2:V670),$V$2:$V$1001,0),0), INDEX($AC$1004:$AS$1004,1,MATCH(COLUMNS($AC$1006:AL1006),$AC$1006:$AS$1006,0)))),"Fix")))</f>
        <v xml:space="preserve"> </v>
      </c>
      <c r="L670" s="4" t="str">
        <f ca="1">IF(OR(INDEX($W$2:$W$1001,MATCH(ROWS($V$2:V670),$V$2:$V$1001,0),1)&gt;=100000,INDEX($AC$1005:$AS$1005,1,MATCH(COLUMNS($AC$1006:AM1006),$AC$1006:$AS$1006,0))&gt;=100000), " ",IF(INDEX($AC$2:$AS$1001,MATCH(ROWS($V$2:V670),$V$2:$V$1001,0),MATCH(COLUMNS($AC$1006:AM1006),$AC$1006:$AS$1006,0)), HYPERLINK("#",""), HYPERLINK(CONCATENATE("#metadata!", ADDRESS(INDEX($X$2:$X$1001,MATCH(ROWS($V$2:V670),$V$2:$V$1001,0),0), INDEX($AC$1004:$AS$1004,1,MATCH(COLUMNS($AC$1006:AM1006),$AC$1006:$AS$1006,0)))),"Fix")))</f>
        <v xml:space="preserve"> </v>
      </c>
      <c r="M670" s="4" t="str">
        <f ca="1">IF(OR(INDEX($W$2:$W$1001,MATCH(ROWS($V$2:V670),$V$2:$V$1001,0),1)&gt;=100000,INDEX($AC$1005:$AS$1005,1,MATCH(COLUMNS($AC$1006:AN1006),$AC$1006:$AS$1006,0))&gt;=100000), " ",IF(INDEX($AC$2:$AS$1001,MATCH(ROWS($V$2:V670),$V$2:$V$1001,0),MATCH(COLUMNS($AC$1006:AN1006),$AC$1006:$AS$1006,0)), HYPERLINK("#",""), HYPERLINK(CONCATENATE("#metadata!", ADDRESS(INDEX($X$2:$X$1001,MATCH(ROWS($V$2:V670),$V$2:$V$1001,0),0), INDEX($AC$1004:$AS$1004,1,MATCH(COLUMNS($AC$1006:AN1006),$AC$1006:$AS$1006,0)))),"Fix")))</f>
        <v xml:space="preserve"> </v>
      </c>
      <c r="N670" s="4" t="str">
        <f ca="1">IF(OR(INDEX($W$2:$W$1001,MATCH(ROWS($V$2:V670),$V$2:$V$1001,0),1)&gt;=100000,INDEX($AC$1005:$AS$1005,1,MATCH(COLUMNS($AC$1006:AO1006),$AC$1006:$AS$1006,0))&gt;=100000), " ",IF(INDEX($AC$2:$AS$1001,MATCH(ROWS($V$2:V670),$V$2:$V$1001,0),MATCH(COLUMNS($AC$1006:AO1006),$AC$1006:$AS$1006,0)), HYPERLINK("#",""), HYPERLINK(CONCATENATE("#metadata!", ADDRESS(INDEX($X$2:$X$1001,MATCH(ROWS($V$2:V670),$V$2:$V$1001,0),0), INDEX($AC$1004:$AS$1004,1,MATCH(COLUMNS($AC$1006:AO1006),$AC$1006:$AS$1006,0)))),"Fix")))</f>
        <v xml:space="preserve"> </v>
      </c>
      <c r="O670" s="4" t="str">
        <f ca="1">IF(OR(INDEX($W$2:$W$1001,MATCH(ROWS($V$2:V670),$V$2:$V$1001,0),1)&gt;=100000,INDEX($AC$1005:$AS$1005,1,MATCH(COLUMNS($AC$1006:AP1006),$AC$1006:$AS$1006,0))&gt;=100000), " ",IF(INDEX($AC$2:$AS$1001,MATCH(ROWS($V$2:V670),$V$2:$V$1001,0),MATCH(COLUMNS($AC$1006:AP1006),$AC$1006:$AS$1006,0)), HYPERLINK("#",""), HYPERLINK(CONCATENATE("#metadata!", ADDRESS(INDEX($X$2:$X$1001,MATCH(ROWS($V$2:V670),$V$2:$V$1001,0),0), INDEX($AC$1004:$AS$1004,1,MATCH(COLUMNS($AC$1006:AP1006),$AC$1006:$AS$1006,0)))),"Fix")))</f>
        <v xml:space="preserve"> </v>
      </c>
      <c r="P670" s="4" t="str">
        <f ca="1">IF(OR(INDEX($W$2:$W$1001,MATCH(ROWS($V$2:V670),$V$2:$V$1001,0),1)&gt;=100000,INDEX($AC$1005:$AS$1005,1,MATCH(COLUMNS($AC$1006:AQ1006),$AC$1006:$AS$1006,0))&gt;=100000), " ",IF(INDEX($AC$2:$AS$1001,MATCH(ROWS($V$2:V670),$V$2:$V$1001,0),MATCH(COLUMNS($AC$1006:AQ1006),$AC$1006:$AS$1006,0)), HYPERLINK("#",""), HYPERLINK(CONCATENATE("#metadata!", ADDRESS(INDEX($X$2:$X$1001,MATCH(ROWS($V$2:V670),$V$2:$V$1001,0),0), INDEX($AC$1004:$AS$1004,1,MATCH(COLUMNS($AC$1006:AQ1006),$AC$1006:$AS$1006,0)))),"Fix")))</f>
        <v xml:space="preserve"> </v>
      </c>
      <c r="Q670" s="4" t="str">
        <f ca="1">IF(OR(INDEX($W$2:$W$1001,MATCH(ROWS($V$2:V670),$V$2:$V$1001,0),1)&gt;=100000,INDEX($AC$1005:$AS$1005,1,MATCH(COLUMNS($AC$1006:AR1006),$AC$1006:$AS$1006,0))&gt;=100000), " ",IF(INDEX($AC$2:$AS$1001,MATCH(ROWS($V$2:V670),$V$2:$V$1001,0),MATCH(COLUMNS($AC$1006:AR1006),$AC$1006:$AS$1006,0)), HYPERLINK("#",""), HYPERLINK(CONCATENATE("#metadata!", ADDRESS(INDEX($X$2:$X$1001,MATCH(ROWS($V$2:V670),$V$2:$V$1001,0),0), INDEX($AC$1004:$AS$1004,1,MATCH(COLUMNS($AC$1006:AR1006),$AC$1006:$AS$1006,0)))),"Fix")))</f>
        <v xml:space="preserve"> </v>
      </c>
      <c r="R670" s="4" t="str">
        <f ca="1">IF(OR(INDEX($W$2:$W$1001,MATCH(ROWS($V$2:V670),$V$2:$V$1001,0),1)&gt;=100000,INDEX($AC$1005:$AS$1005,1,MATCH(COLUMNS($AC$1006:AS1006),$AC$1006:$AS$1006,0))&gt;=100000), " ",IF(INDEX($AC$2:$AS$1001,MATCH(ROWS($V$2:V670),$V$2:$V$1001,0),MATCH(COLUMNS($AC$1006:AS1006),$AC$1006:$AS$1006,0)), HYPERLINK("#",""), HYPERLINK(CONCATENATE("#metadata!", ADDRESS(INDEX($X$2:$X$1001,MATCH(ROWS($V$2:V670),$V$2:$V$1001,0),0), INDEX($AC$1004:$AS$1004,1,MATCH(COLUMNS($AC$1006:AS1006),$AC$1006:$AS$1006,0)))),"Fix")))</f>
        <v xml:space="preserve"> </v>
      </c>
      <c r="V670">
        <v>669</v>
      </c>
      <c r="W670">
        <v>100670</v>
      </c>
      <c r="X670">
        <v>670</v>
      </c>
      <c r="Y670" t="b">
        <f t="shared" si="10"/>
        <v>1</v>
      </c>
      <c r="Z670" t="b">
        <f>COUNTBLANK(metadata!B670:R670)=COLUMNS(metadata!B670:R670)</f>
        <v>1</v>
      </c>
      <c r="AA670" t="str">
        <v/>
      </c>
      <c r="AC670" t="b">
        <f ca="1"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AD670" t="b">
        <f>IF(metadata!C670="",FALSE,ISNUMBER(VALUE(metadata!C670)))</f>
        <v>0</v>
      </c>
      <c r="AE670" t="b">
        <f>AND(IF(metadata!D670="",FALSE,TRUE),EXACT(metadata!D670,"years"))</f>
        <v>0</v>
      </c>
      <c r="AF670" t="b">
        <f>OR(AND(IF(metadata!E670="",FALSE,TRUE),OR(EXACT(metadata!E670,"not applicable"),EXACT(metadata!E670,"missing: not collected"),EXACT(metadata!E670,"missing: not provided"),EXACT(metadata!E670,"missing: restricted access"))),AND(IF(metadata!E670="",FALSE,ISNUMBER(VALUE(metadata!E670))),metadata!E670&gt;0))</f>
        <v>0</v>
      </c>
      <c r="AG670" t="b">
        <f>AND(IF(metadata!F670="",FALSE,TRUE),EXACT(metadata!F670,"Not applicable"))</f>
        <v>0</v>
      </c>
      <c r="AH670" t="b">
        <f>AND(IF(metadata!G670="",FALSE,TRUE),EXACT(metadata!G670,"urban biome"))</f>
        <v>0</v>
      </c>
      <c r="AI670" t="b">
        <f>AND(IF(metadata!H670="",FALSE,TRUE),EXACT(metadata!H670,"human-associated habitat"))</f>
        <v>0</v>
      </c>
      <c r="AJ670" t="b">
        <f>AND(IF(metadata!I670="",FALSE,TRUE),OR(EXACT(metadata!I670,"human-associated"),EXACT(metadata!I670,"human-skin"),EXACT(metadata!I670,"human-oral"),EXACT(metadata!I670,"human-gut"),EXACT(metadata!I670,"human-vaginal")))</f>
        <v>0</v>
      </c>
      <c r="AK670" t="b">
        <f>IF(metadata!J670="",FALSE,ISNUMBER(VALUE(metadata!J670)))</f>
        <v>0</v>
      </c>
      <c r="AL670" t="b">
        <f>AND(IF(metadata!K670="",FALSE,TRUE),EXACT(metadata!K670,"cm"))</f>
        <v>0</v>
      </c>
      <c r="AM670" t="b">
        <f>AND(IF(metadata!L670="",FALSE,TRUE),EXACT(metadata!L670,"human"))</f>
        <v>0</v>
      </c>
      <c r="AN670" t="b">
        <f>AND(IF(metadata!M670="",FALSE,TRUE),EXACT(metadata!M670,"Homo sapiens"))</f>
        <v>0</v>
      </c>
      <c r="AO670" t="b">
        <f>AND(IF(metadata!N670="",FALSE,TRUE),EXACT(metadata!N670,"9606"))</f>
        <v>0</v>
      </c>
      <c r="AP670" t="b">
        <f>IF(metadata!O670="",FALSE,TRUE)</f>
        <v>0</v>
      </c>
      <c r="AQ670" t="b">
        <f>IF(metadata!P670="",FALSE,TRUE)</f>
        <v>0</v>
      </c>
      <c r="AR670" t="b">
        <f>IF(metadata!Q670="",FALSE,ISNUMBER(VALUE(metadata!Q670)))</f>
        <v>0</v>
      </c>
      <c r="AS670" t="b">
        <f>AND(IF(metadata!R670="",FALSE,TRUE),EXACT(metadata!R670,"kg"))</f>
        <v>0</v>
      </c>
    </row>
    <row r="671" spans="1:45" x14ac:dyDescent="0.2">
      <c r="A671" s="5" t="str">
        <f ca="1">IF(B671=" "," ",HYPERLINK(CONCATENATE("#metadata!",ADDRESS(INDEX($X$2:$X$1001,MATCH(ROWS($V$2:V671),$V$2:$V$1001,0),0),1)),INDEX($AA$2:$AA$1001,MATCH(ROWS($V$2:V671),$V$2:$V$1001,0),0)))</f>
        <v xml:space="preserve"> </v>
      </c>
      <c r="B671" s="4" t="str">
        <f ca="1">IF(OR(INDEX($W$2:$W$1001,MATCH(ROWS($V$2:V671),$V$2:$V$1001,0),1)&gt;=100000,INDEX($AC$1005:$AS$1005,1,MATCH(COLUMNS($AC$1006:AC1006),$AC$1006:$AS$1006,0))&gt;=100000), " ",IF(INDEX($AC$2:$AS$1001,MATCH(ROWS($V$2:V671),$V$2:$V$1001,0),MATCH(COLUMNS($AC$1006:AC1006),$AC$1006:$AS$1006,0)), HYPERLINK("#",""), HYPERLINK(CONCATENATE("#metadata!", ADDRESS(INDEX($X$2:$X$1001,MATCH(ROWS($V$2:V671),$V$2:$V$1001,0),0), INDEX($AC$1004:$AS$1004,1,MATCH(COLUMNS($AC$1006:AC1006),$AC$1006:$AS$1006,0)))),"Fix")))</f>
        <v xml:space="preserve"> </v>
      </c>
      <c r="C671" s="4" t="str">
        <f ca="1">IF(OR(INDEX($W$2:$W$1001,MATCH(ROWS($V$2:V671),$V$2:$V$1001,0),1)&gt;=100000,INDEX($AC$1005:$AS$1005,1,MATCH(COLUMNS($AC$1006:AD1006),$AC$1006:$AS$1006,0))&gt;=100000), " ",IF(INDEX($AC$2:$AS$1001,MATCH(ROWS($V$2:V671),$V$2:$V$1001,0),MATCH(COLUMNS($AC$1006:AD1006),$AC$1006:$AS$1006,0)), HYPERLINK("#",""), HYPERLINK(CONCATENATE("#metadata!", ADDRESS(INDEX($X$2:$X$1001,MATCH(ROWS($V$2:V671),$V$2:$V$1001,0),0), INDEX($AC$1004:$AS$1004,1,MATCH(COLUMNS($AC$1006:AD1006),$AC$1006:$AS$1006,0)))),"Fix")))</f>
        <v xml:space="preserve"> </v>
      </c>
      <c r="D671" s="4" t="str">
        <f ca="1">IF(OR(INDEX($W$2:$W$1001,MATCH(ROWS($V$2:V671),$V$2:$V$1001,0),1)&gt;=100000,INDEX($AC$1005:$AS$1005,1,MATCH(COLUMNS($AC$1006:AE1006),$AC$1006:$AS$1006,0))&gt;=100000), " ",IF(INDEX($AC$2:$AS$1001,MATCH(ROWS($V$2:V671),$V$2:$V$1001,0),MATCH(COLUMNS($AC$1006:AE1006),$AC$1006:$AS$1006,0)), HYPERLINK("#",""), HYPERLINK(CONCATENATE("#metadata!", ADDRESS(INDEX($X$2:$X$1001,MATCH(ROWS($V$2:V671),$V$2:$V$1001,0),0), INDEX($AC$1004:$AS$1004,1,MATCH(COLUMNS($AC$1006:AE1006),$AC$1006:$AS$1006,0)))),"Fix")))</f>
        <v xml:space="preserve"> </v>
      </c>
      <c r="E671" s="4" t="str">
        <f ca="1">IF(OR(INDEX($W$2:$W$1001,MATCH(ROWS($V$2:V671),$V$2:$V$1001,0),1)&gt;=100000,INDEX($AC$1005:$AS$1005,1,MATCH(COLUMNS($AC$1006:AF1006),$AC$1006:$AS$1006,0))&gt;=100000), " ",IF(INDEX($AC$2:$AS$1001,MATCH(ROWS($V$2:V671),$V$2:$V$1001,0),MATCH(COLUMNS($AC$1006:AF1006),$AC$1006:$AS$1006,0)), HYPERLINK("#",""), HYPERLINK(CONCATENATE("#metadata!", ADDRESS(INDEX($X$2:$X$1001,MATCH(ROWS($V$2:V671),$V$2:$V$1001,0),0), INDEX($AC$1004:$AS$1004,1,MATCH(COLUMNS($AC$1006:AF1006),$AC$1006:$AS$1006,0)))),"Fix")))</f>
        <v xml:space="preserve"> </v>
      </c>
      <c r="F671" s="4" t="str">
        <f ca="1">IF(OR(INDEX($W$2:$W$1001,MATCH(ROWS($V$2:V671),$V$2:$V$1001,0),1)&gt;=100000,INDEX($AC$1005:$AS$1005,1,MATCH(COLUMNS($AC$1006:AG1006),$AC$1006:$AS$1006,0))&gt;=100000), " ",IF(INDEX($AC$2:$AS$1001,MATCH(ROWS($V$2:V671),$V$2:$V$1001,0),MATCH(COLUMNS($AC$1006:AG1006),$AC$1006:$AS$1006,0)), HYPERLINK("#",""), HYPERLINK(CONCATENATE("#metadata!", ADDRESS(INDEX($X$2:$X$1001,MATCH(ROWS($V$2:V671),$V$2:$V$1001,0),0), INDEX($AC$1004:$AS$1004,1,MATCH(COLUMNS($AC$1006:AG1006),$AC$1006:$AS$1006,0)))),"Fix")))</f>
        <v xml:space="preserve"> </v>
      </c>
      <c r="G671" s="4" t="str">
        <f ca="1">IF(OR(INDEX($W$2:$W$1001,MATCH(ROWS($V$2:V671),$V$2:$V$1001,0),1)&gt;=100000,INDEX($AC$1005:$AS$1005,1,MATCH(COLUMNS($AC$1006:AH1006),$AC$1006:$AS$1006,0))&gt;=100000), " ",IF(INDEX($AC$2:$AS$1001,MATCH(ROWS($V$2:V671),$V$2:$V$1001,0),MATCH(COLUMNS($AC$1006:AH1006),$AC$1006:$AS$1006,0)), HYPERLINK("#",""), HYPERLINK(CONCATENATE("#metadata!", ADDRESS(INDEX($X$2:$X$1001,MATCH(ROWS($V$2:V671),$V$2:$V$1001,0),0), INDEX($AC$1004:$AS$1004,1,MATCH(COLUMNS($AC$1006:AH1006),$AC$1006:$AS$1006,0)))),"Fix")))</f>
        <v xml:space="preserve"> </v>
      </c>
      <c r="H671" s="4" t="str">
        <f ca="1">IF(OR(INDEX($W$2:$W$1001,MATCH(ROWS($V$2:V671),$V$2:$V$1001,0),1)&gt;=100000,INDEX($AC$1005:$AS$1005,1,MATCH(COLUMNS($AC$1006:AI1006),$AC$1006:$AS$1006,0))&gt;=100000), " ",IF(INDEX($AC$2:$AS$1001,MATCH(ROWS($V$2:V671),$V$2:$V$1001,0),MATCH(COLUMNS($AC$1006:AI1006),$AC$1006:$AS$1006,0)), HYPERLINK("#",""), HYPERLINK(CONCATENATE("#metadata!", ADDRESS(INDEX($X$2:$X$1001,MATCH(ROWS($V$2:V671),$V$2:$V$1001,0),0), INDEX($AC$1004:$AS$1004,1,MATCH(COLUMNS($AC$1006:AI1006),$AC$1006:$AS$1006,0)))),"Fix")))</f>
        <v xml:space="preserve"> </v>
      </c>
      <c r="I671" s="4" t="str">
        <f ca="1">IF(OR(INDEX($W$2:$W$1001,MATCH(ROWS($V$2:V671),$V$2:$V$1001,0),1)&gt;=100000,INDEX($AC$1005:$AS$1005,1,MATCH(COLUMNS($AC$1006:AJ1006),$AC$1006:$AS$1006,0))&gt;=100000), " ",IF(INDEX($AC$2:$AS$1001,MATCH(ROWS($V$2:V671),$V$2:$V$1001,0),MATCH(COLUMNS($AC$1006:AJ1006),$AC$1006:$AS$1006,0)), HYPERLINK("#",""), HYPERLINK(CONCATENATE("#metadata!", ADDRESS(INDEX($X$2:$X$1001,MATCH(ROWS($V$2:V671),$V$2:$V$1001,0),0), INDEX($AC$1004:$AS$1004,1,MATCH(COLUMNS($AC$1006:AJ1006),$AC$1006:$AS$1006,0)))),"Fix")))</f>
        <v xml:space="preserve"> </v>
      </c>
      <c r="J671" s="4" t="str">
        <f ca="1">IF(OR(INDEX($W$2:$W$1001,MATCH(ROWS($V$2:V671),$V$2:$V$1001,0),1)&gt;=100000,INDEX($AC$1005:$AS$1005,1,MATCH(COLUMNS($AC$1006:AK1006),$AC$1006:$AS$1006,0))&gt;=100000), " ",IF(INDEX($AC$2:$AS$1001,MATCH(ROWS($V$2:V671),$V$2:$V$1001,0),MATCH(COLUMNS($AC$1006:AK1006),$AC$1006:$AS$1006,0)), HYPERLINK("#",""), HYPERLINK(CONCATENATE("#metadata!", ADDRESS(INDEX($X$2:$X$1001,MATCH(ROWS($V$2:V671),$V$2:$V$1001,0),0), INDEX($AC$1004:$AS$1004,1,MATCH(COLUMNS($AC$1006:AK1006),$AC$1006:$AS$1006,0)))),"Fix")))</f>
        <v xml:space="preserve"> </v>
      </c>
      <c r="K671" s="4" t="str">
        <f ca="1">IF(OR(INDEX($W$2:$W$1001,MATCH(ROWS($V$2:V671),$V$2:$V$1001,0),1)&gt;=100000,INDEX($AC$1005:$AS$1005,1,MATCH(COLUMNS($AC$1006:AL1006),$AC$1006:$AS$1006,0))&gt;=100000), " ",IF(INDEX($AC$2:$AS$1001,MATCH(ROWS($V$2:V671),$V$2:$V$1001,0),MATCH(COLUMNS($AC$1006:AL1006),$AC$1006:$AS$1006,0)), HYPERLINK("#",""), HYPERLINK(CONCATENATE("#metadata!", ADDRESS(INDEX($X$2:$X$1001,MATCH(ROWS($V$2:V671),$V$2:$V$1001,0),0), INDEX($AC$1004:$AS$1004,1,MATCH(COLUMNS($AC$1006:AL1006),$AC$1006:$AS$1006,0)))),"Fix")))</f>
        <v xml:space="preserve"> </v>
      </c>
      <c r="L671" s="4" t="str">
        <f ca="1">IF(OR(INDEX($W$2:$W$1001,MATCH(ROWS($V$2:V671),$V$2:$V$1001,0),1)&gt;=100000,INDEX($AC$1005:$AS$1005,1,MATCH(COLUMNS($AC$1006:AM1006),$AC$1006:$AS$1006,0))&gt;=100000), " ",IF(INDEX($AC$2:$AS$1001,MATCH(ROWS($V$2:V671),$V$2:$V$1001,0),MATCH(COLUMNS($AC$1006:AM1006),$AC$1006:$AS$1006,0)), HYPERLINK("#",""), HYPERLINK(CONCATENATE("#metadata!", ADDRESS(INDEX($X$2:$X$1001,MATCH(ROWS($V$2:V671),$V$2:$V$1001,0),0), INDEX($AC$1004:$AS$1004,1,MATCH(COLUMNS($AC$1006:AM1006),$AC$1006:$AS$1006,0)))),"Fix")))</f>
        <v xml:space="preserve"> </v>
      </c>
      <c r="M671" s="4" t="str">
        <f ca="1">IF(OR(INDEX($W$2:$W$1001,MATCH(ROWS($V$2:V671),$V$2:$V$1001,0),1)&gt;=100000,INDEX($AC$1005:$AS$1005,1,MATCH(COLUMNS($AC$1006:AN1006),$AC$1006:$AS$1006,0))&gt;=100000), " ",IF(INDEX($AC$2:$AS$1001,MATCH(ROWS($V$2:V671),$V$2:$V$1001,0),MATCH(COLUMNS($AC$1006:AN1006),$AC$1006:$AS$1006,0)), HYPERLINK("#",""), HYPERLINK(CONCATENATE("#metadata!", ADDRESS(INDEX($X$2:$X$1001,MATCH(ROWS($V$2:V671),$V$2:$V$1001,0),0), INDEX($AC$1004:$AS$1004,1,MATCH(COLUMNS($AC$1006:AN1006),$AC$1006:$AS$1006,0)))),"Fix")))</f>
        <v xml:space="preserve"> </v>
      </c>
      <c r="N671" s="4" t="str">
        <f ca="1">IF(OR(INDEX($W$2:$W$1001,MATCH(ROWS($V$2:V671),$V$2:$V$1001,0),1)&gt;=100000,INDEX($AC$1005:$AS$1005,1,MATCH(COLUMNS($AC$1006:AO1006),$AC$1006:$AS$1006,0))&gt;=100000), " ",IF(INDEX($AC$2:$AS$1001,MATCH(ROWS($V$2:V671),$V$2:$V$1001,0),MATCH(COLUMNS($AC$1006:AO1006),$AC$1006:$AS$1006,0)), HYPERLINK("#",""), HYPERLINK(CONCATENATE("#metadata!", ADDRESS(INDEX($X$2:$X$1001,MATCH(ROWS($V$2:V671),$V$2:$V$1001,0),0), INDEX($AC$1004:$AS$1004,1,MATCH(COLUMNS($AC$1006:AO1006),$AC$1006:$AS$1006,0)))),"Fix")))</f>
        <v xml:space="preserve"> </v>
      </c>
      <c r="O671" s="4" t="str">
        <f ca="1">IF(OR(INDEX($W$2:$W$1001,MATCH(ROWS($V$2:V671),$V$2:$V$1001,0),1)&gt;=100000,INDEX($AC$1005:$AS$1005,1,MATCH(COLUMNS($AC$1006:AP1006),$AC$1006:$AS$1006,0))&gt;=100000), " ",IF(INDEX($AC$2:$AS$1001,MATCH(ROWS($V$2:V671),$V$2:$V$1001,0),MATCH(COLUMNS($AC$1006:AP1006),$AC$1006:$AS$1006,0)), HYPERLINK("#",""), HYPERLINK(CONCATENATE("#metadata!", ADDRESS(INDEX($X$2:$X$1001,MATCH(ROWS($V$2:V671),$V$2:$V$1001,0),0), INDEX($AC$1004:$AS$1004,1,MATCH(COLUMNS($AC$1006:AP1006),$AC$1006:$AS$1006,0)))),"Fix")))</f>
        <v xml:space="preserve"> </v>
      </c>
      <c r="P671" s="4" t="str">
        <f ca="1">IF(OR(INDEX($W$2:$W$1001,MATCH(ROWS($V$2:V671),$V$2:$V$1001,0),1)&gt;=100000,INDEX($AC$1005:$AS$1005,1,MATCH(COLUMNS($AC$1006:AQ1006),$AC$1006:$AS$1006,0))&gt;=100000), " ",IF(INDEX($AC$2:$AS$1001,MATCH(ROWS($V$2:V671),$V$2:$V$1001,0),MATCH(COLUMNS($AC$1006:AQ1006),$AC$1006:$AS$1006,0)), HYPERLINK("#",""), HYPERLINK(CONCATENATE("#metadata!", ADDRESS(INDEX($X$2:$X$1001,MATCH(ROWS($V$2:V671),$V$2:$V$1001,0),0), INDEX($AC$1004:$AS$1004,1,MATCH(COLUMNS($AC$1006:AQ1006),$AC$1006:$AS$1006,0)))),"Fix")))</f>
        <v xml:space="preserve"> </v>
      </c>
      <c r="Q671" s="4" t="str">
        <f ca="1">IF(OR(INDEX($W$2:$W$1001,MATCH(ROWS($V$2:V671),$V$2:$V$1001,0),1)&gt;=100000,INDEX($AC$1005:$AS$1005,1,MATCH(COLUMNS($AC$1006:AR1006),$AC$1006:$AS$1006,0))&gt;=100000), " ",IF(INDEX($AC$2:$AS$1001,MATCH(ROWS($V$2:V671),$V$2:$V$1001,0),MATCH(COLUMNS($AC$1006:AR1006),$AC$1006:$AS$1006,0)), HYPERLINK("#",""), HYPERLINK(CONCATENATE("#metadata!", ADDRESS(INDEX($X$2:$X$1001,MATCH(ROWS($V$2:V671),$V$2:$V$1001,0),0), INDEX($AC$1004:$AS$1004,1,MATCH(COLUMNS($AC$1006:AR1006),$AC$1006:$AS$1006,0)))),"Fix")))</f>
        <v xml:space="preserve"> </v>
      </c>
      <c r="R671" s="4" t="str">
        <f ca="1">IF(OR(INDEX($W$2:$W$1001,MATCH(ROWS($V$2:V671),$V$2:$V$1001,0),1)&gt;=100000,INDEX($AC$1005:$AS$1005,1,MATCH(COLUMNS($AC$1006:AS1006),$AC$1006:$AS$1006,0))&gt;=100000), " ",IF(INDEX($AC$2:$AS$1001,MATCH(ROWS($V$2:V671),$V$2:$V$1001,0),MATCH(COLUMNS($AC$1006:AS1006),$AC$1006:$AS$1006,0)), HYPERLINK("#",""), HYPERLINK(CONCATENATE("#metadata!", ADDRESS(INDEX($X$2:$X$1001,MATCH(ROWS($V$2:V671),$V$2:$V$1001,0),0), INDEX($AC$1004:$AS$1004,1,MATCH(COLUMNS($AC$1006:AS1006),$AC$1006:$AS$1006,0)))),"Fix")))</f>
        <v xml:space="preserve"> </v>
      </c>
      <c r="V671">
        <v>670</v>
      </c>
      <c r="W671">
        <v>100671</v>
      </c>
      <c r="X671">
        <v>671</v>
      </c>
      <c r="Y671" t="b">
        <f t="shared" si="10"/>
        <v>1</v>
      </c>
      <c r="Z671" t="b">
        <f>COUNTBLANK(metadata!B671:R671)=COLUMNS(metadata!B671:R671)</f>
        <v>1</v>
      </c>
      <c r="AA671" t="str">
        <v/>
      </c>
      <c r="AC671" t="b">
        <f ca="1"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AD671" t="b">
        <f>IF(metadata!C671="",FALSE,ISNUMBER(VALUE(metadata!C671)))</f>
        <v>0</v>
      </c>
      <c r="AE671" t="b">
        <f>AND(IF(metadata!D671="",FALSE,TRUE),EXACT(metadata!D671,"years"))</f>
        <v>0</v>
      </c>
      <c r="AF671" t="b">
        <f>OR(AND(IF(metadata!E671="",FALSE,TRUE),OR(EXACT(metadata!E671,"not applicable"),EXACT(metadata!E671,"missing: not collected"),EXACT(metadata!E671,"missing: not provided"),EXACT(metadata!E671,"missing: restricted access"))),AND(IF(metadata!E671="",FALSE,ISNUMBER(VALUE(metadata!E671))),metadata!E671&gt;0))</f>
        <v>0</v>
      </c>
      <c r="AG671" t="b">
        <f>AND(IF(metadata!F671="",FALSE,TRUE),EXACT(metadata!F671,"Not applicable"))</f>
        <v>0</v>
      </c>
      <c r="AH671" t="b">
        <f>AND(IF(metadata!G671="",FALSE,TRUE),EXACT(metadata!G671,"urban biome"))</f>
        <v>0</v>
      </c>
      <c r="AI671" t="b">
        <f>AND(IF(metadata!H671="",FALSE,TRUE),EXACT(metadata!H671,"human-associated habitat"))</f>
        <v>0</v>
      </c>
      <c r="AJ671" t="b">
        <f>AND(IF(metadata!I671="",FALSE,TRUE),OR(EXACT(metadata!I671,"human-associated"),EXACT(metadata!I671,"human-skin"),EXACT(metadata!I671,"human-oral"),EXACT(metadata!I671,"human-gut"),EXACT(metadata!I671,"human-vaginal")))</f>
        <v>0</v>
      </c>
      <c r="AK671" t="b">
        <f>IF(metadata!J671="",FALSE,ISNUMBER(VALUE(metadata!J671)))</f>
        <v>0</v>
      </c>
      <c r="AL671" t="b">
        <f>AND(IF(metadata!K671="",FALSE,TRUE),EXACT(metadata!K671,"cm"))</f>
        <v>0</v>
      </c>
      <c r="AM671" t="b">
        <f>AND(IF(metadata!L671="",FALSE,TRUE),EXACT(metadata!L671,"human"))</f>
        <v>0</v>
      </c>
      <c r="AN671" t="b">
        <f>AND(IF(metadata!M671="",FALSE,TRUE),EXACT(metadata!M671,"Homo sapiens"))</f>
        <v>0</v>
      </c>
      <c r="AO671" t="b">
        <f>AND(IF(metadata!N671="",FALSE,TRUE),EXACT(metadata!N671,"9606"))</f>
        <v>0</v>
      </c>
      <c r="AP671" t="b">
        <f>IF(metadata!O671="",FALSE,TRUE)</f>
        <v>0</v>
      </c>
      <c r="AQ671" t="b">
        <f>IF(metadata!P671="",FALSE,TRUE)</f>
        <v>0</v>
      </c>
      <c r="AR671" t="b">
        <f>IF(metadata!Q671="",FALSE,ISNUMBER(VALUE(metadata!Q671)))</f>
        <v>0</v>
      </c>
      <c r="AS671" t="b">
        <f>AND(IF(metadata!R671="",FALSE,TRUE),EXACT(metadata!R671,"kg"))</f>
        <v>0</v>
      </c>
    </row>
    <row r="672" spans="1:45" x14ac:dyDescent="0.2">
      <c r="A672" s="5" t="str">
        <f ca="1">IF(B672=" "," ",HYPERLINK(CONCATENATE("#metadata!",ADDRESS(INDEX($X$2:$X$1001,MATCH(ROWS($V$2:V672),$V$2:$V$1001,0),0),1)),INDEX($AA$2:$AA$1001,MATCH(ROWS($V$2:V672),$V$2:$V$1001,0),0)))</f>
        <v xml:space="preserve"> </v>
      </c>
      <c r="B672" s="4" t="str">
        <f ca="1">IF(OR(INDEX($W$2:$W$1001,MATCH(ROWS($V$2:V672),$V$2:$V$1001,0),1)&gt;=100000,INDEX($AC$1005:$AS$1005,1,MATCH(COLUMNS($AC$1006:AC1006),$AC$1006:$AS$1006,0))&gt;=100000), " ",IF(INDEX($AC$2:$AS$1001,MATCH(ROWS($V$2:V672),$V$2:$V$1001,0),MATCH(COLUMNS($AC$1006:AC1006),$AC$1006:$AS$1006,0)), HYPERLINK("#",""), HYPERLINK(CONCATENATE("#metadata!", ADDRESS(INDEX($X$2:$X$1001,MATCH(ROWS($V$2:V672),$V$2:$V$1001,0),0), INDEX($AC$1004:$AS$1004,1,MATCH(COLUMNS($AC$1006:AC1006),$AC$1006:$AS$1006,0)))),"Fix")))</f>
        <v xml:space="preserve"> </v>
      </c>
      <c r="C672" s="4" t="str">
        <f ca="1">IF(OR(INDEX($W$2:$W$1001,MATCH(ROWS($V$2:V672),$V$2:$V$1001,0),1)&gt;=100000,INDEX($AC$1005:$AS$1005,1,MATCH(COLUMNS($AC$1006:AD1006),$AC$1006:$AS$1006,0))&gt;=100000), " ",IF(INDEX($AC$2:$AS$1001,MATCH(ROWS($V$2:V672),$V$2:$V$1001,0),MATCH(COLUMNS($AC$1006:AD1006),$AC$1006:$AS$1006,0)), HYPERLINK("#",""), HYPERLINK(CONCATENATE("#metadata!", ADDRESS(INDEX($X$2:$X$1001,MATCH(ROWS($V$2:V672),$V$2:$V$1001,0),0), INDEX($AC$1004:$AS$1004,1,MATCH(COLUMNS($AC$1006:AD1006),$AC$1006:$AS$1006,0)))),"Fix")))</f>
        <v xml:space="preserve"> </v>
      </c>
      <c r="D672" s="4" t="str">
        <f ca="1">IF(OR(INDEX($W$2:$W$1001,MATCH(ROWS($V$2:V672),$V$2:$V$1001,0),1)&gt;=100000,INDEX($AC$1005:$AS$1005,1,MATCH(COLUMNS($AC$1006:AE1006),$AC$1006:$AS$1006,0))&gt;=100000), " ",IF(INDEX($AC$2:$AS$1001,MATCH(ROWS($V$2:V672),$V$2:$V$1001,0),MATCH(COLUMNS($AC$1006:AE1006),$AC$1006:$AS$1006,0)), HYPERLINK("#",""), HYPERLINK(CONCATENATE("#metadata!", ADDRESS(INDEX($X$2:$X$1001,MATCH(ROWS($V$2:V672),$V$2:$V$1001,0),0), INDEX($AC$1004:$AS$1004,1,MATCH(COLUMNS($AC$1006:AE1006),$AC$1006:$AS$1006,0)))),"Fix")))</f>
        <v xml:space="preserve"> </v>
      </c>
      <c r="E672" s="4" t="str">
        <f ca="1">IF(OR(INDEX($W$2:$W$1001,MATCH(ROWS($V$2:V672),$V$2:$V$1001,0),1)&gt;=100000,INDEX($AC$1005:$AS$1005,1,MATCH(COLUMNS($AC$1006:AF1006),$AC$1006:$AS$1006,0))&gt;=100000), " ",IF(INDEX($AC$2:$AS$1001,MATCH(ROWS($V$2:V672),$V$2:$V$1001,0),MATCH(COLUMNS($AC$1006:AF1006),$AC$1006:$AS$1006,0)), HYPERLINK("#",""), HYPERLINK(CONCATENATE("#metadata!", ADDRESS(INDEX($X$2:$X$1001,MATCH(ROWS($V$2:V672),$V$2:$V$1001,0),0), INDEX($AC$1004:$AS$1004,1,MATCH(COLUMNS($AC$1006:AF1006),$AC$1006:$AS$1006,0)))),"Fix")))</f>
        <v xml:space="preserve"> </v>
      </c>
      <c r="F672" s="4" t="str">
        <f ca="1">IF(OR(INDEX($W$2:$W$1001,MATCH(ROWS($V$2:V672),$V$2:$V$1001,0),1)&gt;=100000,INDEX($AC$1005:$AS$1005,1,MATCH(COLUMNS($AC$1006:AG1006),$AC$1006:$AS$1006,0))&gt;=100000), " ",IF(INDEX($AC$2:$AS$1001,MATCH(ROWS($V$2:V672),$V$2:$V$1001,0),MATCH(COLUMNS($AC$1006:AG1006),$AC$1006:$AS$1006,0)), HYPERLINK("#",""), HYPERLINK(CONCATENATE("#metadata!", ADDRESS(INDEX($X$2:$X$1001,MATCH(ROWS($V$2:V672),$V$2:$V$1001,0),0), INDEX($AC$1004:$AS$1004,1,MATCH(COLUMNS($AC$1006:AG1006),$AC$1006:$AS$1006,0)))),"Fix")))</f>
        <v xml:space="preserve"> </v>
      </c>
      <c r="G672" s="4" t="str">
        <f ca="1">IF(OR(INDEX($W$2:$W$1001,MATCH(ROWS($V$2:V672),$V$2:$V$1001,0),1)&gt;=100000,INDEX($AC$1005:$AS$1005,1,MATCH(COLUMNS($AC$1006:AH1006),$AC$1006:$AS$1006,0))&gt;=100000), " ",IF(INDEX($AC$2:$AS$1001,MATCH(ROWS($V$2:V672),$V$2:$V$1001,0),MATCH(COLUMNS($AC$1006:AH1006),$AC$1006:$AS$1006,0)), HYPERLINK("#",""), HYPERLINK(CONCATENATE("#metadata!", ADDRESS(INDEX($X$2:$X$1001,MATCH(ROWS($V$2:V672),$V$2:$V$1001,0),0), INDEX($AC$1004:$AS$1004,1,MATCH(COLUMNS($AC$1006:AH1006),$AC$1006:$AS$1006,0)))),"Fix")))</f>
        <v xml:space="preserve"> </v>
      </c>
      <c r="H672" s="4" t="str">
        <f ca="1">IF(OR(INDEX($W$2:$W$1001,MATCH(ROWS($V$2:V672),$V$2:$V$1001,0),1)&gt;=100000,INDEX($AC$1005:$AS$1005,1,MATCH(COLUMNS($AC$1006:AI1006),$AC$1006:$AS$1006,0))&gt;=100000), " ",IF(INDEX($AC$2:$AS$1001,MATCH(ROWS($V$2:V672),$V$2:$V$1001,0),MATCH(COLUMNS($AC$1006:AI1006),$AC$1006:$AS$1006,0)), HYPERLINK("#",""), HYPERLINK(CONCATENATE("#metadata!", ADDRESS(INDEX($X$2:$X$1001,MATCH(ROWS($V$2:V672),$V$2:$V$1001,0),0), INDEX($AC$1004:$AS$1004,1,MATCH(COLUMNS($AC$1006:AI1006),$AC$1006:$AS$1006,0)))),"Fix")))</f>
        <v xml:space="preserve"> </v>
      </c>
      <c r="I672" s="4" t="str">
        <f ca="1">IF(OR(INDEX($W$2:$W$1001,MATCH(ROWS($V$2:V672),$V$2:$V$1001,0),1)&gt;=100000,INDEX($AC$1005:$AS$1005,1,MATCH(COLUMNS($AC$1006:AJ1006),$AC$1006:$AS$1006,0))&gt;=100000), " ",IF(INDEX($AC$2:$AS$1001,MATCH(ROWS($V$2:V672),$V$2:$V$1001,0),MATCH(COLUMNS($AC$1006:AJ1006),$AC$1006:$AS$1006,0)), HYPERLINK("#",""), HYPERLINK(CONCATENATE("#metadata!", ADDRESS(INDEX($X$2:$X$1001,MATCH(ROWS($V$2:V672),$V$2:$V$1001,0),0), INDEX($AC$1004:$AS$1004,1,MATCH(COLUMNS($AC$1006:AJ1006),$AC$1006:$AS$1006,0)))),"Fix")))</f>
        <v xml:space="preserve"> </v>
      </c>
      <c r="J672" s="4" t="str">
        <f ca="1">IF(OR(INDEX($W$2:$W$1001,MATCH(ROWS($V$2:V672),$V$2:$V$1001,0),1)&gt;=100000,INDEX($AC$1005:$AS$1005,1,MATCH(COLUMNS($AC$1006:AK1006),$AC$1006:$AS$1006,0))&gt;=100000), " ",IF(INDEX($AC$2:$AS$1001,MATCH(ROWS($V$2:V672),$V$2:$V$1001,0),MATCH(COLUMNS($AC$1006:AK1006),$AC$1006:$AS$1006,0)), HYPERLINK("#",""), HYPERLINK(CONCATENATE("#metadata!", ADDRESS(INDEX($X$2:$X$1001,MATCH(ROWS($V$2:V672),$V$2:$V$1001,0),0), INDEX($AC$1004:$AS$1004,1,MATCH(COLUMNS($AC$1006:AK1006),$AC$1006:$AS$1006,0)))),"Fix")))</f>
        <v xml:space="preserve"> </v>
      </c>
      <c r="K672" s="4" t="str">
        <f ca="1">IF(OR(INDEX($W$2:$W$1001,MATCH(ROWS($V$2:V672),$V$2:$V$1001,0),1)&gt;=100000,INDEX($AC$1005:$AS$1005,1,MATCH(COLUMNS($AC$1006:AL1006),$AC$1006:$AS$1006,0))&gt;=100000), " ",IF(INDEX($AC$2:$AS$1001,MATCH(ROWS($V$2:V672),$V$2:$V$1001,0),MATCH(COLUMNS($AC$1006:AL1006),$AC$1006:$AS$1006,0)), HYPERLINK("#",""), HYPERLINK(CONCATENATE("#metadata!", ADDRESS(INDEX($X$2:$X$1001,MATCH(ROWS($V$2:V672),$V$2:$V$1001,0),0), INDEX($AC$1004:$AS$1004,1,MATCH(COLUMNS($AC$1006:AL1006),$AC$1006:$AS$1006,0)))),"Fix")))</f>
        <v xml:space="preserve"> </v>
      </c>
      <c r="L672" s="4" t="str">
        <f ca="1">IF(OR(INDEX($W$2:$W$1001,MATCH(ROWS($V$2:V672),$V$2:$V$1001,0),1)&gt;=100000,INDEX($AC$1005:$AS$1005,1,MATCH(COLUMNS($AC$1006:AM1006),$AC$1006:$AS$1006,0))&gt;=100000), " ",IF(INDEX($AC$2:$AS$1001,MATCH(ROWS($V$2:V672),$V$2:$V$1001,0),MATCH(COLUMNS($AC$1006:AM1006),$AC$1006:$AS$1006,0)), HYPERLINK("#",""), HYPERLINK(CONCATENATE("#metadata!", ADDRESS(INDEX($X$2:$X$1001,MATCH(ROWS($V$2:V672),$V$2:$V$1001,0),0), INDEX($AC$1004:$AS$1004,1,MATCH(COLUMNS($AC$1006:AM1006),$AC$1006:$AS$1006,0)))),"Fix")))</f>
        <v xml:space="preserve"> </v>
      </c>
      <c r="M672" s="4" t="str">
        <f ca="1">IF(OR(INDEX($W$2:$W$1001,MATCH(ROWS($V$2:V672),$V$2:$V$1001,0),1)&gt;=100000,INDEX($AC$1005:$AS$1005,1,MATCH(COLUMNS($AC$1006:AN1006),$AC$1006:$AS$1006,0))&gt;=100000), " ",IF(INDEX($AC$2:$AS$1001,MATCH(ROWS($V$2:V672),$V$2:$V$1001,0),MATCH(COLUMNS($AC$1006:AN1006),$AC$1006:$AS$1006,0)), HYPERLINK("#",""), HYPERLINK(CONCATENATE("#metadata!", ADDRESS(INDEX($X$2:$X$1001,MATCH(ROWS($V$2:V672),$V$2:$V$1001,0),0), INDEX($AC$1004:$AS$1004,1,MATCH(COLUMNS($AC$1006:AN1006),$AC$1006:$AS$1006,0)))),"Fix")))</f>
        <v xml:space="preserve"> </v>
      </c>
      <c r="N672" s="4" t="str">
        <f ca="1">IF(OR(INDEX($W$2:$W$1001,MATCH(ROWS($V$2:V672),$V$2:$V$1001,0),1)&gt;=100000,INDEX($AC$1005:$AS$1005,1,MATCH(COLUMNS($AC$1006:AO1006),$AC$1006:$AS$1006,0))&gt;=100000), " ",IF(INDEX($AC$2:$AS$1001,MATCH(ROWS($V$2:V672),$V$2:$V$1001,0),MATCH(COLUMNS($AC$1006:AO1006),$AC$1006:$AS$1006,0)), HYPERLINK("#",""), HYPERLINK(CONCATENATE("#metadata!", ADDRESS(INDEX($X$2:$X$1001,MATCH(ROWS($V$2:V672),$V$2:$V$1001,0),0), INDEX($AC$1004:$AS$1004,1,MATCH(COLUMNS($AC$1006:AO1006),$AC$1006:$AS$1006,0)))),"Fix")))</f>
        <v xml:space="preserve"> </v>
      </c>
      <c r="O672" s="4" t="str">
        <f ca="1">IF(OR(INDEX($W$2:$W$1001,MATCH(ROWS($V$2:V672),$V$2:$V$1001,0),1)&gt;=100000,INDEX($AC$1005:$AS$1005,1,MATCH(COLUMNS($AC$1006:AP1006),$AC$1006:$AS$1006,0))&gt;=100000), " ",IF(INDEX($AC$2:$AS$1001,MATCH(ROWS($V$2:V672),$V$2:$V$1001,0),MATCH(COLUMNS($AC$1006:AP1006),$AC$1006:$AS$1006,0)), HYPERLINK("#",""), HYPERLINK(CONCATENATE("#metadata!", ADDRESS(INDEX($X$2:$X$1001,MATCH(ROWS($V$2:V672),$V$2:$V$1001,0),0), INDEX($AC$1004:$AS$1004,1,MATCH(COLUMNS($AC$1006:AP1006),$AC$1006:$AS$1006,0)))),"Fix")))</f>
        <v xml:space="preserve"> </v>
      </c>
      <c r="P672" s="4" t="str">
        <f ca="1">IF(OR(INDEX($W$2:$W$1001,MATCH(ROWS($V$2:V672),$V$2:$V$1001,0),1)&gt;=100000,INDEX($AC$1005:$AS$1005,1,MATCH(COLUMNS($AC$1006:AQ1006),$AC$1006:$AS$1006,0))&gt;=100000), " ",IF(INDEX($AC$2:$AS$1001,MATCH(ROWS($V$2:V672),$V$2:$V$1001,0),MATCH(COLUMNS($AC$1006:AQ1006),$AC$1006:$AS$1006,0)), HYPERLINK("#",""), HYPERLINK(CONCATENATE("#metadata!", ADDRESS(INDEX($X$2:$X$1001,MATCH(ROWS($V$2:V672),$V$2:$V$1001,0),0), INDEX($AC$1004:$AS$1004,1,MATCH(COLUMNS($AC$1006:AQ1006),$AC$1006:$AS$1006,0)))),"Fix")))</f>
        <v xml:space="preserve"> </v>
      </c>
      <c r="Q672" s="4" t="str">
        <f ca="1">IF(OR(INDEX($W$2:$W$1001,MATCH(ROWS($V$2:V672),$V$2:$V$1001,0),1)&gt;=100000,INDEX($AC$1005:$AS$1005,1,MATCH(COLUMNS($AC$1006:AR1006),$AC$1006:$AS$1006,0))&gt;=100000), " ",IF(INDEX($AC$2:$AS$1001,MATCH(ROWS($V$2:V672),$V$2:$V$1001,0),MATCH(COLUMNS($AC$1006:AR1006),$AC$1006:$AS$1006,0)), HYPERLINK("#",""), HYPERLINK(CONCATENATE("#metadata!", ADDRESS(INDEX($X$2:$X$1001,MATCH(ROWS($V$2:V672),$V$2:$V$1001,0),0), INDEX($AC$1004:$AS$1004,1,MATCH(COLUMNS($AC$1006:AR1006),$AC$1006:$AS$1006,0)))),"Fix")))</f>
        <v xml:space="preserve"> </v>
      </c>
      <c r="R672" s="4" t="str">
        <f ca="1">IF(OR(INDEX($W$2:$W$1001,MATCH(ROWS($V$2:V672),$V$2:$V$1001,0),1)&gt;=100000,INDEX($AC$1005:$AS$1005,1,MATCH(COLUMNS($AC$1006:AS1006),$AC$1006:$AS$1006,0))&gt;=100000), " ",IF(INDEX($AC$2:$AS$1001,MATCH(ROWS($V$2:V672),$V$2:$V$1001,0),MATCH(COLUMNS($AC$1006:AS1006),$AC$1006:$AS$1006,0)), HYPERLINK("#",""), HYPERLINK(CONCATENATE("#metadata!", ADDRESS(INDEX($X$2:$X$1001,MATCH(ROWS($V$2:V672),$V$2:$V$1001,0),0), INDEX($AC$1004:$AS$1004,1,MATCH(COLUMNS($AC$1006:AS1006),$AC$1006:$AS$1006,0)))),"Fix")))</f>
        <v xml:space="preserve"> </v>
      </c>
      <c r="V672">
        <v>671</v>
      </c>
      <c r="W672">
        <v>100672</v>
      </c>
      <c r="X672">
        <v>672</v>
      </c>
      <c r="Y672" t="b">
        <f t="shared" si="10"/>
        <v>1</v>
      </c>
      <c r="Z672" t="b">
        <f>COUNTBLANK(metadata!B672:R672)=COLUMNS(metadata!B672:R672)</f>
        <v>1</v>
      </c>
      <c r="AA672" t="str">
        <v/>
      </c>
      <c r="AC672" t="b">
        <f ca="1"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AD672" t="b">
        <f>IF(metadata!C672="",FALSE,ISNUMBER(VALUE(metadata!C672)))</f>
        <v>0</v>
      </c>
      <c r="AE672" t="b">
        <f>AND(IF(metadata!D672="",FALSE,TRUE),EXACT(metadata!D672,"years"))</f>
        <v>0</v>
      </c>
      <c r="AF672" t="b">
        <f>OR(AND(IF(metadata!E672="",FALSE,TRUE),OR(EXACT(metadata!E672,"not applicable"),EXACT(metadata!E672,"missing: not collected"),EXACT(metadata!E672,"missing: not provided"),EXACT(metadata!E672,"missing: restricted access"))),AND(IF(metadata!E672="",FALSE,ISNUMBER(VALUE(metadata!E672))),metadata!E672&gt;0))</f>
        <v>0</v>
      </c>
      <c r="AG672" t="b">
        <f>AND(IF(metadata!F672="",FALSE,TRUE),EXACT(metadata!F672,"Not applicable"))</f>
        <v>0</v>
      </c>
      <c r="AH672" t="b">
        <f>AND(IF(metadata!G672="",FALSE,TRUE),EXACT(metadata!G672,"urban biome"))</f>
        <v>0</v>
      </c>
      <c r="AI672" t="b">
        <f>AND(IF(metadata!H672="",FALSE,TRUE),EXACT(metadata!H672,"human-associated habitat"))</f>
        <v>0</v>
      </c>
      <c r="AJ672" t="b">
        <f>AND(IF(metadata!I672="",FALSE,TRUE),OR(EXACT(metadata!I672,"human-associated"),EXACT(metadata!I672,"human-skin"),EXACT(metadata!I672,"human-oral"),EXACT(metadata!I672,"human-gut"),EXACT(metadata!I672,"human-vaginal")))</f>
        <v>0</v>
      </c>
      <c r="AK672" t="b">
        <f>IF(metadata!J672="",FALSE,ISNUMBER(VALUE(metadata!J672)))</f>
        <v>0</v>
      </c>
      <c r="AL672" t="b">
        <f>AND(IF(metadata!K672="",FALSE,TRUE),EXACT(metadata!K672,"cm"))</f>
        <v>0</v>
      </c>
      <c r="AM672" t="b">
        <f>AND(IF(metadata!L672="",FALSE,TRUE),EXACT(metadata!L672,"human"))</f>
        <v>0</v>
      </c>
      <c r="AN672" t="b">
        <f>AND(IF(metadata!M672="",FALSE,TRUE),EXACT(metadata!M672,"Homo sapiens"))</f>
        <v>0</v>
      </c>
      <c r="AO672" t="b">
        <f>AND(IF(metadata!N672="",FALSE,TRUE),EXACT(metadata!N672,"9606"))</f>
        <v>0</v>
      </c>
      <c r="AP672" t="b">
        <f>IF(metadata!O672="",FALSE,TRUE)</f>
        <v>0</v>
      </c>
      <c r="AQ672" t="b">
        <f>IF(metadata!P672="",FALSE,TRUE)</f>
        <v>0</v>
      </c>
      <c r="AR672" t="b">
        <f>IF(metadata!Q672="",FALSE,ISNUMBER(VALUE(metadata!Q672)))</f>
        <v>0</v>
      </c>
      <c r="AS672" t="b">
        <f>AND(IF(metadata!R672="",FALSE,TRUE),EXACT(metadata!R672,"kg"))</f>
        <v>0</v>
      </c>
    </row>
    <row r="673" spans="1:45" x14ac:dyDescent="0.2">
      <c r="A673" s="5" t="str">
        <f ca="1">IF(B673=" "," ",HYPERLINK(CONCATENATE("#metadata!",ADDRESS(INDEX($X$2:$X$1001,MATCH(ROWS($V$2:V673),$V$2:$V$1001,0),0),1)),INDEX($AA$2:$AA$1001,MATCH(ROWS($V$2:V673),$V$2:$V$1001,0),0)))</f>
        <v xml:space="preserve"> </v>
      </c>
      <c r="B673" s="4" t="str">
        <f ca="1">IF(OR(INDEX($W$2:$W$1001,MATCH(ROWS($V$2:V673),$V$2:$V$1001,0),1)&gt;=100000,INDEX($AC$1005:$AS$1005,1,MATCH(COLUMNS($AC$1006:AC1006),$AC$1006:$AS$1006,0))&gt;=100000), " ",IF(INDEX($AC$2:$AS$1001,MATCH(ROWS($V$2:V673),$V$2:$V$1001,0),MATCH(COLUMNS($AC$1006:AC1006),$AC$1006:$AS$1006,0)), HYPERLINK("#",""), HYPERLINK(CONCATENATE("#metadata!", ADDRESS(INDEX($X$2:$X$1001,MATCH(ROWS($V$2:V673),$V$2:$V$1001,0),0), INDEX($AC$1004:$AS$1004,1,MATCH(COLUMNS($AC$1006:AC1006),$AC$1006:$AS$1006,0)))),"Fix")))</f>
        <v xml:space="preserve"> </v>
      </c>
      <c r="C673" s="4" t="str">
        <f ca="1">IF(OR(INDEX($W$2:$W$1001,MATCH(ROWS($V$2:V673),$V$2:$V$1001,0),1)&gt;=100000,INDEX($AC$1005:$AS$1005,1,MATCH(COLUMNS($AC$1006:AD1006),$AC$1006:$AS$1006,0))&gt;=100000), " ",IF(INDEX($AC$2:$AS$1001,MATCH(ROWS($V$2:V673),$V$2:$V$1001,0),MATCH(COLUMNS($AC$1006:AD1006),$AC$1006:$AS$1006,0)), HYPERLINK("#",""), HYPERLINK(CONCATENATE("#metadata!", ADDRESS(INDEX($X$2:$X$1001,MATCH(ROWS($V$2:V673),$V$2:$V$1001,0),0), INDEX($AC$1004:$AS$1004,1,MATCH(COLUMNS($AC$1006:AD1006),$AC$1006:$AS$1006,0)))),"Fix")))</f>
        <v xml:space="preserve"> </v>
      </c>
      <c r="D673" s="4" t="str">
        <f ca="1">IF(OR(INDEX($W$2:$W$1001,MATCH(ROWS($V$2:V673),$V$2:$V$1001,0),1)&gt;=100000,INDEX($AC$1005:$AS$1005,1,MATCH(COLUMNS($AC$1006:AE1006),$AC$1006:$AS$1006,0))&gt;=100000), " ",IF(INDEX($AC$2:$AS$1001,MATCH(ROWS($V$2:V673),$V$2:$V$1001,0),MATCH(COLUMNS($AC$1006:AE1006),$AC$1006:$AS$1006,0)), HYPERLINK("#",""), HYPERLINK(CONCATENATE("#metadata!", ADDRESS(INDEX($X$2:$X$1001,MATCH(ROWS($V$2:V673),$V$2:$V$1001,0),0), INDEX($AC$1004:$AS$1004,1,MATCH(COLUMNS($AC$1006:AE1006),$AC$1006:$AS$1006,0)))),"Fix")))</f>
        <v xml:space="preserve"> </v>
      </c>
      <c r="E673" s="4" t="str">
        <f ca="1">IF(OR(INDEX($W$2:$W$1001,MATCH(ROWS($V$2:V673),$V$2:$V$1001,0),1)&gt;=100000,INDEX($AC$1005:$AS$1005,1,MATCH(COLUMNS($AC$1006:AF1006),$AC$1006:$AS$1006,0))&gt;=100000), " ",IF(INDEX($AC$2:$AS$1001,MATCH(ROWS($V$2:V673),$V$2:$V$1001,0),MATCH(COLUMNS($AC$1006:AF1006),$AC$1006:$AS$1006,0)), HYPERLINK("#",""), HYPERLINK(CONCATENATE("#metadata!", ADDRESS(INDEX($X$2:$X$1001,MATCH(ROWS($V$2:V673),$V$2:$V$1001,0),0), INDEX($AC$1004:$AS$1004,1,MATCH(COLUMNS($AC$1006:AF1006),$AC$1006:$AS$1006,0)))),"Fix")))</f>
        <v xml:space="preserve"> </v>
      </c>
      <c r="F673" s="4" t="str">
        <f ca="1">IF(OR(INDEX($W$2:$W$1001,MATCH(ROWS($V$2:V673),$V$2:$V$1001,0),1)&gt;=100000,INDEX($AC$1005:$AS$1005,1,MATCH(COLUMNS($AC$1006:AG1006),$AC$1006:$AS$1006,0))&gt;=100000), " ",IF(INDEX($AC$2:$AS$1001,MATCH(ROWS($V$2:V673),$V$2:$V$1001,0),MATCH(COLUMNS($AC$1006:AG1006),$AC$1006:$AS$1006,0)), HYPERLINK("#",""), HYPERLINK(CONCATENATE("#metadata!", ADDRESS(INDEX($X$2:$X$1001,MATCH(ROWS($V$2:V673),$V$2:$V$1001,0),0), INDEX($AC$1004:$AS$1004,1,MATCH(COLUMNS($AC$1006:AG1006),$AC$1006:$AS$1006,0)))),"Fix")))</f>
        <v xml:space="preserve"> </v>
      </c>
      <c r="G673" s="4" t="str">
        <f ca="1">IF(OR(INDEX($W$2:$W$1001,MATCH(ROWS($V$2:V673),$V$2:$V$1001,0),1)&gt;=100000,INDEX($AC$1005:$AS$1005,1,MATCH(COLUMNS($AC$1006:AH1006),$AC$1006:$AS$1006,0))&gt;=100000), " ",IF(INDEX($AC$2:$AS$1001,MATCH(ROWS($V$2:V673),$V$2:$V$1001,0),MATCH(COLUMNS($AC$1006:AH1006),$AC$1006:$AS$1006,0)), HYPERLINK("#",""), HYPERLINK(CONCATENATE("#metadata!", ADDRESS(INDEX($X$2:$X$1001,MATCH(ROWS($V$2:V673),$V$2:$V$1001,0),0), INDEX($AC$1004:$AS$1004,1,MATCH(COLUMNS($AC$1006:AH1006),$AC$1006:$AS$1006,0)))),"Fix")))</f>
        <v xml:space="preserve"> </v>
      </c>
      <c r="H673" s="4" t="str">
        <f ca="1">IF(OR(INDEX($W$2:$W$1001,MATCH(ROWS($V$2:V673),$V$2:$V$1001,0),1)&gt;=100000,INDEX($AC$1005:$AS$1005,1,MATCH(COLUMNS($AC$1006:AI1006),$AC$1006:$AS$1006,0))&gt;=100000), " ",IF(INDEX($AC$2:$AS$1001,MATCH(ROWS($V$2:V673),$V$2:$V$1001,0),MATCH(COLUMNS($AC$1006:AI1006),$AC$1006:$AS$1006,0)), HYPERLINK("#",""), HYPERLINK(CONCATENATE("#metadata!", ADDRESS(INDEX($X$2:$X$1001,MATCH(ROWS($V$2:V673),$V$2:$V$1001,0),0), INDEX($AC$1004:$AS$1004,1,MATCH(COLUMNS($AC$1006:AI1006),$AC$1006:$AS$1006,0)))),"Fix")))</f>
        <v xml:space="preserve"> </v>
      </c>
      <c r="I673" s="4" t="str">
        <f ca="1">IF(OR(INDEX($W$2:$W$1001,MATCH(ROWS($V$2:V673),$V$2:$V$1001,0),1)&gt;=100000,INDEX($AC$1005:$AS$1005,1,MATCH(COLUMNS($AC$1006:AJ1006),$AC$1006:$AS$1006,0))&gt;=100000), " ",IF(INDEX($AC$2:$AS$1001,MATCH(ROWS($V$2:V673),$V$2:$V$1001,0),MATCH(COLUMNS($AC$1006:AJ1006),$AC$1006:$AS$1006,0)), HYPERLINK("#",""), HYPERLINK(CONCATENATE("#metadata!", ADDRESS(INDEX($X$2:$X$1001,MATCH(ROWS($V$2:V673),$V$2:$V$1001,0),0), INDEX($AC$1004:$AS$1004,1,MATCH(COLUMNS($AC$1006:AJ1006),$AC$1006:$AS$1006,0)))),"Fix")))</f>
        <v xml:space="preserve"> </v>
      </c>
      <c r="J673" s="4" t="str">
        <f ca="1">IF(OR(INDEX($W$2:$W$1001,MATCH(ROWS($V$2:V673),$V$2:$V$1001,0),1)&gt;=100000,INDEX($AC$1005:$AS$1005,1,MATCH(COLUMNS($AC$1006:AK1006),$AC$1006:$AS$1006,0))&gt;=100000), " ",IF(INDEX($AC$2:$AS$1001,MATCH(ROWS($V$2:V673),$V$2:$V$1001,0),MATCH(COLUMNS($AC$1006:AK1006),$AC$1006:$AS$1006,0)), HYPERLINK("#",""), HYPERLINK(CONCATENATE("#metadata!", ADDRESS(INDEX($X$2:$X$1001,MATCH(ROWS($V$2:V673),$V$2:$V$1001,0),0), INDEX($AC$1004:$AS$1004,1,MATCH(COLUMNS($AC$1006:AK1006),$AC$1006:$AS$1006,0)))),"Fix")))</f>
        <v xml:space="preserve"> </v>
      </c>
      <c r="K673" s="4" t="str">
        <f ca="1">IF(OR(INDEX($W$2:$W$1001,MATCH(ROWS($V$2:V673),$V$2:$V$1001,0),1)&gt;=100000,INDEX($AC$1005:$AS$1005,1,MATCH(COLUMNS($AC$1006:AL1006),$AC$1006:$AS$1006,0))&gt;=100000), " ",IF(INDEX($AC$2:$AS$1001,MATCH(ROWS($V$2:V673),$V$2:$V$1001,0),MATCH(COLUMNS($AC$1006:AL1006),$AC$1006:$AS$1006,0)), HYPERLINK("#",""), HYPERLINK(CONCATENATE("#metadata!", ADDRESS(INDEX($X$2:$X$1001,MATCH(ROWS($V$2:V673),$V$2:$V$1001,0),0), INDEX($AC$1004:$AS$1004,1,MATCH(COLUMNS($AC$1006:AL1006),$AC$1006:$AS$1006,0)))),"Fix")))</f>
        <v xml:space="preserve"> </v>
      </c>
      <c r="L673" s="4" t="str">
        <f ca="1">IF(OR(INDEX($W$2:$W$1001,MATCH(ROWS($V$2:V673),$V$2:$V$1001,0),1)&gt;=100000,INDEX($AC$1005:$AS$1005,1,MATCH(COLUMNS($AC$1006:AM1006),$AC$1006:$AS$1006,0))&gt;=100000), " ",IF(INDEX($AC$2:$AS$1001,MATCH(ROWS($V$2:V673),$V$2:$V$1001,0),MATCH(COLUMNS($AC$1006:AM1006),$AC$1006:$AS$1006,0)), HYPERLINK("#",""), HYPERLINK(CONCATENATE("#metadata!", ADDRESS(INDEX($X$2:$X$1001,MATCH(ROWS($V$2:V673),$V$2:$V$1001,0),0), INDEX($AC$1004:$AS$1004,1,MATCH(COLUMNS($AC$1006:AM1006),$AC$1006:$AS$1006,0)))),"Fix")))</f>
        <v xml:space="preserve"> </v>
      </c>
      <c r="M673" s="4" t="str">
        <f ca="1">IF(OR(INDEX($W$2:$W$1001,MATCH(ROWS($V$2:V673),$V$2:$V$1001,0),1)&gt;=100000,INDEX($AC$1005:$AS$1005,1,MATCH(COLUMNS($AC$1006:AN1006),$AC$1006:$AS$1006,0))&gt;=100000), " ",IF(INDEX($AC$2:$AS$1001,MATCH(ROWS($V$2:V673),$V$2:$V$1001,0),MATCH(COLUMNS($AC$1006:AN1006),$AC$1006:$AS$1006,0)), HYPERLINK("#",""), HYPERLINK(CONCATENATE("#metadata!", ADDRESS(INDEX($X$2:$X$1001,MATCH(ROWS($V$2:V673),$V$2:$V$1001,0),0), INDEX($AC$1004:$AS$1004,1,MATCH(COLUMNS($AC$1006:AN1006),$AC$1006:$AS$1006,0)))),"Fix")))</f>
        <v xml:space="preserve"> </v>
      </c>
      <c r="N673" s="4" t="str">
        <f ca="1">IF(OR(INDEX($W$2:$W$1001,MATCH(ROWS($V$2:V673),$V$2:$V$1001,0),1)&gt;=100000,INDEX($AC$1005:$AS$1005,1,MATCH(COLUMNS($AC$1006:AO1006),$AC$1006:$AS$1006,0))&gt;=100000), " ",IF(INDEX($AC$2:$AS$1001,MATCH(ROWS($V$2:V673),$V$2:$V$1001,0),MATCH(COLUMNS($AC$1006:AO1006),$AC$1006:$AS$1006,0)), HYPERLINK("#",""), HYPERLINK(CONCATENATE("#metadata!", ADDRESS(INDEX($X$2:$X$1001,MATCH(ROWS($V$2:V673),$V$2:$V$1001,0),0), INDEX($AC$1004:$AS$1004,1,MATCH(COLUMNS($AC$1006:AO1006),$AC$1006:$AS$1006,0)))),"Fix")))</f>
        <v xml:space="preserve"> </v>
      </c>
      <c r="O673" s="4" t="str">
        <f ca="1">IF(OR(INDEX($W$2:$W$1001,MATCH(ROWS($V$2:V673),$V$2:$V$1001,0),1)&gt;=100000,INDEX($AC$1005:$AS$1005,1,MATCH(COLUMNS($AC$1006:AP1006),$AC$1006:$AS$1006,0))&gt;=100000), " ",IF(INDEX($AC$2:$AS$1001,MATCH(ROWS($V$2:V673),$V$2:$V$1001,0),MATCH(COLUMNS($AC$1006:AP1006),$AC$1006:$AS$1006,0)), HYPERLINK("#",""), HYPERLINK(CONCATENATE("#metadata!", ADDRESS(INDEX($X$2:$X$1001,MATCH(ROWS($V$2:V673),$V$2:$V$1001,0),0), INDEX($AC$1004:$AS$1004,1,MATCH(COLUMNS($AC$1006:AP1006),$AC$1006:$AS$1006,0)))),"Fix")))</f>
        <v xml:space="preserve"> </v>
      </c>
      <c r="P673" s="4" t="str">
        <f ca="1">IF(OR(INDEX($W$2:$W$1001,MATCH(ROWS($V$2:V673),$V$2:$V$1001,0),1)&gt;=100000,INDEX($AC$1005:$AS$1005,1,MATCH(COLUMNS($AC$1006:AQ1006),$AC$1006:$AS$1006,0))&gt;=100000), " ",IF(INDEX($AC$2:$AS$1001,MATCH(ROWS($V$2:V673),$V$2:$V$1001,0),MATCH(COLUMNS($AC$1006:AQ1006),$AC$1006:$AS$1006,0)), HYPERLINK("#",""), HYPERLINK(CONCATENATE("#metadata!", ADDRESS(INDEX($X$2:$X$1001,MATCH(ROWS($V$2:V673),$V$2:$V$1001,0),0), INDEX($AC$1004:$AS$1004,1,MATCH(COLUMNS($AC$1006:AQ1006),$AC$1006:$AS$1006,0)))),"Fix")))</f>
        <v xml:space="preserve"> </v>
      </c>
      <c r="Q673" s="4" t="str">
        <f ca="1">IF(OR(INDEX($W$2:$W$1001,MATCH(ROWS($V$2:V673),$V$2:$V$1001,0),1)&gt;=100000,INDEX($AC$1005:$AS$1005,1,MATCH(COLUMNS($AC$1006:AR1006),$AC$1006:$AS$1006,0))&gt;=100000), " ",IF(INDEX($AC$2:$AS$1001,MATCH(ROWS($V$2:V673),$V$2:$V$1001,0),MATCH(COLUMNS($AC$1006:AR1006),$AC$1006:$AS$1006,0)), HYPERLINK("#",""), HYPERLINK(CONCATENATE("#metadata!", ADDRESS(INDEX($X$2:$X$1001,MATCH(ROWS($V$2:V673),$V$2:$V$1001,0),0), INDEX($AC$1004:$AS$1004,1,MATCH(COLUMNS($AC$1006:AR1006),$AC$1006:$AS$1006,0)))),"Fix")))</f>
        <v xml:space="preserve"> </v>
      </c>
      <c r="R673" s="4" t="str">
        <f ca="1">IF(OR(INDEX($W$2:$W$1001,MATCH(ROWS($V$2:V673),$V$2:$V$1001,0),1)&gt;=100000,INDEX($AC$1005:$AS$1005,1,MATCH(COLUMNS($AC$1006:AS1006),$AC$1006:$AS$1006,0))&gt;=100000), " ",IF(INDEX($AC$2:$AS$1001,MATCH(ROWS($V$2:V673),$V$2:$V$1001,0),MATCH(COLUMNS($AC$1006:AS1006),$AC$1006:$AS$1006,0)), HYPERLINK("#",""), HYPERLINK(CONCATENATE("#metadata!", ADDRESS(INDEX($X$2:$X$1001,MATCH(ROWS($V$2:V673),$V$2:$V$1001,0),0), INDEX($AC$1004:$AS$1004,1,MATCH(COLUMNS($AC$1006:AS1006),$AC$1006:$AS$1006,0)))),"Fix")))</f>
        <v xml:space="preserve"> </v>
      </c>
      <c r="V673">
        <v>672</v>
      </c>
      <c r="W673">
        <v>100673</v>
      </c>
      <c r="X673">
        <v>673</v>
      </c>
      <c r="Y673" t="b">
        <f t="shared" si="10"/>
        <v>1</v>
      </c>
      <c r="Z673" t="b">
        <f>COUNTBLANK(metadata!B673:R673)=COLUMNS(metadata!B673:R673)</f>
        <v>1</v>
      </c>
      <c r="AA673" t="str">
        <v/>
      </c>
      <c r="AC673" t="b">
        <f ca="1"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AD673" t="b">
        <f>IF(metadata!C673="",FALSE,ISNUMBER(VALUE(metadata!C673)))</f>
        <v>0</v>
      </c>
      <c r="AE673" t="b">
        <f>AND(IF(metadata!D673="",FALSE,TRUE),EXACT(metadata!D673,"years"))</f>
        <v>0</v>
      </c>
      <c r="AF673" t="b">
        <f>OR(AND(IF(metadata!E673="",FALSE,TRUE),OR(EXACT(metadata!E673,"not applicable"),EXACT(metadata!E673,"missing: not collected"),EXACT(metadata!E673,"missing: not provided"),EXACT(metadata!E673,"missing: restricted access"))),AND(IF(metadata!E673="",FALSE,ISNUMBER(VALUE(metadata!E673))),metadata!E673&gt;0))</f>
        <v>0</v>
      </c>
      <c r="AG673" t="b">
        <f>AND(IF(metadata!F673="",FALSE,TRUE),EXACT(metadata!F673,"Not applicable"))</f>
        <v>0</v>
      </c>
      <c r="AH673" t="b">
        <f>AND(IF(metadata!G673="",FALSE,TRUE),EXACT(metadata!G673,"urban biome"))</f>
        <v>0</v>
      </c>
      <c r="AI673" t="b">
        <f>AND(IF(metadata!H673="",FALSE,TRUE),EXACT(metadata!H673,"human-associated habitat"))</f>
        <v>0</v>
      </c>
      <c r="AJ673" t="b">
        <f>AND(IF(metadata!I673="",FALSE,TRUE),OR(EXACT(metadata!I673,"human-associated"),EXACT(metadata!I673,"human-skin"),EXACT(metadata!I673,"human-oral"),EXACT(metadata!I673,"human-gut"),EXACT(metadata!I673,"human-vaginal")))</f>
        <v>0</v>
      </c>
      <c r="AK673" t="b">
        <f>IF(metadata!J673="",FALSE,ISNUMBER(VALUE(metadata!J673)))</f>
        <v>0</v>
      </c>
      <c r="AL673" t="b">
        <f>AND(IF(metadata!K673="",FALSE,TRUE),EXACT(metadata!K673,"cm"))</f>
        <v>0</v>
      </c>
      <c r="AM673" t="b">
        <f>AND(IF(metadata!L673="",FALSE,TRUE),EXACT(metadata!L673,"human"))</f>
        <v>0</v>
      </c>
      <c r="AN673" t="b">
        <f>AND(IF(metadata!M673="",FALSE,TRUE),EXACT(metadata!M673,"Homo sapiens"))</f>
        <v>0</v>
      </c>
      <c r="AO673" t="b">
        <f>AND(IF(metadata!N673="",FALSE,TRUE),EXACT(metadata!N673,"9606"))</f>
        <v>0</v>
      </c>
      <c r="AP673" t="b">
        <f>IF(metadata!O673="",FALSE,TRUE)</f>
        <v>0</v>
      </c>
      <c r="AQ673" t="b">
        <f>IF(metadata!P673="",FALSE,TRUE)</f>
        <v>0</v>
      </c>
      <c r="AR673" t="b">
        <f>IF(metadata!Q673="",FALSE,ISNUMBER(VALUE(metadata!Q673)))</f>
        <v>0</v>
      </c>
      <c r="AS673" t="b">
        <f>AND(IF(metadata!R673="",FALSE,TRUE),EXACT(metadata!R673,"kg"))</f>
        <v>0</v>
      </c>
    </row>
    <row r="674" spans="1:45" x14ac:dyDescent="0.2">
      <c r="A674" s="5" t="str">
        <f ca="1">IF(B674=" "," ",HYPERLINK(CONCATENATE("#metadata!",ADDRESS(INDEX($X$2:$X$1001,MATCH(ROWS($V$2:V674),$V$2:$V$1001,0),0),1)),INDEX($AA$2:$AA$1001,MATCH(ROWS($V$2:V674),$V$2:$V$1001,0),0)))</f>
        <v xml:space="preserve"> </v>
      </c>
      <c r="B674" s="4" t="str">
        <f ca="1">IF(OR(INDEX($W$2:$W$1001,MATCH(ROWS($V$2:V674),$V$2:$V$1001,0),1)&gt;=100000,INDEX($AC$1005:$AS$1005,1,MATCH(COLUMNS($AC$1006:AC1006),$AC$1006:$AS$1006,0))&gt;=100000), " ",IF(INDEX($AC$2:$AS$1001,MATCH(ROWS($V$2:V674),$V$2:$V$1001,0),MATCH(COLUMNS($AC$1006:AC1006),$AC$1006:$AS$1006,0)), HYPERLINK("#",""), HYPERLINK(CONCATENATE("#metadata!", ADDRESS(INDEX($X$2:$X$1001,MATCH(ROWS($V$2:V674),$V$2:$V$1001,0),0), INDEX($AC$1004:$AS$1004,1,MATCH(COLUMNS($AC$1006:AC1006),$AC$1006:$AS$1006,0)))),"Fix")))</f>
        <v xml:space="preserve"> </v>
      </c>
      <c r="C674" s="4" t="str">
        <f ca="1">IF(OR(INDEX($W$2:$W$1001,MATCH(ROWS($V$2:V674),$V$2:$V$1001,0),1)&gt;=100000,INDEX($AC$1005:$AS$1005,1,MATCH(COLUMNS($AC$1006:AD1006),$AC$1006:$AS$1006,0))&gt;=100000), " ",IF(INDEX($AC$2:$AS$1001,MATCH(ROWS($V$2:V674),$V$2:$V$1001,0),MATCH(COLUMNS($AC$1006:AD1006),$AC$1006:$AS$1006,0)), HYPERLINK("#",""), HYPERLINK(CONCATENATE("#metadata!", ADDRESS(INDEX($X$2:$X$1001,MATCH(ROWS($V$2:V674),$V$2:$V$1001,0),0), INDEX($AC$1004:$AS$1004,1,MATCH(COLUMNS($AC$1006:AD1006),$AC$1006:$AS$1006,0)))),"Fix")))</f>
        <v xml:space="preserve"> </v>
      </c>
      <c r="D674" s="4" t="str">
        <f ca="1">IF(OR(INDEX($W$2:$W$1001,MATCH(ROWS($V$2:V674),$V$2:$V$1001,0),1)&gt;=100000,INDEX($AC$1005:$AS$1005,1,MATCH(COLUMNS($AC$1006:AE1006),$AC$1006:$AS$1006,0))&gt;=100000), " ",IF(INDEX($AC$2:$AS$1001,MATCH(ROWS($V$2:V674),$V$2:$V$1001,0),MATCH(COLUMNS($AC$1006:AE1006),$AC$1006:$AS$1006,0)), HYPERLINK("#",""), HYPERLINK(CONCATENATE("#metadata!", ADDRESS(INDEX($X$2:$X$1001,MATCH(ROWS($V$2:V674),$V$2:$V$1001,0),0), INDEX($AC$1004:$AS$1004,1,MATCH(COLUMNS($AC$1006:AE1006),$AC$1006:$AS$1006,0)))),"Fix")))</f>
        <v xml:space="preserve"> </v>
      </c>
      <c r="E674" s="4" t="str">
        <f ca="1">IF(OR(INDEX($W$2:$W$1001,MATCH(ROWS($V$2:V674),$V$2:$V$1001,0),1)&gt;=100000,INDEX($AC$1005:$AS$1005,1,MATCH(COLUMNS($AC$1006:AF1006),$AC$1006:$AS$1006,0))&gt;=100000), " ",IF(INDEX($AC$2:$AS$1001,MATCH(ROWS($V$2:V674),$V$2:$V$1001,0),MATCH(COLUMNS($AC$1006:AF1006),$AC$1006:$AS$1006,0)), HYPERLINK("#",""), HYPERLINK(CONCATENATE("#metadata!", ADDRESS(INDEX($X$2:$X$1001,MATCH(ROWS($V$2:V674),$V$2:$V$1001,0),0), INDEX($AC$1004:$AS$1004,1,MATCH(COLUMNS($AC$1006:AF1006),$AC$1006:$AS$1006,0)))),"Fix")))</f>
        <v xml:space="preserve"> </v>
      </c>
      <c r="F674" s="4" t="str">
        <f ca="1">IF(OR(INDEX($W$2:$W$1001,MATCH(ROWS($V$2:V674),$V$2:$V$1001,0),1)&gt;=100000,INDEX($AC$1005:$AS$1005,1,MATCH(COLUMNS($AC$1006:AG1006),$AC$1006:$AS$1006,0))&gt;=100000), " ",IF(INDEX($AC$2:$AS$1001,MATCH(ROWS($V$2:V674),$V$2:$V$1001,0),MATCH(COLUMNS($AC$1006:AG1006),$AC$1006:$AS$1006,0)), HYPERLINK("#",""), HYPERLINK(CONCATENATE("#metadata!", ADDRESS(INDEX($X$2:$X$1001,MATCH(ROWS($V$2:V674),$V$2:$V$1001,0),0), INDEX($AC$1004:$AS$1004,1,MATCH(COLUMNS($AC$1006:AG1006),$AC$1006:$AS$1006,0)))),"Fix")))</f>
        <v xml:space="preserve"> </v>
      </c>
      <c r="G674" s="4" t="str">
        <f ca="1">IF(OR(INDEX($W$2:$W$1001,MATCH(ROWS($V$2:V674),$V$2:$V$1001,0),1)&gt;=100000,INDEX($AC$1005:$AS$1005,1,MATCH(COLUMNS($AC$1006:AH1006),$AC$1006:$AS$1006,0))&gt;=100000), " ",IF(INDEX($AC$2:$AS$1001,MATCH(ROWS($V$2:V674),$V$2:$V$1001,0),MATCH(COLUMNS($AC$1006:AH1006),$AC$1006:$AS$1006,0)), HYPERLINK("#",""), HYPERLINK(CONCATENATE("#metadata!", ADDRESS(INDEX($X$2:$X$1001,MATCH(ROWS($V$2:V674),$V$2:$V$1001,0),0), INDEX($AC$1004:$AS$1004,1,MATCH(COLUMNS($AC$1006:AH1006),$AC$1006:$AS$1006,0)))),"Fix")))</f>
        <v xml:space="preserve"> </v>
      </c>
      <c r="H674" s="4" t="str">
        <f ca="1">IF(OR(INDEX($W$2:$W$1001,MATCH(ROWS($V$2:V674),$V$2:$V$1001,0),1)&gt;=100000,INDEX($AC$1005:$AS$1005,1,MATCH(COLUMNS($AC$1006:AI1006),$AC$1006:$AS$1006,0))&gt;=100000), " ",IF(INDEX($AC$2:$AS$1001,MATCH(ROWS($V$2:V674),$V$2:$V$1001,0),MATCH(COLUMNS($AC$1006:AI1006),$AC$1006:$AS$1006,0)), HYPERLINK("#",""), HYPERLINK(CONCATENATE("#metadata!", ADDRESS(INDEX($X$2:$X$1001,MATCH(ROWS($V$2:V674),$V$2:$V$1001,0),0), INDEX($AC$1004:$AS$1004,1,MATCH(COLUMNS($AC$1006:AI1006),$AC$1006:$AS$1006,0)))),"Fix")))</f>
        <v xml:space="preserve"> </v>
      </c>
      <c r="I674" s="4" t="str">
        <f ca="1">IF(OR(INDEX($W$2:$W$1001,MATCH(ROWS($V$2:V674),$V$2:$V$1001,0),1)&gt;=100000,INDEX($AC$1005:$AS$1005,1,MATCH(COLUMNS($AC$1006:AJ1006),$AC$1006:$AS$1006,0))&gt;=100000), " ",IF(INDEX($AC$2:$AS$1001,MATCH(ROWS($V$2:V674),$V$2:$V$1001,0),MATCH(COLUMNS($AC$1006:AJ1006),$AC$1006:$AS$1006,0)), HYPERLINK("#",""), HYPERLINK(CONCATENATE("#metadata!", ADDRESS(INDEX($X$2:$X$1001,MATCH(ROWS($V$2:V674),$V$2:$V$1001,0),0), INDEX($AC$1004:$AS$1004,1,MATCH(COLUMNS($AC$1006:AJ1006),$AC$1006:$AS$1006,0)))),"Fix")))</f>
        <v xml:space="preserve"> </v>
      </c>
      <c r="J674" s="4" t="str">
        <f ca="1">IF(OR(INDEX($W$2:$W$1001,MATCH(ROWS($V$2:V674),$V$2:$V$1001,0),1)&gt;=100000,INDEX($AC$1005:$AS$1005,1,MATCH(COLUMNS($AC$1006:AK1006),$AC$1006:$AS$1006,0))&gt;=100000), " ",IF(INDEX($AC$2:$AS$1001,MATCH(ROWS($V$2:V674),$V$2:$V$1001,0),MATCH(COLUMNS($AC$1006:AK1006),$AC$1006:$AS$1006,0)), HYPERLINK("#",""), HYPERLINK(CONCATENATE("#metadata!", ADDRESS(INDEX($X$2:$X$1001,MATCH(ROWS($V$2:V674),$V$2:$V$1001,0),0), INDEX($AC$1004:$AS$1004,1,MATCH(COLUMNS($AC$1006:AK1006),$AC$1006:$AS$1006,0)))),"Fix")))</f>
        <v xml:space="preserve"> </v>
      </c>
      <c r="K674" s="4" t="str">
        <f ca="1">IF(OR(INDEX($W$2:$W$1001,MATCH(ROWS($V$2:V674),$V$2:$V$1001,0),1)&gt;=100000,INDEX($AC$1005:$AS$1005,1,MATCH(COLUMNS($AC$1006:AL1006),$AC$1006:$AS$1006,0))&gt;=100000), " ",IF(INDEX($AC$2:$AS$1001,MATCH(ROWS($V$2:V674),$V$2:$V$1001,0),MATCH(COLUMNS($AC$1006:AL1006),$AC$1006:$AS$1006,0)), HYPERLINK("#",""), HYPERLINK(CONCATENATE("#metadata!", ADDRESS(INDEX($X$2:$X$1001,MATCH(ROWS($V$2:V674),$V$2:$V$1001,0),0), INDEX($AC$1004:$AS$1004,1,MATCH(COLUMNS($AC$1006:AL1006),$AC$1006:$AS$1006,0)))),"Fix")))</f>
        <v xml:space="preserve"> </v>
      </c>
      <c r="L674" s="4" t="str">
        <f ca="1">IF(OR(INDEX($W$2:$W$1001,MATCH(ROWS($V$2:V674),$V$2:$V$1001,0),1)&gt;=100000,INDEX($AC$1005:$AS$1005,1,MATCH(COLUMNS($AC$1006:AM1006),$AC$1006:$AS$1006,0))&gt;=100000), " ",IF(INDEX($AC$2:$AS$1001,MATCH(ROWS($V$2:V674),$V$2:$V$1001,0),MATCH(COLUMNS($AC$1006:AM1006),$AC$1006:$AS$1006,0)), HYPERLINK("#",""), HYPERLINK(CONCATENATE("#metadata!", ADDRESS(INDEX($X$2:$X$1001,MATCH(ROWS($V$2:V674),$V$2:$V$1001,0),0), INDEX($AC$1004:$AS$1004,1,MATCH(COLUMNS($AC$1006:AM1006),$AC$1006:$AS$1006,0)))),"Fix")))</f>
        <v xml:space="preserve"> </v>
      </c>
      <c r="M674" s="4" t="str">
        <f ca="1">IF(OR(INDEX($W$2:$W$1001,MATCH(ROWS($V$2:V674),$V$2:$V$1001,0),1)&gt;=100000,INDEX($AC$1005:$AS$1005,1,MATCH(COLUMNS($AC$1006:AN1006),$AC$1006:$AS$1006,0))&gt;=100000), " ",IF(INDEX($AC$2:$AS$1001,MATCH(ROWS($V$2:V674),$V$2:$V$1001,0),MATCH(COLUMNS($AC$1006:AN1006),$AC$1006:$AS$1006,0)), HYPERLINK("#",""), HYPERLINK(CONCATENATE("#metadata!", ADDRESS(INDEX($X$2:$X$1001,MATCH(ROWS($V$2:V674),$V$2:$V$1001,0),0), INDEX($AC$1004:$AS$1004,1,MATCH(COLUMNS($AC$1006:AN1006),$AC$1006:$AS$1006,0)))),"Fix")))</f>
        <v xml:space="preserve"> </v>
      </c>
      <c r="N674" s="4" t="str">
        <f ca="1">IF(OR(INDEX($W$2:$W$1001,MATCH(ROWS($V$2:V674),$V$2:$V$1001,0),1)&gt;=100000,INDEX($AC$1005:$AS$1005,1,MATCH(COLUMNS($AC$1006:AO1006),$AC$1006:$AS$1006,0))&gt;=100000), " ",IF(INDEX($AC$2:$AS$1001,MATCH(ROWS($V$2:V674),$V$2:$V$1001,0),MATCH(COLUMNS($AC$1006:AO1006),$AC$1006:$AS$1006,0)), HYPERLINK("#",""), HYPERLINK(CONCATENATE("#metadata!", ADDRESS(INDEX($X$2:$X$1001,MATCH(ROWS($V$2:V674),$V$2:$V$1001,0),0), INDEX($AC$1004:$AS$1004,1,MATCH(COLUMNS($AC$1006:AO1006),$AC$1006:$AS$1006,0)))),"Fix")))</f>
        <v xml:space="preserve"> </v>
      </c>
      <c r="O674" s="4" t="str">
        <f ca="1">IF(OR(INDEX($W$2:$W$1001,MATCH(ROWS($V$2:V674),$V$2:$V$1001,0),1)&gt;=100000,INDEX($AC$1005:$AS$1005,1,MATCH(COLUMNS($AC$1006:AP1006),$AC$1006:$AS$1006,0))&gt;=100000), " ",IF(INDEX($AC$2:$AS$1001,MATCH(ROWS($V$2:V674),$V$2:$V$1001,0),MATCH(COLUMNS($AC$1006:AP1006),$AC$1006:$AS$1006,0)), HYPERLINK("#",""), HYPERLINK(CONCATENATE("#metadata!", ADDRESS(INDEX($X$2:$X$1001,MATCH(ROWS($V$2:V674),$V$2:$V$1001,0),0), INDEX($AC$1004:$AS$1004,1,MATCH(COLUMNS($AC$1006:AP1006),$AC$1006:$AS$1006,0)))),"Fix")))</f>
        <v xml:space="preserve"> </v>
      </c>
      <c r="P674" s="4" t="str">
        <f ca="1">IF(OR(INDEX($W$2:$W$1001,MATCH(ROWS($V$2:V674),$V$2:$V$1001,0),1)&gt;=100000,INDEX($AC$1005:$AS$1005,1,MATCH(COLUMNS($AC$1006:AQ1006),$AC$1006:$AS$1006,0))&gt;=100000), " ",IF(INDEX($AC$2:$AS$1001,MATCH(ROWS($V$2:V674),$V$2:$V$1001,0),MATCH(COLUMNS($AC$1006:AQ1006),$AC$1006:$AS$1006,0)), HYPERLINK("#",""), HYPERLINK(CONCATENATE("#metadata!", ADDRESS(INDEX($X$2:$X$1001,MATCH(ROWS($V$2:V674),$V$2:$V$1001,0),0), INDEX($AC$1004:$AS$1004,1,MATCH(COLUMNS($AC$1006:AQ1006),$AC$1006:$AS$1006,0)))),"Fix")))</f>
        <v xml:space="preserve"> </v>
      </c>
      <c r="Q674" s="4" t="str">
        <f ca="1">IF(OR(INDEX($W$2:$W$1001,MATCH(ROWS($V$2:V674),$V$2:$V$1001,0),1)&gt;=100000,INDEX($AC$1005:$AS$1005,1,MATCH(COLUMNS($AC$1006:AR1006),$AC$1006:$AS$1006,0))&gt;=100000), " ",IF(INDEX($AC$2:$AS$1001,MATCH(ROWS($V$2:V674),$V$2:$V$1001,0),MATCH(COLUMNS($AC$1006:AR1006),$AC$1006:$AS$1006,0)), HYPERLINK("#",""), HYPERLINK(CONCATENATE("#metadata!", ADDRESS(INDEX($X$2:$X$1001,MATCH(ROWS($V$2:V674),$V$2:$V$1001,0),0), INDEX($AC$1004:$AS$1004,1,MATCH(COLUMNS($AC$1006:AR1006),$AC$1006:$AS$1006,0)))),"Fix")))</f>
        <v xml:space="preserve"> </v>
      </c>
      <c r="R674" s="4" t="str">
        <f ca="1">IF(OR(INDEX($W$2:$W$1001,MATCH(ROWS($V$2:V674),$V$2:$V$1001,0),1)&gt;=100000,INDEX($AC$1005:$AS$1005,1,MATCH(COLUMNS($AC$1006:AS1006),$AC$1006:$AS$1006,0))&gt;=100000), " ",IF(INDEX($AC$2:$AS$1001,MATCH(ROWS($V$2:V674),$V$2:$V$1001,0),MATCH(COLUMNS($AC$1006:AS1006),$AC$1006:$AS$1006,0)), HYPERLINK("#",""), HYPERLINK(CONCATENATE("#metadata!", ADDRESS(INDEX($X$2:$X$1001,MATCH(ROWS($V$2:V674),$V$2:$V$1001,0),0), INDEX($AC$1004:$AS$1004,1,MATCH(COLUMNS($AC$1006:AS1006),$AC$1006:$AS$1006,0)))),"Fix")))</f>
        <v xml:space="preserve"> </v>
      </c>
      <c r="V674">
        <v>673</v>
      </c>
      <c r="W674">
        <v>100674</v>
      </c>
      <c r="X674">
        <v>674</v>
      </c>
      <c r="Y674" t="b">
        <f t="shared" si="10"/>
        <v>1</v>
      </c>
      <c r="Z674" t="b">
        <f>COUNTBLANK(metadata!B674:R674)=COLUMNS(metadata!B674:R674)</f>
        <v>1</v>
      </c>
      <c r="AA674" t="str">
        <v/>
      </c>
      <c r="AC674" t="b">
        <f ca="1"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AD674" t="b">
        <f>IF(metadata!C674="",FALSE,ISNUMBER(VALUE(metadata!C674)))</f>
        <v>0</v>
      </c>
      <c r="AE674" t="b">
        <f>AND(IF(metadata!D674="",FALSE,TRUE),EXACT(metadata!D674,"years"))</f>
        <v>0</v>
      </c>
      <c r="AF674" t="b">
        <f>OR(AND(IF(metadata!E674="",FALSE,TRUE),OR(EXACT(metadata!E674,"not applicable"),EXACT(metadata!E674,"missing: not collected"),EXACT(metadata!E674,"missing: not provided"),EXACT(metadata!E674,"missing: restricted access"))),AND(IF(metadata!E674="",FALSE,ISNUMBER(VALUE(metadata!E674))),metadata!E674&gt;0))</f>
        <v>0</v>
      </c>
      <c r="AG674" t="b">
        <f>AND(IF(metadata!F674="",FALSE,TRUE),EXACT(metadata!F674,"Not applicable"))</f>
        <v>0</v>
      </c>
      <c r="AH674" t="b">
        <f>AND(IF(metadata!G674="",FALSE,TRUE),EXACT(metadata!G674,"urban biome"))</f>
        <v>0</v>
      </c>
      <c r="AI674" t="b">
        <f>AND(IF(metadata!H674="",FALSE,TRUE),EXACT(metadata!H674,"human-associated habitat"))</f>
        <v>0</v>
      </c>
      <c r="AJ674" t="b">
        <f>AND(IF(metadata!I674="",FALSE,TRUE),OR(EXACT(metadata!I674,"human-associated"),EXACT(metadata!I674,"human-skin"),EXACT(metadata!I674,"human-oral"),EXACT(metadata!I674,"human-gut"),EXACT(metadata!I674,"human-vaginal")))</f>
        <v>0</v>
      </c>
      <c r="AK674" t="b">
        <f>IF(metadata!J674="",FALSE,ISNUMBER(VALUE(metadata!J674)))</f>
        <v>0</v>
      </c>
      <c r="AL674" t="b">
        <f>AND(IF(metadata!K674="",FALSE,TRUE),EXACT(metadata!K674,"cm"))</f>
        <v>0</v>
      </c>
      <c r="AM674" t="b">
        <f>AND(IF(metadata!L674="",FALSE,TRUE),EXACT(metadata!L674,"human"))</f>
        <v>0</v>
      </c>
      <c r="AN674" t="b">
        <f>AND(IF(metadata!M674="",FALSE,TRUE),EXACT(metadata!M674,"Homo sapiens"))</f>
        <v>0</v>
      </c>
      <c r="AO674" t="b">
        <f>AND(IF(metadata!N674="",FALSE,TRUE),EXACT(metadata!N674,"9606"))</f>
        <v>0</v>
      </c>
      <c r="AP674" t="b">
        <f>IF(metadata!O674="",FALSE,TRUE)</f>
        <v>0</v>
      </c>
      <c r="AQ674" t="b">
        <f>IF(metadata!P674="",FALSE,TRUE)</f>
        <v>0</v>
      </c>
      <c r="AR674" t="b">
        <f>IF(metadata!Q674="",FALSE,ISNUMBER(VALUE(metadata!Q674)))</f>
        <v>0</v>
      </c>
      <c r="AS674" t="b">
        <f>AND(IF(metadata!R674="",FALSE,TRUE),EXACT(metadata!R674,"kg"))</f>
        <v>0</v>
      </c>
    </row>
    <row r="675" spans="1:45" x14ac:dyDescent="0.2">
      <c r="A675" s="5" t="str">
        <f ca="1">IF(B675=" "," ",HYPERLINK(CONCATENATE("#metadata!",ADDRESS(INDEX($X$2:$X$1001,MATCH(ROWS($V$2:V675),$V$2:$V$1001,0),0),1)),INDEX($AA$2:$AA$1001,MATCH(ROWS($V$2:V675),$V$2:$V$1001,0),0)))</f>
        <v xml:space="preserve"> </v>
      </c>
      <c r="B675" s="4" t="str">
        <f ca="1">IF(OR(INDEX($W$2:$W$1001,MATCH(ROWS($V$2:V675),$V$2:$V$1001,0),1)&gt;=100000,INDEX($AC$1005:$AS$1005,1,MATCH(COLUMNS($AC$1006:AC1006),$AC$1006:$AS$1006,0))&gt;=100000), " ",IF(INDEX($AC$2:$AS$1001,MATCH(ROWS($V$2:V675),$V$2:$V$1001,0),MATCH(COLUMNS($AC$1006:AC1006),$AC$1006:$AS$1006,0)), HYPERLINK("#",""), HYPERLINK(CONCATENATE("#metadata!", ADDRESS(INDEX($X$2:$X$1001,MATCH(ROWS($V$2:V675),$V$2:$V$1001,0),0), INDEX($AC$1004:$AS$1004,1,MATCH(COLUMNS($AC$1006:AC1006),$AC$1006:$AS$1006,0)))),"Fix")))</f>
        <v xml:space="preserve"> </v>
      </c>
      <c r="C675" s="4" t="str">
        <f ca="1">IF(OR(INDEX($W$2:$W$1001,MATCH(ROWS($V$2:V675),$V$2:$V$1001,0),1)&gt;=100000,INDEX($AC$1005:$AS$1005,1,MATCH(COLUMNS($AC$1006:AD1006),$AC$1006:$AS$1006,0))&gt;=100000), " ",IF(INDEX($AC$2:$AS$1001,MATCH(ROWS($V$2:V675),$V$2:$V$1001,0),MATCH(COLUMNS($AC$1006:AD1006),$AC$1006:$AS$1006,0)), HYPERLINK("#",""), HYPERLINK(CONCATENATE("#metadata!", ADDRESS(INDEX($X$2:$X$1001,MATCH(ROWS($V$2:V675),$V$2:$V$1001,0),0), INDEX($AC$1004:$AS$1004,1,MATCH(COLUMNS($AC$1006:AD1006),$AC$1006:$AS$1006,0)))),"Fix")))</f>
        <v xml:space="preserve"> </v>
      </c>
      <c r="D675" s="4" t="str">
        <f ca="1">IF(OR(INDEX($W$2:$W$1001,MATCH(ROWS($V$2:V675),$V$2:$V$1001,0),1)&gt;=100000,INDEX($AC$1005:$AS$1005,1,MATCH(COLUMNS($AC$1006:AE1006),$AC$1006:$AS$1006,0))&gt;=100000), " ",IF(INDEX($AC$2:$AS$1001,MATCH(ROWS($V$2:V675),$V$2:$V$1001,0),MATCH(COLUMNS($AC$1006:AE1006),$AC$1006:$AS$1006,0)), HYPERLINK("#",""), HYPERLINK(CONCATENATE("#metadata!", ADDRESS(INDEX($X$2:$X$1001,MATCH(ROWS($V$2:V675),$V$2:$V$1001,0),0), INDEX($AC$1004:$AS$1004,1,MATCH(COLUMNS($AC$1006:AE1006),$AC$1006:$AS$1006,0)))),"Fix")))</f>
        <v xml:space="preserve"> </v>
      </c>
      <c r="E675" s="4" t="str">
        <f ca="1">IF(OR(INDEX($W$2:$W$1001,MATCH(ROWS($V$2:V675),$V$2:$V$1001,0),1)&gt;=100000,INDEX($AC$1005:$AS$1005,1,MATCH(COLUMNS($AC$1006:AF1006),$AC$1006:$AS$1006,0))&gt;=100000), " ",IF(INDEX($AC$2:$AS$1001,MATCH(ROWS($V$2:V675),$V$2:$V$1001,0),MATCH(COLUMNS($AC$1006:AF1006),$AC$1006:$AS$1006,0)), HYPERLINK("#",""), HYPERLINK(CONCATENATE("#metadata!", ADDRESS(INDEX($X$2:$X$1001,MATCH(ROWS($V$2:V675),$V$2:$V$1001,0),0), INDEX($AC$1004:$AS$1004,1,MATCH(COLUMNS($AC$1006:AF1006),$AC$1006:$AS$1006,0)))),"Fix")))</f>
        <v xml:space="preserve"> </v>
      </c>
      <c r="F675" s="4" t="str">
        <f ca="1">IF(OR(INDEX($W$2:$W$1001,MATCH(ROWS($V$2:V675),$V$2:$V$1001,0),1)&gt;=100000,INDEX($AC$1005:$AS$1005,1,MATCH(COLUMNS($AC$1006:AG1006),$AC$1006:$AS$1006,0))&gt;=100000), " ",IF(INDEX($AC$2:$AS$1001,MATCH(ROWS($V$2:V675),$V$2:$V$1001,0),MATCH(COLUMNS($AC$1006:AG1006),$AC$1006:$AS$1006,0)), HYPERLINK("#",""), HYPERLINK(CONCATENATE("#metadata!", ADDRESS(INDEX($X$2:$X$1001,MATCH(ROWS($V$2:V675),$V$2:$V$1001,0),0), INDEX($AC$1004:$AS$1004,1,MATCH(COLUMNS($AC$1006:AG1006),$AC$1006:$AS$1006,0)))),"Fix")))</f>
        <v xml:space="preserve"> </v>
      </c>
      <c r="G675" s="4" t="str">
        <f ca="1">IF(OR(INDEX($W$2:$W$1001,MATCH(ROWS($V$2:V675),$V$2:$V$1001,0),1)&gt;=100000,INDEX($AC$1005:$AS$1005,1,MATCH(COLUMNS($AC$1006:AH1006),$AC$1006:$AS$1006,0))&gt;=100000), " ",IF(INDEX($AC$2:$AS$1001,MATCH(ROWS($V$2:V675),$V$2:$V$1001,0),MATCH(COLUMNS($AC$1006:AH1006),$AC$1006:$AS$1006,0)), HYPERLINK("#",""), HYPERLINK(CONCATENATE("#metadata!", ADDRESS(INDEX($X$2:$X$1001,MATCH(ROWS($V$2:V675),$V$2:$V$1001,0),0), INDEX($AC$1004:$AS$1004,1,MATCH(COLUMNS($AC$1006:AH1006),$AC$1006:$AS$1006,0)))),"Fix")))</f>
        <v xml:space="preserve"> </v>
      </c>
      <c r="H675" s="4" t="str">
        <f ca="1">IF(OR(INDEX($W$2:$W$1001,MATCH(ROWS($V$2:V675),$V$2:$V$1001,0),1)&gt;=100000,INDEX($AC$1005:$AS$1005,1,MATCH(COLUMNS($AC$1006:AI1006),$AC$1006:$AS$1006,0))&gt;=100000), " ",IF(INDEX($AC$2:$AS$1001,MATCH(ROWS($V$2:V675),$V$2:$V$1001,0),MATCH(COLUMNS($AC$1006:AI1006),$AC$1006:$AS$1006,0)), HYPERLINK("#",""), HYPERLINK(CONCATENATE("#metadata!", ADDRESS(INDEX($X$2:$X$1001,MATCH(ROWS($V$2:V675),$V$2:$V$1001,0),0), INDEX($AC$1004:$AS$1004,1,MATCH(COLUMNS($AC$1006:AI1006),$AC$1006:$AS$1006,0)))),"Fix")))</f>
        <v xml:space="preserve"> </v>
      </c>
      <c r="I675" s="4" t="str">
        <f ca="1">IF(OR(INDEX($W$2:$W$1001,MATCH(ROWS($V$2:V675),$V$2:$V$1001,0),1)&gt;=100000,INDEX($AC$1005:$AS$1005,1,MATCH(COLUMNS($AC$1006:AJ1006),$AC$1006:$AS$1006,0))&gt;=100000), " ",IF(INDEX($AC$2:$AS$1001,MATCH(ROWS($V$2:V675),$V$2:$V$1001,0),MATCH(COLUMNS($AC$1006:AJ1006),$AC$1006:$AS$1006,0)), HYPERLINK("#",""), HYPERLINK(CONCATENATE("#metadata!", ADDRESS(INDEX($X$2:$X$1001,MATCH(ROWS($V$2:V675),$V$2:$V$1001,0),0), INDEX($AC$1004:$AS$1004,1,MATCH(COLUMNS($AC$1006:AJ1006),$AC$1006:$AS$1006,0)))),"Fix")))</f>
        <v xml:space="preserve"> </v>
      </c>
      <c r="J675" s="4" t="str">
        <f ca="1">IF(OR(INDEX($W$2:$W$1001,MATCH(ROWS($V$2:V675),$V$2:$V$1001,0),1)&gt;=100000,INDEX($AC$1005:$AS$1005,1,MATCH(COLUMNS($AC$1006:AK1006),$AC$1006:$AS$1006,0))&gt;=100000), " ",IF(INDEX($AC$2:$AS$1001,MATCH(ROWS($V$2:V675),$V$2:$V$1001,0),MATCH(COLUMNS($AC$1006:AK1006),$AC$1006:$AS$1006,0)), HYPERLINK("#",""), HYPERLINK(CONCATENATE("#metadata!", ADDRESS(INDEX($X$2:$X$1001,MATCH(ROWS($V$2:V675),$V$2:$V$1001,0),0), INDEX($AC$1004:$AS$1004,1,MATCH(COLUMNS($AC$1006:AK1006),$AC$1006:$AS$1006,0)))),"Fix")))</f>
        <v xml:space="preserve"> </v>
      </c>
      <c r="K675" s="4" t="str">
        <f ca="1">IF(OR(INDEX($W$2:$W$1001,MATCH(ROWS($V$2:V675),$V$2:$V$1001,0),1)&gt;=100000,INDEX($AC$1005:$AS$1005,1,MATCH(COLUMNS($AC$1006:AL1006),$AC$1006:$AS$1006,0))&gt;=100000), " ",IF(INDEX($AC$2:$AS$1001,MATCH(ROWS($V$2:V675),$V$2:$V$1001,0),MATCH(COLUMNS($AC$1006:AL1006),$AC$1006:$AS$1006,0)), HYPERLINK("#",""), HYPERLINK(CONCATENATE("#metadata!", ADDRESS(INDEX($X$2:$X$1001,MATCH(ROWS($V$2:V675),$V$2:$V$1001,0),0), INDEX($AC$1004:$AS$1004,1,MATCH(COLUMNS($AC$1006:AL1006),$AC$1006:$AS$1006,0)))),"Fix")))</f>
        <v xml:space="preserve"> </v>
      </c>
      <c r="L675" s="4" t="str">
        <f ca="1">IF(OR(INDEX($W$2:$W$1001,MATCH(ROWS($V$2:V675),$V$2:$V$1001,0),1)&gt;=100000,INDEX($AC$1005:$AS$1005,1,MATCH(COLUMNS($AC$1006:AM1006),$AC$1006:$AS$1006,0))&gt;=100000), " ",IF(INDEX($AC$2:$AS$1001,MATCH(ROWS($V$2:V675),$V$2:$V$1001,0),MATCH(COLUMNS($AC$1006:AM1006),$AC$1006:$AS$1006,0)), HYPERLINK("#",""), HYPERLINK(CONCATENATE("#metadata!", ADDRESS(INDEX($X$2:$X$1001,MATCH(ROWS($V$2:V675),$V$2:$V$1001,0),0), INDEX($AC$1004:$AS$1004,1,MATCH(COLUMNS($AC$1006:AM1006),$AC$1006:$AS$1006,0)))),"Fix")))</f>
        <v xml:space="preserve"> </v>
      </c>
      <c r="M675" s="4" t="str">
        <f ca="1">IF(OR(INDEX($W$2:$W$1001,MATCH(ROWS($V$2:V675),$V$2:$V$1001,0),1)&gt;=100000,INDEX($AC$1005:$AS$1005,1,MATCH(COLUMNS($AC$1006:AN1006),$AC$1006:$AS$1006,0))&gt;=100000), " ",IF(INDEX($AC$2:$AS$1001,MATCH(ROWS($V$2:V675),$V$2:$V$1001,0),MATCH(COLUMNS($AC$1006:AN1006),$AC$1006:$AS$1006,0)), HYPERLINK("#",""), HYPERLINK(CONCATENATE("#metadata!", ADDRESS(INDEX($X$2:$X$1001,MATCH(ROWS($V$2:V675),$V$2:$V$1001,0),0), INDEX($AC$1004:$AS$1004,1,MATCH(COLUMNS($AC$1006:AN1006),$AC$1006:$AS$1006,0)))),"Fix")))</f>
        <v xml:space="preserve"> </v>
      </c>
      <c r="N675" s="4" t="str">
        <f ca="1">IF(OR(INDEX($W$2:$W$1001,MATCH(ROWS($V$2:V675),$V$2:$V$1001,0),1)&gt;=100000,INDEX($AC$1005:$AS$1005,1,MATCH(COLUMNS($AC$1006:AO1006),$AC$1006:$AS$1006,0))&gt;=100000), " ",IF(INDEX($AC$2:$AS$1001,MATCH(ROWS($V$2:V675),$V$2:$V$1001,0),MATCH(COLUMNS($AC$1006:AO1006),$AC$1006:$AS$1006,0)), HYPERLINK("#",""), HYPERLINK(CONCATENATE("#metadata!", ADDRESS(INDEX($X$2:$X$1001,MATCH(ROWS($V$2:V675),$V$2:$V$1001,0),0), INDEX($AC$1004:$AS$1004,1,MATCH(COLUMNS($AC$1006:AO1006),$AC$1006:$AS$1006,0)))),"Fix")))</f>
        <v xml:space="preserve"> </v>
      </c>
      <c r="O675" s="4" t="str">
        <f ca="1">IF(OR(INDEX($W$2:$W$1001,MATCH(ROWS($V$2:V675),$V$2:$V$1001,0),1)&gt;=100000,INDEX($AC$1005:$AS$1005,1,MATCH(COLUMNS($AC$1006:AP1006),$AC$1006:$AS$1006,0))&gt;=100000), " ",IF(INDEX($AC$2:$AS$1001,MATCH(ROWS($V$2:V675),$V$2:$V$1001,0),MATCH(COLUMNS($AC$1006:AP1006),$AC$1006:$AS$1006,0)), HYPERLINK("#",""), HYPERLINK(CONCATENATE("#metadata!", ADDRESS(INDEX($X$2:$X$1001,MATCH(ROWS($V$2:V675),$V$2:$V$1001,0),0), INDEX($AC$1004:$AS$1004,1,MATCH(COLUMNS($AC$1006:AP1006),$AC$1006:$AS$1006,0)))),"Fix")))</f>
        <v xml:space="preserve"> </v>
      </c>
      <c r="P675" s="4" t="str">
        <f ca="1">IF(OR(INDEX($W$2:$W$1001,MATCH(ROWS($V$2:V675),$V$2:$V$1001,0),1)&gt;=100000,INDEX($AC$1005:$AS$1005,1,MATCH(COLUMNS($AC$1006:AQ1006),$AC$1006:$AS$1006,0))&gt;=100000), " ",IF(INDEX($AC$2:$AS$1001,MATCH(ROWS($V$2:V675),$V$2:$V$1001,0),MATCH(COLUMNS($AC$1006:AQ1006),$AC$1006:$AS$1006,0)), HYPERLINK("#",""), HYPERLINK(CONCATENATE("#metadata!", ADDRESS(INDEX($X$2:$X$1001,MATCH(ROWS($V$2:V675),$V$2:$V$1001,0),0), INDEX($AC$1004:$AS$1004,1,MATCH(COLUMNS($AC$1006:AQ1006),$AC$1006:$AS$1006,0)))),"Fix")))</f>
        <v xml:space="preserve"> </v>
      </c>
      <c r="Q675" s="4" t="str">
        <f ca="1">IF(OR(INDEX($W$2:$W$1001,MATCH(ROWS($V$2:V675),$V$2:$V$1001,0),1)&gt;=100000,INDEX($AC$1005:$AS$1005,1,MATCH(COLUMNS($AC$1006:AR1006),$AC$1006:$AS$1006,0))&gt;=100000), " ",IF(INDEX($AC$2:$AS$1001,MATCH(ROWS($V$2:V675),$V$2:$V$1001,0),MATCH(COLUMNS($AC$1006:AR1006),$AC$1006:$AS$1006,0)), HYPERLINK("#",""), HYPERLINK(CONCATENATE("#metadata!", ADDRESS(INDEX($X$2:$X$1001,MATCH(ROWS($V$2:V675),$V$2:$V$1001,0),0), INDEX($AC$1004:$AS$1004,1,MATCH(COLUMNS($AC$1006:AR1006),$AC$1006:$AS$1006,0)))),"Fix")))</f>
        <v xml:space="preserve"> </v>
      </c>
      <c r="R675" s="4" t="str">
        <f ca="1">IF(OR(INDEX($W$2:$W$1001,MATCH(ROWS($V$2:V675),$V$2:$V$1001,0),1)&gt;=100000,INDEX($AC$1005:$AS$1005,1,MATCH(COLUMNS($AC$1006:AS1006),$AC$1006:$AS$1006,0))&gt;=100000), " ",IF(INDEX($AC$2:$AS$1001,MATCH(ROWS($V$2:V675),$V$2:$V$1001,0),MATCH(COLUMNS($AC$1006:AS1006),$AC$1006:$AS$1006,0)), HYPERLINK("#",""), HYPERLINK(CONCATENATE("#metadata!", ADDRESS(INDEX($X$2:$X$1001,MATCH(ROWS($V$2:V675),$V$2:$V$1001,0),0), INDEX($AC$1004:$AS$1004,1,MATCH(COLUMNS($AC$1006:AS1006),$AC$1006:$AS$1006,0)))),"Fix")))</f>
        <v xml:space="preserve"> </v>
      </c>
      <c r="V675">
        <v>674</v>
      </c>
      <c r="W675">
        <v>100675</v>
      </c>
      <c r="X675">
        <v>675</v>
      </c>
      <c r="Y675" t="b">
        <f t="shared" si="10"/>
        <v>1</v>
      </c>
      <c r="Z675" t="b">
        <f>COUNTBLANK(metadata!B675:R675)=COLUMNS(metadata!B675:R675)</f>
        <v>1</v>
      </c>
      <c r="AA675" t="str">
        <v/>
      </c>
      <c r="AC675" t="b">
        <f ca="1"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AD675" t="b">
        <f>IF(metadata!C675="",FALSE,ISNUMBER(VALUE(metadata!C675)))</f>
        <v>0</v>
      </c>
      <c r="AE675" t="b">
        <f>AND(IF(metadata!D675="",FALSE,TRUE),EXACT(metadata!D675,"years"))</f>
        <v>0</v>
      </c>
      <c r="AF675" t="b">
        <f>OR(AND(IF(metadata!E675="",FALSE,TRUE),OR(EXACT(metadata!E675,"not applicable"),EXACT(metadata!E675,"missing: not collected"),EXACT(metadata!E675,"missing: not provided"),EXACT(metadata!E675,"missing: restricted access"))),AND(IF(metadata!E675="",FALSE,ISNUMBER(VALUE(metadata!E675))),metadata!E675&gt;0))</f>
        <v>0</v>
      </c>
      <c r="AG675" t="b">
        <f>AND(IF(metadata!F675="",FALSE,TRUE),EXACT(metadata!F675,"Not applicable"))</f>
        <v>0</v>
      </c>
      <c r="AH675" t="b">
        <f>AND(IF(metadata!G675="",FALSE,TRUE),EXACT(metadata!G675,"urban biome"))</f>
        <v>0</v>
      </c>
      <c r="AI675" t="b">
        <f>AND(IF(metadata!H675="",FALSE,TRUE),EXACT(metadata!H675,"human-associated habitat"))</f>
        <v>0</v>
      </c>
      <c r="AJ675" t="b">
        <f>AND(IF(metadata!I675="",FALSE,TRUE),OR(EXACT(metadata!I675,"human-associated"),EXACT(metadata!I675,"human-skin"),EXACT(metadata!I675,"human-oral"),EXACT(metadata!I675,"human-gut"),EXACT(metadata!I675,"human-vaginal")))</f>
        <v>0</v>
      </c>
      <c r="AK675" t="b">
        <f>IF(metadata!J675="",FALSE,ISNUMBER(VALUE(metadata!J675)))</f>
        <v>0</v>
      </c>
      <c r="AL675" t="b">
        <f>AND(IF(metadata!K675="",FALSE,TRUE),EXACT(metadata!K675,"cm"))</f>
        <v>0</v>
      </c>
      <c r="AM675" t="b">
        <f>AND(IF(metadata!L675="",FALSE,TRUE),EXACT(metadata!L675,"human"))</f>
        <v>0</v>
      </c>
      <c r="AN675" t="b">
        <f>AND(IF(metadata!M675="",FALSE,TRUE),EXACT(metadata!M675,"Homo sapiens"))</f>
        <v>0</v>
      </c>
      <c r="AO675" t="b">
        <f>AND(IF(metadata!N675="",FALSE,TRUE),EXACT(metadata!N675,"9606"))</f>
        <v>0</v>
      </c>
      <c r="AP675" t="b">
        <f>IF(metadata!O675="",FALSE,TRUE)</f>
        <v>0</v>
      </c>
      <c r="AQ675" t="b">
        <f>IF(metadata!P675="",FALSE,TRUE)</f>
        <v>0</v>
      </c>
      <c r="AR675" t="b">
        <f>IF(metadata!Q675="",FALSE,ISNUMBER(VALUE(metadata!Q675)))</f>
        <v>0</v>
      </c>
      <c r="AS675" t="b">
        <f>AND(IF(metadata!R675="",FALSE,TRUE),EXACT(metadata!R675,"kg"))</f>
        <v>0</v>
      </c>
    </row>
    <row r="676" spans="1:45" x14ac:dyDescent="0.2">
      <c r="A676" s="5" t="str">
        <f ca="1">IF(B676=" "," ",HYPERLINK(CONCATENATE("#metadata!",ADDRESS(INDEX($X$2:$X$1001,MATCH(ROWS($V$2:V676),$V$2:$V$1001,0),0),1)),INDEX($AA$2:$AA$1001,MATCH(ROWS($V$2:V676),$V$2:$V$1001,0),0)))</f>
        <v xml:space="preserve"> </v>
      </c>
      <c r="B676" s="4" t="str">
        <f ca="1">IF(OR(INDEX($W$2:$W$1001,MATCH(ROWS($V$2:V676),$V$2:$V$1001,0),1)&gt;=100000,INDEX($AC$1005:$AS$1005,1,MATCH(COLUMNS($AC$1006:AC1006),$AC$1006:$AS$1006,0))&gt;=100000), " ",IF(INDEX($AC$2:$AS$1001,MATCH(ROWS($V$2:V676),$V$2:$V$1001,0),MATCH(COLUMNS($AC$1006:AC1006),$AC$1006:$AS$1006,0)), HYPERLINK("#",""), HYPERLINK(CONCATENATE("#metadata!", ADDRESS(INDEX($X$2:$X$1001,MATCH(ROWS($V$2:V676),$V$2:$V$1001,0),0), INDEX($AC$1004:$AS$1004,1,MATCH(COLUMNS($AC$1006:AC1006),$AC$1006:$AS$1006,0)))),"Fix")))</f>
        <v xml:space="preserve"> </v>
      </c>
      <c r="C676" s="4" t="str">
        <f ca="1">IF(OR(INDEX($W$2:$W$1001,MATCH(ROWS($V$2:V676),$V$2:$V$1001,0),1)&gt;=100000,INDEX($AC$1005:$AS$1005,1,MATCH(COLUMNS($AC$1006:AD1006),$AC$1006:$AS$1006,0))&gt;=100000), " ",IF(INDEX($AC$2:$AS$1001,MATCH(ROWS($V$2:V676),$V$2:$V$1001,0),MATCH(COLUMNS($AC$1006:AD1006),$AC$1006:$AS$1006,0)), HYPERLINK("#",""), HYPERLINK(CONCATENATE("#metadata!", ADDRESS(INDEX($X$2:$X$1001,MATCH(ROWS($V$2:V676),$V$2:$V$1001,0),0), INDEX($AC$1004:$AS$1004,1,MATCH(COLUMNS($AC$1006:AD1006),$AC$1006:$AS$1006,0)))),"Fix")))</f>
        <v xml:space="preserve"> </v>
      </c>
      <c r="D676" s="4" t="str">
        <f ca="1">IF(OR(INDEX($W$2:$W$1001,MATCH(ROWS($V$2:V676),$V$2:$V$1001,0),1)&gt;=100000,INDEX($AC$1005:$AS$1005,1,MATCH(COLUMNS($AC$1006:AE1006),$AC$1006:$AS$1006,0))&gt;=100000), " ",IF(INDEX($AC$2:$AS$1001,MATCH(ROWS($V$2:V676),$V$2:$V$1001,0),MATCH(COLUMNS($AC$1006:AE1006),$AC$1006:$AS$1006,0)), HYPERLINK("#",""), HYPERLINK(CONCATENATE("#metadata!", ADDRESS(INDEX($X$2:$X$1001,MATCH(ROWS($V$2:V676),$V$2:$V$1001,0),0), INDEX($AC$1004:$AS$1004,1,MATCH(COLUMNS($AC$1006:AE1006),$AC$1006:$AS$1006,0)))),"Fix")))</f>
        <v xml:space="preserve"> </v>
      </c>
      <c r="E676" s="4" t="str">
        <f ca="1">IF(OR(INDEX($W$2:$W$1001,MATCH(ROWS($V$2:V676),$V$2:$V$1001,0),1)&gt;=100000,INDEX($AC$1005:$AS$1005,1,MATCH(COLUMNS($AC$1006:AF1006),$AC$1006:$AS$1006,0))&gt;=100000), " ",IF(INDEX($AC$2:$AS$1001,MATCH(ROWS($V$2:V676),$V$2:$V$1001,0),MATCH(COLUMNS($AC$1006:AF1006),$AC$1006:$AS$1006,0)), HYPERLINK("#",""), HYPERLINK(CONCATENATE("#metadata!", ADDRESS(INDEX($X$2:$X$1001,MATCH(ROWS($V$2:V676),$V$2:$V$1001,0),0), INDEX($AC$1004:$AS$1004,1,MATCH(COLUMNS($AC$1006:AF1006),$AC$1006:$AS$1006,0)))),"Fix")))</f>
        <v xml:space="preserve"> </v>
      </c>
      <c r="F676" s="4" t="str">
        <f ca="1">IF(OR(INDEX($W$2:$W$1001,MATCH(ROWS($V$2:V676),$V$2:$V$1001,0),1)&gt;=100000,INDEX($AC$1005:$AS$1005,1,MATCH(COLUMNS($AC$1006:AG1006),$AC$1006:$AS$1006,0))&gt;=100000), " ",IF(INDEX($AC$2:$AS$1001,MATCH(ROWS($V$2:V676),$V$2:$V$1001,0),MATCH(COLUMNS($AC$1006:AG1006),$AC$1006:$AS$1006,0)), HYPERLINK("#",""), HYPERLINK(CONCATENATE("#metadata!", ADDRESS(INDEX($X$2:$X$1001,MATCH(ROWS($V$2:V676),$V$2:$V$1001,0),0), INDEX($AC$1004:$AS$1004,1,MATCH(COLUMNS($AC$1006:AG1006),$AC$1006:$AS$1006,0)))),"Fix")))</f>
        <v xml:space="preserve"> </v>
      </c>
      <c r="G676" s="4" t="str">
        <f ca="1">IF(OR(INDEX($W$2:$W$1001,MATCH(ROWS($V$2:V676),$V$2:$V$1001,0),1)&gt;=100000,INDEX($AC$1005:$AS$1005,1,MATCH(COLUMNS($AC$1006:AH1006),$AC$1006:$AS$1006,0))&gt;=100000), " ",IF(INDEX($AC$2:$AS$1001,MATCH(ROWS($V$2:V676),$V$2:$V$1001,0),MATCH(COLUMNS($AC$1006:AH1006),$AC$1006:$AS$1006,0)), HYPERLINK("#",""), HYPERLINK(CONCATENATE("#metadata!", ADDRESS(INDEX($X$2:$X$1001,MATCH(ROWS($V$2:V676),$V$2:$V$1001,0),0), INDEX($AC$1004:$AS$1004,1,MATCH(COLUMNS($AC$1006:AH1006),$AC$1006:$AS$1006,0)))),"Fix")))</f>
        <v xml:space="preserve"> </v>
      </c>
      <c r="H676" s="4" t="str">
        <f ca="1">IF(OR(INDEX($W$2:$W$1001,MATCH(ROWS($V$2:V676),$V$2:$V$1001,0),1)&gt;=100000,INDEX($AC$1005:$AS$1005,1,MATCH(COLUMNS($AC$1006:AI1006),$AC$1006:$AS$1006,0))&gt;=100000), " ",IF(INDEX($AC$2:$AS$1001,MATCH(ROWS($V$2:V676),$V$2:$V$1001,0),MATCH(COLUMNS($AC$1006:AI1006),$AC$1006:$AS$1006,0)), HYPERLINK("#",""), HYPERLINK(CONCATENATE("#metadata!", ADDRESS(INDEX($X$2:$X$1001,MATCH(ROWS($V$2:V676),$V$2:$V$1001,0),0), INDEX($AC$1004:$AS$1004,1,MATCH(COLUMNS($AC$1006:AI1006),$AC$1006:$AS$1006,0)))),"Fix")))</f>
        <v xml:space="preserve"> </v>
      </c>
      <c r="I676" s="4" t="str">
        <f ca="1">IF(OR(INDEX($W$2:$W$1001,MATCH(ROWS($V$2:V676),$V$2:$V$1001,0),1)&gt;=100000,INDEX($AC$1005:$AS$1005,1,MATCH(COLUMNS($AC$1006:AJ1006),$AC$1006:$AS$1006,0))&gt;=100000), " ",IF(INDEX($AC$2:$AS$1001,MATCH(ROWS($V$2:V676),$V$2:$V$1001,0),MATCH(COLUMNS($AC$1006:AJ1006),$AC$1006:$AS$1006,0)), HYPERLINK("#",""), HYPERLINK(CONCATENATE("#metadata!", ADDRESS(INDEX($X$2:$X$1001,MATCH(ROWS($V$2:V676),$V$2:$V$1001,0),0), INDEX($AC$1004:$AS$1004,1,MATCH(COLUMNS($AC$1006:AJ1006),$AC$1006:$AS$1006,0)))),"Fix")))</f>
        <v xml:space="preserve"> </v>
      </c>
      <c r="J676" s="4" t="str">
        <f ca="1">IF(OR(INDEX($W$2:$W$1001,MATCH(ROWS($V$2:V676),$V$2:$V$1001,0),1)&gt;=100000,INDEX($AC$1005:$AS$1005,1,MATCH(COLUMNS($AC$1006:AK1006),$AC$1006:$AS$1006,0))&gt;=100000), " ",IF(INDEX($AC$2:$AS$1001,MATCH(ROWS($V$2:V676),$V$2:$V$1001,0),MATCH(COLUMNS($AC$1006:AK1006),$AC$1006:$AS$1006,0)), HYPERLINK("#",""), HYPERLINK(CONCATENATE("#metadata!", ADDRESS(INDEX($X$2:$X$1001,MATCH(ROWS($V$2:V676),$V$2:$V$1001,0),0), INDEX($AC$1004:$AS$1004,1,MATCH(COLUMNS($AC$1006:AK1006),$AC$1006:$AS$1006,0)))),"Fix")))</f>
        <v xml:space="preserve"> </v>
      </c>
      <c r="K676" s="4" t="str">
        <f ca="1">IF(OR(INDEX($W$2:$W$1001,MATCH(ROWS($V$2:V676),$V$2:$V$1001,0),1)&gt;=100000,INDEX($AC$1005:$AS$1005,1,MATCH(COLUMNS($AC$1006:AL1006),$AC$1006:$AS$1006,0))&gt;=100000), " ",IF(INDEX($AC$2:$AS$1001,MATCH(ROWS($V$2:V676),$V$2:$V$1001,0),MATCH(COLUMNS($AC$1006:AL1006),$AC$1006:$AS$1006,0)), HYPERLINK("#",""), HYPERLINK(CONCATENATE("#metadata!", ADDRESS(INDEX($X$2:$X$1001,MATCH(ROWS($V$2:V676),$V$2:$V$1001,0),0), INDEX($AC$1004:$AS$1004,1,MATCH(COLUMNS($AC$1006:AL1006),$AC$1006:$AS$1006,0)))),"Fix")))</f>
        <v xml:space="preserve"> </v>
      </c>
      <c r="L676" s="4" t="str">
        <f ca="1">IF(OR(INDEX($W$2:$W$1001,MATCH(ROWS($V$2:V676),$V$2:$V$1001,0),1)&gt;=100000,INDEX($AC$1005:$AS$1005,1,MATCH(COLUMNS($AC$1006:AM1006),$AC$1006:$AS$1006,0))&gt;=100000), " ",IF(INDEX($AC$2:$AS$1001,MATCH(ROWS($V$2:V676),$V$2:$V$1001,0),MATCH(COLUMNS($AC$1006:AM1006),$AC$1006:$AS$1006,0)), HYPERLINK("#",""), HYPERLINK(CONCATENATE("#metadata!", ADDRESS(INDEX($X$2:$X$1001,MATCH(ROWS($V$2:V676),$V$2:$V$1001,0),0), INDEX($AC$1004:$AS$1004,1,MATCH(COLUMNS($AC$1006:AM1006),$AC$1006:$AS$1006,0)))),"Fix")))</f>
        <v xml:space="preserve"> </v>
      </c>
      <c r="M676" s="4" t="str">
        <f ca="1">IF(OR(INDEX($W$2:$W$1001,MATCH(ROWS($V$2:V676),$V$2:$V$1001,0),1)&gt;=100000,INDEX($AC$1005:$AS$1005,1,MATCH(COLUMNS($AC$1006:AN1006),$AC$1006:$AS$1006,0))&gt;=100000), " ",IF(INDEX($AC$2:$AS$1001,MATCH(ROWS($V$2:V676),$V$2:$V$1001,0),MATCH(COLUMNS($AC$1006:AN1006),$AC$1006:$AS$1006,0)), HYPERLINK("#",""), HYPERLINK(CONCATENATE("#metadata!", ADDRESS(INDEX($X$2:$X$1001,MATCH(ROWS($V$2:V676),$V$2:$V$1001,0),0), INDEX($AC$1004:$AS$1004,1,MATCH(COLUMNS($AC$1006:AN1006),$AC$1006:$AS$1006,0)))),"Fix")))</f>
        <v xml:space="preserve"> </v>
      </c>
      <c r="N676" s="4" t="str">
        <f ca="1">IF(OR(INDEX($W$2:$W$1001,MATCH(ROWS($V$2:V676),$V$2:$V$1001,0),1)&gt;=100000,INDEX($AC$1005:$AS$1005,1,MATCH(COLUMNS($AC$1006:AO1006),$AC$1006:$AS$1006,0))&gt;=100000), " ",IF(INDEX($AC$2:$AS$1001,MATCH(ROWS($V$2:V676),$V$2:$V$1001,0),MATCH(COLUMNS($AC$1006:AO1006),$AC$1006:$AS$1006,0)), HYPERLINK("#",""), HYPERLINK(CONCATENATE("#metadata!", ADDRESS(INDEX($X$2:$X$1001,MATCH(ROWS($V$2:V676),$V$2:$V$1001,0),0), INDEX($AC$1004:$AS$1004,1,MATCH(COLUMNS($AC$1006:AO1006),$AC$1006:$AS$1006,0)))),"Fix")))</f>
        <v xml:space="preserve"> </v>
      </c>
      <c r="O676" s="4" t="str">
        <f ca="1">IF(OR(INDEX($W$2:$W$1001,MATCH(ROWS($V$2:V676),$V$2:$V$1001,0),1)&gt;=100000,INDEX($AC$1005:$AS$1005,1,MATCH(COLUMNS($AC$1006:AP1006),$AC$1006:$AS$1006,0))&gt;=100000), " ",IF(INDEX($AC$2:$AS$1001,MATCH(ROWS($V$2:V676),$V$2:$V$1001,0),MATCH(COLUMNS($AC$1006:AP1006),$AC$1006:$AS$1006,0)), HYPERLINK("#",""), HYPERLINK(CONCATENATE("#metadata!", ADDRESS(INDEX($X$2:$X$1001,MATCH(ROWS($V$2:V676),$V$2:$V$1001,0),0), INDEX($AC$1004:$AS$1004,1,MATCH(COLUMNS($AC$1006:AP1006),$AC$1006:$AS$1006,0)))),"Fix")))</f>
        <v xml:space="preserve"> </v>
      </c>
      <c r="P676" s="4" t="str">
        <f ca="1">IF(OR(INDEX($W$2:$W$1001,MATCH(ROWS($V$2:V676),$V$2:$V$1001,0),1)&gt;=100000,INDEX($AC$1005:$AS$1005,1,MATCH(COLUMNS($AC$1006:AQ1006),$AC$1006:$AS$1006,0))&gt;=100000), " ",IF(INDEX($AC$2:$AS$1001,MATCH(ROWS($V$2:V676),$V$2:$V$1001,0),MATCH(COLUMNS($AC$1006:AQ1006),$AC$1006:$AS$1006,0)), HYPERLINK("#",""), HYPERLINK(CONCATENATE("#metadata!", ADDRESS(INDEX($X$2:$X$1001,MATCH(ROWS($V$2:V676),$V$2:$V$1001,0),0), INDEX($AC$1004:$AS$1004,1,MATCH(COLUMNS($AC$1006:AQ1006),$AC$1006:$AS$1006,0)))),"Fix")))</f>
        <v xml:space="preserve"> </v>
      </c>
      <c r="Q676" s="4" t="str">
        <f ca="1">IF(OR(INDEX($W$2:$W$1001,MATCH(ROWS($V$2:V676),$V$2:$V$1001,0),1)&gt;=100000,INDEX($AC$1005:$AS$1005,1,MATCH(COLUMNS($AC$1006:AR1006),$AC$1006:$AS$1006,0))&gt;=100000), " ",IF(INDEX($AC$2:$AS$1001,MATCH(ROWS($V$2:V676),$V$2:$V$1001,0),MATCH(COLUMNS($AC$1006:AR1006),$AC$1006:$AS$1006,0)), HYPERLINK("#",""), HYPERLINK(CONCATENATE("#metadata!", ADDRESS(INDEX($X$2:$X$1001,MATCH(ROWS($V$2:V676),$V$2:$V$1001,0),0), INDEX($AC$1004:$AS$1004,1,MATCH(COLUMNS($AC$1006:AR1006),$AC$1006:$AS$1006,0)))),"Fix")))</f>
        <v xml:space="preserve"> </v>
      </c>
      <c r="R676" s="4" t="str">
        <f ca="1">IF(OR(INDEX($W$2:$W$1001,MATCH(ROWS($V$2:V676),$V$2:$V$1001,0),1)&gt;=100000,INDEX($AC$1005:$AS$1005,1,MATCH(COLUMNS($AC$1006:AS1006),$AC$1006:$AS$1006,0))&gt;=100000), " ",IF(INDEX($AC$2:$AS$1001,MATCH(ROWS($V$2:V676),$V$2:$V$1001,0),MATCH(COLUMNS($AC$1006:AS1006),$AC$1006:$AS$1006,0)), HYPERLINK("#",""), HYPERLINK(CONCATENATE("#metadata!", ADDRESS(INDEX($X$2:$X$1001,MATCH(ROWS($V$2:V676),$V$2:$V$1001,0),0), INDEX($AC$1004:$AS$1004,1,MATCH(COLUMNS($AC$1006:AS1006),$AC$1006:$AS$1006,0)))),"Fix")))</f>
        <v xml:space="preserve"> </v>
      </c>
      <c r="V676">
        <v>675</v>
      </c>
      <c r="W676">
        <v>100676</v>
      </c>
      <c r="X676">
        <v>676</v>
      </c>
      <c r="Y676" t="b">
        <f t="shared" si="10"/>
        <v>1</v>
      </c>
      <c r="Z676" t="b">
        <f>COUNTBLANK(metadata!B676:R676)=COLUMNS(metadata!B676:R676)</f>
        <v>1</v>
      </c>
      <c r="AA676" t="str">
        <v/>
      </c>
      <c r="AC676" t="b">
        <f ca="1"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AD676" t="b">
        <f>IF(metadata!C676="",FALSE,ISNUMBER(VALUE(metadata!C676)))</f>
        <v>0</v>
      </c>
      <c r="AE676" t="b">
        <f>AND(IF(metadata!D676="",FALSE,TRUE),EXACT(metadata!D676,"years"))</f>
        <v>0</v>
      </c>
      <c r="AF676" t="b">
        <f>OR(AND(IF(metadata!E676="",FALSE,TRUE),OR(EXACT(metadata!E676,"not applicable"),EXACT(metadata!E676,"missing: not collected"),EXACT(metadata!E676,"missing: not provided"),EXACT(metadata!E676,"missing: restricted access"))),AND(IF(metadata!E676="",FALSE,ISNUMBER(VALUE(metadata!E676))),metadata!E676&gt;0))</f>
        <v>0</v>
      </c>
      <c r="AG676" t="b">
        <f>AND(IF(metadata!F676="",FALSE,TRUE),EXACT(metadata!F676,"Not applicable"))</f>
        <v>0</v>
      </c>
      <c r="AH676" t="b">
        <f>AND(IF(metadata!G676="",FALSE,TRUE),EXACT(metadata!G676,"urban biome"))</f>
        <v>0</v>
      </c>
      <c r="AI676" t="b">
        <f>AND(IF(metadata!H676="",FALSE,TRUE),EXACT(metadata!H676,"human-associated habitat"))</f>
        <v>0</v>
      </c>
      <c r="AJ676" t="b">
        <f>AND(IF(metadata!I676="",FALSE,TRUE),OR(EXACT(metadata!I676,"human-associated"),EXACT(metadata!I676,"human-skin"),EXACT(metadata!I676,"human-oral"),EXACT(metadata!I676,"human-gut"),EXACT(metadata!I676,"human-vaginal")))</f>
        <v>0</v>
      </c>
      <c r="AK676" t="b">
        <f>IF(metadata!J676="",FALSE,ISNUMBER(VALUE(metadata!J676)))</f>
        <v>0</v>
      </c>
      <c r="AL676" t="b">
        <f>AND(IF(metadata!K676="",FALSE,TRUE),EXACT(metadata!K676,"cm"))</f>
        <v>0</v>
      </c>
      <c r="AM676" t="b">
        <f>AND(IF(metadata!L676="",FALSE,TRUE),EXACT(metadata!L676,"human"))</f>
        <v>0</v>
      </c>
      <c r="AN676" t="b">
        <f>AND(IF(metadata!M676="",FALSE,TRUE),EXACT(metadata!M676,"Homo sapiens"))</f>
        <v>0</v>
      </c>
      <c r="AO676" t="b">
        <f>AND(IF(metadata!N676="",FALSE,TRUE),EXACT(metadata!N676,"9606"))</f>
        <v>0</v>
      </c>
      <c r="AP676" t="b">
        <f>IF(metadata!O676="",FALSE,TRUE)</f>
        <v>0</v>
      </c>
      <c r="AQ676" t="b">
        <f>IF(metadata!P676="",FALSE,TRUE)</f>
        <v>0</v>
      </c>
      <c r="AR676" t="b">
        <f>IF(metadata!Q676="",FALSE,ISNUMBER(VALUE(metadata!Q676)))</f>
        <v>0</v>
      </c>
      <c r="AS676" t="b">
        <f>AND(IF(metadata!R676="",FALSE,TRUE),EXACT(metadata!R676,"kg"))</f>
        <v>0</v>
      </c>
    </row>
    <row r="677" spans="1:45" x14ac:dyDescent="0.2">
      <c r="A677" s="5" t="str">
        <f ca="1">IF(B677=" "," ",HYPERLINK(CONCATENATE("#metadata!",ADDRESS(INDEX($X$2:$X$1001,MATCH(ROWS($V$2:V677),$V$2:$V$1001,0),0),1)),INDEX($AA$2:$AA$1001,MATCH(ROWS($V$2:V677),$V$2:$V$1001,0),0)))</f>
        <v xml:space="preserve"> </v>
      </c>
      <c r="B677" s="4" t="str">
        <f ca="1">IF(OR(INDEX($W$2:$W$1001,MATCH(ROWS($V$2:V677),$V$2:$V$1001,0),1)&gt;=100000,INDEX($AC$1005:$AS$1005,1,MATCH(COLUMNS($AC$1006:AC1006),$AC$1006:$AS$1006,0))&gt;=100000), " ",IF(INDEX($AC$2:$AS$1001,MATCH(ROWS($V$2:V677),$V$2:$V$1001,0),MATCH(COLUMNS($AC$1006:AC1006),$AC$1006:$AS$1006,0)), HYPERLINK("#",""), HYPERLINK(CONCATENATE("#metadata!", ADDRESS(INDEX($X$2:$X$1001,MATCH(ROWS($V$2:V677),$V$2:$V$1001,0),0), INDEX($AC$1004:$AS$1004,1,MATCH(COLUMNS($AC$1006:AC1006),$AC$1006:$AS$1006,0)))),"Fix")))</f>
        <v xml:space="preserve"> </v>
      </c>
      <c r="C677" s="4" t="str">
        <f ca="1">IF(OR(INDEX($W$2:$W$1001,MATCH(ROWS($V$2:V677),$V$2:$V$1001,0),1)&gt;=100000,INDEX($AC$1005:$AS$1005,1,MATCH(COLUMNS($AC$1006:AD1006),$AC$1006:$AS$1006,0))&gt;=100000), " ",IF(INDEX($AC$2:$AS$1001,MATCH(ROWS($V$2:V677),$V$2:$V$1001,0),MATCH(COLUMNS($AC$1006:AD1006),$AC$1006:$AS$1006,0)), HYPERLINK("#",""), HYPERLINK(CONCATENATE("#metadata!", ADDRESS(INDEX($X$2:$X$1001,MATCH(ROWS($V$2:V677),$V$2:$V$1001,0),0), INDEX($AC$1004:$AS$1004,1,MATCH(COLUMNS($AC$1006:AD1006),$AC$1006:$AS$1006,0)))),"Fix")))</f>
        <v xml:space="preserve"> </v>
      </c>
      <c r="D677" s="4" t="str">
        <f ca="1">IF(OR(INDEX($W$2:$W$1001,MATCH(ROWS($V$2:V677),$V$2:$V$1001,0),1)&gt;=100000,INDEX($AC$1005:$AS$1005,1,MATCH(COLUMNS($AC$1006:AE1006),$AC$1006:$AS$1006,0))&gt;=100000), " ",IF(INDEX($AC$2:$AS$1001,MATCH(ROWS($V$2:V677),$V$2:$V$1001,0),MATCH(COLUMNS($AC$1006:AE1006),$AC$1006:$AS$1006,0)), HYPERLINK("#",""), HYPERLINK(CONCATENATE("#metadata!", ADDRESS(INDEX($X$2:$X$1001,MATCH(ROWS($V$2:V677),$V$2:$V$1001,0),0), INDEX($AC$1004:$AS$1004,1,MATCH(COLUMNS($AC$1006:AE1006),$AC$1006:$AS$1006,0)))),"Fix")))</f>
        <v xml:space="preserve"> </v>
      </c>
      <c r="E677" s="4" t="str">
        <f ca="1">IF(OR(INDEX($W$2:$W$1001,MATCH(ROWS($V$2:V677),$V$2:$V$1001,0),1)&gt;=100000,INDEX($AC$1005:$AS$1005,1,MATCH(COLUMNS($AC$1006:AF1006),$AC$1006:$AS$1006,0))&gt;=100000), " ",IF(INDEX($AC$2:$AS$1001,MATCH(ROWS($V$2:V677),$V$2:$V$1001,0),MATCH(COLUMNS($AC$1006:AF1006),$AC$1006:$AS$1006,0)), HYPERLINK("#",""), HYPERLINK(CONCATENATE("#metadata!", ADDRESS(INDEX($X$2:$X$1001,MATCH(ROWS($V$2:V677),$V$2:$V$1001,0),0), INDEX($AC$1004:$AS$1004,1,MATCH(COLUMNS($AC$1006:AF1006),$AC$1006:$AS$1006,0)))),"Fix")))</f>
        <v xml:space="preserve"> </v>
      </c>
      <c r="F677" s="4" t="str">
        <f ca="1">IF(OR(INDEX($W$2:$W$1001,MATCH(ROWS($V$2:V677),$V$2:$V$1001,0),1)&gt;=100000,INDEX($AC$1005:$AS$1005,1,MATCH(COLUMNS($AC$1006:AG1006),$AC$1006:$AS$1006,0))&gt;=100000), " ",IF(INDEX($AC$2:$AS$1001,MATCH(ROWS($V$2:V677),$V$2:$V$1001,0),MATCH(COLUMNS($AC$1006:AG1006),$AC$1006:$AS$1006,0)), HYPERLINK("#",""), HYPERLINK(CONCATENATE("#metadata!", ADDRESS(INDEX($X$2:$X$1001,MATCH(ROWS($V$2:V677),$V$2:$V$1001,0),0), INDEX($AC$1004:$AS$1004,1,MATCH(COLUMNS($AC$1006:AG1006),$AC$1006:$AS$1006,0)))),"Fix")))</f>
        <v xml:space="preserve"> </v>
      </c>
      <c r="G677" s="4" t="str">
        <f ca="1">IF(OR(INDEX($W$2:$W$1001,MATCH(ROWS($V$2:V677),$V$2:$V$1001,0),1)&gt;=100000,INDEX($AC$1005:$AS$1005,1,MATCH(COLUMNS($AC$1006:AH1006),$AC$1006:$AS$1006,0))&gt;=100000), " ",IF(INDEX($AC$2:$AS$1001,MATCH(ROWS($V$2:V677),$V$2:$V$1001,0),MATCH(COLUMNS($AC$1006:AH1006),$AC$1006:$AS$1006,0)), HYPERLINK("#",""), HYPERLINK(CONCATENATE("#metadata!", ADDRESS(INDEX($X$2:$X$1001,MATCH(ROWS($V$2:V677),$V$2:$V$1001,0),0), INDEX($AC$1004:$AS$1004,1,MATCH(COLUMNS($AC$1006:AH1006),$AC$1006:$AS$1006,0)))),"Fix")))</f>
        <v xml:space="preserve"> </v>
      </c>
      <c r="H677" s="4" t="str">
        <f ca="1">IF(OR(INDEX($W$2:$W$1001,MATCH(ROWS($V$2:V677),$V$2:$V$1001,0),1)&gt;=100000,INDEX($AC$1005:$AS$1005,1,MATCH(COLUMNS($AC$1006:AI1006),$AC$1006:$AS$1006,0))&gt;=100000), " ",IF(INDEX($AC$2:$AS$1001,MATCH(ROWS($V$2:V677),$V$2:$V$1001,0),MATCH(COLUMNS($AC$1006:AI1006),$AC$1006:$AS$1006,0)), HYPERLINK("#",""), HYPERLINK(CONCATENATE("#metadata!", ADDRESS(INDEX($X$2:$X$1001,MATCH(ROWS($V$2:V677),$V$2:$V$1001,0),0), INDEX($AC$1004:$AS$1004,1,MATCH(COLUMNS($AC$1006:AI1006),$AC$1006:$AS$1006,0)))),"Fix")))</f>
        <v xml:space="preserve"> </v>
      </c>
      <c r="I677" s="4" t="str">
        <f ca="1">IF(OR(INDEX($W$2:$W$1001,MATCH(ROWS($V$2:V677),$V$2:$V$1001,0),1)&gt;=100000,INDEX($AC$1005:$AS$1005,1,MATCH(COLUMNS($AC$1006:AJ1006),$AC$1006:$AS$1006,0))&gt;=100000), " ",IF(INDEX($AC$2:$AS$1001,MATCH(ROWS($V$2:V677),$V$2:$V$1001,0),MATCH(COLUMNS($AC$1006:AJ1006),$AC$1006:$AS$1006,0)), HYPERLINK("#",""), HYPERLINK(CONCATENATE("#metadata!", ADDRESS(INDEX($X$2:$X$1001,MATCH(ROWS($V$2:V677),$V$2:$V$1001,0),0), INDEX($AC$1004:$AS$1004,1,MATCH(COLUMNS($AC$1006:AJ1006),$AC$1006:$AS$1006,0)))),"Fix")))</f>
        <v xml:space="preserve"> </v>
      </c>
      <c r="J677" s="4" t="str">
        <f ca="1">IF(OR(INDEX($W$2:$W$1001,MATCH(ROWS($V$2:V677),$V$2:$V$1001,0),1)&gt;=100000,INDEX($AC$1005:$AS$1005,1,MATCH(COLUMNS($AC$1006:AK1006),$AC$1006:$AS$1006,0))&gt;=100000), " ",IF(INDEX($AC$2:$AS$1001,MATCH(ROWS($V$2:V677),$V$2:$V$1001,0),MATCH(COLUMNS($AC$1006:AK1006),$AC$1006:$AS$1006,0)), HYPERLINK("#",""), HYPERLINK(CONCATENATE("#metadata!", ADDRESS(INDEX($X$2:$X$1001,MATCH(ROWS($V$2:V677),$V$2:$V$1001,0),0), INDEX($AC$1004:$AS$1004,1,MATCH(COLUMNS($AC$1006:AK1006),$AC$1006:$AS$1006,0)))),"Fix")))</f>
        <v xml:space="preserve"> </v>
      </c>
      <c r="K677" s="4" t="str">
        <f ca="1">IF(OR(INDEX($W$2:$W$1001,MATCH(ROWS($V$2:V677),$V$2:$V$1001,0),1)&gt;=100000,INDEX($AC$1005:$AS$1005,1,MATCH(COLUMNS($AC$1006:AL1006),$AC$1006:$AS$1006,0))&gt;=100000), " ",IF(INDEX($AC$2:$AS$1001,MATCH(ROWS($V$2:V677),$V$2:$V$1001,0),MATCH(COLUMNS($AC$1006:AL1006),$AC$1006:$AS$1006,0)), HYPERLINK("#",""), HYPERLINK(CONCATENATE("#metadata!", ADDRESS(INDEX($X$2:$X$1001,MATCH(ROWS($V$2:V677),$V$2:$V$1001,0),0), INDEX($AC$1004:$AS$1004,1,MATCH(COLUMNS($AC$1006:AL1006),$AC$1006:$AS$1006,0)))),"Fix")))</f>
        <v xml:space="preserve"> </v>
      </c>
      <c r="L677" s="4" t="str">
        <f ca="1">IF(OR(INDEX($W$2:$W$1001,MATCH(ROWS($V$2:V677),$V$2:$V$1001,0),1)&gt;=100000,INDEX($AC$1005:$AS$1005,1,MATCH(COLUMNS($AC$1006:AM1006),$AC$1006:$AS$1006,0))&gt;=100000), " ",IF(INDEX($AC$2:$AS$1001,MATCH(ROWS($V$2:V677),$V$2:$V$1001,0),MATCH(COLUMNS($AC$1006:AM1006),$AC$1006:$AS$1006,0)), HYPERLINK("#",""), HYPERLINK(CONCATENATE("#metadata!", ADDRESS(INDEX($X$2:$X$1001,MATCH(ROWS($V$2:V677),$V$2:$V$1001,0),0), INDEX($AC$1004:$AS$1004,1,MATCH(COLUMNS($AC$1006:AM1006),$AC$1006:$AS$1006,0)))),"Fix")))</f>
        <v xml:space="preserve"> </v>
      </c>
      <c r="M677" s="4" t="str">
        <f ca="1">IF(OR(INDEX($W$2:$W$1001,MATCH(ROWS($V$2:V677),$V$2:$V$1001,0),1)&gt;=100000,INDEX($AC$1005:$AS$1005,1,MATCH(COLUMNS($AC$1006:AN1006),$AC$1006:$AS$1006,0))&gt;=100000), " ",IF(INDEX($AC$2:$AS$1001,MATCH(ROWS($V$2:V677),$V$2:$V$1001,0),MATCH(COLUMNS($AC$1006:AN1006),$AC$1006:$AS$1006,0)), HYPERLINK("#",""), HYPERLINK(CONCATENATE("#metadata!", ADDRESS(INDEX($X$2:$X$1001,MATCH(ROWS($V$2:V677),$V$2:$V$1001,0),0), INDEX($AC$1004:$AS$1004,1,MATCH(COLUMNS($AC$1006:AN1006),$AC$1006:$AS$1006,0)))),"Fix")))</f>
        <v xml:space="preserve"> </v>
      </c>
      <c r="N677" s="4" t="str">
        <f ca="1">IF(OR(INDEX($W$2:$W$1001,MATCH(ROWS($V$2:V677),$V$2:$V$1001,0),1)&gt;=100000,INDEX($AC$1005:$AS$1005,1,MATCH(COLUMNS($AC$1006:AO1006),$AC$1006:$AS$1006,0))&gt;=100000), " ",IF(INDEX($AC$2:$AS$1001,MATCH(ROWS($V$2:V677),$V$2:$V$1001,0),MATCH(COLUMNS($AC$1006:AO1006),$AC$1006:$AS$1006,0)), HYPERLINK("#",""), HYPERLINK(CONCATENATE("#metadata!", ADDRESS(INDEX($X$2:$X$1001,MATCH(ROWS($V$2:V677),$V$2:$V$1001,0),0), INDEX($AC$1004:$AS$1004,1,MATCH(COLUMNS($AC$1006:AO1006),$AC$1006:$AS$1006,0)))),"Fix")))</f>
        <v xml:space="preserve"> </v>
      </c>
      <c r="O677" s="4" t="str">
        <f ca="1">IF(OR(INDEX($W$2:$W$1001,MATCH(ROWS($V$2:V677),$V$2:$V$1001,0),1)&gt;=100000,INDEX($AC$1005:$AS$1005,1,MATCH(COLUMNS($AC$1006:AP1006),$AC$1006:$AS$1006,0))&gt;=100000), " ",IF(INDEX($AC$2:$AS$1001,MATCH(ROWS($V$2:V677),$V$2:$V$1001,0),MATCH(COLUMNS($AC$1006:AP1006),$AC$1006:$AS$1006,0)), HYPERLINK("#",""), HYPERLINK(CONCATENATE("#metadata!", ADDRESS(INDEX($X$2:$X$1001,MATCH(ROWS($V$2:V677),$V$2:$V$1001,0),0), INDEX($AC$1004:$AS$1004,1,MATCH(COLUMNS($AC$1006:AP1006),$AC$1006:$AS$1006,0)))),"Fix")))</f>
        <v xml:space="preserve"> </v>
      </c>
      <c r="P677" s="4" t="str">
        <f ca="1">IF(OR(INDEX($W$2:$W$1001,MATCH(ROWS($V$2:V677),$V$2:$V$1001,0),1)&gt;=100000,INDEX($AC$1005:$AS$1005,1,MATCH(COLUMNS($AC$1006:AQ1006),$AC$1006:$AS$1006,0))&gt;=100000), " ",IF(INDEX($AC$2:$AS$1001,MATCH(ROWS($V$2:V677),$V$2:$V$1001,0),MATCH(COLUMNS($AC$1006:AQ1006),$AC$1006:$AS$1006,0)), HYPERLINK("#",""), HYPERLINK(CONCATENATE("#metadata!", ADDRESS(INDEX($X$2:$X$1001,MATCH(ROWS($V$2:V677),$V$2:$V$1001,0),0), INDEX($AC$1004:$AS$1004,1,MATCH(COLUMNS($AC$1006:AQ1006),$AC$1006:$AS$1006,0)))),"Fix")))</f>
        <v xml:space="preserve"> </v>
      </c>
      <c r="Q677" s="4" t="str">
        <f ca="1">IF(OR(INDEX($W$2:$W$1001,MATCH(ROWS($V$2:V677),$V$2:$V$1001,0),1)&gt;=100000,INDEX($AC$1005:$AS$1005,1,MATCH(COLUMNS($AC$1006:AR1006),$AC$1006:$AS$1006,0))&gt;=100000), " ",IF(INDEX($AC$2:$AS$1001,MATCH(ROWS($V$2:V677),$V$2:$V$1001,0),MATCH(COLUMNS($AC$1006:AR1006),$AC$1006:$AS$1006,0)), HYPERLINK("#",""), HYPERLINK(CONCATENATE("#metadata!", ADDRESS(INDEX($X$2:$X$1001,MATCH(ROWS($V$2:V677),$V$2:$V$1001,0),0), INDEX($AC$1004:$AS$1004,1,MATCH(COLUMNS($AC$1006:AR1006),$AC$1006:$AS$1006,0)))),"Fix")))</f>
        <v xml:space="preserve"> </v>
      </c>
      <c r="R677" s="4" t="str">
        <f ca="1">IF(OR(INDEX($W$2:$W$1001,MATCH(ROWS($V$2:V677),$V$2:$V$1001,0),1)&gt;=100000,INDEX($AC$1005:$AS$1005,1,MATCH(COLUMNS($AC$1006:AS1006),$AC$1006:$AS$1006,0))&gt;=100000), " ",IF(INDEX($AC$2:$AS$1001,MATCH(ROWS($V$2:V677),$V$2:$V$1001,0),MATCH(COLUMNS($AC$1006:AS1006),$AC$1006:$AS$1006,0)), HYPERLINK("#",""), HYPERLINK(CONCATENATE("#metadata!", ADDRESS(INDEX($X$2:$X$1001,MATCH(ROWS($V$2:V677),$V$2:$V$1001,0),0), INDEX($AC$1004:$AS$1004,1,MATCH(COLUMNS($AC$1006:AS1006),$AC$1006:$AS$1006,0)))),"Fix")))</f>
        <v xml:space="preserve"> </v>
      </c>
      <c r="V677">
        <v>676</v>
      </c>
      <c r="W677">
        <v>100677</v>
      </c>
      <c r="X677">
        <v>677</v>
      </c>
      <c r="Y677" t="b">
        <f t="shared" si="10"/>
        <v>1</v>
      </c>
      <c r="Z677" t="b">
        <f>COUNTBLANK(metadata!B677:R677)=COLUMNS(metadata!B677:R677)</f>
        <v>1</v>
      </c>
      <c r="AA677" t="str">
        <v/>
      </c>
      <c r="AC677" t="b">
        <f ca="1"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AD677" t="b">
        <f>IF(metadata!C677="",FALSE,ISNUMBER(VALUE(metadata!C677)))</f>
        <v>0</v>
      </c>
      <c r="AE677" t="b">
        <f>AND(IF(metadata!D677="",FALSE,TRUE),EXACT(metadata!D677,"years"))</f>
        <v>0</v>
      </c>
      <c r="AF677" t="b">
        <f>OR(AND(IF(metadata!E677="",FALSE,TRUE),OR(EXACT(metadata!E677,"not applicable"),EXACT(metadata!E677,"missing: not collected"),EXACT(metadata!E677,"missing: not provided"),EXACT(metadata!E677,"missing: restricted access"))),AND(IF(metadata!E677="",FALSE,ISNUMBER(VALUE(metadata!E677))),metadata!E677&gt;0))</f>
        <v>0</v>
      </c>
      <c r="AG677" t="b">
        <f>AND(IF(metadata!F677="",FALSE,TRUE),EXACT(metadata!F677,"Not applicable"))</f>
        <v>0</v>
      </c>
      <c r="AH677" t="b">
        <f>AND(IF(metadata!G677="",FALSE,TRUE),EXACT(metadata!G677,"urban biome"))</f>
        <v>0</v>
      </c>
      <c r="AI677" t="b">
        <f>AND(IF(metadata!H677="",FALSE,TRUE),EXACT(metadata!H677,"human-associated habitat"))</f>
        <v>0</v>
      </c>
      <c r="AJ677" t="b">
        <f>AND(IF(metadata!I677="",FALSE,TRUE),OR(EXACT(metadata!I677,"human-associated"),EXACT(metadata!I677,"human-skin"),EXACT(metadata!I677,"human-oral"),EXACT(metadata!I677,"human-gut"),EXACT(metadata!I677,"human-vaginal")))</f>
        <v>0</v>
      </c>
      <c r="AK677" t="b">
        <f>IF(metadata!J677="",FALSE,ISNUMBER(VALUE(metadata!J677)))</f>
        <v>0</v>
      </c>
      <c r="AL677" t="b">
        <f>AND(IF(metadata!K677="",FALSE,TRUE),EXACT(metadata!K677,"cm"))</f>
        <v>0</v>
      </c>
      <c r="AM677" t="b">
        <f>AND(IF(metadata!L677="",FALSE,TRUE),EXACT(metadata!L677,"human"))</f>
        <v>0</v>
      </c>
      <c r="AN677" t="b">
        <f>AND(IF(metadata!M677="",FALSE,TRUE),EXACT(metadata!M677,"Homo sapiens"))</f>
        <v>0</v>
      </c>
      <c r="AO677" t="b">
        <f>AND(IF(metadata!N677="",FALSE,TRUE),EXACT(metadata!N677,"9606"))</f>
        <v>0</v>
      </c>
      <c r="AP677" t="b">
        <f>IF(metadata!O677="",FALSE,TRUE)</f>
        <v>0</v>
      </c>
      <c r="AQ677" t="b">
        <f>IF(metadata!P677="",FALSE,TRUE)</f>
        <v>0</v>
      </c>
      <c r="AR677" t="b">
        <f>IF(metadata!Q677="",FALSE,ISNUMBER(VALUE(metadata!Q677)))</f>
        <v>0</v>
      </c>
      <c r="AS677" t="b">
        <f>AND(IF(metadata!R677="",FALSE,TRUE),EXACT(metadata!R677,"kg"))</f>
        <v>0</v>
      </c>
    </row>
    <row r="678" spans="1:45" x14ac:dyDescent="0.2">
      <c r="A678" s="5" t="str">
        <f ca="1">IF(B678=" "," ",HYPERLINK(CONCATENATE("#metadata!",ADDRESS(INDEX($X$2:$X$1001,MATCH(ROWS($V$2:V678),$V$2:$V$1001,0),0),1)),INDEX($AA$2:$AA$1001,MATCH(ROWS($V$2:V678),$V$2:$V$1001,0),0)))</f>
        <v xml:space="preserve"> </v>
      </c>
      <c r="B678" s="4" t="str">
        <f ca="1">IF(OR(INDEX($W$2:$W$1001,MATCH(ROWS($V$2:V678),$V$2:$V$1001,0),1)&gt;=100000,INDEX($AC$1005:$AS$1005,1,MATCH(COLUMNS($AC$1006:AC1006),$AC$1006:$AS$1006,0))&gt;=100000), " ",IF(INDEX($AC$2:$AS$1001,MATCH(ROWS($V$2:V678),$V$2:$V$1001,0),MATCH(COLUMNS($AC$1006:AC1006),$AC$1006:$AS$1006,0)), HYPERLINK("#",""), HYPERLINK(CONCATENATE("#metadata!", ADDRESS(INDEX($X$2:$X$1001,MATCH(ROWS($V$2:V678),$V$2:$V$1001,0),0), INDEX($AC$1004:$AS$1004,1,MATCH(COLUMNS($AC$1006:AC1006),$AC$1006:$AS$1006,0)))),"Fix")))</f>
        <v xml:space="preserve"> </v>
      </c>
      <c r="C678" s="4" t="str">
        <f ca="1">IF(OR(INDEX($W$2:$W$1001,MATCH(ROWS($V$2:V678),$V$2:$V$1001,0),1)&gt;=100000,INDEX($AC$1005:$AS$1005,1,MATCH(COLUMNS($AC$1006:AD1006),$AC$1006:$AS$1006,0))&gt;=100000), " ",IF(INDEX($AC$2:$AS$1001,MATCH(ROWS($V$2:V678),$V$2:$V$1001,0),MATCH(COLUMNS($AC$1006:AD1006),$AC$1006:$AS$1006,0)), HYPERLINK("#",""), HYPERLINK(CONCATENATE("#metadata!", ADDRESS(INDEX($X$2:$X$1001,MATCH(ROWS($V$2:V678),$V$2:$V$1001,0),0), INDEX($AC$1004:$AS$1004,1,MATCH(COLUMNS($AC$1006:AD1006),$AC$1006:$AS$1006,0)))),"Fix")))</f>
        <v xml:space="preserve"> </v>
      </c>
      <c r="D678" s="4" t="str">
        <f ca="1">IF(OR(INDEX($W$2:$W$1001,MATCH(ROWS($V$2:V678),$V$2:$V$1001,0),1)&gt;=100000,INDEX($AC$1005:$AS$1005,1,MATCH(COLUMNS($AC$1006:AE1006),$AC$1006:$AS$1006,0))&gt;=100000), " ",IF(INDEX($AC$2:$AS$1001,MATCH(ROWS($V$2:V678),$V$2:$V$1001,0),MATCH(COLUMNS($AC$1006:AE1006),$AC$1006:$AS$1006,0)), HYPERLINK("#",""), HYPERLINK(CONCATENATE("#metadata!", ADDRESS(INDEX($X$2:$X$1001,MATCH(ROWS($V$2:V678),$V$2:$V$1001,0),0), INDEX($AC$1004:$AS$1004,1,MATCH(COLUMNS($AC$1006:AE1006),$AC$1006:$AS$1006,0)))),"Fix")))</f>
        <v xml:space="preserve"> </v>
      </c>
      <c r="E678" s="4" t="str">
        <f ca="1">IF(OR(INDEX($W$2:$W$1001,MATCH(ROWS($V$2:V678),$V$2:$V$1001,0),1)&gt;=100000,INDEX($AC$1005:$AS$1005,1,MATCH(COLUMNS($AC$1006:AF1006),$AC$1006:$AS$1006,0))&gt;=100000), " ",IF(INDEX($AC$2:$AS$1001,MATCH(ROWS($V$2:V678),$V$2:$V$1001,0),MATCH(COLUMNS($AC$1006:AF1006),$AC$1006:$AS$1006,0)), HYPERLINK("#",""), HYPERLINK(CONCATENATE("#metadata!", ADDRESS(INDEX($X$2:$X$1001,MATCH(ROWS($V$2:V678),$V$2:$V$1001,0),0), INDEX($AC$1004:$AS$1004,1,MATCH(COLUMNS($AC$1006:AF1006),$AC$1006:$AS$1006,0)))),"Fix")))</f>
        <v xml:space="preserve"> </v>
      </c>
      <c r="F678" s="4" t="str">
        <f ca="1">IF(OR(INDEX($W$2:$W$1001,MATCH(ROWS($V$2:V678),$V$2:$V$1001,0),1)&gt;=100000,INDEX($AC$1005:$AS$1005,1,MATCH(COLUMNS($AC$1006:AG1006),$AC$1006:$AS$1006,0))&gt;=100000), " ",IF(INDEX($AC$2:$AS$1001,MATCH(ROWS($V$2:V678),$V$2:$V$1001,0),MATCH(COLUMNS($AC$1006:AG1006),$AC$1006:$AS$1006,0)), HYPERLINK("#",""), HYPERLINK(CONCATENATE("#metadata!", ADDRESS(INDEX($X$2:$X$1001,MATCH(ROWS($V$2:V678),$V$2:$V$1001,0),0), INDEX($AC$1004:$AS$1004,1,MATCH(COLUMNS($AC$1006:AG1006),$AC$1006:$AS$1006,0)))),"Fix")))</f>
        <v xml:space="preserve"> </v>
      </c>
      <c r="G678" s="4" t="str">
        <f ca="1">IF(OR(INDEX($W$2:$W$1001,MATCH(ROWS($V$2:V678),$V$2:$V$1001,0),1)&gt;=100000,INDEX($AC$1005:$AS$1005,1,MATCH(COLUMNS($AC$1006:AH1006),$AC$1006:$AS$1006,0))&gt;=100000), " ",IF(INDEX($AC$2:$AS$1001,MATCH(ROWS($V$2:V678),$V$2:$V$1001,0),MATCH(COLUMNS($AC$1006:AH1006),$AC$1006:$AS$1006,0)), HYPERLINK("#",""), HYPERLINK(CONCATENATE("#metadata!", ADDRESS(INDEX($X$2:$X$1001,MATCH(ROWS($V$2:V678),$V$2:$V$1001,0),0), INDEX($AC$1004:$AS$1004,1,MATCH(COLUMNS($AC$1006:AH1006),$AC$1006:$AS$1006,0)))),"Fix")))</f>
        <v xml:space="preserve"> </v>
      </c>
      <c r="H678" s="4" t="str">
        <f ca="1">IF(OR(INDEX($W$2:$W$1001,MATCH(ROWS($V$2:V678),$V$2:$V$1001,0),1)&gt;=100000,INDEX($AC$1005:$AS$1005,1,MATCH(COLUMNS($AC$1006:AI1006),$AC$1006:$AS$1006,0))&gt;=100000), " ",IF(INDEX($AC$2:$AS$1001,MATCH(ROWS($V$2:V678),$V$2:$V$1001,0),MATCH(COLUMNS($AC$1006:AI1006),$AC$1006:$AS$1006,0)), HYPERLINK("#",""), HYPERLINK(CONCATENATE("#metadata!", ADDRESS(INDEX($X$2:$X$1001,MATCH(ROWS($V$2:V678),$V$2:$V$1001,0),0), INDEX($AC$1004:$AS$1004,1,MATCH(COLUMNS($AC$1006:AI1006),$AC$1006:$AS$1006,0)))),"Fix")))</f>
        <v xml:space="preserve"> </v>
      </c>
      <c r="I678" s="4" t="str">
        <f ca="1">IF(OR(INDEX($W$2:$W$1001,MATCH(ROWS($V$2:V678),$V$2:$V$1001,0),1)&gt;=100000,INDEX($AC$1005:$AS$1005,1,MATCH(COLUMNS($AC$1006:AJ1006),$AC$1006:$AS$1006,0))&gt;=100000), " ",IF(INDEX($AC$2:$AS$1001,MATCH(ROWS($V$2:V678),$V$2:$V$1001,0),MATCH(COLUMNS($AC$1006:AJ1006),$AC$1006:$AS$1006,0)), HYPERLINK("#",""), HYPERLINK(CONCATENATE("#metadata!", ADDRESS(INDEX($X$2:$X$1001,MATCH(ROWS($V$2:V678),$V$2:$V$1001,0),0), INDEX($AC$1004:$AS$1004,1,MATCH(COLUMNS($AC$1006:AJ1006),$AC$1006:$AS$1006,0)))),"Fix")))</f>
        <v xml:space="preserve"> </v>
      </c>
      <c r="J678" s="4" t="str">
        <f ca="1">IF(OR(INDEX($W$2:$W$1001,MATCH(ROWS($V$2:V678),$V$2:$V$1001,0),1)&gt;=100000,INDEX($AC$1005:$AS$1005,1,MATCH(COLUMNS($AC$1006:AK1006),$AC$1006:$AS$1006,0))&gt;=100000), " ",IF(INDEX($AC$2:$AS$1001,MATCH(ROWS($V$2:V678),$V$2:$V$1001,0),MATCH(COLUMNS($AC$1006:AK1006),$AC$1006:$AS$1006,0)), HYPERLINK("#",""), HYPERLINK(CONCATENATE("#metadata!", ADDRESS(INDEX($X$2:$X$1001,MATCH(ROWS($V$2:V678),$V$2:$V$1001,0),0), INDEX($AC$1004:$AS$1004,1,MATCH(COLUMNS($AC$1006:AK1006),$AC$1006:$AS$1006,0)))),"Fix")))</f>
        <v xml:space="preserve"> </v>
      </c>
      <c r="K678" s="4" t="str">
        <f ca="1">IF(OR(INDEX($W$2:$W$1001,MATCH(ROWS($V$2:V678),$V$2:$V$1001,0),1)&gt;=100000,INDEX($AC$1005:$AS$1005,1,MATCH(COLUMNS($AC$1006:AL1006),$AC$1006:$AS$1006,0))&gt;=100000), " ",IF(INDEX($AC$2:$AS$1001,MATCH(ROWS($V$2:V678),$V$2:$V$1001,0),MATCH(COLUMNS($AC$1006:AL1006),$AC$1006:$AS$1006,0)), HYPERLINK("#",""), HYPERLINK(CONCATENATE("#metadata!", ADDRESS(INDEX($X$2:$X$1001,MATCH(ROWS($V$2:V678),$V$2:$V$1001,0),0), INDEX($AC$1004:$AS$1004,1,MATCH(COLUMNS($AC$1006:AL1006),$AC$1006:$AS$1006,0)))),"Fix")))</f>
        <v xml:space="preserve"> </v>
      </c>
      <c r="L678" s="4" t="str">
        <f ca="1">IF(OR(INDEX($W$2:$W$1001,MATCH(ROWS($V$2:V678),$V$2:$V$1001,0),1)&gt;=100000,INDEX($AC$1005:$AS$1005,1,MATCH(COLUMNS($AC$1006:AM1006),$AC$1006:$AS$1006,0))&gt;=100000), " ",IF(INDEX($AC$2:$AS$1001,MATCH(ROWS($V$2:V678),$V$2:$V$1001,0),MATCH(COLUMNS($AC$1006:AM1006),$AC$1006:$AS$1006,0)), HYPERLINK("#",""), HYPERLINK(CONCATENATE("#metadata!", ADDRESS(INDEX($X$2:$X$1001,MATCH(ROWS($V$2:V678),$V$2:$V$1001,0),0), INDEX($AC$1004:$AS$1004,1,MATCH(COLUMNS($AC$1006:AM1006),$AC$1006:$AS$1006,0)))),"Fix")))</f>
        <v xml:space="preserve"> </v>
      </c>
      <c r="M678" s="4" t="str">
        <f ca="1">IF(OR(INDEX($W$2:$W$1001,MATCH(ROWS($V$2:V678),$V$2:$V$1001,0),1)&gt;=100000,INDEX($AC$1005:$AS$1005,1,MATCH(COLUMNS($AC$1006:AN1006),$AC$1006:$AS$1006,0))&gt;=100000), " ",IF(INDEX($AC$2:$AS$1001,MATCH(ROWS($V$2:V678),$V$2:$V$1001,0),MATCH(COLUMNS($AC$1006:AN1006),$AC$1006:$AS$1006,0)), HYPERLINK("#",""), HYPERLINK(CONCATENATE("#metadata!", ADDRESS(INDEX($X$2:$X$1001,MATCH(ROWS($V$2:V678),$V$2:$V$1001,0),0), INDEX($AC$1004:$AS$1004,1,MATCH(COLUMNS($AC$1006:AN1006),$AC$1006:$AS$1006,0)))),"Fix")))</f>
        <v xml:space="preserve"> </v>
      </c>
      <c r="N678" s="4" t="str">
        <f ca="1">IF(OR(INDEX($W$2:$W$1001,MATCH(ROWS($V$2:V678),$V$2:$V$1001,0),1)&gt;=100000,INDEX($AC$1005:$AS$1005,1,MATCH(COLUMNS($AC$1006:AO1006),$AC$1006:$AS$1006,0))&gt;=100000), " ",IF(INDEX($AC$2:$AS$1001,MATCH(ROWS($V$2:V678),$V$2:$V$1001,0),MATCH(COLUMNS($AC$1006:AO1006),$AC$1006:$AS$1006,0)), HYPERLINK("#",""), HYPERLINK(CONCATENATE("#metadata!", ADDRESS(INDEX($X$2:$X$1001,MATCH(ROWS($V$2:V678),$V$2:$V$1001,0),0), INDEX($AC$1004:$AS$1004,1,MATCH(COLUMNS($AC$1006:AO1006),$AC$1006:$AS$1006,0)))),"Fix")))</f>
        <v xml:space="preserve"> </v>
      </c>
      <c r="O678" s="4" t="str">
        <f ca="1">IF(OR(INDEX($W$2:$W$1001,MATCH(ROWS($V$2:V678),$V$2:$V$1001,0),1)&gt;=100000,INDEX($AC$1005:$AS$1005,1,MATCH(COLUMNS($AC$1006:AP1006),$AC$1006:$AS$1006,0))&gt;=100000), " ",IF(INDEX($AC$2:$AS$1001,MATCH(ROWS($V$2:V678),$V$2:$V$1001,0),MATCH(COLUMNS($AC$1006:AP1006),$AC$1006:$AS$1006,0)), HYPERLINK("#",""), HYPERLINK(CONCATENATE("#metadata!", ADDRESS(INDEX($X$2:$X$1001,MATCH(ROWS($V$2:V678),$V$2:$V$1001,0),0), INDEX($AC$1004:$AS$1004,1,MATCH(COLUMNS($AC$1006:AP1006),$AC$1006:$AS$1006,0)))),"Fix")))</f>
        <v xml:space="preserve"> </v>
      </c>
      <c r="P678" s="4" t="str">
        <f ca="1">IF(OR(INDEX($W$2:$W$1001,MATCH(ROWS($V$2:V678),$V$2:$V$1001,0),1)&gt;=100000,INDEX($AC$1005:$AS$1005,1,MATCH(COLUMNS($AC$1006:AQ1006),$AC$1006:$AS$1006,0))&gt;=100000), " ",IF(INDEX($AC$2:$AS$1001,MATCH(ROWS($V$2:V678),$V$2:$V$1001,0),MATCH(COLUMNS($AC$1006:AQ1006),$AC$1006:$AS$1006,0)), HYPERLINK("#",""), HYPERLINK(CONCATENATE("#metadata!", ADDRESS(INDEX($X$2:$X$1001,MATCH(ROWS($V$2:V678),$V$2:$V$1001,0),0), INDEX($AC$1004:$AS$1004,1,MATCH(COLUMNS($AC$1006:AQ1006),$AC$1006:$AS$1006,0)))),"Fix")))</f>
        <v xml:space="preserve"> </v>
      </c>
      <c r="Q678" s="4" t="str">
        <f ca="1">IF(OR(INDEX($W$2:$W$1001,MATCH(ROWS($V$2:V678),$V$2:$V$1001,0),1)&gt;=100000,INDEX($AC$1005:$AS$1005,1,MATCH(COLUMNS($AC$1006:AR1006),$AC$1006:$AS$1006,0))&gt;=100000), " ",IF(INDEX($AC$2:$AS$1001,MATCH(ROWS($V$2:V678),$V$2:$V$1001,0),MATCH(COLUMNS($AC$1006:AR1006),$AC$1006:$AS$1006,0)), HYPERLINK("#",""), HYPERLINK(CONCATENATE("#metadata!", ADDRESS(INDEX($X$2:$X$1001,MATCH(ROWS($V$2:V678),$V$2:$V$1001,0),0), INDEX($AC$1004:$AS$1004,1,MATCH(COLUMNS($AC$1006:AR1006),$AC$1006:$AS$1006,0)))),"Fix")))</f>
        <v xml:space="preserve"> </v>
      </c>
      <c r="R678" s="4" t="str">
        <f ca="1">IF(OR(INDEX($W$2:$W$1001,MATCH(ROWS($V$2:V678),$V$2:$V$1001,0),1)&gt;=100000,INDEX($AC$1005:$AS$1005,1,MATCH(COLUMNS($AC$1006:AS1006),$AC$1006:$AS$1006,0))&gt;=100000), " ",IF(INDEX($AC$2:$AS$1001,MATCH(ROWS($V$2:V678),$V$2:$V$1001,0),MATCH(COLUMNS($AC$1006:AS1006),$AC$1006:$AS$1006,0)), HYPERLINK("#",""), HYPERLINK(CONCATENATE("#metadata!", ADDRESS(INDEX($X$2:$X$1001,MATCH(ROWS($V$2:V678),$V$2:$V$1001,0),0), INDEX($AC$1004:$AS$1004,1,MATCH(COLUMNS($AC$1006:AS1006),$AC$1006:$AS$1006,0)))),"Fix")))</f>
        <v xml:space="preserve"> </v>
      </c>
      <c r="V678">
        <v>677</v>
      </c>
      <c r="W678">
        <v>100678</v>
      </c>
      <c r="X678">
        <v>678</v>
      </c>
      <c r="Y678" t="b">
        <f t="shared" si="10"/>
        <v>1</v>
      </c>
      <c r="Z678" t="b">
        <f>COUNTBLANK(metadata!B678:R678)=COLUMNS(metadata!B678:R678)</f>
        <v>1</v>
      </c>
      <c r="AA678" t="str">
        <v/>
      </c>
      <c r="AC678" t="b">
        <f ca="1"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AD678" t="b">
        <f>IF(metadata!C678="",FALSE,ISNUMBER(VALUE(metadata!C678)))</f>
        <v>0</v>
      </c>
      <c r="AE678" t="b">
        <f>AND(IF(metadata!D678="",FALSE,TRUE),EXACT(metadata!D678,"years"))</f>
        <v>0</v>
      </c>
      <c r="AF678" t="b">
        <f>OR(AND(IF(metadata!E678="",FALSE,TRUE),OR(EXACT(metadata!E678,"not applicable"),EXACT(metadata!E678,"missing: not collected"),EXACT(metadata!E678,"missing: not provided"),EXACT(metadata!E678,"missing: restricted access"))),AND(IF(metadata!E678="",FALSE,ISNUMBER(VALUE(metadata!E678))),metadata!E678&gt;0))</f>
        <v>0</v>
      </c>
      <c r="AG678" t="b">
        <f>AND(IF(metadata!F678="",FALSE,TRUE),EXACT(metadata!F678,"Not applicable"))</f>
        <v>0</v>
      </c>
      <c r="AH678" t="b">
        <f>AND(IF(metadata!G678="",FALSE,TRUE),EXACT(metadata!G678,"urban biome"))</f>
        <v>0</v>
      </c>
      <c r="AI678" t="b">
        <f>AND(IF(metadata!H678="",FALSE,TRUE),EXACT(metadata!H678,"human-associated habitat"))</f>
        <v>0</v>
      </c>
      <c r="AJ678" t="b">
        <f>AND(IF(metadata!I678="",FALSE,TRUE),OR(EXACT(metadata!I678,"human-associated"),EXACT(metadata!I678,"human-skin"),EXACT(metadata!I678,"human-oral"),EXACT(metadata!I678,"human-gut"),EXACT(metadata!I678,"human-vaginal")))</f>
        <v>0</v>
      </c>
      <c r="AK678" t="b">
        <f>IF(metadata!J678="",FALSE,ISNUMBER(VALUE(metadata!J678)))</f>
        <v>0</v>
      </c>
      <c r="AL678" t="b">
        <f>AND(IF(metadata!K678="",FALSE,TRUE),EXACT(metadata!K678,"cm"))</f>
        <v>0</v>
      </c>
      <c r="AM678" t="b">
        <f>AND(IF(metadata!L678="",FALSE,TRUE),EXACT(metadata!L678,"human"))</f>
        <v>0</v>
      </c>
      <c r="AN678" t="b">
        <f>AND(IF(metadata!M678="",FALSE,TRUE),EXACT(metadata!M678,"Homo sapiens"))</f>
        <v>0</v>
      </c>
      <c r="AO678" t="b">
        <f>AND(IF(metadata!N678="",FALSE,TRUE),EXACT(metadata!N678,"9606"))</f>
        <v>0</v>
      </c>
      <c r="AP678" t="b">
        <f>IF(metadata!O678="",FALSE,TRUE)</f>
        <v>0</v>
      </c>
      <c r="AQ678" t="b">
        <f>IF(metadata!P678="",FALSE,TRUE)</f>
        <v>0</v>
      </c>
      <c r="AR678" t="b">
        <f>IF(metadata!Q678="",FALSE,ISNUMBER(VALUE(metadata!Q678)))</f>
        <v>0</v>
      </c>
      <c r="AS678" t="b">
        <f>AND(IF(metadata!R678="",FALSE,TRUE),EXACT(metadata!R678,"kg"))</f>
        <v>0</v>
      </c>
    </row>
    <row r="679" spans="1:45" x14ac:dyDescent="0.2">
      <c r="A679" s="5" t="str">
        <f ca="1">IF(B679=" "," ",HYPERLINK(CONCATENATE("#metadata!",ADDRESS(INDEX($X$2:$X$1001,MATCH(ROWS($V$2:V679),$V$2:$V$1001,0),0),1)),INDEX($AA$2:$AA$1001,MATCH(ROWS($V$2:V679),$V$2:$V$1001,0),0)))</f>
        <v xml:space="preserve"> </v>
      </c>
      <c r="B679" s="4" t="str">
        <f ca="1">IF(OR(INDEX($W$2:$W$1001,MATCH(ROWS($V$2:V679),$V$2:$V$1001,0),1)&gt;=100000,INDEX($AC$1005:$AS$1005,1,MATCH(COLUMNS($AC$1006:AC1006),$AC$1006:$AS$1006,0))&gt;=100000), " ",IF(INDEX($AC$2:$AS$1001,MATCH(ROWS($V$2:V679),$V$2:$V$1001,0),MATCH(COLUMNS($AC$1006:AC1006),$AC$1006:$AS$1006,0)), HYPERLINK("#",""), HYPERLINK(CONCATENATE("#metadata!", ADDRESS(INDEX($X$2:$X$1001,MATCH(ROWS($V$2:V679),$V$2:$V$1001,0),0), INDEX($AC$1004:$AS$1004,1,MATCH(COLUMNS($AC$1006:AC1006),$AC$1006:$AS$1006,0)))),"Fix")))</f>
        <v xml:space="preserve"> </v>
      </c>
      <c r="C679" s="4" t="str">
        <f ca="1">IF(OR(INDEX($W$2:$W$1001,MATCH(ROWS($V$2:V679),$V$2:$V$1001,0),1)&gt;=100000,INDEX($AC$1005:$AS$1005,1,MATCH(COLUMNS($AC$1006:AD1006),$AC$1006:$AS$1006,0))&gt;=100000), " ",IF(INDEX($AC$2:$AS$1001,MATCH(ROWS($V$2:V679),$V$2:$V$1001,0),MATCH(COLUMNS($AC$1006:AD1006),$AC$1006:$AS$1006,0)), HYPERLINK("#",""), HYPERLINK(CONCATENATE("#metadata!", ADDRESS(INDEX($X$2:$X$1001,MATCH(ROWS($V$2:V679),$V$2:$V$1001,0),0), INDEX($AC$1004:$AS$1004,1,MATCH(COLUMNS($AC$1006:AD1006),$AC$1006:$AS$1006,0)))),"Fix")))</f>
        <v xml:space="preserve"> </v>
      </c>
      <c r="D679" s="4" t="str">
        <f ca="1">IF(OR(INDEX($W$2:$W$1001,MATCH(ROWS($V$2:V679),$V$2:$V$1001,0),1)&gt;=100000,INDEX($AC$1005:$AS$1005,1,MATCH(COLUMNS($AC$1006:AE1006),$AC$1006:$AS$1006,0))&gt;=100000), " ",IF(INDEX($AC$2:$AS$1001,MATCH(ROWS($V$2:V679),$V$2:$V$1001,0),MATCH(COLUMNS($AC$1006:AE1006),$AC$1006:$AS$1006,0)), HYPERLINK("#",""), HYPERLINK(CONCATENATE("#metadata!", ADDRESS(INDEX($X$2:$X$1001,MATCH(ROWS($V$2:V679),$V$2:$V$1001,0),0), INDEX($AC$1004:$AS$1004,1,MATCH(COLUMNS($AC$1006:AE1006),$AC$1006:$AS$1006,0)))),"Fix")))</f>
        <v xml:space="preserve"> </v>
      </c>
      <c r="E679" s="4" t="str">
        <f ca="1">IF(OR(INDEX($W$2:$W$1001,MATCH(ROWS($V$2:V679),$V$2:$V$1001,0),1)&gt;=100000,INDEX($AC$1005:$AS$1005,1,MATCH(COLUMNS($AC$1006:AF1006),$AC$1006:$AS$1006,0))&gt;=100000), " ",IF(INDEX($AC$2:$AS$1001,MATCH(ROWS($V$2:V679),$V$2:$V$1001,0),MATCH(COLUMNS($AC$1006:AF1006),$AC$1006:$AS$1006,0)), HYPERLINK("#",""), HYPERLINK(CONCATENATE("#metadata!", ADDRESS(INDEX($X$2:$X$1001,MATCH(ROWS($V$2:V679),$V$2:$V$1001,0),0), INDEX($AC$1004:$AS$1004,1,MATCH(COLUMNS($AC$1006:AF1006),$AC$1006:$AS$1006,0)))),"Fix")))</f>
        <v xml:space="preserve"> </v>
      </c>
      <c r="F679" s="4" t="str">
        <f ca="1">IF(OR(INDEX($W$2:$W$1001,MATCH(ROWS($V$2:V679),$V$2:$V$1001,0),1)&gt;=100000,INDEX($AC$1005:$AS$1005,1,MATCH(COLUMNS($AC$1006:AG1006),$AC$1006:$AS$1006,0))&gt;=100000), " ",IF(INDEX($AC$2:$AS$1001,MATCH(ROWS($V$2:V679),$V$2:$V$1001,0),MATCH(COLUMNS($AC$1006:AG1006),$AC$1006:$AS$1006,0)), HYPERLINK("#",""), HYPERLINK(CONCATENATE("#metadata!", ADDRESS(INDEX($X$2:$X$1001,MATCH(ROWS($V$2:V679),$V$2:$V$1001,0),0), INDEX($AC$1004:$AS$1004,1,MATCH(COLUMNS($AC$1006:AG1006),$AC$1006:$AS$1006,0)))),"Fix")))</f>
        <v xml:space="preserve"> </v>
      </c>
      <c r="G679" s="4" t="str">
        <f ca="1">IF(OR(INDEX($W$2:$W$1001,MATCH(ROWS($V$2:V679),$V$2:$V$1001,0),1)&gt;=100000,INDEX($AC$1005:$AS$1005,1,MATCH(COLUMNS($AC$1006:AH1006),$AC$1006:$AS$1006,0))&gt;=100000), " ",IF(INDEX($AC$2:$AS$1001,MATCH(ROWS($V$2:V679),$V$2:$V$1001,0),MATCH(COLUMNS($AC$1006:AH1006),$AC$1006:$AS$1006,0)), HYPERLINK("#",""), HYPERLINK(CONCATENATE("#metadata!", ADDRESS(INDEX($X$2:$X$1001,MATCH(ROWS($V$2:V679),$V$2:$V$1001,0),0), INDEX($AC$1004:$AS$1004,1,MATCH(COLUMNS($AC$1006:AH1006),$AC$1006:$AS$1006,0)))),"Fix")))</f>
        <v xml:space="preserve"> </v>
      </c>
      <c r="H679" s="4" t="str">
        <f ca="1">IF(OR(INDEX($W$2:$W$1001,MATCH(ROWS($V$2:V679),$V$2:$V$1001,0),1)&gt;=100000,INDEX($AC$1005:$AS$1005,1,MATCH(COLUMNS($AC$1006:AI1006),$AC$1006:$AS$1006,0))&gt;=100000), " ",IF(INDEX($AC$2:$AS$1001,MATCH(ROWS($V$2:V679),$V$2:$V$1001,0),MATCH(COLUMNS($AC$1006:AI1006),$AC$1006:$AS$1006,0)), HYPERLINK("#",""), HYPERLINK(CONCATENATE("#metadata!", ADDRESS(INDEX($X$2:$X$1001,MATCH(ROWS($V$2:V679),$V$2:$V$1001,0),0), INDEX($AC$1004:$AS$1004,1,MATCH(COLUMNS($AC$1006:AI1006),$AC$1006:$AS$1006,0)))),"Fix")))</f>
        <v xml:space="preserve"> </v>
      </c>
      <c r="I679" s="4" t="str">
        <f ca="1">IF(OR(INDEX($W$2:$W$1001,MATCH(ROWS($V$2:V679),$V$2:$V$1001,0),1)&gt;=100000,INDEX($AC$1005:$AS$1005,1,MATCH(COLUMNS($AC$1006:AJ1006),$AC$1006:$AS$1006,0))&gt;=100000), " ",IF(INDEX($AC$2:$AS$1001,MATCH(ROWS($V$2:V679),$V$2:$V$1001,0),MATCH(COLUMNS($AC$1006:AJ1006),$AC$1006:$AS$1006,0)), HYPERLINK("#",""), HYPERLINK(CONCATENATE("#metadata!", ADDRESS(INDEX($X$2:$X$1001,MATCH(ROWS($V$2:V679),$V$2:$V$1001,0),0), INDEX($AC$1004:$AS$1004,1,MATCH(COLUMNS($AC$1006:AJ1006),$AC$1006:$AS$1006,0)))),"Fix")))</f>
        <v xml:space="preserve"> </v>
      </c>
      <c r="J679" s="4" t="str">
        <f ca="1">IF(OR(INDEX($W$2:$W$1001,MATCH(ROWS($V$2:V679),$V$2:$V$1001,0),1)&gt;=100000,INDEX($AC$1005:$AS$1005,1,MATCH(COLUMNS($AC$1006:AK1006),$AC$1006:$AS$1006,0))&gt;=100000), " ",IF(INDEX($AC$2:$AS$1001,MATCH(ROWS($V$2:V679),$V$2:$V$1001,0),MATCH(COLUMNS($AC$1006:AK1006),$AC$1006:$AS$1006,0)), HYPERLINK("#",""), HYPERLINK(CONCATENATE("#metadata!", ADDRESS(INDEX($X$2:$X$1001,MATCH(ROWS($V$2:V679),$V$2:$V$1001,0),0), INDEX($AC$1004:$AS$1004,1,MATCH(COLUMNS($AC$1006:AK1006),$AC$1006:$AS$1006,0)))),"Fix")))</f>
        <v xml:space="preserve"> </v>
      </c>
      <c r="K679" s="4" t="str">
        <f ca="1">IF(OR(INDEX($W$2:$W$1001,MATCH(ROWS($V$2:V679),$V$2:$V$1001,0),1)&gt;=100000,INDEX($AC$1005:$AS$1005,1,MATCH(COLUMNS($AC$1006:AL1006),$AC$1006:$AS$1006,0))&gt;=100000), " ",IF(INDEX($AC$2:$AS$1001,MATCH(ROWS($V$2:V679),$V$2:$V$1001,0),MATCH(COLUMNS($AC$1006:AL1006),$AC$1006:$AS$1006,0)), HYPERLINK("#",""), HYPERLINK(CONCATENATE("#metadata!", ADDRESS(INDEX($X$2:$X$1001,MATCH(ROWS($V$2:V679),$V$2:$V$1001,0),0), INDEX($AC$1004:$AS$1004,1,MATCH(COLUMNS($AC$1006:AL1006),$AC$1006:$AS$1006,0)))),"Fix")))</f>
        <v xml:space="preserve"> </v>
      </c>
      <c r="L679" s="4" t="str">
        <f ca="1">IF(OR(INDEX($W$2:$W$1001,MATCH(ROWS($V$2:V679),$V$2:$V$1001,0),1)&gt;=100000,INDEX($AC$1005:$AS$1005,1,MATCH(COLUMNS($AC$1006:AM1006),$AC$1006:$AS$1006,0))&gt;=100000), " ",IF(INDEX($AC$2:$AS$1001,MATCH(ROWS($V$2:V679),$V$2:$V$1001,0),MATCH(COLUMNS($AC$1006:AM1006),$AC$1006:$AS$1006,0)), HYPERLINK("#",""), HYPERLINK(CONCATENATE("#metadata!", ADDRESS(INDEX($X$2:$X$1001,MATCH(ROWS($V$2:V679),$V$2:$V$1001,0),0), INDEX($AC$1004:$AS$1004,1,MATCH(COLUMNS($AC$1006:AM1006),$AC$1006:$AS$1006,0)))),"Fix")))</f>
        <v xml:space="preserve"> </v>
      </c>
      <c r="M679" s="4" t="str">
        <f ca="1">IF(OR(INDEX($W$2:$W$1001,MATCH(ROWS($V$2:V679),$V$2:$V$1001,0),1)&gt;=100000,INDEX($AC$1005:$AS$1005,1,MATCH(COLUMNS($AC$1006:AN1006),$AC$1006:$AS$1006,0))&gt;=100000), " ",IF(INDEX($AC$2:$AS$1001,MATCH(ROWS($V$2:V679),$V$2:$V$1001,0),MATCH(COLUMNS($AC$1006:AN1006),$AC$1006:$AS$1006,0)), HYPERLINK("#",""), HYPERLINK(CONCATENATE("#metadata!", ADDRESS(INDEX($X$2:$X$1001,MATCH(ROWS($V$2:V679),$V$2:$V$1001,0),0), INDEX($AC$1004:$AS$1004,1,MATCH(COLUMNS($AC$1006:AN1006),$AC$1006:$AS$1006,0)))),"Fix")))</f>
        <v xml:space="preserve"> </v>
      </c>
      <c r="N679" s="4" t="str">
        <f ca="1">IF(OR(INDEX($W$2:$W$1001,MATCH(ROWS($V$2:V679),$V$2:$V$1001,0),1)&gt;=100000,INDEX($AC$1005:$AS$1005,1,MATCH(COLUMNS($AC$1006:AO1006),$AC$1006:$AS$1006,0))&gt;=100000), " ",IF(INDEX($AC$2:$AS$1001,MATCH(ROWS($V$2:V679),$V$2:$V$1001,0),MATCH(COLUMNS($AC$1006:AO1006),$AC$1006:$AS$1006,0)), HYPERLINK("#",""), HYPERLINK(CONCATENATE("#metadata!", ADDRESS(INDEX($X$2:$X$1001,MATCH(ROWS($V$2:V679),$V$2:$V$1001,0),0), INDEX($AC$1004:$AS$1004,1,MATCH(COLUMNS($AC$1006:AO1006),$AC$1006:$AS$1006,0)))),"Fix")))</f>
        <v xml:space="preserve"> </v>
      </c>
      <c r="O679" s="4" t="str">
        <f ca="1">IF(OR(INDEX($W$2:$W$1001,MATCH(ROWS($V$2:V679),$V$2:$V$1001,0),1)&gt;=100000,INDEX($AC$1005:$AS$1005,1,MATCH(COLUMNS($AC$1006:AP1006),$AC$1006:$AS$1006,0))&gt;=100000), " ",IF(INDEX($AC$2:$AS$1001,MATCH(ROWS($V$2:V679),$V$2:$V$1001,0),MATCH(COLUMNS($AC$1006:AP1006),$AC$1006:$AS$1006,0)), HYPERLINK("#",""), HYPERLINK(CONCATENATE("#metadata!", ADDRESS(INDEX($X$2:$X$1001,MATCH(ROWS($V$2:V679),$V$2:$V$1001,0),0), INDEX($AC$1004:$AS$1004,1,MATCH(COLUMNS($AC$1006:AP1006),$AC$1006:$AS$1006,0)))),"Fix")))</f>
        <v xml:space="preserve"> </v>
      </c>
      <c r="P679" s="4" t="str">
        <f ca="1">IF(OR(INDEX($W$2:$W$1001,MATCH(ROWS($V$2:V679),$V$2:$V$1001,0),1)&gt;=100000,INDEX($AC$1005:$AS$1005,1,MATCH(COLUMNS($AC$1006:AQ1006),$AC$1006:$AS$1006,0))&gt;=100000), " ",IF(INDEX($AC$2:$AS$1001,MATCH(ROWS($V$2:V679),$V$2:$V$1001,0),MATCH(COLUMNS($AC$1006:AQ1006),$AC$1006:$AS$1006,0)), HYPERLINK("#",""), HYPERLINK(CONCATENATE("#metadata!", ADDRESS(INDEX($X$2:$X$1001,MATCH(ROWS($V$2:V679),$V$2:$V$1001,0),0), INDEX($AC$1004:$AS$1004,1,MATCH(COLUMNS($AC$1006:AQ1006),$AC$1006:$AS$1006,0)))),"Fix")))</f>
        <v xml:space="preserve"> </v>
      </c>
      <c r="Q679" s="4" t="str">
        <f ca="1">IF(OR(INDEX($W$2:$W$1001,MATCH(ROWS($V$2:V679),$V$2:$V$1001,0),1)&gt;=100000,INDEX($AC$1005:$AS$1005,1,MATCH(COLUMNS($AC$1006:AR1006),$AC$1006:$AS$1006,0))&gt;=100000), " ",IF(INDEX($AC$2:$AS$1001,MATCH(ROWS($V$2:V679),$V$2:$V$1001,0),MATCH(COLUMNS($AC$1006:AR1006),$AC$1006:$AS$1006,0)), HYPERLINK("#",""), HYPERLINK(CONCATENATE("#metadata!", ADDRESS(INDEX($X$2:$X$1001,MATCH(ROWS($V$2:V679),$V$2:$V$1001,0),0), INDEX($AC$1004:$AS$1004,1,MATCH(COLUMNS($AC$1006:AR1006),$AC$1006:$AS$1006,0)))),"Fix")))</f>
        <v xml:space="preserve"> </v>
      </c>
      <c r="R679" s="4" t="str">
        <f ca="1">IF(OR(INDEX($W$2:$W$1001,MATCH(ROWS($V$2:V679),$V$2:$V$1001,0),1)&gt;=100000,INDEX($AC$1005:$AS$1005,1,MATCH(COLUMNS($AC$1006:AS1006),$AC$1006:$AS$1006,0))&gt;=100000), " ",IF(INDEX($AC$2:$AS$1001,MATCH(ROWS($V$2:V679),$V$2:$V$1001,0),MATCH(COLUMNS($AC$1006:AS1006),$AC$1006:$AS$1006,0)), HYPERLINK("#",""), HYPERLINK(CONCATENATE("#metadata!", ADDRESS(INDEX($X$2:$X$1001,MATCH(ROWS($V$2:V679),$V$2:$V$1001,0),0), INDEX($AC$1004:$AS$1004,1,MATCH(COLUMNS($AC$1006:AS1006),$AC$1006:$AS$1006,0)))),"Fix")))</f>
        <v xml:space="preserve"> </v>
      </c>
      <c r="V679">
        <v>678</v>
      </c>
      <c r="W679">
        <v>100679</v>
      </c>
      <c r="X679">
        <v>679</v>
      </c>
      <c r="Y679" t="b">
        <f t="shared" si="10"/>
        <v>1</v>
      </c>
      <c r="Z679" t="b">
        <f>COUNTBLANK(metadata!B679:R679)=COLUMNS(metadata!B679:R679)</f>
        <v>1</v>
      </c>
      <c r="AA679" t="str">
        <v/>
      </c>
      <c r="AC679" t="b">
        <f ca="1"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AD679" t="b">
        <f>IF(metadata!C679="",FALSE,ISNUMBER(VALUE(metadata!C679)))</f>
        <v>0</v>
      </c>
      <c r="AE679" t="b">
        <f>AND(IF(metadata!D679="",FALSE,TRUE),EXACT(metadata!D679,"years"))</f>
        <v>0</v>
      </c>
      <c r="AF679" t="b">
        <f>OR(AND(IF(metadata!E679="",FALSE,TRUE),OR(EXACT(metadata!E679,"not applicable"),EXACT(metadata!E679,"missing: not collected"),EXACT(metadata!E679,"missing: not provided"),EXACT(metadata!E679,"missing: restricted access"))),AND(IF(metadata!E679="",FALSE,ISNUMBER(VALUE(metadata!E679))),metadata!E679&gt;0))</f>
        <v>0</v>
      </c>
      <c r="AG679" t="b">
        <f>AND(IF(metadata!F679="",FALSE,TRUE),EXACT(metadata!F679,"Not applicable"))</f>
        <v>0</v>
      </c>
      <c r="AH679" t="b">
        <f>AND(IF(metadata!G679="",FALSE,TRUE),EXACT(metadata!G679,"urban biome"))</f>
        <v>0</v>
      </c>
      <c r="AI679" t="b">
        <f>AND(IF(metadata!H679="",FALSE,TRUE),EXACT(metadata!H679,"human-associated habitat"))</f>
        <v>0</v>
      </c>
      <c r="AJ679" t="b">
        <f>AND(IF(metadata!I679="",FALSE,TRUE),OR(EXACT(metadata!I679,"human-associated"),EXACT(metadata!I679,"human-skin"),EXACT(metadata!I679,"human-oral"),EXACT(metadata!I679,"human-gut"),EXACT(metadata!I679,"human-vaginal")))</f>
        <v>0</v>
      </c>
      <c r="AK679" t="b">
        <f>IF(metadata!J679="",FALSE,ISNUMBER(VALUE(metadata!J679)))</f>
        <v>0</v>
      </c>
      <c r="AL679" t="b">
        <f>AND(IF(metadata!K679="",FALSE,TRUE),EXACT(metadata!K679,"cm"))</f>
        <v>0</v>
      </c>
      <c r="AM679" t="b">
        <f>AND(IF(metadata!L679="",FALSE,TRUE),EXACT(metadata!L679,"human"))</f>
        <v>0</v>
      </c>
      <c r="AN679" t="b">
        <f>AND(IF(metadata!M679="",FALSE,TRUE),EXACT(metadata!M679,"Homo sapiens"))</f>
        <v>0</v>
      </c>
      <c r="AO679" t="b">
        <f>AND(IF(metadata!N679="",FALSE,TRUE),EXACT(metadata!N679,"9606"))</f>
        <v>0</v>
      </c>
      <c r="AP679" t="b">
        <f>IF(metadata!O679="",FALSE,TRUE)</f>
        <v>0</v>
      </c>
      <c r="AQ679" t="b">
        <f>IF(metadata!P679="",FALSE,TRUE)</f>
        <v>0</v>
      </c>
      <c r="AR679" t="b">
        <f>IF(metadata!Q679="",FALSE,ISNUMBER(VALUE(metadata!Q679)))</f>
        <v>0</v>
      </c>
      <c r="AS679" t="b">
        <f>AND(IF(metadata!R679="",FALSE,TRUE),EXACT(metadata!R679,"kg"))</f>
        <v>0</v>
      </c>
    </row>
    <row r="680" spans="1:45" x14ac:dyDescent="0.2">
      <c r="A680" s="5" t="str">
        <f ca="1">IF(B680=" "," ",HYPERLINK(CONCATENATE("#metadata!",ADDRESS(INDEX($X$2:$X$1001,MATCH(ROWS($V$2:V680),$V$2:$V$1001,0),0),1)),INDEX($AA$2:$AA$1001,MATCH(ROWS($V$2:V680),$V$2:$V$1001,0),0)))</f>
        <v xml:space="preserve"> </v>
      </c>
      <c r="B680" s="4" t="str">
        <f ca="1">IF(OR(INDEX($W$2:$W$1001,MATCH(ROWS($V$2:V680),$V$2:$V$1001,0),1)&gt;=100000,INDEX($AC$1005:$AS$1005,1,MATCH(COLUMNS($AC$1006:AC1006),$AC$1006:$AS$1006,0))&gt;=100000), " ",IF(INDEX($AC$2:$AS$1001,MATCH(ROWS($V$2:V680),$V$2:$V$1001,0),MATCH(COLUMNS($AC$1006:AC1006),$AC$1006:$AS$1006,0)), HYPERLINK("#",""), HYPERLINK(CONCATENATE("#metadata!", ADDRESS(INDEX($X$2:$X$1001,MATCH(ROWS($V$2:V680),$V$2:$V$1001,0),0), INDEX($AC$1004:$AS$1004,1,MATCH(COLUMNS($AC$1006:AC1006),$AC$1006:$AS$1006,0)))),"Fix")))</f>
        <v xml:space="preserve"> </v>
      </c>
      <c r="C680" s="4" t="str">
        <f ca="1">IF(OR(INDEX($W$2:$W$1001,MATCH(ROWS($V$2:V680),$V$2:$V$1001,0),1)&gt;=100000,INDEX($AC$1005:$AS$1005,1,MATCH(COLUMNS($AC$1006:AD1006),$AC$1006:$AS$1006,0))&gt;=100000), " ",IF(INDEX($AC$2:$AS$1001,MATCH(ROWS($V$2:V680),$V$2:$V$1001,0),MATCH(COLUMNS($AC$1006:AD1006),$AC$1006:$AS$1006,0)), HYPERLINK("#",""), HYPERLINK(CONCATENATE("#metadata!", ADDRESS(INDEX($X$2:$X$1001,MATCH(ROWS($V$2:V680),$V$2:$V$1001,0),0), INDEX($AC$1004:$AS$1004,1,MATCH(COLUMNS($AC$1006:AD1006),$AC$1006:$AS$1006,0)))),"Fix")))</f>
        <v xml:space="preserve"> </v>
      </c>
      <c r="D680" s="4" t="str">
        <f ca="1">IF(OR(INDEX($W$2:$W$1001,MATCH(ROWS($V$2:V680),$V$2:$V$1001,0),1)&gt;=100000,INDEX($AC$1005:$AS$1005,1,MATCH(COLUMNS($AC$1006:AE1006),$AC$1006:$AS$1006,0))&gt;=100000), " ",IF(INDEX($AC$2:$AS$1001,MATCH(ROWS($V$2:V680),$V$2:$V$1001,0),MATCH(COLUMNS($AC$1006:AE1006),$AC$1006:$AS$1006,0)), HYPERLINK("#",""), HYPERLINK(CONCATENATE("#metadata!", ADDRESS(INDEX($X$2:$X$1001,MATCH(ROWS($V$2:V680),$V$2:$V$1001,0),0), INDEX($AC$1004:$AS$1004,1,MATCH(COLUMNS($AC$1006:AE1006),$AC$1006:$AS$1006,0)))),"Fix")))</f>
        <v xml:space="preserve"> </v>
      </c>
      <c r="E680" s="4" t="str">
        <f ca="1">IF(OR(INDEX($W$2:$W$1001,MATCH(ROWS($V$2:V680),$V$2:$V$1001,0),1)&gt;=100000,INDEX($AC$1005:$AS$1005,1,MATCH(COLUMNS($AC$1006:AF1006),$AC$1006:$AS$1006,0))&gt;=100000), " ",IF(INDEX($AC$2:$AS$1001,MATCH(ROWS($V$2:V680),$V$2:$V$1001,0),MATCH(COLUMNS($AC$1006:AF1006),$AC$1006:$AS$1006,0)), HYPERLINK("#",""), HYPERLINK(CONCATENATE("#metadata!", ADDRESS(INDEX($X$2:$X$1001,MATCH(ROWS($V$2:V680),$V$2:$V$1001,0),0), INDEX($AC$1004:$AS$1004,1,MATCH(COLUMNS($AC$1006:AF1006),$AC$1006:$AS$1006,0)))),"Fix")))</f>
        <v xml:space="preserve"> </v>
      </c>
      <c r="F680" s="4" t="str">
        <f ca="1">IF(OR(INDEX($W$2:$W$1001,MATCH(ROWS($V$2:V680),$V$2:$V$1001,0),1)&gt;=100000,INDEX($AC$1005:$AS$1005,1,MATCH(COLUMNS($AC$1006:AG1006),$AC$1006:$AS$1006,0))&gt;=100000), " ",IF(INDEX($AC$2:$AS$1001,MATCH(ROWS($V$2:V680),$V$2:$V$1001,0),MATCH(COLUMNS($AC$1006:AG1006),$AC$1006:$AS$1006,0)), HYPERLINK("#",""), HYPERLINK(CONCATENATE("#metadata!", ADDRESS(INDEX($X$2:$X$1001,MATCH(ROWS($V$2:V680),$V$2:$V$1001,0),0), INDEX($AC$1004:$AS$1004,1,MATCH(COLUMNS($AC$1006:AG1006),$AC$1006:$AS$1006,0)))),"Fix")))</f>
        <v xml:space="preserve"> </v>
      </c>
      <c r="G680" s="4" t="str">
        <f ca="1">IF(OR(INDEX($W$2:$W$1001,MATCH(ROWS($V$2:V680),$V$2:$V$1001,0),1)&gt;=100000,INDEX($AC$1005:$AS$1005,1,MATCH(COLUMNS($AC$1006:AH1006),$AC$1006:$AS$1006,0))&gt;=100000), " ",IF(INDEX($AC$2:$AS$1001,MATCH(ROWS($V$2:V680),$V$2:$V$1001,0),MATCH(COLUMNS($AC$1006:AH1006),$AC$1006:$AS$1006,0)), HYPERLINK("#",""), HYPERLINK(CONCATENATE("#metadata!", ADDRESS(INDEX($X$2:$X$1001,MATCH(ROWS($V$2:V680),$V$2:$V$1001,0),0), INDEX($AC$1004:$AS$1004,1,MATCH(COLUMNS($AC$1006:AH1006),$AC$1006:$AS$1006,0)))),"Fix")))</f>
        <v xml:space="preserve"> </v>
      </c>
      <c r="H680" s="4" t="str">
        <f ca="1">IF(OR(INDEX($W$2:$W$1001,MATCH(ROWS($V$2:V680),$V$2:$V$1001,0),1)&gt;=100000,INDEX($AC$1005:$AS$1005,1,MATCH(COLUMNS($AC$1006:AI1006),$AC$1006:$AS$1006,0))&gt;=100000), " ",IF(INDEX($AC$2:$AS$1001,MATCH(ROWS($V$2:V680),$V$2:$V$1001,0),MATCH(COLUMNS($AC$1006:AI1006),$AC$1006:$AS$1006,0)), HYPERLINK("#",""), HYPERLINK(CONCATENATE("#metadata!", ADDRESS(INDEX($X$2:$X$1001,MATCH(ROWS($V$2:V680),$V$2:$V$1001,0),0), INDEX($AC$1004:$AS$1004,1,MATCH(COLUMNS($AC$1006:AI1006),$AC$1006:$AS$1006,0)))),"Fix")))</f>
        <v xml:space="preserve"> </v>
      </c>
      <c r="I680" s="4" t="str">
        <f ca="1">IF(OR(INDEX($W$2:$W$1001,MATCH(ROWS($V$2:V680),$V$2:$V$1001,0),1)&gt;=100000,INDEX($AC$1005:$AS$1005,1,MATCH(COLUMNS($AC$1006:AJ1006),$AC$1006:$AS$1006,0))&gt;=100000), " ",IF(INDEX($AC$2:$AS$1001,MATCH(ROWS($V$2:V680),$V$2:$V$1001,0),MATCH(COLUMNS($AC$1006:AJ1006),$AC$1006:$AS$1006,0)), HYPERLINK("#",""), HYPERLINK(CONCATENATE("#metadata!", ADDRESS(INDEX($X$2:$X$1001,MATCH(ROWS($V$2:V680),$V$2:$V$1001,0),0), INDEX($AC$1004:$AS$1004,1,MATCH(COLUMNS($AC$1006:AJ1006),$AC$1006:$AS$1006,0)))),"Fix")))</f>
        <v xml:space="preserve"> </v>
      </c>
      <c r="J680" s="4" t="str">
        <f ca="1">IF(OR(INDEX($W$2:$W$1001,MATCH(ROWS($V$2:V680),$V$2:$V$1001,0),1)&gt;=100000,INDEX($AC$1005:$AS$1005,1,MATCH(COLUMNS($AC$1006:AK1006),$AC$1006:$AS$1006,0))&gt;=100000), " ",IF(INDEX($AC$2:$AS$1001,MATCH(ROWS($V$2:V680),$V$2:$V$1001,0),MATCH(COLUMNS($AC$1006:AK1006),$AC$1006:$AS$1006,0)), HYPERLINK("#",""), HYPERLINK(CONCATENATE("#metadata!", ADDRESS(INDEX($X$2:$X$1001,MATCH(ROWS($V$2:V680),$V$2:$V$1001,0),0), INDEX($AC$1004:$AS$1004,1,MATCH(COLUMNS($AC$1006:AK1006),$AC$1006:$AS$1006,0)))),"Fix")))</f>
        <v xml:space="preserve"> </v>
      </c>
      <c r="K680" s="4" t="str">
        <f ca="1">IF(OR(INDEX($W$2:$W$1001,MATCH(ROWS($V$2:V680),$V$2:$V$1001,0),1)&gt;=100000,INDEX($AC$1005:$AS$1005,1,MATCH(COLUMNS($AC$1006:AL1006),$AC$1006:$AS$1006,0))&gt;=100000), " ",IF(INDEX($AC$2:$AS$1001,MATCH(ROWS($V$2:V680),$V$2:$V$1001,0),MATCH(COLUMNS($AC$1006:AL1006),$AC$1006:$AS$1006,0)), HYPERLINK("#",""), HYPERLINK(CONCATENATE("#metadata!", ADDRESS(INDEX($X$2:$X$1001,MATCH(ROWS($V$2:V680),$V$2:$V$1001,0),0), INDEX($AC$1004:$AS$1004,1,MATCH(COLUMNS($AC$1006:AL1006),$AC$1006:$AS$1006,0)))),"Fix")))</f>
        <v xml:space="preserve"> </v>
      </c>
      <c r="L680" s="4" t="str">
        <f ca="1">IF(OR(INDEX($W$2:$W$1001,MATCH(ROWS($V$2:V680),$V$2:$V$1001,0),1)&gt;=100000,INDEX($AC$1005:$AS$1005,1,MATCH(COLUMNS($AC$1006:AM1006),$AC$1006:$AS$1006,0))&gt;=100000), " ",IF(INDEX($AC$2:$AS$1001,MATCH(ROWS($V$2:V680),$V$2:$V$1001,0),MATCH(COLUMNS($AC$1006:AM1006),$AC$1006:$AS$1006,0)), HYPERLINK("#",""), HYPERLINK(CONCATENATE("#metadata!", ADDRESS(INDEX($X$2:$X$1001,MATCH(ROWS($V$2:V680),$V$2:$V$1001,0),0), INDEX($AC$1004:$AS$1004,1,MATCH(COLUMNS($AC$1006:AM1006),$AC$1006:$AS$1006,0)))),"Fix")))</f>
        <v xml:space="preserve"> </v>
      </c>
      <c r="M680" s="4" t="str">
        <f ca="1">IF(OR(INDEX($W$2:$W$1001,MATCH(ROWS($V$2:V680),$V$2:$V$1001,0),1)&gt;=100000,INDEX($AC$1005:$AS$1005,1,MATCH(COLUMNS($AC$1006:AN1006),$AC$1006:$AS$1006,0))&gt;=100000), " ",IF(INDEX($AC$2:$AS$1001,MATCH(ROWS($V$2:V680),$V$2:$V$1001,0),MATCH(COLUMNS($AC$1006:AN1006),$AC$1006:$AS$1006,0)), HYPERLINK("#",""), HYPERLINK(CONCATENATE("#metadata!", ADDRESS(INDEX($X$2:$X$1001,MATCH(ROWS($V$2:V680),$V$2:$V$1001,0),0), INDEX($AC$1004:$AS$1004,1,MATCH(COLUMNS($AC$1006:AN1006),$AC$1006:$AS$1006,0)))),"Fix")))</f>
        <v xml:space="preserve"> </v>
      </c>
      <c r="N680" s="4" t="str">
        <f ca="1">IF(OR(INDEX($W$2:$W$1001,MATCH(ROWS($V$2:V680),$V$2:$V$1001,0),1)&gt;=100000,INDEX($AC$1005:$AS$1005,1,MATCH(COLUMNS($AC$1006:AO1006),$AC$1006:$AS$1006,0))&gt;=100000), " ",IF(INDEX($AC$2:$AS$1001,MATCH(ROWS($V$2:V680),$V$2:$V$1001,0),MATCH(COLUMNS($AC$1006:AO1006),$AC$1006:$AS$1006,0)), HYPERLINK("#",""), HYPERLINK(CONCATENATE("#metadata!", ADDRESS(INDEX($X$2:$X$1001,MATCH(ROWS($V$2:V680),$V$2:$V$1001,0),0), INDEX($AC$1004:$AS$1004,1,MATCH(COLUMNS($AC$1006:AO1006),$AC$1006:$AS$1006,0)))),"Fix")))</f>
        <v xml:space="preserve"> </v>
      </c>
      <c r="O680" s="4" t="str">
        <f ca="1">IF(OR(INDEX($W$2:$W$1001,MATCH(ROWS($V$2:V680),$V$2:$V$1001,0),1)&gt;=100000,INDEX($AC$1005:$AS$1005,1,MATCH(COLUMNS($AC$1006:AP1006),$AC$1006:$AS$1006,0))&gt;=100000), " ",IF(INDEX($AC$2:$AS$1001,MATCH(ROWS($V$2:V680),$V$2:$V$1001,0),MATCH(COLUMNS($AC$1006:AP1006),$AC$1006:$AS$1006,0)), HYPERLINK("#",""), HYPERLINK(CONCATENATE("#metadata!", ADDRESS(INDEX($X$2:$X$1001,MATCH(ROWS($V$2:V680),$V$2:$V$1001,0),0), INDEX($AC$1004:$AS$1004,1,MATCH(COLUMNS($AC$1006:AP1006),$AC$1006:$AS$1006,0)))),"Fix")))</f>
        <v xml:space="preserve"> </v>
      </c>
      <c r="P680" s="4" t="str">
        <f ca="1">IF(OR(INDEX($W$2:$W$1001,MATCH(ROWS($V$2:V680),$V$2:$V$1001,0),1)&gt;=100000,INDEX($AC$1005:$AS$1005,1,MATCH(COLUMNS($AC$1006:AQ1006),$AC$1006:$AS$1006,0))&gt;=100000), " ",IF(INDEX($AC$2:$AS$1001,MATCH(ROWS($V$2:V680),$V$2:$V$1001,0),MATCH(COLUMNS($AC$1006:AQ1006),$AC$1006:$AS$1006,0)), HYPERLINK("#",""), HYPERLINK(CONCATENATE("#metadata!", ADDRESS(INDEX($X$2:$X$1001,MATCH(ROWS($V$2:V680),$V$2:$V$1001,0),0), INDEX($AC$1004:$AS$1004,1,MATCH(COLUMNS($AC$1006:AQ1006),$AC$1006:$AS$1006,0)))),"Fix")))</f>
        <v xml:space="preserve"> </v>
      </c>
      <c r="Q680" s="4" t="str">
        <f ca="1">IF(OR(INDEX($W$2:$W$1001,MATCH(ROWS($V$2:V680),$V$2:$V$1001,0),1)&gt;=100000,INDEX($AC$1005:$AS$1005,1,MATCH(COLUMNS($AC$1006:AR1006),$AC$1006:$AS$1006,0))&gt;=100000), " ",IF(INDEX($AC$2:$AS$1001,MATCH(ROWS($V$2:V680),$V$2:$V$1001,0),MATCH(COLUMNS($AC$1006:AR1006),$AC$1006:$AS$1006,0)), HYPERLINK("#",""), HYPERLINK(CONCATENATE("#metadata!", ADDRESS(INDEX($X$2:$X$1001,MATCH(ROWS($V$2:V680),$V$2:$V$1001,0),0), INDEX($AC$1004:$AS$1004,1,MATCH(COLUMNS($AC$1006:AR1006),$AC$1006:$AS$1006,0)))),"Fix")))</f>
        <v xml:space="preserve"> </v>
      </c>
      <c r="R680" s="4" t="str">
        <f ca="1">IF(OR(INDEX($W$2:$W$1001,MATCH(ROWS($V$2:V680),$V$2:$V$1001,0),1)&gt;=100000,INDEX($AC$1005:$AS$1005,1,MATCH(COLUMNS($AC$1006:AS1006),$AC$1006:$AS$1006,0))&gt;=100000), " ",IF(INDEX($AC$2:$AS$1001,MATCH(ROWS($V$2:V680),$V$2:$V$1001,0),MATCH(COLUMNS($AC$1006:AS1006),$AC$1006:$AS$1006,0)), HYPERLINK("#",""), HYPERLINK(CONCATENATE("#metadata!", ADDRESS(INDEX($X$2:$X$1001,MATCH(ROWS($V$2:V680),$V$2:$V$1001,0),0), INDEX($AC$1004:$AS$1004,1,MATCH(COLUMNS($AC$1006:AS1006),$AC$1006:$AS$1006,0)))),"Fix")))</f>
        <v xml:space="preserve"> </v>
      </c>
      <c r="V680">
        <v>679</v>
      </c>
      <c r="W680">
        <v>100680</v>
      </c>
      <c r="X680">
        <v>680</v>
      </c>
      <c r="Y680" t="b">
        <f t="shared" si="10"/>
        <v>1</v>
      </c>
      <c r="Z680" t="b">
        <f>COUNTBLANK(metadata!B680:R680)=COLUMNS(metadata!B680:R680)</f>
        <v>1</v>
      </c>
      <c r="AA680" t="str">
        <v/>
      </c>
      <c r="AC680" t="b">
        <f ca="1"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AD680" t="b">
        <f>IF(metadata!C680="",FALSE,ISNUMBER(VALUE(metadata!C680)))</f>
        <v>0</v>
      </c>
      <c r="AE680" t="b">
        <f>AND(IF(metadata!D680="",FALSE,TRUE),EXACT(metadata!D680,"years"))</f>
        <v>0</v>
      </c>
      <c r="AF680" t="b">
        <f>OR(AND(IF(metadata!E680="",FALSE,TRUE),OR(EXACT(metadata!E680,"not applicable"),EXACT(metadata!E680,"missing: not collected"),EXACT(metadata!E680,"missing: not provided"),EXACT(metadata!E680,"missing: restricted access"))),AND(IF(metadata!E680="",FALSE,ISNUMBER(VALUE(metadata!E680))),metadata!E680&gt;0))</f>
        <v>0</v>
      </c>
      <c r="AG680" t="b">
        <f>AND(IF(metadata!F680="",FALSE,TRUE),EXACT(metadata!F680,"Not applicable"))</f>
        <v>0</v>
      </c>
      <c r="AH680" t="b">
        <f>AND(IF(metadata!G680="",FALSE,TRUE),EXACT(metadata!G680,"urban biome"))</f>
        <v>0</v>
      </c>
      <c r="AI680" t="b">
        <f>AND(IF(metadata!H680="",FALSE,TRUE),EXACT(metadata!H680,"human-associated habitat"))</f>
        <v>0</v>
      </c>
      <c r="AJ680" t="b">
        <f>AND(IF(metadata!I680="",FALSE,TRUE),OR(EXACT(metadata!I680,"human-associated"),EXACT(metadata!I680,"human-skin"),EXACT(metadata!I680,"human-oral"),EXACT(metadata!I680,"human-gut"),EXACT(metadata!I680,"human-vaginal")))</f>
        <v>0</v>
      </c>
      <c r="AK680" t="b">
        <f>IF(metadata!J680="",FALSE,ISNUMBER(VALUE(metadata!J680)))</f>
        <v>0</v>
      </c>
      <c r="AL680" t="b">
        <f>AND(IF(metadata!K680="",FALSE,TRUE),EXACT(metadata!K680,"cm"))</f>
        <v>0</v>
      </c>
      <c r="AM680" t="b">
        <f>AND(IF(metadata!L680="",FALSE,TRUE),EXACT(metadata!L680,"human"))</f>
        <v>0</v>
      </c>
      <c r="AN680" t="b">
        <f>AND(IF(metadata!M680="",FALSE,TRUE),EXACT(metadata!M680,"Homo sapiens"))</f>
        <v>0</v>
      </c>
      <c r="AO680" t="b">
        <f>AND(IF(metadata!N680="",FALSE,TRUE),EXACT(metadata!N680,"9606"))</f>
        <v>0</v>
      </c>
      <c r="AP680" t="b">
        <f>IF(metadata!O680="",FALSE,TRUE)</f>
        <v>0</v>
      </c>
      <c r="AQ680" t="b">
        <f>IF(metadata!P680="",FALSE,TRUE)</f>
        <v>0</v>
      </c>
      <c r="AR680" t="b">
        <f>IF(metadata!Q680="",FALSE,ISNUMBER(VALUE(metadata!Q680)))</f>
        <v>0</v>
      </c>
      <c r="AS680" t="b">
        <f>AND(IF(metadata!R680="",FALSE,TRUE),EXACT(metadata!R680,"kg"))</f>
        <v>0</v>
      </c>
    </row>
    <row r="681" spans="1:45" x14ac:dyDescent="0.2">
      <c r="A681" s="5" t="str">
        <f ca="1">IF(B681=" "," ",HYPERLINK(CONCATENATE("#metadata!",ADDRESS(INDEX($X$2:$X$1001,MATCH(ROWS($V$2:V681),$V$2:$V$1001,0),0),1)),INDEX($AA$2:$AA$1001,MATCH(ROWS($V$2:V681),$V$2:$V$1001,0),0)))</f>
        <v xml:space="preserve"> </v>
      </c>
      <c r="B681" s="4" t="str">
        <f ca="1">IF(OR(INDEX($W$2:$W$1001,MATCH(ROWS($V$2:V681),$V$2:$V$1001,0),1)&gt;=100000,INDEX($AC$1005:$AS$1005,1,MATCH(COLUMNS($AC$1006:AC1006),$AC$1006:$AS$1006,0))&gt;=100000), " ",IF(INDEX($AC$2:$AS$1001,MATCH(ROWS($V$2:V681),$V$2:$V$1001,0),MATCH(COLUMNS($AC$1006:AC1006),$AC$1006:$AS$1006,0)), HYPERLINK("#",""), HYPERLINK(CONCATENATE("#metadata!", ADDRESS(INDEX($X$2:$X$1001,MATCH(ROWS($V$2:V681),$V$2:$V$1001,0),0), INDEX($AC$1004:$AS$1004,1,MATCH(COLUMNS($AC$1006:AC1006),$AC$1006:$AS$1006,0)))),"Fix")))</f>
        <v xml:space="preserve"> </v>
      </c>
      <c r="C681" s="4" t="str">
        <f ca="1">IF(OR(INDEX($W$2:$W$1001,MATCH(ROWS($V$2:V681),$V$2:$V$1001,0),1)&gt;=100000,INDEX($AC$1005:$AS$1005,1,MATCH(COLUMNS($AC$1006:AD1006),$AC$1006:$AS$1006,0))&gt;=100000), " ",IF(INDEX($AC$2:$AS$1001,MATCH(ROWS($V$2:V681),$V$2:$V$1001,0),MATCH(COLUMNS($AC$1006:AD1006),$AC$1006:$AS$1006,0)), HYPERLINK("#",""), HYPERLINK(CONCATENATE("#metadata!", ADDRESS(INDEX($X$2:$X$1001,MATCH(ROWS($V$2:V681),$V$2:$V$1001,0),0), INDEX($AC$1004:$AS$1004,1,MATCH(COLUMNS($AC$1006:AD1006),$AC$1006:$AS$1006,0)))),"Fix")))</f>
        <v xml:space="preserve"> </v>
      </c>
      <c r="D681" s="4" t="str">
        <f ca="1">IF(OR(INDEX($W$2:$W$1001,MATCH(ROWS($V$2:V681),$V$2:$V$1001,0),1)&gt;=100000,INDEX($AC$1005:$AS$1005,1,MATCH(COLUMNS($AC$1006:AE1006),$AC$1006:$AS$1006,0))&gt;=100000), " ",IF(INDEX($AC$2:$AS$1001,MATCH(ROWS($V$2:V681),$V$2:$V$1001,0),MATCH(COLUMNS($AC$1006:AE1006),$AC$1006:$AS$1006,0)), HYPERLINK("#",""), HYPERLINK(CONCATENATE("#metadata!", ADDRESS(INDEX($X$2:$X$1001,MATCH(ROWS($V$2:V681),$V$2:$V$1001,0),0), INDEX($AC$1004:$AS$1004,1,MATCH(COLUMNS($AC$1006:AE1006),$AC$1006:$AS$1006,0)))),"Fix")))</f>
        <v xml:space="preserve"> </v>
      </c>
      <c r="E681" s="4" t="str">
        <f ca="1">IF(OR(INDEX($W$2:$W$1001,MATCH(ROWS($V$2:V681),$V$2:$V$1001,0),1)&gt;=100000,INDEX($AC$1005:$AS$1005,1,MATCH(COLUMNS($AC$1006:AF1006),$AC$1006:$AS$1006,0))&gt;=100000), " ",IF(INDEX($AC$2:$AS$1001,MATCH(ROWS($V$2:V681),$V$2:$V$1001,0),MATCH(COLUMNS($AC$1006:AF1006),$AC$1006:$AS$1006,0)), HYPERLINK("#",""), HYPERLINK(CONCATENATE("#metadata!", ADDRESS(INDEX($X$2:$X$1001,MATCH(ROWS($V$2:V681),$V$2:$V$1001,0),0), INDEX($AC$1004:$AS$1004,1,MATCH(COLUMNS($AC$1006:AF1006),$AC$1006:$AS$1006,0)))),"Fix")))</f>
        <v xml:space="preserve"> </v>
      </c>
      <c r="F681" s="4" t="str">
        <f ca="1">IF(OR(INDEX($W$2:$W$1001,MATCH(ROWS($V$2:V681),$V$2:$V$1001,0),1)&gt;=100000,INDEX($AC$1005:$AS$1005,1,MATCH(COLUMNS($AC$1006:AG1006),$AC$1006:$AS$1006,0))&gt;=100000), " ",IF(INDEX($AC$2:$AS$1001,MATCH(ROWS($V$2:V681),$V$2:$V$1001,0),MATCH(COLUMNS($AC$1006:AG1006),$AC$1006:$AS$1006,0)), HYPERLINK("#",""), HYPERLINK(CONCATENATE("#metadata!", ADDRESS(INDEX($X$2:$X$1001,MATCH(ROWS($V$2:V681),$V$2:$V$1001,0),0), INDEX($AC$1004:$AS$1004,1,MATCH(COLUMNS($AC$1006:AG1006),$AC$1006:$AS$1006,0)))),"Fix")))</f>
        <v xml:space="preserve"> </v>
      </c>
      <c r="G681" s="4" t="str">
        <f ca="1">IF(OR(INDEX($W$2:$W$1001,MATCH(ROWS($V$2:V681),$V$2:$V$1001,0),1)&gt;=100000,INDEX($AC$1005:$AS$1005,1,MATCH(COLUMNS($AC$1006:AH1006),$AC$1006:$AS$1006,0))&gt;=100000), " ",IF(INDEX($AC$2:$AS$1001,MATCH(ROWS($V$2:V681),$V$2:$V$1001,0),MATCH(COLUMNS($AC$1006:AH1006),$AC$1006:$AS$1006,0)), HYPERLINK("#",""), HYPERLINK(CONCATENATE("#metadata!", ADDRESS(INDEX($X$2:$X$1001,MATCH(ROWS($V$2:V681),$V$2:$V$1001,0),0), INDEX($AC$1004:$AS$1004,1,MATCH(COLUMNS($AC$1006:AH1006),$AC$1006:$AS$1006,0)))),"Fix")))</f>
        <v xml:space="preserve"> </v>
      </c>
      <c r="H681" s="4" t="str">
        <f ca="1">IF(OR(INDEX($W$2:$W$1001,MATCH(ROWS($V$2:V681),$V$2:$V$1001,0),1)&gt;=100000,INDEX($AC$1005:$AS$1005,1,MATCH(COLUMNS($AC$1006:AI1006),$AC$1006:$AS$1006,0))&gt;=100000), " ",IF(INDEX($AC$2:$AS$1001,MATCH(ROWS($V$2:V681),$V$2:$V$1001,0),MATCH(COLUMNS($AC$1006:AI1006),$AC$1006:$AS$1006,0)), HYPERLINK("#",""), HYPERLINK(CONCATENATE("#metadata!", ADDRESS(INDEX($X$2:$X$1001,MATCH(ROWS($V$2:V681),$V$2:$V$1001,0),0), INDEX($AC$1004:$AS$1004,1,MATCH(COLUMNS($AC$1006:AI1006),$AC$1006:$AS$1006,0)))),"Fix")))</f>
        <v xml:space="preserve"> </v>
      </c>
      <c r="I681" s="4" t="str">
        <f ca="1">IF(OR(INDEX($W$2:$W$1001,MATCH(ROWS($V$2:V681),$V$2:$V$1001,0),1)&gt;=100000,INDEX($AC$1005:$AS$1005,1,MATCH(COLUMNS($AC$1006:AJ1006),$AC$1006:$AS$1006,0))&gt;=100000), " ",IF(INDEX($AC$2:$AS$1001,MATCH(ROWS($V$2:V681),$V$2:$V$1001,0),MATCH(COLUMNS($AC$1006:AJ1006),$AC$1006:$AS$1006,0)), HYPERLINK("#",""), HYPERLINK(CONCATENATE("#metadata!", ADDRESS(INDEX($X$2:$X$1001,MATCH(ROWS($V$2:V681),$V$2:$V$1001,0),0), INDEX($AC$1004:$AS$1004,1,MATCH(COLUMNS($AC$1006:AJ1006),$AC$1006:$AS$1006,0)))),"Fix")))</f>
        <v xml:space="preserve"> </v>
      </c>
      <c r="J681" s="4" t="str">
        <f ca="1">IF(OR(INDEX($W$2:$W$1001,MATCH(ROWS($V$2:V681),$V$2:$V$1001,0),1)&gt;=100000,INDEX($AC$1005:$AS$1005,1,MATCH(COLUMNS($AC$1006:AK1006),$AC$1006:$AS$1006,0))&gt;=100000), " ",IF(INDEX($AC$2:$AS$1001,MATCH(ROWS($V$2:V681),$V$2:$V$1001,0),MATCH(COLUMNS($AC$1006:AK1006),$AC$1006:$AS$1006,0)), HYPERLINK("#",""), HYPERLINK(CONCATENATE("#metadata!", ADDRESS(INDEX($X$2:$X$1001,MATCH(ROWS($V$2:V681),$V$2:$V$1001,0),0), INDEX($AC$1004:$AS$1004,1,MATCH(COLUMNS($AC$1006:AK1006),$AC$1006:$AS$1006,0)))),"Fix")))</f>
        <v xml:space="preserve"> </v>
      </c>
      <c r="K681" s="4" t="str">
        <f ca="1">IF(OR(INDEX($W$2:$W$1001,MATCH(ROWS($V$2:V681),$V$2:$V$1001,0),1)&gt;=100000,INDEX($AC$1005:$AS$1005,1,MATCH(COLUMNS($AC$1006:AL1006),$AC$1006:$AS$1006,0))&gt;=100000), " ",IF(INDEX($AC$2:$AS$1001,MATCH(ROWS($V$2:V681),$V$2:$V$1001,0),MATCH(COLUMNS($AC$1006:AL1006),$AC$1006:$AS$1006,0)), HYPERLINK("#",""), HYPERLINK(CONCATENATE("#metadata!", ADDRESS(INDEX($X$2:$X$1001,MATCH(ROWS($V$2:V681),$V$2:$V$1001,0),0), INDEX($AC$1004:$AS$1004,1,MATCH(COLUMNS($AC$1006:AL1006),$AC$1006:$AS$1006,0)))),"Fix")))</f>
        <v xml:space="preserve"> </v>
      </c>
      <c r="L681" s="4" t="str">
        <f ca="1">IF(OR(INDEX($W$2:$W$1001,MATCH(ROWS($V$2:V681),$V$2:$V$1001,0),1)&gt;=100000,INDEX($AC$1005:$AS$1005,1,MATCH(COLUMNS($AC$1006:AM1006),$AC$1006:$AS$1006,0))&gt;=100000), " ",IF(INDEX($AC$2:$AS$1001,MATCH(ROWS($V$2:V681),$V$2:$V$1001,0),MATCH(COLUMNS($AC$1006:AM1006),$AC$1006:$AS$1006,0)), HYPERLINK("#",""), HYPERLINK(CONCATENATE("#metadata!", ADDRESS(INDEX($X$2:$X$1001,MATCH(ROWS($V$2:V681),$V$2:$V$1001,0),0), INDEX($AC$1004:$AS$1004,1,MATCH(COLUMNS($AC$1006:AM1006),$AC$1006:$AS$1006,0)))),"Fix")))</f>
        <v xml:space="preserve"> </v>
      </c>
      <c r="M681" s="4" t="str">
        <f ca="1">IF(OR(INDEX($W$2:$W$1001,MATCH(ROWS($V$2:V681),$V$2:$V$1001,0),1)&gt;=100000,INDEX($AC$1005:$AS$1005,1,MATCH(COLUMNS($AC$1006:AN1006),$AC$1006:$AS$1006,0))&gt;=100000), " ",IF(INDEX($AC$2:$AS$1001,MATCH(ROWS($V$2:V681),$V$2:$V$1001,0),MATCH(COLUMNS($AC$1006:AN1006),$AC$1006:$AS$1006,0)), HYPERLINK("#",""), HYPERLINK(CONCATENATE("#metadata!", ADDRESS(INDEX($X$2:$X$1001,MATCH(ROWS($V$2:V681),$V$2:$V$1001,0),0), INDEX($AC$1004:$AS$1004,1,MATCH(COLUMNS($AC$1006:AN1006),$AC$1006:$AS$1006,0)))),"Fix")))</f>
        <v xml:space="preserve"> </v>
      </c>
      <c r="N681" s="4" t="str">
        <f ca="1">IF(OR(INDEX($W$2:$W$1001,MATCH(ROWS($V$2:V681),$V$2:$V$1001,0),1)&gt;=100000,INDEX($AC$1005:$AS$1005,1,MATCH(COLUMNS($AC$1006:AO1006),$AC$1006:$AS$1006,0))&gt;=100000), " ",IF(INDEX($AC$2:$AS$1001,MATCH(ROWS($V$2:V681),$V$2:$V$1001,0),MATCH(COLUMNS($AC$1006:AO1006),$AC$1006:$AS$1006,0)), HYPERLINK("#",""), HYPERLINK(CONCATENATE("#metadata!", ADDRESS(INDEX($X$2:$X$1001,MATCH(ROWS($V$2:V681),$V$2:$V$1001,0),0), INDEX($AC$1004:$AS$1004,1,MATCH(COLUMNS($AC$1006:AO1006),$AC$1006:$AS$1006,0)))),"Fix")))</f>
        <v xml:space="preserve"> </v>
      </c>
      <c r="O681" s="4" t="str">
        <f ca="1">IF(OR(INDEX($W$2:$W$1001,MATCH(ROWS($V$2:V681),$V$2:$V$1001,0),1)&gt;=100000,INDEX($AC$1005:$AS$1005,1,MATCH(COLUMNS($AC$1006:AP1006),$AC$1006:$AS$1006,0))&gt;=100000), " ",IF(INDEX($AC$2:$AS$1001,MATCH(ROWS($V$2:V681),$V$2:$V$1001,0),MATCH(COLUMNS($AC$1006:AP1006),$AC$1006:$AS$1006,0)), HYPERLINK("#",""), HYPERLINK(CONCATENATE("#metadata!", ADDRESS(INDEX($X$2:$X$1001,MATCH(ROWS($V$2:V681),$V$2:$V$1001,0),0), INDEX($AC$1004:$AS$1004,1,MATCH(COLUMNS($AC$1006:AP1006),$AC$1006:$AS$1006,0)))),"Fix")))</f>
        <v xml:space="preserve"> </v>
      </c>
      <c r="P681" s="4" t="str">
        <f ca="1">IF(OR(INDEX($W$2:$W$1001,MATCH(ROWS($V$2:V681),$V$2:$V$1001,0),1)&gt;=100000,INDEX($AC$1005:$AS$1005,1,MATCH(COLUMNS($AC$1006:AQ1006),$AC$1006:$AS$1006,0))&gt;=100000), " ",IF(INDEX($AC$2:$AS$1001,MATCH(ROWS($V$2:V681),$V$2:$V$1001,0),MATCH(COLUMNS($AC$1006:AQ1006),$AC$1006:$AS$1006,0)), HYPERLINK("#",""), HYPERLINK(CONCATENATE("#metadata!", ADDRESS(INDEX($X$2:$X$1001,MATCH(ROWS($V$2:V681),$V$2:$V$1001,0),0), INDEX($AC$1004:$AS$1004,1,MATCH(COLUMNS($AC$1006:AQ1006),$AC$1006:$AS$1006,0)))),"Fix")))</f>
        <v xml:space="preserve"> </v>
      </c>
      <c r="Q681" s="4" t="str">
        <f ca="1">IF(OR(INDEX($W$2:$W$1001,MATCH(ROWS($V$2:V681),$V$2:$V$1001,0),1)&gt;=100000,INDEX($AC$1005:$AS$1005,1,MATCH(COLUMNS($AC$1006:AR1006),$AC$1006:$AS$1006,0))&gt;=100000), " ",IF(INDEX($AC$2:$AS$1001,MATCH(ROWS($V$2:V681),$V$2:$V$1001,0),MATCH(COLUMNS($AC$1006:AR1006),$AC$1006:$AS$1006,0)), HYPERLINK("#",""), HYPERLINK(CONCATENATE("#metadata!", ADDRESS(INDEX($X$2:$X$1001,MATCH(ROWS($V$2:V681),$V$2:$V$1001,0),0), INDEX($AC$1004:$AS$1004,1,MATCH(COLUMNS($AC$1006:AR1006),$AC$1006:$AS$1006,0)))),"Fix")))</f>
        <v xml:space="preserve"> </v>
      </c>
      <c r="R681" s="4" t="str">
        <f ca="1">IF(OR(INDEX($W$2:$W$1001,MATCH(ROWS($V$2:V681),$V$2:$V$1001,0),1)&gt;=100000,INDEX($AC$1005:$AS$1005,1,MATCH(COLUMNS($AC$1006:AS1006),$AC$1006:$AS$1006,0))&gt;=100000), " ",IF(INDEX($AC$2:$AS$1001,MATCH(ROWS($V$2:V681),$V$2:$V$1001,0),MATCH(COLUMNS($AC$1006:AS1006),$AC$1006:$AS$1006,0)), HYPERLINK("#",""), HYPERLINK(CONCATENATE("#metadata!", ADDRESS(INDEX($X$2:$X$1001,MATCH(ROWS($V$2:V681),$V$2:$V$1001,0),0), INDEX($AC$1004:$AS$1004,1,MATCH(COLUMNS($AC$1006:AS1006),$AC$1006:$AS$1006,0)))),"Fix")))</f>
        <v xml:space="preserve"> </v>
      </c>
      <c r="V681">
        <v>680</v>
      </c>
      <c r="W681">
        <v>100681</v>
      </c>
      <c r="X681">
        <v>681</v>
      </c>
      <c r="Y681" t="b">
        <f t="shared" si="10"/>
        <v>1</v>
      </c>
      <c r="Z681" t="b">
        <f>COUNTBLANK(metadata!B681:R681)=COLUMNS(metadata!B681:R681)</f>
        <v>1</v>
      </c>
      <c r="AA681" t="str">
        <v/>
      </c>
      <c r="AC681" t="b">
        <f ca="1"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AD681" t="b">
        <f>IF(metadata!C681="",FALSE,ISNUMBER(VALUE(metadata!C681)))</f>
        <v>0</v>
      </c>
      <c r="AE681" t="b">
        <f>AND(IF(metadata!D681="",FALSE,TRUE),EXACT(metadata!D681,"years"))</f>
        <v>0</v>
      </c>
      <c r="AF681" t="b">
        <f>OR(AND(IF(metadata!E681="",FALSE,TRUE),OR(EXACT(metadata!E681,"not applicable"),EXACT(metadata!E681,"missing: not collected"),EXACT(metadata!E681,"missing: not provided"),EXACT(metadata!E681,"missing: restricted access"))),AND(IF(metadata!E681="",FALSE,ISNUMBER(VALUE(metadata!E681))),metadata!E681&gt;0))</f>
        <v>0</v>
      </c>
      <c r="AG681" t="b">
        <f>AND(IF(metadata!F681="",FALSE,TRUE),EXACT(metadata!F681,"Not applicable"))</f>
        <v>0</v>
      </c>
      <c r="AH681" t="b">
        <f>AND(IF(metadata!G681="",FALSE,TRUE),EXACT(metadata!G681,"urban biome"))</f>
        <v>0</v>
      </c>
      <c r="AI681" t="b">
        <f>AND(IF(metadata!H681="",FALSE,TRUE),EXACT(metadata!H681,"human-associated habitat"))</f>
        <v>0</v>
      </c>
      <c r="AJ681" t="b">
        <f>AND(IF(metadata!I681="",FALSE,TRUE),OR(EXACT(metadata!I681,"human-associated"),EXACT(metadata!I681,"human-skin"),EXACT(metadata!I681,"human-oral"),EXACT(metadata!I681,"human-gut"),EXACT(metadata!I681,"human-vaginal")))</f>
        <v>0</v>
      </c>
      <c r="AK681" t="b">
        <f>IF(metadata!J681="",FALSE,ISNUMBER(VALUE(metadata!J681)))</f>
        <v>0</v>
      </c>
      <c r="AL681" t="b">
        <f>AND(IF(metadata!K681="",FALSE,TRUE),EXACT(metadata!K681,"cm"))</f>
        <v>0</v>
      </c>
      <c r="AM681" t="b">
        <f>AND(IF(metadata!L681="",FALSE,TRUE),EXACT(metadata!L681,"human"))</f>
        <v>0</v>
      </c>
      <c r="AN681" t="b">
        <f>AND(IF(metadata!M681="",FALSE,TRUE),EXACT(metadata!M681,"Homo sapiens"))</f>
        <v>0</v>
      </c>
      <c r="AO681" t="b">
        <f>AND(IF(metadata!N681="",FALSE,TRUE),EXACT(metadata!N681,"9606"))</f>
        <v>0</v>
      </c>
      <c r="AP681" t="b">
        <f>IF(metadata!O681="",FALSE,TRUE)</f>
        <v>0</v>
      </c>
      <c r="AQ681" t="b">
        <f>IF(metadata!P681="",FALSE,TRUE)</f>
        <v>0</v>
      </c>
      <c r="AR681" t="b">
        <f>IF(metadata!Q681="",FALSE,ISNUMBER(VALUE(metadata!Q681)))</f>
        <v>0</v>
      </c>
      <c r="AS681" t="b">
        <f>AND(IF(metadata!R681="",FALSE,TRUE),EXACT(metadata!R681,"kg"))</f>
        <v>0</v>
      </c>
    </row>
    <row r="682" spans="1:45" x14ac:dyDescent="0.2">
      <c r="A682" s="5" t="str">
        <f ca="1">IF(B682=" "," ",HYPERLINK(CONCATENATE("#metadata!",ADDRESS(INDEX($X$2:$X$1001,MATCH(ROWS($V$2:V682),$V$2:$V$1001,0),0),1)),INDEX($AA$2:$AA$1001,MATCH(ROWS($V$2:V682),$V$2:$V$1001,0),0)))</f>
        <v xml:space="preserve"> </v>
      </c>
      <c r="B682" s="4" t="str">
        <f ca="1">IF(OR(INDEX($W$2:$W$1001,MATCH(ROWS($V$2:V682),$V$2:$V$1001,0),1)&gt;=100000,INDEX($AC$1005:$AS$1005,1,MATCH(COLUMNS($AC$1006:AC1006),$AC$1006:$AS$1006,0))&gt;=100000), " ",IF(INDEX($AC$2:$AS$1001,MATCH(ROWS($V$2:V682),$V$2:$V$1001,0),MATCH(COLUMNS($AC$1006:AC1006),$AC$1006:$AS$1006,0)), HYPERLINK("#",""), HYPERLINK(CONCATENATE("#metadata!", ADDRESS(INDEX($X$2:$X$1001,MATCH(ROWS($V$2:V682),$V$2:$V$1001,0),0), INDEX($AC$1004:$AS$1004,1,MATCH(COLUMNS($AC$1006:AC1006),$AC$1006:$AS$1006,0)))),"Fix")))</f>
        <v xml:space="preserve"> </v>
      </c>
      <c r="C682" s="4" t="str">
        <f ca="1">IF(OR(INDEX($W$2:$W$1001,MATCH(ROWS($V$2:V682),$V$2:$V$1001,0),1)&gt;=100000,INDEX($AC$1005:$AS$1005,1,MATCH(COLUMNS($AC$1006:AD1006),$AC$1006:$AS$1006,0))&gt;=100000), " ",IF(INDEX($AC$2:$AS$1001,MATCH(ROWS($V$2:V682),$V$2:$V$1001,0),MATCH(COLUMNS($AC$1006:AD1006),$AC$1006:$AS$1006,0)), HYPERLINK("#",""), HYPERLINK(CONCATENATE("#metadata!", ADDRESS(INDEX($X$2:$X$1001,MATCH(ROWS($V$2:V682),$V$2:$V$1001,0),0), INDEX($AC$1004:$AS$1004,1,MATCH(COLUMNS($AC$1006:AD1006),$AC$1006:$AS$1006,0)))),"Fix")))</f>
        <v xml:space="preserve"> </v>
      </c>
      <c r="D682" s="4" t="str">
        <f ca="1">IF(OR(INDEX($W$2:$W$1001,MATCH(ROWS($V$2:V682),$V$2:$V$1001,0),1)&gt;=100000,INDEX($AC$1005:$AS$1005,1,MATCH(COLUMNS($AC$1006:AE1006),$AC$1006:$AS$1006,0))&gt;=100000), " ",IF(INDEX($AC$2:$AS$1001,MATCH(ROWS($V$2:V682),$V$2:$V$1001,0),MATCH(COLUMNS($AC$1006:AE1006),$AC$1006:$AS$1006,0)), HYPERLINK("#",""), HYPERLINK(CONCATENATE("#metadata!", ADDRESS(INDEX($X$2:$X$1001,MATCH(ROWS($V$2:V682),$V$2:$V$1001,0),0), INDEX($AC$1004:$AS$1004,1,MATCH(COLUMNS($AC$1006:AE1006),$AC$1006:$AS$1006,0)))),"Fix")))</f>
        <v xml:space="preserve"> </v>
      </c>
      <c r="E682" s="4" t="str">
        <f ca="1">IF(OR(INDEX($W$2:$W$1001,MATCH(ROWS($V$2:V682),$V$2:$V$1001,0),1)&gt;=100000,INDEX($AC$1005:$AS$1005,1,MATCH(COLUMNS($AC$1006:AF1006),$AC$1006:$AS$1006,0))&gt;=100000), " ",IF(INDEX($AC$2:$AS$1001,MATCH(ROWS($V$2:V682),$V$2:$V$1001,0),MATCH(COLUMNS($AC$1006:AF1006),$AC$1006:$AS$1006,0)), HYPERLINK("#",""), HYPERLINK(CONCATENATE("#metadata!", ADDRESS(INDEX($X$2:$X$1001,MATCH(ROWS($V$2:V682),$V$2:$V$1001,0),0), INDEX($AC$1004:$AS$1004,1,MATCH(COLUMNS($AC$1006:AF1006),$AC$1006:$AS$1006,0)))),"Fix")))</f>
        <v xml:space="preserve"> </v>
      </c>
      <c r="F682" s="4" t="str">
        <f ca="1">IF(OR(INDEX($W$2:$W$1001,MATCH(ROWS($V$2:V682),$V$2:$V$1001,0),1)&gt;=100000,INDEX($AC$1005:$AS$1005,1,MATCH(COLUMNS($AC$1006:AG1006),$AC$1006:$AS$1006,0))&gt;=100000), " ",IF(INDEX($AC$2:$AS$1001,MATCH(ROWS($V$2:V682),$V$2:$V$1001,0),MATCH(COLUMNS($AC$1006:AG1006),$AC$1006:$AS$1006,0)), HYPERLINK("#",""), HYPERLINK(CONCATENATE("#metadata!", ADDRESS(INDEX($X$2:$X$1001,MATCH(ROWS($V$2:V682),$V$2:$V$1001,0),0), INDEX($AC$1004:$AS$1004,1,MATCH(COLUMNS($AC$1006:AG1006),$AC$1006:$AS$1006,0)))),"Fix")))</f>
        <v xml:space="preserve"> </v>
      </c>
      <c r="G682" s="4" t="str">
        <f ca="1">IF(OR(INDEX($W$2:$W$1001,MATCH(ROWS($V$2:V682),$V$2:$V$1001,0),1)&gt;=100000,INDEX($AC$1005:$AS$1005,1,MATCH(COLUMNS($AC$1006:AH1006),$AC$1006:$AS$1006,0))&gt;=100000), " ",IF(INDEX($AC$2:$AS$1001,MATCH(ROWS($V$2:V682),$V$2:$V$1001,0),MATCH(COLUMNS($AC$1006:AH1006),$AC$1006:$AS$1006,0)), HYPERLINK("#",""), HYPERLINK(CONCATENATE("#metadata!", ADDRESS(INDEX($X$2:$X$1001,MATCH(ROWS($V$2:V682),$V$2:$V$1001,0),0), INDEX($AC$1004:$AS$1004,1,MATCH(COLUMNS($AC$1006:AH1006),$AC$1006:$AS$1006,0)))),"Fix")))</f>
        <v xml:space="preserve"> </v>
      </c>
      <c r="H682" s="4" t="str">
        <f ca="1">IF(OR(INDEX($W$2:$W$1001,MATCH(ROWS($V$2:V682),$V$2:$V$1001,0),1)&gt;=100000,INDEX($AC$1005:$AS$1005,1,MATCH(COLUMNS($AC$1006:AI1006),$AC$1006:$AS$1006,0))&gt;=100000), " ",IF(INDEX($AC$2:$AS$1001,MATCH(ROWS($V$2:V682),$V$2:$V$1001,0),MATCH(COLUMNS($AC$1006:AI1006),$AC$1006:$AS$1006,0)), HYPERLINK("#",""), HYPERLINK(CONCATENATE("#metadata!", ADDRESS(INDEX($X$2:$X$1001,MATCH(ROWS($V$2:V682),$V$2:$V$1001,0),0), INDEX($AC$1004:$AS$1004,1,MATCH(COLUMNS($AC$1006:AI1006),$AC$1006:$AS$1006,0)))),"Fix")))</f>
        <v xml:space="preserve"> </v>
      </c>
      <c r="I682" s="4" t="str">
        <f ca="1">IF(OR(INDEX($W$2:$W$1001,MATCH(ROWS($V$2:V682),$V$2:$V$1001,0),1)&gt;=100000,INDEX($AC$1005:$AS$1005,1,MATCH(COLUMNS($AC$1006:AJ1006),$AC$1006:$AS$1006,0))&gt;=100000), " ",IF(INDEX($AC$2:$AS$1001,MATCH(ROWS($V$2:V682),$V$2:$V$1001,0),MATCH(COLUMNS($AC$1006:AJ1006),$AC$1006:$AS$1006,0)), HYPERLINK("#",""), HYPERLINK(CONCATENATE("#metadata!", ADDRESS(INDEX($X$2:$X$1001,MATCH(ROWS($V$2:V682),$V$2:$V$1001,0),0), INDEX($AC$1004:$AS$1004,1,MATCH(COLUMNS($AC$1006:AJ1006),$AC$1006:$AS$1006,0)))),"Fix")))</f>
        <v xml:space="preserve"> </v>
      </c>
      <c r="J682" s="4" t="str">
        <f ca="1">IF(OR(INDEX($W$2:$W$1001,MATCH(ROWS($V$2:V682),$V$2:$V$1001,0),1)&gt;=100000,INDEX($AC$1005:$AS$1005,1,MATCH(COLUMNS($AC$1006:AK1006),$AC$1006:$AS$1006,0))&gt;=100000), " ",IF(INDEX($AC$2:$AS$1001,MATCH(ROWS($V$2:V682),$V$2:$V$1001,0),MATCH(COLUMNS($AC$1006:AK1006),$AC$1006:$AS$1006,0)), HYPERLINK("#",""), HYPERLINK(CONCATENATE("#metadata!", ADDRESS(INDEX($X$2:$X$1001,MATCH(ROWS($V$2:V682),$V$2:$V$1001,0),0), INDEX($AC$1004:$AS$1004,1,MATCH(COLUMNS($AC$1006:AK1006),$AC$1006:$AS$1006,0)))),"Fix")))</f>
        <v xml:space="preserve"> </v>
      </c>
      <c r="K682" s="4" t="str">
        <f ca="1">IF(OR(INDEX($W$2:$W$1001,MATCH(ROWS($V$2:V682),$V$2:$V$1001,0),1)&gt;=100000,INDEX($AC$1005:$AS$1005,1,MATCH(COLUMNS($AC$1006:AL1006),$AC$1006:$AS$1006,0))&gt;=100000), " ",IF(INDEX($AC$2:$AS$1001,MATCH(ROWS($V$2:V682),$V$2:$V$1001,0),MATCH(COLUMNS($AC$1006:AL1006),$AC$1006:$AS$1006,0)), HYPERLINK("#",""), HYPERLINK(CONCATENATE("#metadata!", ADDRESS(INDEX($X$2:$X$1001,MATCH(ROWS($V$2:V682),$V$2:$V$1001,0),0), INDEX($AC$1004:$AS$1004,1,MATCH(COLUMNS($AC$1006:AL1006),$AC$1006:$AS$1006,0)))),"Fix")))</f>
        <v xml:space="preserve"> </v>
      </c>
      <c r="L682" s="4" t="str">
        <f ca="1">IF(OR(INDEX($W$2:$W$1001,MATCH(ROWS($V$2:V682),$V$2:$V$1001,0),1)&gt;=100000,INDEX($AC$1005:$AS$1005,1,MATCH(COLUMNS($AC$1006:AM1006),$AC$1006:$AS$1006,0))&gt;=100000), " ",IF(INDEX($AC$2:$AS$1001,MATCH(ROWS($V$2:V682),$V$2:$V$1001,0),MATCH(COLUMNS($AC$1006:AM1006),$AC$1006:$AS$1006,0)), HYPERLINK("#",""), HYPERLINK(CONCATENATE("#metadata!", ADDRESS(INDEX($X$2:$X$1001,MATCH(ROWS($V$2:V682),$V$2:$V$1001,0),0), INDEX($AC$1004:$AS$1004,1,MATCH(COLUMNS($AC$1006:AM1006),$AC$1006:$AS$1006,0)))),"Fix")))</f>
        <v xml:space="preserve"> </v>
      </c>
      <c r="M682" s="4" t="str">
        <f ca="1">IF(OR(INDEX($W$2:$W$1001,MATCH(ROWS($V$2:V682),$V$2:$V$1001,0),1)&gt;=100000,INDEX($AC$1005:$AS$1005,1,MATCH(COLUMNS($AC$1006:AN1006),$AC$1006:$AS$1006,0))&gt;=100000), " ",IF(INDEX($AC$2:$AS$1001,MATCH(ROWS($V$2:V682),$V$2:$V$1001,0),MATCH(COLUMNS($AC$1006:AN1006),$AC$1006:$AS$1006,0)), HYPERLINK("#",""), HYPERLINK(CONCATENATE("#metadata!", ADDRESS(INDEX($X$2:$X$1001,MATCH(ROWS($V$2:V682),$V$2:$V$1001,0),0), INDEX($AC$1004:$AS$1004,1,MATCH(COLUMNS($AC$1006:AN1006),$AC$1006:$AS$1006,0)))),"Fix")))</f>
        <v xml:space="preserve"> </v>
      </c>
      <c r="N682" s="4" t="str">
        <f ca="1">IF(OR(INDEX($W$2:$W$1001,MATCH(ROWS($V$2:V682),$V$2:$V$1001,0),1)&gt;=100000,INDEX($AC$1005:$AS$1005,1,MATCH(COLUMNS($AC$1006:AO1006),$AC$1006:$AS$1006,0))&gt;=100000), " ",IF(INDEX($AC$2:$AS$1001,MATCH(ROWS($V$2:V682),$V$2:$V$1001,0),MATCH(COLUMNS($AC$1006:AO1006),$AC$1006:$AS$1006,0)), HYPERLINK("#",""), HYPERLINK(CONCATENATE("#metadata!", ADDRESS(INDEX($X$2:$X$1001,MATCH(ROWS($V$2:V682),$V$2:$V$1001,0),0), INDEX($AC$1004:$AS$1004,1,MATCH(COLUMNS($AC$1006:AO1006),$AC$1006:$AS$1006,0)))),"Fix")))</f>
        <v xml:space="preserve"> </v>
      </c>
      <c r="O682" s="4" t="str">
        <f ca="1">IF(OR(INDEX($W$2:$W$1001,MATCH(ROWS($V$2:V682),$V$2:$V$1001,0),1)&gt;=100000,INDEX($AC$1005:$AS$1005,1,MATCH(COLUMNS($AC$1006:AP1006),$AC$1006:$AS$1006,0))&gt;=100000), " ",IF(INDEX($AC$2:$AS$1001,MATCH(ROWS($V$2:V682),$V$2:$V$1001,0),MATCH(COLUMNS($AC$1006:AP1006),$AC$1006:$AS$1006,0)), HYPERLINK("#",""), HYPERLINK(CONCATENATE("#metadata!", ADDRESS(INDEX($X$2:$X$1001,MATCH(ROWS($V$2:V682),$V$2:$V$1001,0),0), INDEX($AC$1004:$AS$1004,1,MATCH(COLUMNS($AC$1006:AP1006),$AC$1006:$AS$1006,0)))),"Fix")))</f>
        <v xml:space="preserve"> </v>
      </c>
      <c r="P682" s="4" t="str">
        <f ca="1">IF(OR(INDEX($W$2:$W$1001,MATCH(ROWS($V$2:V682),$V$2:$V$1001,0),1)&gt;=100000,INDEX($AC$1005:$AS$1005,1,MATCH(COLUMNS($AC$1006:AQ1006),$AC$1006:$AS$1006,0))&gt;=100000), " ",IF(INDEX($AC$2:$AS$1001,MATCH(ROWS($V$2:V682),$V$2:$V$1001,0),MATCH(COLUMNS($AC$1006:AQ1006),$AC$1006:$AS$1006,0)), HYPERLINK("#",""), HYPERLINK(CONCATENATE("#metadata!", ADDRESS(INDEX($X$2:$X$1001,MATCH(ROWS($V$2:V682),$V$2:$V$1001,0),0), INDEX($AC$1004:$AS$1004,1,MATCH(COLUMNS($AC$1006:AQ1006),$AC$1006:$AS$1006,0)))),"Fix")))</f>
        <v xml:space="preserve"> </v>
      </c>
      <c r="Q682" s="4" t="str">
        <f ca="1">IF(OR(INDEX($W$2:$W$1001,MATCH(ROWS($V$2:V682),$V$2:$V$1001,0),1)&gt;=100000,INDEX($AC$1005:$AS$1005,1,MATCH(COLUMNS($AC$1006:AR1006),$AC$1006:$AS$1006,0))&gt;=100000), " ",IF(INDEX($AC$2:$AS$1001,MATCH(ROWS($V$2:V682),$V$2:$V$1001,0),MATCH(COLUMNS($AC$1006:AR1006),$AC$1006:$AS$1006,0)), HYPERLINK("#",""), HYPERLINK(CONCATENATE("#metadata!", ADDRESS(INDEX($X$2:$X$1001,MATCH(ROWS($V$2:V682),$V$2:$V$1001,0),0), INDEX($AC$1004:$AS$1004,1,MATCH(COLUMNS($AC$1006:AR1006),$AC$1006:$AS$1006,0)))),"Fix")))</f>
        <v xml:space="preserve"> </v>
      </c>
      <c r="R682" s="4" t="str">
        <f ca="1">IF(OR(INDEX($W$2:$W$1001,MATCH(ROWS($V$2:V682),$V$2:$V$1001,0),1)&gt;=100000,INDEX($AC$1005:$AS$1005,1,MATCH(COLUMNS($AC$1006:AS1006),$AC$1006:$AS$1006,0))&gt;=100000), " ",IF(INDEX($AC$2:$AS$1001,MATCH(ROWS($V$2:V682),$V$2:$V$1001,0),MATCH(COLUMNS($AC$1006:AS1006),$AC$1006:$AS$1006,0)), HYPERLINK("#",""), HYPERLINK(CONCATENATE("#metadata!", ADDRESS(INDEX($X$2:$X$1001,MATCH(ROWS($V$2:V682),$V$2:$V$1001,0),0), INDEX($AC$1004:$AS$1004,1,MATCH(COLUMNS($AC$1006:AS1006),$AC$1006:$AS$1006,0)))),"Fix")))</f>
        <v xml:space="preserve"> </v>
      </c>
      <c r="V682">
        <v>681</v>
      </c>
      <c r="W682">
        <v>100682</v>
      </c>
      <c r="X682">
        <v>682</v>
      </c>
      <c r="Y682" t="b">
        <f t="shared" si="10"/>
        <v>1</v>
      </c>
      <c r="Z682" t="b">
        <f>COUNTBLANK(metadata!B682:R682)=COLUMNS(metadata!B682:R682)</f>
        <v>1</v>
      </c>
      <c r="AA682" t="str">
        <v/>
      </c>
      <c r="AC682" t="b">
        <f ca="1"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AD682" t="b">
        <f>IF(metadata!C682="",FALSE,ISNUMBER(VALUE(metadata!C682)))</f>
        <v>0</v>
      </c>
      <c r="AE682" t="b">
        <f>AND(IF(metadata!D682="",FALSE,TRUE),EXACT(metadata!D682,"years"))</f>
        <v>0</v>
      </c>
      <c r="AF682" t="b">
        <f>OR(AND(IF(metadata!E682="",FALSE,TRUE),OR(EXACT(metadata!E682,"not applicable"),EXACT(metadata!E682,"missing: not collected"),EXACT(metadata!E682,"missing: not provided"),EXACT(metadata!E682,"missing: restricted access"))),AND(IF(metadata!E682="",FALSE,ISNUMBER(VALUE(metadata!E682))),metadata!E682&gt;0))</f>
        <v>0</v>
      </c>
      <c r="AG682" t="b">
        <f>AND(IF(metadata!F682="",FALSE,TRUE),EXACT(metadata!F682,"Not applicable"))</f>
        <v>0</v>
      </c>
      <c r="AH682" t="b">
        <f>AND(IF(metadata!G682="",FALSE,TRUE),EXACT(metadata!G682,"urban biome"))</f>
        <v>0</v>
      </c>
      <c r="AI682" t="b">
        <f>AND(IF(metadata!H682="",FALSE,TRUE),EXACT(metadata!H682,"human-associated habitat"))</f>
        <v>0</v>
      </c>
      <c r="AJ682" t="b">
        <f>AND(IF(metadata!I682="",FALSE,TRUE),OR(EXACT(metadata!I682,"human-associated"),EXACT(metadata!I682,"human-skin"),EXACT(metadata!I682,"human-oral"),EXACT(metadata!I682,"human-gut"),EXACT(metadata!I682,"human-vaginal")))</f>
        <v>0</v>
      </c>
      <c r="AK682" t="b">
        <f>IF(metadata!J682="",FALSE,ISNUMBER(VALUE(metadata!J682)))</f>
        <v>0</v>
      </c>
      <c r="AL682" t="b">
        <f>AND(IF(metadata!K682="",FALSE,TRUE),EXACT(metadata!K682,"cm"))</f>
        <v>0</v>
      </c>
      <c r="AM682" t="b">
        <f>AND(IF(metadata!L682="",FALSE,TRUE),EXACT(metadata!L682,"human"))</f>
        <v>0</v>
      </c>
      <c r="AN682" t="b">
        <f>AND(IF(metadata!M682="",FALSE,TRUE),EXACT(metadata!M682,"Homo sapiens"))</f>
        <v>0</v>
      </c>
      <c r="AO682" t="b">
        <f>AND(IF(metadata!N682="",FALSE,TRUE),EXACT(metadata!N682,"9606"))</f>
        <v>0</v>
      </c>
      <c r="AP682" t="b">
        <f>IF(metadata!O682="",FALSE,TRUE)</f>
        <v>0</v>
      </c>
      <c r="AQ682" t="b">
        <f>IF(metadata!P682="",FALSE,TRUE)</f>
        <v>0</v>
      </c>
      <c r="AR682" t="b">
        <f>IF(metadata!Q682="",FALSE,ISNUMBER(VALUE(metadata!Q682)))</f>
        <v>0</v>
      </c>
      <c r="AS682" t="b">
        <f>AND(IF(metadata!R682="",FALSE,TRUE),EXACT(metadata!R682,"kg"))</f>
        <v>0</v>
      </c>
    </row>
    <row r="683" spans="1:45" x14ac:dyDescent="0.2">
      <c r="A683" s="5" t="str">
        <f ca="1">IF(B683=" "," ",HYPERLINK(CONCATENATE("#metadata!",ADDRESS(INDEX($X$2:$X$1001,MATCH(ROWS($V$2:V683),$V$2:$V$1001,0),0),1)),INDEX($AA$2:$AA$1001,MATCH(ROWS($V$2:V683),$V$2:$V$1001,0),0)))</f>
        <v xml:space="preserve"> </v>
      </c>
      <c r="B683" s="4" t="str">
        <f ca="1">IF(OR(INDEX($W$2:$W$1001,MATCH(ROWS($V$2:V683),$V$2:$V$1001,0),1)&gt;=100000,INDEX($AC$1005:$AS$1005,1,MATCH(COLUMNS($AC$1006:AC1006),$AC$1006:$AS$1006,0))&gt;=100000), " ",IF(INDEX($AC$2:$AS$1001,MATCH(ROWS($V$2:V683),$V$2:$V$1001,0),MATCH(COLUMNS($AC$1006:AC1006),$AC$1006:$AS$1006,0)), HYPERLINK("#",""), HYPERLINK(CONCATENATE("#metadata!", ADDRESS(INDEX($X$2:$X$1001,MATCH(ROWS($V$2:V683),$V$2:$V$1001,0),0), INDEX($AC$1004:$AS$1004,1,MATCH(COLUMNS($AC$1006:AC1006),$AC$1006:$AS$1006,0)))),"Fix")))</f>
        <v xml:space="preserve"> </v>
      </c>
      <c r="C683" s="4" t="str">
        <f ca="1">IF(OR(INDEX($W$2:$W$1001,MATCH(ROWS($V$2:V683),$V$2:$V$1001,0),1)&gt;=100000,INDEX($AC$1005:$AS$1005,1,MATCH(COLUMNS($AC$1006:AD1006),$AC$1006:$AS$1006,0))&gt;=100000), " ",IF(INDEX($AC$2:$AS$1001,MATCH(ROWS($V$2:V683),$V$2:$V$1001,0),MATCH(COLUMNS($AC$1006:AD1006),$AC$1006:$AS$1006,0)), HYPERLINK("#",""), HYPERLINK(CONCATENATE("#metadata!", ADDRESS(INDEX($X$2:$X$1001,MATCH(ROWS($V$2:V683),$V$2:$V$1001,0),0), INDEX($AC$1004:$AS$1004,1,MATCH(COLUMNS($AC$1006:AD1006),$AC$1006:$AS$1006,0)))),"Fix")))</f>
        <v xml:space="preserve"> </v>
      </c>
      <c r="D683" s="4" t="str">
        <f ca="1">IF(OR(INDEX($W$2:$W$1001,MATCH(ROWS($V$2:V683),$V$2:$V$1001,0),1)&gt;=100000,INDEX($AC$1005:$AS$1005,1,MATCH(COLUMNS($AC$1006:AE1006),$AC$1006:$AS$1006,0))&gt;=100000), " ",IF(INDEX($AC$2:$AS$1001,MATCH(ROWS($V$2:V683),$V$2:$V$1001,0),MATCH(COLUMNS($AC$1006:AE1006),$AC$1006:$AS$1006,0)), HYPERLINK("#",""), HYPERLINK(CONCATENATE("#metadata!", ADDRESS(INDEX($X$2:$X$1001,MATCH(ROWS($V$2:V683),$V$2:$V$1001,0),0), INDEX($AC$1004:$AS$1004,1,MATCH(COLUMNS($AC$1006:AE1006),$AC$1006:$AS$1006,0)))),"Fix")))</f>
        <v xml:space="preserve"> </v>
      </c>
      <c r="E683" s="4" t="str">
        <f ca="1">IF(OR(INDEX($W$2:$W$1001,MATCH(ROWS($V$2:V683),$V$2:$V$1001,0),1)&gt;=100000,INDEX($AC$1005:$AS$1005,1,MATCH(COLUMNS($AC$1006:AF1006),$AC$1006:$AS$1006,0))&gt;=100000), " ",IF(INDEX($AC$2:$AS$1001,MATCH(ROWS($V$2:V683),$V$2:$V$1001,0),MATCH(COLUMNS($AC$1006:AF1006),$AC$1006:$AS$1006,0)), HYPERLINK("#",""), HYPERLINK(CONCATENATE("#metadata!", ADDRESS(INDEX($X$2:$X$1001,MATCH(ROWS($V$2:V683),$V$2:$V$1001,0),0), INDEX($AC$1004:$AS$1004,1,MATCH(COLUMNS($AC$1006:AF1006),$AC$1006:$AS$1006,0)))),"Fix")))</f>
        <v xml:space="preserve"> </v>
      </c>
      <c r="F683" s="4" t="str">
        <f ca="1">IF(OR(INDEX($W$2:$W$1001,MATCH(ROWS($V$2:V683),$V$2:$V$1001,0),1)&gt;=100000,INDEX($AC$1005:$AS$1005,1,MATCH(COLUMNS($AC$1006:AG1006),$AC$1006:$AS$1006,0))&gt;=100000), " ",IF(INDEX($AC$2:$AS$1001,MATCH(ROWS($V$2:V683),$V$2:$V$1001,0),MATCH(COLUMNS($AC$1006:AG1006),$AC$1006:$AS$1006,0)), HYPERLINK("#",""), HYPERLINK(CONCATENATE("#metadata!", ADDRESS(INDEX($X$2:$X$1001,MATCH(ROWS($V$2:V683),$V$2:$V$1001,0),0), INDEX($AC$1004:$AS$1004,1,MATCH(COLUMNS($AC$1006:AG1006),$AC$1006:$AS$1006,0)))),"Fix")))</f>
        <v xml:space="preserve"> </v>
      </c>
      <c r="G683" s="4" t="str">
        <f ca="1">IF(OR(INDEX($W$2:$W$1001,MATCH(ROWS($V$2:V683),$V$2:$V$1001,0),1)&gt;=100000,INDEX($AC$1005:$AS$1005,1,MATCH(COLUMNS($AC$1006:AH1006),$AC$1006:$AS$1006,0))&gt;=100000), " ",IF(INDEX($AC$2:$AS$1001,MATCH(ROWS($V$2:V683),$V$2:$V$1001,0),MATCH(COLUMNS($AC$1006:AH1006),$AC$1006:$AS$1006,0)), HYPERLINK("#",""), HYPERLINK(CONCATENATE("#metadata!", ADDRESS(INDEX($X$2:$X$1001,MATCH(ROWS($V$2:V683),$V$2:$V$1001,0),0), INDEX($AC$1004:$AS$1004,1,MATCH(COLUMNS($AC$1006:AH1006),$AC$1006:$AS$1006,0)))),"Fix")))</f>
        <v xml:space="preserve"> </v>
      </c>
      <c r="H683" s="4" t="str">
        <f ca="1">IF(OR(INDEX($W$2:$W$1001,MATCH(ROWS($V$2:V683),$V$2:$V$1001,0),1)&gt;=100000,INDEX($AC$1005:$AS$1005,1,MATCH(COLUMNS($AC$1006:AI1006),$AC$1006:$AS$1006,0))&gt;=100000), " ",IF(INDEX($AC$2:$AS$1001,MATCH(ROWS($V$2:V683),$V$2:$V$1001,0),MATCH(COLUMNS($AC$1006:AI1006),$AC$1006:$AS$1006,0)), HYPERLINK("#",""), HYPERLINK(CONCATENATE("#metadata!", ADDRESS(INDEX($X$2:$X$1001,MATCH(ROWS($V$2:V683),$V$2:$V$1001,0),0), INDEX($AC$1004:$AS$1004,1,MATCH(COLUMNS($AC$1006:AI1006),$AC$1006:$AS$1006,0)))),"Fix")))</f>
        <v xml:space="preserve"> </v>
      </c>
      <c r="I683" s="4" t="str">
        <f ca="1">IF(OR(INDEX($W$2:$W$1001,MATCH(ROWS($V$2:V683),$V$2:$V$1001,0),1)&gt;=100000,INDEX($AC$1005:$AS$1005,1,MATCH(COLUMNS($AC$1006:AJ1006),$AC$1006:$AS$1006,0))&gt;=100000), " ",IF(INDEX($AC$2:$AS$1001,MATCH(ROWS($V$2:V683),$V$2:$V$1001,0),MATCH(COLUMNS($AC$1006:AJ1006),$AC$1006:$AS$1006,0)), HYPERLINK("#",""), HYPERLINK(CONCATENATE("#metadata!", ADDRESS(INDEX($X$2:$X$1001,MATCH(ROWS($V$2:V683),$V$2:$V$1001,0),0), INDEX($AC$1004:$AS$1004,1,MATCH(COLUMNS($AC$1006:AJ1006),$AC$1006:$AS$1006,0)))),"Fix")))</f>
        <v xml:space="preserve"> </v>
      </c>
      <c r="J683" s="4" t="str">
        <f ca="1">IF(OR(INDEX($W$2:$W$1001,MATCH(ROWS($V$2:V683),$V$2:$V$1001,0),1)&gt;=100000,INDEX($AC$1005:$AS$1005,1,MATCH(COLUMNS($AC$1006:AK1006),$AC$1006:$AS$1006,0))&gt;=100000), " ",IF(INDEX($AC$2:$AS$1001,MATCH(ROWS($V$2:V683),$V$2:$V$1001,0),MATCH(COLUMNS($AC$1006:AK1006),$AC$1006:$AS$1006,0)), HYPERLINK("#",""), HYPERLINK(CONCATENATE("#metadata!", ADDRESS(INDEX($X$2:$X$1001,MATCH(ROWS($V$2:V683),$V$2:$V$1001,0),0), INDEX($AC$1004:$AS$1004,1,MATCH(COLUMNS($AC$1006:AK1006),$AC$1006:$AS$1006,0)))),"Fix")))</f>
        <v xml:space="preserve"> </v>
      </c>
      <c r="K683" s="4" t="str">
        <f ca="1">IF(OR(INDEX($W$2:$W$1001,MATCH(ROWS($V$2:V683),$V$2:$V$1001,0),1)&gt;=100000,INDEX($AC$1005:$AS$1005,1,MATCH(COLUMNS($AC$1006:AL1006),$AC$1006:$AS$1006,0))&gt;=100000), " ",IF(INDEX($AC$2:$AS$1001,MATCH(ROWS($V$2:V683),$V$2:$V$1001,0),MATCH(COLUMNS($AC$1006:AL1006),$AC$1006:$AS$1006,0)), HYPERLINK("#",""), HYPERLINK(CONCATENATE("#metadata!", ADDRESS(INDEX($X$2:$X$1001,MATCH(ROWS($V$2:V683),$V$2:$V$1001,0),0), INDEX($AC$1004:$AS$1004,1,MATCH(COLUMNS($AC$1006:AL1006),$AC$1006:$AS$1006,0)))),"Fix")))</f>
        <v xml:space="preserve"> </v>
      </c>
      <c r="L683" s="4" t="str">
        <f ca="1">IF(OR(INDEX($W$2:$W$1001,MATCH(ROWS($V$2:V683),$V$2:$V$1001,0),1)&gt;=100000,INDEX($AC$1005:$AS$1005,1,MATCH(COLUMNS($AC$1006:AM1006),$AC$1006:$AS$1006,0))&gt;=100000), " ",IF(INDEX($AC$2:$AS$1001,MATCH(ROWS($V$2:V683),$V$2:$V$1001,0),MATCH(COLUMNS($AC$1006:AM1006),$AC$1006:$AS$1006,0)), HYPERLINK("#",""), HYPERLINK(CONCATENATE("#metadata!", ADDRESS(INDEX($X$2:$X$1001,MATCH(ROWS($V$2:V683),$V$2:$V$1001,0),0), INDEX($AC$1004:$AS$1004,1,MATCH(COLUMNS($AC$1006:AM1006),$AC$1006:$AS$1006,0)))),"Fix")))</f>
        <v xml:space="preserve"> </v>
      </c>
      <c r="M683" s="4" t="str">
        <f ca="1">IF(OR(INDEX($W$2:$W$1001,MATCH(ROWS($V$2:V683),$V$2:$V$1001,0),1)&gt;=100000,INDEX($AC$1005:$AS$1005,1,MATCH(COLUMNS($AC$1006:AN1006),$AC$1006:$AS$1006,0))&gt;=100000), " ",IF(INDEX($AC$2:$AS$1001,MATCH(ROWS($V$2:V683),$V$2:$V$1001,0),MATCH(COLUMNS($AC$1006:AN1006),$AC$1006:$AS$1006,0)), HYPERLINK("#",""), HYPERLINK(CONCATENATE("#metadata!", ADDRESS(INDEX($X$2:$X$1001,MATCH(ROWS($V$2:V683),$V$2:$V$1001,0),0), INDEX($AC$1004:$AS$1004,1,MATCH(COLUMNS($AC$1006:AN1006),$AC$1006:$AS$1006,0)))),"Fix")))</f>
        <v xml:space="preserve"> </v>
      </c>
      <c r="N683" s="4" t="str">
        <f ca="1">IF(OR(INDEX($W$2:$W$1001,MATCH(ROWS($V$2:V683),$V$2:$V$1001,0),1)&gt;=100000,INDEX($AC$1005:$AS$1005,1,MATCH(COLUMNS($AC$1006:AO1006),$AC$1006:$AS$1006,0))&gt;=100000), " ",IF(INDEX($AC$2:$AS$1001,MATCH(ROWS($V$2:V683),$V$2:$V$1001,0),MATCH(COLUMNS($AC$1006:AO1006),$AC$1006:$AS$1006,0)), HYPERLINK("#",""), HYPERLINK(CONCATENATE("#metadata!", ADDRESS(INDEX($X$2:$X$1001,MATCH(ROWS($V$2:V683),$V$2:$V$1001,0),0), INDEX($AC$1004:$AS$1004,1,MATCH(COLUMNS($AC$1006:AO1006),$AC$1006:$AS$1006,0)))),"Fix")))</f>
        <v xml:space="preserve"> </v>
      </c>
      <c r="O683" s="4" t="str">
        <f ca="1">IF(OR(INDEX($W$2:$W$1001,MATCH(ROWS($V$2:V683),$V$2:$V$1001,0),1)&gt;=100000,INDEX($AC$1005:$AS$1005,1,MATCH(COLUMNS($AC$1006:AP1006),$AC$1006:$AS$1006,0))&gt;=100000), " ",IF(INDEX($AC$2:$AS$1001,MATCH(ROWS($V$2:V683),$V$2:$V$1001,0),MATCH(COLUMNS($AC$1006:AP1006),$AC$1006:$AS$1006,0)), HYPERLINK("#",""), HYPERLINK(CONCATENATE("#metadata!", ADDRESS(INDEX($X$2:$X$1001,MATCH(ROWS($V$2:V683),$V$2:$V$1001,0),0), INDEX($AC$1004:$AS$1004,1,MATCH(COLUMNS($AC$1006:AP1006),$AC$1006:$AS$1006,0)))),"Fix")))</f>
        <v xml:space="preserve"> </v>
      </c>
      <c r="P683" s="4" t="str">
        <f ca="1">IF(OR(INDEX($W$2:$W$1001,MATCH(ROWS($V$2:V683),$V$2:$V$1001,0),1)&gt;=100000,INDEX($AC$1005:$AS$1005,1,MATCH(COLUMNS($AC$1006:AQ1006),$AC$1006:$AS$1006,0))&gt;=100000), " ",IF(INDEX($AC$2:$AS$1001,MATCH(ROWS($V$2:V683),$V$2:$V$1001,0),MATCH(COLUMNS($AC$1006:AQ1006),$AC$1006:$AS$1006,0)), HYPERLINK("#",""), HYPERLINK(CONCATENATE("#metadata!", ADDRESS(INDEX($X$2:$X$1001,MATCH(ROWS($V$2:V683),$V$2:$V$1001,0),0), INDEX($AC$1004:$AS$1004,1,MATCH(COLUMNS($AC$1006:AQ1006),$AC$1006:$AS$1006,0)))),"Fix")))</f>
        <v xml:space="preserve"> </v>
      </c>
      <c r="Q683" s="4" t="str">
        <f ca="1">IF(OR(INDEX($W$2:$W$1001,MATCH(ROWS($V$2:V683),$V$2:$V$1001,0),1)&gt;=100000,INDEX($AC$1005:$AS$1005,1,MATCH(COLUMNS($AC$1006:AR1006),$AC$1006:$AS$1006,0))&gt;=100000), " ",IF(INDEX($AC$2:$AS$1001,MATCH(ROWS($V$2:V683),$V$2:$V$1001,0),MATCH(COLUMNS($AC$1006:AR1006),$AC$1006:$AS$1006,0)), HYPERLINK("#",""), HYPERLINK(CONCATENATE("#metadata!", ADDRESS(INDEX($X$2:$X$1001,MATCH(ROWS($V$2:V683),$V$2:$V$1001,0),0), INDEX($AC$1004:$AS$1004,1,MATCH(COLUMNS($AC$1006:AR1006),$AC$1006:$AS$1006,0)))),"Fix")))</f>
        <v xml:space="preserve"> </v>
      </c>
      <c r="R683" s="4" t="str">
        <f ca="1">IF(OR(INDEX($W$2:$W$1001,MATCH(ROWS($V$2:V683),$V$2:$V$1001,0),1)&gt;=100000,INDEX($AC$1005:$AS$1005,1,MATCH(COLUMNS($AC$1006:AS1006),$AC$1006:$AS$1006,0))&gt;=100000), " ",IF(INDEX($AC$2:$AS$1001,MATCH(ROWS($V$2:V683),$V$2:$V$1001,0),MATCH(COLUMNS($AC$1006:AS1006),$AC$1006:$AS$1006,0)), HYPERLINK("#",""), HYPERLINK(CONCATENATE("#metadata!", ADDRESS(INDEX($X$2:$X$1001,MATCH(ROWS($V$2:V683),$V$2:$V$1001,0),0), INDEX($AC$1004:$AS$1004,1,MATCH(COLUMNS($AC$1006:AS1006),$AC$1006:$AS$1006,0)))),"Fix")))</f>
        <v xml:space="preserve"> </v>
      </c>
      <c r="V683">
        <v>682</v>
      </c>
      <c r="W683">
        <v>100683</v>
      </c>
      <c r="X683">
        <v>683</v>
      </c>
      <c r="Y683" t="b">
        <f t="shared" si="10"/>
        <v>1</v>
      </c>
      <c r="Z683" t="b">
        <f>COUNTBLANK(metadata!B683:R683)=COLUMNS(metadata!B683:R683)</f>
        <v>1</v>
      </c>
      <c r="AA683" t="str">
        <v/>
      </c>
      <c r="AC683" t="b">
        <f ca="1"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AD683" t="b">
        <f>IF(metadata!C683="",FALSE,ISNUMBER(VALUE(metadata!C683)))</f>
        <v>0</v>
      </c>
      <c r="AE683" t="b">
        <f>AND(IF(metadata!D683="",FALSE,TRUE),EXACT(metadata!D683,"years"))</f>
        <v>0</v>
      </c>
      <c r="AF683" t="b">
        <f>OR(AND(IF(metadata!E683="",FALSE,TRUE),OR(EXACT(metadata!E683,"not applicable"),EXACT(metadata!E683,"missing: not collected"),EXACT(metadata!E683,"missing: not provided"),EXACT(metadata!E683,"missing: restricted access"))),AND(IF(metadata!E683="",FALSE,ISNUMBER(VALUE(metadata!E683))),metadata!E683&gt;0))</f>
        <v>0</v>
      </c>
      <c r="AG683" t="b">
        <f>AND(IF(metadata!F683="",FALSE,TRUE),EXACT(metadata!F683,"Not applicable"))</f>
        <v>0</v>
      </c>
      <c r="AH683" t="b">
        <f>AND(IF(metadata!G683="",FALSE,TRUE),EXACT(metadata!G683,"urban biome"))</f>
        <v>0</v>
      </c>
      <c r="AI683" t="b">
        <f>AND(IF(metadata!H683="",FALSE,TRUE),EXACT(metadata!H683,"human-associated habitat"))</f>
        <v>0</v>
      </c>
      <c r="AJ683" t="b">
        <f>AND(IF(metadata!I683="",FALSE,TRUE),OR(EXACT(metadata!I683,"human-associated"),EXACT(metadata!I683,"human-skin"),EXACT(metadata!I683,"human-oral"),EXACT(metadata!I683,"human-gut"),EXACT(metadata!I683,"human-vaginal")))</f>
        <v>0</v>
      </c>
      <c r="AK683" t="b">
        <f>IF(metadata!J683="",FALSE,ISNUMBER(VALUE(metadata!J683)))</f>
        <v>0</v>
      </c>
      <c r="AL683" t="b">
        <f>AND(IF(metadata!K683="",FALSE,TRUE),EXACT(metadata!K683,"cm"))</f>
        <v>0</v>
      </c>
      <c r="AM683" t="b">
        <f>AND(IF(metadata!L683="",FALSE,TRUE),EXACT(metadata!L683,"human"))</f>
        <v>0</v>
      </c>
      <c r="AN683" t="b">
        <f>AND(IF(metadata!M683="",FALSE,TRUE),EXACT(metadata!M683,"Homo sapiens"))</f>
        <v>0</v>
      </c>
      <c r="AO683" t="b">
        <f>AND(IF(metadata!N683="",FALSE,TRUE),EXACT(metadata!N683,"9606"))</f>
        <v>0</v>
      </c>
      <c r="AP683" t="b">
        <f>IF(metadata!O683="",FALSE,TRUE)</f>
        <v>0</v>
      </c>
      <c r="AQ683" t="b">
        <f>IF(metadata!P683="",FALSE,TRUE)</f>
        <v>0</v>
      </c>
      <c r="AR683" t="b">
        <f>IF(metadata!Q683="",FALSE,ISNUMBER(VALUE(metadata!Q683)))</f>
        <v>0</v>
      </c>
      <c r="AS683" t="b">
        <f>AND(IF(metadata!R683="",FALSE,TRUE),EXACT(metadata!R683,"kg"))</f>
        <v>0</v>
      </c>
    </row>
    <row r="684" spans="1:45" x14ac:dyDescent="0.2">
      <c r="A684" s="5" t="str">
        <f ca="1">IF(B684=" "," ",HYPERLINK(CONCATENATE("#metadata!",ADDRESS(INDEX($X$2:$X$1001,MATCH(ROWS($V$2:V684),$V$2:$V$1001,0),0),1)),INDEX($AA$2:$AA$1001,MATCH(ROWS($V$2:V684),$V$2:$V$1001,0),0)))</f>
        <v xml:space="preserve"> </v>
      </c>
      <c r="B684" s="4" t="str">
        <f ca="1">IF(OR(INDEX($W$2:$W$1001,MATCH(ROWS($V$2:V684),$V$2:$V$1001,0),1)&gt;=100000,INDEX($AC$1005:$AS$1005,1,MATCH(COLUMNS($AC$1006:AC1006),$AC$1006:$AS$1006,0))&gt;=100000), " ",IF(INDEX($AC$2:$AS$1001,MATCH(ROWS($V$2:V684),$V$2:$V$1001,0),MATCH(COLUMNS($AC$1006:AC1006),$AC$1006:$AS$1006,0)), HYPERLINK("#",""), HYPERLINK(CONCATENATE("#metadata!", ADDRESS(INDEX($X$2:$X$1001,MATCH(ROWS($V$2:V684),$V$2:$V$1001,0),0), INDEX($AC$1004:$AS$1004,1,MATCH(COLUMNS($AC$1006:AC1006),$AC$1006:$AS$1006,0)))),"Fix")))</f>
        <v xml:space="preserve"> </v>
      </c>
      <c r="C684" s="4" t="str">
        <f ca="1">IF(OR(INDEX($W$2:$W$1001,MATCH(ROWS($V$2:V684),$V$2:$V$1001,0),1)&gt;=100000,INDEX($AC$1005:$AS$1005,1,MATCH(COLUMNS($AC$1006:AD1006),$AC$1006:$AS$1006,0))&gt;=100000), " ",IF(INDEX($AC$2:$AS$1001,MATCH(ROWS($V$2:V684),$V$2:$V$1001,0),MATCH(COLUMNS($AC$1006:AD1006),$AC$1006:$AS$1006,0)), HYPERLINK("#",""), HYPERLINK(CONCATENATE("#metadata!", ADDRESS(INDEX($X$2:$X$1001,MATCH(ROWS($V$2:V684),$V$2:$V$1001,0),0), INDEX($AC$1004:$AS$1004,1,MATCH(COLUMNS($AC$1006:AD1006),$AC$1006:$AS$1006,0)))),"Fix")))</f>
        <v xml:space="preserve"> </v>
      </c>
      <c r="D684" s="4" t="str">
        <f ca="1">IF(OR(INDEX($W$2:$W$1001,MATCH(ROWS($V$2:V684),$V$2:$V$1001,0),1)&gt;=100000,INDEX($AC$1005:$AS$1005,1,MATCH(COLUMNS($AC$1006:AE1006),$AC$1006:$AS$1006,0))&gt;=100000), " ",IF(INDEX($AC$2:$AS$1001,MATCH(ROWS($V$2:V684),$V$2:$V$1001,0),MATCH(COLUMNS($AC$1006:AE1006),$AC$1006:$AS$1006,0)), HYPERLINK("#",""), HYPERLINK(CONCATENATE("#metadata!", ADDRESS(INDEX($X$2:$X$1001,MATCH(ROWS($V$2:V684),$V$2:$V$1001,0),0), INDEX($AC$1004:$AS$1004,1,MATCH(COLUMNS($AC$1006:AE1006),$AC$1006:$AS$1006,0)))),"Fix")))</f>
        <v xml:space="preserve"> </v>
      </c>
      <c r="E684" s="4" t="str">
        <f ca="1">IF(OR(INDEX($W$2:$W$1001,MATCH(ROWS($V$2:V684),$V$2:$V$1001,0),1)&gt;=100000,INDEX($AC$1005:$AS$1005,1,MATCH(COLUMNS($AC$1006:AF1006),$AC$1006:$AS$1006,0))&gt;=100000), " ",IF(INDEX($AC$2:$AS$1001,MATCH(ROWS($V$2:V684),$V$2:$V$1001,0),MATCH(COLUMNS($AC$1006:AF1006),$AC$1006:$AS$1006,0)), HYPERLINK("#",""), HYPERLINK(CONCATENATE("#metadata!", ADDRESS(INDEX($X$2:$X$1001,MATCH(ROWS($V$2:V684),$V$2:$V$1001,0),0), INDEX($AC$1004:$AS$1004,1,MATCH(COLUMNS($AC$1006:AF1006),$AC$1006:$AS$1006,0)))),"Fix")))</f>
        <v xml:space="preserve"> </v>
      </c>
      <c r="F684" s="4" t="str">
        <f ca="1">IF(OR(INDEX($W$2:$W$1001,MATCH(ROWS($V$2:V684),$V$2:$V$1001,0),1)&gt;=100000,INDEX($AC$1005:$AS$1005,1,MATCH(COLUMNS($AC$1006:AG1006),$AC$1006:$AS$1006,0))&gt;=100000), " ",IF(INDEX($AC$2:$AS$1001,MATCH(ROWS($V$2:V684),$V$2:$V$1001,0),MATCH(COLUMNS($AC$1006:AG1006),$AC$1006:$AS$1006,0)), HYPERLINK("#",""), HYPERLINK(CONCATENATE("#metadata!", ADDRESS(INDEX($X$2:$X$1001,MATCH(ROWS($V$2:V684),$V$2:$V$1001,0),0), INDEX($AC$1004:$AS$1004,1,MATCH(COLUMNS($AC$1006:AG1006),$AC$1006:$AS$1006,0)))),"Fix")))</f>
        <v xml:space="preserve"> </v>
      </c>
      <c r="G684" s="4" t="str">
        <f ca="1">IF(OR(INDEX($W$2:$W$1001,MATCH(ROWS($V$2:V684),$V$2:$V$1001,0),1)&gt;=100000,INDEX($AC$1005:$AS$1005,1,MATCH(COLUMNS($AC$1006:AH1006),$AC$1006:$AS$1006,0))&gt;=100000), " ",IF(INDEX($AC$2:$AS$1001,MATCH(ROWS($V$2:V684),$V$2:$V$1001,0),MATCH(COLUMNS($AC$1006:AH1006),$AC$1006:$AS$1006,0)), HYPERLINK("#",""), HYPERLINK(CONCATENATE("#metadata!", ADDRESS(INDEX($X$2:$X$1001,MATCH(ROWS($V$2:V684),$V$2:$V$1001,0),0), INDEX($AC$1004:$AS$1004,1,MATCH(COLUMNS($AC$1006:AH1006),$AC$1006:$AS$1006,0)))),"Fix")))</f>
        <v xml:space="preserve"> </v>
      </c>
      <c r="H684" s="4" t="str">
        <f ca="1">IF(OR(INDEX($W$2:$W$1001,MATCH(ROWS($V$2:V684),$V$2:$V$1001,0),1)&gt;=100000,INDEX($AC$1005:$AS$1005,1,MATCH(COLUMNS($AC$1006:AI1006),$AC$1006:$AS$1006,0))&gt;=100000), " ",IF(INDEX($AC$2:$AS$1001,MATCH(ROWS($V$2:V684),$V$2:$V$1001,0),MATCH(COLUMNS($AC$1006:AI1006),$AC$1006:$AS$1006,0)), HYPERLINK("#",""), HYPERLINK(CONCATENATE("#metadata!", ADDRESS(INDEX($X$2:$X$1001,MATCH(ROWS($V$2:V684),$V$2:$V$1001,0),0), INDEX($AC$1004:$AS$1004,1,MATCH(COLUMNS($AC$1006:AI1006),$AC$1006:$AS$1006,0)))),"Fix")))</f>
        <v xml:space="preserve"> </v>
      </c>
      <c r="I684" s="4" t="str">
        <f ca="1">IF(OR(INDEX($W$2:$W$1001,MATCH(ROWS($V$2:V684),$V$2:$V$1001,0),1)&gt;=100000,INDEX($AC$1005:$AS$1005,1,MATCH(COLUMNS($AC$1006:AJ1006),$AC$1006:$AS$1006,0))&gt;=100000), " ",IF(INDEX($AC$2:$AS$1001,MATCH(ROWS($V$2:V684),$V$2:$V$1001,0),MATCH(COLUMNS($AC$1006:AJ1006),$AC$1006:$AS$1006,0)), HYPERLINK("#",""), HYPERLINK(CONCATENATE("#metadata!", ADDRESS(INDEX($X$2:$X$1001,MATCH(ROWS($V$2:V684),$V$2:$V$1001,0),0), INDEX($AC$1004:$AS$1004,1,MATCH(COLUMNS($AC$1006:AJ1006),$AC$1006:$AS$1006,0)))),"Fix")))</f>
        <v xml:space="preserve"> </v>
      </c>
      <c r="J684" s="4" t="str">
        <f ca="1">IF(OR(INDEX($W$2:$W$1001,MATCH(ROWS($V$2:V684),$V$2:$V$1001,0),1)&gt;=100000,INDEX($AC$1005:$AS$1005,1,MATCH(COLUMNS($AC$1006:AK1006),$AC$1006:$AS$1006,0))&gt;=100000), " ",IF(INDEX($AC$2:$AS$1001,MATCH(ROWS($V$2:V684),$V$2:$V$1001,0),MATCH(COLUMNS($AC$1006:AK1006),$AC$1006:$AS$1006,0)), HYPERLINK("#",""), HYPERLINK(CONCATENATE("#metadata!", ADDRESS(INDEX($X$2:$X$1001,MATCH(ROWS($V$2:V684),$V$2:$V$1001,0),0), INDEX($AC$1004:$AS$1004,1,MATCH(COLUMNS($AC$1006:AK1006),$AC$1006:$AS$1006,0)))),"Fix")))</f>
        <v xml:space="preserve"> </v>
      </c>
      <c r="K684" s="4" t="str">
        <f ca="1">IF(OR(INDEX($W$2:$W$1001,MATCH(ROWS($V$2:V684),$V$2:$V$1001,0),1)&gt;=100000,INDEX($AC$1005:$AS$1005,1,MATCH(COLUMNS($AC$1006:AL1006),$AC$1006:$AS$1006,0))&gt;=100000), " ",IF(INDEX($AC$2:$AS$1001,MATCH(ROWS($V$2:V684),$V$2:$V$1001,0),MATCH(COLUMNS($AC$1006:AL1006),$AC$1006:$AS$1006,0)), HYPERLINK("#",""), HYPERLINK(CONCATENATE("#metadata!", ADDRESS(INDEX($X$2:$X$1001,MATCH(ROWS($V$2:V684),$V$2:$V$1001,0),0), INDEX($AC$1004:$AS$1004,1,MATCH(COLUMNS($AC$1006:AL1006),$AC$1006:$AS$1006,0)))),"Fix")))</f>
        <v xml:space="preserve"> </v>
      </c>
      <c r="L684" s="4" t="str">
        <f ca="1">IF(OR(INDEX($W$2:$W$1001,MATCH(ROWS($V$2:V684),$V$2:$V$1001,0),1)&gt;=100000,INDEX($AC$1005:$AS$1005,1,MATCH(COLUMNS($AC$1006:AM1006),$AC$1006:$AS$1006,0))&gt;=100000), " ",IF(INDEX($AC$2:$AS$1001,MATCH(ROWS($V$2:V684),$V$2:$V$1001,0),MATCH(COLUMNS($AC$1006:AM1006),$AC$1006:$AS$1006,0)), HYPERLINK("#",""), HYPERLINK(CONCATENATE("#metadata!", ADDRESS(INDEX($X$2:$X$1001,MATCH(ROWS($V$2:V684),$V$2:$V$1001,0),0), INDEX($AC$1004:$AS$1004,1,MATCH(COLUMNS($AC$1006:AM1006),$AC$1006:$AS$1006,0)))),"Fix")))</f>
        <v xml:space="preserve"> </v>
      </c>
      <c r="M684" s="4" t="str">
        <f ca="1">IF(OR(INDEX($W$2:$W$1001,MATCH(ROWS($V$2:V684),$V$2:$V$1001,0),1)&gt;=100000,INDEX($AC$1005:$AS$1005,1,MATCH(COLUMNS($AC$1006:AN1006),$AC$1006:$AS$1006,0))&gt;=100000), " ",IF(INDEX($AC$2:$AS$1001,MATCH(ROWS($V$2:V684),$V$2:$V$1001,0),MATCH(COLUMNS($AC$1006:AN1006),$AC$1006:$AS$1006,0)), HYPERLINK("#",""), HYPERLINK(CONCATENATE("#metadata!", ADDRESS(INDEX($X$2:$X$1001,MATCH(ROWS($V$2:V684),$V$2:$V$1001,0),0), INDEX($AC$1004:$AS$1004,1,MATCH(COLUMNS($AC$1006:AN1006),$AC$1006:$AS$1006,0)))),"Fix")))</f>
        <v xml:space="preserve"> </v>
      </c>
      <c r="N684" s="4" t="str">
        <f ca="1">IF(OR(INDEX($W$2:$W$1001,MATCH(ROWS($V$2:V684),$V$2:$V$1001,0),1)&gt;=100000,INDEX($AC$1005:$AS$1005,1,MATCH(COLUMNS($AC$1006:AO1006),$AC$1006:$AS$1006,0))&gt;=100000), " ",IF(INDEX($AC$2:$AS$1001,MATCH(ROWS($V$2:V684),$V$2:$V$1001,0),MATCH(COLUMNS($AC$1006:AO1006),$AC$1006:$AS$1006,0)), HYPERLINK("#",""), HYPERLINK(CONCATENATE("#metadata!", ADDRESS(INDEX($X$2:$X$1001,MATCH(ROWS($V$2:V684),$V$2:$V$1001,0),0), INDEX($AC$1004:$AS$1004,1,MATCH(COLUMNS($AC$1006:AO1006),$AC$1006:$AS$1006,0)))),"Fix")))</f>
        <v xml:space="preserve"> </v>
      </c>
      <c r="O684" s="4" t="str">
        <f ca="1">IF(OR(INDEX($W$2:$W$1001,MATCH(ROWS($V$2:V684),$V$2:$V$1001,0),1)&gt;=100000,INDEX($AC$1005:$AS$1005,1,MATCH(COLUMNS($AC$1006:AP1006),$AC$1006:$AS$1006,0))&gt;=100000), " ",IF(INDEX($AC$2:$AS$1001,MATCH(ROWS($V$2:V684),$V$2:$V$1001,0),MATCH(COLUMNS($AC$1006:AP1006),$AC$1006:$AS$1006,0)), HYPERLINK("#",""), HYPERLINK(CONCATENATE("#metadata!", ADDRESS(INDEX($X$2:$X$1001,MATCH(ROWS($V$2:V684),$V$2:$V$1001,0),0), INDEX($AC$1004:$AS$1004,1,MATCH(COLUMNS($AC$1006:AP1006),$AC$1006:$AS$1006,0)))),"Fix")))</f>
        <v xml:space="preserve"> </v>
      </c>
      <c r="P684" s="4" t="str">
        <f ca="1">IF(OR(INDEX($W$2:$W$1001,MATCH(ROWS($V$2:V684),$V$2:$V$1001,0),1)&gt;=100000,INDEX($AC$1005:$AS$1005,1,MATCH(COLUMNS($AC$1006:AQ1006),$AC$1006:$AS$1006,0))&gt;=100000), " ",IF(INDEX($AC$2:$AS$1001,MATCH(ROWS($V$2:V684),$V$2:$V$1001,0),MATCH(COLUMNS($AC$1006:AQ1006),$AC$1006:$AS$1006,0)), HYPERLINK("#",""), HYPERLINK(CONCATENATE("#metadata!", ADDRESS(INDEX($X$2:$X$1001,MATCH(ROWS($V$2:V684),$V$2:$V$1001,0),0), INDEX($AC$1004:$AS$1004,1,MATCH(COLUMNS($AC$1006:AQ1006),$AC$1006:$AS$1006,0)))),"Fix")))</f>
        <v xml:space="preserve"> </v>
      </c>
      <c r="Q684" s="4" t="str">
        <f ca="1">IF(OR(INDEX($W$2:$W$1001,MATCH(ROWS($V$2:V684),$V$2:$V$1001,0),1)&gt;=100000,INDEX($AC$1005:$AS$1005,1,MATCH(COLUMNS($AC$1006:AR1006),$AC$1006:$AS$1006,0))&gt;=100000), " ",IF(INDEX($AC$2:$AS$1001,MATCH(ROWS($V$2:V684),$V$2:$V$1001,0),MATCH(COLUMNS($AC$1006:AR1006),$AC$1006:$AS$1006,0)), HYPERLINK("#",""), HYPERLINK(CONCATENATE("#metadata!", ADDRESS(INDEX($X$2:$X$1001,MATCH(ROWS($V$2:V684),$V$2:$V$1001,0),0), INDEX($AC$1004:$AS$1004,1,MATCH(COLUMNS($AC$1006:AR1006),$AC$1006:$AS$1006,0)))),"Fix")))</f>
        <v xml:space="preserve"> </v>
      </c>
      <c r="R684" s="4" t="str">
        <f ca="1">IF(OR(INDEX($W$2:$W$1001,MATCH(ROWS($V$2:V684),$V$2:$V$1001,0),1)&gt;=100000,INDEX($AC$1005:$AS$1005,1,MATCH(COLUMNS($AC$1006:AS1006),$AC$1006:$AS$1006,0))&gt;=100000), " ",IF(INDEX($AC$2:$AS$1001,MATCH(ROWS($V$2:V684),$V$2:$V$1001,0),MATCH(COLUMNS($AC$1006:AS1006),$AC$1006:$AS$1006,0)), HYPERLINK("#",""), HYPERLINK(CONCATENATE("#metadata!", ADDRESS(INDEX($X$2:$X$1001,MATCH(ROWS($V$2:V684),$V$2:$V$1001,0),0), INDEX($AC$1004:$AS$1004,1,MATCH(COLUMNS($AC$1006:AS1006),$AC$1006:$AS$1006,0)))),"Fix")))</f>
        <v xml:space="preserve"> </v>
      </c>
      <c r="V684">
        <v>683</v>
      </c>
      <c r="W684">
        <v>100684</v>
      </c>
      <c r="X684">
        <v>684</v>
      </c>
      <c r="Y684" t="b">
        <f t="shared" si="10"/>
        <v>1</v>
      </c>
      <c r="Z684" t="b">
        <f>COUNTBLANK(metadata!B684:R684)=COLUMNS(metadata!B684:R684)</f>
        <v>1</v>
      </c>
      <c r="AA684" t="str">
        <v/>
      </c>
      <c r="AC684" t="b">
        <f ca="1"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AD684" t="b">
        <f>IF(metadata!C684="",FALSE,ISNUMBER(VALUE(metadata!C684)))</f>
        <v>0</v>
      </c>
      <c r="AE684" t="b">
        <f>AND(IF(metadata!D684="",FALSE,TRUE),EXACT(metadata!D684,"years"))</f>
        <v>0</v>
      </c>
      <c r="AF684" t="b">
        <f>OR(AND(IF(metadata!E684="",FALSE,TRUE),OR(EXACT(metadata!E684,"not applicable"),EXACT(metadata!E684,"missing: not collected"),EXACT(metadata!E684,"missing: not provided"),EXACT(metadata!E684,"missing: restricted access"))),AND(IF(metadata!E684="",FALSE,ISNUMBER(VALUE(metadata!E684))),metadata!E684&gt;0))</f>
        <v>0</v>
      </c>
      <c r="AG684" t="b">
        <f>AND(IF(metadata!F684="",FALSE,TRUE),EXACT(metadata!F684,"Not applicable"))</f>
        <v>0</v>
      </c>
      <c r="AH684" t="b">
        <f>AND(IF(metadata!G684="",FALSE,TRUE),EXACT(metadata!G684,"urban biome"))</f>
        <v>0</v>
      </c>
      <c r="AI684" t="b">
        <f>AND(IF(metadata!H684="",FALSE,TRUE),EXACT(metadata!H684,"human-associated habitat"))</f>
        <v>0</v>
      </c>
      <c r="AJ684" t="b">
        <f>AND(IF(metadata!I684="",FALSE,TRUE),OR(EXACT(metadata!I684,"human-associated"),EXACT(metadata!I684,"human-skin"),EXACT(metadata!I684,"human-oral"),EXACT(metadata!I684,"human-gut"),EXACT(metadata!I684,"human-vaginal")))</f>
        <v>0</v>
      </c>
      <c r="AK684" t="b">
        <f>IF(metadata!J684="",FALSE,ISNUMBER(VALUE(metadata!J684)))</f>
        <v>0</v>
      </c>
      <c r="AL684" t="b">
        <f>AND(IF(metadata!K684="",FALSE,TRUE),EXACT(metadata!K684,"cm"))</f>
        <v>0</v>
      </c>
      <c r="AM684" t="b">
        <f>AND(IF(metadata!L684="",FALSE,TRUE),EXACT(metadata!L684,"human"))</f>
        <v>0</v>
      </c>
      <c r="AN684" t="b">
        <f>AND(IF(metadata!M684="",FALSE,TRUE),EXACT(metadata!M684,"Homo sapiens"))</f>
        <v>0</v>
      </c>
      <c r="AO684" t="b">
        <f>AND(IF(metadata!N684="",FALSE,TRUE),EXACT(metadata!N684,"9606"))</f>
        <v>0</v>
      </c>
      <c r="AP684" t="b">
        <f>IF(metadata!O684="",FALSE,TRUE)</f>
        <v>0</v>
      </c>
      <c r="AQ684" t="b">
        <f>IF(metadata!P684="",FALSE,TRUE)</f>
        <v>0</v>
      </c>
      <c r="AR684" t="b">
        <f>IF(metadata!Q684="",FALSE,ISNUMBER(VALUE(metadata!Q684)))</f>
        <v>0</v>
      </c>
      <c r="AS684" t="b">
        <f>AND(IF(metadata!R684="",FALSE,TRUE),EXACT(metadata!R684,"kg"))</f>
        <v>0</v>
      </c>
    </row>
    <row r="685" spans="1:45" x14ac:dyDescent="0.2">
      <c r="A685" s="5" t="str">
        <f ca="1">IF(B685=" "," ",HYPERLINK(CONCATENATE("#metadata!",ADDRESS(INDEX($X$2:$X$1001,MATCH(ROWS($V$2:V685),$V$2:$V$1001,0),0),1)),INDEX($AA$2:$AA$1001,MATCH(ROWS($V$2:V685),$V$2:$V$1001,0),0)))</f>
        <v xml:space="preserve"> </v>
      </c>
      <c r="B685" s="4" t="str">
        <f ca="1">IF(OR(INDEX($W$2:$W$1001,MATCH(ROWS($V$2:V685),$V$2:$V$1001,0),1)&gt;=100000,INDEX($AC$1005:$AS$1005,1,MATCH(COLUMNS($AC$1006:AC1006),$AC$1006:$AS$1006,0))&gt;=100000), " ",IF(INDEX($AC$2:$AS$1001,MATCH(ROWS($V$2:V685),$V$2:$V$1001,0),MATCH(COLUMNS($AC$1006:AC1006),$AC$1006:$AS$1006,0)), HYPERLINK("#",""), HYPERLINK(CONCATENATE("#metadata!", ADDRESS(INDEX($X$2:$X$1001,MATCH(ROWS($V$2:V685),$V$2:$V$1001,0),0), INDEX($AC$1004:$AS$1004,1,MATCH(COLUMNS($AC$1006:AC1006),$AC$1006:$AS$1006,0)))),"Fix")))</f>
        <v xml:space="preserve"> </v>
      </c>
      <c r="C685" s="4" t="str">
        <f ca="1">IF(OR(INDEX($W$2:$W$1001,MATCH(ROWS($V$2:V685),$V$2:$V$1001,0),1)&gt;=100000,INDEX($AC$1005:$AS$1005,1,MATCH(COLUMNS($AC$1006:AD1006),$AC$1006:$AS$1006,0))&gt;=100000), " ",IF(INDEX($AC$2:$AS$1001,MATCH(ROWS($V$2:V685),$V$2:$V$1001,0),MATCH(COLUMNS($AC$1006:AD1006),$AC$1006:$AS$1006,0)), HYPERLINK("#",""), HYPERLINK(CONCATENATE("#metadata!", ADDRESS(INDEX($X$2:$X$1001,MATCH(ROWS($V$2:V685),$V$2:$V$1001,0),0), INDEX($AC$1004:$AS$1004,1,MATCH(COLUMNS($AC$1006:AD1006),$AC$1006:$AS$1006,0)))),"Fix")))</f>
        <v xml:space="preserve"> </v>
      </c>
      <c r="D685" s="4" t="str">
        <f ca="1">IF(OR(INDEX($W$2:$W$1001,MATCH(ROWS($V$2:V685),$V$2:$V$1001,0),1)&gt;=100000,INDEX($AC$1005:$AS$1005,1,MATCH(COLUMNS($AC$1006:AE1006),$AC$1006:$AS$1006,0))&gt;=100000), " ",IF(INDEX($AC$2:$AS$1001,MATCH(ROWS($V$2:V685),$V$2:$V$1001,0),MATCH(COLUMNS($AC$1006:AE1006),$AC$1006:$AS$1006,0)), HYPERLINK("#",""), HYPERLINK(CONCATENATE("#metadata!", ADDRESS(INDEX($X$2:$X$1001,MATCH(ROWS($V$2:V685),$V$2:$V$1001,0),0), INDEX($AC$1004:$AS$1004,1,MATCH(COLUMNS($AC$1006:AE1006),$AC$1006:$AS$1006,0)))),"Fix")))</f>
        <v xml:space="preserve"> </v>
      </c>
      <c r="E685" s="4" t="str">
        <f ca="1">IF(OR(INDEX($W$2:$W$1001,MATCH(ROWS($V$2:V685),$V$2:$V$1001,0),1)&gt;=100000,INDEX($AC$1005:$AS$1005,1,MATCH(COLUMNS($AC$1006:AF1006),$AC$1006:$AS$1006,0))&gt;=100000), " ",IF(INDEX($AC$2:$AS$1001,MATCH(ROWS($V$2:V685),$V$2:$V$1001,0),MATCH(COLUMNS($AC$1006:AF1006),$AC$1006:$AS$1006,0)), HYPERLINK("#",""), HYPERLINK(CONCATENATE("#metadata!", ADDRESS(INDEX($X$2:$X$1001,MATCH(ROWS($V$2:V685),$V$2:$V$1001,0),0), INDEX($AC$1004:$AS$1004,1,MATCH(COLUMNS($AC$1006:AF1006),$AC$1006:$AS$1006,0)))),"Fix")))</f>
        <v xml:space="preserve"> </v>
      </c>
      <c r="F685" s="4" t="str">
        <f ca="1">IF(OR(INDEX($W$2:$W$1001,MATCH(ROWS($V$2:V685),$V$2:$V$1001,0),1)&gt;=100000,INDEX($AC$1005:$AS$1005,1,MATCH(COLUMNS($AC$1006:AG1006),$AC$1006:$AS$1006,0))&gt;=100000), " ",IF(INDEX($AC$2:$AS$1001,MATCH(ROWS($V$2:V685),$V$2:$V$1001,0),MATCH(COLUMNS($AC$1006:AG1006),$AC$1006:$AS$1006,0)), HYPERLINK("#",""), HYPERLINK(CONCATENATE("#metadata!", ADDRESS(INDEX($X$2:$X$1001,MATCH(ROWS($V$2:V685),$V$2:$V$1001,0),0), INDEX($AC$1004:$AS$1004,1,MATCH(COLUMNS($AC$1006:AG1006),$AC$1006:$AS$1006,0)))),"Fix")))</f>
        <v xml:space="preserve"> </v>
      </c>
      <c r="G685" s="4" t="str">
        <f ca="1">IF(OR(INDEX($W$2:$W$1001,MATCH(ROWS($V$2:V685),$V$2:$V$1001,0),1)&gt;=100000,INDEX($AC$1005:$AS$1005,1,MATCH(COLUMNS($AC$1006:AH1006),$AC$1006:$AS$1006,0))&gt;=100000), " ",IF(INDEX($AC$2:$AS$1001,MATCH(ROWS($V$2:V685),$V$2:$V$1001,0),MATCH(COLUMNS($AC$1006:AH1006),$AC$1006:$AS$1006,0)), HYPERLINK("#",""), HYPERLINK(CONCATENATE("#metadata!", ADDRESS(INDEX($X$2:$X$1001,MATCH(ROWS($V$2:V685),$V$2:$V$1001,0),0), INDEX($AC$1004:$AS$1004,1,MATCH(COLUMNS($AC$1006:AH1006),$AC$1006:$AS$1006,0)))),"Fix")))</f>
        <v xml:space="preserve"> </v>
      </c>
      <c r="H685" s="4" t="str">
        <f ca="1">IF(OR(INDEX($W$2:$W$1001,MATCH(ROWS($V$2:V685),$V$2:$V$1001,0),1)&gt;=100000,INDEX($AC$1005:$AS$1005,1,MATCH(COLUMNS($AC$1006:AI1006),$AC$1006:$AS$1006,0))&gt;=100000), " ",IF(INDEX($AC$2:$AS$1001,MATCH(ROWS($V$2:V685),$V$2:$V$1001,0),MATCH(COLUMNS($AC$1006:AI1006),$AC$1006:$AS$1006,0)), HYPERLINK("#",""), HYPERLINK(CONCATENATE("#metadata!", ADDRESS(INDEX($X$2:$X$1001,MATCH(ROWS($V$2:V685),$V$2:$V$1001,0),0), INDEX($AC$1004:$AS$1004,1,MATCH(COLUMNS($AC$1006:AI1006),$AC$1006:$AS$1006,0)))),"Fix")))</f>
        <v xml:space="preserve"> </v>
      </c>
      <c r="I685" s="4" t="str">
        <f ca="1">IF(OR(INDEX($W$2:$W$1001,MATCH(ROWS($V$2:V685),$V$2:$V$1001,0),1)&gt;=100000,INDEX($AC$1005:$AS$1005,1,MATCH(COLUMNS($AC$1006:AJ1006),$AC$1006:$AS$1006,0))&gt;=100000), " ",IF(INDEX($AC$2:$AS$1001,MATCH(ROWS($V$2:V685),$V$2:$V$1001,0),MATCH(COLUMNS($AC$1006:AJ1006),$AC$1006:$AS$1006,0)), HYPERLINK("#",""), HYPERLINK(CONCATENATE("#metadata!", ADDRESS(INDEX($X$2:$X$1001,MATCH(ROWS($V$2:V685),$V$2:$V$1001,0),0), INDEX($AC$1004:$AS$1004,1,MATCH(COLUMNS($AC$1006:AJ1006),$AC$1006:$AS$1006,0)))),"Fix")))</f>
        <v xml:space="preserve"> </v>
      </c>
      <c r="J685" s="4" t="str">
        <f ca="1">IF(OR(INDEX($W$2:$W$1001,MATCH(ROWS($V$2:V685),$V$2:$V$1001,0),1)&gt;=100000,INDEX($AC$1005:$AS$1005,1,MATCH(COLUMNS($AC$1006:AK1006),$AC$1006:$AS$1006,0))&gt;=100000), " ",IF(INDEX($AC$2:$AS$1001,MATCH(ROWS($V$2:V685),$V$2:$V$1001,0),MATCH(COLUMNS($AC$1006:AK1006),$AC$1006:$AS$1006,0)), HYPERLINK("#",""), HYPERLINK(CONCATENATE("#metadata!", ADDRESS(INDEX($X$2:$X$1001,MATCH(ROWS($V$2:V685),$V$2:$V$1001,0),0), INDEX($AC$1004:$AS$1004,1,MATCH(COLUMNS($AC$1006:AK1006),$AC$1006:$AS$1006,0)))),"Fix")))</f>
        <v xml:space="preserve"> </v>
      </c>
      <c r="K685" s="4" t="str">
        <f ca="1">IF(OR(INDEX($W$2:$W$1001,MATCH(ROWS($V$2:V685),$V$2:$V$1001,0),1)&gt;=100000,INDEX($AC$1005:$AS$1005,1,MATCH(COLUMNS($AC$1006:AL1006),$AC$1006:$AS$1006,0))&gt;=100000), " ",IF(INDEX($AC$2:$AS$1001,MATCH(ROWS($V$2:V685),$V$2:$V$1001,0),MATCH(COLUMNS($AC$1006:AL1006),$AC$1006:$AS$1006,0)), HYPERLINK("#",""), HYPERLINK(CONCATENATE("#metadata!", ADDRESS(INDEX($X$2:$X$1001,MATCH(ROWS($V$2:V685),$V$2:$V$1001,0),0), INDEX($AC$1004:$AS$1004,1,MATCH(COLUMNS($AC$1006:AL1006),$AC$1006:$AS$1006,0)))),"Fix")))</f>
        <v xml:space="preserve"> </v>
      </c>
      <c r="L685" s="4" t="str">
        <f ca="1">IF(OR(INDEX($W$2:$W$1001,MATCH(ROWS($V$2:V685),$V$2:$V$1001,0),1)&gt;=100000,INDEX($AC$1005:$AS$1005,1,MATCH(COLUMNS($AC$1006:AM1006),$AC$1006:$AS$1006,0))&gt;=100000), " ",IF(INDEX($AC$2:$AS$1001,MATCH(ROWS($V$2:V685),$V$2:$V$1001,0),MATCH(COLUMNS($AC$1006:AM1006),$AC$1006:$AS$1006,0)), HYPERLINK("#",""), HYPERLINK(CONCATENATE("#metadata!", ADDRESS(INDEX($X$2:$X$1001,MATCH(ROWS($V$2:V685),$V$2:$V$1001,0),0), INDEX($AC$1004:$AS$1004,1,MATCH(COLUMNS($AC$1006:AM1006),$AC$1006:$AS$1006,0)))),"Fix")))</f>
        <v xml:space="preserve"> </v>
      </c>
      <c r="M685" s="4" t="str">
        <f ca="1">IF(OR(INDEX($W$2:$W$1001,MATCH(ROWS($V$2:V685),$V$2:$V$1001,0),1)&gt;=100000,INDEX($AC$1005:$AS$1005,1,MATCH(COLUMNS($AC$1006:AN1006),$AC$1006:$AS$1006,0))&gt;=100000), " ",IF(INDEX($AC$2:$AS$1001,MATCH(ROWS($V$2:V685),$V$2:$V$1001,0),MATCH(COLUMNS($AC$1006:AN1006),$AC$1006:$AS$1006,0)), HYPERLINK("#",""), HYPERLINK(CONCATENATE("#metadata!", ADDRESS(INDEX($X$2:$X$1001,MATCH(ROWS($V$2:V685),$V$2:$V$1001,0),0), INDEX($AC$1004:$AS$1004,1,MATCH(COLUMNS($AC$1006:AN1006),$AC$1006:$AS$1006,0)))),"Fix")))</f>
        <v xml:space="preserve"> </v>
      </c>
      <c r="N685" s="4" t="str">
        <f ca="1">IF(OR(INDEX($W$2:$W$1001,MATCH(ROWS($V$2:V685),$V$2:$V$1001,0),1)&gt;=100000,INDEX($AC$1005:$AS$1005,1,MATCH(COLUMNS($AC$1006:AO1006),$AC$1006:$AS$1006,0))&gt;=100000), " ",IF(INDEX($AC$2:$AS$1001,MATCH(ROWS($V$2:V685),$V$2:$V$1001,0),MATCH(COLUMNS($AC$1006:AO1006),$AC$1006:$AS$1006,0)), HYPERLINK("#",""), HYPERLINK(CONCATENATE("#metadata!", ADDRESS(INDEX($X$2:$X$1001,MATCH(ROWS($V$2:V685),$V$2:$V$1001,0),0), INDEX($AC$1004:$AS$1004,1,MATCH(COLUMNS($AC$1006:AO1006),$AC$1006:$AS$1006,0)))),"Fix")))</f>
        <v xml:space="preserve"> </v>
      </c>
      <c r="O685" s="4" t="str">
        <f ca="1">IF(OR(INDEX($W$2:$W$1001,MATCH(ROWS($V$2:V685),$V$2:$V$1001,0),1)&gt;=100000,INDEX($AC$1005:$AS$1005,1,MATCH(COLUMNS($AC$1006:AP1006),$AC$1006:$AS$1006,0))&gt;=100000), " ",IF(INDEX($AC$2:$AS$1001,MATCH(ROWS($V$2:V685),$V$2:$V$1001,0),MATCH(COLUMNS($AC$1006:AP1006),$AC$1006:$AS$1006,0)), HYPERLINK("#",""), HYPERLINK(CONCATENATE("#metadata!", ADDRESS(INDEX($X$2:$X$1001,MATCH(ROWS($V$2:V685),$V$2:$V$1001,0),0), INDEX($AC$1004:$AS$1004,1,MATCH(COLUMNS($AC$1006:AP1006),$AC$1006:$AS$1006,0)))),"Fix")))</f>
        <v xml:space="preserve"> </v>
      </c>
      <c r="P685" s="4" t="str">
        <f ca="1">IF(OR(INDEX($W$2:$W$1001,MATCH(ROWS($V$2:V685),$V$2:$V$1001,0),1)&gt;=100000,INDEX($AC$1005:$AS$1005,1,MATCH(COLUMNS($AC$1006:AQ1006),$AC$1006:$AS$1006,0))&gt;=100000), " ",IF(INDEX($AC$2:$AS$1001,MATCH(ROWS($V$2:V685),$V$2:$V$1001,0),MATCH(COLUMNS($AC$1006:AQ1006),$AC$1006:$AS$1006,0)), HYPERLINK("#",""), HYPERLINK(CONCATENATE("#metadata!", ADDRESS(INDEX($X$2:$X$1001,MATCH(ROWS($V$2:V685),$V$2:$V$1001,0),0), INDEX($AC$1004:$AS$1004,1,MATCH(COLUMNS($AC$1006:AQ1006),$AC$1006:$AS$1006,0)))),"Fix")))</f>
        <v xml:space="preserve"> </v>
      </c>
      <c r="Q685" s="4" t="str">
        <f ca="1">IF(OR(INDEX($W$2:$W$1001,MATCH(ROWS($V$2:V685),$V$2:$V$1001,0),1)&gt;=100000,INDEX($AC$1005:$AS$1005,1,MATCH(COLUMNS($AC$1006:AR1006),$AC$1006:$AS$1006,0))&gt;=100000), " ",IF(INDEX($AC$2:$AS$1001,MATCH(ROWS($V$2:V685),$V$2:$V$1001,0),MATCH(COLUMNS($AC$1006:AR1006),$AC$1006:$AS$1006,0)), HYPERLINK("#",""), HYPERLINK(CONCATENATE("#metadata!", ADDRESS(INDEX($X$2:$X$1001,MATCH(ROWS($V$2:V685),$V$2:$V$1001,0),0), INDEX($AC$1004:$AS$1004,1,MATCH(COLUMNS($AC$1006:AR1006),$AC$1006:$AS$1006,0)))),"Fix")))</f>
        <v xml:space="preserve"> </v>
      </c>
      <c r="R685" s="4" t="str">
        <f ca="1">IF(OR(INDEX($W$2:$W$1001,MATCH(ROWS($V$2:V685),$V$2:$V$1001,0),1)&gt;=100000,INDEX($AC$1005:$AS$1005,1,MATCH(COLUMNS($AC$1006:AS1006),$AC$1006:$AS$1006,0))&gt;=100000), " ",IF(INDEX($AC$2:$AS$1001,MATCH(ROWS($V$2:V685),$V$2:$V$1001,0),MATCH(COLUMNS($AC$1006:AS1006),$AC$1006:$AS$1006,0)), HYPERLINK("#",""), HYPERLINK(CONCATENATE("#metadata!", ADDRESS(INDEX($X$2:$X$1001,MATCH(ROWS($V$2:V685),$V$2:$V$1001,0),0), INDEX($AC$1004:$AS$1004,1,MATCH(COLUMNS($AC$1006:AS1006),$AC$1006:$AS$1006,0)))),"Fix")))</f>
        <v xml:space="preserve"> </v>
      </c>
      <c r="V685">
        <v>684</v>
      </c>
      <c r="W685">
        <v>100685</v>
      </c>
      <c r="X685">
        <v>685</v>
      </c>
      <c r="Y685" t="b">
        <f t="shared" si="10"/>
        <v>1</v>
      </c>
      <c r="Z685" t="b">
        <f>COUNTBLANK(metadata!B685:R685)=COLUMNS(metadata!B685:R685)</f>
        <v>1</v>
      </c>
      <c r="AA685" t="str">
        <v/>
      </c>
      <c r="AC685" t="b">
        <f ca="1"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AD685" t="b">
        <f>IF(metadata!C685="",FALSE,ISNUMBER(VALUE(metadata!C685)))</f>
        <v>0</v>
      </c>
      <c r="AE685" t="b">
        <f>AND(IF(metadata!D685="",FALSE,TRUE),EXACT(metadata!D685,"years"))</f>
        <v>0</v>
      </c>
      <c r="AF685" t="b">
        <f>OR(AND(IF(metadata!E685="",FALSE,TRUE),OR(EXACT(metadata!E685,"not applicable"),EXACT(metadata!E685,"missing: not collected"),EXACT(metadata!E685,"missing: not provided"),EXACT(metadata!E685,"missing: restricted access"))),AND(IF(metadata!E685="",FALSE,ISNUMBER(VALUE(metadata!E685))),metadata!E685&gt;0))</f>
        <v>0</v>
      </c>
      <c r="AG685" t="b">
        <f>AND(IF(metadata!F685="",FALSE,TRUE),EXACT(metadata!F685,"Not applicable"))</f>
        <v>0</v>
      </c>
      <c r="AH685" t="b">
        <f>AND(IF(metadata!G685="",FALSE,TRUE),EXACT(metadata!G685,"urban biome"))</f>
        <v>0</v>
      </c>
      <c r="AI685" t="b">
        <f>AND(IF(metadata!H685="",FALSE,TRUE),EXACT(metadata!H685,"human-associated habitat"))</f>
        <v>0</v>
      </c>
      <c r="AJ685" t="b">
        <f>AND(IF(metadata!I685="",FALSE,TRUE),OR(EXACT(metadata!I685,"human-associated"),EXACT(metadata!I685,"human-skin"),EXACT(metadata!I685,"human-oral"),EXACT(metadata!I685,"human-gut"),EXACT(metadata!I685,"human-vaginal")))</f>
        <v>0</v>
      </c>
      <c r="AK685" t="b">
        <f>IF(metadata!J685="",FALSE,ISNUMBER(VALUE(metadata!J685)))</f>
        <v>0</v>
      </c>
      <c r="AL685" t="b">
        <f>AND(IF(metadata!K685="",FALSE,TRUE),EXACT(metadata!K685,"cm"))</f>
        <v>0</v>
      </c>
      <c r="AM685" t="b">
        <f>AND(IF(metadata!L685="",FALSE,TRUE),EXACT(metadata!L685,"human"))</f>
        <v>0</v>
      </c>
      <c r="AN685" t="b">
        <f>AND(IF(metadata!M685="",FALSE,TRUE),EXACT(metadata!M685,"Homo sapiens"))</f>
        <v>0</v>
      </c>
      <c r="AO685" t="b">
        <f>AND(IF(metadata!N685="",FALSE,TRUE),EXACT(metadata!N685,"9606"))</f>
        <v>0</v>
      </c>
      <c r="AP685" t="b">
        <f>IF(metadata!O685="",FALSE,TRUE)</f>
        <v>0</v>
      </c>
      <c r="AQ685" t="b">
        <f>IF(metadata!P685="",FALSE,TRUE)</f>
        <v>0</v>
      </c>
      <c r="AR685" t="b">
        <f>IF(metadata!Q685="",FALSE,ISNUMBER(VALUE(metadata!Q685)))</f>
        <v>0</v>
      </c>
      <c r="AS685" t="b">
        <f>AND(IF(metadata!R685="",FALSE,TRUE),EXACT(metadata!R685,"kg"))</f>
        <v>0</v>
      </c>
    </row>
    <row r="686" spans="1:45" x14ac:dyDescent="0.2">
      <c r="A686" s="5" t="str">
        <f ca="1">IF(B686=" "," ",HYPERLINK(CONCATENATE("#metadata!",ADDRESS(INDEX($X$2:$X$1001,MATCH(ROWS($V$2:V686),$V$2:$V$1001,0),0),1)),INDEX($AA$2:$AA$1001,MATCH(ROWS($V$2:V686),$V$2:$V$1001,0),0)))</f>
        <v xml:space="preserve"> </v>
      </c>
      <c r="B686" s="4" t="str">
        <f ca="1">IF(OR(INDEX($W$2:$W$1001,MATCH(ROWS($V$2:V686),$V$2:$V$1001,0),1)&gt;=100000,INDEX($AC$1005:$AS$1005,1,MATCH(COLUMNS($AC$1006:AC1006),$AC$1006:$AS$1006,0))&gt;=100000), " ",IF(INDEX($AC$2:$AS$1001,MATCH(ROWS($V$2:V686),$V$2:$V$1001,0),MATCH(COLUMNS($AC$1006:AC1006),$AC$1006:$AS$1006,0)), HYPERLINK("#",""), HYPERLINK(CONCATENATE("#metadata!", ADDRESS(INDEX($X$2:$X$1001,MATCH(ROWS($V$2:V686),$V$2:$V$1001,0),0), INDEX($AC$1004:$AS$1004,1,MATCH(COLUMNS($AC$1006:AC1006),$AC$1006:$AS$1006,0)))),"Fix")))</f>
        <v xml:space="preserve"> </v>
      </c>
      <c r="C686" s="4" t="str">
        <f ca="1">IF(OR(INDEX($W$2:$W$1001,MATCH(ROWS($V$2:V686),$V$2:$V$1001,0),1)&gt;=100000,INDEX($AC$1005:$AS$1005,1,MATCH(COLUMNS($AC$1006:AD1006),$AC$1006:$AS$1006,0))&gt;=100000), " ",IF(INDEX($AC$2:$AS$1001,MATCH(ROWS($V$2:V686),$V$2:$V$1001,0),MATCH(COLUMNS($AC$1006:AD1006),$AC$1006:$AS$1006,0)), HYPERLINK("#",""), HYPERLINK(CONCATENATE("#metadata!", ADDRESS(INDEX($X$2:$X$1001,MATCH(ROWS($V$2:V686),$V$2:$V$1001,0),0), INDEX($AC$1004:$AS$1004,1,MATCH(COLUMNS($AC$1006:AD1006),$AC$1006:$AS$1006,0)))),"Fix")))</f>
        <v xml:space="preserve"> </v>
      </c>
      <c r="D686" s="4" t="str">
        <f ca="1">IF(OR(INDEX($W$2:$W$1001,MATCH(ROWS($V$2:V686),$V$2:$V$1001,0),1)&gt;=100000,INDEX($AC$1005:$AS$1005,1,MATCH(COLUMNS($AC$1006:AE1006),$AC$1006:$AS$1006,0))&gt;=100000), " ",IF(INDEX($AC$2:$AS$1001,MATCH(ROWS($V$2:V686),$V$2:$V$1001,0),MATCH(COLUMNS($AC$1006:AE1006),$AC$1006:$AS$1006,0)), HYPERLINK("#",""), HYPERLINK(CONCATENATE("#metadata!", ADDRESS(INDEX($X$2:$X$1001,MATCH(ROWS($V$2:V686),$V$2:$V$1001,0),0), INDEX($AC$1004:$AS$1004,1,MATCH(COLUMNS($AC$1006:AE1006),$AC$1006:$AS$1006,0)))),"Fix")))</f>
        <v xml:space="preserve"> </v>
      </c>
      <c r="E686" s="4" t="str">
        <f ca="1">IF(OR(INDEX($W$2:$W$1001,MATCH(ROWS($V$2:V686),$V$2:$V$1001,0),1)&gt;=100000,INDEX($AC$1005:$AS$1005,1,MATCH(COLUMNS($AC$1006:AF1006),$AC$1006:$AS$1006,0))&gt;=100000), " ",IF(INDEX($AC$2:$AS$1001,MATCH(ROWS($V$2:V686),$V$2:$V$1001,0),MATCH(COLUMNS($AC$1006:AF1006),$AC$1006:$AS$1006,0)), HYPERLINK("#",""), HYPERLINK(CONCATENATE("#metadata!", ADDRESS(INDEX($X$2:$X$1001,MATCH(ROWS($V$2:V686),$V$2:$V$1001,0),0), INDEX($AC$1004:$AS$1004,1,MATCH(COLUMNS($AC$1006:AF1006),$AC$1006:$AS$1006,0)))),"Fix")))</f>
        <v xml:space="preserve"> </v>
      </c>
      <c r="F686" s="4" t="str">
        <f ca="1">IF(OR(INDEX($W$2:$W$1001,MATCH(ROWS($V$2:V686),$V$2:$V$1001,0),1)&gt;=100000,INDEX($AC$1005:$AS$1005,1,MATCH(COLUMNS($AC$1006:AG1006),$AC$1006:$AS$1006,0))&gt;=100000), " ",IF(INDEX($AC$2:$AS$1001,MATCH(ROWS($V$2:V686),$V$2:$V$1001,0),MATCH(COLUMNS($AC$1006:AG1006),$AC$1006:$AS$1006,0)), HYPERLINK("#",""), HYPERLINK(CONCATENATE("#metadata!", ADDRESS(INDEX($X$2:$X$1001,MATCH(ROWS($V$2:V686),$V$2:$V$1001,0),0), INDEX($AC$1004:$AS$1004,1,MATCH(COLUMNS($AC$1006:AG1006),$AC$1006:$AS$1006,0)))),"Fix")))</f>
        <v xml:space="preserve"> </v>
      </c>
      <c r="G686" s="4" t="str">
        <f ca="1">IF(OR(INDEX($W$2:$W$1001,MATCH(ROWS($V$2:V686),$V$2:$V$1001,0),1)&gt;=100000,INDEX($AC$1005:$AS$1005,1,MATCH(COLUMNS($AC$1006:AH1006),$AC$1006:$AS$1006,0))&gt;=100000), " ",IF(INDEX($AC$2:$AS$1001,MATCH(ROWS($V$2:V686),$V$2:$V$1001,0),MATCH(COLUMNS($AC$1006:AH1006),$AC$1006:$AS$1006,0)), HYPERLINK("#",""), HYPERLINK(CONCATENATE("#metadata!", ADDRESS(INDEX($X$2:$X$1001,MATCH(ROWS($V$2:V686),$V$2:$V$1001,0),0), INDEX($AC$1004:$AS$1004,1,MATCH(COLUMNS($AC$1006:AH1006),$AC$1006:$AS$1006,0)))),"Fix")))</f>
        <v xml:space="preserve"> </v>
      </c>
      <c r="H686" s="4" t="str">
        <f ca="1">IF(OR(INDEX($W$2:$W$1001,MATCH(ROWS($V$2:V686),$V$2:$V$1001,0),1)&gt;=100000,INDEX($AC$1005:$AS$1005,1,MATCH(COLUMNS($AC$1006:AI1006),$AC$1006:$AS$1006,0))&gt;=100000), " ",IF(INDEX($AC$2:$AS$1001,MATCH(ROWS($V$2:V686),$V$2:$V$1001,0),MATCH(COLUMNS($AC$1006:AI1006),$AC$1006:$AS$1006,0)), HYPERLINK("#",""), HYPERLINK(CONCATENATE("#metadata!", ADDRESS(INDEX($X$2:$X$1001,MATCH(ROWS($V$2:V686),$V$2:$V$1001,0),0), INDEX($AC$1004:$AS$1004,1,MATCH(COLUMNS($AC$1006:AI1006),$AC$1006:$AS$1006,0)))),"Fix")))</f>
        <v xml:space="preserve"> </v>
      </c>
      <c r="I686" s="4" t="str">
        <f ca="1">IF(OR(INDEX($W$2:$W$1001,MATCH(ROWS($V$2:V686),$V$2:$V$1001,0),1)&gt;=100000,INDEX($AC$1005:$AS$1005,1,MATCH(COLUMNS($AC$1006:AJ1006),$AC$1006:$AS$1006,0))&gt;=100000), " ",IF(INDEX($AC$2:$AS$1001,MATCH(ROWS($V$2:V686),$V$2:$V$1001,0),MATCH(COLUMNS($AC$1006:AJ1006),$AC$1006:$AS$1006,0)), HYPERLINK("#",""), HYPERLINK(CONCATENATE("#metadata!", ADDRESS(INDEX($X$2:$X$1001,MATCH(ROWS($V$2:V686),$V$2:$V$1001,0),0), INDEX($AC$1004:$AS$1004,1,MATCH(COLUMNS($AC$1006:AJ1006),$AC$1006:$AS$1006,0)))),"Fix")))</f>
        <v xml:space="preserve"> </v>
      </c>
      <c r="J686" s="4" t="str">
        <f ca="1">IF(OR(INDEX($W$2:$W$1001,MATCH(ROWS($V$2:V686),$V$2:$V$1001,0),1)&gt;=100000,INDEX($AC$1005:$AS$1005,1,MATCH(COLUMNS($AC$1006:AK1006),$AC$1006:$AS$1006,0))&gt;=100000), " ",IF(INDEX($AC$2:$AS$1001,MATCH(ROWS($V$2:V686),$V$2:$V$1001,0),MATCH(COLUMNS($AC$1006:AK1006),$AC$1006:$AS$1006,0)), HYPERLINK("#",""), HYPERLINK(CONCATENATE("#metadata!", ADDRESS(INDEX($X$2:$X$1001,MATCH(ROWS($V$2:V686),$V$2:$V$1001,0),0), INDEX($AC$1004:$AS$1004,1,MATCH(COLUMNS($AC$1006:AK1006),$AC$1006:$AS$1006,0)))),"Fix")))</f>
        <v xml:space="preserve"> </v>
      </c>
      <c r="K686" s="4" t="str">
        <f ca="1">IF(OR(INDEX($W$2:$W$1001,MATCH(ROWS($V$2:V686),$V$2:$V$1001,0),1)&gt;=100000,INDEX($AC$1005:$AS$1005,1,MATCH(COLUMNS($AC$1006:AL1006),$AC$1006:$AS$1006,0))&gt;=100000), " ",IF(INDEX($AC$2:$AS$1001,MATCH(ROWS($V$2:V686),$V$2:$V$1001,0),MATCH(COLUMNS($AC$1006:AL1006),$AC$1006:$AS$1006,0)), HYPERLINK("#",""), HYPERLINK(CONCATENATE("#metadata!", ADDRESS(INDEX($X$2:$X$1001,MATCH(ROWS($V$2:V686),$V$2:$V$1001,0),0), INDEX($AC$1004:$AS$1004,1,MATCH(COLUMNS($AC$1006:AL1006),$AC$1006:$AS$1006,0)))),"Fix")))</f>
        <v xml:space="preserve"> </v>
      </c>
      <c r="L686" s="4" t="str">
        <f ca="1">IF(OR(INDEX($W$2:$W$1001,MATCH(ROWS($V$2:V686),$V$2:$V$1001,0),1)&gt;=100000,INDEX($AC$1005:$AS$1005,1,MATCH(COLUMNS($AC$1006:AM1006),$AC$1006:$AS$1006,0))&gt;=100000), " ",IF(INDEX($AC$2:$AS$1001,MATCH(ROWS($V$2:V686),$V$2:$V$1001,0),MATCH(COLUMNS($AC$1006:AM1006),$AC$1006:$AS$1006,0)), HYPERLINK("#",""), HYPERLINK(CONCATENATE("#metadata!", ADDRESS(INDEX($X$2:$X$1001,MATCH(ROWS($V$2:V686),$V$2:$V$1001,0),0), INDEX($AC$1004:$AS$1004,1,MATCH(COLUMNS($AC$1006:AM1006),$AC$1006:$AS$1006,0)))),"Fix")))</f>
        <v xml:space="preserve"> </v>
      </c>
      <c r="M686" s="4" t="str">
        <f ca="1">IF(OR(INDEX($W$2:$W$1001,MATCH(ROWS($V$2:V686),$V$2:$V$1001,0),1)&gt;=100000,INDEX($AC$1005:$AS$1005,1,MATCH(COLUMNS($AC$1006:AN1006),$AC$1006:$AS$1006,0))&gt;=100000), " ",IF(INDEX($AC$2:$AS$1001,MATCH(ROWS($V$2:V686),$V$2:$V$1001,0),MATCH(COLUMNS($AC$1006:AN1006),$AC$1006:$AS$1006,0)), HYPERLINK("#",""), HYPERLINK(CONCATENATE("#metadata!", ADDRESS(INDEX($X$2:$X$1001,MATCH(ROWS($V$2:V686),$V$2:$V$1001,0),0), INDEX($AC$1004:$AS$1004,1,MATCH(COLUMNS($AC$1006:AN1006),$AC$1006:$AS$1006,0)))),"Fix")))</f>
        <v xml:space="preserve"> </v>
      </c>
      <c r="N686" s="4" t="str">
        <f ca="1">IF(OR(INDEX($W$2:$W$1001,MATCH(ROWS($V$2:V686),$V$2:$V$1001,0),1)&gt;=100000,INDEX($AC$1005:$AS$1005,1,MATCH(COLUMNS($AC$1006:AO1006),$AC$1006:$AS$1006,0))&gt;=100000), " ",IF(INDEX($AC$2:$AS$1001,MATCH(ROWS($V$2:V686),$V$2:$V$1001,0),MATCH(COLUMNS($AC$1006:AO1006),$AC$1006:$AS$1006,0)), HYPERLINK("#",""), HYPERLINK(CONCATENATE("#metadata!", ADDRESS(INDEX($X$2:$X$1001,MATCH(ROWS($V$2:V686),$V$2:$V$1001,0),0), INDEX($AC$1004:$AS$1004,1,MATCH(COLUMNS($AC$1006:AO1006),$AC$1006:$AS$1006,0)))),"Fix")))</f>
        <v xml:space="preserve"> </v>
      </c>
      <c r="O686" s="4" t="str">
        <f ca="1">IF(OR(INDEX($W$2:$W$1001,MATCH(ROWS($V$2:V686),$V$2:$V$1001,0),1)&gt;=100000,INDEX($AC$1005:$AS$1005,1,MATCH(COLUMNS($AC$1006:AP1006),$AC$1006:$AS$1006,0))&gt;=100000), " ",IF(INDEX($AC$2:$AS$1001,MATCH(ROWS($V$2:V686),$V$2:$V$1001,0),MATCH(COLUMNS($AC$1006:AP1006),$AC$1006:$AS$1006,0)), HYPERLINK("#",""), HYPERLINK(CONCATENATE("#metadata!", ADDRESS(INDEX($X$2:$X$1001,MATCH(ROWS($V$2:V686),$V$2:$V$1001,0),0), INDEX($AC$1004:$AS$1004,1,MATCH(COLUMNS($AC$1006:AP1006),$AC$1006:$AS$1006,0)))),"Fix")))</f>
        <v xml:space="preserve"> </v>
      </c>
      <c r="P686" s="4" t="str">
        <f ca="1">IF(OR(INDEX($W$2:$W$1001,MATCH(ROWS($V$2:V686),$V$2:$V$1001,0),1)&gt;=100000,INDEX($AC$1005:$AS$1005,1,MATCH(COLUMNS($AC$1006:AQ1006),$AC$1006:$AS$1006,0))&gt;=100000), " ",IF(INDEX($AC$2:$AS$1001,MATCH(ROWS($V$2:V686),$V$2:$V$1001,0),MATCH(COLUMNS($AC$1006:AQ1006),$AC$1006:$AS$1006,0)), HYPERLINK("#",""), HYPERLINK(CONCATENATE("#metadata!", ADDRESS(INDEX($X$2:$X$1001,MATCH(ROWS($V$2:V686),$V$2:$V$1001,0),0), INDEX($AC$1004:$AS$1004,1,MATCH(COLUMNS($AC$1006:AQ1006),$AC$1006:$AS$1006,0)))),"Fix")))</f>
        <v xml:space="preserve"> </v>
      </c>
      <c r="Q686" s="4" t="str">
        <f ca="1">IF(OR(INDEX($W$2:$W$1001,MATCH(ROWS($V$2:V686),$V$2:$V$1001,0),1)&gt;=100000,INDEX($AC$1005:$AS$1005,1,MATCH(COLUMNS($AC$1006:AR1006),$AC$1006:$AS$1006,0))&gt;=100000), " ",IF(INDEX($AC$2:$AS$1001,MATCH(ROWS($V$2:V686),$V$2:$V$1001,0),MATCH(COLUMNS($AC$1006:AR1006),$AC$1006:$AS$1006,0)), HYPERLINK("#",""), HYPERLINK(CONCATENATE("#metadata!", ADDRESS(INDEX($X$2:$X$1001,MATCH(ROWS($V$2:V686),$V$2:$V$1001,0),0), INDEX($AC$1004:$AS$1004,1,MATCH(COLUMNS($AC$1006:AR1006),$AC$1006:$AS$1006,0)))),"Fix")))</f>
        <v xml:space="preserve"> </v>
      </c>
      <c r="R686" s="4" t="str">
        <f ca="1">IF(OR(INDEX($W$2:$W$1001,MATCH(ROWS($V$2:V686),$V$2:$V$1001,0),1)&gt;=100000,INDEX($AC$1005:$AS$1005,1,MATCH(COLUMNS($AC$1006:AS1006),$AC$1006:$AS$1006,0))&gt;=100000), " ",IF(INDEX($AC$2:$AS$1001,MATCH(ROWS($V$2:V686),$V$2:$V$1001,0),MATCH(COLUMNS($AC$1006:AS1006),$AC$1006:$AS$1006,0)), HYPERLINK("#",""), HYPERLINK(CONCATENATE("#metadata!", ADDRESS(INDEX($X$2:$X$1001,MATCH(ROWS($V$2:V686),$V$2:$V$1001,0),0), INDEX($AC$1004:$AS$1004,1,MATCH(COLUMNS($AC$1006:AS1006),$AC$1006:$AS$1006,0)))),"Fix")))</f>
        <v xml:space="preserve"> </v>
      </c>
      <c r="V686">
        <v>685</v>
      </c>
      <c r="W686">
        <v>100686</v>
      </c>
      <c r="X686">
        <v>686</v>
      </c>
      <c r="Y686" t="b">
        <f t="shared" si="10"/>
        <v>1</v>
      </c>
      <c r="Z686" t="b">
        <f>COUNTBLANK(metadata!B686:R686)=COLUMNS(metadata!B686:R686)</f>
        <v>1</v>
      </c>
      <c r="AA686" t="str">
        <v/>
      </c>
      <c r="AC686" t="b">
        <f ca="1"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AD686" t="b">
        <f>IF(metadata!C686="",FALSE,ISNUMBER(VALUE(metadata!C686)))</f>
        <v>0</v>
      </c>
      <c r="AE686" t="b">
        <f>AND(IF(metadata!D686="",FALSE,TRUE),EXACT(metadata!D686,"years"))</f>
        <v>0</v>
      </c>
      <c r="AF686" t="b">
        <f>OR(AND(IF(metadata!E686="",FALSE,TRUE),OR(EXACT(metadata!E686,"not applicable"),EXACT(metadata!E686,"missing: not collected"),EXACT(metadata!E686,"missing: not provided"),EXACT(metadata!E686,"missing: restricted access"))),AND(IF(metadata!E686="",FALSE,ISNUMBER(VALUE(metadata!E686))),metadata!E686&gt;0))</f>
        <v>0</v>
      </c>
      <c r="AG686" t="b">
        <f>AND(IF(metadata!F686="",FALSE,TRUE),EXACT(metadata!F686,"Not applicable"))</f>
        <v>0</v>
      </c>
      <c r="AH686" t="b">
        <f>AND(IF(metadata!G686="",FALSE,TRUE),EXACT(metadata!G686,"urban biome"))</f>
        <v>0</v>
      </c>
      <c r="AI686" t="b">
        <f>AND(IF(metadata!H686="",FALSE,TRUE),EXACT(metadata!H686,"human-associated habitat"))</f>
        <v>0</v>
      </c>
      <c r="AJ686" t="b">
        <f>AND(IF(metadata!I686="",FALSE,TRUE),OR(EXACT(metadata!I686,"human-associated"),EXACT(metadata!I686,"human-skin"),EXACT(metadata!I686,"human-oral"),EXACT(metadata!I686,"human-gut"),EXACT(metadata!I686,"human-vaginal")))</f>
        <v>0</v>
      </c>
      <c r="AK686" t="b">
        <f>IF(metadata!J686="",FALSE,ISNUMBER(VALUE(metadata!J686)))</f>
        <v>0</v>
      </c>
      <c r="AL686" t="b">
        <f>AND(IF(metadata!K686="",FALSE,TRUE),EXACT(metadata!K686,"cm"))</f>
        <v>0</v>
      </c>
      <c r="AM686" t="b">
        <f>AND(IF(metadata!L686="",FALSE,TRUE),EXACT(metadata!L686,"human"))</f>
        <v>0</v>
      </c>
      <c r="AN686" t="b">
        <f>AND(IF(metadata!M686="",FALSE,TRUE),EXACT(metadata!M686,"Homo sapiens"))</f>
        <v>0</v>
      </c>
      <c r="AO686" t="b">
        <f>AND(IF(metadata!N686="",FALSE,TRUE),EXACT(metadata!N686,"9606"))</f>
        <v>0</v>
      </c>
      <c r="AP686" t="b">
        <f>IF(metadata!O686="",FALSE,TRUE)</f>
        <v>0</v>
      </c>
      <c r="AQ686" t="b">
        <f>IF(metadata!P686="",FALSE,TRUE)</f>
        <v>0</v>
      </c>
      <c r="AR686" t="b">
        <f>IF(metadata!Q686="",FALSE,ISNUMBER(VALUE(metadata!Q686)))</f>
        <v>0</v>
      </c>
      <c r="AS686" t="b">
        <f>AND(IF(metadata!R686="",FALSE,TRUE),EXACT(metadata!R686,"kg"))</f>
        <v>0</v>
      </c>
    </row>
    <row r="687" spans="1:45" x14ac:dyDescent="0.2">
      <c r="A687" s="5" t="str">
        <f ca="1">IF(B687=" "," ",HYPERLINK(CONCATENATE("#metadata!",ADDRESS(INDEX($X$2:$X$1001,MATCH(ROWS($V$2:V687),$V$2:$V$1001,0),0),1)),INDEX($AA$2:$AA$1001,MATCH(ROWS($V$2:V687),$V$2:$V$1001,0),0)))</f>
        <v xml:space="preserve"> </v>
      </c>
      <c r="B687" s="4" t="str">
        <f ca="1">IF(OR(INDEX($W$2:$W$1001,MATCH(ROWS($V$2:V687),$V$2:$V$1001,0),1)&gt;=100000,INDEX($AC$1005:$AS$1005,1,MATCH(COLUMNS($AC$1006:AC1006),$AC$1006:$AS$1006,0))&gt;=100000), " ",IF(INDEX($AC$2:$AS$1001,MATCH(ROWS($V$2:V687),$V$2:$V$1001,0),MATCH(COLUMNS($AC$1006:AC1006),$AC$1006:$AS$1006,0)), HYPERLINK("#",""), HYPERLINK(CONCATENATE("#metadata!", ADDRESS(INDEX($X$2:$X$1001,MATCH(ROWS($V$2:V687),$V$2:$V$1001,0),0), INDEX($AC$1004:$AS$1004,1,MATCH(COLUMNS($AC$1006:AC1006),$AC$1006:$AS$1006,0)))),"Fix")))</f>
        <v xml:space="preserve"> </v>
      </c>
      <c r="C687" s="4" t="str">
        <f ca="1">IF(OR(INDEX($W$2:$W$1001,MATCH(ROWS($V$2:V687),$V$2:$V$1001,0),1)&gt;=100000,INDEX($AC$1005:$AS$1005,1,MATCH(COLUMNS($AC$1006:AD1006),$AC$1006:$AS$1006,0))&gt;=100000), " ",IF(INDEX($AC$2:$AS$1001,MATCH(ROWS($V$2:V687),$V$2:$V$1001,0),MATCH(COLUMNS($AC$1006:AD1006),$AC$1006:$AS$1006,0)), HYPERLINK("#",""), HYPERLINK(CONCATENATE("#metadata!", ADDRESS(INDEX($X$2:$X$1001,MATCH(ROWS($V$2:V687),$V$2:$V$1001,0),0), INDEX($AC$1004:$AS$1004,1,MATCH(COLUMNS($AC$1006:AD1006),$AC$1006:$AS$1006,0)))),"Fix")))</f>
        <v xml:space="preserve"> </v>
      </c>
      <c r="D687" s="4" t="str">
        <f ca="1">IF(OR(INDEX($W$2:$W$1001,MATCH(ROWS($V$2:V687),$V$2:$V$1001,0),1)&gt;=100000,INDEX($AC$1005:$AS$1005,1,MATCH(COLUMNS($AC$1006:AE1006),$AC$1006:$AS$1006,0))&gt;=100000), " ",IF(INDEX($AC$2:$AS$1001,MATCH(ROWS($V$2:V687),$V$2:$V$1001,0),MATCH(COLUMNS($AC$1006:AE1006),$AC$1006:$AS$1006,0)), HYPERLINK("#",""), HYPERLINK(CONCATENATE("#metadata!", ADDRESS(INDEX($X$2:$X$1001,MATCH(ROWS($V$2:V687),$V$2:$V$1001,0),0), INDEX($AC$1004:$AS$1004,1,MATCH(COLUMNS($AC$1006:AE1006),$AC$1006:$AS$1006,0)))),"Fix")))</f>
        <v xml:space="preserve"> </v>
      </c>
      <c r="E687" s="4" t="str">
        <f ca="1">IF(OR(INDEX($W$2:$W$1001,MATCH(ROWS($V$2:V687),$V$2:$V$1001,0),1)&gt;=100000,INDEX($AC$1005:$AS$1005,1,MATCH(COLUMNS($AC$1006:AF1006),$AC$1006:$AS$1006,0))&gt;=100000), " ",IF(INDEX($AC$2:$AS$1001,MATCH(ROWS($V$2:V687),$V$2:$V$1001,0),MATCH(COLUMNS($AC$1006:AF1006),$AC$1006:$AS$1006,0)), HYPERLINK("#",""), HYPERLINK(CONCATENATE("#metadata!", ADDRESS(INDEX($X$2:$X$1001,MATCH(ROWS($V$2:V687),$V$2:$V$1001,0),0), INDEX($AC$1004:$AS$1004,1,MATCH(COLUMNS($AC$1006:AF1006),$AC$1006:$AS$1006,0)))),"Fix")))</f>
        <v xml:space="preserve"> </v>
      </c>
      <c r="F687" s="4" t="str">
        <f ca="1">IF(OR(INDEX($W$2:$W$1001,MATCH(ROWS($V$2:V687),$V$2:$V$1001,0),1)&gt;=100000,INDEX($AC$1005:$AS$1005,1,MATCH(COLUMNS($AC$1006:AG1006),$AC$1006:$AS$1006,0))&gt;=100000), " ",IF(INDEX($AC$2:$AS$1001,MATCH(ROWS($V$2:V687),$V$2:$V$1001,0),MATCH(COLUMNS($AC$1006:AG1006),$AC$1006:$AS$1006,0)), HYPERLINK("#",""), HYPERLINK(CONCATENATE("#metadata!", ADDRESS(INDEX($X$2:$X$1001,MATCH(ROWS($V$2:V687),$V$2:$V$1001,0),0), INDEX($AC$1004:$AS$1004,1,MATCH(COLUMNS($AC$1006:AG1006),$AC$1006:$AS$1006,0)))),"Fix")))</f>
        <v xml:space="preserve"> </v>
      </c>
      <c r="G687" s="4" t="str">
        <f ca="1">IF(OR(INDEX($W$2:$W$1001,MATCH(ROWS($V$2:V687),$V$2:$V$1001,0),1)&gt;=100000,INDEX($AC$1005:$AS$1005,1,MATCH(COLUMNS($AC$1006:AH1006),$AC$1006:$AS$1006,0))&gt;=100000), " ",IF(INDEX($AC$2:$AS$1001,MATCH(ROWS($V$2:V687),$V$2:$V$1001,0),MATCH(COLUMNS($AC$1006:AH1006),$AC$1006:$AS$1006,0)), HYPERLINK("#",""), HYPERLINK(CONCATENATE("#metadata!", ADDRESS(INDEX($X$2:$X$1001,MATCH(ROWS($V$2:V687),$V$2:$V$1001,0),0), INDEX($AC$1004:$AS$1004,1,MATCH(COLUMNS($AC$1006:AH1006),$AC$1006:$AS$1006,0)))),"Fix")))</f>
        <v xml:space="preserve"> </v>
      </c>
      <c r="H687" s="4" t="str">
        <f ca="1">IF(OR(INDEX($W$2:$W$1001,MATCH(ROWS($V$2:V687),$V$2:$V$1001,0),1)&gt;=100000,INDEX($AC$1005:$AS$1005,1,MATCH(COLUMNS($AC$1006:AI1006),$AC$1006:$AS$1006,0))&gt;=100000), " ",IF(INDEX($AC$2:$AS$1001,MATCH(ROWS($V$2:V687),$V$2:$V$1001,0),MATCH(COLUMNS($AC$1006:AI1006),$AC$1006:$AS$1006,0)), HYPERLINK("#",""), HYPERLINK(CONCATENATE("#metadata!", ADDRESS(INDEX($X$2:$X$1001,MATCH(ROWS($V$2:V687),$V$2:$V$1001,0),0), INDEX($AC$1004:$AS$1004,1,MATCH(COLUMNS($AC$1006:AI1006),$AC$1006:$AS$1006,0)))),"Fix")))</f>
        <v xml:space="preserve"> </v>
      </c>
      <c r="I687" s="4" t="str">
        <f ca="1">IF(OR(INDEX($W$2:$W$1001,MATCH(ROWS($V$2:V687),$V$2:$V$1001,0),1)&gt;=100000,INDEX($AC$1005:$AS$1005,1,MATCH(COLUMNS($AC$1006:AJ1006),$AC$1006:$AS$1006,0))&gt;=100000), " ",IF(INDEX($AC$2:$AS$1001,MATCH(ROWS($V$2:V687),$V$2:$V$1001,0),MATCH(COLUMNS($AC$1006:AJ1006),$AC$1006:$AS$1006,0)), HYPERLINK("#",""), HYPERLINK(CONCATENATE("#metadata!", ADDRESS(INDEX($X$2:$X$1001,MATCH(ROWS($V$2:V687),$V$2:$V$1001,0),0), INDEX($AC$1004:$AS$1004,1,MATCH(COLUMNS($AC$1006:AJ1006),$AC$1006:$AS$1006,0)))),"Fix")))</f>
        <v xml:space="preserve"> </v>
      </c>
      <c r="J687" s="4" t="str">
        <f ca="1">IF(OR(INDEX($W$2:$W$1001,MATCH(ROWS($V$2:V687),$V$2:$V$1001,0),1)&gt;=100000,INDEX($AC$1005:$AS$1005,1,MATCH(COLUMNS($AC$1006:AK1006),$AC$1006:$AS$1006,0))&gt;=100000), " ",IF(INDEX($AC$2:$AS$1001,MATCH(ROWS($V$2:V687),$V$2:$V$1001,0),MATCH(COLUMNS($AC$1006:AK1006),$AC$1006:$AS$1006,0)), HYPERLINK("#",""), HYPERLINK(CONCATENATE("#metadata!", ADDRESS(INDEX($X$2:$X$1001,MATCH(ROWS($V$2:V687),$V$2:$V$1001,0),0), INDEX($AC$1004:$AS$1004,1,MATCH(COLUMNS($AC$1006:AK1006),$AC$1006:$AS$1006,0)))),"Fix")))</f>
        <v xml:space="preserve"> </v>
      </c>
      <c r="K687" s="4" t="str">
        <f ca="1">IF(OR(INDEX($W$2:$W$1001,MATCH(ROWS($V$2:V687),$V$2:$V$1001,0),1)&gt;=100000,INDEX($AC$1005:$AS$1005,1,MATCH(COLUMNS($AC$1006:AL1006),$AC$1006:$AS$1006,0))&gt;=100000), " ",IF(INDEX($AC$2:$AS$1001,MATCH(ROWS($V$2:V687),$V$2:$V$1001,0),MATCH(COLUMNS($AC$1006:AL1006),$AC$1006:$AS$1006,0)), HYPERLINK("#",""), HYPERLINK(CONCATENATE("#metadata!", ADDRESS(INDEX($X$2:$X$1001,MATCH(ROWS($V$2:V687),$V$2:$V$1001,0),0), INDEX($AC$1004:$AS$1004,1,MATCH(COLUMNS($AC$1006:AL1006),$AC$1006:$AS$1006,0)))),"Fix")))</f>
        <v xml:space="preserve"> </v>
      </c>
      <c r="L687" s="4" t="str">
        <f ca="1">IF(OR(INDEX($W$2:$W$1001,MATCH(ROWS($V$2:V687),$V$2:$V$1001,0),1)&gt;=100000,INDEX($AC$1005:$AS$1005,1,MATCH(COLUMNS($AC$1006:AM1006),$AC$1006:$AS$1006,0))&gt;=100000), " ",IF(INDEX($AC$2:$AS$1001,MATCH(ROWS($V$2:V687),$V$2:$V$1001,0),MATCH(COLUMNS($AC$1006:AM1006),$AC$1006:$AS$1006,0)), HYPERLINK("#",""), HYPERLINK(CONCATENATE("#metadata!", ADDRESS(INDEX($X$2:$X$1001,MATCH(ROWS($V$2:V687),$V$2:$V$1001,0),0), INDEX($AC$1004:$AS$1004,1,MATCH(COLUMNS($AC$1006:AM1006),$AC$1006:$AS$1006,0)))),"Fix")))</f>
        <v xml:space="preserve"> </v>
      </c>
      <c r="M687" s="4" t="str">
        <f ca="1">IF(OR(INDEX($W$2:$W$1001,MATCH(ROWS($V$2:V687),$V$2:$V$1001,0),1)&gt;=100000,INDEX($AC$1005:$AS$1005,1,MATCH(COLUMNS($AC$1006:AN1006),$AC$1006:$AS$1006,0))&gt;=100000), " ",IF(INDEX($AC$2:$AS$1001,MATCH(ROWS($V$2:V687),$V$2:$V$1001,0),MATCH(COLUMNS($AC$1006:AN1006),$AC$1006:$AS$1006,0)), HYPERLINK("#",""), HYPERLINK(CONCATENATE("#metadata!", ADDRESS(INDEX($X$2:$X$1001,MATCH(ROWS($V$2:V687),$V$2:$V$1001,0),0), INDEX($AC$1004:$AS$1004,1,MATCH(COLUMNS($AC$1006:AN1006),$AC$1006:$AS$1006,0)))),"Fix")))</f>
        <v xml:space="preserve"> </v>
      </c>
      <c r="N687" s="4" t="str">
        <f ca="1">IF(OR(INDEX($W$2:$W$1001,MATCH(ROWS($V$2:V687),$V$2:$V$1001,0),1)&gt;=100000,INDEX($AC$1005:$AS$1005,1,MATCH(COLUMNS($AC$1006:AO1006),$AC$1006:$AS$1006,0))&gt;=100000), " ",IF(INDEX($AC$2:$AS$1001,MATCH(ROWS($V$2:V687),$V$2:$V$1001,0),MATCH(COLUMNS($AC$1006:AO1006),$AC$1006:$AS$1006,0)), HYPERLINK("#",""), HYPERLINK(CONCATENATE("#metadata!", ADDRESS(INDEX($X$2:$X$1001,MATCH(ROWS($V$2:V687),$V$2:$V$1001,0),0), INDEX($AC$1004:$AS$1004,1,MATCH(COLUMNS($AC$1006:AO1006),$AC$1006:$AS$1006,0)))),"Fix")))</f>
        <v xml:space="preserve"> </v>
      </c>
      <c r="O687" s="4" t="str">
        <f ca="1">IF(OR(INDEX($W$2:$W$1001,MATCH(ROWS($V$2:V687),$V$2:$V$1001,0),1)&gt;=100000,INDEX($AC$1005:$AS$1005,1,MATCH(COLUMNS($AC$1006:AP1006),$AC$1006:$AS$1006,0))&gt;=100000), " ",IF(INDEX($AC$2:$AS$1001,MATCH(ROWS($V$2:V687),$V$2:$V$1001,0),MATCH(COLUMNS($AC$1006:AP1006),$AC$1006:$AS$1006,0)), HYPERLINK("#",""), HYPERLINK(CONCATENATE("#metadata!", ADDRESS(INDEX($X$2:$X$1001,MATCH(ROWS($V$2:V687),$V$2:$V$1001,0),0), INDEX($AC$1004:$AS$1004,1,MATCH(COLUMNS($AC$1006:AP1006),$AC$1006:$AS$1006,0)))),"Fix")))</f>
        <v xml:space="preserve"> </v>
      </c>
      <c r="P687" s="4" t="str">
        <f ca="1">IF(OR(INDEX($W$2:$W$1001,MATCH(ROWS($V$2:V687),$V$2:$V$1001,0),1)&gt;=100000,INDEX($AC$1005:$AS$1005,1,MATCH(COLUMNS($AC$1006:AQ1006),$AC$1006:$AS$1006,0))&gt;=100000), " ",IF(INDEX($AC$2:$AS$1001,MATCH(ROWS($V$2:V687),$V$2:$V$1001,0),MATCH(COLUMNS($AC$1006:AQ1006),$AC$1006:$AS$1006,0)), HYPERLINK("#",""), HYPERLINK(CONCATENATE("#metadata!", ADDRESS(INDEX($X$2:$X$1001,MATCH(ROWS($V$2:V687),$V$2:$V$1001,0),0), INDEX($AC$1004:$AS$1004,1,MATCH(COLUMNS($AC$1006:AQ1006),$AC$1006:$AS$1006,0)))),"Fix")))</f>
        <v xml:space="preserve"> </v>
      </c>
      <c r="Q687" s="4" t="str">
        <f ca="1">IF(OR(INDEX($W$2:$W$1001,MATCH(ROWS($V$2:V687),$V$2:$V$1001,0),1)&gt;=100000,INDEX($AC$1005:$AS$1005,1,MATCH(COLUMNS($AC$1006:AR1006),$AC$1006:$AS$1006,0))&gt;=100000), " ",IF(INDEX($AC$2:$AS$1001,MATCH(ROWS($V$2:V687),$V$2:$V$1001,0),MATCH(COLUMNS($AC$1006:AR1006),$AC$1006:$AS$1006,0)), HYPERLINK("#",""), HYPERLINK(CONCATENATE("#metadata!", ADDRESS(INDEX($X$2:$X$1001,MATCH(ROWS($V$2:V687),$V$2:$V$1001,0),0), INDEX($AC$1004:$AS$1004,1,MATCH(COLUMNS($AC$1006:AR1006),$AC$1006:$AS$1006,0)))),"Fix")))</f>
        <v xml:space="preserve"> </v>
      </c>
      <c r="R687" s="4" t="str">
        <f ca="1">IF(OR(INDEX($W$2:$W$1001,MATCH(ROWS($V$2:V687),$V$2:$V$1001,0),1)&gt;=100000,INDEX($AC$1005:$AS$1005,1,MATCH(COLUMNS($AC$1006:AS1006),$AC$1006:$AS$1006,0))&gt;=100000), " ",IF(INDEX($AC$2:$AS$1001,MATCH(ROWS($V$2:V687),$V$2:$V$1001,0),MATCH(COLUMNS($AC$1006:AS1006),$AC$1006:$AS$1006,0)), HYPERLINK("#",""), HYPERLINK(CONCATENATE("#metadata!", ADDRESS(INDEX($X$2:$X$1001,MATCH(ROWS($V$2:V687),$V$2:$V$1001,0),0), INDEX($AC$1004:$AS$1004,1,MATCH(COLUMNS($AC$1006:AS1006),$AC$1006:$AS$1006,0)))),"Fix")))</f>
        <v xml:space="preserve"> </v>
      </c>
      <c r="V687">
        <v>686</v>
      </c>
      <c r="W687">
        <v>100687</v>
      </c>
      <c r="X687">
        <v>687</v>
      </c>
      <c r="Y687" t="b">
        <f t="shared" si="10"/>
        <v>1</v>
      </c>
      <c r="Z687" t="b">
        <f>COUNTBLANK(metadata!B687:R687)=COLUMNS(metadata!B687:R687)</f>
        <v>1</v>
      </c>
      <c r="AA687" t="str">
        <v/>
      </c>
      <c r="AC687" t="b">
        <f ca="1"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AD687" t="b">
        <f>IF(metadata!C687="",FALSE,ISNUMBER(VALUE(metadata!C687)))</f>
        <v>0</v>
      </c>
      <c r="AE687" t="b">
        <f>AND(IF(metadata!D687="",FALSE,TRUE),EXACT(metadata!D687,"years"))</f>
        <v>0</v>
      </c>
      <c r="AF687" t="b">
        <f>OR(AND(IF(metadata!E687="",FALSE,TRUE),OR(EXACT(metadata!E687,"not applicable"),EXACT(metadata!E687,"missing: not collected"),EXACT(metadata!E687,"missing: not provided"),EXACT(metadata!E687,"missing: restricted access"))),AND(IF(metadata!E687="",FALSE,ISNUMBER(VALUE(metadata!E687))),metadata!E687&gt;0))</f>
        <v>0</v>
      </c>
      <c r="AG687" t="b">
        <f>AND(IF(metadata!F687="",FALSE,TRUE),EXACT(metadata!F687,"Not applicable"))</f>
        <v>0</v>
      </c>
      <c r="AH687" t="b">
        <f>AND(IF(metadata!G687="",FALSE,TRUE),EXACT(metadata!G687,"urban biome"))</f>
        <v>0</v>
      </c>
      <c r="AI687" t="b">
        <f>AND(IF(metadata!H687="",FALSE,TRUE),EXACT(metadata!H687,"human-associated habitat"))</f>
        <v>0</v>
      </c>
      <c r="AJ687" t="b">
        <f>AND(IF(metadata!I687="",FALSE,TRUE),OR(EXACT(metadata!I687,"human-associated"),EXACT(metadata!I687,"human-skin"),EXACT(metadata!I687,"human-oral"),EXACT(metadata!I687,"human-gut"),EXACT(metadata!I687,"human-vaginal")))</f>
        <v>0</v>
      </c>
      <c r="AK687" t="b">
        <f>IF(metadata!J687="",FALSE,ISNUMBER(VALUE(metadata!J687)))</f>
        <v>0</v>
      </c>
      <c r="AL687" t="b">
        <f>AND(IF(metadata!K687="",FALSE,TRUE),EXACT(metadata!K687,"cm"))</f>
        <v>0</v>
      </c>
      <c r="AM687" t="b">
        <f>AND(IF(metadata!L687="",FALSE,TRUE),EXACT(metadata!L687,"human"))</f>
        <v>0</v>
      </c>
      <c r="AN687" t="b">
        <f>AND(IF(metadata!M687="",FALSE,TRUE),EXACT(metadata!M687,"Homo sapiens"))</f>
        <v>0</v>
      </c>
      <c r="AO687" t="b">
        <f>AND(IF(metadata!N687="",FALSE,TRUE),EXACT(metadata!N687,"9606"))</f>
        <v>0</v>
      </c>
      <c r="AP687" t="b">
        <f>IF(metadata!O687="",FALSE,TRUE)</f>
        <v>0</v>
      </c>
      <c r="AQ687" t="b">
        <f>IF(metadata!P687="",FALSE,TRUE)</f>
        <v>0</v>
      </c>
      <c r="AR687" t="b">
        <f>IF(metadata!Q687="",FALSE,ISNUMBER(VALUE(metadata!Q687)))</f>
        <v>0</v>
      </c>
      <c r="AS687" t="b">
        <f>AND(IF(metadata!R687="",FALSE,TRUE),EXACT(metadata!R687,"kg"))</f>
        <v>0</v>
      </c>
    </row>
    <row r="688" spans="1:45" x14ac:dyDescent="0.2">
      <c r="A688" s="5" t="str">
        <f ca="1">IF(B688=" "," ",HYPERLINK(CONCATENATE("#metadata!",ADDRESS(INDEX($X$2:$X$1001,MATCH(ROWS($V$2:V688),$V$2:$V$1001,0),0),1)),INDEX($AA$2:$AA$1001,MATCH(ROWS($V$2:V688),$V$2:$V$1001,0),0)))</f>
        <v xml:space="preserve"> </v>
      </c>
      <c r="B688" s="4" t="str">
        <f ca="1">IF(OR(INDEX($W$2:$W$1001,MATCH(ROWS($V$2:V688),$V$2:$V$1001,0),1)&gt;=100000,INDEX($AC$1005:$AS$1005,1,MATCH(COLUMNS($AC$1006:AC1006),$AC$1006:$AS$1006,0))&gt;=100000), " ",IF(INDEX($AC$2:$AS$1001,MATCH(ROWS($V$2:V688),$V$2:$V$1001,0),MATCH(COLUMNS($AC$1006:AC1006),$AC$1006:$AS$1006,0)), HYPERLINK("#",""), HYPERLINK(CONCATENATE("#metadata!", ADDRESS(INDEX($X$2:$X$1001,MATCH(ROWS($V$2:V688),$V$2:$V$1001,0),0), INDEX($AC$1004:$AS$1004,1,MATCH(COLUMNS($AC$1006:AC1006),$AC$1006:$AS$1006,0)))),"Fix")))</f>
        <v xml:space="preserve"> </v>
      </c>
      <c r="C688" s="4" t="str">
        <f ca="1">IF(OR(INDEX($W$2:$W$1001,MATCH(ROWS($V$2:V688),$V$2:$V$1001,0),1)&gt;=100000,INDEX($AC$1005:$AS$1005,1,MATCH(COLUMNS($AC$1006:AD1006),$AC$1006:$AS$1006,0))&gt;=100000), " ",IF(INDEX($AC$2:$AS$1001,MATCH(ROWS($V$2:V688),$V$2:$V$1001,0),MATCH(COLUMNS($AC$1006:AD1006),$AC$1006:$AS$1006,0)), HYPERLINK("#",""), HYPERLINK(CONCATENATE("#metadata!", ADDRESS(INDEX($X$2:$X$1001,MATCH(ROWS($V$2:V688),$V$2:$V$1001,0),0), INDEX($AC$1004:$AS$1004,1,MATCH(COLUMNS($AC$1006:AD1006),$AC$1006:$AS$1006,0)))),"Fix")))</f>
        <v xml:space="preserve"> </v>
      </c>
      <c r="D688" s="4" t="str">
        <f ca="1">IF(OR(INDEX($W$2:$W$1001,MATCH(ROWS($V$2:V688),$V$2:$V$1001,0),1)&gt;=100000,INDEX($AC$1005:$AS$1005,1,MATCH(COLUMNS($AC$1006:AE1006),$AC$1006:$AS$1006,0))&gt;=100000), " ",IF(INDEX($AC$2:$AS$1001,MATCH(ROWS($V$2:V688),$V$2:$V$1001,0),MATCH(COLUMNS($AC$1006:AE1006),$AC$1006:$AS$1006,0)), HYPERLINK("#",""), HYPERLINK(CONCATENATE("#metadata!", ADDRESS(INDEX($X$2:$X$1001,MATCH(ROWS($V$2:V688),$V$2:$V$1001,0),0), INDEX($AC$1004:$AS$1004,1,MATCH(COLUMNS($AC$1006:AE1006),$AC$1006:$AS$1006,0)))),"Fix")))</f>
        <v xml:space="preserve"> </v>
      </c>
      <c r="E688" s="4" t="str">
        <f ca="1">IF(OR(INDEX($W$2:$W$1001,MATCH(ROWS($V$2:V688),$V$2:$V$1001,0),1)&gt;=100000,INDEX($AC$1005:$AS$1005,1,MATCH(COLUMNS($AC$1006:AF1006),$AC$1006:$AS$1006,0))&gt;=100000), " ",IF(INDEX($AC$2:$AS$1001,MATCH(ROWS($V$2:V688),$V$2:$V$1001,0),MATCH(COLUMNS($AC$1006:AF1006),$AC$1006:$AS$1006,0)), HYPERLINK("#",""), HYPERLINK(CONCATENATE("#metadata!", ADDRESS(INDEX($X$2:$X$1001,MATCH(ROWS($V$2:V688),$V$2:$V$1001,0),0), INDEX($AC$1004:$AS$1004,1,MATCH(COLUMNS($AC$1006:AF1006),$AC$1006:$AS$1006,0)))),"Fix")))</f>
        <v xml:space="preserve"> </v>
      </c>
      <c r="F688" s="4" t="str">
        <f ca="1">IF(OR(INDEX($W$2:$W$1001,MATCH(ROWS($V$2:V688),$V$2:$V$1001,0),1)&gt;=100000,INDEX($AC$1005:$AS$1005,1,MATCH(COLUMNS($AC$1006:AG1006),$AC$1006:$AS$1006,0))&gt;=100000), " ",IF(INDEX($AC$2:$AS$1001,MATCH(ROWS($V$2:V688),$V$2:$V$1001,0),MATCH(COLUMNS($AC$1006:AG1006),$AC$1006:$AS$1006,0)), HYPERLINK("#",""), HYPERLINK(CONCATENATE("#metadata!", ADDRESS(INDEX($X$2:$X$1001,MATCH(ROWS($V$2:V688),$V$2:$V$1001,0),0), INDEX($AC$1004:$AS$1004,1,MATCH(COLUMNS($AC$1006:AG1006),$AC$1006:$AS$1006,0)))),"Fix")))</f>
        <v xml:space="preserve"> </v>
      </c>
      <c r="G688" s="4" t="str">
        <f ca="1">IF(OR(INDEX($W$2:$W$1001,MATCH(ROWS($V$2:V688),$V$2:$V$1001,0),1)&gt;=100000,INDEX($AC$1005:$AS$1005,1,MATCH(COLUMNS($AC$1006:AH1006),$AC$1006:$AS$1006,0))&gt;=100000), " ",IF(INDEX($AC$2:$AS$1001,MATCH(ROWS($V$2:V688),$V$2:$V$1001,0),MATCH(COLUMNS($AC$1006:AH1006),$AC$1006:$AS$1006,0)), HYPERLINK("#",""), HYPERLINK(CONCATENATE("#metadata!", ADDRESS(INDEX($X$2:$X$1001,MATCH(ROWS($V$2:V688),$V$2:$V$1001,0),0), INDEX($AC$1004:$AS$1004,1,MATCH(COLUMNS($AC$1006:AH1006),$AC$1006:$AS$1006,0)))),"Fix")))</f>
        <v xml:space="preserve"> </v>
      </c>
      <c r="H688" s="4" t="str">
        <f ca="1">IF(OR(INDEX($W$2:$W$1001,MATCH(ROWS($V$2:V688),$V$2:$V$1001,0),1)&gt;=100000,INDEX($AC$1005:$AS$1005,1,MATCH(COLUMNS($AC$1006:AI1006),$AC$1006:$AS$1006,0))&gt;=100000), " ",IF(INDEX($AC$2:$AS$1001,MATCH(ROWS($V$2:V688),$V$2:$V$1001,0),MATCH(COLUMNS($AC$1006:AI1006),$AC$1006:$AS$1006,0)), HYPERLINK("#",""), HYPERLINK(CONCATENATE("#metadata!", ADDRESS(INDEX($X$2:$X$1001,MATCH(ROWS($V$2:V688),$V$2:$V$1001,0),0), INDEX($AC$1004:$AS$1004,1,MATCH(COLUMNS($AC$1006:AI1006),$AC$1006:$AS$1006,0)))),"Fix")))</f>
        <v xml:space="preserve"> </v>
      </c>
      <c r="I688" s="4" t="str">
        <f ca="1">IF(OR(INDEX($W$2:$W$1001,MATCH(ROWS($V$2:V688),$V$2:$V$1001,0),1)&gt;=100000,INDEX($AC$1005:$AS$1005,1,MATCH(COLUMNS($AC$1006:AJ1006),$AC$1006:$AS$1006,0))&gt;=100000), " ",IF(INDEX($AC$2:$AS$1001,MATCH(ROWS($V$2:V688),$V$2:$V$1001,0),MATCH(COLUMNS($AC$1006:AJ1006),$AC$1006:$AS$1006,0)), HYPERLINK("#",""), HYPERLINK(CONCATENATE("#metadata!", ADDRESS(INDEX($X$2:$X$1001,MATCH(ROWS($V$2:V688),$V$2:$V$1001,0),0), INDEX($AC$1004:$AS$1004,1,MATCH(COLUMNS($AC$1006:AJ1006),$AC$1006:$AS$1006,0)))),"Fix")))</f>
        <v xml:space="preserve"> </v>
      </c>
      <c r="J688" s="4" t="str">
        <f ca="1">IF(OR(INDEX($W$2:$W$1001,MATCH(ROWS($V$2:V688),$V$2:$V$1001,0),1)&gt;=100000,INDEX($AC$1005:$AS$1005,1,MATCH(COLUMNS($AC$1006:AK1006),$AC$1006:$AS$1006,0))&gt;=100000), " ",IF(INDEX($AC$2:$AS$1001,MATCH(ROWS($V$2:V688),$V$2:$V$1001,0),MATCH(COLUMNS($AC$1006:AK1006),$AC$1006:$AS$1006,0)), HYPERLINK("#",""), HYPERLINK(CONCATENATE("#metadata!", ADDRESS(INDEX($X$2:$X$1001,MATCH(ROWS($V$2:V688),$V$2:$V$1001,0),0), INDEX($AC$1004:$AS$1004,1,MATCH(COLUMNS($AC$1006:AK1006),$AC$1006:$AS$1006,0)))),"Fix")))</f>
        <v xml:space="preserve"> </v>
      </c>
      <c r="K688" s="4" t="str">
        <f ca="1">IF(OR(INDEX($W$2:$W$1001,MATCH(ROWS($V$2:V688),$V$2:$V$1001,0),1)&gt;=100000,INDEX($AC$1005:$AS$1005,1,MATCH(COLUMNS($AC$1006:AL1006),$AC$1006:$AS$1006,0))&gt;=100000), " ",IF(INDEX($AC$2:$AS$1001,MATCH(ROWS($V$2:V688),$V$2:$V$1001,0),MATCH(COLUMNS($AC$1006:AL1006),$AC$1006:$AS$1006,0)), HYPERLINK("#",""), HYPERLINK(CONCATENATE("#metadata!", ADDRESS(INDEX($X$2:$X$1001,MATCH(ROWS($V$2:V688),$V$2:$V$1001,0),0), INDEX($AC$1004:$AS$1004,1,MATCH(COLUMNS($AC$1006:AL1006),$AC$1006:$AS$1006,0)))),"Fix")))</f>
        <v xml:space="preserve"> </v>
      </c>
      <c r="L688" s="4" t="str">
        <f ca="1">IF(OR(INDEX($W$2:$W$1001,MATCH(ROWS($V$2:V688),$V$2:$V$1001,0),1)&gt;=100000,INDEX($AC$1005:$AS$1005,1,MATCH(COLUMNS($AC$1006:AM1006),$AC$1006:$AS$1006,0))&gt;=100000), " ",IF(INDEX($AC$2:$AS$1001,MATCH(ROWS($V$2:V688),$V$2:$V$1001,0),MATCH(COLUMNS($AC$1006:AM1006),$AC$1006:$AS$1006,0)), HYPERLINK("#",""), HYPERLINK(CONCATENATE("#metadata!", ADDRESS(INDEX($X$2:$X$1001,MATCH(ROWS($V$2:V688),$V$2:$V$1001,0),0), INDEX($AC$1004:$AS$1004,1,MATCH(COLUMNS($AC$1006:AM1006),$AC$1006:$AS$1006,0)))),"Fix")))</f>
        <v xml:space="preserve"> </v>
      </c>
      <c r="M688" s="4" t="str">
        <f ca="1">IF(OR(INDEX($W$2:$W$1001,MATCH(ROWS($V$2:V688),$V$2:$V$1001,0),1)&gt;=100000,INDEX($AC$1005:$AS$1005,1,MATCH(COLUMNS($AC$1006:AN1006),$AC$1006:$AS$1006,0))&gt;=100000), " ",IF(INDEX($AC$2:$AS$1001,MATCH(ROWS($V$2:V688),$V$2:$V$1001,0),MATCH(COLUMNS($AC$1006:AN1006),$AC$1006:$AS$1006,0)), HYPERLINK("#",""), HYPERLINK(CONCATENATE("#metadata!", ADDRESS(INDEX($X$2:$X$1001,MATCH(ROWS($V$2:V688),$V$2:$V$1001,0),0), INDEX($AC$1004:$AS$1004,1,MATCH(COLUMNS($AC$1006:AN1006),$AC$1006:$AS$1006,0)))),"Fix")))</f>
        <v xml:space="preserve"> </v>
      </c>
      <c r="N688" s="4" t="str">
        <f ca="1">IF(OR(INDEX($W$2:$W$1001,MATCH(ROWS($V$2:V688),$V$2:$V$1001,0),1)&gt;=100000,INDEX($AC$1005:$AS$1005,1,MATCH(COLUMNS($AC$1006:AO1006),$AC$1006:$AS$1006,0))&gt;=100000), " ",IF(INDEX($AC$2:$AS$1001,MATCH(ROWS($V$2:V688),$V$2:$V$1001,0),MATCH(COLUMNS($AC$1006:AO1006),$AC$1006:$AS$1006,0)), HYPERLINK("#",""), HYPERLINK(CONCATENATE("#metadata!", ADDRESS(INDEX($X$2:$X$1001,MATCH(ROWS($V$2:V688),$V$2:$V$1001,0),0), INDEX($AC$1004:$AS$1004,1,MATCH(COLUMNS($AC$1006:AO1006),$AC$1006:$AS$1006,0)))),"Fix")))</f>
        <v xml:space="preserve"> </v>
      </c>
      <c r="O688" s="4" t="str">
        <f ca="1">IF(OR(INDEX($W$2:$W$1001,MATCH(ROWS($V$2:V688),$V$2:$V$1001,0),1)&gt;=100000,INDEX($AC$1005:$AS$1005,1,MATCH(COLUMNS($AC$1006:AP1006),$AC$1006:$AS$1006,0))&gt;=100000), " ",IF(INDEX($AC$2:$AS$1001,MATCH(ROWS($V$2:V688),$V$2:$V$1001,0),MATCH(COLUMNS($AC$1006:AP1006),$AC$1006:$AS$1006,0)), HYPERLINK("#",""), HYPERLINK(CONCATENATE("#metadata!", ADDRESS(INDEX($X$2:$X$1001,MATCH(ROWS($V$2:V688),$V$2:$V$1001,0),0), INDEX($AC$1004:$AS$1004,1,MATCH(COLUMNS($AC$1006:AP1006),$AC$1006:$AS$1006,0)))),"Fix")))</f>
        <v xml:space="preserve"> </v>
      </c>
      <c r="P688" s="4" t="str">
        <f ca="1">IF(OR(INDEX($W$2:$W$1001,MATCH(ROWS($V$2:V688),$V$2:$V$1001,0),1)&gt;=100000,INDEX($AC$1005:$AS$1005,1,MATCH(COLUMNS($AC$1006:AQ1006),$AC$1006:$AS$1006,0))&gt;=100000), " ",IF(INDEX($AC$2:$AS$1001,MATCH(ROWS($V$2:V688),$V$2:$V$1001,0),MATCH(COLUMNS($AC$1006:AQ1006),$AC$1006:$AS$1006,0)), HYPERLINK("#",""), HYPERLINK(CONCATENATE("#metadata!", ADDRESS(INDEX($X$2:$X$1001,MATCH(ROWS($V$2:V688),$V$2:$V$1001,0),0), INDEX($AC$1004:$AS$1004,1,MATCH(COLUMNS($AC$1006:AQ1006),$AC$1006:$AS$1006,0)))),"Fix")))</f>
        <v xml:space="preserve"> </v>
      </c>
      <c r="Q688" s="4" t="str">
        <f ca="1">IF(OR(INDEX($W$2:$W$1001,MATCH(ROWS($V$2:V688),$V$2:$V$1001,0),1)&gt;=100000,INDEX($AC$1005:$AS$1005,1,MATCH(COLUMNS($AC$1006:AR1006),$AC$1006:$AS$1006,0))&gt;=100000), " ",IF(INDEX($AC$2:$AS$1001,MATCH(ROWS($V$2:V688),$V$2:$V$1001,0),MATCH(COLUMNS($AC$1006:AR1006),$AC$1006:$AS$1006,0)), HYPERLINK("#",""), HYPERLINK(CONCATENATE("#metadata!", ADDRESS(INDEX($X$2:$X$1001,MATCH(ROWS($V$2:V688),$V$2:$V$1001,0),0), INDEX($AC$1004:$AS$1004,1,MATCH(COLUMNS($AC$1006:AR1006),$AC$1006:$AS$1006,0)))),"Fix")))</f>
        <v xml:space="preserve"> </v>
      </c>
      <c r="R688" s="4" t="str">
        <f ca="1">IF(OR(INDEX($W$2:$W$1001,MATCH(ROWS($V$2:V688),$V$2:$V$1001,0),1)&gt;=100000,INDEX($AC$1005:$AS$1005,1,MATCH(COLUMNS($AC$1006:AS1006),$AC$1006:$AS$1006,0))&gt;=100000), " ",IF(INDEX($AC$2:$AS$1001,MATCH(ROWS($V$2:V688),$V$2:$V$1001,0),MATCH(COLUMNS($AC$1006:AS1006),$AC$1006:$AS$1006,0)), HYPERLINK("#",""), HYPERLINK(CONCATENATE("#metadata!", ADDRESS(INDEX($X$2:$X$1001,MATCH(ROWS($V$2:V688),$V$2:$V$1001,0),0), INDEX($AC$1004:$AS$1004,1,MATCH(COLUMNS($AC$1006:AS1006),$AC$1006:$AS$1006,0)))),"Fix")))</f>
        <v xml:space="preserve"> </v>
      </c>
      <c r="V688">
        <v>687</v>
      </c>
      <c r="W688">
        <v>100688</v>
      </c>
      <c r="X688">
        <v>688</v>
      </c>
      <c r="Y688" t="b">
        <f t="shared" si="10"/>
        <v>1</v>
      </c>
      <c r="Z688" t="b">
        <f>COUNTBLANK(metadata!B688:R688)=COLUMNS(metadata!B688:R688)</f>
        <v>1</v>
      </c>
      <c r="AA688" t="str">
        <v/>
      </c>
      <c r="AC688" t="b">
        <f ca="1"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AD688" t="b">
        <f>IF(metadata!C688="",FALSE,ISNUMBER(VALUE(metadata!C688)))</f>
        <v>0</v>
      </c>
      <c r="AE688" t="b">
        <f>AND(IF(metadata!D688="",FALSE,TRUE),EXACT(metadata!D688,"years"))</f>
        <v>0</v>
      </c>
      <c r="AF688" t="b">
        <f>OR(AND(IF(metadata!E688="",FALSE,TRUE),OR(EXACT(metadata!E688,"not applicable"),EXACT(metadata!E688,"missing: not collected"),EXACT(metadata!E688,"missing: not provided"),EXACT(metadata!E688,"missing: restricted access"))),AND(IF(metadata!E688="",FALSE,ISNUMBER(VALUE(metadata!E688))),metadata!E688&gt;0))</f>
        <v>0</v>
      </c>
      <c r="AG688" t="b">
        <f>AND(IF(metadata!F688="",FALSE,TRUE),EXACT(metadata!F688,"Not applicable"))</f>
        <v>0</v>
      </c>
      <c r="AH688" t="b">
        <f>AND(IF(metadata!G688="",FALSE,TRUE),EXACT(metadata!G688,"urban biome"))</f>
        <v>0</v>
      </c>
      <c r="AI688" t="b">
        <f>AND(IF(metadata!H688="",FALSE,TRUE),EXACT(metadata!H688,"human-associated habitat"))</f>
        <v>0</v>
      </c>
      <c r="AJ688" t="b">
        <f>AND(IF(metadata!I688="",FALSE,TRUE),OR(EXACT(metadata!I688,"human-associated"),EXACT(metadata!I688,"human-skin"),EXACT(metadata!I688,"human-oral"),EXACT(metadata!I688,"human-gut"),EXACT(metadata!I688,"human-vaginal")))</f>
        <v>0</v>
      </c>
      <c r="AK688" t="b">
        <f>IF(metadata!J688="",FALSE,ISNUMBER(VALUE(metadata!J688)))</f>
        <v>0</v>
      </c>
      <c r="AL688" t="b">
        <f>AND(IF(metadata!K688="",FALSE,TRUE),EXACT(metadata!K688,"cm"))</f>
        <v>0</v>
      </c>
      <c r="AM688" t="b">
        <f>AND(IF(metadata!L688="",FALSE,TRUE),EXACT(metadata!L688,"human"))</f>
        <v>0</v>
      </c>
      <c r="AN688" t="b">
        <f>AND(IF(metadata!M688="",FALSE,TRUE),EXACT(metadata!M688,"Homo sapiens"))</f>
        <v>0</v>
      </c>
      <c r="AO688" t="b">
        <f>AND(IF(metadata!N688="",FALSE,TRUE),EXACT(metadata!N688,"9606"))</f>
        <v>0</v>
      </c>
      <c r="AP688" t="b">
        <f>IF(metadata!O688="",FALSE,TRUE)</f>
        <v>0</v>
      </c>
      <c r="AQ688" t="b">
        <f>IF(metadata!P688="",FALSE,TRUE)</f>
        <v>0</v>
      </c>
      <c r="AR688" t="b">
        <f>IF(metadata!Q688="",FALSE,ISNUMBER(VALUE(metadata!Q688)))</f>
        <v>0</v>
      </c>
      <c r="AS688" t="b">
        <f>AND(IF(metadata!R688="",FALSE,TRUE),EXACT(metadata!R688,"kg"))</f>
        <v>0</v>
      </c>
    </row>
    <row r="689" spans="1:45" x14ac:dyDescent="0.2">
      <c r="A689" s="5" t="str">
        <f ca="1">IF(B689=" "," ",HYPERLINK(CONCATENATE("#metadata!",ADDRESS(INDEX($X$2:$X$1001,MATCH(ROWS($V$2:V689),$V$2:$V$1001,0),0),1)),INDEX($AA$2:$AA$1001,MATCH(ROWS($V$2:V689),$V$2:$V$1001,0),0)))</f>
        <v xml:space="preserve"> </v>
      </c>
      <c r="B689" s="4" t="str">
        <f ca="1">IF(OR(INDEX($W$2:$W$1001,MATCH(ROWS($V$2:V689),$V$2:$V$1001,0),1)&gt;=100000,INDEX($AC$1005:$AS$1005,1,MATCH(COLUMNS($AC$1006:AC1006),$AC$1006:$AS$1006,0))&gt;=100000), " ",IF(INDEX($AC$2:$AS$1001,MATCH(ROWS($V$2:V689),$V$2:$V$1001,0),MATCH(COLUMNS($AC$1006:AC1006),$AC$1006:$AS$1006,0)), HYPERLINK("#",""), HYPERLINK(CONCATENATE("#metadata!", ADDRESS(INDEX($X$2:$X$1001,MATCH(ROWS($V$2:V689),$V$2:$V$1001,0),0), INDEX($AC$1004:$AS$1004,1,MATCH(COLUMNS($AC$1006:AC1006),$AC$1006:$AS$1006,0)))),"Fix")))</f>
        <v xml:space="preserve"> </v>
      </c>
      <c r="C689" s="4" t="str">
        <f ca="1">IF(OR(INDEX($W$2:$W$1001,MATCH(ROWS($V$2:V689),$V$2:$V$1001,0),1)&gt;=100000,INDEX($AC$1005:$AS$1005,1,MATCH(COLUMNS($AC$1006:AD1006),$AC$1006:$AS$1006,0))&gt;=100000), " ",IF(INDEX($AC$2:$AS$1001,MATCH(ROWS($V$2:V689),$V$2:$V$1001,0),MATCH(COLUMNS($AC$1006:AD1006),$AC$1006:$AS$1006,0)), HYPERLINK("#",""), HYPERLINK(CONCATENATE("#metadata!", ADDRESS(INDEX($X$2:$X$1001,MATCH(ROWS($V$2:V689),$V$2:$V$1001,0),0), INDEX($AC$1004:$AS$1004,1,MATCH(COLUMNS($AC$1006:AD1006),$AC$1006:$AS$1006,0)))),"Fix")))</f>
        <v xml:space="preserve"> </v>
      </c>
      <c r="D689" s="4" t="str">
        <f ca="1">IF(OR(INDEX($W$2:$W$1001,MATCH(ROWS($V$2:V689),$V$2:$V$1001,0),1)&gt;=100000,INDEX($AC$1005:$AS$1005,1,MATCH(COLUMNS($AC$1006:AE1006),$AC$1006:$AS$1006,0))&gt;=100000), " ",IF(INDEX($AC$2:$AS$1001,MATCH(ROWS($V$2:V689),$V$2:$V$1001,0),MATCH(COLUMNS($AC$1006:AE1006),$AC$1006:$AS$1006,0)), HYPERLINK("#",""), HYPERLINK(CONCATENATE("#metadata!", ADDRESS(INDEX($X$2:$X$1001,MATCH(ROWS($V$2:V689),$V$2:$V$1001,0),0), INDEX($AC$1004:$AS$1004,1,MATCH(COLUMNS($AC$1006:AE1006),$AC$1006:$AS$1006,0)))),"Fix")))</f>
        <v xml:space="preserve"> </v>
      </c>
      <c r="E689" s="4" t="str">
        <f ca="1">IF(OR(INDEX($W$2:$W$1001,MATCH(ROWS($V$2:V689),$V$2:$V$1001,0),1)&gt;=100000,INDEX($AC$1005:$AS$1005,1,MATCH(COLUMNS($AC$1006:AF1006),$AC$1006:$AS$1006,0))&gt;=100000), " ",IF(INDEX($AC$2:$AS$1001,MATCH(ROWS($V$2:V689),$V$2:$V$1001,0),MATCH(COLUMNS($AC$1006:AF1006),$AC$1006:$AS$1006,0)), HYPERLINK("#",""), HYPERLINK(CONCATENATE("#metadata!", ADDRESS(INDEX($X$2:$X$1001,MATCH(ROWS($V$2:V689),$V$2:$V$1001,0),0), INDEX($AC$1004:$AS$1004,1,MATCH(COLUMNS($AC$1006:AF1006),$AC$1006:$AS$1006,0)))),"Fix")))</f>
        <v xml:space="preserve"> </v>
      </c>
      <c r="F689" s="4" t="str">
        <f ca="1">IF(OR(INDEX($W$2:$W$1001,MATCH(ROWS($V$2:V689),$V$2:$V$1001,0),1)&gt;=100000,INDEX($AC$1005:$AS$1005,1,MATCH(COLUMNS($AC$1006:AG1006),$AC$1006:$AS$1006,0))&gt;=100000), " ",IF(INDEX($AC$2:$AS$1001,MATCH(ROWS($V$2:V689),$V$2:$V$1001,0),MATCH(COLUMNS($AC$1006:AG1006),$AC$1006:$AS$1006,0)), HYPERLINK("#",""), HYPERLINK(CONCATENATE("#metadata!", ADDRESS(INDEX($X$2:$X$1001,MATCH(ROWS($V$2:V689),$V$2:$V$1001,0),0), INDEX($AC$1004:$AS$1004,1,MATCH(COLUMNS($AC$1006:AG1006),$AC$1006:$AS$1006,0)))),"Fix")))</f>
        <v xml:space="preserve"> </v>
      </c>
      <c r="G689" s="4" t="str">
        <f ca="1">IF(OR(INDEX($W$2:$W$1001,MATCH(ROWS($V$2:V689),$V$2:$V$1001,0),1)&gt;=100000,INDEX($AC$1005:$AS$1005,1,MATCH(COLUMNS($AC$1006:AH1006),$AC$1006:$AS$1006,0))&gt;=100000), " ",IF(INDEX($AC$2:$AS$1001,MATCH(ROWS($V$2:V689),$V$2:$V$1001,0),MATCH(COLUMNS($AC$1006:AH1006),$AC$1006:$AS$1006,0)), HYPERLINK("#",""), HYPERLINK(CONCATENATE("#metadata!", ADDRESS(INDEX($X$2:$X$1001,MATCH(ROWS($V$2:V689),$V$2:$V$1001,0),0), INDEX($AC$1004:$AS$1004,1,MATCH(COLUMNS($AC$1006:AH1006),$AC$1006:$AS$1006,0)))),"Fix")))</f>
        <v xml:space="preserve"> </v>
      </c>
      <c r="H689" s="4" t="str">
        <f ca="1">IF(OR(INDEX($W$2:$W$1001,MATCH(ROWS($V$2:V689),$V$2:$V$1001,0),1)&gt;=100000,INDEX($AC$1005:$AS$1005,1,MATCH(COLUMNS($AC$1006:AI1006),$AC$1006:$AS$1006,0))&gt;=100000), " ",IF(INDEX($AC$2:$AS$1001,MATCH(ROWS($V$2:V689),$V$2:$V$1001,0),MATCH(COLUMNS($AC$1006:AI1006),$AC$1006:$AS$1006,0)), HYPERLINK("#",""), HYPERLINK(CONCATENATE("#metadata!", ADDRESS(INDEX($X$2:$X$1001,MATCH(ROWS($V$2:V689),$V$2:$V$1001,0),0), INDEX($AC$1004:$AS$1004,1,MATCH(COLUMNS($AC$1006:AI1006),$AC$1006:$AS$1006,0)))),"Fix")))</f>
        <v xml:space="preserve"> </v>
      </c>
      <c r="I689" s="4" t="str">
        <f ca="1">IF(OR(INDEX($W$2:$W$1001,MATCH(ROWS($V$2:V689),$V$2:$V$1001,0),1)&gt;=100000,INDEX($AC$1005:$AS$1005,1,MATCH(COLUMNS($AC$1006:AJ1006),$AC$1006:$AS$1006,0))&gt;=100000), " ",IF(INDEX($AC$2:$AS$1001,MATCH(ROWS($V$2:V689),$V$2:$V$1001,0),MATCH(COLUMNS($AC$1006:AJ1006),$AC$1006:$AS$1006,0)), HYPERLINK("#",""), HYPERLINK(CONCATENATE("#metadata!", ADDRESS(INDEX($X$2:$X$1001,MATCH(ROWS($V$2:V689),$V$2:$V$1001,0),0), INDEX($AC$1004:$AS$1004,1,MATCH(COLUMNS($AC$1006:AJ1006),$AC$1006:$AS$1006,0)))),"Fix")))</f>
        <v xml:space="preserve"> </v>
      </c>
      <c r="J689" s="4" t="str">
        <f ca="1">IF(OR(INDEX($W$2:$W$1001,MATCH(ROWS($V$2:V689),$V$2:$V$1001,0),1)&gt;=100000,INDEX($AC$1005:$AS$1005,1,MATCH(COLUMNS($AC$1006:AK1006),$AC$1006:$AS$1006,0))&gt;=100000), " ",IF(INDEX($AC$2:$AS$1001,MATCH(ROWS($V$2:V689),$V$2:$V$1001,0),MATCH(COLUMNS($AC$1006:AK1006),$AC$1006:$AS$1006,0)), HYPERLINK("#",""), HYPERLINK(CONCATENATE("#metadata!", ADDRESS(INDEX($X$2:$X$1001,MATCH(ROWS($V$2:V689),$V$2:$V$1001,0),0), INDEX($AC$1004:$AS$1004,1,MATCH(COLUMNS($AC$1006:AK1006),$AC$1006:$AS$1006,0)))),"Fix")))</f>
        <v xml:space="preserve"> </v>
      </c>
      <c r="K689" s="4" t="str">
        <f ca="1">IF(OR(INDEX($W$2:$W$1001,MATCH(ROWS($V$2:V689),$V$2:$V$1001,0),1)&gt;=100000,INDEX($AC$1005:$AS$1005,1,MATCH(COLUMNS($AC$1006:AL1006),$AC$1006:$AS$1006,0))&gt;=100000), " ",IF(INDEX($AC$2:$AS$1001,MATCH(ROWS($V$2:V689),$V$2:$V$1001,0),MATCH(COLUMNS($AC$1006:AL1006),$AC$1006:$AS$1006,0)), HYPERLINK("#",""), HYPERLINK(CONCATENATE("#metadata!", ADDRESS(INDEX($X$2:$X$1001,MATCH(ROWS($V$2:V689),$V$2:$V$1001,0),0), INDEX($AC$1004:$AS$1004,1,MATCH(COLUMNS($AC$1006:AL1006),$AC$1006:$AS$1006,0)))),"Fix")))</f>
        <v xml:space="preserve"> </v>
      </c>
      <c r="L689" s="4" t="str">
        <f ca="1">IF(OR(INDEX($W$2:$W$1001,MATCH(ROWS($V$2:V689),$V$2:$V$1001,0),1)&gt;=100000,INDEX($AC$1005:$AS$1005,1,MATCH(COLUMNS($AC$1006:AM1006),$AC$1006:$AS$1006,0))&gt;=100000), " ",IF(INDEX($AC$2:$AS$1001,MATCH(ROWS($V$2:V689),$V$2:$V$1001,0),MATCH(COLUMNS($AC$1006:AM1006),$AC$1006:$AS$1006,0)), HYPERLINK("#",""), HYPERLINK(CONCATENATE("#metadata!", ADDRESS(INDEX($X$2:$X$1001,MATCH(ROWS($V$2:V689),$V$2:$V$1001,0),0), INDEX($AC$1004:$AS$1004,1,MATCH(COLUMNS($AC$1006:AM1006),$AC$1006:$AS$1006,0)))),"Fix")))</f>
        <v xml:space="preserve"> </v>
      </c>
      <c r="M689" s="4" t="str">
        <f ca="1">IF(OR(INDEX($W$2:$W$1001,MATCH(ROWS($V$2:V689),$V$2:$V$1001,0),1)&gt;=100000,INDEX($AC$1005:$AS$1005,1,MATCH(COLUMNS($AC$1006:AN1006),$AC$1006:$AS$1006,0))&gt;=100000), " ",IF(INDEX($AC$2:$AS$1001,MATCH(ROWS($V$2:V689),$V$2:$V$1001,0),MATCH(COLUMNS($AC$1006:AN1006),$AC$1006:$AS$1006,0)), HYPERLINK("#",""), HYPERLINK(CONCATENATE("#metadata!", ADDRESS(INDEX($X$2:$X$1001,MATCH(ROWS($V$2:V689),$V$2:$V$1001,0),0), INDEX($AC$1004:$AS$1004,1,MATCH(COLUMNS($AC$1006:AN1006),$AC$1006:$AS$1006,0)))),"Fix")))</f>
        <v xml:space="preserve"> </v>
      </c>
      <c r="N689" s="4" t="str">
        <f ca="1">IF(OR(INDEX($W$2:$W$1001,MATCH(ROWS($V$2:V689),$V$2:$V$1001,0),1)&gt;=100000,INDEX($AC$1005:$AS$1005,1,MATCH(COLUMNS($AC$1006:AO1006),$AC$1006:$AS$1006,0))&gt;=100000), " ",IF(INDEX($AC$2:$AS$1001,MATCH(ROWS($V$2:V689),$V$2:$V$1001,0),MATCH(COLUMNS($AC$1006:AO1006),$AC$1006:$AS$1006,0)), HYPERLINK("#",""), HYPERLINK(CONCATENATE("#metadata!", ADDRESS(INDEX($X$2:$X$1001,MATCH(ROWS($V$2:V689),$V$2:$V$1001,0),0), INDEX($AC$1004:$AS$1004,1,MATCH(COLUMNS($AC$1006:AO1006),$AC$1006:$AS$1006,0)))),"Fix")))</f>
        <v xml:space="preserve"> </v>
      </c>
      <c r="O689" s="4" t="str">
        <f ca="1">IF(OR(INDEX($W$2:$W$1001,MATCH(ROWS($V$2:V689),$V$2:$V$1001,0),1)&gt;=100000,INDEX($AC$1005:$AS$1005,1,MATCH(COLUMNS($AC$1006:AP1006),$AC$1006:$AS$1006,0))&gt;=100000), " ",IF(INDEX($AC$2:$AS$1001,MATCH(ROWS($V$2:V689),$V$2:$V$1001,0),MATCH(COLUMNS($AC$1006:AP1006),$AC$1006:$AS$1006,0)), HYPERLINK("#",""), HYPERLINK(CONCATENATE("#metadata!", ADDRESS(INDEX($X$2:$X$1001,MATCH(ROWS($V$2:V689),$V$2:$V$1001,0),0), INDEX($AC$1004:$AS$1004,1,MATCH(COLUMNS($AC$1006:AP1006),$AC$1006:$AS$1006,0)))),"Fix")))</f>
        <v xml:space="preserve"> </v>
      </c>
      <c r="P689" s="4" t="str">
        <f ca="1">IF(OR(INDEX($W$2:$W$1001,MATCH(ROWS($V$2:V689),$V$2:$V$1001,0),1)&gt;=100000,INDEX($AC$1005:$AS$1005,1,MATCH(COLUMNS($AC$1006:AQ1006),$AC$1006:$AS$1006,0))&gt;=100000), " ",IF(INDEX($AC$2:$AS$1001,MATCH(ROWS($V$2:V689),$V$2:$V$1001,0),MATCH(COLUMNS($AC$1006:AQ1006),$AC$1006:$AS$1006,0)), HYPERLINK("#",""), HYPERLINK(CONCATENATE("#metadata!", ADDRESS(INDEX($X$2:$X$1001,MATCH(ROWS($V$2:V689),$V$2:$V$1001,0),0), INDEX($AC$1004:$AS$1004,1,MATCH(COLUMNS($AC$1006:AQ1006),$AC$1006:$AS$1006,0)))),"Fix")))</f>
        <v xml:space="preserve"> </v>
      </c>
      <c r="Q689" s="4" t="str">
        <f ca="1">IF(OR(INDEX($W$2:$W$1001,MATCH(ROWS($V$2:V689),$V$2:$V$1001,0),1)&gt;=100000,INDEX($AC$1005:$AS$1005,1,MATCH(COLUMNS($AC$1006:AR1006),$AC$1006:$AS$1006,0))&gt;=100000), " ",IF(INDEX($AC$2:$AS$1001,MATCH(ROWS($V$2:V689),$V$2:$V$1001,0),MATCH(COLUMNS($AC$1006:AR1006),$AC$1006:$AS$1006,0)), HYPERLINK("#",""), HYPERLINK(CONCATENATE("#metadata!", ADDRESS(INDEX($X$2:$X$1001,MATCH(ROWS($V$2:V689),$V$2:$V$1001,0),0), INDEX($AC$1004:$AS$1004,1,MATCH(COLUMNS($AC$1006:AR1006),$AC$1006:$AS$1006,0)))),"Fix")))</f>
        <v xml:space="preserve"> </v>
      </c>
      <c r="R689" s="4" t="str">
        <f ca="1">IF(OR(INDEX($W$2:$W$1001,MATCH(ROWS($V$2:V689),$V$2:$V$1001,0),1)&gt;=100000,INDEX($AC$1005:$AS$1005,1,MATCH(COLUMNS($AC$1006:AS1006),$AC$1006:$AS$1006,0))&gt;=100000), " ",IF(INDEX($AC$2:$AS$1001,MATCH(ROWS($V$2:V689),$V$2:$V$1001,0),MATCH(COLUMNS($AC$1006:AS1006),$AC$1006:$AS$1006,0)), HYPERLINK("#",""), HYPERLINK(CONCATENATE("#metadata!", ADDRESS(INDEX($X$2:$X$1001,MATCH(ROWS($V$2:V689),$V$2:$V$1001,0),0), INDEX($AC$1004:$AS$1004,1,MATCH(COLUMNS($AC$1006:AS1006),$AC$1006:$AS$1006,0)))),"Fix")))</f>
        <v xml:space="preserve"> </v>
      </c>
      <c r="V689">
        <v>688</v>
      </c>
      <c r="W689">
        <v>100689</v>
      </c>
      <c r="X689">
        <v>689</v>
      </c>
      <c r="Y689" t="b">
        <f t="shared" si="10"/>
        <v>1</v>
      </c>
      <c r="Z689" t="b">
        <f>COUNTBLANK(metadata!B689:R689)=COLUMNS(metadata!B689:R689)</f>
        <v>1</v>
      </c>
      <c r="AA689" t="str">
        <v/>
      </c>
      <c r="AC689" t="b">
        <f ca="1"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AD689" t="b">
        <f>IF(metadata!C689="",FALSE,ISNUMBER(VALUE(metadata!C689)))</f>
        <v>0</v>
      </c>
      <c r="AE689" t="b">
        <f>AND(IF(metadata!D689="",FALSE,TRUE),EXACT(metadata!D689,"years"))</f>
        <v>0</v>
      </c>
      <c r="AF689" t="b">
        <f>OR(AND(IF(metadata!E689="",FALSE,TRUE),OR(EXACT(metadata!E689,"not applicable"),EXACT(metadata!E689,"missing: not collected"),EXACT(metadata!E689,"missing: not provided"),EXACT(metadata!E689,"missing: restricted access"))),AND(IF(metadata!E689="",FALSE,ISNUMBER(VALUE(metadata!E689))),metadata!E689&gt;0))</f>
        <v>0</v>
      </c>
      <c r="AG689" t="b">
        <f>AND(IF(metadata!F689="",FALSE,TRUE),EXACT(metadata!F689,"Not applicable"))</f>
        <v>0</v>
      </c>
      <c r="AH689" t="b">
        <f>AND(IF(metadata!G689="",FALSE,TRUE),EXACT(metadata!G689,"urban biome"))</f>
        <v>0</v>
      </c>
      <c r="AI689" t="b">
        <f>AND(IF(metadata!H689="",FALSE,TRUE),EXACT(metadata!H689,"human-associated habitat"))</f>
        <v>0</v>
      </c>
      <c r="AJ689" t="b">
        <f>AND(IF(metadata!I689="",FALSE,TRUE),OR(EXACT(metadata!I689,"human-associated"),EXACT(metadata!I689,"human-skin"),EXACT(metadata!I689,"human-oral"),EXACT(metadata!I689,"human-gut"),EXACT(metadata!I689,"human-vaginal")))</f>
        <v>0</v>
      </c>
      <c r="AK689" t="b">
        <f>IF(metadata!J689="",FALSE,ISNUMBER(VALUE(metadata!J689)))</f>
        <v>0</v>
      </c>
      <c r="AL689" t="b">
        <f>AND(IF(metadata!K689="",FALSE,TRUE),EXACT(metadata!K689,"cm"))</f>
        <v>0</v>
      </c>
      <c r="AM689" t="b">
        <f>AND(IF(metadata!L689="",FALSE,TRUE),EXACT(metadata!L689,"human"))</f>
        <v>0</v>
      </c>
      <c r="AN689" t="b">
        <f>AND(IF(metadata!M689="",FALSE,TRUE),EXACT(metadata!M689,"Homo sapiens"))</f>
        <v>0</v>
      </c>
      <c r="AO689" t="b">
        <f>AND(IF(metadata!N689="",FALSE,TRUE),EXACT(metadata!N689,"9606"))</f>
        <v>0</v>
      </c>
      <c r="AP689" t="b">
        <f>IF(metadata!O689="",FALSE,TRUE)</f>
        <v>0</v>
      </c>
      <c r="AQ689" t="b">
        <f>IF(metadata!P689="",FALSE,TRUE)</f>
        <v>0</v>
      </c>
      <c r="AR689" t="b">
        <f>IF(metadata!Q689="",FALSE,ISNUMBER(VALUE(metadata!Q689)))</f>
        <v>0</v>
      </c>
      <c r="AS689" t="b">
        <f>AND(IF(metadata!R689="",FALSE,TRUE),EXACT(metadata!R689,"kg"))</f>
        <v>0</v>
      </c>
    </row>
    <row r="690" spans="1:45" x14ac:dyDescent="0.2">
      <c r="A690" s="5" t="str">
        <f ca="1">IF(B690=" "," ",HYPERLINK(CONCATENATE("#metadata!",ADDRESS(INDEX($X$2:$X$1001,MATCH(ROWS($V$2:V690),$V$2:$V$1001,0),0),1)),INDEX($AA$2:$AA$1001,MATCH(ROWS($V$2:V690),$V$2:$V$1001,0),0)))</f>
        <v xml:space="preserve"> </v>
      </c>
      <c r="B690" s="4" t="str">
        <f ca="1">IF(OR(INDEX($W$2:$W$1001,MATCH(ROWS($V$2:V690),$V$2:$V$1001,0),1)&gt;=100000,INDEX($AC$1005:$AS$1005,1,MATCH(COLUMNS($AC$1006:AC1006),$AC$1006:$AS$1006,0))&gt;=100000), " ",IF(INDEX($AC$2:$AS$1001,MATCH(ROWS($V$2:V690),$V$2:$V$1001,0),MATCH(COLUMNS($AC$1006:AC1006),$AC$1006:$AS$1006,0)), HYPERLINK("#",""), HYPERLINK(CONCATENATE("#metadata!", ADDRESS(INDEX($X$2:$X$1001,MATCH(ROWS($V$2:V690),$V$2:$V$1001,0),0), INDEX($AC$1004:$AS$1004,1,MATCH(COLUMNS($AC$1006:AC1006),$AC$1006:$AS$1006,0)))),"Fix")))</f>
        <v xml:space="preserve"> </v>
      </c>
      <c r="C690" s="4" t="str">
        <f ca="1">IF(OR(INDEX($W$2:$W$1001,MATCH(ROWS($V$2:V690),$V$2:$V$1001,0),1)&gt;=100000,INDEX($AC$1005:$AS$1005,1,MATCH(COLUMNS($AC$1006:AD1006),$AC$1006:$AS$1006,0))&gt;=100000), " ",IF(INDEX($AC$2:$AS$1001,MATCH(ROWS($V$2:V690),$V$2:$V$1001,0),MATCH(COLUMNS($AC$1006:AD1006),$AC$1006:$AS$1006,0)), HYPERLINK("#",""), HYPERLINK(CONCATENATE("#metadata!", ADDRESS(INDEX($X$2:$X$1001,MATCH(ROWS($V$2:V690),$V$2:$V$1001,0),0), INDEX($AC$1004:$AS$1004,1,MATCH(COLUMNS($AC$1006:AD1006),$AC$1006:$AS$1006,0)))),"Fix")))</f>
        <v xml:space="preserve"> </v>
      </c>
      <c r="D690" s="4" t="str">
        <f ca="1">IF(OR(INDEX($W$2:$W$1001,MATCH(ROWS($V$2:V690),$V$2:$V$1001,0),1)&gt;=100000,INDEX($AC$1005:$AS$1005,1,MATCH(COLUMNS($AC$1006:AE1006),$AC$1006:$AS$1006,0))&gt;=100000), " ",IF(INDEX($AC$2:$AS$1001,MATCH(ROWS($V$2:V690),$V$2:$V$1001,0),MATCH(COLUMNS($AC$1006:AE1006),$AC$1006:$AS$1006,0)), HYPERLINK("#",""), HYPERLINK(CONCATENATE("#metadata!", ADDRESS(INDEX($X$2:$X$1001,MATCH(ROWS($V$2:V690),$V$2:$V$1001,0),0), INDEX($AC$1004:$AS$1004,1,MATCH(COLUMNS($AC$1006:AE1006),$AC$1006:$AS$1006,0)))),"Fix")))</f>
        <v xml:space="preserve"> </v>
      </c>
      <c r="E690" s="4" t="str">
        <f ca="1">IF(OR(INDEX($W$2:$W$1001,MATCH(ROWS($V$2:V690),$V$2:$V$1001,0),1)&gt;=100000,INDEX($AC$1005:$AS$1005,1,MATCH(COLUMNS($AC$1006:AF1006),$AC$1006:$AS$1006,0))&gt;=100000), " ",IF(INDEX($AC$2:$AS$1001,MATCH(ROWS($V$2:V690),$V$2:$V$1001,0),MATCH(COLUMNS($AC$1006:AF1006),$AC$1006:$AS$1006,0)), HYPERLINK("#",""), HYPERLINK(CONCATENATE("#metadata!", ADDRESS(INDEX($X$2:$X$1001,MATCH(ROWS($V$2:V690),$V$2:$V$1001,0),0), INDEX($AC$1004:$AS$1004,1,MATCH(COLUMNS($AC$1006:AF1006),$AC$1006:$AS$1006,0)))),"Fix")))</f>
        <v xml:space="preserve"> </v>
      </c>
      <c r="F690" s="4" t="str">
        <f ca="1">IF(OR(INDEX($W$2:$W$1001,MATCH(ROWS($V$2:V690),$V$2:$V$1001,0),1)&gt;=100000,INDEX($AC$1005:$AS$1005,1,MATCH(COLUMNS($AC$1006:AG1006),$AC$1006:$AS$1006,0))&gt;=100000), " ",IF(INDEX($AC$2:$AS$1001,MATCH(ROWS($V$2:V690),$V$2:$V$1001,0),MATCH(COLUMNS($AC$1006:AG1006),$AC$1006:$AS$1006,0)), HYPERLINK("#",""), HYPERLINK(CONCATENATE("#metadata!", ADDRESS(INDEX($X$2:$X$1001,MATCH(ROWS($V$2:V690),$V$2:$V$1001,0),0), INDEX($AC$1004:$AS$1004,1,MATCH(COLUMNS($AC$1006:AG1006),$AC$1006:$AS$1006,0)))),"Fix")))</f>
        <v xml:space="preserve"> </v>
      </c>
      <c r="G690" s="4" t="str">
        <f ca="1">IF(OR(INDEX($W$2:$W$1001,MATCH(ROWS($V$2:V690),$V$2:$V$1001,0),1)&gt;=100000,INDEX($AC$1005:$AS$1005,1,MATCH(COLUMNS($AC$1006:AH1006),$AC$1006:$AS$1006,0))&gt;=100000), " ",IF(INDEX($AC$2:$AS$1001,MATCH(ROWS($V$2:V690),$V$2:$V$1001,0),MATCH(COLUMNS($AC$1006:AH1006),$AC$1006:$AS$1006,0)), HYPERLINK("#",""), HYPERLINK(CONCATENATE("#metadata!", ADDRESS(INDEX($X$2:$X$1001,MATCH(ROWS($V$2:V690),$V$2:$V$1001,0),0), INDEX($AC$1004:$AS$1004,1,MATCH(COLUMNS($AC$1006:AH1006),$AC$1006:$AS$1006,0)))),"Fix")))</f>
        <v xml:space="preserve"> </v>
      </c>
      <c r="H690" s="4" t="str">
        <f ca="1">IF(OR(INDEX($W$2:$W$1001,MATCH(ROWS($V$2:V690),$V$2:$V$1001,0),1)&gt;=100000,INDEX($AC$1005:$AS$1005,1,MATCH(COLUMNS($AC$1006:AI1006),$AC$1006:$AS$1006,0))&gt;=100000), " ",IF(INDEX($AC$2:$AS$1001,MATCH(ROWS($V$2:V690),$V$2:$V$1001,0),MATCH(COLUMNS($AC$1006:AI1006),$AC$1006:$AS$1006,0)), HYPERLINK("#",""), HYPERLINK(CONCATENATE("#metadata!", ADDRESS(INDEX($X$2:$X$1001,MATCH(ROWS($V$2:V690),$V$2:$V$1001,0),0), INDEX($AC$1004:$AS$1004,1,MATCH(COLUMNS($AC$1006:AI1006),$AC$1006:$AS$1006,0)))),"Fix")))</f>
        <v xml:space="preserve"> </v>
      </c>
      <c r="I690" s="4" t="str">
        <f ca="1">IF(OR(INDEX($W$2:$W$1001,MATCH(ROWS($V$2:V690),$V$2:$V$1001,0),1)&gt;=100000,INDEX($AC$1005:$AS$1005,1,MATCH(COLUMNS($AC$1006:AJ1006),$AC$1006:$AS$1006,0))&gt;=100000), " ",IF(INDEX($AC$2:$AS$1001,MATCH(ROWS($V$2:V690),$V$2:$V$1001,0),MATCH(COLUMNS($AC$1006:AJ1006),$AC$1006:$AS$1006,0)), HYPERLINK("#",""), HYPERLINK(CONCATENATE("#metadata!", ADDRESS(INDEX($X$2:$X$1001,MATCH(ROWS($V$2:V690),$V$2:$V$1001,0),0), INDEX($AC$1004:$AS$1004,1,MATCH(COLUMNS($AC$1006:AJ1006),$AC$1006:$AS$1006,0)))),"Fix")))</f>
        <v xml:space="preserve"> </v>
      </c>
      <c r="J690" s="4" t="str">
        <f ca="1">IF(OR(INDEX($W$2:$W$1001,MATCH(ROWS($V$2:V690),$V$2:$V$1001,0),1)&gt;=100000,INDEX($AC$1005:$AS$1005,1,MATCH(COLUMNS($AC$1006:AK1006),$AC$1006:$AS$1006,0))&gt;=100000), " ",IF(INDEX($AC$2:$AS$1001,MATCH(ROWS($V$2:V690),$V$2:$V$1001,0),MATCH(COLUMNS($AC$1006:AK1006),$AC$1006:$AS$1006,0)), HYPERLINK("#",""), HYPERLINK(CONCATENATE("#metadata!", ADDRESS(INDEX($X$2:$X$1001,MATCH(ROWS($V$2:V690),$V$2:$V$1001,0),0), INDEX($AC$1004:$AS$1004,1,MATCH(COLUMNS($AC$1006:AK1006),$AC$1006:$AS$1006,0)))),"Fix")))</f>
        <v xml:space="preserve"> </v>
      </c>
      <c r="K690" s="4" t="str">
        <f ca="1">IF(OR(INDEX($W$2:$W$1001,MATCH(ROWS($V$2:V690),$V$2:$V$1001,0),1)&gt;=100000,INDEX($AC$1005:$AS$1005,1,MATCH(COLUMNS($AC$1006:AL1006),$AC$1006:$AS$1006,0))&gt;=100000), " ",IF(INDEX($AC$2:$AS$1001,MATCH(ROWS($V$2:V690),$V$2:$V$1001,0),MATCH(COLUMNS($AC$1006:AL1006),$AC$1006:$AS$1006,0)), HYPERLINK("#",""), HYPERLINK(CONCATENATE("#metadata!", ADDRESS(INDEX($X$2:$X$1001,MATCH(ROWS($V$2:V690),$V$2:$V$1001,0),0), INDEX($AC$1004:$AS$1004,1,MATCH(COLUMNS($AC$1006:AL1006),$AC$1006:$AS$1006,0)))),"Fix")))</f>
        <v xml:space="preserve"> </v>
      </c>
      <c r="L690" s="4" t="str">
        <f ca="1">IF(OR(INDEX($W$2:$W$1001,MATCH(ROWS($V$2:V690),$V$2:$V$1001,0),1)&gt;=100000,INDEX($AC$1005:$AS$1005,1,MATCH(COLUMNS($AC$1006:AM1006),$AC$1006:$AS$1006,0))&gt;=100000), " ",IF(INDEX($AC$2:$AS$1001,MATCH(ROWS($V$2:V690),$V$2:$V$1001,0),MATCH(COLUMNS($AC$1006:AM1006),$AC$1006:$AS$1006,0)), HYPERLINK("#",""), HYPERLINK(CONCATENATE("#metadata!", ADDRESS(INDEX($X$2:$X$1001,MATCH(ROWS($V$2:V690),$V$2:$V$1001,0),0), INDEX($AC$1004:$AS$1004,1,MATCH(COLUMNS($AC$1006:AM1006),$AC$1006:$AS$1006,0)))),"Fix")))</f>
        <v xml:space="preserve"> </v>
      </c>
      <c r="M690" s="4" t="str">
        <f ca="1">IF(OR(INDEX($W$2:$W$1001,MATCH(ROWS($V$2:V690),$V$2:$V$1001,0),1)&gt;=100000,INDEX($AC$1005:$AS$1005,1,MATCH(COLUMNS($AC$1006:AN1006),$AC$1006:$AS$1006,0))&gt;=100000), " ",IF(INDEX($AC$2:$AS$1001,MATCH(ROWS($V$2:V690),$V$2:$V$1001,0),MATCH(COLUMNS($AC$1006:AN1006),$AC$1006:$AS$1006,0)), HYPERLINK("#",""), HYPERLINK(CONCATENATE("#metadata!", ADDRESS(INDEX($X$2:$X$1001,MATCH(ROWS($V$2:V690),$V$2:$V$1001,0),0), INDEX($AC$1004:$AS$1004,1,MATCH(COLUMNS($AC$1006:AN1006),$AC$1006:$AS$1006,0)))),"Fix")))</f>
        <v xml:space="preserve"> </v>
      </c>
      <c r="N690" s="4" t="str">
        <f ca="1">IF(OR(INDEX($W$2:$W$1001,MATCH(ROWS($V$2:V690),$V$2:$V$1001,0),1)&gt;=100000,INDEX($AC$1005:$AS$1005,1,MATCH(COLUMNS($AC$1006:AO1006),$AC$1006:$AS$1006,0))&gt;=100000), " ",IF(INDEX($AC$2:$AS$1001,MATCH(ROWS($V$2:V690),$V$2:$V$1001,0),MATCH(COLUMNS($AC$1006:AO1006),$AC$1006:$AS$1006,0)), HYPERLINK("#",""), HYPERLINK(CONCATENATE("#metadata!", ADDRESS(INDEX($X$2:$X$1001,MATCH(ROWS($V$2:V690),$V$2:$V$1001,0),0), INDEX($AC$1004:$AS$1004,1,MATCH(COLUMNS($AC$1006:AO1006),$AC$1006:$AS$1006,0)))),"Fix")))</f>
        <v xml:space="preserve"> </v>
      </c>
      <c r="O690" s="4" t="str">
        <f ca="1">IF(OR(INDEX($W$2:$W$1001,MATCH(ROWS($V$2:V690),$V$2:$V$1001,0),1)&gt;=100000,INDEX($AC$1005:$AS$1005,1,MATCH(COLUMNS($AC$1006:AP1006),$AC$1006:$AS$1006,0))&gt;=100000), " ",IF(INDEX($AC$2:$AS$1001,MATCH(ROWS($V$2:V690),$V$2:$V$1001,0),MATCH(COLUMNS($AC$1006:AP1006),$AC$1006:$AS$1006,0)), HYPERLINK("#",""), HYPERLINK(CONCATENATE("#metadata!", ADDRESS(INDEX($X$2:$X$1001,MATCH(ROWS($V$2:V690),$V$2:$V$1001,0),0), INDEX($AC$1004:$AS$1004,1,MATCH(COLUMNS($AC$1006:AP1006),$AC$1006:$AS$1006,0)))),"Fix")))</f>
        <v xml:space="preserve"> </v>
      </c>
      <c r="P690" s="4" t="str">
        <f ca="1">IF(OR(INDEX($W$2:$W$1001,MATCH(ROWS($V$2:V690),$V$2:$V$1001,0),1)&gt;=100000,INDEX($AC$1005:$AS$1005,1,MATCH(COLUMNS($AC$1006:AQ1006),$AC$1006:$AS$1006,0))&gt;=100000), " ",IF(INDEX($AC$2:$AS$1001,MATCH(ROWS($V$2:V690),$V$2:$V$1001,0),MATCH(COLUMNS($AC$1006:AQ1006),$AC$1006:$AS$1006,0)), HYPERLINK("#",""), HYPERLINK(CONCATENATE("#metadata!", ADDRESS(INDEX($X$2:$X$1001,MATCH(ROWS($V$2:V690),$V$2:$V$1001,0),0), INDEX($AC$1004:$AS$1004,1,MATCH(COLUMNS($AC$1006:AQ1006),$AC$1006:$AS$1006,0)))),"Fix")))</f>
        <v xml:space="preserve"> </v>
      </c>
      <c r="Q690" s="4" t="str">
        <f ca="1">IF(OR(INDEX($W$2:$W$1001,MATCH(ROWS($V$2:V690),$V$2:$V$1001,0),1)&gt;=100000,INDEX($AC$1005:$AS$1005,1,MATCH(COLUMNS($AC$1006:AR1006),$AC$1006:$AS$1006,0))&gt;=100000), " ",IF(INDEX($AC$2:$AS$1001,MATCH(ROWS($V$2:V690),$V$2:$V$1001,0),MATCH(COLUMNS($AC$1006:AR1006),$AC$1006:$AS$1006,0)), HYPERLINK("#",""), HYPERLINK(CONCATENATE("#metadata!", ADDRESS(INDEX($X$2:$X$1001,MATCH(ROWS($V$2:V690),$V$2:$V$1001,0),0), INDEX($AC$1004:$AS$1004,1,MATCH(COLUMNS($AC$1006:AR1006),$AC$1006:$AS$1006,0)))),"Fix")))</f>
        <v xml:space="preserve"> </v>
      </c>
      <c r="R690" s="4" t="str">
        <f ca="1">IF(OR(INDEX($W$2:$W$1001,MATCH(ROWS($V$2:V690),$V$2:$V$1001,0),1)&gt;=100000,INDEX($AC$1005:$AS$1005,1,MATCH(COLUMNS($AC$1006:AS1006),$AC$1006:$AS$1006,0))&gt;=100000), " ",IF(INDEX($AC$2:$AS$1001,MATCH(ROWS($V$2:V690),$V$2:$V$1001,0),MATCH(COLUMNS($AC$1006:AS1006),$AC$1006:$AS$1006,0)), HYPERLINK("#",""), HYPERLINK(CONCATENATE("#metadata!", ADDRESS(INDEX($X$2:$X$1001,MATCH(ROWS($V$2:V690),$V$2:$V$1001,0),0), INDEX($AC$1004:$AS$1004,1,MATCH(COLUMNS($AC$1006:AS1006),$AC$1006:$AS$1006,0)))),"Fix")))</f>
        <v xml:space="preserve"> </v>
      </c>
      <c r="V690">
        <v>689</v>
      </c>
      <c r="W690">
        <v>100690</v>
      </c>
      <c r="X690">
        <v>690</v>
      </c>
      <c r="Y690" t="b">
        <f t="shared" si="10"/>
        <v>1</v>
      </c>
      <c r="Z690" t="b">
        <f>COUNTBLANK(metadata!B690:R690)=COLUMNS(metadata!B690:R690)</f>
        <v>1</v>
      </c>
      <c r="AA690" t="str">
        <v/>
      </c>
      <c r="AC690" t="b">
        <f ca="1"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AD690" t="b">
        <f>IF(metadata!C690="",FALSE,ISNUMBER(VALUE(metadata!C690)))</f>
        <v>0</v>
      </c>
      <c r="AE690" t="b">
        <f>AND(IF(metadata!D690="",FALSE,TRUE),EXACT(metadata!D690,"years"))</f>
        <v>0</v>
      </c>
      <c r="AF690" t="b">
        <f>OR(AND(IF(metadata!E690="",FALSE,TRUE),OR(EXACT(metadata!E690,"not applicable"),EXACT(metadata!E690,"missing: not collected"),EXACT(metadata!E690,"missing: not provided"),EXACT(metadata!E690,"missing: restricted access"))),AND(IF(metadata!E690="",FALSE,ISNUMBER(VALUE(metadata!E690))),metadata!E690&gt;0))</f>
        <v>0</v>
      </c>
      <c r="AG690" t="b">
        <f>AND(IF(metadata!F690="",FALSE,TRUE),EXACT(metadata!F690,"Not applicable"))</f>
        <v>0</v>
      </c>
      <c r="AH690" t="b">
        <f>AND(IF(metadata!G690="",FALSE,TRUE),EXACT(metadata!G690,"urban biome"))</f>
        <v>0</v>
      </c>
      <c r="AI690" t="b">
        <f>AND(IF(metadata!H690="",FALSE,TRUE),EXACT(metadata!H690,"human-associated habitat"))</f>
        <v>0</v>
      </c>
      <c r="AJ690" t="b">
        <f>AND(IF(metadata!I690="",FALSE,TRUE),OR(EXACT(metadata!I690,"human-associated"),EXACT(metadata!I690,"human-skin"),EXACT(metadata!I690,"human-oral"),EXACT(metadata!I690,"human-gut"),EXACT(metadata!I690,"human-vaginal")))</f>
        <v>0</v>
      </c>
      <c r="AK690" t="b">
        <f>IF(metadata!J690="",FALSE,ISNUMBER(VALUE(metadata!J690)))</f>
        <v>0</v>
      </c>
      <c r="AL690" t="b">
        <f>AND(IF(metadata!K690="",FALSE,TRUE),EXACT(metadata!K690,"cm"))</f>
        <v>0</v>
      </c>
      <c r="AM690" t="b">
        <f>AND(IF(metadata!L690="",FALSE,TRUE),EXACT(metadata!L690,"human"))</f>
        <v>0</v>
      </c>
      <c r="AN690" t="b">
        <f>AND(IF(metadata!M690="",FALSE,TRUE),EXACT(metadata!M690,"Homo sapiens"))</f>
        <v>0</v>
      </c>
      <c r="AO690" t="b">
        <f>AND(IF(metadata!N690="",FALSE,TRUE),EXACT(metadata!N690,"9606"))</f>
        <v>0</v>
      </c>
      <c r="AP690" t="b">
        <f>IF(metadata!O690="",FALSE,TRUE)</f>
        <v>0</v>
      </c>
      <c r="AQ690" t="b">
        <f>IF(metadata!P690="",FALSE,TRUE)</f>
        <v>0</v>
      </c>
      <c r="AR690" t="b">
        <f>IF(metadata!Q690="",FALSE,ISNUMBER(VALUE(metadata!Q690)))</f>
        <v>0</v>
      </c>
      <c r="AS690" t="b">
        <f>AND(IF(metadata!R690="",FALSE,TRUE),EXACT(metadata!R690,"kg"))</f>
        <v>0</v>
      </c>
    </row>
    <row r="691" spans="1:45" x14ac:dyDescent="0.2">
      <c r="A691" s="5" t="str">
        <f ca="1">IF(B691=" "," ",HYPERLINK(CONCATENATE("#metadata!",ADDRESS(INDEX($X$2:$X$1001,MATCH(ROWS($V$2:V691),$V$2:$V$1001,0),0),1)),INDEX($AA$2:$AA$1001,MATCH(ROWS($V$2:V691),$V$2:$V$1001,0),0)))</f>
        <v xml:space="preserve"> </v>
      </c>
      <c r="B691" s="4" t="str">
        <f ca="1">IF(OR(INDEX($W$2:$W$1001,MATCH(ROWS($V$2:V691),$V$2:$V$1001,0),1)&gt;=100000,INDEX($AC$1005:$AS$1005,1,MATCH(COLUMNS($AC$1006:AC1006),$AC$1006:$AS$1006,0))&gt;=100000), " ",IF(INDEX($AC$2:$AS$1001,MATCH(ROWS($V$2:V691),$V$2:$V$1001,0),MATCH(COLUMNS($AC$1006:AC1006),$AC$1006:$AS$1006,0)), HYPERLINK("#",""), HYPERLINK(CONCATENATE("#metadata!", ADDRESS(INDEX($X$2:$X$1001,MATCH(ROWS($V$2:V691),$V$2:$V$1001,0),0), INDEX($AC$1004:$AS$1004,1,MATCH(COLUMNS($AC$1006:AC1006),$AC$1006:$AS$1006,0)))),"Fix")))</f>
        <v xml:space="preserve"> </v>
      </c>
      <c r="C691" s="4" t="str">
        <f ca="1">IF(OR(INDEX($W$2:$W$1001,MATCH(ROWS($V$2:V691),$V$2:$V$1001,0),1)&gt;=100000,INDEX($AC$1005:$AS$1005,1,MATCH(COLUMNS($AC$1006:AD1006),$AC$1006:$AS$1006,0))&gt;=100000), " ",IF(INDEX($AC$2:$AS$1001,MATCH(ROWS($V$2:V691),$V$2:$V$1001,0),MATCH(COLUMNS($AC$1006:AD1006),$AC$1006:$AS$1006,0)), HYPERLINK("#",""), HYPERLINK(CONCATENATE("#metadata!", ADDRESS(INDEX($X$2:$X$1001,MATCH(ROWS($V$2:V691),$V$2:$V$1001,0),0), INDEX($AC$1004:$AS$1004,1,MATCH(COLUMNS($AC$1006:AD1006),$AC$1006:$AS$1006,0)))),"Fix")))</f>
        <v xml:space="preserve"> </v>
      </c>
      <c r="D691" s="4" t="str">
        <f ca="1">IF(OR(INDEX($W$2:$W$1001,MATCH(ROWS($V$2:V691),$V$2:$V$1001,0),1)&gt;=100000,INDEX($AC$1005:$AS$1005,1,MATCH(COLUMNS($AC$1006:AE1006),$AC$1006:$AS$1006,0))&gt;=100000), " ",IF(INDEX($AC$2:$AS$1001,MATCH(ROWS($V$2:V691),$V$2:$V$1001,0),MATCH(COLUMNS($AC$1006:AE1006),$AC$1006:$AS$1006,0)), HYPERLINK("#",""), HYPERLINK(CONCATENATE("#metadata!", ADDRESS(INDEX($X$2:$X$1001,MATCH(ROWS($V$2:V691),$V$2:$V$1001,0),0), INDEX($AC$1004:$AS$1004,1,MATCH(COLUMNS($AC$1006:AE1006),$AC$1006:$AS$1006,0)))),"Fix")))</f>
        <v xml:space="preserve"> </v>
      </c>
      <c r="E691" s="4" t="str">
        <f ca="1">IF(OR(INDEX($W$2:$W$1001,MATCH(ROWS($V$2:V691),$V$2:$V$1001,0),1)&gt;=100000,INDEX($AC$1005:$AS$1005,1,MATCH(COLUMNS($AC$1006:AF1006),$AC$1006:$AS$1006,0))&gt;=100000), " ",IF(INDEX($AC$2:$AS$1001,MATCH(ROWS($V$2:V691),$V$2:$V$1001,0),MATCH(COLUMNS($AC$1006:AF1006),$AC$1006:$AS$1006,0)), HYPERLINK("#",""), HYPERLINK(CONCATENATE("#metadata!", ADDRESS(INDEX($X$2:$X$1001,MATCH(ROWS($V$2:V691),$V$2:$V$1001,0),0), INDEX($AC$1004:$AS$1004,1,MATCH(COLUMNS($AC$1006:AF1006),$AC$1006:$AS$1006,0)))),"Fix")))</f>
        <v xml:space="preserve"> </v>
      </c>
      <c r="F691" s="4" t="str">
        <f ca="1">IF(OR(INDEX($W$2:$W$1001,MATCH(ROWS($V$2:V691),$V$2:$V$1001,0),1)&gt;=100000,INDEX($AC$1005:$AS$1005,1,MATCH(COLUMNS($AC$1006:AG1006),$AC$1006:$AS$1006,0))&gt;=100000), " ",IF(INDEX($AC$2:$AS$1001,MATCH(ROWS($V$2:V691),$V$2:$V$1001,0),MATCH(COLUMNS($AC$1006:AG1006),$AC$1006:$AS$1006,0)), HYPERLINK("#",""), HYPERLINK(CONCATENATE("#metadata!", ADDRESS(INDEX($X$2:$X$1001,MATCH(ROWS($V$2:V691),$V$2:$V$1001,0),0), INDEX($AC$1004:$AS$1004,1,MATCH(COLUMNS($AC$1006:AG1006),$AC$1006:$AS$1006,0)))),"Fix")))</f>
        <v xml:space="preserve"> </v>
      </c>
      <c r="G691" s="4" t="str">
        <f ca="1">IF(OR(INDEX($W$2:$W$1001,MATCH(ROWS($V$2:V691),$V$2:$V$1001,0),1)&gt;=100000,INDEX($AC$1005:$AS$1005,1,MATCH(COLUMNS($AC$1006:AH1006),$AC$1006:$AS$1006,0))&gt;=100000), " ",IF(INDEX($AC$2:$AS$1001,MATCH(ROWS($V$2:V691),$V$2:$V$1001,0),MATCH(COLUMNS($AC$1006:AH1006),$AC$1006:$AS$1006,0)), HYPERLINK("#",""), HYPERLINK(CONCATENATE("#metadata!", ADDRESS(INDEX($X$2:$X$1001,MATCH(ROWS($V$2:V691),$V$2:$V$1001,0),0), INDEX($AC$1004:$AS$1004,1,MATCH(COLUMNS($AC$1006:AH1006),$AC$1006:$AS$1006,0)))),"Fix")))</f>
        <v xml:space="preserve"> </v>
      </c>
      <c r="H691" s="4" t="str">
        <f ca="1">IF(OR(INDEX($W$2:$W$1001,MATCH(ROWS($V$2:V691),$V$2:$V$1001,0),1)&gt;=100000,INDEX($AC$1005:$AS$1005,1,MATCH(COLUMNS($AC$1006:AI1006),$AC$1006:$AS$1006,0))&gt;=100000), " ",IF(INDEX($AC$2:$AS$1001,MATCH(ROWS($V$2:V691),$V$2:$V$1001,0),MATCH(COLUMNS($AC$1006:AI1006),$AC$1006:$AS$1006,0)), HYPERLINK("#",""), HYPERLINK(CONCATENATE("#metadata!", ADDRESS(INDEX($X$2:$X$1001,MATCH(ROWS($V$2:V691),$V$2:$V$1001,0),0), INDEX($AC$1004:$AS$1004,1,MATCH(COLUMNS($AC$1006:AI1006),$AC$1006:$AS$1006,0)))),"Fix")))</f>
        <v xml:space="preserve"> </v>
      </c>
      <c r="I691" s="4" t="str">
        <f ca="1">IF(OR(INDEX($W$2:$W$1001,MATCH(ROWS($V$2:V691),$V$2:$V$1001,0),1)&gt;=100000,INDEX($AC$1005:$AS$1005,1,MATCH(COLUMNS($AC$1006:AJ1006),$AC$1006:$AS$1006,0))&gt;=100000), " ",IF(INDEX($AC$2:$AS$1001,MATCH(ROWS($V$2:V691),$V$2:$V$1001,0),MATCH(COLUMNS($AC$1006:AJ1006),$AC$1006:$AS$1006,0)), HYPERLINK("#",""), HYPERLINK(CONCATENATE("#metadata!", ADDRESS(INDEX($X$2:$X$1001,MATCH(ROWS($V$2:V691),$V$2:$V$1001,0),0), INDEX($AC$1004:$AS$1004,1,MATCH(COLUMNS($AC$1006:AJ1006),$AC$1006:$AS$1006,0)))),"Fix")))</f>
        <v xml:space="preserve"> </v>
      </c>
      <c r="J691" s="4" t="str">
        <f ca="1">IF(OR(INDEX($W$2:$W$1001,MATCH(ROWS($V$2:V691),$V$2:$V$1001,0),1)&gt;=100000,INDEX($AC$1005:$AS$1005,1,MATCH(COLUMNS($AC$1006:AK1006),$AC$1006:$AS$1006,0))&gt;=100000), " ",IF(INDEX($AC$2:$AS$1001,MATCH(ROWS($V$2:V691),$V$2:$V$1001,0),MATCH(COLUMNS($AC$1006:AK1006),$AC$1006:$AS$1006,0)), HYPERLINK("#",""), HYPERLINK(CONCATENATE("#metadata!", ADDRESS(INDEX($X$2:$X$1001,MATCH(ROWS($V$2:V691),$V$2:$V$1001,0),0), INDEX($AC$1004:$AS$1004,1,MATCH(COLUMNS($AC$1006:AK1006),$AC$1006:$AS$1006,0)))),"Fix")))</f>
        <v xml:space="preserve"> </v>
      </c>
      <c r="K691" s="4" t="str">
        <f ca="1">IF(OR(INDEX($W$2:$W$1001,MATCH(ROWS($V$2:V691),$V$2:$V$1001,0),1)&gt;=100000,INDEX($AC$1005:$AS$1005,1,MATCH(COLUMNS($AC$1006:AL1006),$AC$1006:$AS$1006,0))&gt;=100000), " ",IF(INDEX($AC$2:$AS$1001,MATCH(ROWS($V$2:V691),$V$2:$V$1001,0),MATCH(COLUMNS($AC$1006:AL1006),$AC$1006:$AS$1006,0)), HYPERLINK("#",""), HYPERLINK(CONCATENATE("#metadata!", ADDRESS(INDEX($X$2:$X$1001,MATCH(ROWS($V$2:V691),$V$2:$V$1001,0),0), INDEX($AC$1004:$AS$1004,1,MATCH(COLUMNS($AC$1006:AL1006),$AC$1006:$AS$1006,0)))),"Fix")))</f>
        <v xml:space="preserve"> </v>
      </c>
      <c r="L691" s="4" t="str">
        <f ca="1">IF(OR(INDEX($W$2:$W$1001,MATCH(ROWS($V$2:V691),$V$2:$V$1001,0),1)&gt;=100000,INDEX($AC$1005:$AS$1005,1,MATCH(COLUMNS($AC$1006:AM1006),$AC$1006:$AS$1006,0))&gt;=100000), " ",IF(INDEX($AC$2:$AS$1001,MATCH(ROWS($V$2:V691),$V$2:$V$1001,0),MATCH(COLUMNS($AC$1006:AM1006),$AC$1006:$AS$1006,0)), HYPERLINK("#",""), HYPERLINK(CONCATENATE("#metadata!", ADDRESS(INDEX($X$2:$X$1001,MATCH(ROWS($V$2:V691),$V$2:$V$1001,0),0), INDEX($AC$1004:$AS$1004,1,MATCH(COLUMNS($AC$1006:AM1006),$AC$1006:$AS$1006,0)))),"Fix")))</f>
        <v xml:space="preserve"> </v>
      </c>
      <c r="M691" s="4" t="str">
        <f ca="1">IF(OR(INDEX($W$2:$W$1001,MATCH(ROWS($V$2:V691),$V$2:$V$1001,0),1)&gt;=100000,INDEX($AC$1005:$AS$1005,1,MATCH(COLUMNS($AC$1006:AN1006),$AC$1006:$AS$1006,0))&gt;=100000), " ",IF(INDEX($AC$2:$AS$1001,MATCH(ROWS($V$2:V691),$V$2:$V$1001,0),MATCH(COLUMNS($AC$1006:AN1006),$AC$1006:$AS$1006,0)), HYPERLINK("#",""), HYPERLINK(CONCATENATE("#metadata!", ADDRESS(INDEX($X$2:$X$1001,MATCH(ROWS($V$2:V691),$V$2:$V$1001,0),0), INDEX($AC$1004:$AS$1004,1,MATCH(COLUMNS($AC$1006:AN1006),$AC$1006:$AS$1006,0)))),"Fix")))</f>
        <v xml:space="preserve"> </v>
      </c>
      <c r="N691" s="4" t="str">
        <f ca="1">IF(OR(INDEX($W$2:$W$1001,MATCH(ROWS($V$2:V691),$V$2:$V$1001,0),1)&gt;=100000,INDEX($AC$1005:$AS$1005,1,MATCH(COLUMNS($AC$1006:AO1006),$AC$1006:$AS$1006,0))&gt;=100000), " ",IF(INDEX($AC$2:$AS$1001,MATCH(ROWS($V$2:V691),$V$2:$V$1001,0),MATCH(COLUMNS($AC$1006:AO1006),$AC$1006:$AS$1006,0)), HYPERLINK("#",""), HYPERLINK(CONCATENATE("#metadata!", ADDRESS(INDEX($X$2:$X$1001,MATCH(ROWS($V$2:V691),$V$2:$V$1001,0),0), INDEX($AC$1004:$AS$1004,1,MATCH(COLUMNS($AC$1006:AO1006),$AC$1006:$AS$1006,0)))),"Fix")))</f>
        <v xml:space="preserve"> </v>
      </c>
      <c r="O691" s="4" t="str">
        <f ca="1">IF(OR(INDEX($W$2:$W$1001,MATCH(ROWS($V$2:V691),$V$2:$V$1001,0),1)&gt;=100000,INDEX($AC$1005:$AS$1005,1,MATCH(COLUMNS($AC$1006:AP1006),$AC$1006:$AS$1006,0))&gt;=100000), " ",IF(INDEX($AC$2:$AS$1001,MATCH(ROWS($V$2:V691),$V$2:$V$1001,0),MATCH(COLUMNS($AC$1006:AP1006),$AC$1006:$AS$1006,0)), HYPERLINK("#",""), HYPERLINK(CONCATENATE("#metadata!", ADDRESS(INDEX($X$2:$X$1001,MATCH(ROWS($V$2:V691),$V$2:$V$1001,0),0), INDEX($AC$1004:$AS$1004,1,MATCH(COLUMNS($AC$1006:AP1006),$AC$1006:$AS$1006,0)))),"Fix")))</f>
        <v xml:space="preserve"> </v>
      </c>
      <c r="P691" s="4" t="str">
        <f ca="1">IF(OR(INDEX($W$2:$W$1001,MATCH(ROWS($V$2:V691),$V$2:$V$1001,0),1)&gt;=100000,INDEX($AC$1005:$AS$1005,1,MATCH(COLUMNS($AC$1006:AQ1006),$AC$1006:$AS$1006,0))&gt;=100000), " ",IF(INDEX($AC$2:$AS$1001,MATCH(ROWS($V$2:V691),$V$2:$V$1001,0),MATCH(COLUMNS($AC$1006:AQ1006),$AC$1006:$AS$1006,0)), HYPERLINK("#",""), HYPERLINK(CONCATENATE("#metadata!", ADDRESS(INDEX($X$2:$X$1001,MATCH(ROWS($V$2:V691),$V$2:$V$1001,0),0), INDEX($AC$1004:$AS$1004,1,MATCH(COLUMNS($AC$1006:AQ1006),$AC$1006:$AS$1006,0)))),"Fix")))</f>
        <v xml:space="preserve"> </v>
      </c>
      <c r="Q691" s="4" t="str">
        <f ca="1">IF(OR(INDEX($W$2:$W$1001,MATCH(ROWS($V$2:V691),$V$2:$V$1001,0),1)&gt;=100000,INDEX($AC$1005:$AS$1005,1,MATCH(COLUMNS($AC$1006:AR1006),$AC$1006:$AS$1006,0))&gt;=100000), " ",IF(INDEX($AC$2:$AS$1001,MATCH(ROWS($V$2:V691),$V$2:$V$1001,0),MATCH(COLUMNS($AC$1006:AR1006),$AC$1006:$AS$1006,0)), HYPERLINK("#",""), HYPERLINK(CONCATENATE("#metadata!", ADDRESS(INDEX($X$2:$X$1001,MATCH(ROWS($V$2:V691),$V$2:$V$1001,0),0), INDEX($AC$1004:$AS$1004,1,MATCH(COLUMNS($AC$1006:AR1006),$AC$1006:$AS$1006,0)))),"Fix")))</f>
        <v xml:space="preserve"> </v>
      </c>
      <c r="R691" s="4" t="str">
        <f ca="1">IF(OR(INDEX($W$2:$W$1001,MATCH(ROWS($V$2:V691),$V$2:$V$1001,0),1)&gt;=100000,INDEX($AC$1005:$AS$1005,1,MATCH(COLUMNS($AC$1006:AS1006),$AC$1006:$AS$1006,0))&gt;=100000), " ",IF(INDEX($AC$2:$AS$1001,MATCH(ROWS($V$2:V691),$V$2:$V$1001,0),MATCH(COLUMNS($AC$1006:AS1006),$AC$1006:$AS$1006,0)), HYPERLINK("#",""), HYPERLINK(CONCATENATE("#metadata!", ADDRESS(INDEX($X$2:$X$1001,MATCH(ROWS($V$2:V691),$V$2:$V$1001,0),0), INDEX($AC$1004:$AS$1004,1,MATCH(COLUMNS($AC$1006:AS1006),$AC$1006:$AS$1006,0)))),"Fix")))</f>
        <v xml:space="preserve"> </v>
      </c>
      <c r="V691">
        <v>690</v>
      </c>
      <c r="W691">
        <v>100691</v>
      </c>
      <c r="X691">
        <v>691</v>
      </c>
      <c r="Y691" t="b">
        <f t="shared" si="10"/>
        <v>1</v>
      </c>
      <c r="Z691" t="b">
        <f>COUNTBLANK(metadata!B691:R691)=COLUMNS(metadata!B691:R691)</f>
        <v>1</v>
      </c>
      <c r="AA691" t="str">
        <v/>
      </c>
      <c r="AC691" t="b">
        <f ca="1"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AD691" t="b">
        <f>IF(metadata!C691="",FALSE,ISNUMBER(VALUE(metadata!C691)))</f>
        <v>0</v>
      </c>
      <c r="AE691" t="b">
        <f>AND(IF(metadata!D691="",FALSE,TRUE),EXACT(metadata!D691,"years"))</f>
        <v>0</v>
      </c>
      <c r="AF691" t="b">
        <f>OR(AND(IF(metadata!E691="",FALSE,TRUE),OR(EXACT(metadata!E691,"not applicable"),EXACT(metadata!E691,"missing: not collected"),EXACT(metadata!E691,"missing: not provided"),EXACT(metadata!E691,"missing: restricted access"))),AND(IF(metadata!E691="",FALSE,ISNUMBER(VALUE(metadata!E691))),metadata!E691&gt;0))</f>
        <v>0</v>
      </c>
      <c r="AG691" t="b">
        <f>AND(IF(metadata!F691="",FALSE,TRUE),EXACT(metadata!F691,"Not applicable"))</f>
        <v>0</v>
      </c>
      <c r="AH691" t="b">
        <f>AND(IF(metadata!G691="",FALSE,TRUE),EXACT(metadata!G691,"urban biome"))</f>
        <v>0</v>
      </c>
      <c r="AI691" t="b">
        <f>AND(IF(metadata!H691="",FALSE,TRUE),EXACT(metadata!H691,"human-associated habitat"))</f>
        <v>0</v>
      </c>
      <c r="AJ691" t="b">
        <f>AND(IF(metadata!I691="",FALSE,TRUE),OR(EXACT(metadata!I691,"human-associated"),EXACT(metadata!I691,"human-skin"),EXACT(metadata!I691,"human-oral"),EXACT(metadata!I691,"human-gut"),EXACT(metadata!I691,"human-vaginal")))</f>
        <v>0</v>
      </c>
      <c r="AK691" t="b">
        <f>IF(metadata!J691="",FALSE,ISNUMBER(VALUE(metadata!J691)))</f>
        <v>0</v>
      </c>
      <c r="AL691" t="b">
        <f>AND(IF(metadata!K691="",FALSE,TRUE),EXACT(metadata!K691,"cm"))</f>
        <v>0</v>
      </c>
      <c r="AM691" t="b">
        <f>AND(IF(metadata!L691="",FALSE,TRUE),EXACT(metadata!L691,"human"))</f>
        <v>0</v>
      </c>
      <c r="AN691" t="b">
        <f>AND(IF(metadata!M691="",FALSE,TRUE),EXACT(metadata!M691,"Homo sapiens"))</f>
        <v>0</v>
      </c>
      <c r="AO691" t="b">
        <f>AND(IF(metadata!N691="",FALSE,TRUE),EXACT(metadata!N691,"9606"))</f>
        <v>0</v>
      </c>
      <c r="AP691" t="b">
        <f>IF(metadata!O691="",FALSE,TRUE)</f>
        <v>0</v>
      </c>
      <c r="AQ691" t="b">
        <f>IF(metadata!P691="",FALSE,TRUE)</f>
        <v>0</v>
      </c>
      <c r="AR691" t="b">
        <f>IF(metadata!Q691="",FALSE,ISNUMBER(VALUE(metadata!Q691)))</f>
        <v>0</v>
      </c>
      <c r="AS691" t="b">
        <f>AND(IF(metadata!R691="",FALSE,TRUE),EXACT(metadata!R691,"kg"))</f>
        <v>0</v>
      </c>
    </row>
    <row r="692" spans="1:45" x14ac:dyDescent="0.2">
      <c r="A692" s="5" t="str">
        <f ca="1">IF(B692=" "," ",HYPERLINK(CONCATENATE("#metadata!",ADDRESS(INDEX($X$2:$X$1001,MATCH(ROWS($V$2:V692),$V$2:$V$1001,0),0),1)),INDEX($AA$2:$AA$1001,MATCH(ROWS($V$2:V692),$V$2:$V$1001,0),0)))</f>
        <v xml:space="preserve"> </v>
      </c>
      <c r="B692" s="4" t="str">
        <f ca="1">IF(OR(INDEX($W$2:$W$1001,MATCH(ROWS($V$2:V692),$V$2:$V$1001,0),1)&gt;=100000,INDEX($AC$1005:$AS$1005,1,MATCH(COLUMNS($AC$1006:AC1006),$AC$1006:$AS$1006,0))&gt;=100000), " ",IF(INDEX($AC$2:$AS$1001,MATCH(ROWS($V$2:V692),$V$2:$V$1001,0),MATCH(COLUMNS($AC$1006:AC1006),$AC$1006:$AS$1006,0)), HYPERLINK("#",""), HYPERLINK(CONCATENATE("#metadata!", ADDRESS(INDEX($X$2:$X$1001,MATCH(ROWS($V$2:V692),$V$2:$V$1001,0),0), INDEX($AC$1004:$AS$1004,1,MATCH(COLUMNS($AC$1006:AC1006),$AC$1006:$AS$1006,0)))),"Fix")))</f>
        <v xml:space="preserve"> </v>
      </c>
      <c r="C692" s="4" t="str">
        <f ca="1">IF(OR(INDEX($W$2:$W$1001,MATCH(ROWS($V$2:V692),$V$2:$V$1001,0),1)&gt;=100000,INDEX($AC$1005:$AS$1005,1,MATCH(COLUMNS($AC$1006:AD1006),$AC$1006:$AS$1006,0))&gt;=100000), " ",IF(INDEX($AC$2:$AS$1001,MATCH(ROWS($V$2:V692),$V$2:$V$1001,0),MATCH(COLUMNS($AC$1006:AD1006),$AC$1006:$AS$1006,0)), HYPERLINK("#",""), HYPERLINK(CONCATENATE("#metadata!", ADDRESS(INDEX($X$2:$X$1001,MATCH(ROWS($V$2:V692),$V$2:$V$1001,0),0), INDEX($AC$1004:$AS$1004,1,MATCH(COLUMNS($AC$1006:AD1006),$AC$1006:$AS$1006,0)))),"Fix")))</f>
        <v xml:space="preserve"> </v>
      </c>
      <c r="D692" s="4" t="str">
        <f ca="1">IF(OR(INDEX($W$2:$W$1001,MATCH(ROWS($V$2:V692),$V$2:$V$1001,0),1)&gt;=100000,INDEX($AC$1005:$AS$1005,1,MATCH(COLUMNS($AC$1006:AE1006),$AC$1006:$AS$1006,0))&gt;=100000), " ",IF(INDEX($AC$2:$AS$1001,MATCH(ROWS($V$2:V692),$V$2:$V$1001,0),MATCH(COLUMNS($AC$1006:AE1006),$AC$1006:$AS$1006,0)), HYPERLINK("#",""), HYPERLINK(CONCATENATE("#metadata!", ADDRESS(INDEX($X$2:$X$1001,MATCH(ROWS($V$2:V692),$V$2:$V$1001,0),0), INDEX($AC$1004:$AS$1004,1,MATCH(COLUMNS($AC$1006:AE1006),$AC$1006:$AS$1006,0)))),"Fix")))</f>
        <v xml:space="preserve"> </v>
      </c>
      <c r="E692" s="4" t="str">
        <f ca="1">IF(OR(INDEX($W$2:$W$1001,MATCH(ROWS($V$2:V692),$V$2:$V$1001,0),1)&gt;=100000,INDEX($AC$1005:$AS$1005,1,MATCH(COLUMNS($AC$1006:AF1006),$AC$1006:$AS$1006,0))&gt;=100000), " ",IF(INDEX($AC$2:$AS$1001,MATCH(ROWS($V$2:V692),$V$2:$V$1001,0),MATCH(COLUMNS($AC$1006:AF1006),$AC$1006:$AS$1006,0)), HYPERLINK("#",""), HYPERLINK(CONCATENATE("#metadata!", ADDRESS(INDEX($X$2:$X$1001,MATCH(ROWS($V$2:V692),$V$2:$V$1001,0),0), INDEX($AC$1004:$AS$1004,1,MATCH(COLUMNS($AC$1006:AF1006),$AC$1006:$AS$1006,0)))),"Fix")))</f>
        <v xml:space="preserve"> </v>
      </c>
      <c r="F692" s="4" t="str">
        <f ca="1">IF(OR(INDEX($W$2:$W$1001,MATCH(ROWS($V$2:V692),$V$2:$V$1001,0),1)&gt;=100000,INDEX($AC$1005:$AS$1005,1,MATCH(COLUMNS($AC$1006:AG1006),$AC$1006:$AS$1006,0))&gt;=100000), " ",IF(INDEX($AC$2:$AS$1001,MATCH(ROWS($V$2:V692),$V$2:$V$1001,0),MATCH(COLUMNS($AC$1006:AG1006),$AC$1006:$AS$1006,0)), HYPERLINK("#",""), HYPERLINK(CONCATENATE("#metadata!", ADDRESS(INDEX($X$2:$X$1001,MATCH(ROWS($V$2:V692),$V$2:$V$1001,0),0), INDEX($AC$1004:$AS$1004,1,MATCH(COLUMNS($AC$1006:AG1006),$AC$1006:$AS$1006,0)))),"Fix")))</f>
        <v xml:space="preserve"> </v>
      </c>
      <c r="G692" s="4" t="str">
        <f ca="1">IF(OR(INDEX($W$2:$W$1001,MATCH(ROWS($V$2:V692),$V$2:$V$1001,0),1)&gt;=100000,INDEX($AC$1005:$AS$1005,1,MATCH(COLUMNS($AC$1006:AH1006),$AC$1006:$AS$1006,0))&gt;=100000), " ",IF(INDEX($AC$2:$AS$1001,MATCH(ROWS($V$2:V692),$V$2:$V$1001,0),MATCH(COLUMNS($AC$1006:AH1006),$AC$1006:$AS$1006,0)), HYPERLINK("#",""), HYPERLINK(CONCATENATE("#metadata!", ADDRESS(INDEX($X$2:$X$1001,MATCH(ROWS($V$2:V692),$V$2:$V$1001,0),0), INDEX($AC$1004:$AS$1004,1,MATCH(COLUMNS($AC$1006:AH1006),$AC$1006:$AS$1006,0)))),"Fix")))</f>
        <v xml:space="preserve"> </v>
      </c>
      <c r="H692" s="4" t="str">
        <f ca="1">IF(OR(INDEX($W$2:$W$1001,MATCH(ROWS($V$2:V692),$V$2:$V$1001,0),1)&gt;=100000,INDEX($AC$1005:$AS$1005,1,MATCH(COLUMNS($AC$1006:AI1006),$AC$1006:$AS$1006,0))&gt;=100000), " ",IF(INDEX($AC$2:$AS$1001,MATCH(ROWS($V$2:V692),$V$2:$V$1001,0),MATCH(COLUMNS($AC$1006:AI1006),$AC$1006:$AS$1006,0)), HYPERLINK("#",""), HYPERLINK(CONCATENATE("#metadata!", ADDRESS(INDEX($X$2:$X$1001,MATCH(ROWS($V$2:V692),$V$2:$V$1001,0),0), INDEX($AC$1004:$AS$1004,1,MATCH(COLUMNS($AC$1006:AI1006),$AC$1006:$AS$1006,0)))),"Fix")))</f>
        <v xml:space="preserve"> </v>
      </c>
      <c r="I692" s="4" t="str">
        <f ca="1">IF(OR(INDEX($W$2:$W$1001,MATCH(ROWS($V$2:V692),$V$2:$V$1001,0),1)&gt;=100000,INDEX($AC$1005:$AS$1005,1,MATCH(COLUMNS($AC$1006:AJ1006),$AC$1006:$AS$1006,0))&gt;=100000), " ",IF(INDEX($AC$2:$AS$1001,MATCH(ROWS($V$2:V692),$V$2:$V$1001,0),MATCH(COLUMNS($AC$1006:AJ1006),$AC$1006:$AS$1006,0)), HYPERLINK("#",""), HYPERLINK(CONCATENATE("#metadata!", ADDRESS(INDEX($X$2:$X$1001,MATCH(ROWS($V$2:V692),$V$2:$V$1001,0),0), INDEX($AC$1004:$AS$1004,1,MATCH(COLUMNS($AC$1006:AJ1006),$AC$1006:$AS$1006,0)))),"Fix")))</f>
        <v xml:space="preserve"> </v>
      </c>
      <c r="J692" s="4" t="str">
        <f ca="1">IF(OR(INDEX($W$2:$W$1001,MATCH(ROWS($V$2:V692),$V$2:$V$1001,0),1)&gt;=100000,INDEX($AC$1005:$AS$1005,1,MATCH(COLUMNS($AC$1006:AK1006),$AC$1006:$AS$1006,0))&gt;=100000), " ",IF(INDEX($AC$2:$AS$1001,MATCH(ROWS($V$2:V692),$V$2:$V$1001,0),MATCH(COLUMNS($AC$1006:AK1006),$AC$1006:$AS$1006,0)), HYPERLINK("#",""), HYPERLINK(CONCATENATE("#metadata!", ADDRESS(INDEX($X$2:$X$1001,MATCH(ROWS($V$2:V692),$V$2:$V$1001,0),0), INDEX($AC$1004:$AS$1004,1,MATCH(COLUMNS($AC$1006:AK1006),$AC$1006:$AS$1006,0)))),"Fix")))</f>
        <v xml:space="preserve"> </v>
      </c>
      <c r="K692" s="4" t="str">
        <f ca="1">IF(OR(INDEX($W$2:$W$1001,MATCH(ROWS($V$2:V692),$V$2:$V$1001,0),1)&gt;=100000,INDEX($AC$1005:$AS$1005,1,MATCH(COLUMNS($AC$1006:AL1006),$AC$1006:$AS$1006,0))&gt;=100000), " ",IF(INDEX($AC$2:$AS$1001,MATCH(ROWS($V$2:V692),$V$2:$V$1001,0),MATCH(COLUMNS($AC$1006:AL1006),$AC$1006:$AS$1006,0)), HYPERLINK("#",""), HYPERLINK(CONCATENATE("#metadata!", ADDRESS(INDEX($X$2:$X$1001,MATCH(ROWS($V$2:V692),$V$2:$V$1001,0),0), INDEX($AC$1004:$AS$1004,1,MATCH(COLUMNS($AC$1006:AL1006),$AC$1006:$AS$1006,0)))),"Fix")))</f>
        <v xml:space="preserve"> </v>
      </c>
      <c r="L692" s="4" t="str">
        <f ca="1">IF(OR(INDEX($W$2:$W$1001,MATCH(ROWS($V$2:V692),$V$2:$V$1001,0),1)&gt;=100000,INDEX($AC$1005:$AS$1005,1,MATCH(COLUMNS($AC$1006:AM1006),$AC$1006:$AS$1006,0))&gt;=100000), " ",IF(INDEX($AC$2:$AS$1001,MATCH(ROWS($V$2:V692),$V$2:$V$1001,0),MATCH(COLUMNS($AC$1006:AM1006),$AC$1006:$AS$1006,0)), HYPERLINK("#",""), HYPERLINK(CONCATENATE("#metadata!", ADDRESS(INDEX($X$2:$X$1001,MATCH(ROWS($V$2:V692),$V$2:$V$1001,0),0), INDEX($AC$1004:$AS$1004,1,MATCH(COLUMNS($AC$1006:AM1006),$AC$1006:$AS$1006,0)))),"Fix")))</f>
        <v xml:space="preserve"> </v>
      </c>
      <c r="M692" s="4" t="str">
        <f ca="1">IF(OR(INDEX($W$2:$W$1001,MATCH(ROWS($V$2:V692),$V$2:$V$1001,0),1)&gt;=100000,INDEX($AC$1005:$AS$1005,1,MATCH(COLUMNS($AC$1006:AN1006),$AC$1006:$AS$1006,0))&gt;=100000), " ",IF(INDEX($AC$2:$AS$1001,MATCH(ROWS($V$2:V692),$V$2:$V$1001,0),MATCH(COLUMNS($AC$1006:AN1006),$AC$1006:$AS$1006,0)), HYPERLINK("#",""), HYPERLINK(CONCATENATE("#metadata!", ADDRESS(INDEX($X$2:$X$1001,MATCH(ROWS($V$2:V692),$V$2:$V$1001,0),0), INDEX($AC$1004:$AS$1004,1,MATCH(COLUMNS($AC$1006:AN1006),$AC$1006:$AS$1006,0)))),"Fix")))</f>
        <v xml:space="preserve"> </v>
      </c>
      <c r="N692" s="4" t="str">
        <f ca="1">IF(OR(INDEX($W$2:$W$1001,MATCH(ROWS($V$2:V692),$V$2:$V$1001,0),1)&gt;=100000,INDEX($AC$1005:$AS$1005,1,MATCH(COLUMNS($AC$1006:AO1006),$AC$1006:$AS$1006,0))&gt;=100000), " ",IF(INDEX($AC$2:$AS$1001,MATCH(ROWS($V$2:V692),$V$2:$V$1001,0),MATCH(COLUMNS($AC$1006:AO1006),$AC$1006:$AS$1006,0)), HYPERLINK("#",""), HYPERLINK(CONCATENATE("#metadata!", ADDRESS(INDEX($X$2:$X$1001,MATCH(ROWS($V$2:V692),$V$2:$V$1001,0),0), INDEX($AC$1004:$AS$1004,1,MATCH(COLUMNS($AC$1006:AO1006),$AC$1006:$AS$1006,0)))),"Fix")))</f>
        <v xml:space="preserve"> </v>
      </c>
      <c r="O692" s="4" t="str">
        <f ca="1">IF(OR(INDEX($W$2:$W$1001,MATCH(ROWS($V$2:V692),$V$2:$V$1001,0),1)&gt;=100000,INDEX($AC$1005:$AS$1005,1,MATCH(COLUMNS($AC$1006:AP1006),$AC$1006:$AS$1006,0))&gt;=100000), " ",IF(INDEX($AC$2:$AS$1001,MATCH(ROWS($V$2:V692),$V$2:$V$1001,0),MATCH(COLUMNS($AC$1006:AP1006),$AC$1006:$AS$1006,0)), HYPERLINK("#",""), HYPERLINK(CONCATENATE("#metadata!", ADDRESS(INDEX($X$2:$X$1001,MATCH(ROWS($V$2:V692),$V$2:$V$1001,0),0), INDEX($AC$1004:$AS$1004,1,MATCH(COLUMNS($AC$1006:AP1006),$AC$1006:$AS$1006,0)))),"Fix")))</f>
        <v xml:space="preserve"> </v>
      </c>
      <c r="P692" s="4" t="str">
        <f ca="1">IF(OR(INDEX($W$2:$W$1001,MATCH(ROWS($V$2:V692),$V$2:$V$1001,0),1)&gt;=100000,INDEX($AC$1005:$AS$1005,1,MATCH(COLUMNS($AC$1006:AQ1006),$AC$1006:$AS$1006,0))&gt;=100000), " ",IF(INDEX($AC$2:$AS$1001,MATCH(ROWS($V$2:V692),$V$2:$V$1001,0),MATCH(COLUMNS($AC$1006:AQ1006),$AC$1006:$AS$1006,0)), HYPERLINK("#",""), HYPERLINK(CONCATENATE("#metadata!", ADDRESS(INDEX($X$2:$X$1001,MATCH(ROWS($V$2:V692),$V$2:$V$1001,0),0), INDEX($AC$1004:$AS$1004,1,MATCH(COLUMNS($AC$1006:AQ1006),$AC$1006:$AS$1006,0)))),"Fix")))</f>
        <v xml:space="preserve"> </v>
      </c>
      <c r="Q692" s="4" t="str">
        <f ca="1">IF(OR(INDEX($W$2:$W$1001,MATCH(ROWS($V$2:V692),$V$2:$V$1001,0),1)&gt;=100000,INDEX($AC$1005:$AS$1005,1,MATCH(COLUMNS($AC$1006:AR1006),$AC$1006:$AS$1006,0))&gt;=100000), " ",IF(INDEX($AC$2:$AS$1001,MATCH(ROWS($V$2:V692),$V$2:$V$1001,0),MATCH(COLUMNS($AC$1006:AR1006),$AC$1006:$AS$1006,0)), HYPERLINK("#",""), HYPERLINK(CONCATENATE("#metadata!", ADDRESS(INDEX($X$2:$X$1001,MATCH(ROWS($V$2:V692),$V$2:$V$1001,0),0), INDEX($AC$1004:$AS$1004,1,MATCH(COLUMNS($AC$1006:AR1006),$AC$1006:$AS$1006,0)))),"Fix")))</f>
        <v xml:space="preserve"> </v>
      </c>
      <c r="R692" s="4" t="str">
        <f ca="1">IF(OR(INDEX($W$2:$W$1001,MATCH(ROWS($V$2:V692),$V$2:$V$1001,0),1)&gt;=100000,INDEX($AC$1005:$AS$1005,1,MATCH(COLUMNS($AC$1006:AS1006),$AC$1006:$AS$1006,0))&gt;=100000), " ",IF(INDEX($AC$2:$AS$1001,MATCH(ROWS($V$2:V692),$V$2:$V$1001,0),MATCH(COLUMNS($AC$1006:AS1006),$AC$1006:$AS$1006,0)), HYPERLINK("#",""), HYPERLINK(CONCATENATE("#metadata!", ADDRESS(INDEX($X$2:$X$1001,MATCH(ROWS($V$2:V692),$V$2:$V$1001,0),0), INDEX($AC$1004:$AS$1004,1,MATCH(COLUMNS($AC$1006:AS1006),$AC$1006:$AS$1006,0)))),"Fix")))</f>
        <v xml:space="preserve"> </v>
      </c>
      <c r="V692">
        <v>691</v>
      </c>
      <c r="W692">
        <v>100692</v>
      </c>
      <c r="X692">
        <v>692</v>
      </c>
      <c r="Y692" t="b">
        <f t="shared" si="10"/>
        <v>1</v>
      </c>
      <c r="Z692" t="b">
        <f>COUNTBLANK(metadata!B692:R692)=COLUMNS(metadata!B692:R692)</f>
        <v>1</v>
      </c>
      <c r="AA692" t="str">
        <v/>
      </c>
      <c r="AC692" t="b">
        <f ca="1"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AD692" t="b">
        <f>IF(metadata!C692="",FALSE,ISNUMBER(VALUE(metadata!C692)))</f>
        <v>0</v>
      </c>
      <c r="AE692" t="b">
        <f>AND(IF(metadata!D692="",FALSE,TRUE),EXACT(metadata!D692,"years"))</f>
        <v>0</v>
      </c>
      <c r="AF692" t="b">
        <f>OR(AND(IF(metadata!E692="",FALSE,TRUE),OR(EXACT(metadata!E692,"not applicable"),EXACT(metadata!E692,"missing: not collected"),EXACT(metadata!E692,"missing: not provided"),EXACT(metadata!E692,"missing: restricted access"))),AND(IF(metadata!E692="",FALSE,ISNUMBER(VALUE(metadata!E692))),metadata!E692&gt;0))</f>
        <v>0</v>
      </c>
      <c r="AG692" t="b">
        <f>AND(IF(metadata!F692="",FALSE,TRUE),EXACT(metadata!F692,"Not applicable"))</f>
        <v>0</v>
      </c>
      <c r="AH692" t="b">
        <f>AND(IF(metadata!G692="",FALSE,TRUE),EXACT(metadata!G692,"urban biome"))</f>
        <v>0</v>
      </c>
      <c r="AI692" t="b">
        <f>AND(IF(metadata!H692="",FALSE,TRUE),EXACT(metadata!H692,"human-associated habitat"))</f>
        <v>0</v>
      </c>
      <c r="AJ692" t="b">
        <f>AND(IF(metadata!I692="",FALSE,TRUE),OR(EXACT(metadata!I692,"human-associated"),EXACT(metadata!I692,"human-skin"),EXACT(metadata!I692,"human-oral"),EXACT(metadata!I692,"human-gut"),EXACT(metadata!I692,"human-vaginal")))</f>
        <v>0</v>
      </c>
      <c r="AK692" t="b">
        <f>IF(metadata!J692="",FALSE,ISNUMBER(VALUE(metadata!J692)))</f>
        <v>0</v>
      </c>
      <c r="AL692" t="b">
        <f>AND(IF(metadata!K692="",FALSE,TRUE),EXACT(metadata!K692,"cm"))</f>
        <v>0</v>
      </c>
      <c r="AM692" t="b">
        <f>AND(IF(metadata!L692="",FALSE,TRUE),EXACT(metadata!L692,"human"))</f>
        <v>0</v>
      </c>
      <c r="AN692" t="b">
        <f>AND(IF(metadata!M692="",FALSE,TRUE),EXACT(metadata!M692,"Homo sapiens"))</f>
        <v>0</v>
      </c>
      <c r="AO692" t="b">
        <f>AND(IF(metadata!N692="",FALSE,TRUE),EXACT(metadata!N692,"9606"))</f>
        <v>0</v>
      </c>
      <c r="AP692" t="b">
        <f>IF(metadata!O692="",FALSE,TRUE)</f>
        <v>0</v>
      </c>
      <c r="AQ692" t="b">
        <f>IF(metadata!P692="",FALSE,TRUE)</f>
        <v>0</v>
      </c>
      <c r="AR692" t="b">
        <f>IF(metadata!Q692="",FALSE,ISNUMBER(VALUE(metadata!Q692)))</f>
        <v>0</v>
      </c>
      <c r="AS692" t="b">
        <f>AND(IF(metadata!R692="",FALSE,TRUE),EXACT(metadata!R692,"kg"))</f>
        <v>0</v>
      </c>
    </row>
    <row r="693" spans="1:45" x14ac:dyDescent="0.2">
      <c r="A693" s="5" t="str">
        <f ca="1">IF(B693=" "," ",HYPERLINK(CONCATENATE("#metadata!",ADDRESS(INDEX($X$2:$X$1001,MATCH(ROWS($V$2:V693),$V$2:$V$1001,0),0),1)),INDEX($AA$2:$AA$1001,MATCH(ROWS($V$2:V693),$V$2:$V$1001,0),0)))</f>
        <v xml:space="preserve"> </v>
      </c>
      <c r="B693" s="4" t="str">
        <f ca="1">IF(OR(INDEX($W$2:$W$1001,MATCH(ROWS($V$2:V693),$V$2:$V$1001,0),1)&gt;=100000,INDEX($AC$1005:$AS$1005,1,MATCH(COLUMNS($AC$1006:AC1006),$AC$1006:$AS$1006,0))&gt;=100000), " ",IF(INDEX($AC$2:$AS$1001,MATCH(ROWS($V$2:V693),$V$2:$V$1001,0),MATCH(COLUMNS($AC$1006:AC1006),$AC$1006:$AS$1006,0)), HYPERLINK("#",""), HYPERLINK(CONCATENATE("#metadata!", ADDRESS(INDEX($X$2:$X$1001,MATCH(ROWS($V$2:V693),$V$2:$V$1001,0),0), INDEX($AC$1004:$AS$1004,1,MATCH(COLUMNS($AC$1006:AC1006),$AC$1006:$AS$1006,0)))),"Fix")))</f>
        <v xml:space="preserve"> </v>
      </c>
      <c r="C693" s="4" t="str">
        <f ca="1">IF(OR(INDEX($W$2:$W$1001,MATCH(ROWS($V$2:V693),$V$2:$V$1001,0),1)&gt;=100000,INDEX($AC$1005:$AS$1005,1,MATCH(COLUMNS($AC$1006:AD1006),$AC$1006:$AS$1006,0))&gt;=100000), " ",IF(INDEX($AC$2:$AS$1001,MATCH(ROWS($V$2:V693),$V$2:$V$1001,0),MATCH(COLUMNS($AC$1006:AD1006),$AC$1006:$AS$1006,0)), HYPERLINK("#",""), HYPERLINK(CONCATENATE("#metadata!", ADDRESS(INDEX($X$2:$X$1001,MATCH(ROWS($V$2:V693),$V$2:$V$1001,0),0), INDEX($AC$1004:$AS$1004,1,MATCH(COLUMNS($AC$1006:AD1006),$AC$1006:$AS$1006,0)))),"Fix")))</f>
        <v xml:space="preserve"> </v>
      </c>
      <c r="D693" s="4" t="str">
        <f ca="1">IF(OR(INDEX($W$2:$W$1001,MATCH(ROWS($V$2:V693),$V$2:$V$1001,0),1)&gt;=100000,INDEX($AC$1005:$AS$1005,1,MATCH(COLUMNS($AC$1006:AE1006),$AC$1006:$AS$1006,0))&gt;=100000), " ",IF(INDEX($AC$2:$AS$1001,MATCH(ROWS($V$2:V693),$V$2:$V$1001,0),MATCH(COLUMNS($AC$1006:AE1006),$AC$1006:$AS$1006,0)), HYPERLINK("#",""), HYPERLINK(CONCATENATE("#metadata!", ADDRESS(INDEX($X$2:$X$1001,MATCH(ROWS($V$2:V693),$V$2:$V$1001,0),0), INDEX($AC$1004:$AS$1004,1,MATCH(COLUMNS($AC$1006:AE1006),$AC$1006:$AS$1006,0)))),"Fix")))</f>
        <v xml:space="preserve"> </v>
      </c>
      <c r="E693" s="4" t="str">
        <f ca="1">IF(OR(INDEX($W$2:$W$1001,MATCH(ROWS($V$2:V693),$V$2:$V$1001,0),1)&gt;=100000,INDEX($AC$1005:$AS$1005,1,MATCH(COLUMNS($AC$1006:AF1006),$AC$1006:$AS$1006,0))&gt;=100000), " ",IF(INDEX($AC$2:$AS$1001,MATCH(ROWS($V$2:V693),$V$2:$V$1001,0),MATCH(COLUMNS($AC$1006:AF1006),$AC$1006:$AS$1006,0)), HYPERLINK("#",""), HYPERLINK(CONCATENATE("#metadata!", ADDRESS(INDEX($X$2:$X$1001,MATCH(ROWS($V$2:V693),$V$2:$V$1001,0),0), INDEX($AC$1004:$AS$1004,1,MATCH(COLUMNS($AC$1006:AF1006),$AC$1006:$AS$1006,0)))),"Fix")))</f>
        <v xml:space="preserve"> </v>
      </c>
      <c r="F693" s="4" t="str">
        <f ca="1">IF(OR(INDEX($W$2:$W$1001,MATCH(ROWS($V$2:V693),$V$2:$V$1001,0),1)&gt;=100000,INDEX($AC$1005:$AS$1005,1,MATCH(COLUMNS($AC$1006:AG1006),$AC$1006:$AS$1006,0))&gt;=100000), " ",IF(INDEX($AC$2:$AS$1001,MATCH(ROWS($V$2:V693),$V$2:$V$1001,0),MATCH(COLUMNS($AC$1006:AG1006),$AC$1006:$AS$1006,0)), HYPERLINK("#",""), HYPERLINK(CONCATENATE("#metadata!", ADDRESS(INDEX($X$2:$X$1001,MATCH(ROWS($V$2:V693),$V$2:$V$1001,0),0), INDEX($AC$1004:$AS$1004,1,MATCH(COLUMNS($AC$1006:AG1006),$AC$1006:$AS$1006,0)))),"Fix")))</f>
        <v xml:space="preserve"> </v>
      </c>
      <c r="G693" s="4" t="str">
        <f ca="1">IF(OR(INDEX($W$2:$W$1001,MATCH(ROWS($V$2:V693),$V$2:$V$1001,0),1)&gt;=100000,INDEX($AC$1005:$AS$1005,1,MATCH(COLUMNS($AC$1006:AH1006),$AC$1006:$AS$1006,0))&gt;=100000), " ",IF(INDEX($AC$2:$AS$1001,MATCH(ROWS($V$2:V693),$V$2:$V$1001,0),MATCH(COLUMNS($AC$1006:AH1006),$AC$1006:$AS$1006,0)), HYPERLINK("#",""), HYPERLINK(CONCATENATE("#metadata!", ADDRESS(INDEX($X$2:$X$1001,MATCH(ROWS($V$2:V693),$V$2:$V$1001,0),0), INDEX($AC$1004:$AS$1004,1,MATCH(COLUMNS($AC$1006:AH1006),$AC$1006:$AS$1006,0)))),"Fix")))</f>
        <v xml:space="preserve"> </v>
      </c>
      <c r="H693" s="4" t="str">
        <f ca="1">IF(OR(INDEX($W$2:$W$1001,MATCH(ROWS($V$2:V693),$V$2:$V$1001,0),1)&gt;=100000,INDEX($AC$1005:$AS$1005,1,MATCH(COLUMNS($AC$1006:AI1006),$AC$1006:$AS$1006,0))&gt;=100000), " ",IF(INDEX($AC$2:$AS$1001,MATCH(ROWS($V$2:V693),$V$2:$V$1001,0),MATCH(COLUMNS($AC$1006:AI1006),$AC$1006:$AS$1006,0)), HYPERLINK("#",""), HYPERLINK(CONCATENATE("#metadata!", ADDRESS(INDEX($X$2:$X$1001,MATCH(ROWS($V$2:V693),$V$2:$V$1001,0),0), INDEX($AC$1004:$AS$1004,1,MATCH(COLUMNS($AC$1006:AI1006),$AC$1006:$AS$1006,0)))),"Fix")))</f>
        <v xml:space="preserve"> </v>
      </c>
      <c r="I693" s="4" t="str">
        <f ca="1">IF(OR(INDEX($W$2:$W$1001,MATCH(ROWS($V$2:V693),$V$2:$V$1001,0),1)&gt;=100000,INDEX($AC$1005:$AS$1005,1,MATCH(COLUMNS($AC$1006:AJ1006),$AC$1006:$AS$1006,0))&gt;=100000), " ",IF(INDEX($AC$2:$AS$1001,MATCH(ROWS($V$2:V693),$V$2:$V$1001,0),MATCH(COLUMNS($AC$1006:AJ1006),$AC$1006:$AS$1006,0)), HYPERLINK("#",""), HYPERLINK(CONCATENATE("#metadata!", ADDRESS(INDEX($X$2:$X$1001,MATCH(ROWS($V$2:V693),$V$2:$V$1001,0),0), INDEX($AC$1004:$AS$1004,1,MATCH(COLUMNS($AC$1006:AJ1006),$AC$1006:$AS$1006,0)))),"Fix")))</f>
        <v xml:space="preserve"> </v>
      </c>
      <c r="J693" s="4" t="str">
        <f ca="1">IF(OR(INDEX($W$2:$W$1001,MATCH(ROWS($V$2:V693),$V$2:$V$1001,0),1)&gt;=100000,INDEX($AC$1005:$AS$1005,1,MATCH(COLUMNS($AC$1006:AK1006),$AC$1006:$AS$1006,0))&gt;=100000), " ",IF(INDEX($AC$2:$AS$1001,MATCH(ROWS($V$2:V693),$V$2:$V$1001,0),MATCH(COLUMNS($AC$1006:AK1006),$AC$1006:$AS$1006,0)), HYPERLINK("#",""), HYPERLINK(CONCATENATE("#metadata!", ADDRESS(INDEX($X$2:$X$1001,MATCH(ROWS($V$2:V693),$V$2:$V$1001,0),0), INDEX($AC$1004:$AS$1004,1,MATCH(COLUMNS($AC$1006:AK1006),$AC$1006:$AS$1006,0)))),"Fix")))</f>
        <v xml:space="preserve"> </v>
      </c>
      <c r="K693" s="4" t="str">
        <f ca="1">IF(OR(INDEX($W$2:$W$1001,MATCH(ROWS($V$2:V693),$V$2:$V$1001,0),1)&gt;=100000,INDEX($AC$1005:$AS$1005,1,MATCH(COLUMNS($AC$1006:AL1006),$AC$1006:$AS$1006,0))&gt;=100000), " ",IF(INDEX($AC$2:$AS$1001,MATCH(ROWS($V$2:V693),$V$2:$V$1001,0),MATCH(COLUMNS($AC$1006:AL1006),$AC$1006:$AS$1006,0)), HYPERLINK("#",""), HYPERLINK(CONCATENATE("#metadata!", ADDRESS(INDEX($X$2:$X$1001,MATCH(ROWS($V$2:V693),$V$2:$V$1001,0),0), INDEX($AC$1004:$AS$1004,1,MATCH(COLUMNS($AC$1006:AL1006),$AC$1006:$AS$1006,0)))),"Fix")))</f>
        <v xml:space="preserve"> </v>
      </c>
      <c r="L693" s="4" t="str">
        <f ca="1">IF(OR(INDEX($W$2:$W$1001,MATCH(ROWS($V$2:V693),$V$2:$V$1001,0),1)&gt;=100000,INDEX($AC$1005:$AS$1005,1,MATCH(COLUMNS($AC$1006:AM1006),$AC$1006:$AS$1006,0))&gt;=100000), " ",IF(INDEX($AC$2:$AS$1001,MATCH(ROWS($V$2:V693),$V$2:$V$1001,0),MATCH(COLUMNS($AC$1006:AM1006),$AC$1006:$AS$1006,0)), HYPERLINK("#",""), HYPERLINK(CONCATENATE("#metadata!", ADDRESS(INDEX($X$2:$X$1001,MATCH(ROWS($V$2:V693),$V$2:$V$1001,0),0), INDEX($AC$1004:$AS$1004,1,MATCH(COLUMNS($AC$1006:AM1006),$AC$1006:$AS$1006,0)))),"Fix")))</f>
        <v xml:space="preserve"> </v>
      </c>
      <c r="M693" s="4" t="str">
        <f ca="1">IF(OR(INDEX($W$2:$W$1001,MATCH(ROWS($V$2:V693),$V$2:$V$1001,0),1)&gt;=100000,INDEX($AC$1005:$AS$1005,1,MATCH(COLUMNS($AC$1006:AN1006),$AC$1006:$AS$1006,0))&gt;=100000), " ",IF(INDEX($AC$2:$AS$1001,MATCH(ROWS($V$2:V693),$V$2:$V$1001,0),MATCH(COLUMNS($AC$1006:AN1006),$AC$1006:$AS$1006,0)), HYPERLINK("#",""), HYPERLINK(CONCATENATE("#metadata!", ADDRESS(INDEX($X$2:$X$1001,MATCH(ROWS($V$2:V693),$V$2:$V$1001,0),0), INDEX($AC$1004:$AS$1004,1,MATCH(COLUMNS($AC$1006:AN1006),$AC$1006:$AS$1006,0)))),"Fix")))</f>
        <v xml:space="preserve"> </v>
      </c>
      <c r="N693" s="4" t="str">
        <f ca="1">IF(OR(INDEX($W$2:$W$1001,MATCH(ROWS($V$2:V693),$V$2:$V$1001,0),1)&gt;=100000,INDEX($AC$1005:$AS$1005,1,MATCH(COLUMNS($AC$1006:AO1006),$AC$1006:$AS$1006,0))&gt;=100000), " ",IF(INDEX($AC$2:$AS$1001,MATCH(ROWS($V$2:V693),$V$2:$V$1001,0),MATCH(COLUMNS($AC$1006:AO1006),$AC$1006:$AS$1006,0)), HYPERLINK("#",""), HYPERLINK(CONCATENATE("#metadata!", ADDRESS(INDEX($X$2:$X$1001,MATCH(ROWS($V$2:V693),$V$2:$V$1001,0),0), INDEX($AC$1004:$AS$1004,1,MATCH(COLUMNS($AC$1006:AO1006),$AC$1006:$AS$1006,0)))),"Fix")))</f>
        <v xml:space="preserve"> </v>
      </c>
      <c r="O693" s="4" t="str">
        <f ca="1">IF(OR(INDEX($W$2:$W$1001,MATCH(ROWS($V$2:V693),$V$2:$V$1001,0),1)&gt;=100000,INDEX($AC$1005:$AS$1005,1,MATCH(COLUMNS($AC$1006:AP1006),$AC$1006:$AS$1006,0))&gt;=100000), " ",IF(INDEX($AC$2:$AS$1001,MATCH(ROWS($V$2:V693),$V$2:$V$1001,0),MATCH(COLUMNS($AC$1006:AP1006),$AC$1006:$AS$1006,0)), HYPERLINK("#",""), HYPERLINK(CONCATENATE("#metadata!", ADDRESS(INDEX($X$2:$X$1001,MATCH(ROWS($V$2:V693),$V$2:$V$1001,0),0), INDEX($AC$1004:$AS$1004,1,MATCH(COLUMNS($AC$1006:AP1006),$AC$1006:$AS$1006,0)))),"Fix")))</f>
        <v xml:space="preserve"> </v>
      </c>
      <c r="P693" s="4" t="str">
        <f ca="1">IF(OR(INDEX($W$2:$W$1001,MATCH(ROWS($V$2:V693),$V$2:$V$1001,0),1)&gt;=100000,INDEX($AC$1005:$AS$1005,1,MATCH(COLUMNS($AC$1006:AQ1006),$AC$1006:$AS$1006,0))&gt;=100000), " ",IF(INDEX($AC$2:$AS$1001,MATCH(ROWS($V$2:V693),$V$2:$V$1001,0),MATCH(COLUMNS($AC$1006:AQ1006),$AC$1006:$AS$1006,0)), HYPERLINK("#",""), HYPERLINK(CONCATENATE("#metadata!", ADDRESS(INDEX($X$2:$X$1001,MATCH(ROWS($V$2:V693),$V$2:$V$1001,0),0), INDEX($AC$1004:$AS$1004,1,MATCH(COLUMNS($AC$1006:AQ1006),$AC$1006:$AS$1006,0)))),"Fix")))</f>
        <v xml:space="preserve"> </v>
      </c>
      <c r="Q693" s="4" t="str">
        <f ca="1">IF(OR(INDEX($W$2:$W$1001,MATCH(ROWS($V$2:V693),$V$2:$V$1001,0),1)&gt;=100000,INDEX($AC$1005:$AS$1005,1,MATCH(COLUMNS($AC$1006:AR1006),$AC$1006:$AS$1006,0))&gt;=100000), " ",IF(INDEX($AC$2:$AS$1001,MATCH(ROWS($V$2:V693),$V$2:$V$1001,0),MATCH(COLUMNS($AC$1006:AR1006),$AC$1006:$AS$1006,0)), HYPERLINK("#",""), HYPERLINK(CONCATENATE("#metadata!", ADDRESS(INDEX($X$2:$X$1001,MATCH(ROWS($V$2:V693),$V$2:$V$1001,0),0), INDEX($AC$1004:$AS$1004,1,MATCH(COLUMNS($AC$1006:AR1006),$AC$1006:$AS$1006,0)))),"Fix")))</f>
        <v xml:space="preserve"> </v>
      </c>
      <c r="R693" s="4" t="str">
        <f ca="1">IF(OR(INDEX($W$2:$W$1001,MATCH(ROWS($V$2:V693),$V$2:$V$1001,0),1)&gt;=100000,INDEX($AC$1005:$AS$1005,1,MATCH(COLUMNS($AC$1006:AS1006),$AC$1006:$AS$1006,0))&gt;=100000), " ",IF(INDEX($AC$2:$AS$1001,MATCH(ROWS($V$2:V693),$V$2:$V$1001,0),MATCH(COLUMNS($AC$1006:AS1006),$AC$1006:$AS$1006,0)), HYPERLINK("#",""), HYPERLINK(CONCATENATE("#metadata!", ADDRESS(INDEX($X$2:$X$1001,MATCH(ROWS($V$2:V693),$V$2:$V$1001,0),0), INDEX($AC$1004:$AS$1004,1,MATCH(COLUMNS($AC$1006:AS1006),$AC$1006:$AS$1006,0)))),"Fix")))</f>
        <v xml:space="preserve"> </v>
      </c>
      <c r="V693">
        <v>692</v>
      </c>
      <c r="W693">
        <v>100693</v>
      </c>
      <c r="X693">
        <v>693</v>
      </c>
      <c r="Y693" t="b">
        <f t="shared" si="10"/>
        <v>1</v>
      </c>
      <c r="Z693" t="b">
        <f>COUNTBLANK(metadata!B693:R693)=COLUMNS(metadata!B693:R693)</f>
        <v>1</v>
      </c>
      <c r="AA693" t="str">
        <v/>
      </c>
      <c r="AC693" t="b">
        <f ca="1"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AD693" t="b">
        <f>IF(metadata!C693="",FALSE,ISNUMBER(VALUE(metadata!C693)))</f>
        <v>0</v>
      </c>
      <c r="AE693" t="b">
        <f>AND(IF(metadata!D693="",FALSE,TRUE),EXACT(metadata!D693,"years"))</f>
        <v>0</v>
      </c>
      <c r="AF693" t="b">
        <f>OR(AND(IF(metadata!E693="",FALSE,TRUE),OR(EXACT(metadata!E693,"not applicable"),EXACT(metadata!E693,"missing: not collected"),EXACT(metadata!E693,"missing: not provided"),EXACT(metadata!E693,"missing: restricted access"))),AND(IF(metadata!E693="",FALSE,ISNUMBER(VALUE(metadata!E693))),metadata!E693&gt;0))</f>
        <v>0</v>
      </c>
      <c r="AG693" t="b">
        <f>AND(IF(metadata!F693="",FALSE,TRUE),EXACT(metadata!F693,"Not applicable"))</f>
        <v>0</v>
      </c>
      <c r="AH693" t="b">
        <f>AND(IF(metadata!G693="",FALSE,TRUE),EXACT(metadata!G693,"urban biome"))</f>
        <v>0</v>
      </c>
      <c r="AI693" t="b">
        <f>AND(IF(metadata!H693="",FALSE,TRUE),EXACT(metadata!H693,"human-associated habitat"))</f>
        <v>0</v>
      </c>
      <c r="AJ693" t="b">
        <f>AND(IF(metadata!I693="",FALSE,TRUE),OR(EXACT(metadata!I693,"human-associated"),EXACT(metadata!I693,"human-skin"),EXACT(metadata!I693,"human-oral"),EXACT(metadata!I693,"human-gut"),EXACT(metadata!I693,"human-vaginal")))</f>
        <v>0</v>
      </c>
      <c r="AK693" t="b">
        <f>IF(metadata!J693="",FALSE,ISNUMBER(VALUE(metadata!J693)))</f>
        <v>0</v>
      </c>
      <c r="AL693" t="b">
        <f>AND(IF(metadata!K693="",FALSE,TRUE),EXACT(metadata!K693,"cm"))</f>
        <v>0</v>
      </c>
      <c r="AM693" t="b">
        <f>AND(IF(metadata!L693="",FALSE,TRUE),EXACT(metadata!L693,"human"))</f>
        <v>0</v>
      </c>
      <c r="AN693" t="b">
        <f>AND(IF(metadata!M693="",FALSE,TRUE),EXACT(metadata!M693,"Homo sapiens"))</f>
        <v>0</v>
      </c>
      <c r="AO693" t="b">
        <f>AND(IF(metadata!N693="",FALSE,TRUE),EXACT(metadata!N693,"9606"))</f>
        <v>0</v>
      </c>
      <c r="AP693" t="b">
        <f>IF(metadata!O693="",FALSE,TRUE)</f>
        <v>0</v>
      </c>
      <c r="AQ693" t="b">
        <f>IF(metadata!P693="",FALSE,TRUE)</f>
        <v>0</v>
      </c>
      <c r="AR693" t="b">
        <f>IF(metadata!Q693="",FALSE,ISNUMBER(VALUE(metadata!Q693)))</f>
        <v>0</v>
      </c>
      <c r="AS693" t="b">
        <f>AND(IF(metadata!R693="",FALSE,TRUE),EXACT(metadata!R693,"kg"))</f>
        <v>0</v>
      </c>
    </row>
    <row r="694" spans="1:45" x14ac:dyDescent="0.2">
      <c r="A694" s="5" t="str">
        <f ca="1">IF(B694=" "," ",HYPERLINK(CONCATENATE("#metadata!",ADDRESS(INDEX($X$2:$X$1001,MATCH(ROWS($V$2:V694),$V$2:$V$1001,0),0),1)),INDEX($AA$2:$AA$1001,MATCH(ROWS($V$2:V694),$V$2:$V$1001,0),0)))</f>
        <v xml:space="preserve"> </v>
      </c>
      <c r="B694" s="4" t="str">
        <f ca="1">IF(OR(INDEX($W$2:$W$1001,MATCH(ROWS($V$2:V694),$V$2:$V$1001,0),1)&gt;=100000,INDEX($AC$1005:$AS$1005,1,MATCH(COLUMNS($AC$1006:AC1006),$AC$1006:$AS$1006,0))&gt;=100000), " ",IF(INDEX($AC$2:$AS$1001,MATCH(ROWS($V$2:V694),$V$2:$V$1001,0),MATCH(COLUMNS($AC$1006:AC1006),$AC$1006:$AS$1006,0)), HYPERLINK("#",""), HYPERLINK(CONCATENATE("#metadata!", ADDRESS(INDEX($X$2:$X$1001,MATCH(ROWS($V$2:V694),$V$2:$V$1001,0),0), INDEX($AC$1004:$AS$1004,1,MATCH(COLUMNS($AC$1006:AC1006),$AC$1006:$AS$1006,0)))),"Fix")))</f>
        <v xml:space="preserve"> </v>
      </c>
      <c r="C694" s="4" t="str">
        <f ca="1">IF(OR(INDEX($W$2:$W$1001,MATCH(ROWS($V$2:V694),$V$2:$V$1001,0),1)&gt;=100000,INDEX($AC$1005:$AS$1005,1,MATCH(COLUMNS($AC$1006:AD1006),$AC$1006:$AS$1006,0))&gt;=100000), " ",IF(INDEX($AC$2:$AS$1001,MATCH(ROWS($V$2:V694),$V$2:$V$1001,0),MATCH(COLUMNS($AC$1006:AD1006),$AC$1006:$AS$1006,0)), HYPERLINK("#",""), HYPERLINK(CONCATENATE("#metadata!", ADDRESS(INDEX($X$2:$X$1001,MATCH(ROWS($V$2:V694),$V$2:$V$1001,0),0), INDEX($AC$1004:$AS$1004,1,MATCH(COLUMNS($AC$1006:AD1006),$AC$1006:$AS$1006,0)))),"Fix")))</f>
        <v xml:space="preserve"> </v>
      </c>
      <c r="D694" s="4" t="str">
        <f ca="1">IF(OR(INDEX($W$2:$W$1001,MATCH(ROWS($V$2:V694),$V$2:$V$1001,0),1)&gt;=100000,INDEX($AC$1005:$AS$1005,1,MATCH(COLUMNS($AC$1006:AE1006),$AC$1006:$AS$1006,0))&gt;=100000), " ",IF(INDEX($AC$2:$AS$1001,MATCH(ROWS($V$2:V694),$V$2:$V$1001,0),MATCH(COLUMNS($AC$1006:AE1006),$AC$1006:$AS$1006,0)), HYPERLINK("#",""), HYPERLINK(CONCATENATE("#metadata!", ADDRESS(INDEX($X$2:$X$1001,MATCH(ROWS($V$2:V694),$V$2:$V$1001,0),0), INDEX($AC$1004:$AS$1004,1,MATCH(COLUMNS($AC$1006:AE1006),$AC$1006:$AS$1006,0)))),"Fix")))</f>
        <v xml:space="preserve"> </v>
      </c>
      <c r="E694" s="4" t="str">
        <f ca="1">IF(OR(INDEX($W$2:$W$1001,MATCH(ROWS($V$2:V694),$V$2:$V$1001,0),1)&gt;=100000,INDEX($AC$1005:$AS$1005,1,MATCH(COLUMNS($AC$1006:AF1006),$AC$1006:$AS$1006,0))&gt;=100000), " ",IF(INDEX($AC$2:$AS$1001,MATCH(ROWS($V$2:V694),$V$2:$V$1001,0),MATCH(COLUMNS($AC$1006:AF1006),$AC$1006:$AS$1006,0)), HYPERLINK("#",""), HYPERLINK(CONCATENATE("#metadata!", ADDRESS(INDEX($X$2:$X$1001,MATCH(ROWS($V$2:V694),$V$2:$V$1001,0),0), INDEX($AC$1004:$AS$1004,1,MATCH(COLUMNS($AC$1006:AF1006),$AC$1006:$AS$1006,0)))),"Fix")))</f>
        <v xml:space="preserve"> </v>
      </c>
      <c r="F694" s="4" t="str">
        <f ca="1">IF(OR(INDEX($W$2:$W$1001,MATCH(ROWS($V$2:V694),$V$2:$V$1001,0),1)&gt;=100000,INDEX($AC$1005:$AS$1005,1,MATCH(COLUMNS($AC$1006:AG1006),$AC$1006:$AS$1006,0))&gt;=100000), " ",IF(INDEX($AC$2:$AS$1001,MATCH(ROWS($V$2:V694),$V$2:$V$1001,0),MATCH(COLUMNS($AC$1006:AG1006),$AC$1006:$AS$1006,0)), HYPERLINK("#",""), HYPERLINK(CONCATENATE("#metadata!", ADDRESS(INDEX($X$2:$X$1001,MATCH(ROWS($V$2:V694),$V$2:$V$1001,0),0), INDEX($AC$1004:$AS$1004,1,MATCH(COLUMNS($AC$1006:AG1006),$AC$1006:$AS$1006,0)))),"Fix")))</f>
        <v xml:space="preserve"> </v>
      </c>
      <c r="G694" s="4" t="str">
        <f ca="1">IF(OR(INDEX($W$2:$W$1001,MATCH(ROWS($V$2:V694),$V$2:$V$1001,0),1)&gt;=100000,INDEX($AC$1005:$AS$1005,1,MATCH(COLUMNS($AC$1006:AH1006),$AC$1006:$AS$1006,0))&gt;=100000), " ",IF(INDEX($AC$2:$AS$1001,MATCH(ROWS($V$2:V694),$V$2:$V$1001,0),MATCH(COLUMNS($AC$1006:AH1006),$AC$1006:$AS$1006,0)), HYPERLINK("#",""), HYPERLINK(CONCATENATE("#metadata!", ADDRESS(INDEX($X$2:$X$1001,MATCH(ROWS($V$2:V694),$V$2:$V$1001,0),0), INDEX($AC$1004:$AS$1004,1,MATCH(COLUMNS($AC$1006:AH1006),$AC$1006:$AS$1006,0)))),"Fix")))</f>
        <v xml:space="preserve"> </v>
      </c>
      <c r="H694" s="4" t="str">
        <f ca="1">IF(OR(INDEX($W$2:$W$1001,MATCH(ROWS($V$2:V694),$V$2:$V$1001,0),1)&gt;=100000,INDEX($AC$1005:$AS$1005,1,MATCH(COLUMNS($AC$1006:AI1006),$AC$1006:$AS$1006,0))&gt;=100000), " ",IF(INDEX($AC$2:$AS$1001,MATCH(ROWS($V$2:V694),$V$2:$V$1001,0),MATCH(COLUMNS($AC$1006:AI1006),$AC$1006:$AS$1006,0)), HYPERLINK("#",""), HYPERLINK(CONCATENATE("#metadata!", ADDRESS(INDEX($X$2:$X$1001,MATCH(ROWS($V$2:V694),$V$2:$V$1001,0),0), INDEX($AC$1004:$AS$1004,1,MATCH(COLUMNS($AC$1006:AI1006),$AC$1006:$AS$1006,0)))),"Fix")))</f>
        <v xml:space="preserve"> </v>
      </c>
      <c r="I694" s="4" t="str">
        <f ca="1">IF(OR(INDEX($W$2:$W$1001,MATCH(ROWS($V$2:V694),$V$2:$V$1001,0),1)&gt;=100000,INDEX($AC$1005:$AS$1005,1,MATCH(COLUMNS($AC$1006:AJ1006),$AC$1006:$AS$1006,0))&gt;=100000), " ",IF(INDEX($AC$2:$AS$1001,MATCH(ROWS($V$2:V694),$V$2:$V$1001,0),MATCH(COLUMNS($AC$1006:AJ1006),$AC$1006:$AS$1006,0)), HYPERLINK("#",""), HYPERLINK(CONCATENATE("#metadata!", ADDRESS(INDEX($X$2:$X$1001,MATCH(ROWS($V$2:V694),$V$2:$V$1001,0),0), INDEX($AC$1004:$AS$1004,1,MATCH(COLUMNS($AC$1006:AJ1006),$AC$1006:$AS$1006,0)))),"Fix")))</f>
        <v xml:space="preserve"> </v>
      </c>
      <c r="J694" s="4" t="str">
        <f ca="1">IF(OR(INDEX($W$2:$W$1001,MATCH(ROWS($V$2:V694),$V$2:$V$1001,0),1)&gt;=100000,INDEX($AC$1005:$AS$1005,1,MATCH(COLUMNS($AC$1006:AK1006),$AC$1006:$AS$1006,0))&gt;=100000), " ",IF(INDEX($AC$2:$AS$1001,MATCH(ROWS($V$2:V694),$V$2:$V$1001,0),MATCH(COLUMNS($AC$1006:AK1006),$AC$1006:$AS$1006,0)), HYPERLINK("#",""), HYPERLINK(CONCATENATE("#metadata!", ADDRESS(INDEX($X$2:$X$1001,MATCH(ROWS($V$2:V694),$V$2:$V$1001,0),0), INDEX($AC$1004:$AS$1004,1,MATCH(COLUMNS($AC$1006:AK1006),$AC$1006:$AS$1006,0)))),"Fix")))</f>
        <v xml:space="preserve"> </v>
      </c>
      <c r="K694" s="4" t="str">
        <f ca="1">IF(OR(INDEX($W$2:$W$1001,MATCH(ROWS($V$2:V694),$V$2:$V$1001,0),1)&gt;=100000,INDEX($AC$1005:$AS$1005,1,MATCH(COLUMNS($AC$1006:AL1006),$AC$1006:$AS$1006,0))&gt;=100000), " ",IF(INDEX($AC$2:$AS$1001,MATCH(ROWS($V$2:V694),$V$2:$V$1001,0),MATCH(COLUMNS($AC$1006:AL1006),$AC$1006:$AS$1006,0)), HYPERLINK("#",""), HYPERLINK(CONCATENATE("#metadata!", ADDRESS(INDEX($X$2:$X$1001,MATCH(ROWS($V$2:V694),$V$2:$V$1001,0),0), INDEX($AC$1004:$AS$1004,1,MATCH(COLUMNS($AC$1006:AL1006),$AC$1006:$AS$1006,0)))),"Fix")))</f>
        <v xml:space="preserve"> </v>
      </c>
      <c r="L694" s="4" t="str">
        <f ca="1">IF(OR(INDEX($W$2:$W$1001,MATCH(ROWS($V$2:V694),$V$2:$V$1001,0),1)&gt;=100000,INDEX($AC$1005:$AS$1005,1,MATCH(COLUMNS($AC$1006:AM1006),$AC$1006:$AS$1006,0))&gt;=100000), " ",IF(INDEX($AC$2:$AS$1001,MATCH(ROWS($V$2:V694),$V$2:$V$1001,0),MATCH(COLUMNS($AC$1006:AM1006),$AC$1006:$AS$1006,0)), HYPERLINK("#",""), HYPERLINK(CONCATENATE("#metadata!", ADDRESS(INDEX($X$2:$X$1001,MATCH(ROWS($V$2:V694),$V$2:$V$1001,0),0), INDEX($AC$1004:$AS$1004,1,MATCH(COLUMNS($AC$1006:AM1006),$AC$1006:$AS$1006,0)))),"Fix")))</f>
        <v xml:space="preserve"> </v>
      </c>
      <c r="M694" s="4" t="str">
        <f ca="1">IF(OR(INDEX($W$2:$W$1001,MATCH(ROWS($V$2:V694),$V$2:$V$1001,0),1)&gt;=100000,INDEX($AC$1005:$AS$1005,1,MATCH(COLUMNS($AC$1006:AN1006),$AC$1006:$AS$1006,0))&gt;=100000), " ",IF(INDEX($AC$2:$AS$1001,MATCH(ROWS($V$2:V694),$V$2:$V$1001,0),MATCH(COLUMNS($AC$1006:AN1006),$AC$1006:$AS$1006,0)), HYPERLINK("#",""), HYPERLINK(CONCATENATE("#metadata!", ADDRESS(INDEX($X$2:$X$1001,MATCH(ROWS($V$2:V694),$V$2:$V$1001,0),0), INDEX($AC$1004:$AS$1004,1,MATCH(COLUMNS($AC$1006:AN1006),$AC$1006:$AS$1006,0)))),"Fix")))</f>
        <v xml:space="preserve"> </v>
      </c>
      <c r="N694" s="4" t="str">
        <f ca="1">IF(OR(INDEX($W$2:$W$1001,MATCH(ROWS($V$2:V694),$V$2:$V$1001,0),1)&gt;=100000,INDEX($AC$1005:$AS$1005,1,MATCH(COLUMNS($AC$1006:AO1006),$AC$1006:$AS$1006,0))&gt;=100000), " ",IF(INDEX($AC$2:$AS$1001,MATCH(ROWS($V$2:V694),$V$2:$V$1001,0),MATCH(COLUMNS($AC$1006:AO1006),$AC$1006:$AS$1006,0)), HYPERLINK("#",""), HYPERLINK(CONCATENATE("#metadata!", ADDRESS(INDEX($X$2:$X$1001,MATCH(ROWS($V$2:V694),$V$2:$V$1001,0),0), INDEX($AC$1004:$AS$1004,1,MATCH(COLUMNS($AC$1006:AO1006),$AC$1006:$AS$1006,0)))),"Fix")))</f>
        <v xml:space="preserve"> </v>
      </c>
      <c r="O694" s="4" t="str">
        <f ca="1">IF(OR(INDEX($W$2:$W$1001,MATCH(ROWS($V$2:V694),$V$2:$V$1001,0),1)&gt;=100000,INDEX($AC$1005:$AS$1005,1,MATCH(COLUMNS($AC$1006:AP1006),$AC$1006:$AS$1006,0))&gt;=100000), " ",IF(INDEX($AC$2:$AS$1001,MATCH(ROWS($V$2:V694),$V$2:$V$1001,0),MATCH(COLUMNS($AC$1006:AP1006),$AC$1006:$AS$1006,0)), HYPERLINK("#",""), HYPERLINK(CONCATENATE("#metadata!", ADDRESS(INDEX($X$2:$X$1001,MATCH(ROWS($V$2:V694),$V$2:$V$1001,0),0), INDEX($AC$1004:$AS$1004,1,MATCH(COLUMNS($AC$1006:AP1006),$AC$1006:$AS$1006,0)))),"Fix")))</f>
        <v xml:space="preserve"> </v>
      </c>
      <c r="P694" s="4" t="str">
        <f ca="1">IF(OR(INDEX($W$2:$W$1001,MATCH(ROWS($V$2:V694),$V$2:$V$1001,0),1)&gt;=100000,INDEX($AC$1005:$AS$1005,1,MATCH(COLUMNS($AC$1006:AQ1006),$AC$1006:$AS$1006,0))&gt;=100000), " ",IF(INDEX($AC$2:$AS$1001,MATCH(ROWS($V$2:V694),$V$2:$V$1001,0),MATCH(COLUMNS($AC$1006:AQ1006),$AC$1006:$AS$1006,0)), HYPERLINK("#",""), HYPERLINK(CONCATENATE("#metadata!", ADDRESS(INDEX($X$2:$X$1001,MATCH(ROWS($V$2:V694),$V$2:$V$1001,0),0), INDEX($AC$1004:$AS$1004,1,MATCH(COLUMNS($AC$1006:AQ1006),$AC$1006:$AS$1006,0)))),"Fix")))</f>
        <v xml:space="preserve"> </v>
      </c>
      <c r="Q694" s="4" t="str">
        <f ca="1">IF(OR(INDEX($W$2:$W$1001,MATCH(ROWS($V$2:V694),$V$2:$V$1001,0),1)&gt;=100000,INDEX($AC$1005:$AS$1005,1,MATCH(COLUMNS($AC$1006:AR1006),$AC$1006:$AS$1006,0))&gt;=100000), " ",IF(INDEX($AC$2:$AS$1001,MATCH(ROWS($V$2:V694),$V$2:$V$1001,0),MATCH(COLUMNS($AC$1006:AR1006),$AC$1006:$AS$1006,0)), HYPERLINK("#",""), HYPERLINK(CONCATENATE("#metadata!", ADDRESS(INDEX($X$2:$X$1001,MATCH(ROWS($V$2:V694),$V$2:$V$1001,0),0), INDEX($AC$1004:$AS$1004,1,MATCH(COLUMNS($AC$1006:AR1006),$AC$1006:$AS$1006,0)))),"Fix")))</f>
        <v xml:space="preserve"> </v>
      </c>
      <c r="R694" s="4" t="str">
        <f ca="1">IF(OR(INDEX($W$2:$W$1001,MATCH(ROWS($V$2:V694),$V$2:$V$1001,0),1)&gt;=100000,INDEX($AC$1005:$AS$1005,1,MATCH(COLUMNS($AC$1006:AS1006),$AC$1006:$AS$1006,0))&gt;=100000), " ",IF(INDEX($AC$2:$AS$1001,MATCH(ROWS($V$2:V694),$V$2:$V$1001,0),MATCH(COLUMNS($AC$1006:AS1006),$AC$1006:$AS$1006,0)), HYPERLINK("#",""), HYPERLINK(CONCATENATE("#metadata!", ADDRESS(INDEX($X$2:$X$1001,MATCH(ROWS($V$2:V694),$V$2:$V$1001,0),0), INDEX($AC$1004:$AS$1004,1,MATCH(COLUMNS($AC$1006:AS1006),$AC$1006:$AS$1006,0)))),"Fix")))</f>
        <v xml:space="preserve"> </v>
      </c>
      <c r="V694">
        <v>693</v>
      </c>
      <c r="W694">
        <v>100694</v>
      </c>
      <c r="X694">
        <v>694</v>
      </c>
      <c r="Y694" t="b">
        <f t="shared" si="10"/>
        <v>1</v>
      </c>
      <c r="Z694" t="b">
        <f>COUNTBLANK(metadata!B694:R694)=COLUMNS(metadata!B694:R694)</f>
        <v>1</v>
      </c>
      <c r="AA694" t="str">
        <v/>
      </c>
      <c r="AC694" t="b">
        <f ca="1"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AD694" t="b">
        <f>IF(metadata!C694="",FALSE,ISNUMBER(VALUE(metadata!C694)))</f>
        <v>0</v>
      </c>
      <c r="AE694" t="b">
        <f>AND(IF(metadata!D694="",FALSE,TRUE),EXACT(metadata!D694,"years"))</f>
        <v>0</v>
      </c>
      <c r="AF694" t="b">
        <f>OR(AND(IF(metadata!E694="",FALSE,TRUE),OR(EXACT(metadata!E694,"not applicable"),EXACT(metadata!E694,"missing: not collected"),EXACT(metadata!E694,"missing: not provided"),EXACT(metadata!E694,"missing: restricted access"))),AND(IF(metadata!E694="",FALSE,ISNUMBER(VALUE(metadata!E694))),metadata!E694&gt;0))</f>
        <v>0</v>
      </c>
      <c r="AG694" t="b">
        <f>AND(IF(metadata!F694="",FALSE,TRUE),EXACT(metadata!F694,"Not applicable"))</f>
        <v>0</v>
      </c>
      <c r="AH694" t="b">
        <f>AND(IF(metadata!G694="",FALSE,TRUE),EXACT(metadata!G694,"urban biome"))</f>
        <v>0</v>
      </c>
      <c r="AI694" t="b">
        <f>AND(IF(metadata!H694="",FALSE,TRUE),EXACT(metadata!H694,"human-associated habitat"))</f>
        <v>0</v>
      </c>
      <c r="AJ694" t="b">
        <f>AND(IF(metadata!I694="",FALSE,TRUE),OR(EXACT(metadata!I694,"human-associated"),EXACT(metadata!I694,"human-skin"),EXACT(metadata!I694,"human-oral"),EXACT(metadata!I694,"human-gut"),EXACT(metadata!I694,"human-vaginal")))</f>
        <v>0</v>
      </c>
      <c r="AK694" t="b">
        <f>IF(metadata!J694="",FALSE,ISNUMBER(VALUE(metadata!J694)))</f>
        <v>0</v>
      </c>
      <c r="AL694" t="b">
        <f>AND(IF(metadata!K694="",FALSE,TRUE),EXACT(metadata!K694,"cm"))</f>
        <v>0</v>
      </c>
      <c r="AM694" t="b">
        <f>AND(IF(metadata!L694="",FALSE,TRUE),EXACT(metadata!L694,"human"))</f>
        <v>0</v>
      </c>
      <c r="AN694" t="b">
        <f>AND(IF(metadata!M694="",FALSE,TRUE),EXACT(metadata!M694,"Homo sapiens"))</f>
        <v>0</v>
      </c>
      <c r="AO694" t="b">
        <f>AND(IF(metadata!N694="",FALSE,TRUE),EXACT(metadata!N694,"9606"))</f>
        <v>0</v>
      </c>
      <c r="AP694" t="b">
        <f>IF(metadata!O694="",FALSE,TRUE)</f>
        <v>0</v>
      </c>
      <c r="AQ694" t="b">
        <f>IF(metadata!P694="",FALSE,TRUE)</f>
        <v>0</v>
      </c>
      <c r="AR694" t="b">
        <f>IF(metadata!Q694="",FALSE,ISNUMBER(VALUE(metadata!Q694)))</f>
        <v>0</v>
      </c>
      <c r="AS694" t="b">
        <f>AND(IF(metadata!R694="",FALSE,TRUE),EXACT(metadata!R694,"kg"))</f>
        <v>0</v>
      </c>
    </row>
    <row r="695" spans="1:45" x14ac:dyDescent="0.2">
      <c r="A695" s="5" t="str">
        <f ca="1">IF(B695=" "," ",HYPERLINK(CONCATENATE("#metadata!",ADDRESS(INDEX($X$2:$X$1001,MATCH(ROWS($V$2:V695),$V$2:$V$1001,0),0),1)),INDEX($AA$2:$AA$1001,MATCH(ROWS($V$2:V695),$V$2:$V$1001,0),0)))</f>
        <v xml:space="preserve"> </v>
      </c>
      <c r="B695" s="4" t="str">
        <f ca="1">IF(OR(INDEX($W$2:$W$1001,MATCH(ROWS($V$2:V695),$V$2:$V$1001,0),1)&gt;=100000,INDEX($AC$1005:$AS$1005,1,MATCH(COLUMNS($AC$1006:AC1006),$AC$1006:$AS$1006,0))&gt;=100000), " ",IF(INDEX($AC$2:$AS$1001,MATCH(ROWS($V$2:V695),$V$2:$V$1001,0),MATCH(COLUMNS($AC$1006:AC1006),$AC$1006:$AS$1006,0)), HYPERLINK("#",""), HYPERLINK(CONCATENATE("#metadata!", ADDRESS(INDEX($X$2:$X$1001,MATCH(ROWS($V$2:V695),$V$2:$V$1001,0),0), INDEX($AC$1004:$AS$1004,1,MATCH(COLUMNS($AC$1006:AC1006),$AC$1006:$AS$1006,0)))),"Fix")))</f>
        <v xml:space="preserve"> </v>
      </c>
      <c r="C695" s="4" t="str">
        <f ca="1">IF(OR(INDEX($W$2:$W$1001,MATCH(ROWS($V$2:V695),$V$2:$V$1001,0),1)&gt;=100000,INDEX($AC$1005:$AS$1005,1,MATCH(COLUMNS($AC$1006:AD1006),$AC$1006:$AS$1006,0))&gt;=100000), " ",IF(INDEX($AC$2:$AS$1001,MATCH(ROWS($V$2:V695),$V$2:$V$1001,0),MATCH(COLUMNS($AC$1006:AD1006),$AC$1006:$AS$1006,0)), HYPERLINK("#",""), HYPERLINK(CONCATENATE("#metadata!", ADDRESS(INDEX($X$2:$X$1001,MATCH(ROWS($V$2:V695),$V$2:$V$1001,0),0), INDEX($AC$1004:$AS$1004,1,MATCH(COLUMNS($AC$1006:AD1006),$AC$1006:$AS$1006,0)))),"Fix")))</f>
        <v xml:space="preserve"> </v>
      </c>
      <c r="D695" s="4" t="str">
        <f ca="1">IF(OR(INDEX($W$2:$W$1001,MATCH(ROWS($V$2:V695),$V$2:$V$1001,0),1)&gt;=100000,INDEX($AC$1005:$AS$1005,1,MATCH(COLUMNS($AC$1006:AE1006),$AC$1006:$AS$1006,0))&gt;=100000), " ",IF(INDEX($AC$2:$AS$1001,MATCH(ROWS($V$2:V695),$V$2:$V$1001,0),MATCH(COLUMNS($AC$1006:AE1006),$AC$1006:$AS$1006,0)), HYPERLINK("#",""), HYPERLINK(CONCATENATE("#metadata!", ADDRESS(INDEX($X$2:$X$1001,MATCH(ROWS($V$2:V695),$V$2:$V$1001,0),0), INDEX($AC$1004:$AS$1004,1,MATCH(COLUMNS($AC$1006:AE1006),$AC$1006:$AS$1006,0)))),"Fix")))</f>
        <v xml:space="preserve"> </v>
      </c>
      <c r="E695" s="4" t="str">
        <f ca="1">IF(OR(INDEX($W$2:$W$1001,MATCH(ROWS($V$2:V695),$V$2:$V$1001,0),1)&gt;=100000,INDEX($AC$1005:$AS$1005,1,MATCH(COLUMNS($AC$1006:AF1006),$AC$1006:$AS$1006,0))&gt;=100000), " ",IF(INDEX($AC$2:$AS$1001,MATCH(ROWS($V$2:V695),$V$2:$V$1001,0),MATCH(COLUMNS($AC$1006:AF1006),$AC$1006:$AS$1006,0)), HYPERLINK("#",""), HYPERLINK(CONCATENATE("#metadata!", ADDRESS(INDEX($X$2:$X$1001,MATCH(ROWS($V$2:V695),$V$2:$V$1001,0),0), INDEX($AC$1004:$AS$1004,1,MATCH(COLUMNS($AC$1006:AF1006),$AC$1006:$AS$1006,0)))),"Fix")))</f>
        <v xml:space="preserve"> </v>
      </c>
      <c r="F695" s="4" t="str">
        <f ca="1">IF(OR(INDEX($W$2:$W$1001,MATCH(ROWS($V$2:V695),$V$2:$V$1001,0),1)&gt;=100000,INDEX($AC$1005:$AS$1005,1,MATCH(COLUMNS($AC$1006:AG1006),$AC$1006:$AS$1006,0))&gt;=100000), " ",IF(INDEX($AC$2:$AS$1001,MATCH(ROWS($V$2:V695),$V$2:$V$1001,0),MATCH(COLUMNS($AC$1006:AG1006),$AC$1006:$AS$1006,0)), HYPERLINK("#",""), HYPERLINK(CONCATENATE("#metadata!", ADDRESS(INDEX($X$2:$X$1001,MATCH(ROWS($V$2:V695),$V$2:$V$1001,0),0), INDEX($AC$1004:$AS$1004,1,MATCH(COLUMNS($AC$1006:AG1006),$AC$1006:$AS$1006,0)))),"Fix")))</f>
        <v xml:space="preserve"> </v>
      </c>
      <c r="G695" s="4" t="str">
        <f ca="1">IF(OR(INDEX($W$2:$W$1001,MATCH(ROWS($V$2:V695),$V$2:$V$1001,0),1)&gt;=100000,INDEX($AC$1005:$AS$1005,1,MATCH(COLUMNS($AC$1006:AH1006),$AC$1006:$AS$1006,0))&gt;=100000), " ",IF(INDEX($AC$2:$AS$1001,MATCH(ROWS($V$2:V695),$V$2:$V$1001,0),MATCH(COLUMNS($AC$1006:AH1006),$AC$1006:$AS$1006,0)), HYPERLINK("#",""), HYPERLINK(CONCATENATE("#metadata!", ADDRESS(INDEX($X$2:$X$1001,MATCH(ROWS($V$2:V695),$V$2:$V$1001,0),0), INDEX($AC$1004:$AS$1004,1,MATCH(COLUMNS($AC$1006:AH1006),$AC$1006:$AS$1006,0)))),"Fix")))</f>
        <v xml:space="preserve"> </v>
      </c>
      <c r="H695" s="4" t="str">
        <f ca="1">IF(OR(INDEX($W$2:$W$1001,MATCH(ROWS($V$2:V695),$V$2:$V$1001,0),1)&gt;=100000,INDEX($AC$1005:$AS$1005,1,MATCH(COLUMNS($AC$1006:AI1006),$AC$1006:$AS$1006,0))&gt;=100000), " ",IF(INDEX($AC$2:$AS$1001,MATCH(ROWS($V$2:V695),$V$2:$V$1001,0),MATCH(COLUMNS($AC$1006:AI1006),$AC$1006:$AS$1006,0)), HYPERLINK("#",""), HYPERLINK(CONCATENATE("#metadata!", ADDRESS(INDEX($X$2:$X$1001,MATCH(ROWS($V$2:V695),$V$2:$V$1001,0),0), INDEX($AC$1004:$AS$1004,1,MATCH(COLUMNS($AC$1006:AI1006),$AC$1006:$AS$1006,0)))),"Fix")))</f>
        <v xml:space="preserve"> </v>
      </c>
      <c r="I695" s="4" t="str">
        <f ca="1">IF(OR(INDEX($W$2:$W$1001,MATCH(ROWS($V$2:V695),$V$2:$V$1001,0),1)&gt;=100000,INDEX($AC$1005:$AS$1005,1,MATCH(COLUMNS($AC$1006:AJ1006),$AC$1006:$AS$1006,0))&gt;=100000), " ",IF(INDEX($AC$2:$AS$1001,MATCH(ROWS($V$2:V695),$V$2:$V$1001,0),MATCH(COLUMNS($AC$1006:AJ1006),$AC$1006:$AS$1006,0)), HYPERLINK("#",""), HYPERLINK(CONCATENATE("#metadata!", ADDRESS(INDEX($X$2:$X$1001,MATCH(ROWS($V$2:V695),$V$2:$V$1001,0),0), INDEX($AC$1004:$AS$1004,1,MATCH(COLUMNS($AC$1006:AJ1006),$AC$1006:$AS$1006,0)))),"Fix")))</f>
        <v xml:space="preserve"> </v>
      </c>
      <c r="J695" s="4" t="str">
        <f ca="1">IF(OR(INDEX($W$2:$W$1001,MATCH(ROWS($V$2:V695),$V$2:$V$1001,0),1)&gt;=100000,INDEX($AC$1005:$AS$1005,1,MATCH(COLUMNS($AC$1006:AK1006),$AC$1006:$AS$1006,0))&gt;=100000), " ",IF(INDEX($AC$2:$AS$1001,MATCH(ROWS($V$2:V695),$V$2:$V$1001,0),MATCH(COLUMNS($AC$1006:AK1006),$AC$1006:$AS$1006,0)), HYPERLINK("#",""), HYPERLINK(CONCATENATE("#metadata!", ADDRESS(INDEX($X$2:$X$1001,MATCH(ROWS($V$2:V695),$V$2:$V$1001,0),0), INDEX($AC$1004:$AS$1004,1,MATCH(COLUMNS($AC$1006:AK1006),$AC$1006:$AS$1006,0)))),"Fix")))</f>
        <v xml:space="preserve"> </v>
      </c>
      <c r="K695" s="4" t="str">
        <f ca="1">IF(OR(INDEX($W$2:$W$1001,MATCH(ROWS($V$2:V695),$V$2:$V$1001,0),1)&gt;=100000,INDEX($AC$1005:$AS$1005,1,MATCH(COLUMNS($AC$1006:AL1006),$AC$1006:$AS$1006,0))&gt;=100000), " ",IF(INDEX($AC$2:$AS$1001,MATCH(ROWS($V$2:V695),$V$2:$V$1001,0),MATCH(COLUMNS($AC$1006:AL1006),$AC$1006:$AS$1006,0)), HYPERLINK("#",""), HYPERLINK(CONCATENATE("#metadata!", ADDRESS(INDEX($X$2:$X$1001,MATCH(ROWS($V$2:V695),$V$2:$V$1001,0),0), INDEX($AC$1004:$AS$1004,1,MATCH(COLUMNS($AC$1006:AL1006),$AC$1006:$AS$1006,0)))),"Fix")))</f>
        <v xml:space="preserve"> </v>
      </c>
      <c r="L695" s="4" t="str">
        <f ca="1">IF(OR(INDEX($W$2:$W$1001,MATCH(ROWS($V$2:V695),$V$2:$V$1001,0),1)&gt;=100000,INDEX($AC$1005:$AS$1005,1,MATCH(COLUMNS($AC$1006:AM1006),$AC$1006:$AS$1006,0))&gt;=100000), " ",IF(INDEX($AC$2:$AS$1001,MATCH(ROWS($V$2:V695),$V$2:$V$1001,0),MATCH(COLUMNS($AC$1006:AM1006),$AC$1006:$AS$1006,0)), HYPERLINK("#",""), HYPERLINK(CONCATENATE("#metadata!", ADDRESS(INDEX($X$2:$X$1001,MATCH(ROWS($V$2:V695),$V$2:$V$1001,0),0), INDEX($AC$1004:$AS$1004,1,MATCH(COLUMNS($AC$1006:AM1006),$AC$1006:$AS$1006,0)))),"Fix")))</f>
        <v xml:space="preserve"> </v>
      </c>
      <c r="M695" s="4" t="str">
        <f ca="1">IF(OR(INDEX($W$2:$W$1001,MATCH(ROWS($V$2:V695),$V$2:$V$1001,0),1)&gt;=100000,INDEX($AC$1005:$AS$1005,1,MATCH(COLUMNS($AC$1006:AN1006),$AC$1006:$AS$1006,0))&gt;=100000), " ",IF(INDEX($AC$2:$AS$1001,MATCH(ROWS($V$2:V695),$V$2:$V$1001,0),MATCH(COLUMNS($AC$1006:AN1006),$AC$1006:$AS$1006,0)), HYPERLINK("#",""), HYPERLINK(CONCATENATE("#metadata!", ADDRESS(INDEX($X$2:$X$1001,MATCH(ROWS($V$2:V695),$V$2:$V$1001,0),0), INDEX($AC$1004:$AS$1004,1,MATCH(COLUMNS($AC$1006:AN1006),$AC$1006:$AS$1006,0)))),"Fix")))</f>
        <v xml:space="preserve"> </v>
      </c>
      <c r="N695" s="4" t="str">
        <f ca="1">IF(OR(INDEX($W$2:$W$1001,MATCH(ROWS($V$2:V695),$V$2:$V$1001,0),1)&gt;=100000,INDEX($AC$1005:$AS$1005,1,MATCH(COLUMNS($AC$1006:AO1006),$AC$1006:$AS$1006,0))&gt;=100000), " ",IF(INDEX($AC$2:$AS$1001,MATCH(ROWS($V$2:V695),$V$2:$V$1001,0),MATCH(COLUMNS($AC$1006:AO1006),$AC$1006:$AS$1006,0)), HYPERLINK("#",""), HYPERLINK(CONCATENATE("#metadata!", ADDRESS(INDEX($X$2:$X$1001,MATCH(ROWS($V$2:V695),$V$2:$V$1001,0),0), INDEX($AC$1004:$AS$1004,1,MATCH(COLUMNS($AC$1006:AO1006),$AC$1006:$AS$1006,0)))),"Fix")))</f>
        <v xml:space="preserve"> </v>
      </c>
      <c r="O695" s="4" t="str">
        <f ca="1">IF(OR(INDEX($W$2:$W$1001,MATCH(ROWS($V$2:V695),$V$2:$V$1001,0),1)&gt;=100000,INDEX($AC$1005:$AS$1005,1,MATCH(COLUMNS($AC$1006:AP1006),$AC$1006:$AS$1006,0))&gt;=100000), " ",IF(INDEX($AC$2:$AS$1001,MATCH(ROWS($V$2:V695),$V$2:$V$1001,0),MATCH(COLUMNS($AC$1006:AP1006),$AC$1006:$AS$1006,0)), HYPERLINK("#",""), HYPERLINK(CONCATENATE("#metadata!", ADDRESS(INDEX($X$2:$X$1001,MATCH(ROWS($V$2:V695),$V$2:$V$1001,0),0), INDEX($AC$1004:$AS$1004,1,MATCH(COLUMNS($AC$1006:AP1006),$AC$1006:$AS$1006,0)))),"Fix")))</f>
        <v xml:space="preserve"> </v>
      </c>
      <c r="P695" s="4" t="str">
        <f ca="1">IF(OR(INDEX($W$2:$W$1001,MATCH(ROWS($V$2:V695),$V$2:$V$1001,0),1)&gt;=100000,INDEX($AC$1005:$AS$1005,1,MATCH(COLUMNS($AC$1006:AQ1006),$AC$1006:$AS$1006,0))&gt;=100000), " ",IF(INDEX($AC$2:$AS$1001,MATCH(ROWS($V$2:V695),$V$2:$V$1001,0),MATCH(COLUMNS($AC$1006:AQ1006),$AC$1006:$AS$1006,0)), HYPERLINK("#",""), HYPERLINK(CONCATENATE("#metadata!", ADDRESS(INDEX($X$2:$X$1001,MATCH(ROWS($V$2:V695),$V$2:$V$1001,0),0), INDEX($AC$1004:$AS$1004,1,MATCH(COLUMNS($AC$1006:AQ1006),$AC$1006:$AS$1006,0)))),"Fix")))</f>
        <v xml:space="preserve"> </v>
      </c>
      <c r="Q695" s="4" t="str">
        <f ca="1">IF(OR(INDEX($W$2:$W$1001,MATCH(ROWS($V$2:V695),$V$2:$V$1001,0),1)&gt;=100000,INDEX($AC$1005:$AS$1005,1,MATCH(COLUMNS($AC$1006:AR1006),$AC$1006:$AS$1006,0))&gt;=100000), " ",IF(INDEX($AC$2:$AS$1001,MATCH(ROWS($V$2:V695),$V$2:$V$1001,0),MATCH(COLUMNS($AC$1006:AR1006),$AC$1006:$AS$1006,0)), HYPERLINK("#",""), HYPERLINK(CONCATENATE("#metadata!", ADDRESS(INDEX($X$2:$X$1001,MATCH(ROWS($V$2:V695),$V$2:$V$1001,0),0), INDEX($AC$1004:$AS$1004,1,MATCH(COLUMNS($AC$1006:AR1006),$AC$1006:$AS$1006,0)))),"Fix")))</f>
        <v xml:space="preserve"> </v>
      </c>
      <c r="R695" s="4" t="str">
        <f ca="1">IF(OR(INDEX($W$2:$W$1001,MATCH(ROWS($V$2:V695),$V$2:$V$1001,0),1)&gt;=100000,INDEX($AC$1005:$AS$1005,1,MATCH(COLUMNS($AC$1006:AS1006),$AC$1006:$AS$1006,0))&gt;=100000), " ",IF(INDEX($AC$2:$AS$1001,MATCH(ROWS($V$2:V695),$V$2:$V$1001,0),MATCH(COLUMNS($AC$1006:AS1006),$AC$1006:$AS$1006,0)), HYPERLINK("#",""), HYPERLINK(CONCATENATE("#metadata!", ADDRESS(INDEX($X$2:$X$1001,MATCH(ROWS($V$2:V695),$V$2:$V$1001,0),0), INDEX($AC$1004:$AS$1004,1,MATCH(COLUMNS($AC$1006:AS1006),$AC$1006:$AS$1006,0)))),"Fix")))</f>
        <v xml:space="preserve"> </v>
      </c>
      <c r="V695">
        <v>694</v>
      </c>
      <c r="W695">
        <v>100695</v>
      </c>
      <c r="X695">
        <v>695</v>
      </c>
      <c r="Y695" t="b">
        <f t="shared" si="10"/>
        <v>1</v>
      </c>
      <c r="Z695" t="b">
        <f>COUNTBLANK(metadata!B695:R695)=COLUMNS(metadata!B695:R695)</f>
        <v>1</v>
      </c>
      <c r="AA695" t="str">
        <v/>
      </c>
      <c r="AC695" t="b">
        <f ca="1"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AD695" t="b">
        <f>IF(metadata!C695="",FALSE,ISNUMBER(VALUE(metadata!C695)))</f>
        <v>0</v>
      </c>
      <c r="AE695" t="b">
        <f>AND(IF(metadata!D695="",FALSE,TRUE),EXACT(metadata!D695,"years"))</f>
        <v>0</v>
      </c>
      <c r="AF695" t="b">
        <f>OR(AND(IF(metadata!E695="",FALSE,TRUE),OR(EXACT(metadata!E695,"not applicable"),EXACT(metadata!E695,"missing: not collected"),EXACT(metadata!E695,"missing: not provided"),EXACT(metadata!E695,"missing: restricted access"))),AND(IF(metadata!E695="",FALSE,ISNUMBER(VALUE(metadata!E695))),metadata!E695&gt;0))</f>
        <v>0</v>
      </c>
      <c r="AG695" t="b">
        <f>AND(IF(metadata!F695="",FALSE,TRUE),EXACT(metadata!F695,"Not applicable"))</f>
        <v>0</v>
      </c>
      <c r="AH695" t="b">
        <f>AND(IF(metadata!G695="",FALSE,TRUE),EXACT(metadata!G695,"urban biome"))</f>
        <v>0</v>
      </c>
      <c r="AI695" t="b">
        <f>AND(IF(metadata!H695="",FALSE,TRUE),EXACT(metadata!H695,"human-associated habitat"))</f>
        <v>0</v>
      </c>
      <c r="AJ695" t="b">
        <f>AND(IF(metadata!I695="",FALSE,TRUE),OR(EXACT(metadata!I695,"human-associated"),EXACT(metadata!I695,"human-skin"),EXACT(metadata!I695,"human-oral"),EXACT(metadata!I695,"human-gut"),EXACT(metadata!I695,"human-vaginal")))</f>
        <v>0</v>
      </c>
      <c r="AK695" t="b">
        <f>IF(metadata!J695="",FALSE,ISNUMBER(VALUE(metadata!J695)))</f>
        <v>0</v>
      </c>
      <c r="AL695" t="b">
        <f>AND(IF(metadata!K695="",FALSE,TRUE),EXACT(metadata!K695,"cm"))</f>
        <v>0</v>
      </c>
      <c r="AM695" t="b">
        <f>AND(IF(metadata!L695="",FALSE,TRUE),EXACT(metadata!L695,"human"))</f>
        <v>0</v>
      </c>
      <c r="AN695" t="b">
        <f>AND(IF(metadata!M695="",FALSE,TRUE),EXACT(metadata!M695,"Homo sapiens"))</f>
        <v>0</v>
      </c>
      <c r="AO695" t="b">
        <f>AND(IF(metadata!N695="",FALSE,TRUE),EXACT(metadata!N695,"9606"))</f>
        <v>0</v>
      </c>
      <c r="AP695" t="b">
        <f>IF(metadata!O695="",FALSE,TRUE)</f>
        <v>0</v>
      </c>
      <c r="AQ695" t="b">
        <f>IF(metadata!P695="",FALSE,TRUE)</f>
        <v>0</v>
      </c>
      <c r="AR695" t="b">
        <f>IF(metadata!Q695="",FALSE,ISNUMBER(VALUE(metadata!Q695)))</f>
        <v>0</v>
      </c>
      <c r="AS695" t="b">
        <f>AND(IF(metadata!R695="",FALSE,TRUE),EXACT(metadata!R695,"kg"))</f>
        <v>0</v>
      </c>
    </row>
    <row r="696" spans="1:45" x14ac:dyDescent="0.2">
      <c r="A696" s="5" t="str">
        <f ca="1">IF(B696=" "," ",HYPERLINK(CONCATENATE("#metadata!",ADDRESS(INDEX($X$2:$X$1001,MATCH(ROWS($V$2:V696),$V$2:$V$1001,0),0),1)),INDEX($AA$2:$AA$1001,MATCH(ROWS($V$2:V696),$V$2:$V$1001,0),0)))</f>
        <v xml:space="preserve"> </v>
      </c>
      <c r="B696" s="4" t="str">
        <f ca="1">IF(OR(INDEX($W$2:$W$1001,MATCH(ROWS($V$2:V696),$V$2:$V$1001,0),1)&gt;=100000,INDEX($AC$1005:$AS$1005,1,MATCH(COLUMNS($AC$1006:AC1006),$AC$1006:$AS$1006,0))&gt;=100000), " ",IF(INDEX($AC$2:$AS$1001,MATCH(ROWS($V$2:V696),$V$2:$V$1001,0),MATCH(COLUMNS($AC$1006:AC1006),$AC$1006:$AS$1006,0)), HYPERLINK("#",""), HYPERLINK(CONCATENATE("#metadata!", ADDRESS(INDEX($X$2:$X$1001,MATCH(ROWS($V$2:V696),$V$2:$V$1001,0),0), INDEX($AC$1004:$AS$1004,1,MATCH(COLUMNS($AC$1006:AC1006),$AC$1006:$AS$1006,0)))),"Fix")))</f>
        <v xml:space="preserve"> </v>
      </c>
      <c r="C696" s="4" t="str">
        <f ca="1">IF(OR(INDEX($W$2:$W$1001,MATCH(ROWS($V$2:V696),$V$2:$V$1001,0),1)&gt;=100000,INDEX($AC$1005:$AS$1005,1,MATCH(COLUMNS($AC$1006:AD1006),$AC$1006:$AS$1006,0))&gt;=100000), " ",IF(INDEX($AC$2:$AS$1001,MATCH(ROWS($V$2:V696),$V$2:$V$1001,0),MATCH(COLUMNS($AC$1006:AD1006),$AC$1006:$AS$1006,0)), HYPERLINK("#",""), HYPERLINK(CONCATENATE("#metadata!", ADDRESS(INDEX($X$2:$X$1001,MATCH(ROWS($V$2:V696),$V$2:$V$1001,0),0), INDEX($AC$1004:$AS$1004,1,MATCH(COLUMNS($AC$1006:AD1006),$AC$1006:$AS$1006,0)))),"Fix")))</f>
        <v xml:space="preserve"> </v>
      </c>
      <c r="D696" s="4" t="str">
        <f ca="1">IF(OR(INDEX($W$2:$W$1001,MATCH(ROWS($V$2:V696),$V$2:$V$1001,0),1)&gt;=100000,INDEX($AC$1005:$AS$1005,1,MATCH(COLUMNS($AC$1006:AE1006),$AC$1006:$AS$1006,0))&gt;=100000), " ",IF(INDEX($AC$2:$AS$1001,MATCH(ROWS($V$2:V696),$V$2:$V$1001,0),MATCH(COLUMNS($AC$1006:AE1006),$AC$1006:$AS$1006,0)), HYPERLINK("#",""), HYPERLINK(CONCATENATE("#metadata!", ADDRESS(INDEX($X$2:$X$1001,MATCH(ROWS($V$2:V696),$V$2:$V$1001,0),0), INDEX($AC$1004:$AS$1004,1,MATCH(COLUMNS($AC$1006:AE1006),$AC$1006:$AS$1006,0)))),"Fix")))</f>
        <v xml:space="preserve"> </v>
      </c>
      <c r="E696" s="4" t="str">
        <f ca="1">IF(OR(INDEX($W$2:$W$1001,MATCH(ROWS($V$2:V696),$V$2:$V$1001,0),1)&gt;=100000,INDEX($AC$1005:$AS$1005,1,MATCH(COLUMNS($AC$1006:AF1006),$AC$1006:$AS$1006,0))&gt;=100000), " ",IF(INDEX($AC$2:$AS$1001,MATCH(ROWS($V$2:V696),$V$2:$V$1001,0),MATCH(COLUMNS($AC$1006:AF1006),$AC$1006:$AS$1006,0)), HYPERLINK("#",""), HYPERLINK(CONCATENATE("#metadata!", ADDRESS(INDEX($X$2:$X$1001,MATCH(ROWS($V$2:V696),$V$2:$V$1001,0),0), INDEX($AC$1004:$AS$1004,1,MATCH(COLUMNS($AC$1006:AF1006),$AC$1006:$AS$1006,0)))),"Fix")))</f>
        <v xml:space="preserve"> </v>
      </c>
      <c r="F696" s="4" t="str">
        <f ca="1">IF(OR(INDEX($W$2:$W$1001,MATCH(ROWS($V$2:V696),$V$2:$V$1001,0),1)&gt;=100000,INDEX($AC$1005:$AS$1005,1,MATCH(COLUMNS($AC$1006:AG1006),$AC$1006:$AS$1006,0))&gt;=100000), " ",IF(INDEX($AC$2:$AS$1001,MATCH(ROWS($V$2:V696),$V$2:$V$1001,0),MATCH(COLUMNS($AC$1006:AG1006),$AC$1006:$AS$1006,0)), HYPERLINK("#",""), HYPERLINK(CONCATENATE("#metadata!", ADDRESS(INDEX($X$2:$X$1001,MATCH(ROWS($V$2:V696),$V$2:$V$1001,0),0), INDEX($AC$1004:$AS$1004,1,MATCH(COLUMNS($AC$1006:AG1006),$AC$1006:$AS$1006,0)))),"Fix")))</f>
        <v xml:space="preserve"> </v>
      </c>
      <c r="G696" s="4" t="str">
        <f ca="1">IF(OR(INDEX($W$2:$W$1001,MATCH(ROWS($V$2:V696),$V$2:$V$1001,0),1)&gt;=100000,INDEX($AC$1005:$AS$1005,1,MATCH(COLUMNS($AC$1006:AH1006),$AC$1006:$AS$1006,0))&gt;=100000), " ",IF(INDEX($AC$2:$AS$1001,MATCH(ROWS($V$2:V696),$V$2:$V$1001,0),MATCH(COLUMNS($AC$1006:AH1006),$AC$1006:$AS$1006,0)), HYPERLINK("#",""), HYPERLINK(CONCATENATE("#metadata!", ADDRESS(INDEX($X$2:$X$1001,MATCH(ROWS($V$2:V696),$V$2:$V$1001,0),0), INDEX($AC$1004:$AS$1004,1,MATCH(COLUMNS($AC$1006:AH1006),$AC$1006:$AS$1006,0)))),"Fix")))</f>
        <v xml:space="preserve"> </v>
      </c>
      <c r="H696" s="4" t="str">
        <f ca="1">IF(OR(INDEX($W$2:$W$1001,MATCH(ROWS($V$2:V696),$V$2:$V$1001,0),1)&gt;=100000,INDEX($AC$1005:$AS$1005,1,MATCH(COLUMNS($AC$1006:AI1006),$AC$1006:$AS$1006,0))&gt;=100000), " ",IF(INDEX($AC$2:$AS$1001,MATCH(ROWS($V$2:V696),$V$2:$V$1001,0),MATCH(COLUMNS($AC$1006:AI1006),$AC$1006:$AS$1006,0)), HYPERLINK("#",""), HYPERLINK(CONCATENATE("#metadata!", ADDRESS(INDEX($X$2:$X$1001,MATCH(ROWS($V$2:V696),$V$2:$V$1001,0),0), INDEX($AC$1004:$AS$1004,1,MATCH(COLUMNS($AC$1006:AI1006),$AC$1006:$AS$1006,0)))),"Fix")))</f>
        <v xml:space="preserve"> </v>
      </c>
      <c r="I696" s="4" t="str">
        <f ca="1">IF(OR(INDEX($W$2:$W$1001,MATCH(ROWS($V$2:V696),$V$2:$V$1001,0),1)&gt;=100000,INDEX($AC$1005:$AS$1005,1,MATCH(COLUMNS($AC$1006:AJ1006),$AC$1006:$AS$1006,0))&gt;=100000), " ",IF(INDEX($AC$2:$AS$1001,MATCH(ROWS($V$2:V696),$V$2:$V$1001,0),MATCH(COLUMNS($AC$1006:AJ1006),$AC$1006:$AS$1006,0)), HYPERLINK("#",""), HYPERLINK(CONCATENATE("#metadata!", ADDRESS(INDEX($X$2:$X$1001,MATCH(ROWS($V$2:V696),$V$2:$V$1001,0),0), INDEX($AC$1004:$AS$1004,1,MATCH(COLUMNS($AC$1006:AJ1006),$AC$1006:$AS$1006,0)))),"Fix")))</f>
        <v xml:space="preserve"> </v>
      </c>
      <c r="J696" s="4" t="str">
        <f ca="1">IF(OR(INDEX($W$2:$W$1001,MATCH(ROWS($V$2:V696),$V$2:$V$1001,0),1)&gt;=100000,INDEX($AC$1005:$AS$1005,1,MATCH(COLUMNS($AC$1006:AK1006),$AC$1006:$AS$1006,0))&gt;=100000), " ",IF(INDEX($AC$2:$AS$1001,MATCH(ROWS($V$2:V696),$V$2:$V$1001,0),MATCH(COLUMNS($AC$1006:AK1006),$AC$1006:$AS$1006,0)), HYPERLINK("#",""), HYPERLINK(CONCATENATE("#metadata!", ADDRESS(INDEX($X$2:$X$1001,MATCH(ROWS($V$2:V696),$V$2:$V$1001,0),0), INDEX($AC$1004:$AS$1004,1,MATCH(COLUMNS($AC$1006:AK1006),$AC$1006:$AS$1006,0)))),"Fix")))</f>
        <v xml:space="preserve"> </v>
      </c>
      <c r="K696" s="4" t="str">
        <f ca="1">IF(OR(INDEX($W$2:$W$1001,MATCH(ROWS($V$2:V696),$V$2:$V$1001,0),1)&gt;=100000,INDEX($AC$1005:$AS$1005,1,MATCH(COLUMNS($AC$1006:AL1006),$AC$1006:$AS$1006,0))&gt;=100000), " ",IF(INDEX($AC$2:$AS$1001,MATCH(ROWS($V$2:V696),$V$2:$V$1001,0),MATCH(COLUMNS($AC$1006:AL1006),$AC$1006:$AS$1006,0)), HYPERLINK("#",""), HYPERLINK(CONCATENATE("#metadata!", ADDRESS(INDEX($X$2:$X$1001,MATCH(ROWS($V$2:V696),$V$2:$V$1001,0),0), INDEX($AC$1004:$AS$1004,1,MATCH(COLUMNS($AC$1006:AL1006),$AC$1006:$AS$1006,0)))),"Fix")))</f>
        <v xml:space="preserve"> </v>
      </c>
      <c r="L696" s="4" t="str">
        <f ca="1">IF(OR(INDEX($W$2:$W$1001,MATCH(ROWS($V$2:V696),$V$2:$V$1001,0),1)&gt;=100000,INDEX($AC$1005:$AS$1005,1,MATCH(COLUMNS($AC$1006:AM1006),$AC$1006:$AS$1006,0))&gt;=100000), " ",IF(INDEX($AC$2:$AS$1001,MATCH(ROWS($V$2:V696),$V$2:$V$1001,0),MATCH(COLUMNS($AC$1006:AM1006),$AC$1006:$AS$1006,0)), HYPERLINK("#",""), HYPERLINK(CONCATENATE("#metadata!", ADDRESS(INDEX($X$2:$X$1001,MATCH(ROWS($V$2:V696),$V$2:$V$1001,0),0), INDEX($AC$1004:$AS$1004,1,MATCH(COLUMNS($AC$1006:AM1006),$AC$1006:$AS$1006,0)))),"Fix")))</f>
        <v xml:space="preserve"> </v>
      </c>
      <c r="M696" s="4" t="str">
        <f ca="1">IF(OR(INDEX($W$2:$W$1001,MATCH(ROWS($V$2:V696),$V$2:$V$1001,0),1)&gt;=100000,INDEX($AC$1005:$AS$1005,1,MATCH(COLUMNS($AC$1006:AN1006),$AC$1006:$AS$1006,0))&gt;=100000), " ",IF(INDEX($AC$2:$AS$1001,MATCH(ROWS($V$2:V696),$V$2:$V$1001,0),MATCH(COLUMNS($AC$1006:AN1006),$AC$1006:$AS$1006,0)), HYPERLINK("#",""), HYPERLINK(CONCATENATE("#metadata!", ADDRESS(INDEX($X$2:$X$1001,MATCH(ROWS($V$2:V696),$V$2:$V$1001,0),0), INDEX($AC$1004:$AS$1004,1,MATCH(COLUMNS($AC$1006:AN1006),$AC$1006:$AS$1006,0)))),"Fix")))</f>
        <v xml:space="preserve"> </v>
      </c>
      <c r="N696" s="4" t="str">
        <f ca="1">IF(OR(INDEX($W$2:$W$1001,MATCH(ROWS($V$2:V696),$V$2:$V$1001,0),1)&gt;=100000,INDEX($AC$1005:$AS$1005,1,MATCH(COLUMNS($AC$1006:AO1006),$AC$1006:$AS$1006,0))&gt;=100000), " ",IF(INDEX($AC$2:$AS$1001,MATCH(ROWS($V$2:V696),$V$2:$V$1001,0),MATCH(COLUMNS($AC$1006:AO1006),$AC$1006:$AS$1006,0)), HYPERLINK("#",""), HYPERLINK(CONCATENATE("#metadata!", ADDRESS(INDEX($X$2:$X$1001,MATCH(ROWS($V$2:V696),$V$2:$V$1001,0),0), INDEX($AC$1004:$AS$1004,1,MATCH(COLUMNS($AC$1006:AO1006),$AC$1006:$AS$1006,0)))),"Fix")))</f>
        <v xml:space="preserve"> </v>
      </c>
      <c r="O696" s="4" t="str">
        <f ca="1">IF(OR(INDEX($W$2:$W$1001,MATCH(ROWS($V$2:V696),$V$2:$V$1001,0),1)&gt;=100000,INDEX($AC$1005:$AS$1005,1,MATCH(COLUMNS($AC$1006:AP1006),$AC$1006:$AS$1006,0))&gt;=100000), " ",IF(INDEX($AC$2:$AS$1001,MATCH(ROWS($V$2:V696),$V$2:$V$1001,0),MATCH(COLUMNS($AC$1006:AP1006),$AC$1006:$AS$1006,0)), HYPERLINK("#",""), HYPERLINK(CONCATENATE("#metadata!", ADDRESS(INDEX($X$2:$X$1001,MATCH(ROWS($V$2:V696),$V$2:$V$1001,0),0), INDEX($AC$1004:$AS$1004,1,MATCH(COLUMNS($AC$1006:AP1006),$AC$1006:$AS$1006,0)))),"Fix")))</f>
        <v xml:space="preserve"> </v>
      </c>
      <c r="P696" s="4" t="str">
        <f ca="1">IF(OR(INDEX($W$2:$W$1001,MATCH(ROWS($V$2:V696),$V$2:$V$1001,0),1)&gt;=100000,INDEX($AC$1005:$AS$1005,1,MATCH(COLUMNS($AC$1006:AQ1006),$AC$1006:$AS$1006,0))&gt;=100000), " ",IF(INDEX($AC$2:$AS$1001,MATCH(ROWS($V$2:V696),$V$2:$V$1001,0),MATCH(COLUMNS($AC$1006:AQ1006),$AC$1006:$AS$1006,0)), HYPERLINK("#",""), HYPERLINK(CONCATENATE("#metadata!", ADDRESS(INDEX($X$2:$X$1001,MATCH(ROWS($V$2:V696),$V$2:$V$1001,0),0), INDEX($AC$1004:$AS$1004,1,MATCH(COLUMNS($AC$1006:AQ1006),$AC$1006:$AS$1006,0)))),"Fix")))</f>
        <v xml:space="preserve"> </v>
      </c>
      <c r="Q696" s="4" t="str">
        <f ca="1">IF(OR(INDEX($W$2:$W$1001,MATCH(ROWS($V$2:V696),$V$2:$V$1001,0),1)&gt;=100000,INDEX($AC$1005:$AS$1005,1,MATCH(COLUMNS($AC$1006:AR1006),$AC$1006:$AS$1006,0))&gt;=100000), " ",IF(INDEX($AC$2:$AS$1001,MATCH(ROWS($V$2:V696),$V$2:$V$1001,0),MATCH(COLUMNS($AC$1006:AR1006),$AC$1006:$AS$1006,0)), HYPERLINK("#",""), HYPERLINK(CONCATENATE("#metadata!", ADDRESS(INDEX($X$2:$X$1001,MATCH(ROWS($V$2:V696),$V$2:$V$1001,0),0), INDEX($AC$1004:$AS$1004,1,MATCH(COLUMNS($AC$1006:AR1006),$AC$1006:$AS$1006,0)))),"Fix")))</f>
        <v xml:space="preserve"> </v>
      </c>
      <c r="R696" s="4" t="str">
        <f ca="1">IF(OR(INDEX($W$2:$W$1001,MATCH(ROWS($V$2:V696),$V$2:$V$1001,0),1)&gt;=100000,INDEX($AC$1005:$AS$1005,1,MATCH(COLUMNS($AC$1006:AS1006),$AC$1006:$AS$1006,0))&gt;=100000), " ",IF(INDEX($AC$2:$AS$1001,MATCH(ROWS($V$2:V696),$V$2:$V$1001,0),MATCH(COLUMNS($AC$1006:AS1006),$AC$1006:$AS$1006,0)), HYPERLINK("#",""), HYPERLINK(CONCATENATE("#metadata!", ADDRESS(INDEX($X$2:$X$1001,MATCH(ROWS($V$2:V696),$V$2:$V$1001,0),0), INDEX($AC$1004:$AS$1004,1,MATCH(COLUMNS($AC$1006:AS1006),$AC$1006:$AS$1006,0)))),"Fix")))</f>
        <v xml:space="preserve"> </v>
      </c>
      <c r="V696">
        <v>695</v>
      </c>
      <c r="W696">
        <v>100696</v>
      </c>
      <c r="X696">
        <v>696</v>
      </c>
      <c r="Y696" t="b">
        <f t="shared" si="10"/>
        <v>1</v>
      </c>
      <c r="Z696" t="b">
        <f>COUNTBLANK(metadata!B696:R696)=COLUMNS(metadata!B696:R696)</f>
        <v>1</v>
      </c>
      <c r="AA696" t="str">
        <v/>
      </c>
      <c r="AC696" t="b">
        <f ca="1"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AD696" t="b">
        <f>IF(metadata!C696="",FALSE,ISNUMBER(VALUE(metadata!C696)))</f>
        <v>0</v>
      </c>
      <c r="AE696" t="b">
        <f>AND(IF(metadata!D696="",FALSE,TRUE),EXACT(metadata!D696,"years"))</f>
        <v>0</v>
      </c>
      <c r="AF696" t="b">
        <f>OR(AND(IF(metadata!E696="",FALSE,TRUE),OR(EXACT(metadata!E696,"not applicable"),EXACT(metadata!E696,"missing: not collected"),EXACT(metadata!E696,"missing: not provided"),EXACT(metadata!E696,"missing: restricted access"))),AND(IF(metadata!E696="",FALSE,ISNUMBER(VALUE(metadata!E696))),metadata!E696&gt;0))</f>
        <v>0</v>
      </c>
      <c r="AG696" t="b">
        <f>AND(IF(metadata!F696="",FALSE,TRUE),EXACT(metadata!F696,"Not applicable"))</f>
        <v>0</v>
      </c>
      <c r="AH696" t="b">
        <f>AND(IF(metadata!G696="",FALSE,TRUE),EXACT(metadata!G696,"urban biome"))</f>
        <v>0</v>
      </c>
      <c r="AI696" t="b">
        <f>AND(IF(metadata!H696="",FALSE,TRUE),EXACT(metadata!H696,"human-associated habitat"))</f>
        <v>0</v>
      </c>
      <c r="AJ696" t="b">
        <f>AND(IF(metadata!I696="",FALSE,TRUE),OR(EXACT(metadata!I696,"human-associated"),EXACT(metadata!I696,"human-skin"),EXACT(metadata!I696,"human-oral"),EXACT(metadata!I696,"human-gut"),EXACT(metadata!I696,"human-vaginal")))</f>
        <v>0</v>
      </c>
      <c r="AK696" t="b">
        <f>IF(metadata!J696="",FALSE,ISNUMBER(VALUE(metadata!J696)))</f>
        <v>0</v>
      </c>
      <c r="AL696" t="b">
        <f>AND(IF(metadata!K696="",FALSE,TRUE),EXACT(metadata!K696,"cm"))</f>
        <v>0</v>
      </c>
      <c r="AM696" t="b">
        <f>AND(IF(metadata!L696="",FALSE,TRUE),EXACT(metadata!L696,"human"))</f>
        <v>0</v>
      </c>
      <c r="AN696" t="b">
        <f>AND(IF(metadata!M696="",FALSE,TRUE),EXACT(metadata!M696,"Homo sapiens"))</f>
        <v>0</v>
      </c>
      <c r="AO696" t="b">
        <f>AND(IF(metadata!N696="",FALSE,TRUE),EXACT(metadata!N696,"9606"))</f>
        <v>0</v>
      </c>
      <c r="AP696" t="b">
        <f>IF(metadata!O696="",FALSE,TRUE)</f>
        <v>0</v>
      </c>
      <c r="AQ696" t="b">
        <f>IF(metadata!P696="",FALSE,TRUE)</f>
        <v>0</v>
      </c>
      <c r="AR696" t="b">
        <f>IF(metadata!Q696="",FALSE,ISNUMBER(VALUE(metadata!Q696)))</f>
        <v>0</v>
      </c>
      <c r="AS696" t="b">
        <f>AND(IF(metadata!R696="",FALSE,TRUE),EXACT(metadata!R696,"kg"))</f>
        <v>0</v>
      </c>
    </row>
    <row r="697" spans="1:45" x14ac:dyDescent="0.2">
      <c r="A697" s="5" t="str">
        <f ca="1">IF(B697=" "," ",HYPERLINK(CONCATENATE("#metadata!",ADDRESS(INDEX($X$2:$X$1001,MATCH(ROWS($V$2:V697),$V$2:$V$1001,0),0),1)),INDEX($AA$2:$AA$1001,MATCH(ROWS($V$2:V697),$V$2:$V$1001,0),0)))</f>
        <v xml:space="preserve"> </v>
      </c>
      <c r="B697" s="4" t="str">
        <f ca="1">IF(OR(INDEX($W$2:$W$1001,MATCH(ROWS($V$2:V697),$V$2:$V$1001,0),1)&gt;=100000,INDEX($AC$1005:$AS$1005,1,MATCH(COLUMNS($AC$1006:AC1006),$AC$1006:$AS$1006,0))&gt;=100000), " ",IF(INDEX($AC$2:$AS$1001,MATCH(ROWS($V$2:V697),$V$2:$V$1001,0),MATCH(COLUMNS($AC$1006:AC1006),$AC$1006:$AS$1006,0)), HYPERLINK("#",""), HYPERLINK(CONCATENATE("#metadata!", ADDRESS(INDEX($X$2:$X$1001,MATCH(ROWS($V$2:V697),$V$2:$V$1001,0),0), INDEX($AC$1004:$AS$1004,1,MATCH(COLUMNS($AC$1006:AC1006),$AC$1006:$AS$1006,0)))),"Fix")))</f>
        <v xml:space="preserve"> </v>
      </c>
      <c r="C697" s="4" t="str">
        <f ca="1">IF(OR(INDEX($W$2:$W$1001,MATCH(ROWS($V$2:V697),$V$2:$V$1001,0),1)&gt;=100000,INDEX($AC$1005:$AS$1005,1,MATCH(COLUMNS($AC$1006:AD1006),$AC$1006:$AS$1006,0))&gt;=100000), " ",IF(INDEX($AC$2:$AS$1001,MATCH(ROWS($V$2:V697),$V$2:$V$1001,0),MATCH(COLUMNS($AC$1006:AD1006),$AC$1006:$AS$1006,0)), HYPERLINK("#",""), HYPERLINK(CONCATENATE("#metadata!", ADDRESS(INDEX($X$2:$X$1001,MATCH(ROWS($V$2:V697),$V$2:$V$1001,0),0), INDEX($AC$1004:$AS$1004,1,MATCH(COLUMNS($AC$1006:AD1006),$AC$1006:$AS$1006,0)))),"Fix")))</f>
        <v xml:space="preserve"> </v>
      </c>
      <c r="D697" s="4" t="str">
        <f ca="1">IF(OR(INDEX($W$2:$W$1001,MATCH(ROWS($V$2:V697),$V$2:$V$1001,0),1)&gt;=100000,INDEX($AC$1005:$AS$1005,1,MATCH(COLUMNS($AC$1006:AE1006),$AC$1006:$AS$1006,0))&gt;=100000), " ",IF(INDEX($AC$2:$AS$1001,MATCH(ROWS($V$2:V697),$V$2:$V$1001,0),MATCH(COLUMNS($AC$1006:AE1006),$AC$1006:$AS$1006,0)), HYPERLINK("#",""), HYPERLINK(CONCATENATE("#metadata!", ADDRESS(INDEX($X$2:$X$1001,MATCH(ROWS($V$2:V697),$V$2:$V$1001,0),0), INDEX($AC$1004:$AS$1004,1,MATCH(COLUMNS($AC$1006:AE1006),$AC$1006:$AS$1006,0)))),"Fix")))</f>
        <v xml:space="preserve"> </v>
      </c>
      <c r="E697" s="4" t="str">
        <f ca="1">IF(OR(INDEX($W$2:$W$1001,MATCH(ROWS($V$2:V697),$V$2:$V$1001,0),1)&gt;=100000,INDEX($AC$1005:$AS$1005,1,MATCH(COLUMNS($AC$1006:AF1006),$AC$1006:$AS$1006,0))&gt;=100000), " ",IF(INDEX($AC$2:$AS$1001,MATCH(ROWS($V$2:V697),$V$2:$V$1001,0),MATCH(COLUMNS($AC$1006:AF1006),$AC$1006:$AS$1006,0)), HYPERLINK("#",""), HYPERLINK(CONCATENATE("#metadata!", ADDRESS(INDEX($X$2:$X$1001,MATCH(ROWS($V$2:V697),$V$2:$V$1001,0),0), INDEX($AC$1004:$AS$1004,1,MATCH(COLUMNS($AC$1006:AF1006),$AC$1006:$AS$1006,0)))),"Fix")))</f>
        <v xml:space="preserve"> </v>
      </c>
      <c r="F697" s="4" t="str">
        <f ca="1">IF(OR(INDEX($W$2:$W$1001,MATCH(ROWS($V$2:V697),$V$2:$V$1001,0),1)&gt;=100000,INDEX($AC$1005:$AS$1005,1,MATCH(COLUMNS($AC$1006:AG1006),$AC$1006:$AS$1006,0))&gt;=100000), " ",IF(INDEX($AC$2:$AS$1001,MATCH(ROWS($V$2:V697),$V$2:$V$1001,0),MATCH(COLUMNS($AC$1006:AG1006),$AC$1006:$AS$1006,0)), HYPERLINK("#",""), HYPERLINK(CONCATENATE("#metadata!", ADDRESS(INDEX($X$2:$X$1001,MATCH(ROWS($V$2:V697),$V$2:$V$1001,0),0), INDEX($AC$1004:$AS$1004,1,MATCH(COLUMNS($AC$1006:AG1006),$AC$1006:$AS$1006,0)))),"Fix")))</f>
        <v xml:space="preserve"> </v>
      </c>
      <c r="G697" s="4" t="str">
        <f ca="1">IF(OR(INDEX($W$2:$W$1001,MATCH(ROWS($V$2:V697),$V$2:$V$1001,0),1)&gt;=100000,INDEX($AC$1005:$AS$1005,1,MATCH(COLUMNS($AC$1006:AH1006),$AC$1006:$AS$1006,0))&gt;=100000), " ",IF(INDEX($AC$2:$AS$1001,MATCH(ROWS($V$2:V697),$V$2:$V$1001,0),MATCH(COLUMNS($AC$1006:AH1006),$AC$1006:$AS$1006,0)), HYPERLINK("#",""), HYPERLINK(CONCATENATE("#metadata!", ADDRESS(INDEX($X$2:$X$1001,MATCH(ROWS($V$2:V697),$V$2:$V$1001,0),0), INDEX($AC$1004:$AS$1004,1,MATCH(COLUMNS($AC$1006:AH1006),$AC$1006:$AS$1006,0)))),"Fix")))</f>
        <v xml:space="preserve"> </v>
      </c>
      <c r="H697" s="4" t="str">
        <f ca="1">IF(OR(INDEX($W$2:$W$1001,MATCH(ROWS($V$2:V697),$V$2:$V$1001,0),1)&gt;=100000,INDEX($AC$1005:$AS$1005,1,MATCH(COLUMNS($AC$1006:AI1006),$AC$1006:$AS$1006,0))&gt;=100000), " ",IF(INDEX($AC$2:$AS$1001,MATCH(ROWS($V$2:V697),$V$2:$V$1001,0),MATCH(COLUMNS($AC$1006:AI1006),$AC$1006:$AS$1006,0)), HYPERLINK("#",""), HYPERLINK(CONCATENATE("#metadata!", ADDRESS(INDEX($X$2:$X$1001,MATCH(ROWS($V$2:V697),$V$2:$V$1001,0),0), INDEX($AC$1004:$AS$1004,1,MATCH(COLUMNS($AC$1006:AI1006),$AC$1006:$AS$1006,0)))),"Fix")))</f>
        <v xml:space="preserve"> </v>
      </c>
      <c r="I697" s="4" t="str">
        <f ca="1">IF(OR(INDEX($W$2:$W$1001,MATCH(ROWS($V$2:V697),$V$2:$V$1001,0),1)&gt;=100000,INDEX($AC$1005:$AS$1005,1,MATCH(COLUMNS($AC$1006:AJ1006),$AC$1006:$AS$1006,0))&gt;=100000), " ",IF(INDEX($AC$2:$AS$1001,MATCH(ROWS($V$2:V697),$V$2:$V$1001,0),MATCH(COLUMNS($AC$1006:AJ1006),$AC$1006:$AS$1006,0)), HYPERLINK("#",""), HYPERLINK(CONCATENATE("#metadata!", ADDRESS(INDEX($X$2:$X$1001,MATCH(ROWS($V$2:V697),$V$2:$V$1001,0),0), INDEX($AC$1004:$AS$1004,1,MATCH(COLUMNS($AC$1006:AJ1006),$AC$1006:$AS$1006,0)))),"Fix")))</f>
        <v xml:space="preserve"> </v>
      </c>
      <c r="J697" s="4" t="str">
        <f ca="1">IF(OR(INDEX($W$2:$W$1001,MATCH(ROWS($V$2:V697),$V$2:$V$1001,0),1)&gt;=100000,INDEX($AC$1005:$AS$1005,1,MATCH(COLUMNS($AC$1006:AK1006),$AC$1006:$AS$1006,0))&gt;=100000), " ",IF(INDEX($AC$2:$AS$1001,MATCH(ROWS($V$2:V697),$V$2:$V$1001,0),MATCH(COLUMNS($AC$1006:AK1006),$AC$1006:$AS$1006,0)), HYPERLINK("#",""), HYPERLINK(CONCATENATE("#metadata!", ADDRESS(INDEX($X$2:$X$1001,MATCH(ROWS($V$2:V697),$V$2:$V$1001,0),0), INDEX($AC$1004:$AS$1004,1,MATCH(COLUMNS($AC$1006:AK1006),$AC$1006:$AS$1006,0)))),"Fix")))</f>
        <v xml:space="preserve"> </v>
      </c>
      <c r="K697" s="4" t="str">
        <f ca="1">IF(OR(INDEX($W$2:$W$1001,MATCH(ROWS($V$2:V697),$V$2:$V$1001,0),1)&gt;=100000,INDEX($AC$1005:$AS$1005,1,MATCH(COLUMNS($AC$1006:AL1006),$AC$1006:$AS$1006,0))&gt;=100000), " ",IF(INDEX($AC$2:$AS$1001,MATCH(ROWS($V$2:V697),$V$2:$V$1001,0),MATCH(COLUMNS($AC$1006:AL1006),$AC$1006:$AS$1006,0)), HYPERLINK("#",""), HYPERLINK(CONCATENATE("#metadata!", ADDRESS(INDEX($X$2:$X$1001,MATCH(ROWS($V$2:V697),$V$2:$V$1001,0),0), INDEX($AC$1004:$AS$1004,1,MATCH(COLUMNS($AC$1006:AL1006),$AC$1006:$AS$1006,0)))),"Fix")))</f>
        <v xml:space="preserve"> </v>
      </c>
      <c r="L697" s="4" t="str">
        <f ca="1">IF(OR(INDEX($W$2:$W$1001,MATCH(ROWS($V$2:V697),$V$2:$V$1001,0),1)&gt;=100000,INDEX($AC$1005:$AS$1005,1,MATCH(COLUMNS($AC$1006:AM1006),$AC$1006:$AS$1006,0))&gt;=100000), " ",IF(INDEX($AC$2:$AS$1001,MATCH(ROWS($V$2:V697),$V$2:$V$1001,0),MATCH(COLUMNS($AC$1006:AM1006),$AC$1006:$AS$1006,0)), HYPERLINK("#",""), HYPERLINK(CONCATENATE("#metadata!", ADDRESS(INDEX($X$2:$X$1001,MATCH(ROWS($V$2:V697),$V$2:$V$1001,0),0), INDEX($AC$1004:$AS$1004,1,MATCH(COLUMNS($AC$1006:AM1006),$AC$1006:$AS$1006,0)))),"Fix")))</f>
        <v xml:space="preserve"> </v>
      </c>
      <c r="M697" s="4" t="str">
        <f ca="1">IF(OR(INDEX($W$2:$W$1001,MATCH(ROWS($V$2:V697),$V$2:$V$1001,0),1)&gt;=100000,INDEX($AC$1005:$AS$1005,1,MATCH(COLUMNS($AC$1006:AN1006),$AC$1006:$AS$1006,0))&gt;=100000), " ",IF(INDEX($AC$2:$AS$1001,MATCH(ROWS($V$2:V697),$V$2:$V$1001,0),MATCH(COLUMNS($AC$1006:AN1006),$AC$1006:$AS$1006,0)), HYPERLINK("#",""), HYPERLINK(CONCATENATE("#metadata!", ADDRESS(INDEX($X$2:$X$1001,MATCH(ROWS($V$2:V697),$V$2:$V$1001,0),0), INDEX($AC$1004:$AS$1004,1,MATCH(COLUMNS($AC$1006:AN1006),$AC$1006:$AS$1006,0)))),"Fix")))</f>
        <v xml:space="preserve"> </v>
      </c>
      <c r="N697" s="4" t="str">
        <f ca="1">IF(OR(INDEX($W$2:$W$1001,MATCH(ROWS($V$2:V697),$V$2:$V$1001,0),1)&gt;=100000,INDEX($AC$1005:$AS$1005,1,MATCH(COLUMNS($AC$1006:AO1006),$AC$1006:$AS$1006,0))&gt;=100000), " ",IF(INDEX($AC$2:$AS$1001,MATCH(ROWS($V$2:V697),$V$2:$V$1001,0),MATCH(COLUMNS($AC$1006:AO1006),$AC$1006:$AS$1006,0)), HYPERLINK("#",""), HYPERLINK(CONCATENATE("#metadata!", ADDRESS(INDEX($X$2:$X$1001,MATCH(ROWS($V$2:V697),$V$2:$V$1001,0),0), INDEX($AC$1004:$AS$1004,1,MATCH(COLUMNS($AC$1006:AO1006),$AC$1006:$AS$1006,0)))),"Fix")))</f>
        <v xml:space="preserve"> </v>
      </c>
      <c r="O697" s="4" t="str">
        <f ca="1">IF(OR(INDEX($W$2:$W$1001,MATCH(ROWS($V$2:V697),$V$2:$V$1001,0),1)&gt;=100000,INDEX($AC$1005:$AS$1005,1,MATCH(COLUMNS($AC$1006:AP1006),$AC$1006:$AS$1006,0))&gt;=100000), " ",IF(INDEX($AC$2:$AS$1001,MATCH(ROWS($V$2:V697),$V$2:$V$1001,0),MATCH(COLUMNS($AC$1006:AP1006),$AC$1006:$AS$1006,0)), HYPERLINK("#",""), HYPERLINK(CONCATENATE("#metadata!", ADDRESS(INDEX($X$2:$X$1001,MATCH(ROWS($V$2:V697),$V$2:$V$1001,0),0), INDEX($AC$1004:$AS$1004,1,MATCH(COLUMNS($AC$1006:AP1006),$AC$1006:$AS$1006,0)))),"Fix")))</f>
        <v xml:space="preserve"> </v>
      </c>
      <c r="P697" s="4" t="str">
        <f ca="1">IF(OR(INDEX($W$2:$W$1001,MATCH(ROWS($V$2:V697),$V$2:$V$1001,0),1)&gt;=100000,INDEX($AC$1005:$AS$1005,1,MATCH(COLUMNS($AC$1006:AQ1006),$AC$1006:$AS$1006,0))&gt;=100000), " ",IF(INDEX($AC$2:$AS$1001,MATCH(ROWS($V$2:V697),$V$2:$V$1001,0),MATCH(COLUMNS($AC$1006:AQ1006),$AC$1006:$AS$1006,0)), HYPERLINK("#",""), HYPERLINK(CONCATENATE("#metadata!", ADDRESS(INDEX($X$2:$X$1001,MATCH(ROWS($V$2:V697),$V$2:$V$1001,0),0), INDEX($AC$1004:$AS$1004,1,MATCH(COLUMNS($AC$1006:AQ1006),$AC$1006:$AS$1006,0)))),"Fix")))</f>
        <v xml:space="preserve"> </v>
      </c>
      <c r="Q697" s="4" t="str">
        <f ca="1">IF(OR(INDEX($W$2:$W$1001,MATCH(ROWS($V$2:V697),$V$2:$V$1001,0),1)&gt;=100000,INDEX($AC$1005:$AS$1005,1,MATCH(COLUMNS($AC$1006:AR1006),$AC$1006:$AS$1006,0))&gt;=100000), " ",IF(INDEX($AC$2:$AS$1001,MATCH(ROWS($V$2:V697),$V$2:$V$1001,0),MATCH(COLUMNS($AC$1006:AR1006),$AC$1006:$AS$1006,0)), HYPERLINK("#",""), HYPERLINK(CONCATENATE("#metadata!", ADDRESS(INDEX($X$2:$X$1001,MATCH(ROWS($V$2:V697),$V$2:$V$1001,0),0), INDEX($AC$1004:$AS$1004,1,MATCH(COLUMNS($AC$1006:AR1006),$AC$1006:$AS$1006,0)))),"Fix")))</f>
        <v xml:space="preserve"> </v>
      </c>
      <c r="R697" s="4" t="str">
        <f ca="1">IF(OR(INDEX($W$2:$W$1001,MATCH(ROWS($V$2:V697),$V$2:$V$1001,0),1)&gt;=100000,INDEX($AC$1005:$AS$1005,1,MATCH(COLUMNS($AC$1006:AS1006),$AC$1006:$AS$1006,0))&gt;=100000), " ",IF(INDEX($AC$2:$AS$1001,MATCH(ROWS($V$2:V697),$V$2:$V$1001,0),MATCH(COLUMNS($AC$1006:AS1006),$AC$1006:$AS$1006,0)), HYPERLINK("#",""), HYPERLINK(CONCATENATE("#metadata!", ADDRESS(INDEX($X$2:$X$1001,MATCH(ROWS($V$2:V697),$V$2:$V$1001,0),0), INDEX($AC$1004:$AS$1004,1,MATCH(COLUMNS($AC$1006:AS1006),$AC$1006:$AS$1006,0)))),"Fix")))</f>
        <v xml:space="preserve"> </v>
      </c>
      <c r="V697">
        <v>696</v>
      </c>
      <c r="W697">
        <v>100697</v>
      </c>
      <c r="X697">
        <v>697</v>
      </c>
      <c r="Y697" t="b">
        <f t="shared" si="10"/>
        <v>1</v>
      </c>
      <c r="Z697" t="b">
        <f>COUNTBLANK(metadata!B697:R697)=COLUMNS(metadata!B697:R697)</f>
        <v>1</v>
      </c>
      <c r="AA697" t="str">
        <v/>
      </c>
      <c r="AC697" t="b">
        <f ca="1"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AD697" t="b">
        <f>IF(metadata!C697="",FALSE,ISNUMBER(VALUE(metadata!C697)))</f>
        <v>0</v>
      </c>
      <c r="AE697" t="b">
        <f>AND(IF(metadata!D697="",FALSE,TRUE),EXACT(metadata!D697,"years"))</f>
        <v>0</v>
      </c>
      <c r="AF697" t="b">
        <f>OR(AND(IF(metadata!E697="",FALSE,TRUE),OR(EXACT(metadata!E697,"not applicable"),EXACT(metadata!E697,"missing: not collected"),EXACT(metadata!E697,"missing: not provided"),EXACT(metadata!E697,"missing: restricted access"))),AND(IF(metadata!E697="",FALSE,ISNUMBER(VALUE(metadata!E697))),metadata!E697&gt;0))</f>
        <v>0</v>
      </c>
      <c r="AG697" t="b">
        <f>AND(IF(metadata!F697="",FALSE,TRUE),EXACT(metadata!F697,"Not applicable"))</f>
        <v>0</v>
      </c>
      <c r="AH697" t="b">
        <f>AND(IF(metadata!G697="",FALSE,TRUE),EXACT(metadata!G697,"urban biome"))</f>
        <v>0</v>
      </c>
      <c r="AI697" t="b">
        <f>AND(IF(metadata!H697="",FALSE,TRUE),EXACT(metadata!H697,"human-associated habitat"))</f>
        <v>0</v>
      </c>
      <c r="AJ697" t="b">
        <f>AND(IF(metadata!I697="",FALSE,TRUE),OR(EXACT(metadata!I697,"human-associated"),EXACT(metadata!I697,"human-skin"),EXACT(metadata!I697,"human-oral"),EXACT(metadata!I697,"human-gut"),EXACT(metadata!I697,"human-vaginal")))</f>
        <v>0</v>
      </c>
      <c r="AK697" t="b">
        <f>IF(metadata!J697="",FALSE,ISNUMBER(VALUE(metadata!J697)))</f>
        <v>0</v>
      </c>
      <c r="AL697" t="b">
        <f>AND(IF(metadata!K697="",FALSE,TRUE),EXACT(metadata!K697,"cm"))</f>
        <v>0</v>
      </c>
      <c r="AM697" t="b">
        <f>AND(IF(metadata!L697="",FALSE,TRUE),EXACT(metadata!L697,"human"))</f>
        <v>0</v>
      </c>
      <c r="AN697" t="b">
        <f>AND(IF(metadata!M697="",FALSE,TRUE),EXACT(metadata!M697,"Homo sapiens"))</f>
        <v>0</v>
      </c>
      <c r="AO697" t="b">
        <f>AND(IF(metadata!N697="",FALSE,TRUE),EXACT(metadata!N697,"9606"))</f>
        <v>0</v>
      </c>
      <c r="AP697" t="b">
        <f>IF(metadata!O697="",FALSE,TRUE)</f>
        <v>0</v>
      </c>
      <c r="AQ697" t="b">
        <f>IF(metadata!P697="",FALSE,TRUE)</f>
        <v>0</v>
      </c>
      <c r="AR697" t="b">
        <f>IF(metadata!Q697="",FALSE,ISNUMBER(VALUE(metadata!Q697)))</f>
        <v>0</v>
      </c>
      <c r="AS697" t="b">
        <f>AND(IF(metadata!R697="",FALSE,TRUE),EXACT(metadata!R697,"kg"))</f>
        <v>0</v>
      </c>
    </row>
    <row r="698" spans="1:45" x14ac:dyDescent="0.2">
      <c r="A698" s="5" t="str">
        <f ca="1">IF(B698=" "," ",HYPERLINK(CONCATENATE("#metadata!",ADDRESS(INDEX($X$2:$X$1001,MATCH(ROWS($V$2:V698),$V$2:$V$1001,0),0),1)),INDEX($AA$2:$AA$1001,MATCH(ROWS($V$2:V698),$V$2:$V$1001,0),0)))</f>
        <v xml:space="preserve"> </v>
      </c>
      <c r="B698" s="4" t="str">
        <f ca="1">IF(OR(INDEX($W$2:$W$1001,MATCH(ROWS($V$2:V698),$V$2:$V$1001,0),1)&gt;=100000,INDEX($AC$1005:$AS$1005,1,MATCH(COLUMNS($AC$1006:AC1006),$AC$1006:$AS$1006,0))&gt;=100000), " ",IF(INDEX($AC$2:$AS$1001,MATCH(ROWS($V$2:V698),$V$2:$V$1001,0),MATCH(COLUMNS($AC$1006:AC1006),$AC$1006:$AS$1006,0)), HYPERLINK("#",""), HYPERLINK(CONCATENATE("#metadata!", ADDRESS(INDEX($X$2:$X$1001,MATCH(ROWS($V$2:V698),$V$2:$V$1001,0),0), INDEX($AC$1004:$AS$1004,1,MATCH(COLUMNS($AC$1006:AC1006),$AC$1006:$AS$1006,0)))),"Fix")))</f>
        <v xml:space="preserve"> </v>
      </c>
      <c r="C698" s="4" t="str">
        <f ca="1">IF(OR(INDEX($W$2:$W$1001,MATCH(ROWS($V$2:V698),$V$2:$V$1001,0),1)&gt;=100000,INDEX($AC$1005:$AS$1005,1,MATCH(COLUMNS($AC$1006:AD1006),$AC$1006:$AS$1006,0))&gt;=100000), " ",IF(INDEX($AC$2:$AS$1001,MATCH(ROWS($V$2:V698),$V$2:$V$1001,0),MATCH(COLUMNS($AC$1006:AD1006),$AC$1006:$AS$1006,0)), HYPERLINK("#",""), HYPERLINK(CONCATENATE("#metadata!", ADDRESS(INDEX($X$2:$X$1001,MATCH(ROWS($V$2:V698),$V$2:$V$1001,0),0), INDEX($AC$1004:$AS$1004,1,MATCH(COLUMNS($AC$1006:AD1006),$AC$1006:$AS$1006,0)))),"Fix")))</f>
        <v xml:space="preserve"> </v>
      </c>
      <c r="D698" s="4" t="str">
        <f ca="1">IF(OR(INDEX($W$2:$W$1001,MATCH(ROWS($V$2:V698),$V$2:$V$1001,0),1)&gt;=100000,INDEX($AC$1005:$AS$1005,1,MATCH(COLUMNS($AC$1006:AE1006),$AC$1006:$AS$1006,0))&gt;=100000), " ",IF(INDEX($AC$2:$AS$1001,MATCH(ROWS($V$2:V698),$V$2:$V$1001,0),MATCH(COLUMNS($AC$1006:AE1006),$AC$1006:$AS$1006,0)), HYPERLINK("#",""), HYPERLINK(CONCATENATE("#metadata!", ADDRESS(INDEX($X$2:$X$1001,MATCH(ROWS($V$2:V698),$V$2:$V$1001,0),0), INDEX($AC$1004:$AS$1004,1,MATCH(COLUMNS($AC$1006:AE1006),$AC$1006:$AS$1006,0)))),"Fix")))</f>
        <v xml:space="preserve"> </v>
      </c>
      <c r="E698" s="4" t="str">
        <f ca="1">IF(OR(INDEX($W$2:$W$1001,MATCH(ROWS($V$2:V698),$V$2:$V$1001,0),1)&gt;=100000,INDEX($AC$1005:$AS$1005,1,MATCH(COLUMNS($AC$1006:AF1006),$AC$1006:$AS$1006,0))&gt;=100000), " ",IF(INDEX($AC$2:$AS$1001,MATCH(ROWS($V$2:V698),$V$2:$V$1001,0),MATCH(COLUMNS($AC$1006:AF1006),$AC$1006:$AS$1006,0)), HYPERLINK("#",""), HYPERLINK(CONCATENATE("#metadata!", ADDRESS(INDEX($X$2:$X$1001,MATCH(ROWS($V$2:V698),$V$2:$V$1001,0),0), INDEX($AC$1004:$AS$1004,1,MATCH(COLUMNS($AC$1006:AF1006),$AC$1006:$AS$1006,0)))),"Fix")))</f>
        <v xml:space="preserve"> </v>
      </c>
      <c r="F698" s="4" t="str">
        <f ca="1">IF(OR(INDEX($W$2:$W$1001,MATCH(ROWS($V$2:V698),$V$2:$V$1001,0),1)&gt;=100000,INDEX($AC$1005:$AS$1005,1,MATCH(COLUMNS($AC$1006:AG1006),$AC$1006:$AS$1006,0))&gt;=100000), " ",IF(INDEX($AC$2:$AS$1001,MATCH(ROWS($V$2:V698),$V$2:$V$1001,0),MATCH(COLUMNS($AC$1006:AG1006),$AC$1006:$AS$1006,0)), HYPERLINK("#",""), HYPERLINK(CONCATENATE("#metadata!", ADDRESS(INDEX($X$2:$X$1001,MATCH(ROWS($V$2:V698),$V$2:$V$1001,0),0), INDEX($AC$1004:$AS$1004,1,MATCH(COLUMNS($AC$1006:AG1006),$AC$1006:$AS$1006,0)))),"Fix")))</f>
        <v xml:space="preserve"> </v>
      </c>
      <c r="G698" s="4" t="str">
        <f ca="1">IF(OR(INDEX($W$2:$W$1001,MATCH(ROWS($V$2:V698),$V$2:$V$1001,0),1)&gt;=100000,INDEX($AC$1005:$AS$1005,1,MATCH(COLUMNS($AC$1006:AH1006),$AC$1006:$AS$1006,0))&gt;=100000), " ",IF(INDEX($AC$2:$AS$1001,MATCH(ROWS($V$2:V698),$V$2:$V$1001,0),MATCH(COLUMNS($AC$1006:AH1006),$AC$1006:$AS$1006,0)), HYPERLINK("#",""), HYPERLINK(CONCATENATE("#metadata!", ADDRESS(INDEX($X$2:$X$1001,MATCH(ROWS($V$2:V698),$V$2:$V$1001,0),0), INDEX($AC$1004:$AS$1004,1,MATCH(COLUMNS($AC$1006:AH1006),$AC$1006:$AS$1006,0)))),"Fix")))</f>
        <v xml:space="preserve"> </v>
      </c>
      <c r="H698" s="4" t="str">
        <f ca="1">IF(OR(INDEX($W$2:$W$1001,MATCH(ROWS($V$2:V698),$V$2:$V$1001,0),1)&gt;=100000,INDEX($AC$1005:$AS$1005,1,MATCH(COLUMNS($AC$1006:AI1006),$AC$1006:$AS$1006,0))&gt;=100000), " ",IF(INDEX($AC$2:$AS$1001,MATCH(ROWS($V$2:V698),$V$2:$V$1001,0),MATCH(COLUMNS($AC$1006:AI1006),$AC$1006:$AS$1006,0)), HYPERLINK("#",""), HYPERLINK(CONCATENATE("#metadata!", ADDRESS(INDEX($X$2:$X$1001,MATCH(ROWS($V$2:V698),$V$2:$V$1001,0),0), INDEX($AC$1004:$AS$1004,1,MATCH(COLUMNS($AC$1006:AI1006),$AC$1006:$AS$1006,0)))),"Fix")))</f>
        <v xml:space="preserve"> </v>
      </c>
      <c r="I698" s="4" t="str">
        <f ca="1">IF(OR(INDEX($W$2:$W$1001,MATCH(ROWS($V$2:V698),$V$2:$V$1001,0),1)&gt;=100000,INDEX($AC$1005:$AS$1005,1,MATCH(COLUMNS($AC$1006:AJ1006),$AC$1006:$AS$1006,0))&gt;=100000), " ",IF(INDEX($AC$2:$AS$1001,MATCH(ROWS($V$2:V698),$V$2:$V$1001,0),MATCH(COLUMNS($AC$1006:AJ1006),$AC$1006:$AS$1006,0)), HYPERLINK("#",""), HYPERLINK(CONCATENATE("#metadata!", ADDRESS(INDEX($X$2:$X$1001,MATCH(ROWS($V$2:V698),$V$2:$V$1001,0),0), INDEX($AC$1004:$AS$1004,1,MATCH(COLUMNS($AC$1006:AJ1006),$AC$1006:$AS$1006,0)))),"Fix")))</f>
        <v xml:space="preserve"> </v>
      </c>
      <c r="J698" s="4" t="str">
        <f ca="1">IF(OR(INDEX($W$2:$W$1001,MATCH(ROWS($V$2:V698),$V$2:$V$1001,0),1)&gt;=100000,INDEX($AC$1005:$AS$1005,1,MATCH(COLUMNS($AC$1006:AK1006),$AC$1006:$AS$1006,0))&gt;=100000), " ",IF(INDEX($AC$2:$AS$1001,MATCH(ROWS($V$2:V698),$V$2:$V$1001,0),MATCH(COLUMNS($AC$1006:AK1006),$AC$1006:$AS$1006,0)), HYPERLINK("#",""), HYPERLINK(CONCATENATE("#metadata!", ADDRESS(INDEX($X$2:$X$1001,MATCH(ROWS($V$2:V698),$V$2:$V$1001,0),0), INDEX($AC$1004:$AS$1004,1,MATCH(COLUMNS($AC$1006:AK1006),$AC$1006:$AS$1006,0)))),"Fix")))</f>
        <v xml:space="preserve"> </v>
      </c>
      <c r="K698" s="4" t="str">
        <f ca="1">IF(OR(INDEX($W$2:$W$1001,MATCH(ROWS($V$2:V698),$V$2:$V$1001,0),1)&gt;=100000,INDEX($AC$1005:$AS$1005,1,MATCH(COLUMNS($AC$1006:AL1006),$AC$1006:$AS$1006,0))&gt;=100000), " ",IF(INDEX($AC$2:$AS$1001,MATCH(ROWS($V$2:V698),$V$2:$V$1001,0),MATCH(COLUMNS($AC$1006:AL1006),$AC$1006:$AS$1006,0)), HYPERLINK("#",""), HYPERLINK(CONCATENATE("#metadata!", ADDRESS(INDEX($X$2:$X$1001,MATCH(ROWS($V$2:V698),$V$2:$V$1001,0),0), INDEX($AC$1004:$AS$1004,1,MATCH(COLUMNS($AC$1006:AL1006),$AC$1006:$AS$1006,0)))),"Fix")))</f>
        <v xml:space="preserve"> </v>
      </c>
      <c r="L698" s="4" t="str">
        <f ca="1">IF(OR(INDEX($W$2:$W$1001,MATCH(ROWS($V$2:V698),$V$2:$V$1001,0),1)&gt;=100000,INDEX($AC$1005:$AS$1005,1,MATCH(COLUMNS($AC$1006:AM1006),$AC$1006:$AS$1006,0))&gt;=100000), " ",IF(INDEX($AC$2:$AS$1001,MATCH(ROWS($V$2:V698),$V$2:$V$1001,0),MATCH(COLUMNS($AC$1006:AM1006),$AC$1006:$AS$1006,0)), HYPERLINK("#",""), HYPERLINK(CONCATENATE("#metadata!", ADDRESS(INDEX($X$2:$X$1001,MATCH(ROWS($V$2:V698),$V$2:$V$1001,0),0), INDEX($AC$1004:$AS$1004,1,MATCH(COLUMNS($AC$1006:AM1006),$AC$1006:$AS$1006,0)))),"Fix")))</f>
        <v xml:space="preserve"> </v>
      </c>
      <c r="M698" s="4" t="str">
        <f ca="1">IF(OR(INDEX($W$2:$W$1001,MATCH(ROWS($V$2:V698),$V$2:$V$1001,0),1)&gt;=100000,INDEX($AC$1005:$AS$1005,1,MATCH(COLUMNS($AC$1006:AN1006),$AC$1006:$AS$1006,0))&gt;=100000), " ",IF(INDEX($AC$2:$AS$1001,MATCH(ROWS($V$2:V698),$V$2:$V$1001,0),MATCH(COLUMNS($AC$1006:AN1006),$AC$1006:$AS$1006,0)), HYPERLINK("#",""), HYPERLINK(CONCATENATE("#metadata!", ADDRESS(INDEX($X$2:$X$1001,MATCH(ROWS($V$2:V698),$V$2:$V$1001,0),0), INDEX($AC$1004:$AS$1004,1,MATCH(COLUMNS($AC$1006:AN1006),$AC$1006:$AS$1006,0)))),"Fix")))</f>
        <v xml:space="preserve"> </v>
      </c>
      <c r="N698" s="4" t="str">
        <f ca="1">IF(OR(INDEX($W$2:$W$1001,MATCH(ROWS($V$2:V698),$V$2:$V$1001,0),1)&gt;=100000,INDEX($AC$1005:$AS$1005,1,MATCH(COLUMNS($AC$1006:AO1006),$AC$1006:$AS$1006,0))&gt;=100000), " ",IF(INDEX($AC$2:$AS$1001,MATCH(ROWS($V$2:V698),$V$2:$V$1001,0),MATCH(COLUMNS($AC$1006:AO1006),$AC$1006:$AS$1006,0)), HYPERLINK("#",""), HYPERLINK(CONCATENATE("#metadata!", ADDRESS(INDEX($X$2:$X$1001,MATCH(ROWS($V$2:V698),$V$2:$V$1001,0),0), INDEX($AC$1004:$AS$1004,1,MATCH(COLUMNS($AC$1006:AO1006),$AC$1006:$AS$1006,0)))),"Fix")))</f>
        <v xml:space="preserve"> </v>
      </c>
      <c r="O698" s="4" t="str">
        <f ca="1">IF(OR(INDEX($W$2:$W$1001,MATCH(ROWS($V$2:V698),$V$2:$V$1001,0),1)&gt;=100000,INDEX($AC$1005:$AS$1005,1,MATCH(COLUMNS($AC$1006:AP1006),$AC$1006:$AS$1006,0))&gt;=100000), " ",IF(INDEX($AC$2:$AS$1001,MATCH(ROWS($V$2:V698),$V$2:$V$1001,0),MATCH(COLUMNS($AC$1006:AP1006),$AC$1006:$AS$1006,0)), HYPERLINK("#",""), HYPERLINK(CONCATENATE("#metadata!", ADDRESS(INDEX($X$2:$X$1001,MATCH(ROWS($V$2:V698),$V$2:$V$1001,0),0), INDEX($AC$1004:$AS$1004,1,MATCH(COLUMNS($AC$1006:AP1006),$AC$1006:$AS$1006,0)))),"Fix")))</f>
        <v xml:space="preserve"> </v>
      </c>
      <c r="P698" s="4" t="str">
        <f ca="1">IF(OR(INDEX($W$2:$W$1001,MATCH(ROWS($V$2:V698),$V$2:$V$1001,0),1)&gt;=100000,INDEX($AC$1005:$AS$1005,1,MATCH(COLUMNS($AC$1006:AQ1006),$AC$1006:$AS$1006,0))&gt;=100000), " ",IF(INDEX($AC$2:$AS$1001,MATCH(ROWS($V$2:V698),$V$2:$V$1001,0),MATCH(COLUMNS($AC$1006:AQ1006),$AC$1006:$AS$1006,0)), HYPERLINK("#",""), HYPERLINK(CONCATENATE("#metadata!", ADDRESS(INDEX($X$2:$X$1001,MATCH(ROWS($V$2:V698),$V$2:$V$1001,0),0), INDEX($AC$1004:$AS$1004,1,MATCH(COLUMNS($AC$1006:AQ1006),$AC$1006:$AS$1006,0)))),"Fix")))</f>
        <v xml:space="preserve"> </v>
      </c>
      <c r="Q698" s="4" t="str">
        <f ca="1">IF(OR(INDEX($W$2:$W$1001,MATCH(ROWS($V$2:V698),$V$2:$V$1001,0),1)&gt;=100000,INDEX($AC$1005:$AS$1005,1,MATCH(COLUMNS($AC$1006:AR1006),$AC$1006:$AS$1006,0))&gt;=100000), " ",IF(INDEX($AC$2:$AS$1001,MATCH(ROWS($V$2:V698),$V$2:$V$1001,0),MATCH(COLUMNS($AC$1006:AR1006),$AC$1006:$AS$1006,0)), HYPERLINK("#",""), HYPERLINK(CONCATENATE("#metadata!", ADDRESS(INDEX($X$2:$X$1001,MATCH(ROWS($V$2:V698),$V$2:$V$1001,0),0), INDEX($AC$1004:$AS$1004,1,MATCH(COLUMNS($AC$1006:AR1006),$AC$1006:$AS$1006,0)))),"Fix")))</f>
        <v xml:space="preserve"> </v>
      </c>
      <c r="R698" s="4" t="str">
        <f ca="1">IF(OR(INDEX($W$2:$W$1001,MATCH(ROWS($V$2:V698),$V$2:$V$1001,0),1)&gt;=100000,INDEX($AC$1005:$AS$1005,1,MATCH(COLUMNS($AC$1006:AS1006),$AC$1006:$AS$1006,0))&gt;=100000), " ",IF(INDEX($AC$2:$AS$1001,MATCH(ROWS($V$2:V698),$V$2:$V$1001,0),MATCH(COLUMNS($AC$1006:AS1006),$AC$1006:$AS$1006,0)), HYPERLINK("#",""), HYPERLINK(CONCATENATE("#metadata!", ADDRESS(INDEX($X$2:$X$1001,MATCH(ROWS($V$2:V698),$V$2:$V$1001,0),0), INDEX($AC$1004:$AS$1004,1,MATCH(COLUMNS($AC$1006:AS1006),$AC$1006:$AS$1006,0)))),"Fix")))</f>
        <v xml:space="preserve"> </v>
      </c>
      <c r="V698">
        <v>697</v>
      </c>
      <c r="W698">
        <v>100698</v>
      </c>
      <c r="X698">
        <v>698</v>
      </c>
      <c r="Y698" t="b">
        <f t="shared" si="10"/>
        <v>1</v>
      </c>
      <c r="Z698" t="b">
        <f>COUNTBLANK(metadata!B698:R698)=COLUMNS(metadata!B698:R698)</f>
        <v>1</v>
      </c>
      <c r="AA698" t="str">
        <v/>
      </c>
      <c r="AC698" t="b">
        <f ca="1"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AD698" t="b">
        <f>IF(metadata!C698="",FALSE,ISNUMBER(VALUE(metadata!C698)))</f>
        <v>0</v>
      </c>
      <c r="AE698" t="b">
        <f>AND(IF(metadata!D698="",FALSE,TRUE),EXACT(metadata!D698,"years"))</f>
        <v>0</v>
      </c>
      <c r="AF698" t="b">
        <f>OR(AND(IF(metadata!E698="",FALSE,TRUE),OR(EXACT(metadata!E698,"not applicable"),EXACT(metadata!E698,"missing: not collected"),EXACT(metadata!E698,"missing: not provided"),EXACT(metadata!E698,"missing: restricted access"))),AND(IF(metadata!E698="",FALSE,ISNUMBER(VALUE(metadata!E698))),metadata!E698&gt;0))</f>
        <v>0</v>
      </c>
      <c r="AG698" t="b">
        <f>AND(IF(metadata!F698="",FALSE,TRUE),EXACT(metadata!F698,"Not applicable"))</f>
        <v>0</v>
      </c>
      <c r="AH698" t="b">
        <f>AND(IF(metadata!G698="",FALSE,TRUE),EXACT(metadata!G698,"urban biome"))</f>
        <v>0</v>
      </c>
      <c r="AI698" t="b">
        <f>AND(IF(metadata!H698="",FALSE,TRUE),EXACT(metadata!H698,"human-associated habitat"))</f>
        <v>0</v>
      </c>
      <c r="AJ698" t="b">
        <f>AND(IF(metadata!I698="",FALSE,TRUE),OR(EXACT(metadata!I698,"human-associated"),EXACT(metadata!I698,"human-skin"),EXACT(metadata!I698,"human-oral"),EXACT(metadata!I698,"human-gut"),EXACT(metadata!I698,"human-vaginal")))</f>
        <v>0</v>
      </c>
      <c r="AK698" t="b">
        <f>IF(metadata!J698="",FALSE,ISNUMBER(VALUE(metadata!J698)))</f>
        <v>0</v>
      </c>
      <c r="AL698" t="b">
        <f>AND(IF(metadata!K698="",FALSE,TRUE),EXACT(metadata!K698,"cm"))</f>
        <v>0</v>
      </c>
      <c r="AM698" t="b">
        <f>AND(IF(metadata!L698="",FALSE,TRUE),EXACT(metadata!L698,"human"))</f>
        <v>0</v>
      </c>
      <c r="AN698" t="b">
        <f>AND(IF(metadata!M698="",FALSE,TRUE),EXACT(metadata!M698,"Homo sapiens"))</f>
        <v>0</v>
      </c>
      <c r="AO698" t="b">
        <f>AND(IF(metadata!N698="",FALSE,TRUE),EXACT(metadata!N698,"9606"))</f>
        <v>0</v>
      </c>
      <c r="AP698" t="b">
        <f>IF(metadata!O698="",FALSE,TRUE)</f>
        <v>0</v>
      </c>
      <c r="AQ698" t="b">
        <f>IF(metadata!P698="",FALSE,TRUE)</f>
        <v>0</v>
      </c>
      <c r="AR698" t="b">
        <f>IF(metadata!Q698="",FALSE,ISNUMBER(VALUE(metadata!Q698)))</f>
        <v>0</v>
      </c>
      <c r="AS698" t="b">
        <f>AND(IF(metadata!R698="",FALSE,TRUE),EXACT(metadata!R698,"kg"))</f>
        <v>0</v>
      </c>
    </row>
    <row r="699" spans="1:45" x14ac:dyDescent="0.2">
      <c r="A699" s="5" t="str">
        <f ca="1">IF(B699=" "," ",HYPERLINK(CONCATENATE("#metadata!",ADDRESS(INDEX($X$2:$X$1001,MATCH(ROWS($V$2:V699),$V$2:$V$1001,0),0),1)),INDEX($AA$2:$AA$1001,MATCH(ROWS($V$2:V699),$V$2:$V$1001,0),0)))</f>
        <v xml:space="preserve"> </v>
      </c>
      <c r="B699" s="4" t="str">
        <f ca="1">IF(OR(INDEX($W$2:$W$1001,MATCH(ROWS($V$2:V699),$V$2:$V$1001,0),1)&gt;=100000,INDEX($AC$1005:$AS$1005,1,MATCH(COLUMNS($AC$1006:AC1006),$AC$1006:$AS$1006,0))&gt;=100000), " ",IF(INDEX($AC$2:$AS$1001,MATCH(ROWS($V$2:V699),$V$2:$V$1001,0),MATCH(COLUMNS($AC$1006:AC1006),$AC$1006:$AS$1006,0)), HYPERLINK("#",""), HYPERLINK(CONCATENATE("#metadata!", ADDRESS(INDEX($X$2:$X$1001,MATCH(ROWS($V$2:V699),$V$2:$V$1001,0),0), INDEX($AC$1004:$AS$1004,1,MATCH(COLUMNS($AC$1006:AC1006),$AC$1006:$AS$1006,0)))),"Fix")))</f>
        <v xml:space="preserve"> </v>
      </c>
      <c r="C699" s="4" t="str">
        <f ca="1">IF(OR(INDEX($W$2:$W$1001,MATCH(ROWS($V$2:V699),$V$2:$V$1001,0),1)&gt;=100000,INDEX($AC$1005:$AS$1005,1,MATCH(COLUMNS($AC$1006:AD1006),$AC$1006:$AS$1006,0))&gt;=100000), " ",IF(INDEX($AC$2:$AS$1001,MATCH(ROWS($V$2:V699),$V$2:$V$1001,0),MATCH(COLUMNS($AC$1006:AD1006),$AC$1006:$AS$1006,0)), HYPERLINK("#",""), HYPERLINK(CONCATENATE("#metadata!", ADDRESS(INDEX($X$2:$X$1001,MATCH(ROWS($V$2:V699),$V$2:$V$1001,0),0), INDEX($AC$1004:$AS$1004,1,MATCH(COLUMNS($AC$1006:AD1006),$AC$1006:$AS$1006,0)))),"Fix")))</f>
        <v xml:space="preserve"> </v>
      </c>
      <c r="D699" s="4" t="str">
        <f ca="1">IF(OR(INDEX($W$2:$W$1001,MATCH(ROWS($V$2:V699),$V$2:$V$1001,0),1)&gt;=100000,INDEX($AC$1005:$AS$1005,1,MATCH(COLUMNS($AC$1006:AE1006),$AC$1006:$AS$1006,0))&gt;=100000), " ",IF(INDEX($AC$2:$AS$1001,MATCH(ROWS($V$2:V699),$V$2:$V$1001,0),MATCH(COLUMNS($AC$1006:AE1006),$AC$1006:$AS$1006,0)), HYPERLINK("#",""), HYPERLINK(CONCATENATE("#metadata!", ADDRESS(INDEX($X$2:$X$1001,MATCH(ROWS($V$2:V699),$V$2:$V$1001,0),0), INDEX($AC$1004:$AS$1004,1,MATCH(COLUMNS($AC$1006:AE1006),$AC$1006:$AS$1006,0)))),"Fix")))</f>
        <v xml:space="preserve"> </v>
      </c>
      <c r="E699" s="4" t="str">
        <f ca="1">IF(OR(INDEX($W$2:$W$1001,MATCH(ROWS($V$2:V699),$V$2:$V$1001,0),1)&gt;=100000,INDEX($AC$1005:$AS$1005,1,MATCH(COLUMNS($AC$1006:AF1006),$AC$1006:$AS$1006,0))&gt;=100000), " ",IF(INDEX($AC$2:$AS$1001,MATCH(ROWS($V$2:V699),$V$2:$V$1001,0),MATCH(COLUMNS($AC$1006:AF1006),$AC$1006:$AS$1006,0)), HYPERLINK("#",""), HYPERLINK(CONCATENATE("#metadata!", ADDRESS(INDEX($X$2:$X$1001,MATCH(ROWS($V$2:V699),$V$2:$V$1001,0),0), INDEX($AC$1004:$AS$1004,1,MATCH(COLUMNS($AC$1006:AF1006),$AC$1006:$AS$1006,0)))),"Fix")))</f>
        <v xml:space="preserve"> </v>
      </c>
      <c r="F699" s="4" t="str">
        <f ca="1">IF(OR(INDEX($W$2:$W$1001,MATCH(ROWS($V$2:V699),$V$2:$V$1001,0),1)&gt;=100000,INDEX($AC$1005:$AS$1005,1,MATCH(COLUMNS($AC$1006:AG1006),$AC$1006:$AS$1006,0))&gt;=100000), " ",IF(INDEX($AC$2:$AS$1001,MATCH(ROWS($V$2:V699),$V$2:$V$1001,0),MATCH(COLUMNS($AC$1006:AG1006),$AC$1006:$AS$1006,0)), HYPERLINK("#",""), HYPERLINK(CONCATENATE("#metadata!", ADDRESS(INDEX($X$2:$X$1001,MATCH(ROWS($V$2:V699),$V$2:$V$1001,0),0), INDEX($AC$1004:$AS$1004,1,MATCH(COLUMNS($AC$1006:AG1006),$AC$1006:$AS$1006,0)))),"Fix")))</f>
        <v xml:space="preserve"> </v>
      </c>
      <c r="G699" s="4" t="str">
        <f ca="1">IF(OR(INDEX($W$2:$W$1001,MATCH(ROWS($V$2:V699),$V$2:$V$1001,0),1)&gt;=100000,INDEX($AC$1005:$AS$1005,1,MATCH(COLUMNS($AC$1006:AH1006),$AC$1006:$AS$1006,0))&gt;=100000), " ",IF(INDEX($AC$2:$AS$1001,MATCH(ROWS($V$2:V699),$V$2:$V$1001,0),MATCH(COLUMNS($AC$1006:AH1006),$AC$1006:$AS$1006,0)), HYPERLINK("#",""), HYPERLINK(CONCATENATE("#metadata!", ADDRESS(INDEX($X$2:$X$1001,MATCH(ROWS($V$2:V699),$V$2:$V$1001,0),0), INDEX($AC$1004:$AS$1004,1,MATCH(COLUMNS($AC$1006:AH1006),$AC$1006:$AS$1006,0)))),"Fix")))</f>
        <v xml:space="preserve"> </v>
      </c>
      <c r="H699" s="4" t="str">
        <f ca="1">IF(OR(INDEX($W$2:$W$1001,MATCH(ROWS($V$2:V699),$V$2:$V$1001,0),1)&gt;=100000,INDEX($AC$1005:$AS$1005,1,MATCH(COLUMNS($AC$1006:AI1006),$AC$1006:$AS$1006,0))&gt;=100000), " ",IF(INDEX($AC$2:$AS$1001,MATCH(ROWS($V$2:V699),$V$2:$V$1001,0),MATCH(COLUMNS($AC$1006:AI1006),$AC$1006:$AS$1006,0)), HYPERLINK("#",""), HYPERLINK(CONCATENATE("#metadata!", ADDRESS(INDEX($X$2:$X$1001,MATCH(ROWS($V$2:V699),$V$2:$V$1001,0),0), INDEX($AC$1004:$AS$1004,1,MATCH(COLUMNS($AC$1006:AI1006),$AC$1006:$AS$1006,0)))),"Fix")))</f>
        <v xml:space="preserve"> </v>
      </c>
      <c r="I699" s="4" t="str">
        <f ca="1">IF(OR(INDEX($W$2:$W$1001,MATCH(ROWS($V$2:V699),$V$2:$V$1001,0),1)&gt;=100000,INDEX($AC$1005:$AS$1005,1,MATCH(COLUMNS($AC$1006:AJ1006),$AC$1006:$AS$1006,0))&gt;=100000), " ",IF(INDEX($AC$2:$AS$1001,MATCH(ROWS($V$2:V699),$V$2:$V$1001,0),MATCH(COLUMNS($AC$1006:AJ1006),$AC$1006:$AS$1006,0)), HYPERLINK("#",""), HYPERLINK(CONCATENATE("#metadata!", ADDRESS(INDEX($X$2:$X$1001,MATCH(ROWS($V$2:V699),$V$2:$V$1001,0),0), INDEX($AC$1004:$AS$1004,1,MATCH(COLUMNS($AC$1006:AJ1006),$AC$1006:$AS$1006,0)))),"Fix")))</f>
        <v xml:space="preserve"> </v>
      </c>
      <c r="J699" s="4" t="str">
        <f ca="1">IF(OR(INDEX($W$2:$W$1001,MATCH(ROWS($V$2:V699),$V$2:$V$1001,0),1)&gt;=100000,INDEX($AC$1005:$AS$1005,1,MATCH(COLUMNS($AC$1006:AK1006),$AC$1006:$AS$1006,0))&gt;=100000), " ",IF(INDEX($AC$2:$AS$1001,MATCH(ROWS($V$2:V699),$V$2:$V$1001,0),MATCH(COLUMNS($AC$1006:AK1006),$AC$1006:$AS$1006,0)), HYPERLINK("#",""), HYPERLINK(CONCATENATE("#metadata!", ADDRESS(INDEX($X$2:$X$1001,MATCH(ROWS($V$2:V699),$V$2:$V$1001,0),0), INDEX($AC$1004:$AS$1004,1,MATCH(COLUMNS($AC$1006:AK1006),$AC$1006:$AS$1006,0)))),"Fix")))</f>
        <v xml:space="preserve"> </v>
      </c>
      <c r="K699" s="4" t="str">
        <f ca="1">IF(OR(INDEX($W$2:$W$1001,MATCH(ROWS($V$2:V699),$V$2:$V$1001,0),1)&gt;=100000,INDEX($AC$1005:$AS$1005,1,MATCH(COLUMNS($AC$1006:AL1006),$AC$1006:$AS$1006,0))&gt;=100000), " ",IF(INDEX($AC$2:$AS$1001,MATCH(ROWS($V$2:V699),$V$2:$V$1001,0),MATCH(COLUMNS($AC$1006:AL1006),$AC$1006:$AS$1006,0)), HYPERLINK("#",""), HYPERLINK(CONCATENATE("#metadata!", ADDRESS(INDEX($X$2:$X$1001,MATCH(ROWS($V$2:V699),$V$2:$V$1001,0),0), INDEX($AC$1004:$AS$1004,1,MATCH(COLUMNS($AC$1006:AL1006),$AC$1006:$AS$1006,0)))),"Fix")))</f>
        <v xml:space="preserve"> </v>
      </c>
      <c r="L699" s="4" t="str">
        <f ca="1">IF(OR(INDEX($W$2:$W$1001,MATCH(ROWS($V$2:V699),$V$2:$V$1001,0),1)&gt;=100000,INDEX($AC$1005:$AS$1005,1,MATCH(COLUMNS($AC$1006:AM1006),$AC$1006:$AS$1006,0))&gt;=100000), " ",IF(INDEX($AC$2:$AS$1001,MATCH(ROWS($V$2:V699),$V$2:$V$1001,0),MATCH(COLUMNS($AC$1006:AM1006),$AC$1006:$AS$1006,0)), HYPERLINK("#",""), HYPERLINK(CONCATENATE("#metadata!", ADDRESS(INDEX($X$2:$X$1001,MATCH(ROWS($V$2:V699),$V$2:$V$1001,0),0), INDEX($AC$1004:$AS$1004,1,MATCH(COLUMNS($AC$1006:AM1006),$AC$1006:$AS$1006,0)))),"Fix")))</f>
        <v xml:space="preserve"> </v>
      </c>
      <c r="M699" s="4" t="str">
        <f ca="1">IF(OR(INDEX($W$2:$W$1001,MATCH(ROWS($V$2:V699),$V$2:$V$1001,0),1)&gt;=100000,INDEX($AC$1005:$AS$1005,1,MATCH(COLUMNS($AC$1006:AN1006),$AC$1006:$AS$1006,0))&gt;=100000), " ",IF(INDEX($AC$2:$AS$1001,MATCH(ROWS($V$2:V699),$V$2:$V$1001,0),MATCH(COLUMNS($AC$1006:AN1006),$AC$1006:$AS$1006,0)), HYPERLINK("#",""), HYPERLINK(CONCATENATE("#metadata!", ADDRESS(INDEX($X$2:$X$1001,MATCH(ROWS($V$2:V699),$V$2:$V$1001,0),0), INDEX($AC$1004:$AS$1004,1,MATCH(COLUMNS($AC$1006:AN1006),$AC$1006:$AS$1006,0)))),"Fix")))</f>
        <v xml:space="preserve"> </v>
      </c>
      <c r="N699" s="4" t="str">
        <f ca="1">IF(OR(INDEX($W$2:$W$1001,MATCH(ROWS($V$2:V699),$V$2:$V$1001,0),1)&gt;=100000,INDEX($AC$1005:$AS$1005,1,MATCH(COLUMNS($AC$1006:AO1006),$AC$1006:$AS$1006,0))&gt;=100000), " ",IF(INDEX($AC$2:$AS$1001,MATCH(ROWS($V$2:V699),$V$2:$V$1001,0),MATCH(COLUMNS($AC$1006:AO1006),$AC$1006:$AS$1006,0)), HYPERLINK("#",""), HYPERLINK(CONCATENATE("#metadata!", ADDRESS(INDEX($X$2:$X$1001,MATCH(ROWS($V$2:V699),$V$2:$V$1001,0),0), INDEX($AC$1004:$AS$1004,1,MATCH(COLUMNS($AC$1006:AO1006),$AC$1006:$AS$1006,0)))),"Fix")))</f>
        <v xml:space="preserve"> </v>
      </c>
      <c r="O699" s="4" t="str">
        <f ca="1">IF(OR(INDEX($W$2:$W$1001,MATCH(ROWS($V$2:V699),$V$2:$V$1001,0),1)&gt;=100000,INDEX($AC$1005:$AS$1005,1,MATCH(COLUMNS($AC$1006:AP1006),$AC$1006:$AS$1006,0))&gt;=100000), " ",IF(INDEX($AC$2:$AS$1001,MATCH(ROWS($V$2:V699),$V$2:$V$1001,0),MATCH(COLUMNS($AC$1006:AP1006),$AC$1006:$AS$1006,0)), HYPERLINK("#",""), HYPERLINK(CONCATENATE("#metadata!", ADDRESS(INDEX($X$2:$X$1001,MATCH(ROWS($V$2:V699),$V$2:$V$1001,0),0), INDEX($AC$1004:$AS$1004,1,MATCH(COLUMNS($AC$1006:AP1006),$AC$1006:$AS$1006,0)))),"Fix")))</f>
        <v xml:space="preserve"> </v>
      </c>
      <c r="P699" s="4" t="str">
        <f ca="1">IF(OR(INDEX($W$2:$W$1001,MATCH(ROWS($V$2:V699),$V$2:$V$1001,0),1)&gt;=100000,INDEX($AC$1005:$AS$1005,1,MATCH(COLUMNS($AC$1006:AQ1006),$AC$1006:$AS$1006,0))&gt;=100000), " ",IF(INDEX($AC$2:$AS$1001,MATCH(ROWS($V$2:V699),$V$2:$V$1001,0),MATCH(COLUMNS($AC$1006:AQ1006),$AC$1006:$AS$1006,0)), HYPERLINK("#",""), HYPERLINK(CONCATENATE("#metadata!", ADDRESS(INDEX($X$2:$X$1001,MATCH(ROWS($V$2:V699),$V$2:$V$1001,0),0), INDEX($AC$1004:$AS$1004,1,MATCH(COLUMNS($AC$1006:AQ1006),$AC$1006:$AS$1006,0)))),"Fix")))</f>
        <v xml:space="preserve"> </v>
      </c>
      <c r="Q699" s="4" t="str">
        <f ca="1">IF(OR(INDEX($W$2:$W$1001,MATCH(ROWS($V$2:V699),$V$2:$V$1001,0),1)&gt;=100000,INDEX($AC$1005:$AS$1005,1,MATCH(COLUMNS($AC$1006:AR1006),$AC$1006:$AS$1006,0))&gt;=100000), " ",IF(INDEX($AC$2:$AS$1001,MATCH(ROWS($V$2:V699),$V$2:$V$1001,0),MATCH(COLUMNS($AC$1006:AR1006),$AC$1006:$AS$1006,0)), HYPERLINK("#",""), HYPERLINK(CONCATENATE("#metadata!", ADDRESS(INDEX($X$2:$X$1001,MATCH(ROWS($V$2:V699),$V$2:$V$1001,0),0), INDEX($AC$1004:$AS$1004,1,MATCH(COLUMNS($AC$1006:AR1006),$AC$1006:$AS$1006,0)))),"Fix")))</f>
        <v xml:space="preserve"> </v>
      </c>
      <c r="R699" s="4" t="str">
        <f ca="1">IF(OR(INDEX($W$2:$W$1001,MATCH(ROWS($V$2:V699),$V$2:$V$1001,0),1)&gt;=100000,INDEX($AC$1005:$AS$1005,1,MATCH(COLUMNS($AC$1006:AS1006),$AC$1006:$AS$1006,0))&gt;=100000), " ",IF(INDEX($AC$2:$AS$1001,MATCH(ROWS($V$2:V699),$V$2:$V$1001,0),MATCH(COLUMNS($AC$1006:AS1006),$AC$1006:$AS$1006,0)), HYPERLINK("#",""), HYPERLINK(CONCATENATE("#metadata!", ADDRESS(INDEX($X$2:$X$1001,MATCH(ROWS($V$2:V699),$V$2:$V$1001,0),0), INDEX($AC$1004:$AS$1004,1,MATCH(COLUMNS($AC$1006:AS1006),$AC$1006:$AS$1006,0)))),"Fix")))</f>
        <v xml:space="preserve"> </v>
      </c>
      <c r="V699">
        <v>698</v>
      </c>
      <c r="W699">
        <v>100699</v>
      </c>
      <c r="X699">
        <v>699</v>
      </c>
      <c r="Y699" t="b">
        <f t="shared" si="10"/>
        <v>1</v>
      </c>
      <c r="Z699" t="b">
        <f>COUNTBLANK(metadata!B699:R699)=COLUMNS(metadata!B699:R699)</f>
        <v>1</v>
      </c>
      <c r="AA699" t="str">
        <v/>
      </c>
      <c r="AC699" t="b">
        <f ca="1"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AD699" t="b">
        <f>IF(metadata!C699="",FALSE,ISNUMBER(VALUE(metadata!C699)))</f>
        <v>0</v>
      </c>
      <c r="AE699" t="b">
        <f>AND(IF(metadata!D699="",FALSE,TRUE),EXACT(metadata!D699,"years"))</f>
        <v>0</v>
      </c>
      <c r="AF699" t="b">
        <f>OR(AND(IF(metadata!E699="",FALSE,TRUE),OR(EXACT(metadata!E699,"not applicable"),EXACT(metadata!E699,"missing: not collected"),EXACT(metadata!E699,"missing: not provided"),EXACT(metadata!E699,"missing: restricted access"))),AND(IF(metadata!E699="",FALSE,ISNUMBER(VALUE(metadata!E699))),metadata!E699&gt;0))</f>
        <v>0</v>
      </c>
      <c r="AG699" t="b">
        <f>AND(IF(metadata!F699="",FALSE,TRUE),EXACT(metadata!F699,"Not applicable"))</f>
        <v>0</v>
      </c>
      <c r="AH699" t="b">
        <f>AND(IF(metadata!G699="",FALSE,TRUE),EXACT(metadata!G699,"urban biome"))</f>
        <v>0</v>
      </c>
      <c r="AI699" t="b">
        <f>AND(IF(metadata!H699="",FALSE,TRUE),EXACT(metadata!H699,"human-associated habitat"))</f>
        <v>0</v>
      </c>
      <c r="AJ699" t="b">
        <f>AND(IF(metadata!I699="",FALSE,TRUE),OR(EXACT(metadata!I699,"human-associated"),EXACT(metadata!I699,"human-skin"),EXACT(metadata!I699,"human-oral"),EXACT(metadata!I699,"human-gut"),EXACT(metadata!I699,"human-vaginal")))</f>
        <v>0</v>
      </c>
      <c r="AK699" t="b">
        <f>IF(metadata!J699="",FALSE,ISNUMBER(VALUE(metadata!J699)))</f>
        <v>0</v>
      </c>
      <c r="AL699" t="b">
        <f>AND(IF(metadata!K699="",FALSE,TRUE),EXACT(metadata!K699,"cm"))</f>
        <v>0</v>
      </c>
      <c r="AM699" t="b">
        <f>AND(IF(metadata!L699="",FALSE,TRUE),EXACT(metadata!L699,"human"))</f>
        <v>0</v>
      </c>
      <c r="AN699" t="b">
        <f>AND(IF(metadata!M699="",FALSE,TRUE),EXACT(metadata!M699,"Homo sapiens"))</f>
        <v>0</v>
      </c>
      <c r="AO699" t="b">
        <f>AND(IF(metadata!N699="",FALSE,TRUE),EXACT(metadata!N699,"9606"))</f>
        <v>0</v>
      </c>
      <c r="AP699" t="b">
        <f>IF(metadata!O699="",FALSE,TRUE)</f>
        <v>0</v>
      </c>
      <c r="AQ699" t="b">
        <f>IF(metadata!P699="",FALSE,TRUE)</f>
        <v>0</v>
      </c>
      <c r="AR699" t="b">
        <f>IF(metadata!Q699="",FALSE,ISNUMBER(VALUE(metadata!Q699)))</f>
        <v>0</v>
      </c>
      <c r="AS699" t="b">
        <f>AND(IF(metadata!R699="",FALSE,TRUE),EXACT(metadata!R699,"kg"))</f>
        <v>0</v>
      </c>
    </row>
    <row r="700" spans="1:45" x14ac:dyDescent="0.2">
      <c r="A700" s="5" t="str">
        <f ca="1">IF(B700=" "," ",HYPERLINK(CONCATENATE("#metadata!",ADDRESS(INDEX($X$2:$X$1001,MATCH(ROWS($V$2:V700),$V$2:$V$1001,0),0),1)),INDEX($AA$2:$AA$1001,MATCH(ROWS($V$2:V700),$V$2:$V$1001,0),0)))</f>
        <v xml:space="preserve"> </v>
      </c>
      <c r="B700" s="4" t="str">
        <f ca="1">IF(OR(INDEX($W$2:$W$1001,MATCH(ROWS($V$2:V700),$V$2:$V$1001,0),1)&gt;=100000,INDEX($AC$1005:$AS$1005,1,MATCH(COLUMNS($AC$1006:AC1006),$AC$1006:$AS$1006,0))&gt;=100000), " ",IF(INDEX($AC$2:$AS$1001,MATCH(ROWS($V$2:V700),$V$2:$V$1001,0),MATCH(COLUMNS($AC$1006:AC1006),$AC$1006:$AS$1006,0)), HYPERLINK("#",""), HYPERLINK(CONCATENATE("#metadata!", ADDRESS(INDEX($X$2:$X$1001,MATCH(ROWS($V$2:V700),$V$2:$V$1001,0),0), INDEX($AC$1004:$AS$1004,1,MATCH(COLUMNS($AC$1006:AC1006),$AC$1006:$AS$1006,0)))),"Fix")))</f>
        <v xml:space="preserve"> </v>
      </c>
      <c r="C700" s="4" t="str">
        <f ca="1">IF(OR(INDEX($W$2:$W$1001,MATCH(ROWS($V$2:V700),$V$2:$V$1001,0),1)&gt;=100000,INDEX($AC$1005:$AS$1005,1,MATCH(COLUMNS($AC$1006:AD1006),$AC$1006:$AS$1006,0))&gt;=100000), " ",IF(INDEX($AC$2:$AS$1001,MATCH(ROWS($V$2:V700),$V$2:$V$1001,0),MATCH(COLUMNS($AC$1006:AD1006),$AC$1006:$AS$1006,0)), HYPERLINK("#",""), HYPERLINK(CONCATENATE("#metadata!", ADDRESS(INDEX($X$2:$X$1001,MATCH(ROWS($V$2:V700),$V$2:$V$1001,0),0), INDEX($AC$1004:$AS$1004,1,MATCH(COLUMNS($AC$1006:AD1006),$AC$1006:$AS$1006,0)))),"Fix")))</f>
        <v xml:space="preserve"> </v>
      </c>
      <c r="D700" s="4" t="str">
        <f ca="1">IF(OR(INDEX($W$2:$W$1001,MATCH(ROWS($V$2:V700),$V$2:$V$1001,0),1)&gt;=100000,INDEX($AC$1005:$AS$1005,1,MATCH(COLUMNS($AC$1006:AE1006),$AC$1006:$AS$1006,0))&gt;=100000), " ",IF(INDEX($AC$2:$AS$1001,MATCH(ROWS($V$2:V700),$V$2:$V$1001,0),MATCH(COLUMNS($AC$1006:AE1006),$AC$1006:$AS$1006,0)), HYPERLINK("#",""), HYPERLINK(CONCATENATE("#metadata!", ADDRESS(INDEX($X$2:$X$1001,MATCH(ROWS($V$2:V700),$V$2:$V$1001,0),0), INDEX($AC$1004:$AS$1004,1,MATCH(COLUMNS($AC$1006:AE1006),$AC$1006:$AS$1006,0)))),"Fix")))</f>
        <v xml:space="preserve"> </v>
      </c>
      <c r="E700" s="4" t="str">
        <f ca="1">IF(OR(INDEX($W$2:$W$1001,MATCH(ROWS($V$2:V700),$V$2:$V$1001,0),1)&gt;=100000,INDEX($AC$1005:$AS$1005,1,MATCH(COLUMNS($AC$1006:AF1006),$AC$1006:$AS$1006,0))&gt;=100000), " ",IF(INDEX($AC$2:$AS$1001,MATCH(ROWS($V$2:V700),$V$2:$V$1001,0),MATCH(COLUMNS($AC$1006:AF1006),$AC$1006:$AS$1006,0)), HYPERLINK("#",""), HYPERLINK(CONCATENATE("#metadata!", ADDRESS(INDEX($X$2:$X$1001,MATCH(ROWS($V$2:V700),$V$2:$V$1001,0),0), INDEX($AC$1004:$AS$1004,1,MATCH(COLUMNS($AC$1006:AF1006),$AC$1006:$AS$1006,0)))),"Fix")))</f>
        <v xml:space="preserve"> </v>
      </c>
      <c r="F700" s="4" t="str">
        <f ca="1">IF(OR(INDEX($W$2:$W$1001,MATCH(ROWS($V$2:V700),$V$2:$V$1001,0),1)&gt;=100000,INDEX($AC$1005:$AS$1005,1,MATCH(COLUMNS($AC$1006:AG1006),$AC$1006:$AS$1006,0))&gt;=100000), " ",IF(INDEX($AC$2:$AS$1001,MATCH(ROWS($V$2:V700),$V$2:$V$1001,0),MATCH(COLUMNS($AC$1006:AG1006),$AC$1006:$AS$1006,0)), HYPERLINK("#",""), HYPERLINK(CONCATENATE("#metadata!", ADDRESS(INDEX($X$2:$X$1001,MATCH(ROWS($V$2:V700),$V$2:$V$1001,0),0), INDEX($AC$1004:$AS$1004,1,MATCH(COLUMNS($AC$1006:AG1006),$AC$1006:$AS$1006,0)))),"Fix")))</f>
        <v xml:space="preserve"> </v>
      </c>
      <c r="G700" s="4" t="str">
        <f ca="1">IF(OR(INDEX($W$2:$W$1001,MATCH(ROWS($V$2:V700),$V$2:$V$1001,0),1)&gt;=100000,INDEX($AC$1005:$AS$1005,1,MATCH(COLUMNS($AC$1006:AH1006),$AC$1006:$AS$1006,0))&gt;=100000), " ",IF(INDEX($AC$2:$AS$1001,MATCH(ROWS($V$2:V700),$V$2:$V$1001,0),MATCH(COLUMNS($AC$1006:AH1006),$AC$1006:$AS$1006,0)), HYPERLINK("#",""), HYPERLINK(CONCATENATE("#metadata!", ADDRESS(INDEX($X$2:$X$1001,MATCH(ROWS($V$2:V700),$V$2:$V$1001,0),0), INDEX($AC$1004:$AS$1004,1,MATCH(COLUMNS($AC$1006:AH1006),$AC$1006:$AS$1006,0)))),"Fix")))</f>
        <v xml:space="preserve"> </v>
      </c>
      <c r="H700" s="4" t="str">
        <f ca="1">IF(OR(INDEX($W$2:$W$1001,MATCH(ROWS($V$2:V700),$V$2:$V$1001,0),1)&gt;=100000,INDEX($AC$1005:$AS$1005,1,MATCH(COLUMNS($AC$1006:AI1006),$AC$1006:$AS$1006,0))&gt;=100000), " ",IF(INDEX($AC$2:$AS$1001,MATCH(ROWS($V$2:V700),$V$2:$V$1001,0),MATCH(COLUMNS($AC$1006:AI1006),$AC$1006:$AS$1006,0)), HYPERLINK("#",""), HYPERLINK(CONCATENATE("#metadata!", ADDRESS(INDEX($X$2:$X$1001,MATCH(ROWS($V$2:V700),$V$2:$V$1001,0),0), INDEX($AC$1004:$AS$1004,1,MATCH(COLUMNS($AC$1006:AI1006),$AC$1006:$AS$1006,0)))),"Fix")))</f>
        <v xml:space="preserve"> </v>
      </c>
      <c r="I700" s="4" t="str">
        <f ca="1">IF(OR(INDEX($W$2:$W$1001,MATCH(ROWS($V$2:V700),$V$2:$V$1001,0),1)&gt;=100000,INDEX($AC$1005:$AS$1005,1,MATCH(COLUMNS($AC$1006:AJ1006),$AC$1006:$AS$1006,0))&gt;=100000), " ",IF(INDEX($AC$2:$AS$1001,MATCH(ROWS($V$2:V700),$V$2:$V$1001,0),MATCH(COLUMNS($AC$1006:AJ1006),$AC$1006:$AS$1006,0)), HYPERLINK("#",""), HYPERLINK(CONCATENATE("#metadata!", ADDRESS(INDEX($X$2:$X$1001,MATCH(ROWS($V$2:V700),$V$2:$V$1001,0),0), INDEX($AC$1004:$AS$1004,1,MATCH(COLUMNS($AC$1006:AJ1006),$AC$1006:$AS$1006,0)))),"Fix")))</f>
        <v xml:space="preserve"> </v>
      </c>
      <c r="J700" s="4" t="str">
        <f ca="1">IF(OR(INDEX($W$2:$W$1001,MATCH(ROWS($V$2:V700),$V$2:$V$1001,0),1)&gt;=100000,INDEX($AC$1005:$AS$1005,1,MATCH(COLUMNS($AC$1006:AK1006),$AC$1006:$AS$1006,0))&gt;=100000), " ",IF(INDEX($AC$2:$AS$1001,MATCH(ROWS($V$2:V700),$V$2:$V$1001,0),MATCH(COLUMNS($AC$1006:AK1006),$AC$1006:$AS$1006,0)), HYPERLINK("#",""), HYPERLINK(CONCATENATE("#metadata!", ADDRESS(INDEX($X$2:$X$1001,MATCH(ROWS($V$2:V700),$V$2:$V$1001,0),0), INDEX($AC$1004:$AS$1004,1,MATCH(COLUMNS($AC$1006:AK1006),$AC$1006:$AS$1006,0)))),"Fix")))</f>
        <v xml:space="preserve"> </v>
      </c>
      <c r="K700" s="4" t="str">
        <f ca="1">IF(OR(INDEX($W$2:$W$1001,MATCH(ROWS($V$2:V700),$V$2:$V$1001,0),1)&gt;=100000,INDEX($AC$1005:$AS$1005,1,MATCH(COLUMNS($AC$1006:AL1006),$AC$1006:$AS$1006,0))&gt;=100000), " ",IF(INDEX($AC$2:$AS$1001,MATCH(ROWS($V$2:V700),$V$2:$V$1001,0),MATCH(COLUMNS($AC$1006:AL1006),$AC$1006:$AS$1006,0)), HYPERLINK("#",""), HYPERLINK(CONCATENATE("#metadata!", ADDRESS(INDEX($X$2:$X$1001,MATCH(ROWS($V$2:V700),$V$2:$V$1001,0),0), INDEX($AC$1004:$AS$1004,1,MATCH(COLUMNS($AC$1006:AL1006),$AC$1006:$AS$1006,0)))),"Fix")))</f>
        <v xml:space="preserve"> </v>
      </c>
      <c r="L700" s="4" t="str">
        <f ca="1">IF(OR(INDEX($W$2:$W$1001,MATCH(ROWS($V$2:V700),$V$2:$V$1001,0),1)&gt;=100000,INDEX($AC$1005:$AS$1005,1,MATCH(COLUMNS($AC$1006:AM1006),$AC$1006:$AS$1006,0))&gt;=100000), " ",IF(INDEX($AC$2:$AS$1001,MATCH(ROWS($V$2:V700),$V$2:$V$1001,0),MATCH(COLUMNS($AC$1006:AM1006),$AC$1006:$AS$1006,0)), HYPERLINK("#",""), HYPERLINK(CONCATENATE("#metadata!", ADDRESS(INDEX($X$2:$X$1001,MATCH(ROWS($V$2:V700),$V$2:$V$1001,0),0), INDEX($AC$1004:$AS$1004,1,MATCH(COLUMNS($AC$1006:AM1006),$AC$1006:$AS$1006,0)))),"Fix")))</f>
        <v xml:space="preserve"> </v>
      </c>
      <c r="M700" s="4" t="str">
        <f ca="1">IF(OR(INDEX($W$2:$W$1001,MATCH(ROWS($V$2:V700),$V$2:$V$1001,0),1)&gt;=100000,INDEX($AC$1005:$AS$1005,1,MATCH(COLUMNS($AC$1006:AN1006),$AC$1006:$AS$1006,0))&gt;=100000), " ",IF(INDEX($AC$2:$AS$1001,MATCH(ROWS($V$2:V700),$V$2:$V$1001,0),MATCH(COLUMNS($AC$1006:AN1006),$AC$1006:$AS$1006,0)), HYPERLINK("#",""), HYPERLINK(CONCATENATE("#metadata!", ADDRESS(INDEX($X$2:$X$1001,MATCH(ROWS($V$2:V700),$V$2:$V$1001,0),0), INDEX($AC$1004:$AS$1004,1,MATCH(COLUMNS($AC$1006:AN1006),$AC$1006:$AS$1006,0)))),"Fix")))</f>
        <v xml:space="preserve"> </v>
      </c>
      <c r="N700" s="4" t="str">
        <f ca="1">IF(OR(INDEX($W$2:$W$1001,MATCH(ROWS($V$2:V700),$V$2:$V$1001,0),1)&gt;=100000,INDEX($AC$1005:$AS$1005,1,MATCH(COLUMNS($AC$1006:AO1006),$AC$1006:$AS$1006,0))&gt;=100000), " ",IF(INDEX($AC$2:$AS$1001,MATCH(ROWS($V$2:V700),$V$2:$V$1001,0),MATCH(COLUMNS($AC$1006:AO1006),$AC$1006:$AS$1006,0)), HYPERLINK("#",""), HYPERLINK(CONCATENATE("#metadata!", ADDRESS(INDEX($X$2:$X$1001,MATCH(ROWS($V$2:V700),$V$2:$V$1001,0),0), INDEX($AC$1004:$AS$1004,1,MATCH(COLUMNS($AC$1006:AO1006),$AC$1006:$AS$1006,0)))),"Fix")))</f>
        <v xml:space="preserve"> </v>
      </c>
      <c r="O700" s="4" t="str">
        <f ca="1">IF(OR(INDEX($W$2:$W$1001,MATCH(ROWS($V$2:V700),$V$2:$V$1001,0),1)&gt;=100000,INDEX($AC$1005:$AS$1005,1,MATCH(COLUMNS($AC$1006:AP1006),$AC$1006:$AS$1006,0))&gt;=100000), " ",IF(INDEX($AC$2:$AS$1001,MATCH(ROWS($V$2:V700),$V$2:$V$1001,0),MATCH(COLUMNS($AC$1006:AP1006),$AC$1006:$AS$1006,0)), HYPERLINK("#",""), HYPERLINK(CONCATENATE("#metadata!", ADDRESS(INDEX($X$2:$X$1001,MATCH(ROWS($V$2:V700),$V$2:$V$1001,0),0), INDEX($AC$1004:$AS$1004,1,MATCH(COLUMNS($AC$1006:AP1006),$AC$1006:$AS$1006,0)))),"Fix")))</f>
        <v xml:space="preserve"> </v>
      </c>
      <c r="P700" s="4" t="str">
        <f ca="1">IF(OR(INDEX($W$2:$W$1001,MATCH(ROWS($V$2:V700),$V$2:$V$1001,0),1)&gt;=100000,INDEX($AC$1005:$AS$1005,1,MATCH(COLUMNS($AC$1006:AQ1006),$AC$1006:$AS$1006,0))&gt;=100000), " ",IF(INDEX($AC$2:$AS$1001,MATCH(ROWS($V$2:V700),$V$2:$V$1001,0),MATCH(COLUMNS($AC$1006:AQ1006),$AC$1006:$AS$1006,0)), HYPERLINK("#",""), HYPERLINK(CONCATENATE("#metadata!", ADDRESS(INDEX($X$2:$X$1001,MATCH(ROWS($V$2:V700),$V$2:$V$1001,0),0), INDEX($AC$1004:$AS$1004,1,MATCH(COLUMNS($AC$1006:AQ1006),$AC$1006:$AS$1006,0)))),"Fix")))</f>
        <v xml:space="preserve"> </v>
      </c>
      <c r="Q700" s="4" t="str">
        <f ca="1">IF(OR(INDEX($W$2:$W$1001,MATCH(ROWS($V$2:V700),$V$2:$V$1001,0),1)&gt;=100000,INDEX($AC$1005:$AS$1005,1,MATCH(COLUMNS($AC$1006:AR1006),$AC$1006:$AS$1006,0))&gt;=100000), " ",IF(INDEX($AC$2:$AS$1001,MATCH(ROWS($V$2:V700),$V$2:$V$1001,0),MATCH(COLUMNS($AC$1006:AR1006),$AC$1006:$AS$1006,0)), HYPERLINK("#",""), HYPERLINK(CONCATENATE("#metadata!", ADDRESS(INDEX($X$2:$X$1001,MATCH(ROWS($V$2:V700),$V$2:$V$1001,0),0), INDEX($AC$1004:$AS$1004,1,MATCH(COLUMNS($AC$1006:AR1006),$AC$1006:$AS$1006,0)))),"Fix")))</f>
        <v xml:space="preserve"> </v>
      </c>
      <c r="R700" s="4" t="str">
        <f ca="1">IF(OR(INDEX($W$2:$W$1001,MATCH(ROWS($V$2:V700),$V$2:$V$1001,0),1)&gt;=100000,INDEX($AC$1005:$AS$1005,1,MATCH(COLUMNS($AC$1006:AS1006),$AC$1006:$AS$1006,0))&gt;=100000), " ",IF(INDEX($AC$2:$AS$1001,MATCH(ROWS($V$2:V700),$V$2:$V$1001,0),MATCH(COLUMNS($AC$1006:AS1006),$AC$1006:$AS$1006,0)), HYPERLINK("#",""), HYPERLINK(CONCATENATE("#metadata!", ADDRESS(INDEX($X$2:$X$1001,MATCH(ROWS($V$2:V700),$V$2:$V$1001,0),0), INDEX($AC$1004:$AS$1004,1,MATCH(COLUMNS($AC$1006:AS1006),$AC$1006:$AS$1006,0)))),"Fix")))</f>
        <v xml:space="preserve"> </v>
      </c>
      <c r="V700">
        <v>699</v>
      </c>
      <c r="W700">
        <v>100700</v>
      </c>
      <c r="X700">
        <v>700</v>
      </c>
      <c r="Y700" t="b">
        <f t="shared" si="10"/>
        <v>1</v>
      </c>
      <c r="Z700" t="b">
        <f>COUNTBLANK(metadata!B700:R700)=COLUMNS(metadata!B700:R700)</f>
        <v>1</v>
      </c>
      <c r="AA700" t="str">
        <v/>
      </c>
      <c r="AC700" t="b">
        <f ca="1"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AD700" t="b">
        <f>IF(metadata!C700="",FALSE,ISNUMBER(VALUE(metadata!C700)))</f>
        <v>0</v>
      </c>
      <c r="AE700" t="b">
        <f>AND(IF(metadata!D700="",FALSE,TRUE),EXACT(metadata!D700,"years"))</f>
        <v>0</v>
      </c>
      <c r="AF700" t="b">
        <f>OR(AND(IF(metadata!E700="",FALSE,TRUE),OR(EXACT(metadata!E700,"not applicable"),EXACT(metadata!E700,"missing: not collected"),EXACT(metadata!E700,"missing: not provided"),EXACT(metadata!E700,"missing: restricted access"))),AND(IF(metadata!E700="",FALSE,ISNUMBER(VALUE(metadata!E700))),metadata!E700&gt;0))</f>
        <v>0</v>
      </c>
      <c r="AG700" t="b">
        <f>AND(IF(metadata!F700="",FALSE,TRUE),EXACT(metadata!F700,"Not applicable"))</f>
        <v>0</v>
      </c>
      <c r="AH700" t="b">
        <f>AND(IF(metadata!G700="",FALSE,TRUE),EXACT(metadata!G700,"urban biome"))</f>
        <v>0</v>
      </c>
      <c r="AI700" t="b">
        <f>AND(IF(metadata!H700="",FALSE,TRUE),EXACT(metadata!H700,"human-associated habitat"))</f>
        <v>0</v>
      </c>
      <c r="AJ700" t="b">
        <f>AND(IF(metadata!I700="",FALSE,TRUE),OR(EXACT(metadata!I700,"human-associated"),EXACT(metadata!I700,"human-skin"),EXACT(metadata!I700,"human-oral"),EXACT(metadata!I700,"human-gut"),EXACT(metadata!I700,"human-vaginal")))</f>
        <v>0</v>
      </c>
      <c r="AK700" t="b">
        <f>IF(metadata!J700="",FALSE,ISNUMBER(VALUE(metadata!J700)))</f>
        <v>0</v>
      </c>
      <c r="AL700" t="b">
        <f>AND(IF(metadata!K700="",FALSE,TRUE),EXACT(metadata!K700,"cm"))</f>
        <v>0</v>
      </c>
      <c r="AM700" t="b">
        <f>AND(IF(metadata!L700="",FALSE,TRUE),EXACT(metadata!L700,"human"))</f>
        <v>0</v>
      </c>
      <c r="AN700" t="b">
        <f>AND(IF(metadata!M700="",FALSE,TRUE),EXACT(metadata!M700,"Homo sapiens"))</f>
        <v>0</v>
      </c>
      <c r="AO700" t="b">
        <f>AND(IF(metadata!N700="",FALSE,TRUE),EXACT(metadata!N700,"9606"))</f>
        <v>0</v>
      </c>
      <c r="AP700" t="b">
        <f>IF(metadata!O700="",FALSE,TRUE)</f>
        <v>0</v>
      </c>
      <c r="AQ700" t="b">
        <f>IF(metadata!P700="",FALSE,TRUE)</f>
        <v>0</v>
      </c>
      <c r="AR700" t="b">
        <f>IF(metadata!Q700="",FALSE,ISNUMBER(VALUE(metadata!Q700)))</f>
        <v>0</v>
      </c>
      <c r="AS700" t="b">
        <f>AND(IF(metadata!R700="",FALSE,TRUE),EXACT(metadata!R700,"kg"))</f>
        <v>0</v>
      </c>
    </row>
    <row r="701" spans="1:45" x14ac:dyDescent="0.2">
      <c r="A701" s="5" t="str">
        <f ca="1">IF(B701=" "," ",HYPERLINK(CONCATENATE("#metadata!",ADDRESS(INDEX($X$2:$X$1001,MATCH(ROWS($V$2:V701),$V$2:$V$1001,0),0),1)),INDEX($AA$2:$AA$1001,MATCH(ROWS($V$2:V701),$V$2:$V$1001,0),0)))</f>
        <v xml:space="preserve"> </v>
      </c>
      <c r="B701" s="4" t="str">
        <f ca="1">IF(OR(INDEX($W$2:$W$1001,MATCH(ROWS($V$2:V701),$V$2:$V$1001,0),1)&gt;=100000,INDEX($AC$1005:$AS$1005,1,MATCH(COLUMNS($AC$1006:AC1006),$AC$1006:$AS$1006,0))&gt;=100000), " ",IF(INDEX($AC$2:$AS$1001,MATCH(ROWS($V$2:V701),$V$2:$V$1001,0),MATCH(COLUMNS($AC$1006:AC1006),$AC$1006:$AS$1006,0)), HYPERLINK("#",""), HYPERLINK(CONCATENATE("#metadata!", ADDRESS(INDEX($X$2:$X$1001,MATCH(ROWS($V$2:V701),$V$2:$V$1001,0),0), INDEX($AC$1004:$AS$1004,1,MATCH(COLUMNS($AC$1006:AC1006),$AC$1006:$AS$1006,0)))),"Fix")))</f>
        <v xml:space="preserve"> </v>
      </c>
      <c r="C701" s="4" t="str">
        <f ca="1">IF(OR(INDEX($W$2:$W$1001,MATCH(ROWS($V$2:V701),$V$2:$V$1001,0),1)&gt;=100000,INDEX($AC$1005:$AS$1005,1,MATCH(COLUMNS($AC$1006:AD1006),$AC$1006:$AS$1006,0))&gt;=100000), " ",IF(INDEX($AC$2:$AS$1001,MATCH(ROWS($V$2:V701),$V$2:$V$1001,0),MATCH(COLUMNS($AC$1006:AD1006),$AC$1006:$AS$1006,0)), HYPERLINK("#",""), HYPERLINK(CONCATENATE("#metadata!", ADDRESS(INDEX($X$2:$X$1001,MATCH(ROWS($V$2:V701),$V$2:$V$1001,0),0), INDEX($AC$1004:$AS$1004,1,MATCH(COLUMNS($AC$1006:AD1006),$AC$1006:$AS$1006,0)))),"Fix")))</f>
        <v xml:space="preserve"> </v>
      </c>
      <c r="D701" s="4" t="str">
        <f ca="1">IF(OR(INDEX($W$2:$W$1001,MATCH(ROWS($V$2:V701),$V$2:$V$1001,0),1)&gt;=100000,INDEX($AC$1005:$AS$1005,1,MATCH(COLUMNS($AC$1006:AE1006),$AC$1006:$AS$1006,0))&gt;=100000), " ",IF(INDEX($AC$2:$AS$1001,MATCH(ROWS($V$2:V701),$V$2:$V$1001,0),MATCH(COLUMNS($AC$1006:AE1006),$AC$1006:$AS$1006,0)), HYPERLINK("#",""), HYPERLINK(CONCATENATE("#metadata!", ADDRESS(INDEX($X$2:$X$1001,MATCH(ROWS($V$2:V701),$V$2:$V$1001,0),0), INDEX($AC$1004:$AS$1004,1,MATCH(COLUMNS($AC$1006:AE1006),$AC$1006:$AS$1006,0)))),"Fix")))</f>
        <v xml:space="preserve"> </v>
      </c>
      <c r="E701" s="4" t="str">
        <f ca="1">IF(OR(INDEX($W$2:$W$1001,MATCH(ROWS($V$2:V701),$V$2:$V$1001,0),1)&gt;=100000,INDEX($AC$1005:$AS$1005,1,MATCH(COLUMNS($AC$1006:AF1006),$AC$1006:$AS$1006,0))&gt;=100000), " ",IF(INDEX($AC$2:$AS$1001,MATCH(ROWS($V$2:V701),$V$2:$V$1001,0),MATCH(COLUMNS($AC$1006:AF1006),$AC$1006:$AS$1006,0)), HYPERLINK("#",""), HYPERLINK(CONCATENATE("#metadata!", ADDRESS(INDEX($X$2:$X$1001,MATCH(ROWS($V$2:V701),$V$2:$V$1001,0),0), INDEX($AC$1004:$AS$1004,1,MATCH(COLUMNS($AC$1006:AF1006),$AC$1006:$AS$1006,0)))),"Fix")))</f>
        <v xml:space="preserve"> </v>
      </c>
      <c r="F701" s="4" t="str">
        <f ca="1">IF(OR(INDEX($W$2:$W$1001,MATCH(ROWS($V$2:V701),$V$2:$V$1001,0),1)&gt;=100000,INDEX($AC$1005:$AS$1005,1,MATCH(COLUMNS($AC$1006:AG1006),$AC$1006:$AS$1006,0))&gt;=100000), " ",IF(INDEX($AC$2:$AS$1001,MATCH(ROWS($V$2:V701),$V$2:$V$1001,0),MATCH(COLUMNS($AC$1006:AG1006),$AC$1006:$AS$1006,0)), HYPERLINK("#",""), HYPERLINK(CONCATENATE("#metadata!", ADDRESS(INDEX($X$2:$X$1001,MATCH(ROWS($V$2:V701),$V$2:$V$1001,0),0), INDEX($AC$1004:$AS$1004,1,MATCH(COLUMNS($AC$1006:AG1006),$AC$1006:$AS$1006,0)))),"Fix")))</f>
        <v xml:space="preserve"> </v>
      </c>
      <c r="G701" s="4" t="str">
        <f ca="1">IF(OR(INDEX($W$2:$W$1001,MATCH(ROWS($V$2:V701),$V$2:$V$1001,0),1)&gt;=100000,INDEX($AC$1005:$AS$1005,1,MATCH(COLUMNS($AC$1006:AH1006),$AC$1006:$AS$1006,0))&gt;=100000), " ",IF(INDEX($AC$2:$AS$1001,MATCH(ROWS($V$2:V701),$V$2:$V$1001,0),MATCH(COLUMNS($AC$1006:AH1006),$AC$1006:$AS$1006,0)), HYPERLINK("#",""), HYPERLINK(CONCATENATE("#metadata!", ADDRESS(INDEX($X$2:$X$1001,MATCH(ROWS($V$2:V701),$V$2:$V$1001,0),0), INDEX($AC$1004:$AS$1004,1,MATCH(COLUMNS($AC$1006:AH1006),$AC$1006:$AS$1006,0)))),"Fix")))</f>
        <v xml:space="preserve"> </v>
      </c>
      <c r="H701" s="4" t="str">
        <f ca="1">IF(OR(INDEX($W$2:$W$1001,MATCH(ROWS($V$2:V701),$V$2:$V$1001,0),1)&gt;=100000,INDEX($AC$1005:$AS$1005,1,MATCH(COLUMNS($AC$1006:AI1006),$AC$1006:$AS$1006,0))&gt;=100000), " ",IF(INDEX($AC$2:$AS$1001,MATCH(ROWS($V$2:V701),$V$2:$V$1001,0),MATCH(COLUMNS($AC$1006:AI1006),$AC$1006:$AS$1006,0)), HYPERLINK("#",""), HYPERLINK(CONCATENATE("#metadata!", ADDRESS(INDEX($X$2:$X$1001,MATCH(ROWS($V$2:V701),$V$2:$V$1001,0),0), INDEX($AC$1004:$AS$1004,1,MATCH(COLUMNS($AC$1006:AI1006),$AC$1006:$AS$1006,0)))),"Fix")))</f>
        <v xml:space="preserve"> </v>
      </c>
      <c r="I701" s="4" t="str">
        <f ca="1">IF(OR(INDEX($W$2:$W$1001,MATCH(ROWS($V$2:V701),$V$2:$V$1001,0),1)&gt;=100000,INDEX($AC$1005:$AS$1005,1,MATCH(COLUMNS($AC$1006:AJ1006),$AC$1006:$AS$1006,0))&gt;=100000), " ",IF(INDEX($AC$2:$AS$1001,MATCH(ROWS($V$2:V701),$V$2:$V$1001,0),MATCH(COLUMNS($AC$1006:AJ1006),$AC$1006:$AS$1006,0)), HYPERLINK("#",""), HYPERLINK(CONCATENATE("#metadata!", ADDRESS(INDEX($X$2:$X$1001,MATCH(ROWS($V$2:V701),$V$2:$V$1001,0),0), INDEX($AC$1004:$AS$1004,1,MATCH(COLUMNS($AC$1006:AJ1006),$AC$1006:$AS$1006,0)))),"Fix")))</f>
        <v xml:space="preserve"> </v>
      </c>
      <c r="J701" s="4" t="str">
        <f ca="1">IF(OR(INDEX($W$2:$W$1001,MATCH(ROWS($V$2:V701),$V$2:$V$1001,0),1)&gt;=100000,INDEX($AC$1005:$AS$1005,1,MATCH(COLUMNS($AC$1006:AK1006),$AC$1006:$AS$1006,0))&gt;=100000), " ",IF(INDEX($AC$2:$AS$1001,MATCH(ROWS($V$2:V701),$V$2:$V$1001,0),MATCH(COLUMNS($AC$1006:AK1006),$AC$1006:$AS$1006,0)), HYPERLINK("#",""), HYPERLINK(CONCATENATE("#metadata!", ADDRESS(INDEX($X$2:$X$1001,MATCH(ROWS($V$2:V701),$V$2:$V$1001,0),0), INDEX($AC$1004:$AS$1004,1,MATCH(COLUMNS($AC$1006:AK1006),$AC$1006:$AS$1006,0)))),"Fix")))</f>
        <v xml:space="preserve"> </v>
      </c>
      <c r="K701" s="4" t="str">
        <f ca="1">IF(OR(INDEX($W$2:$W$1001,MATCH(ROWS($V$2:V701),$V$2:$V$1001,0),1)&gt;=100000,INDEX($AC$1005:$AS$1005,1,MATCH(COLUMNS($AC$1006:AL1006),$AC$1006:$AS$1006,0))&gt;=100000), " ",IF(INDEX($AC$2:$AS$1001,MATCH(ROWS($V$2:V701),$V$2:$V$1001,0),MATCH(COLUMNS($AC$1006:AL1006),$AC$1006:$AS$1006,0)), HYPERLINK("#",""), HYPERLINK(CONCATENATE("#metadata!", ADDRESS(INDEX($X$2:$X$1001,MATCH(ROWS($V$2:V701),$V$2:$V$1001,0),0), INDEX($AC$1004:$AS$1004,1,MATCH(COLUMNS($AC$1006:AL1006),$AC$1006:$AS$1006,0)))),"Fix")))</f>
        <v xml:space="preserve"> </v>
      </c>
      <c r="L701" s="4" t="str">
        <f ca="1">IF(OR(INDEX($W$2:$W$1001,MATCH(ROWS($V$2:V701),$V$2:$V$1001,0),1)&gt;=100000,INDEX($AC$1005:$AS$1005,1,MATCH(COLUMNS($AC$1006:AM1006),$AC$1006:$AS$1006,0))&gt;=100000), " ",IF(INDEX($AC$2:$AS$1001,MATCH(ROWS($V$2:V701),$V$2:$V$1001,0),MATCH(COLUMNS($AC$1006:AM1006),$AC$1006:$AS$1006,0)), HYPERLINK("#",""), HYPERLINK(CONCATENATE("#metadata!", ADDRESS(INDEX($X$2:$X$1001,MATCH(ROWS($V$2:V701),$V$2:$V$1001,0),0), INDEX($AC$1004:$AS$1004,1,MATCH(COLUMNS($AC$1006:AM1006),$AC$1006:$AS$1006,0)))),"Fix")))</f>
        <v xml:space="preserve"> </v>
      </c>
      <c r="M701" s="4" t="str">
        <f ca="1">IF(OR(INDEX($W$2:$W$1001,MATCH(ROWS($V$2:V701),$V$2:$V$1001,0),1)&gt;=100000,INDEX($AC$1005:$AS$1005,1,MATCH(COLUMNS($AC$1006:AN1006),$AC$1006:$AS$1006,0))&gt;=100000), " ",IF(INDEX($AC$2:$AS$1001,MATCH(ROWS($V$2:V701),$V$2:$V$1001,0),MATCH(COLUMNS($AC$1006:AN1006),$AC$1006:$AS$1006,0)), HYPERLINK("#",""), HYPERLINK(CONCATENATE("#metadata!", ADDRESS(INDEX($X$2:$X$1001,MATCH(ROWS($V$2:V701),$V$2:$V$1001,0),0), INDEX($AC$1004:$AS$1004,1,MATCH(COLUMNS($AC$1006:AN1006),$AC$1006:$AS$1006,0)))),"Fix")))</f>
        <v xml:space="preserve"> </v>
      </c>
      <c r="N701" s="4" t="str">
        <f ca="1">IF(OR(INDEX($W$2:$W$1001,MATCH(ROWS($V$2:V701),$V$2:$V$1001,0),1)&gt;=100000,INDEX($AC$1005:$AS$1005,1,MATCH(COLUMNS($AC$1006:AO1006),$AC$1006:$AS$1006,0))&gt;=100000), " ",IF(INDEX($AC$2:$AS$1001,MATCH(ROWS($V$2:V701),$V$2:$V$1001,0),MATCH(COLUMNS($AC$1006:AO1006),$AC$1006:$AS$1006,0)), HYPERLINK("#",""), HYPERLINK(CONCATENATE("#metadata!", ADDRESS(INDEX($X$2:$X$1001,MATCH(ROWS($V$2:V701),$V$2:$V$1001,0),0), INDEX($AC$1004:$AS$1004,1,MATCH(COLUMNS($AC$1006:AO1006),$AC$1006:$AS$1006,0)))),"Fix")))</f>
        <v xml:space="preserve"> </v>
      </c>
      <c r="O701" s="4" t="str">
        <f ca="1">IF(OR(INDEX($W$2:$W$1001,MATCH(ROWS($V$2:V701),$V$2:$V$1001,0),1)&gt;=100000,INDEX($AC$1005:$AS$1005,1,MATCH(COLUMNS($AC$1006:AP1006),$AC$1006:$AS$1006,0))&gt;=100000), " ",IF(INDEX($AC$2:$AS$1001,MATCH(ROWS($V$2:V701),$V$2:$V$1001,0),MATCH(COLUMNS($AC$1006:AP1006),$AC$1006:$AS$1006,0)), HYPERLINK("#",""), HYPERLINK(CONCATENATE("#metadata!", ADDRESS(INDEX($X$2:$X$1001,MATCH(ROWS($V$2:V701),$V$2:$V$1001,0),0), INDEX($AC$1004:$AS$1004,1,MATCH(COLUMNS($AC$1006:AP1006),$AC$1006:$AS$1006,0)))),"Fix")))</f>
        <v xml:space="preserve"> </v>
      </c>
      <c r="P701" s="4" t="str">
        <f ca="1">IF(OR(INDEX($W$2:$W$1001,MATCH(ROWS($V$2:V701),$V$2:$V$1001,0),1)&gt;=100000,INDEX($AC$1005:$AS$1005,1,MATCH(COLUMNS($AC$1006:AQ1006),$AC$1006:$AS$1006,0))&gt;=100000), " ",IF(INDEX($AC$2:$AS$1001,MATCH(ROWS($V$2:V701),$V$2:$V$1001,0),MATCH(COLUMNS($AC$1006:AQ1006),$AC$1006:$AS$1006,0)), HYPERLINK("#",""), HYPERLINK(CONCATENATE("#metadata!", ADDRESS(INDEX($X$2:$X$1001,MATCH(ROWS($V$2:V701),$V$2:$V$1001,0),0), INDEX($AC$1004:$AS$1004,1,MATCH(COLUMNS($AC$1006:AQ1006),$AC$1006:$AS$1006,0)))),"Fix")))</f>
        <v xml:space="preserve"> </v>
      </c>
      <c r="Q701" s="4" t="str">
        <f ca="1">IF(OR(INDEX($W$2:$W$1001,MATCH(ROWS($V$2:V701),$V$2:$V$1001,0),1)&gt;=100000,INDEX($AC$1005:$AS$1005,1,MATCH(COLUMNS($AC$1006:AR1006),$AC$1006:$AS$1006,0))&gt;=100000), " ",IF(INDEX($AC$2:$AS$1001,MATCH(ROWS($V$2:V701),$V$2:$V$1001,0),MATCH(COLUMNS($AC$1006:AR1006),$AC$1006:$AS$1006,0)), HYPERLINK("#",""), HYPERLINK(CONCATENATE("#metadata!", ADDRESS(INDEX($X$2:$X$1001,MATCH(ROWS($V$2:V701),$V$2:$V$1001,0),0), INDEX($AC$1004:$AS$1004,1,MATCH(COLUMNS($AC$1006:AR1006),$AC$1006:$AS$1006,0)))),"Fix")))</f>
        <v xml:space="preserve"> </v>
      </c>
      <c r="R701" s="4" t="str">
        <f ca="1">IF(OR(INDEX($W$2:$W$1001,MATCH(ROWS($V$2:V701),$V$2:$V$1001,0),1)&gt;=100000,INDEX($AC$1005:$AS$1005,1,MATCH(COLUMNS($AC$1006:AS1006),$AC$1006:$AS$1006,0))&gt;=100000), " ",IF(INDEX($AC$2:$AS$1001,MATCH(ROWS($V$2:V701),$V$2:$V$1001,0),MATCH(COLUMNS($AC$1006:AS1006),$AC$1006:$AS$1006,0)), HYPERLINK("#",""), HYPERLINK(CONCATENATE("#metadata!", ADDRESS(INDEX($X$2:$X$1001,MATCH(ROWS($V$2:V701),$V$2:$V$1001,0),0), INDEX($AC$1004:$AS$1004,1,MATCH(COLUMNS($AC$1006:AS1006),$AC$1006:$AS$1006,0)))),"Fix")))</f>
        <v xml:space="preserve"> </v>
      </c>
      <c r="V701">
        <v>700</v>
      </c>
      <c r="W701">
        <v>100701</v>
      </c>
      <c r="X701">
        <v>701</v>
      </c>
      <c r="Y701" t="b">
        <f t="shared" si="10"/>
        <v>1</v>
      </c>
      <c r="Z701" t="b">
        <f>COUNTBLANK(metadata!B701:R701)=COLUMNS(metadata!B701:R701)</f>
        <v>1</v>
      </c>
      <c r="AA701" t="str">
        <v/>
      </c>
      <c r="AC701" t="b">
        <f ca="1"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AD701" t="b">
        <f>IF(metadata!C701="",FALSE,ISNUMBER(VALUE(metadata!C701)))</f>
        <v>0</v>
      </c>
      <c r="AE701" t="b">
        <f>AND(IF(metadata!D701="",FALSE,TRUE),EXACT(metadata!D701,"years"))</f>
        <v>0</v>
      </c>
      <c r="AF701" t="b">
        <f>OR(AND(IF(metadata!E701="",FALSE,TRUE),OR(EXACT(metadata!E701,"not applicable"),EXACT(metadata!E701,"missing: not collected"),EXACT(metadata!E701,"missing: not provided"),EXACT(metadata!E701,"missing: restricted access"))),AND(IF(metadata!E701="",FALSE,ISNUMBER(VALUE(metadata!E701))),metadata!E701&gt;0))</f>
        <v>0</v>
      </c>
      <c r="AG701" t="b">
        <f>AND(IF(metadata!F701="",FALSE,TRUE),EXACT(metadata!F701,"Not applicable"))</f>
        <v>0</v>
      </c>
      <c r="AH701" t="b">
        <f>AND(IF(metadata!G701="",FALSE,TRUE),EXACT(metadata!G701,"urban biome"))</f>
        <v>0</v>
      </c>
      <c r="AI701" t="b">
        <f>AND(IF(metadata!H701="",FALSE,TRUE),EXACT(metadata!H701,"human-associated habitat"))</f>
        <v>0</v>
      </c>
      <c r="AJ701" t="b">
        <f>AND(IF(metadata!I701="",FALSE,TRUE),OR(EXACT(metadata!I701,"human-associated"),EXACT(metadata!I701,"human-skin"),EXACT(metadata!I701,"human-oral"),EXACT(metadata!I701,"human-gut"),EXACT(metadata!I701,"human-vaginal")))</f>
        <v>0</v>
      </c>
      <c r="AK701" t="b">
        <f>IF(metadata!J701="",FALSE,ISNUMBER(VALUE(metadata!J701)))</f>
        <v>0</v>
      </c>
      <c r="AL701" t="b">
        <f>AND(IF(metadata!K701="",FALSE,TRUE),EXACT(metadata!K701,"cm"))</f>
        <v>0</v>
      </c>
      <c r="AM701" t="b">
        <f>AND(IF(metadata!L701="",FALSE,TRUE),EXACT(metadata!L701,"human"))</f>
        <v>0</v>
      </c>
      <c r="AN701" t="b">
        <f>AND(IF(metadata!M701="",FALSE,TRUE),EXACT(metadata!M701,"Homo sapiens"))</f>
        <v>0</v>
      </c>
      <c r="AO701" t="b">
        <f>AND(IF(metadata!N701="",FALSE,TRUE),EXACT(metadata!N701,"9606"))</f>
        <v>0</v>
      </c>
      <c r="AP701" t="b">
        <f>IF(metadata!O701="",FALSE,TRUE)</f>
        <v>0</v>
      </c>
      <c r="AQ701" t="b">
        <f>IF(metadata!P701="",FALSE,TRUE)</f>
        <v>0</v>
      </c>
      <c r="AR701" t="b">
        <f>IF(metadata!Q701="",FALSE,ISNUMBER(VALUE(metadata!Q701)))</f>
        <v>0</v>
      </c>
      <c r="AS701" t="b">
        <f>AND(IF(metadata!R701="",FALSE,TRUE),EXACT(metadata!R701,"kg"))</f>
        <v>0</v>
      </c>
    </row>
    <row r="702" spans="1:45" x14ac:dyDescent="0.2">
      <c r="A702" s="5" t="str">
        <f ca="1">IF(B702=" "," ",HYPERLINK(CONCATENATE("#metadata!",ADDRESS(INDEX($X$2:$X$1001,MATCH(ROWS($V$2:V702),$V$2:$V$1001,0),0),1)),INDEX($AA$2:$AA$1001,MATCH(ROWS($V$2:V702),$V$2:$V$1001,0),0)))</f>
        <v xml:space="preserve"> </v>
      </c>
      <c r="B702" s="4" t="str">
        <f ca="1">IF(OR(INDEX($W$2:$W$1001,MATCH(ROWS($V$2:V702),$V$2:$V$1001,0),1)&gt;=100000,INDEX($AC$1005:$AS$1005,1,MATCH(COLUMNS($AC$1006:AC1006),$AC$1006:$AS$1006,0))&gt;=100000), " ",IF(INDEX($AC$2:$AS$1001,MATCH(ROWS($V$2:V702),$V$2:$V$1001,0),MATCH(COLUMNS($AC$1006:AC1006),$AC$1006:$AS$1006,0)), HYPERLINK("#",""), HYPERLINK(CONCATENATE("#metadata!", ADDRESS(INDEX($X$2:$X$1001,MATCH(ROWS($V$2:V702),$V$2:$V$1001,0),0), INDEX($AC$1004:$AS$1004,1,MATCH(COLUMNS($AC$1006:AC1006),$AC$1006:$AS$1006,0)))),"Fix")))</f>
        <v xml:space="preserve"> </v>
      </c>
      <c r="C702" s="4" t="str">
        <f ca="1">IF(OR(INDEX($W$2:$W$1001,MATCH(ROWS($V$2:V702),$V$2:$V$1001,0),1)&gt;=100000,INDEX($AC$1005:$AS$1005,1,MATCH(COLUMNS($AC$1006:AD1006),$AC$1006:$AS$1006,0))&gt;=100000), " ",IF(INDEX($AC$2:$AS$1001,MATCH(ROWS($V$2:V702),$V$2:$V$1001,0),MATCH(COLUMNS($AC$1006:AD1006),$AC$1006:$AS$1006,0)), HYPERLINK("#",""), HYPERLINK(CONCATENATE("#metadata!", ADDRESS(INDEX($X$2:$X$1001,MATCH(ROWS($V$2:V702),$V$2:$V$1001,0),0), INDEX($AC$1004:$AS$1004,1,MATCH(COLUMNS($AC$1006:AD1006),$AC$1006:$AS$1006,0)))),"Fix")))</f>
        <v xml:space="preserve"> </v>
      </c>
      <c r="D702" s="4" t="str">
        <f ca="1">IF(OR(INDEX($W$2:$W$1001,MATCH(ROWS($V$2:V702),$V$2:$V$1001,0),1)&gt;=100000,INDEX($AC$1005:$AS$1005,1,MATCH(COLUMNS($AC$1006:AE1006),$AC$1006:$AS$1006,0))&gt;=100000), " ",IF(INDEX($AC$2:$AS$1001,MATCH(ROWS($V$2:V702),$V$2:$V$1001,0),MATCH(COLUMNS($AC$1006:AE1006),$AC$1006:$AS$1006,0)), HYPERLINK("#",""), HYPERLINK(CONCATENATE("#metadata!", ADDRESS(INDEX($X$2:$X$1001,MATCH(ROWS($V$2:V702),$V$2:$V$1001,0),0), INDEX($AC$1004:$AS$1004,1,MATCH(COLUMNS($AC$1006:AE1006),$AC$1006:$AS$1006,0)))),"Fix")))</f>
        <v xml:space="preserve"> </v>
      </c>
      <c r="E702" s="4" t="str">
        <f ca="1">IF(OR(INDEX($W$2:$W$1001,MATCH(ROWS($V$2:V702),$V$2:$V$1001,0),1)&gt;=100000,INDEX($AC$1005:$AS$1005,1,MATCH(COLUMNS($AC$1006:AF1006),$AC$1006:$AS$1006,0))&gt;=100000), " ",IF(INDEX($AC$2:$AS$1001,MATCH(ROWS($V$2:V702),$V$2:$V$1001,0),MATCH(COLUMNS($AC$1006:AF1006),$AC$1006:$AS$1006,0)), HYPERLINK("#",""), HYPERLINK(CONCATENATE("#metadata!", ADDRESS(INDEX($X$2:$X$1001,MATCH(ROWS($V$2:V702),$V$2:$V$1001,0),0), INDEX($AC$1004:$AS$1004,1,MATCH(COLUMNS($AC$1006:AF1006),$AC$1006:$AS$1006,0)))),"Fix")))</f>
        <v xml:space="preserve"> </v>
      </c>
      <c r="F702" s="4" t="str">
        <f ca="1">IF(OR(INDEX($W$2:$W$1001,MATCH(ROWS($V$2:V702),$V$2:$V$1001,0),1)&gt;=100000,INDEX($AC$1005:$AS$1005,1,MATCH(COLUMNS($AC$1006:AG1006),$AC$1006:$AS$1006,0))&gt;=100000), " ",IF(INDEX($AC$2:$AS$1001,MATCH(ROWS($V$2:V702),$V$2:$V$1001,0),MATCH(COLUMNS($AC$1006:AG1006),$AC$1006:$AS$1006,0)), HYPERLINK("#",""), HYPERLINK(CONCATENATE("#metadata!", ADDRESS(INDEX($X$2:$X$1001,MATCH(ROWS($V$2:V702),$V$2:$V$1001,0),0), INDEX($AC$1004:$AS$1004,1,MATCH(COLUMNS($AC$1006:AG1006),$AC$1006:$AS$1006,0)))),"Fix")))</f>
        <v xml:space="preserve"> </v>
      </c>
      <c r="G702" s="4" t="str">
        <f ca="1">IF(OR(INDEX($W$2:$W$1001,MATCH(ROWS($V$2:V702),$V$2:$V$1001,0),1)&gt;=100000,INDEX($AC$1005:$AS$1005,1,MATCH(COLUMNS($AC$1006:AH1006),$AC$1006:$AS$1006,0))&gt;=100000), " ",IF(INDEX($AC$2:$AS$1001,MATCH(ROWS($V$2:V702),$V$2:$V$1001,0),MATCH(COLUMNS($AC$1006:AH1006),$AC$1006:$AS$1006,0)), HYPERLINK("#",""), HYPERLINK(CONCATENATE("#metadata!", ADDRESS(INDEX($X$2:$X$1001,MATCH(ROWS($V$2:V702),$V$2:$V$1001,0),0), INDEX($AC$1004:$AS$1004,1,MATCH(COLUMNS($AC$1006:AH1006),$AC$1006:$AS$1006,0)))),"Fix")))</f>
        <v xml:space="preserve"> </v>
      </c>
      <c r="H702" s="4" t="str">
        <f ca="1">IF(OR(INDEX($W$2:$W$1001,MATCH(ROWS($V$2:V702),$V$2:$V$1001,0),1)&gt;=100000,INDEX($AC$1005:$AS$1005,1,MATCH(COLUMNS($AC$1006:AI1006),$AC$1006:$AS$1006,0))&gt;=100000), " ",IF(INDEX($AC$2:$AS$1001,MATCH(ROWS($V$2:V702),$V$2:$V$1001,0),MATCH(COLUMNS($AC$1006:AI1006),$AC$1006:$AS$1006,0)), HYPERLINK("#",""), HYPERLINK(CONCATENATE("#metadata!", ADDRESS(INDEX($X$2:$X$1001,MATCH(ROWS($V$2:V702),$V$2:$V$1001,0),0), INDEX($AC$1004:$AS$1004,1,MATCH(COLUMNS($AC$1006:AI1006),$AC$1006:$AS$1006,0)))),"Fix")))</f>
        <v xml:space="preserve"> </v>
      </c>
      <c r="I702" s="4" t="str">
        <f ca="1">IF(OR(INDEX($W$2:$W$1001,MATCH(ROWS($V$2:V702),$V$2:$V$1001,0),1)&gt;=100000,INDEX($AC$1005:$AS$1005,1,MATCH(COLUMNS($AC$1006:AJ1006),$AC$1006:$AS$1006,0))&gt;=100000), " ",IF(INDEX($AC$2:$AS$1001,MATCH(ROWS($V$2:V702),$V$2:$V$1001,0),MATCH(COLUMNS($AC$1006:AJ1006),$AC$1006:$AS$1006,0)), HYPERLINK("#",""), HYPERLINK(CONCATENATE("#metadata!", ADDRESS(INDEX($X$2:$X$1001,MATCH(ROWS($V$2:V702),$V$2:$V$1001,0),0), INDEX($AC$1004:$AS$1004,1,MATCH(COLUMNS($AC$1006:AJ1006),$AC$1006:$AS$1006,0)))),"Fix")))</f>
        <v xml:space="preserve"> </v>
      </c>
      <c r="J702" s="4" t="str">
        <f ca="1">IF(OR(INDEX($W$2:$W$1001,MATCH(ROWS($V$2:V702),$V$2:$V$1001,0),1)&gt;=100000,INDEX($AC$1005:$AS$1005,1,MATCH(COLUMNS($AC$1006:AK1006),$AC$1006:$AS$1006,0))&gt;=100000), " ",IF(INDEX($AC$2:$AS$1001,MATCH(ROWS($V$2:V702),$V$2:$V$1001,0),MATCH(COLUMNS($AC$1006:AK1006),$AC$1006:$AS$1006,0)), HYPERLINK("#",""), HYPERLINK(CONCATENATE("#metadata!", ADDRESS(INDEX($X$2:$X$1001,MATCH(ROWS($V$2:V702),$V$2:$V$1001,0),0), INDEX($AC$1004:$AS$1004,1,MATCH(COLUMNS($AC$1006:AK1006),$AC$1006:$AS$1006,0)))),"Fix")))</f>
        <v xml:space="preserve"> </v>
      </c>
      <c r="K702" s="4" t="str">
        <f ca="1">IF(OR(INDEX($W$2:$W$1001,MATCH(ROWS($V$2:V702),$V$2:$V$1001,0),1)&gt;=100000,INDEX($AC$1005:$AS$1005,1,MATCH(COLUMNS($AC$1006:AL1006),$AC$1006:$AS$1006,0))&gt;=100000), " ",IF(INDEX($AC$2:$AS$1001,MATCH(ROWS($V$2:V702),$V$2:$V$1001,0),MATCH(COLUMNS($AC$1006:AL1006),$AC$1006:$AS$1006,0)), HYPERLINK("#",""), HYPERLINK(CONCATENATE("#metadata!", ADDRESS(INDEX($X$2:$X$1001,MATCH(ROWS($V$2:V702),$V$2:$V$1001,0),0), INDEX($AC$1004:$AS$1004,1,MATCH(COLUMNS($AC$1006:AL1006),$AC$1006:$AS$1006,0)))),"Fix")))</f>
        <v xml:space="preserve"> </v>
      </c>
      <c r="L702" s="4" t="str">
        <f ca="1">IF(OR(INDEX($W$2:$W$1001,MATCH(ROWS($V$2:V702),$V$2:$V$1001,0),1)&gt;=100000,INDEX($AC$1005:$AS$1005,1,MATCH(COLUMNS($AC$1006:AM1006),$AC$1006:$AS$1006,0))&gt;=100000), " ",IF(INDEX($AC$2:$AS$1001,MATCH(ROWS($V$2:V702),$V$2:$V$1001,0),MATCH(COLUMNS($AC$1006:AM1006),$AC$1006:$AS$1006,0)), HYPERLINK("#",""), HYPERLINK(CONCATENATE("#metadata!", ADDRESS(INDEX($X$2:$X$1001,MATCH(ROWS($V$2:V702),$V$2:$V$1001,0),0), INDEX($AC$1004:$AS$1004,1,MATCH(COLUMNS($AC$1006:AM1006),$AC$1006:$AS$1006,0)))),"Fix")))</f>
        <v xml:space="preserve"> </v>
      </c>
      <c r="M702" s="4" t="str">
        <f ca="1">IF(OR(INDEX($W$2:$W$1001,MATCH(ROWS($V$2:V702),$V$2:$V$1001,0),1)&gt;=100000,INDEX($AC$1005:$AS$1005,1,MATCH(COLUMNS($AC$1006:AN1006),$AC$1006:$AS$1006,0))&gt;=100000), " ",IF(INDEX($AC$2:$AS$1001,MATCH(ROWS($V$2:V702),$V$2:$V$1001,0),MATCH(COLUMNS($AC$1006:AN1006),$AC$1006:$AS$1006,0)), HYPERLINK("#",""), HYPERLINK(CONCATENATE("#metadata!", ADDRESS(INDEX($X$2:$X$1001,MATCH(ROWS($V$2:V702),$V$2:$V$1001,0),0), INDEX($AC$1004:$AS$1004,1,MATCH(COLUMNS($AC$1006:AN1006),$AC$1006:$AS$1006,0)))),"Fix")))</f>
        <v xml:space="preserve"> </v>
      </c>
      <c r="N702" s="4" t="str">
        <f ca="1">IF(OR(INDEX($W$2:$W$1001,MATCH(ROWS($V$2:V702),$V$2:$V$1001,0),1)&gt;=100000,INDEX($AC$1005:$AS$1005,1,MATCH(COLUMNS($AC$1006:AO1006),$AC$1006:$AS$1006,0))&gt;=100000), " ",IF(INDEX($AC$2:$AS$1001,MATCH(ROWS($V$2:V702),$V$2:$V$1001,0),MATCH(COLUMNS($AC$1006:AO1006),$AC$1006:$AS$1006,0)), HYPERLINK("#",""), HYPERLINK(CONCATENATE("#metadata!", ADDRESS(INDEX($X$2:$X$1001,MATCH(ROWS($V$2:V702),$V$2:$V$1001,0),0), INDEX($AC$1004:$AS$1004,1,MATCH(COLUMNS($AC$1006:AO1006),$AC$1006:$AS$1006,0)))),"Fix")))</f>
        <v xml:space="preserve"> </v>
      </c>
      <c r="O702" s="4" t="str">
        <f ca="1">IF(OR(INDEX($W$2:$W$1001,MATCH(ROWS($V$2:V702),$V$2:$V$1001,0),1)&gt;=100000,INDEX($AC$1005:$AS$1005,1,MATCH(COLUMNS($AC$1006:AP1006),$AC$1006:$AS$1006,0))&gt;=100000), " ",IF(INDEX($AC$2:$AS$1001,MATCH(ROWS($V$2:V702),$V$2:$V$1001,0),MATCH(COLUMNS($AC$1006:AP1006),$AC$1006:$AS$1006,0)), HYPERLINK("#",""), HYPERLINK(CONCATENATE("#metadata!", ADDRESS(INDEX($X$2:$X$1001,MATCH(ROWS($V$2:V702),$V$2:$V$1001,0),0), INDEX($AC$1004:$AS$1004,1,MATCH(COLUMNS($AC$1006:AP1006),$AC$1006:$AS$1006,0)))),"Fix")))</f>
        <v xml:space="preserve"> </v>
      </c>
      <c r="P702" s="4" t="str">
        <f ca="1">IF(OR(INDEX($W$2:$W$1001,MATCH(ROWS($V$2:V702),$V$2:$V$1001,0),1)&gt;=100000,INDEX($AC$1005:$AS$1005,1,MATCH(COLUMNS($AC$1006:AQ1006),$AC$1006:$AS$1006,0))&gt;=100000), " ",IF(INDEX($AC$2:$AS$1001,MATCH(ROWS($V$2:V702),$V$2:$V$1001,0),MATCH(COLUMNS($AC$1006:AQ1006),$AC$1006:$AS$1006,0)), HYPERLINK("#",""), HYPERLINK(CONCATENATE("#metadata!", ADDRESS(INDEX($X$2:$X$1001,MATCH(ROWS($V$2:V702),$V$2:$V$1001,0),0), INDEX($AC$1004:$AS$1004,1,MATCH(COLUMNS($AC$1006:AQ1006),$AC$1006:$AS$1006,0)))),"Fix")))</f>
        <v xml:space="preserve"> </v>
      </c>
      <c r="Q702" s="4" t="str">
        <f ca="1">IF(OR(INDEX($W$2:$W$1001,MATCH(ROWS($V$2:V702),$V$2:$V$1001,0),1)&gt;=100000,INDEX($AC$1005:$AS$1005,1,MATCH(COLUMNS($AC$1006:AR1006),$AC$1006:$AS$1006,0))&gt;=100000), " ",IF(INDEX($AC$2:$AS$1001,MATCH(ROWS($V$2:V702),$V$2:$V$1001,0),MATCH(COLUMNS($AC$1006:AR1006),$AC$1006:$AS$1006,0)), HYPERLINK("#",""), HYPERLINK(CONCATENATE("#metadata!", ADDRESS(INDEX($X$2:$X$1001,MATCH(ROWS($V$2:V702),$V$2:$V$1001,0),0), INDEX($AC$1004:$AS$1004,1,MATCH(COLUMNS($AC$1006:AR1006),$AC$1006:$AS$1006,0)))),"Fix")))</f>
        <v xml:space="preserve"> </v>
      </c>
      <c r="R702" s="4" t="str">
        <f ca="1">IF(OR(INDEX($W$2:$W$1001,MATCH(ROWS($V$2:V702),$V$2:$V$1001,0),1)&gt;=100000,INDEX($AC$1005:$AS$1005,1,MATCH(COLUMNS($AC$1006:AS1006),$AC$1006:$AS$1006,0))&gt;=100000), " ",IF(INDEX($AC$2:$AS$1001,MATCH(ROWS($V$2:V702),$V$2:$V$1001,0),MATCH(COLUMNS($AC$1006:AS1006),$AC$1006:$AS$1006,0)), HYPERLINK("#",""), HYPERLINK(CONCATENATE("#metadata!", ADDRESS(INDEX($X$2:$X$1001,MATCH(ROWS($V$2:V702),$V$2:$V$1001,0),0), INDEX($AC$1004:$AS$1004,1,MATCH(COLUMNS($AC$1006:AS1006),$AC$1006:$AS$1006,0)))),"Fix")))</f>
        <v xml:space="preserve"> </v>
      </c>
      <c r="V702">
        <v>701</v>
      </c>
      <c r="W702">
        <v>100702</v>
      </c>
      <c r="X702">
        <v>702</v>
      </c>
      <c r="Y702" t="b">
        <f t="shared" si="10"/>
        <v>1</v>
      </c>
      <c r="Z702" t="b">
        <f>COUNTBLANK(metadata!B702:R702)=COLUMNS(metadata!B702:R702)</f>
        <v>1</v>
      </c>
      <c r="AA702" t="str">
        <v/>
      </c>
      <c r="AC702" t="b">
        <f ca="1"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AD702" t="b">
        <f>IF(metadata!C702="",FALSE,ISNUMBER(VALUE(metadata!C702)))</f>
        <v>0</v>
      </c>
      <c r="AE702" t="b">
        <f>AND(IF(metadata!D702="",FALSE,TRUE),EXACT(metadata!D702,"years"))</f>
        <v>0</v>
      </c>
      <c r="AF702" t="b">
        <f>OR(AND(IF(metadata!E702="",FALSE,TRUE),OR(EXACT(metadata!E702,"not applicable"),EXACT(metadata!E702,"missing: not collected"),EXACT(metadata!E702,"missing: not provided"),EXACT(metadata!E702,"missing: restricted access"))),AND(IF(metadata!E702="",FALSE,ISNUMBER(VALUE(metadata!E702))),metadata!E702&gt;0))</f>
        <v>0</v>
      </c>
      <c r="AG702" t="b">
        <f>AND(IF(metadata!F702="",FALSE,TRUE),EXACT(metadata!F702,"Not applicable"))</f>
        <v>0</v>
      </c>
      <c r="AH702" t="b">
        <f>AND(IF(metadata!G702="",FALSE,TRUE),EXACT(metadata!G702,"urban biome"))</f>
        <v>0</v>
      </c>
      <c r="AI702" t="b">
        <f>AND(IF(metadata!H702="",FALSE,TRUE),EXACT(metadata!H702,"human-associated habitat"))</f>
        <v>0</v>
      </c>
      <c r="AJ702" t="b">
        <f>AND(IF(metadata!I702="",FALSE,TRUE),OR(EXACT(metadata!I702,"human-associated"),EXACT(metadata!I702,"human-skin"),EXACT(metadata!I702,"human-oral"),EXACT(metadata!I702,"human-gut"),EXACT(metadata!I702,"human-vaginal")))</f>
        <v>0</v>
      </c>
      <c r="AK702" t="b">
        <f>IF(metadata!J702="",FALSE,ISNUMBER(VALUE(metadata!J702)))</f>
        <v>0</v>
      </c>
      <c r="AL702" t="b">
        <f>AND(IF(metadata!K702="",FALSE,TRUE),EXACT(metadata!K702,"cm"))</f>
        <v>0</v>
      </c>
      <c r="AM702" t="b">
        <f>AND(IF(metadata!L702="",FALSE,TRUE),EXACT(metadata!L702,"human"))</f>
        <v>0</v>
      </c>
      <c r="AN702" t="b">
        <f>AND(IF(metadata!M702="",FALSE,TRUE),EXACT(metadata!M702,"Homo sapiens"))</f>
        <v>0</v>
      </c>
      <c r="AO702" t="b">
        <f>AND(IF(metadata!N702="",FALSE,TRUE),EXACT(metadata!N702,"9606"))</f>
        <v>0</v>
      </c>
      <c r="AP702" t="b">
        <f>IF(metadata!O702="",FALSE,TRUE)</f>
        <v>0</v>
      </c>
      <c r="AQ702" t="b">
        <f>IF(metadata!P702="",FALSE,TRUE)</f>
        <v>0</v>
      </c>
      <c r="AR702" t="b">
        <f>IF(metadata!Q702="",FALSE,ISNUMBER(VALUE(metadata!Q702)))</f>
        <v>0</v>
      </c>
      <c r="AS702" t="b">
        <f>AND(IF(metadata!R702="",FALSE,TRUE),EXACT(metadata!R702,"kg"))</f>
        <v>0</v>
      </c>
    </row>
    <row r="703" spans="1:45" x14ac:dyDescent="0.2">
      <c r="A703" s="5" t="str">
        <f ca="1">IF(B703=" "," ",HYPERLINK(CONCATENATE("#metadata!",ADDRESS(INDEX($X$2:$X$1001,MATCH(ROWS($V$2:V703),$V$2:$V$1001,0),0),1)),INDEX($AA$2:$AA$1001,MATCH(ROWS($V$2:V703),$V$2:$V$1001,0),0)))</f>
        <v xml:space="preserve"> </v>
      </c>
      <c r="B703" s="4" t="str">
        <f ca="1">IF(OR(INDEX($W$2:$W$1001,MATCH(ROWS($V$2:V703),$V$2:$V$1001,0),1)&gt;=100000,INDEX($AC$1005:$AS$1005,1,MATCH(COLUMNS($AC$1006:AC1006),$AC$1006:$AS$1006,0))&gt;=100000), " ",IF(INDEX($AC$2:$AS$1001,MATCH(ROWS($V$2:V703),$V$2:$V$1001,0),MATCH(COLUMNS($AC$1006:AC1006),$AC$1006:$AS$1006,0)), HYPERLINK("#",""), HYPERLINK(CONCATENATE("#metadata!", ADDRESS(INDEX($X$2:$X$1001,MATCH(ROWS($V$2:V703),$V$2:$V$1001,0),0), INDEX($AC$1004:$AS$1004,1,MATCH(COLUMNS($AC$1006:AC1006),$AC$1006:$AS$1006,0)))),"Fix")))</f>
        <v xml:space="preserve"> </v>
      </c>
      <c r="C703" s="4" t="str">
        <f ca="1">IF(OR(INDEX($W$2:$W$1001,MATCH(ROWS($V$2:V703),$V$2:$V$1001,0),1)&gt;=100000,INDEX($AC$1005:$AS$1005,1,MATCH(COLUMNS($AC$1006:AD1006),$AC$1006:$AS$1006,0))&gt;=100000), " ",IF(INDEX($AC$2:$AS$1001,MATCH(ROWS($V$2:V703),$V$2:$V$1001,0),MATCH(COLUMNS($AC$1006:AD1006),$AC$1006:$AS$1006,0)), HYPERLINK("#",""), HYPERLINK(CONCATENATE("#metadata!", ADDRESS(INDEX($X$2:$X$1001,MATCH(ROWS($V$2:V703),$V$2:$V$1001,0),0), INDEX($AC$1004:$AS$1004,1,MATCH(COLUMNS($AC$1006:AD1006),$AC$1006:$AS$1006,0)))),"Fix")))</f>
        <v xml:space="preserve"> </v>
      </c>
      <c r="D703" s="4" t="str">
        <f ca="1">IF(OR(INDEX($W$2:$W$1001,MATCH(ROWS($V$2:V703),$V$2:$V$1001,0),1)&gt;=100000,INDEX($AC$1005:$AS$1005,1,MATCH(COLUMNS($AC$1006:AE1006),$AC$1006:$AS$1006,0))&gt;=100000), " ",IF(INDEX($AC$2:$AS$1001,MATCH(ROWS($V$2:V703),$V$2:$V$1001,0),MATCH(COLUMNS($AC$1006:AE1006),$AC$1006:$AS$1006,0)), HYPERLINK("#",""), HYPERLINK(CONCATENATE("#metadata!", ADDRESS(INDEX($X$2:$X$1001,MATCH(ROWS($V$2:V703),$V$2:$V$1001,0),0), INDEX($AC$1004:$AS$1004,1,MATCH(COLUMNS($AC$1006:AE1006),$AC$1006:$AS$1006,0)))),"Fix")))</f>
        <v xml:space="preserve"> </v>
      </c>
      <c r="E703" s="4" t="str">
        <f ca="1">IF(OR(INDEX($W$2:$W$1001,MATCH(ROWS($V$2:V703),$V$2:$V$1001,0),1)&gt;=100000,INDEX($AC$1005:$AS$1005,1,MATCH(COLUMNS($AC$1006:AF1006),$AC$1006:$AS$1006,0))&gt;=100000), " ",IF(INDEX($AC$2:$AS$1001,MATCH(ROWS($V$2:V703),$V$2:$V$1001,0),MATCH(COLUMNS($AC$1006:AF1006),$AC$1006:$AS$1006,0)), HYPERLINK("#",""), HYPERLINK(CONCATENATE("#metadata!", ADDRESS(INDEX($X$2:$X$1001,MATCH(ROWS($V$2:V703),$V$2:$V$1001,0),0), INDEX($AC$1004:$AS$1004,1,MATCH(COLUMNS($AC$1006:AF1006),$AC$1006:$AS$1006,0)))),"Fix")))</f>
        <v xml:space="preserve"> </v>
      </c>
      <c r="F703" s="4" t="str">
        <f ca="1">IF(OR(INDEX($W$2:$W$1001,MATCH(ROWS($V$2:V703),$V$2:$V$1001,0),1)&gt;=100000,INDEX($AC$1005:$AS$1005,1,MATCH(COLUMNS($AC$1006:AG1006),$AC$1006:$AS$1006,0))&gt;=100000), " ",IF(INDEX($AC$2:$AS$1001,MATCH(ROWS($V$2:V703),$V$2:$V$1001,0),MATCH(COLUMNS($AC$1006:AG1006),$AC$1006:$AS$1006,0)), HYPERLINK("#",""), HYPERLINK(CONCATENATE("#metadata!", ADDRESS(INDEX($X$2:$X$1001,MATCH(ROWS($V$2:V703),$V$2:$V$1001,0),0), INDEX($AC$1004:$AS$1004,1,MATCH(COLUMNS($AC$1006:AG1006),$AC$1006:$AS$1006,0)))),"Fix")))</f>
        <v xml:space="preserve"> </v>
      </c>
      <c r="G703" s="4" t="str">
        <f ca="1">IF(OR(INDEX($W$2:$W$1001,MATCH(ROWS($V$2:V703),$V$2:$V$1001,0),1)&gt;=100000,INDEX($AC$1005:$AS$1005,1,MATCH(COLUMNS($AC$1006:AH1006),$AC$1006:$AS$1006,0))&gt;=100000), " ",IF(INDEX($AC$2:$AS$1001,MATCH(ROWS($V$2:V703),$V$2:$V$1001,0),MATCH(COLUMNS($AC$1006:AH1006),$AC$1006:$AS$1006,0)), HYPERLINK("#",""), HYPERLINK(CONCATENATE("#metadata!", ADDRESS(INDEX($X$2:$X$1001,MATCH(ROWS($V$2:V703),$V$2:$V$1001,0),0), INDEX($AC$1004:$AS$1004,1,MATCH(COLUMNS($AC$1006:AH1006),$AC$1006:$AS$1006,0)))),"Fix")))</f>
        <v xml:space="preserve"> </v>
      </c>
      <c r="H703" s="4" t="str">
        <f ca="1">IF(OR(INDEX($W$2:$W$1001,MATCH(ROWS($V$2:V703),$V$2:$V$1001,0),1)&gt;=100000,INDEX($AC$1005:$AS$1005,1,MATCH(COLUMNS($AC$1006:AI1006),$AC$1006:$AS$1006,0))&gt;=100000), " ",IF(INDEX($AC$2:$AS$1001,MATCH(ROWS($V$2:V703),$V$2:$V$1001,0),MATCH(COLUMNS($AC$1006:AI1006),$AC$1006:$AS$1006,0)), HYPERLINK("#",""), HYPERLINK(CONCATENATE("#metadata!", ADDRESS(INDEX($X$2:$X$1001,MATCH(ROWS($V$2:V703),$V$2:$V$1001,0),0), INDEX($AC$1004:$AS$1004,1,MATCH(COLUMNS($AC$1006:AI1006),$AC$1006:$AS$1006,0)))),"Fix")))</f>
        <v xml:space="preserve"> </v>
      </c>
      <c r="I703" s="4" t="str">
        <f ca="1">IF(OR(INDEX($W$2:$W$1001,MATCH(ROWS($V$2:V703),$V$2:$V$1001,0),1)&gt;=100000,INDEX($AC$1005:$AS$1005,1,MATCH(COLUMNS($AC$1006:AJ1006),$AC$1006:$AS$1006,0))&gt;=100000), " ",IF(INDEX($AC$2:$AS$1001,MATCH(ROWS($V$2:V703),$V$2:$V$1001,0),MATCH(COLUMNS($AC$1006:AJ1006),$AC$1006:$AS$1006,0)), HYPERLINK("#",""), HYPERLINK(CONCATENATE("#metadata!", ADDRESS(INDEX($X$2:$X$1001,MATCH(ROWS($V$2:V703),$V$2:$V$1001,0),0), INDEX($AC$1004:$AS$1004,1,MATCH(COLUMNS($AC$1006:AJ1006),$AC$1006:$AS$1006,0)))),"Fix")))</f>
        <v xml:space="preserve"> </v>
      </c>
      <c r="J703" s="4" t="str">
        <f ca="1">IF(OR(INDEX($W$2:$W$1001,MATCH(ROWS($V$2:V703),$V$2:$V$1001,0),1)&gt;=100000,INDEX($AC$1005:$AS$1005,1,MATCH(COLUMNS($AC$1006:AK1006),$AC$1006:$AS$1006,0))&gt;=100000), " ",IF(INDEX($AC$2:$AS$1001,MATCH(ROWS($V$2:V703),$V$2:$V$1001,0),MATCH(COLUMNS($AC$1006:AK1006),$AC$1006:$AS$1006,0)), HYPERLINK("#",""), HYPERLINK(CONCATENATE("#metadata!", ADDRESS(INDEX($X$2:$X$1001,MATCH(ROWS($V$2:V703),$V$2:$V$1001,0),0), INDEX($AC$1004:$AS$1004,1,MATCH(COLUMNS($AC$1006:AK1006),$AC$1006:$AS$1006,0)))),"Fix")))</f>
        <v xml:space="preserve"> </v>
      </c>
      <c r="K703" s="4" t="str">
        <f ca="1">IF(OR(INDEX($W$2:$W$1001,MATCH(ROWS($V$2:V703),$V$2:$V$1001,0),1)&gt;=100000,INDEX($AC$1005:$AS$1005,1,MATCH(COLUMNS($AC$1006:AL1006),$AC$1006:$AS$1006,0))&gt;=100000), " ",IF(INDEX($AC$2:$AS$1001,MATCH(ROWS($V$2:V703),$V$2:$V$1001,0),MATCH(COLUMNS($AC$1006:AL1006),$AC$1006:$AS$1006,0)), HYPERLINK("#",""), HYPERLINK(CONCATENATE("#metadata!", ADDRESS(INDEX($X$2:$X$1001,MATCH(ROWS($V$2:V703),$V$2:$V$1001,0),0), INDEX($AC$1004:$AS$1004,1,MATCH(COLUMNS($AC$1006:AL1006),$AC$1006:$AS$1006,0)))),"Fix")))</f>
        <v xml:space="preserve"> </v>
      </c>
      <c r="L703" s="4" t="str">
        <f ca="1">IF(OR(INDEX($W$2:$W$1001,MATCH(ROWS($V$2:V703),$V$2:$V$1001,0),1)&gt;=100000,INDEX($AC$1005:$AS$1005,1,MATCH(COLUMNS($AC$1006:AM1006),$AC$1006:$AS$1006,0))&gt;=100000), " ",IF(INDEX($AC$2:$AS$1001,MATCH(ROWS($V$2:V703),$V$2:$V$1001,0),MATCH(COLUMNS($AC$1006:AM1006),$AC$1006:$AS$1006,0)), HYPERLINK("#",""), HYPERLINK(CONCATENATE("#metadata!", ADDRESS(INDEX($X$2:$X$1001,MATCH(ROWS($V$2:V703),$V$2:$V$1001,0),0), INDEX($AC$1004:$AS$1004,1,MATCH(COLUMNS($AC$1006:AM1006),$AC$1006:$AS$1006,0)))),"Fix")))</f>
        <v xml:space="preserve"> </v>
      </c>
      <c r="M703" s="4" t="str">
        <f ca="1">IF(OR(INDEX($W$2:$W$1001,MATCH(ROWS($V$2:V703),$V$2:$V$1001,0),1)&gt;=100000,INDEX($AC$1005:$AS$1005,1,MATCH(COLUMNS($AC$1006:AN1006),$AC$1006:$AS$1006,0))&gt;=100000), " ",IF(INDEX($AC$2:$AS$1001,MATCH(ROWS($V$2:V703),$V$2:$V$1001,0),MATCH(COLUMNS($AC$1006:AN1006),$AC$1006:$AS$1006,0)), HYPERLINK("#",""), HYPERLINK(CONCATENATE("#metadata!", ADDRESS(INDEX($X$2:$X$1001,MATCH(ROWS($V$2:V703),$V$2:$V$1001,0),0), INDEX($AC$1004:$AS$1004,1,MATCH(COLUMNS($AC$1006:AN1006),$AC$1006:$AS$1006,0)))),"Fix")))</f>
        <v xml:space="preserve"> </v>
      </c>
      <c r="N703" s="4" t="str">
        <f ca="1">IF(OR(INDEX($W$2:$W$1001,MATCH(ROWS($V$2:V703),$V$2:$V$1001,0),1)&gt;=100000,INDEX($AC$1005:$AS$1005,1,MATCH(COLUMNS($AC$1006:AO1006),$AC$1006:$AS$1006,0))&gt;=100000), " ",IF(INDEX($AC$2:$AS$1001,MATCH(ROWS($V$2:V703),$V$2:$V$1001,0),MATCH(COLUMNS($AC$1006:AO1006),$AC$1006:$AS$1006,0)), HYPERLINK("#",""), HYPERLINK(CONCATENATE("#metadata!", ADDRESS(INDEX($X$2:$X$1001,MATCH(ROWS($V$2:V703),$V$2:$V$1001,0),0), INDEX($AC$1004:$AS$1004,1,MATCH(COLUMNS($AC$1006:AO1006),$AC$1006:$AS$1006,0)))),"Fix")))</f>
        <v xml:space="preserve"> </v>
      </c>
      <c r="O703" s="4" t="str">
        <f ca="1">IF(OR(INDEX($W$2:$W$1001,MATCH(ROWS($V$2:V703),$V$2:$V$1001,0),1)&gt;=100000,INDEX($AC$1005:$AS$1005,1,MATCH(COLUMNS($AC$1006:AP1006),$AC$1006:$AS$1006,0))&gt;=100000), " ",IF(INDEX($AC$2:$AS$1001,MATCH(ROWS($V$2:V703),$V$2:$V$1001,0),MATCH(COLUMNS($AC$1006:AP1006),$AC$1006:$AS$1006,0)), HYPERLINK("#",""), HYPERLINK(CONCATENATE("#metadata!", ADDRESS(INDEX($X$2:$X$1001,MATCH(ROWS($V$2:V703),$V$2:$V$1001,0),0), INDEX($AC$1004:$AS$1004,1,MATCH(COLUMNS($AC$1006:AP1006),$AC$1006:$AS$1006,0)))),"Fix")))</f>
        <v xml:space="preserve"> </v>
      </c>
      <c r="P703" s="4" t="str">
        <f ca="1">IF(OR(INDEX($W$2:$W$1001,MATCH(ROWS($V$2:V703),$V$2:$V$1001,0),1)&gt;=100000,INDEX($AC$1005:$AS$1005,1,MATCH(COLUMNS($AC$1006:AQ1006),$AC$1006:$AS$1006,0))&gt;=100000), " ",IF(INDEX($AC$2:$AS$1001,MATCH(ROWS($V$2:V703),$V$2:$V$1001,0),MATCH(COLUMNS($AC$1006:AQ1006),$AC$1006:$AS$1006,0)), HYPERLINK("#",""), HYPERLINK(CONCATENATE("#metadata!", ADDRESS(INDEX($X$2:$X$1001,MATCH(ROWS($V$2:V703),$V$2:$V$1001,0),0), INDEX($AC$1004:$AS$1004,1,MATCH(COLUMNS($AC$1006:AQ1006),$AC$1006:$AS$1006,0)))),"Fix")))</f>
        <v xml:space="preserve"> </v>
      </c>
      <c r="Q703" s="4" t="str">
        <f ca="1">IF(OR(INDEX($W$2:$W$1001,MATCH(ROWS($V$2:V703),$V$2:$V$1001,0),1)&gt;=100000,INDEX($AC$1005:$AS$1005,1,MATCH(COLUMNS($AC$1006:AR1006),$AC$1006:$AS$1006,0))&gt;=100000), " ",IF(INDEX($AC$2:$AS$1001,MATCH(ROWS($V$2:V703),$V$2:$V$1001,0),MATCH(COLUMNS($AC$1006:AR1006),$AC$1006:$AS$1006,0)), HYPERLINK("#",""), HYPERLINK(CONCATENATE("#metadata!", ADDRESS(INDEX($X$2:$X$1001,MATCH(ROWS($V$2:V703),$V$2:$V$1001,0),0), INDEX($AC$1004:$AS$1004,1,MATCH(COLUMNS($AC$1006:AR1006),$AC$1006:$AS$1006,0)))),"Fix")))</f>
        <v xml:space="preserve"> </v>
      </c>
      <c r="R703" s="4" t="str">
        <f ca="1">IF(OR(INDEX($W$2:$W$1001,MATCH(ROWS($V$2:V703),$V$2:$V$1001,0),1)&gt;=100000,INDEX($AC$1005:$AS$1005,1,MATCH(COLUMNS($AC$1006:AS1006),$AC$1006:$AS$1006,0))&gt;=100000), " ",IF(INDEX($AC$2:$AS$1001,MATCH(ROWS($V$2:V703),$V$2:$V$1001,0),MATCH(COLUMNS($AC$1006:AS1006),$AC$1006:$AS$1006,0)), HYPERLINK("#",""), HYPERLINK(CONCATENATE("#metadata!", ADDRESS(INDEX($X$2:$X$1001,MATCH(ROWS($V$2:V703),$V$2:$V$1001,0),0), INDEX($AC$1004:$AS$1004,1,MATCH(COLUMNS($AC$1006:AS1006),$AC$1006:$AS$1006,0)))),"Fix")))</f>
        <v xml:space="preserve"> </v>
      </c>
      <c r="V703">
        <v>702</v>
      </c>
      <c r="W703">
        <v>100703</v>
      </c>
      <c r="X703">
        <v>703</v>
      </c>
      <c r="Y703" t="b">
        <f t="shared" si="10"/>
        <v>1</v>
      </c>
      <c r="Z703" t="b">
        <f>COUNTBLANK(metadata!B703:R703)=COLUMNS(metadata!B703:R703)</f>
        <v>1</v>
      </c>
      <c r="AA703" t="str">
        <v/>
      </c>
      <c r="AC703" t="b">
        <f ca="1"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AD703" t="b">
        <f>IF(metadata!C703="",FALSE,ISNUMBER(VALUE(metadata!C703)))</f>
        <v>0</v>
      </c>
      <c r="AE703" t="b">
        <f>AND(IF(metadata!D703="",FALSE,TRUE),EXACT(metadata!D703,"years"))</f>
        <v>0</v>
      </c>
      <c r="AF703" t="b">
        <f>OR(AND(IF(metadata!E703="",FALSE,TRUE),OR(EXACT(metadata!E703,"not applicable"),EXACT(metadata!E703,"missing: not collected"),EXACT(metadata!E703,"missing: not provided"),EXACT(metadata!E703,"missing: restricted access"))),AND(IF(metadata!E703="",FALSE,ISNUMBER(VALUE(metadata!E703))),metadata!E703&gt;0))</f>
        <v>0</v>
      </c>
      <c r="AG703" t="b">
        <f>AND(IF(metadata!F703="",FALSE,TRUE),EXACT(metadata!F703,"Not applicable"))</f>
        <v>0</v>
      </c>
      <c r="AH703" t="b">
        <f>AND(IF(metadata!G703="",FALSE,TRUE),EXACT(metadata!G703,"urban biome"))</f>
        <v>0</v>
      </c>
      <c r="AI703" t="b">
        <f>AND(IF(metadata!H703="",FALSE,TRUE),EXACT(metadata!H703,"human-associated habitat"))</f>
        <v>0</v>
      </c>
      <c r="AJ703" t="b">
        <f>AND(IF(metadata!I703="",FALSE,TRUE),OR(EXACT(metadata!I703,"human-associated"),EXACT(metadata!I703,"human-skin"),EXACT(metadata!I703,"human-oral"),EXACT(metadata!I703,"human-gut"),EXACT(metadata!I703,"human-vaginal")))</f>
        <v>0</v>
      </c>
      <c r="AK703" t="b">
        <f>IF(metadata!J703="",FALSE,ISNUMBER(VALUE(metadata!J703)))</f>
        <v>0</v>
      </c>
      <c r="AL703" t="b">
        <f>AND(IF(metadata!K703="",FALSE,TRUE),EXACT(metadata!K703,"cm"))</f>
        <v>0</v>
      </c>
      <c r="AM703" t="b">
        <f>AND(IF(metadata!L703="",FALSE,TRUE),EXACT(metadata!L703,"human"))</f>
        <v>0</v>
      </c>
      <c r="AN703" t="b">
        <f>AND(IF(metadata!M703="",FALSE,TRUE),EXACT(metadata!M703,"Homo sapiens"))</f>
        <v>0</v>
      </c>
      <c r="AO703" t="b">
        <f>AND(IF(metadata!N703="",FALSE,TRUE),EXACT(metadata!N703,"9606"))</f>
        <v>0</v>
      </c>
      <c r="AP703" t="b">
        <f>IF(metadata!O703="",FALSE,TRUE)</f>
        <v>0</v>
      </c>
      <c r="AQ703" t="b">
        <f>IF(metadata!P703="",FALSE,TRUE)</f>
        <v>0</v>
      </c>
      <c r="AR703" t="b">
        <f>IF(metadata!Q703="",FALSE,ISNUMBER(VALUE(metadata!Q703)))</f>
        <v>0</v>
      </c>
      <c r="AS703" t="b">
        <f>AND(IF(metadata!R703="",FALSE,TRUE),EXACT(metadata!R703,"kg"))</f>
        <v>0</v>
      </c>
    </row>
    <row r="704" spans="1:45" x14ac:dyDescent="0.2">
      <c r="A704" s="5" t="str">
        <f ca="1">IF(B704=" "," ",HYPERLINK(CONCATENATE("#metadata!",ADDRESS(INDEX($X$2:$X$1001,MATCH(ROWS($V$2:V704),$V$2:$V$1001,0),0),1)),INDEX($AA$2:$AA$1001,MATCH(ROWS($V$2:V704),$V$2:$V$1001,0),0)))</f>
        <v xml:space="preserve"> </v>
      </c>
      <c r="B704" s="4" t="str">
        <f ca="1">IF(OR(INDEX($W$2:$W$1001,MATCH(ROWS($V$2:V704),$V$2:$V$1001,0),1)&gt;=100000,INDEX($AC$1005:$AS$1005,1,MATCH(COLUMNS($AC$1006:AC1006),$AC$1006:$AS$1006,0))&gt;=100000), " ",IF(INDEX($AC$2:$AS$1001,MATCH(ROWS($V$2:V704),$V$2:$V$1001,0),MATCH(COLUMNS($AC$1006:AC1006),$AC$1006:$AS$1006,0)), HYPERLINK("#",""), HYPERLINK(CONCATENATE("#metadata!", ADDRESS(INDEX($X$2:$X$1001,MATCH(ROWS($V$2:V704),$V$2:$V$1001,0),0), INDEX($AC$1004:$AS$1004,1,MATCH(COLUMNS($AC$1006:AC1006),$AC$1006:$AS$1006,0)))),"Fix")))</f>
        <v xml:space="preserve"> </v>
      </c>
      <c r="C704" s="4" t="str">
        <f ca="1">IF(OR(INDEX($W$2:$W$1001,MATCH(ROWS($V$2:V704),$V$2:$V$1001,0),1)&gt;=100000,INDEX($AC$1005:$AS$1005,1,MATCH(COLUMNS($AC$1006:AD1006),$AC$1006:$AS$1006,0))&gt;=100000), " ",IF(INDEX($AC$2:$AS$1001,MATCH(ROWS($V$2:V704),$V$2:$V$1001,0),MATCH(COLUMNS($AC$1006:AD1006),$AC$1006:$AS$1006,0)), HYPERLINK("#",""), HYPERLINK(CONCATENATE("#metadata!", ADDRESS(INDEX($X$2:$X$1001,MATCH(ROWS($V$2:V704),$V$2:$V$1001,0),0), INDEX($AC$1004:$AS$1004,1,MATCH(COLUMNS($AC$1006:AD1006),$AC$1006:$AS$1006,0)))),"Fix")))</f>
        <v xml:space="preserve"> </v>
      </c>
      <c r="D704" s="4" t="str">
        <f ca="1">IF(OR(INDEX($W$2:$W$1001,MATCH(ROWS($V$2:V704),$V$2:$V$1001,0),1)&gt;=100000,INDEX($AC$1005:$AS$1005,1,MATCH(COLUMNS($AC$1006:AE1006),$AC$1006:$AS$1006,0))&gt;=100000), " ",IF(INDEX($AC$2:$AS$1001,MATCH(ROWS($V$2:V704),$V$2:$V$1001,0),MATCH(COLUMNS($AC$1006:AE1006),$AC$1006:$AS$1006,0)), HYPERLINK("#",""), HYPERLINK(CONCATENATE("#metadata!", ADDRESS(INDEX($X$2:$X$1001,MATCH(ROWS($V$2:V704),$V$2:$V$1001,0),0), INDEX($AC$1004:$AS$1004,1,MATCH(COLUMNS($AC$1006:AE1006),$AC$1006:$AS$1006,0)))),"Fix")))</f>
        <v xml:space="preserve"> </v>
      </c>
      <c r="E704" s="4" t="str">
        <f ca="1">IF(OR(INDEX($W$2:$W$1001,MATCH(ROWS($V$2:V704),$V$2:$V$1001,0),1)&gt;=100000,INDEX($AC$1005:$AS$1005,1,MATCH(COLUMNS($AC$1006:AF1006),$AC$1006:$AS$1006,0))&gt;=100000), " ",IF(INDEX($AC$2:$AS$1001,MATCH(ROWS($V$2:V704),$V$2:$V$1001,0),MATCH(COLUMNS($AC$1006:AF1006),$AC$1006:$AS$1006,0)), HYPERLINK("#",""), HYPERLINK(CONCATENATE("#metadata!", ADDRESS(INDEX($X$2:$X$1001,MATCH(ROWS($V$2:V704),$V$2:$V$1001,0),0), INDEX($AC$1004:$AS$1004,1,MATCH(COLUMNS($AC$1006:AF1006),$AC$1006:$AS$1006,0)))),"Fix")))</f>
        <v xml:space="preserve"> </v>
      </c>
      <c r="F704" s="4" t="str">
        <f ca="1">IF(OR(INDEX($W$2:$W$1001,MATCH(ROWS($V$2:V704),$V$2:$V$1001,0),1)&gt;=100000,INDEX($AC$1005:$AS$1005,1,MATCH(COLUMNS($AC$1006:AG1006),$AC$1006:$AS$1006,0))&gt;=100000), " ",IF(INDEX($AC$2:$AS$1001,MATCH(ROWS($V$2:V704),$V$2:$V$1001,0),MATCH(COLUMNS($AC$1006:AG1006),$AC$1006:$AS$1006,0)), HYPERLINK("#",""), HYPERLINK(CONCATENATE("#metadata!", ADDRESS(INDEX($X$2:$X$1001,MATCH(ROWS($V$2:V704),$V$2:$V$1001,0),0), INDEX($AC$1004:$AS$1004,1,MATCH(COLUMNS($AC$1006:AG1006),$AC$1006:$AS$1006,0)))),"Fix")))</f>
        <v xml:space="preserve"> </v>
      </c>
      <c r="G704" s="4" t="str">
        <f ca="1">IF(OR(INDEX($W$2:$W$1001,MATCH(ROWS($V$2:V704),$V$2:$V$1001,0),1)&gt;=100000,INDEX($AC$1005:$AS$1005,1,MATCH(COLUMNS($AC$1006:AH1006),$AC$1006:$AS$1006,0))&gt;=100000), " ",IF(INDEX($AC$2:$AS$1001,MATCH(ROWS($V$2:V704),$V$2:$V$1001,0),MATCH(COLUMNS($AC$1006:AH1006),$AC$1006:$AS$1006,0)), HYPERLINK("#",""), HYPERLINK(CONCATENATE("#metadata!", ADDRESS(INDEX($X$2:$X$1001,MATCH(ROWS($V$2:V704),$V$2:$V$1001,0),0), INDEX($AC$1004:$AS$1004,1,MATCH(COLUMNS($AC$1006:AH1006),$AC$1006:$AS$1006,0)))),"Fix")))</f>
        <v xml:space="preserve"> </v>
      </c>
      <c r="H704" s="4" t="str">
        <f ca="1">IF(OR(INDEX($W$2:$W$1001,MATCH(ROWS($V$2:V704),$V$2:$V$1001,0),1)&gt;=100000,INDEX($AC$1005:$AS$1005,1,MATCH(COLUMNS($AC$1006:AI1006),$AC$1006:$AS$1006,0))&gt;=100000), " ",IF(INDEX($AC$2:$AS$1001,MATCH(ROWS($V$2:V704),$V$2:$V$1001,0),MATCH(COLUMNS($AC$1006:AI1006),$AC$1006:$AS$1006,0)), HYPERLINK("#",""), HYPERLINK(CONCATENATE("#metadata!", ADDRESS(INDEX($X$2:$X$1001,MATCH(ROWS($V$2:V704),$V$2:$V$1001,0),0), INDEX($AC$1004:$AS$1004,1,MATCH(COLUMNS($AC$1006:AI1006),$AC$1006:$AS$1006,0)))),"Fix")))</f>
        <v xml:space="preserve"> </v>
      </c>
      <c r="I704" s="4" t="str">
        <f ca="1">IF(OR(INDEX($W$2:$W$1001,MATCH(ROWS($V$2:V704),$V$2:$V$1001,0),1)&gt;=100000,INDEX($AC$1005:$AS$1005,1,MATCH(COLUMNS($AC$1006:AJ1006),$AC$1006:$AS$1006,0))&gt;=100000), " ",IF(INDEX($AC$2:$AS$1001,MATCH(ROWS($V$2:V704),$V$2:$V$1001,0),MATCH(COLUMNS($AC$1006:AJ1006),$AC$1006:$AS$1006,0)), HYPERLINK("#",""), HYPERLINK(CONCATENATE("#metadata!", ADDRESS(INDEX($X$2:$X$1001,MATCH(ROWS($V$2:V704),$V$2:$V$1001,0),0), INDEX($AC$1004:$AS$1004,1,MATCH(COLUMNS($AC$1006:AJ1006),$AC$1006:$AS$1006,0)))),"Fix")))</f>
        <v xml:space="preserve"> </v>
      </c>
      <c r="J704" s="4" t="str">
        <f ca="1">IF(OR(INDEX($W$2:$W$1001,MATCH(ROWS($V$2:V704),$V$2:$V$1001,0),1)&gt;=100000,INDEX($AC$1005:$AS$1005,1,MATCH(COLUMNS($AC$1006:AK1006),$AC$1006:$AS$1006,0))&gt;=100000), " ",IF(INDEX($AC$2:$AS$1001,MATCH(ROWS($V$2:V704),$V$2:$V$1001,0),MATCH(COLUMNS($AC$1006:AK1006),$AC$1006:$AS$1006,0)), HYPERLINK("#",""), HYPERLINK(CONCATENATE("#metadata!", ADDRESS(INDEX($X$2:$X$1001,MATCH(ROWS($V$2:V704),$V$2:$V$1001,0),0), INDEX($AC$1004:$AS$1004,1,MATCH(COLUMNS($AC$1006:AK1006),$AC$1006:$AS$1006,0)))),"Fix")))</f>
        <v xml:space="preserve"> </v>
      </c>
      <c r="K704" s="4" t="str">
        <f ca="1">IF(OR(INDEX($W$2:$W$1001,MATCH(ROWS($V$2:V704),$V$2:$V$1001,0),1)&gt;=100000,INDEX($AC$1005:$AS$1005,1,MATCH(COLUMNS($AC$1006:AL1006),$AC$1006:$AS$1006,0))&gt;=100000), " ",IF(INDEX($AC$2:$AS$1001,MATCH(ROWS($V$2:V704),$V$2:$V$1001,0),MATCH(COLUMNS($AC$1006:AL1006),$AC$1006:$AS$1006,0)), HYPERLINK("#",""), HYPERLINK(CONCATENATE("#metadata!", ADDRESS(INDEX($X$2:$X$1001,MATCH(ROWS($V$2:V704),$V$2:$V$1001,0),0), INDEX($AC$1004:$AS$1004,1,MATCH(COLUMNS($AC$1006:AL1006),$AC$1006:$AS$1006,0)))),"Fix")))</f>
        <v xml:space="preserve"> </v>
      </c>
      <c r="L704" s="4" t="str">
        <f ca="1">IF(OR(INDEX($W$2:$W$1001,MATCH(ROWS($V$2:V704),$V$2:$V$1001,0),1)&gt;=100000,INDEX($AC$1005:$AS$1005,1,MATCH(COLUMNS($AC$1006:AM1006),$AC$1006:$AS$1006,0))&gt;=100000), " ",IF(INDEX($AC$2:$AS$1001,MATCH(ROWS($V$2:V704),$V$2:$V$1001,0),MATCH(COLUMNS($AC$1006:AM1006),$AC$1006:$AS$1006,0)), HYPERLINK("#",""), HYPERLINK(CONCATENATE("#metadata!", ADDRESS(INDEX($X$2:$X$1001,MATCH(ROWS($V$2:V704),$V$2:$V$1001,0),0), INDEX($AC$1004:$AS$1004,1,MATCH(COLUMNS($AC$1006:AM1006),$AC$1006:$AS$1006,0)))),"Fix")))</f>
        <v xml:space="preserve"> </v>
      </c>
      <c r="M704" s="4" t="str">
        <f ca="1">IF(OR(INDEX($W$2:$W$1001,MATCH(ROWS($V$2:V704),$V$2:$V$1001,0),1)&gt;=100000,INDEX($AC$1005:$AS$1005,1,MATCH(COLUMNS($AC$1006:AN1006),$AC$1006:$AS$1006,0))&gt;=100000), " ",IF(INDEX($AC$2:$AS$1001,MATCH(ROWS($V$2:V704),$V$2:$V$1001,0),MATCH(COLUMNS($AC$1006:AN1006),$AC$1006:$AS$1006,0)), HYPERLINK("#",""), HYPERLINK(CONCATENATE("#metadata!", ADDRESS(INDEX($X$2:$X$1001,MATCH(ROWS($V$2:V704),$V$2:$V$1001,0),0), INDEX($AC$1004:$AS$1004,1,MATCH(COLUMNS($AC$1006:AN1006),$AC$1006:$AS$1006,0)))),"Fix")))</f>
        <v xml:space="preserve"> </v>
      </c>
      <c r="N704" s="4" t="str">
        <f ca="1">IF(OR(INDEX($W$2:$W$1001,MATCH(ROWS($V$2:V704),$V$2:$V$1001,0),1)&gt;=100000,INDEX($AC$1005:$AS$1005,1,MATCH(COLUMNS($AC$1006:AO1006),$AC$1006:$AS$1006,0))&gt;=100000), " ",IF(INDEX($AC$2:$AS$1001,MATCH(ROWS($V$2:V704),$V$2:$V$1001,0),MATCH(COLUMNS($AC$1006:AO1006),$AC$1006:$AS$1006,0)), HYPERLINK("#",""), HYPERLINK(CONCATENATE("#metadata!", ADDRESS(INDEX($X$2:$X$1001,MATCH(ROWS($V$2:V704),$V$2:$V$1001,0),0), INDEX($AC$1004:$AS$1004,1,MATCH(COLUMNS($AC$1006:AO1006),$AC$1006:$AS$1006,0)))),"Fix")))</f>
        <v xml:space="preserve"> </v>
      </c>
      <c r="O704" s="4" t="str">
        <f ca="1">IF(OR(INDEX($W$2:$W$1001,MATCH(ROWS($V$2:V704),$V$2:$V$1001,0),1)&gt;=100000,INDEX($AC$1005:$AS$1005,1,MATCH(COLUMNS($AC$1006:AP1006),$AC$1006:$AS$1006,0))&gt;=100000), " ",IF(INDEX($AC$2:$AS$1001,MATCH(ROWS($V$2:V704),$V$2:$V$1001,0),MATCH(COLUMNS($AC$1006:AP1006),$AC$1006:$AS$1006,0)), HYPERLINK("#",""), HYPERLINK(CONCATENATE("#metadata!", ADDRESS(INDEX($X$2:$X$1001,MATCH(ROWS($V$2:V704),$V$2:$V$1001,0),0), INDEX($AC$1004:$AS$1004,1,MATCH(COLUMNS($AC$1006:AP1006),$AC$1006:$AS$1006,0)))),"Fix")))</f>
        <v xml:space="preserve"> </v>
      </c>
      <c r="P704" s="4" t="str">
        <f ca="1">IF(OR(INDEX($W$2:$W$1001,MATCH(ROWS($V$2:V704),$V$2:$V$1001,0),1)&gt;=100000,INDEX($AC$1005:$AS$1005,1,MATCH(COLUMNS($AC$1006:AQ1006),$AC$1006:$AS$1006,0))&gt;=100000), " ",IF(INDEX($AC$2:$AS$1001,MATCH(ROWS($V$2:V704),$V$2:$V$1001,0),MATCH(COLUMNS($AC$1006:AQ1006),$AC$1006:$AS$1006,0)), HYPERLINK("#",""), HYPERLINK(CONCATENATE("#metadata!", ADDRESS(INDEX($X$2:$X$1001,MATCH(ROWS($V$2:V704),$V$2:$V$1001,0),0), INDEX($AC$1004:$AS$1004,1,MATCH(COLUMNS($AC$1006:AQ1006),$AC$1006:$AS$1006,0)))),"Fix")))</f>
        <v xml:space="preserve"> </v>
      </c>
      <c r="Q704" s="4" t="str">
        <f ca="1">IF(OR(INDEX($W$2:$W$1001,MATCH(ROWS($V$2:V704),$V$2:$V$1001,0),1)&gt;=100000,INDEX($AC$1005:$AS$1005,1,MATCH(COLUMNS($AC$1006:AR1006),$AC$1006:$AS$1006,0))&gt;=100000), " ",IF(INDEX($AC$2:$AS$1001,MATCH(ROWS($V$2:V704),$V$2:$V$1001,0),MATCH(COLUMNS($AC$1006:AR1006),$AC$1006:$AS$1006,0)), HYPERLINK("#",""), HYPERLINK(CONCATENATE("#metadata!", ADDRESS(INDEX($X$2:$X$1001,MATCH(ROWS($V$2:V704),$V$2:$V$1001,0),0), INDEX($AC$1004:$AS$1004,1,MATCH(COLUMNS($AC$1006:AR1006),$AC$1006:$AS$1006,0)))),"Fix")))</f>
        <v xml:space="preserve"> </v>
      </c>
      <c r="R704" s="4" t="str">
        <f ca="1">IF(OR(INDEX($W$2:$W$1001,MATCH(ROWS($V$2:V704),$V$2:$V$1001,0),1)&gt;=100000,INDEX($AC$1005:$AS$1005,1,MATCH(COLUMNS($AC$1006:AS1006),$AC$1006:$AS$1006,0))&gt;=100000), " ",IF(INDEX($AC$2:$AS$1001,MATCH(ROWS($V$2:V704),$V$2:$V$1001,0),MATCH(COLUMNS($AC$1006:AS1006),$AC$1006:$AS$1006,0)), HYPERLINK("#",""), HYPERLINK(CONCATENATE("#metadata!", ADDRESS(INDEX($X$2:$X$1001,MATCH(ROWS($V$2:V704),$V$2:$V$1001,0),0), INDEX($AC$1004:$AS$1004,1,MATCH(COLUMNS($AC$1006:AS1006),$AC$1006:$AS$1006,0)))),"Fix")))</f>
        <v xml:space="preserve"> </v>
      </c>
      <c r="V704">
        <v>703</v>
      </c>
      <c r="W704">
        <v>100704</v>
      </c>
      <c r="X704">
        <v>704</v>
      </c>
      <c r="Y704" t="b">
        <f t="shared" si="10"/>
        <v>1</v>
      </c>
      <c r="Z704" t="b">
        <f>COUNTBLANK(metadata!B704:R704)=COLUMNS(metadata!B704:R704)</f>
        <v>1</v>
      </c>
      <c r="AA704" t="str">
        <v/>
      </c>
      <c r="AC704" t="b">
        <f ca="1"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AD704" t="b">
        <f>IF(metadata!C704="",FALSE,ISNUMBER(VALUE(metadata!C704)))</f>
        <v>0</v>
      </c>
      <c r="AE704" t="b">
        <f>AND(IF(metadata!D704="",FALSE,TRUE),EXACT(metadata!D704,"years"))</f>
        <v>0</v>
      </c>
      <c r="AF704" t="b">
        <f>OR(AND(IF(metadata!E704="",FALSE,TRUE),OR(EXACT(metadata!E704,"not applicable"),EXACT(metadata!E704,"missing: not collected"),EXACT(metadata!E704,"missing: not provided"),EXACT(metadata!E704,"missing: restricted access"))),AND(IF(metadata!E704="",FALSE,ISNUMBER(VALUE(metadata!E704))),metadata!E704&gt;0))</f>
        <v>0</v>
      </c>
      <c r="AG704" t="b">
        <f>AND(IF(metadata!F704="",FALSE,TRUE),EXACT(metadata!F704,"Not applicable"))</f>
        <v>0</v>
      </c>
      <c r="AH704" t="b">
        <f>AND(IF(metadata!G704="",FALSE,TRUE),EXACT(metadata!G704,"urban biome"))</f>
        <v>0</v>
      </c>
      <c r="AI704" t="b">
        <f>AND(IF(metadata!H704="",FALSE,TRUE),EXACT(metadata!H704,"human-associated habitat"))</f>
        <v>0</v>
      </c>
      <c r="AJ704" t="b">
        <f>AND(IF(metadata!I704="",FALSE,TRUE),OR(EXACT(metadata!I704,"human-associated"),EXACT(metadata!I704,"human-skin"),EXACT(metadata!I704,"human-oral"),EXACT(metadata!I704,"human-gut"),EXACT(metadata!I704,"human-vaginal")))</f>
        <v>0</v>
      </c>
      <c r="AK704" t="b">
        <f>IF(metadata!J704="",FALSE,ISNUMBER(VALUE(metadata!J704)))</f>
        <v>0</v>
      </c>
      <c r="AL704" t="b">
        <f>AND(IF(metadata!K704="",FALSE,TRUE),EXACT(metadata!K704,"cm"))</f>
        <v>0</v>
      </c>
      <c r="AM704" t="b">
        <f>AND(IF(metadata!L704="",FALSE,TRUE),EXACT(metadata!L704,"human"))</f>
        <v>0</v>
      </c>
      <c r="AN704" t="b">
        <f>AND(IF(metadata!M704="",FALSE,TRUE),EXACT(metadata!M704,"Homo sapiens"))</f>
        <v>0</v>
      </c>
      <c r="AO704" t="b">
        <f>AND(IF(metadata!N704="",FALSE,TRUE),EXACT(metadata!N704,"9606"))</f>
        <v>0</v>
      </c>
      <c r="AP704" t="b">
        <f>IF(metadata!O704="",FALSE,TRUE)</f>
        <v>0</v>
      </c>
      <c r="AQ704" t="b">
        <f>IF(metadata!P704="",FALSE,TRUE)</f>
        <v>0</v>
      </c>
      <c r="AR704" t="b">
        <f>IF(metadata!Q704="",FALSE,ISNUMBER(VALUE(metadata!Q704)))</f>
        <v>0</v>
      </c>
      <c r="AS704" t="b">
        <f>AND(IF(metadata!R704="",FALSE,TRUE),EXACT(metadata!R704,"kg"))</f>
        <v>0</v>
      </c>
    </row>
    <row r="705" spans="1:45" x14ac:dyDescent="0.2">
      <c r="A705" s="5" t="str">
        <f ca="1">IF(B705=" "," ",HYPERLINK(CONCATENATE("#metadata!",ADDRESS(INDEX($X$2:$X$1001,MATCH(ROWS($V$2:V705),$V$2:$V$1001,0),0),1)),INDEX($AA$2:$AA$1001,MATCH(ROWS($V$2:V705),$V$2:$V$1001,0),0)))</f>
        <v xml:space="preserve"> </v>
      </c>
      <c r="B705" s="4" t="str">
        <f ca="1">IF(OR(INDEX($W$2:$W$1001,MATCH(ROWS($V$2:V705),$V$2:$V$1001,0),1)&gt;=100000,INDEX($AC$1005:$AS$1005,1,MATCH(COLUMNS($AC$1006:AC1006),$AC$1006:$AS$1006,0))&gt;=100000), " ",IF(INDEX($AC$2:$AS$1001,MATCH(ROWS($V$2:V705),$V$2:$V$1001,0),MATCH(COLUMNS($AC$1006:AC1006),$AC$1006:$AS$1006,0)), HYPERLINK("#",""), HYPERLINK(CONCATENATE("#metadata!", ADDRESS(INDEX($X$2:$X$1001,MATCH(ROWS($V$2:V705),$V$2:$V$1001,0),0), INDEX($AC$1004:$AS$1004,1,MATCH(COLUMNS($AC$1006:AC1006),$AC$1006:$AS$1006,0)))),"Fix")))</f>
        <v xml:space="preserve"> </v>
      </c>
      <c r="C705" s="4" t="str">
        <f ca="1">IF(OR(INDEX($W$2:$W$1001,MATCH(ROWS($V$2:V705),$V$2:$V$1001,0),1)&gt;=100000,INDEX($AC$1005:$AS$1005,1,MATCH(COLUMNS($AC$1006:AD1006),$AC$1006:$AS$1006,0))&gt;=100000), " ",IF(INDEX($AC$2:$AS$1001,MATCH(ROWS($V$2:V705),$V$2:$V$1001,0),MATCH(COLUMNS($AC$1006:AD1006),$AC$1006:$AS$1006,0)), HYPERLINK("#",""), HYPERLINK(CONCATENATE("#metadata!", ADDRESS(INDEX($X$2:$X$1001,MATCH(ROWS($V$2:V705),$V$2:$V$1001,0),0), INDEX($AC$1004:$AS$1004,1,MATCH(COLUMNS($AC$1006:AD1006),$AC$1006:$AS$1006,0)))),"Fix")))</f>
        <v xml:space="preserve"> </v>
      </c>
      <c r="D705" s="4" t="str">
        <f ca="1">IF(OR(INDEX($W$2:$W$1001,MATCH(ROWS($V$2:V705),$V$2:$V$1001,0),1)&gt;=100000,INDEX($AC$1005:$AS$1005,1,MATCH(COLUMNS($AC$1006:AE1006),$AC$1006:$AS$1006,0))&gt;=100000), " ",IF(INDEX($AC$2:$AS$1001,MATCH(ROWS($V$2:V705),$V$2:$V$1001,0),MATCH(COLUMNS($AC$1006:AE1006),$AC$1006:$AS$1006,0)), HYPERLINK("#",""), HYPERLINK(CONCATENATE("#metadata!", ADDRESS(INDEX($X$2:$X$1001,MATCH(ROWS($V$2:V705),$V$2:$V$1001,0),0), INDEX($AC$1004:$AS$1004,1,MATCH(COLUMNS($AC$1006:AE1006),$AC$1006:$AS$1006,0)))),"Fix")))</f>
        <v xml:space="preserve"> </v>
      </c>
      <c r="E705" s="4" t="str">
        <f ca="1">IF(OR(INDEX($W$2:$W$1001,MATCH(ROWS($V$2:V705),$V$2:$V$1001,0),1)&gt;=100000,INDEX($AC$1005:$AS$1005,1,MATCH(COLUMNS($AC$1006:AF1006),$AC$1006:$AS$1006,0))&gt;=100000), " ",IF(INDEX($AC$2:$AS$1001,MATCH(ROWS($V$2:V705),$V$2:$V$1001,0),MATCH(COLUMNS($AC$1006:AF1006),$AC$1006:$AS$1006,0)), HYPERLINK("#",""), HYPERLINK(CONCATENATE("#metadata!", ADDRESS(INDEX($X$2:$X$1001,MATCH(ROWS($V$2:V705),$V$2:$V$1001,0),0), INDEX($AC$1004:$AS$1004,1,MATCH(COLUMNS($AC$1006:AF1006),$AC$1006:$AS$1006,0)))),"Fix")))</f>
        <v xml:space="preserve"> </v>
      </c>
      <c r="F705" s="4" t="str">
        <f ca="1">IF(OR(INDEX($W$2:$W$1001,MATCH(ROWS($V$2:V705),$V$2:$V$1001,0),1)&gt;=100000,INDEX($AC$1005:$AS$1005,1,MATCH(COLUMNS($AC$1006:AG1006),$AC$1006:$AS$1006,0))&gt;=100000), " ",IF(INDEX($AC$2:$AS$1001,MATCH(ROWS($V$2:V705),$V$2:$V$1001,0),MATCH(COLUMNS($AC$1006:AG1006),$AC$1006:$AS$1006,0)), HYPERLINK("#",""), HYPERLINK(CONCATENATE("#metadata!", ADDRESS(INDEX($X$2:$X$1001,MATCH(ROWS($V$2:V705),$V$2:$V$1001,0),0), INDEX($AC$1004:$AS$1004,1,MATCH(COLUMNS($AC$1006:AG1006),$AC$1006:$AS$1006,0)))),"Fix")))</f>
        <v xml:space="preserve"> </v>
      </c>
      <c r="G705" s="4" t="str">
        <f ca="1">IF(OR(INDEX($W$2:$W$1001,MATCH(ROWS($V$2:V705),$V$2:$V$1001,0),1)&gt;=100000,INDEX($AC$1005:$AS$1005,1,MATCH(COLUMNS($AC$1006:AH1006),$AC$1006:$AS$1006,0))&gt;=100000), " ",IF(INDEX($AC$2:$AS$1001,MATCH(ROWS($V$2:V705),$V$2:$V$1001,0),MATCH(COLUMNS($AC$1006:AH1006),$AC$1006:$AS$1006,0)), HYPERLINK("#",""), HYPERLINK(CONCATENATE("#metadata!", ADDRESS(INDEX($X$2:$X$1001,MATCH(ROWS($V$2:V705),$V$2:$V$1001,0),0), INDEX($AC$1004:$AS$1004,1,MATCH(COLUMNS($AC$1006:AH1006),$AC$1006:$AS$1006,0)))),"Fix")))</f>
        <v xml:space="preserve"> </v>
      </c>
      <c r="H705" s="4" t="str">
        <f ca="1">IF(OR(INDEX($W$2:$W$1001,MATCH(ROWS($V$2:V705),$V$2:$V$1001,0),1)&gt;=100000,INDEX($AC$1005:$AS$1005,1,MATCH(COLUMNS($AC$1006:AI1006),$AC$1006:$AS$1006,0))&gt;=100000), " ",IF(INDEX($AC$2:$AS$1001,MATCH(ROWS($V$2:V705),$V$2:$V$1001,0),MATCH(COLUMNS($AC$1006:AI1006),$AC$1006:$AS$1006,0)), HYPERLINK("#",""), HYPERLINK(CONCATENATE("#metadata!", ADDRESS(INDEX($X$2:$X$1001,MATCH(ROWS($V$2:V705),$V$2:$V$1001,0),0), INDEX($AC$1004:$AS$1004,1,MATCH(COLUMNS($AC$1006:AI1006),$AC$1006:$AS$1006,0)))),"Fix")))</f>
        <v xml:space="preserve"> </v>
      </c>
      <c r="I705" s="4" t="str">
        <f ca="1">IF(OR(INDEX($W$2:$W$1001,MATCH(ROWS($V$2:V705),$V$2:$V$1001,0),1)&gt;=100000,INDEX($AC$1005:$AS$1005,1,MATCH(COLUMNS($AC$1006:AJ1006),$AC$1006:$AS$1006,0))&gt;=100000), " ",IF(INDEX($AC$2:$AS$1001,MATCH(ROWS($V$2:V705),$V$2:$V$1001,0),MATCH(COLUMNS($AC$1006:AJ1006),$AC$1006:$AS$1006,0)), HYPERLINK("#",""), HYPERLINK(CONCATENATE("#metadata!", ADDRESS(INDEX($X$2:$X$1001,MATCH(ROWS($V$2:V705),$V$2:$V$1001,0),0), INDEX($AC$1004:$AS$1004,1,MATCH(COLUMNS($AC$1006:AJ1006),$AC$1006:$AS$1006,0)))),"Fix")))</f>
        <v xml:space="preserve"> </v>
      </c>
      <c r="J705" s="4" t="str">
        <f ca="1">IF(OR(INDEX($W$2:$W$1001,MATCH(ROWS($V$2:V705),$V$2:$V$1001,0),1)&gt;=100000,INDEX($AC$1005:$AS$1005,1,MATCH(COLUMNS($AC$1006:AK1006),$AC$1006:$AS$1006,0))&gt;=100000), " ",IF(INDEX($AC$2:$AS$1001,MATCH(ROWS($V$2:V705),$V$2:$V$1001,0),MATCH(COLUMNS($AC$1006:AK1006),$AC$1006:$AS$1006,0)), HYPERLINK("#",""), HYPERLINK(CONCATENATE("#metadata!", ADDRESS(INDEX($X$2:$X$1001,MATCH(ROWS($V$2:V705),$V$2:$V$1001,0),0), INDEX($AC$1004:$AS$1004,1,MATCH(COLUMNS($AC$1006:AK1006),$AC$1006:$AS$1006,0)))),"Fix")))</f>
        <v xml:space="preserve"> </v>
      </c>
      <c r="K705" s="4" t="str">
        <f ca="1">IF(OR(INDEX($W$2:$W$1001,MATCH(ROWS($V$2:V705),$V$2:$V$1001,0),1)&gt;=100000,INDEX($AC$1005:$AS$1005,1,MATCH(COLUMNS($AC$1006:AL1006),$AC$1006:$AS$1006,0))&gt;=100000), " ",IF(INDEX($AC$2:$AS$1001,MATCH(ROWS($V$2:V705),$V$2:$V$1001,0),MATCH(COLUMNS($AC$1006:AL1006),$AC$1006:$AS$1006,0)), HYPERLINK("#",""), HYPERLINK(CONCATENATE("#metadata!", ADDRESS(INDEX($X$2:$X$1001,MATCH(ROWS($V$2:V705),$V$2:$V$1001,0),0), INDEX($AC$1004:$AS$1004,1,MATCH(COLUMNS($AC$1006:AL1006),$AC$1006:$AS$1006,0)))),"Fix")))</f>
        <v xml:space="preserve"> </v>
      </c>
      <c r="L705" s="4" t="str">
        <f ca="1">IF(OR(INDEX($W$2:$W$1001,MATCH(ROWS($V$2:V705),$V$2:$V$1001,0),1)&gt;=100000,INDEX($AC$1005:$AS$1005,1,MATCH(COLUMNS($AC$1006:AM1006),$AC$1006:$AS$1006,0))&gt;=100000), " ",IF(INDEX($AC$2:$AS$1001,MATCH(ROWS($V$2:V705),$V$2:$V$1001,0),MATCH(COLUMNS($AC$1006:AM1006),$AC$1006:$AS$1006,0)), HYPERLINK("#",""), HYPERLINK(CONCATENATE("#metadata!", ADDRESS(INDEX($X$2:$X$1001,MATCH(ROWS($V$2:V705),$V$2:$V$1001,0),0), INDEX($AC$1004:$AS$1004,1,MATCH(COLUMNS($AC$1006:AM1006),$AC$1006:$AS$1006,0)))),"Fix")))</f>
        <v xml:space="preserve"> </v>
      </c>
      <c r="M705" s="4" t="str">
        <f ca="1">IF(OR(INDEX($W$2:$W$1001,MATCH(ROWS($V$2:V705),$V$2:$V$1001,0),1)&gt;=100000,INDEX($AC$1005:$AS$1005,1,MATCH(COLUMNS($AC$1006:AN1006),$AC$1006:$AS$1006,0))&gt;=100000), " ",IF(INDEX($AC$2:$AS$1001,MATCH(ROWS($V$2:V705),$V$2:$V$1001,0),MATCH(COLUMNS($AC$1006:AN1006),$AC$1006:$AS$1006,0)), HYPERLINK("#",""), HYPERLINK(CONCATENATE("#metadata!", ADDRESS(INDEX($X$2:$X$1001,MATCH(ROWS($V$2:V705),$V$2:$V$1001,0),0), INDEX($AC$1004:$AS$1004,1,MATCH(COLUMNS($AC$1006:AN1006),$AC$1006:$AS$1006,0)))),"Fix")))</f>
        <v xml:space="preserve"> </v>
      </c>
      <c r="N705" s="4" t="str">
        <f ca="1">IF(OR(INDEX($W$2:$W$1001,MATCH(ROWS($V$2:V705),$V$2:$V$1001,0),1)&gt;=100000,INDEX($AC$1005:$AS$1005,1,MATCH(COLUMNS($AC$1006:AO1006),$AC$1006:$AS$1006,0))&gt;=100000), " ",IF(INDEX($AC$2:$AS$1001,MATCH(ROWS($V$2:V705),$V$2:$V$1001,0),MATCH(COLUMNS($AC$1006:AO1006),$AC$1006:$AS$1006,0)), HYPERLINK("#",""), HYPERLINK(CONCATENATE("#metadata!", ADDRESS(INDEX($X$2:$X$1001,MATCH(ROWS($V$2:V705),$V$2:$V$1001,0),0), INDEX($AC$1004:$AS$1004,1,MATCH(COLUMNS($AC$1006:AO1006),$AC$1006:$AS$1006,0)))),"Fix")))</f>
        <v xml:space="preserve"> </v>
      </c>
      <c r="O705" s="4" t="str">
        <f ca="1">IF(OR(INDEX($W$2:$W$1001,MATCH(ROWS($V$2:V705),$V$2:$V$1001,0),1)&gt;=100000,INDEX($AC$1005:$AS$1005,1,MATCH(COLUMNS($AC$1006:AP1006),$AC$1006:$AS$1006,0))&gt;=100000), " ",IF(INDEX($AC$2:$AS$1001,MATCH(ROWS($V$2:V705),$V$2:$V$1001,0),MATCH(COLUMNS($AC$1006:AP1006),$AC$1006:$AS$1006,0)), HYPERLINK("#",""), HYPERLINK(CONCATENATE("#metadata!", ADDRESS(INDEX($X$2:$X$1001,MATCH(ROWS($V$2:V705),$V$2:$V$1001,0),0), INDEX($AC$1004:$AS$1004,1,MATCH(COLUMNS($AC$1006:AP1006),$AC$1006:$AS$1006,0)))),"Fix")))</f>
        <v xml:space="preserve"> </v>
      </c>
      <c r="P705" s="4" t="str">
        <f ca="1">IF(OR(INDEX($W$2:$W$1001,MATCH(ROWS($V$2:V705),$V$2:$V$1001,0),1)&gt;=100000,INDEX($AC$1005:$AS$1005,1,MATCH(COLUMNS($AC$1006:AQ1006),$AC$1006:$AS$1006,0))&gt;=100000), " ",IF(INDEX($AC$2:$AS$1001,MATCH(ROWS($V$2:V705),$V$2:$V$1001,0),MATCH(COLUMNS($AC$1006:AQ1006),$AC$1006:$AS$1006,0)), HYPERLINK("#",""), HYPERLINK(CONCATENATE("#metadata!", ADDRESS(INDEX($X$2:$X$1001,MATCH(ROWS($V$2:V705),$V$2:$V$1001,0),0), INDEX($AC$1004:$AS$1004,1,MATCH(COLUMNS($AC$1006:AQ1006),$AC$1006:$AS$1006,0)))),"Fix")))</f>
        <v xml:space="preserve"> </v>
      </c>
      <c r="Q705" s="4" t="str">
        <f ca="1">IF(OR(INDEX($W$2:$W$1001,MATCH(ROWS($V$2:V705),$V$2:$V$1001,0),1)&gt;=100000,INDEX($AC$1005:$AS$1005,1,MATCH(COLUMNS($AC$1006:AR1006),$AC$1006:$AS$1006,0))&gt;=100000), " ",IF(INDEX($AC$2:$AS$1001,MATCH(ROWS($V$2:V705),$V$2:$V$1001,0),MATCH(COLUMNS($AC$1006:AR1006),$AC$1006:$AS$1006,0)), HYPERLINK("#",""), HYPERLINK(CONCATENATE("#metadata!", ADDRESS(INDEX($X$2:$X$1001,MATCH(ROWS($V$2:V705),$V$2:$V$1001,0),0), INDEX($AC$1004:$AS$1004,1,MATCH(COLUMNS($AC$1006:AR1006),$AC$1006:$AS$1006,0)))),"Fix")))</f>
        <v xml:space="preserve"> </v>
      </c>
      <c r="R705" s="4" t="str">
        <f ca="1">IF(OR(INDEX($W$2:$W$1001,MATCH(ROWS($V$2:V705),$V$2:$V$1001,0),1)&gt;=100000,INDEX($AC$1005:$AS$1005,1,MATCH(COLUMNS($AC$1006:AS1006),$AC$1006:$AS$1006,0))&gt;=100000), " ",IF(INDEX($AC$2:$AS$1001,MATCH(ROWS($V$2:V705),$V$2:$V$1001,0),MATCH(COLUMNS($AC$1006:AS1006),$AC$1006:$AS$1006,0)), HYPERLINK("#",""), HYPERLINK(CONCATENATE("#metadata!", ADDRESS(INDEX($X$2:$X$1001,MATCH(ROWS($V$2:V705),$V$2:$V$1001,0),0), INDEX($AC$1004:$AS$1004,1,MATCH(COLUMNS($AC$1006:AS1006),$AC$1006:$AS$1006,0)))),"Fix")))</f>
        <v xml:space="preserve"> </v>
      </c>
      <c r="V705">
        <v>704</v>
      </c>
      <c r="W705">
        <v>100705</v>
      </c>
      <c r="X705">
        <v>705</v>
      </c>
      <c r="Y705" t="b">
        <f t="shared" si="10"/>
        <v>1</v>
      </c>
      <c r="Z705" t="b">
        <f>COUNTBLANK(metadata!B705:R705)=COLUMNS(metadata!B705:R705)</f>
        <v>1</v>
      </c>
      <c r="AA705" t="str">
        <v/>
      </c>
      <c r="AC705" t="b">
        <f ca="1"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AD705" t="b">
        <f>IF(metadata!C705="",FALSE,ISNUMBER(VALUE(metadata!C705)))</f>
        <v>0</v>
      </c>
      <c r="AE705" t="b">
        <f>AND(IF(metadata!D705="",FALSE,TRUE),EXACT(metadata!D705,"years"))</f>
        <v>0</v>
      </c>
      <c r="AF705" t="b">
        <f>OR(AND(IF(metadata!E705="",FALSE,TRUE),OR(EXACT(metadata!E705,"not applicable"),EXACT(metadata!E705,"missing: not collected"),EXACT(metadata!E705,"missing: not provided"),EXACT(metadata!E705,"missing: restricted access"))),AND(IF(metadata!E705="",FALSE,ISNUMBER(VALUE(metadata!E705))),metadata!E705&gt;0))</f>
        <v>0</v>
      </c>
      <c r="AG705" t="b">
        <f>AND(IF(metadata!F705="",FALSE,TRUE),EXACT(metadata!F705,"Not applicable"))</f>
        <v>0</v>
      </c>
      <c r="AH705" t="b">
        <f>AND(IF(metadata!G705="",FALSE,TRUE),EXACT(metadata!G705,"urban biome"))</f>
        <v>0</v>
      </c>
      <c r="AI705" t="b">
        <f>AND(IF(metadata!H705="",FALSE,TRUE),EXACT(metadata!H705,"human-associated habitat"))</f>
        <v>0</v>
      </c>
      <c r="AJ705" t="b">
        <f>AND(IF(metadata!I705="",FALSE,TRUE),OR(EXACT(metadata!I705,"human-associated"),EXACT(metadata!I705,"human-skin"),EXACT(metadata!I705,"human-oral"),EXACT(metadata!I705,"human-gut"),EXACT(metadata!I705,"human-vaginal")))</f>
        <v>0</v>
      </c>
      <c r="AK705" t="b">
        <f>IF(metadata!J705="",FALSE,ISNUMBER(VALUE(metadata!J705)))</f>
        <v>0</v>
      </c>
      <c r="AL705" t="b">
        <f>AND(IF(metadata!K705="",FALSE,TRUE),EXACT(metadata!K705,"cm"))</f>
        <v>0</v>
      </c>
      <c r="AM705" t="b">
        <f>AND(IF(metadata!L705="",FALSE,TRUE),EXACT(metadata!L705,"human"))</f>
        <v>0</v>
      </c>
      <c r="AN705" t="b">
        <f>AND(IF(metadata!M705="",FALSE,TRUE),EXACT(metadata!M705,"Homo sapiens"))</f>
        <v>0</v>
      </c>
      <c r="AO705" t="b">
        <f>AND(IF(metadata!N705="",FALSE,TRUE),EXACT(metadata!N705,"9606"))</f>
        <v>0</v>
      </c>
      <c r="AP705" t="b">
        <f>IF(metadata!O705="",FALSE,TRUE)</f>
        <v>0</v>
      </c>
      <c r="AQ705" t="b">
        <f>IF(metadata!P705="",FALSE,TRUE)</f>
        <v>0</v>
      </c>
      <c r="AR705" t="b">
        <f>IF(metadata!Q705="",FALSE,ISNUMBER(VALUE(metadata!Q705)))</f>
        <v>0</v>
      </c>
      <c r="AS705" t="b">
        <f>AND(IF(metadata!R705="",FALSE,TRUE),EXACT(metadata!R705,"kg"))</f>
        <v>0</v>
      </c>
    </row>
    <row r="706" spans="1:45" x14ac:dyDescent="0.2">
      <c r="A706" s="5" t="str">
        <f ca="1">IF(B706=" "," ",HYPERLINK(CONCATENATE("#metadata!",ADDRESS(INDEX($X$2:$X$1001,MATCH(ROWS($V$2:V706),$V$2:$V$1001,0),0),1)),INDEX($AA$2:$AA$1001,MATCH(ROWS($V$2:V706),$V$2:$V$1001,0),0)))</f>
        <v xml:space="preserve"> </v>
      </c>
      <c r="B706" s="4" t="str">
        <f ca="1">IF(OR(INDEX($W$2:$W$1001,MATCH(ROWS($V$2:V706),$V$2:$V$1001,0),1)&gt;=100000,INDEX($AC$1005:$AS$1005,1,MATCH(COLUMNS($AC$1006:AC1006),$AC$1006:$AS$1006,0))&gt;=100000), " ",IF(INDEX($AC$2:$AS$1001,MATCH(ROWS($V$2:V706),$V$2:$V$1001,0),MATCH(COLUMNS($AC$1006:AC1006),$AC$1006:$AS$1006,0)), HYPERLINK("#",""), HYPERLINK(CONCATENATE("#metadata!", ADDRESS(INDEX($X$2:$X$1001,MATCH(ROWS($V$2:V706),$V$2:$V$1001,0),0), INDEX($AC$1004:$AS$1004,1,MATCH(COLUMNS($AC$1006:AC1006),$AC$1006:$AS$1006,0)))),"Fix")))</f>
        <v xml:space="preserve"> </v>
      </c>
      <c r="C706" s="4" t="str">
        <f ca="1">IF(OR(INDEX($W$2:$W$1001,MATCH(ROWS($V$2:V706),$V$2:$V$1001,0),1)&gt;=100000,INDEX($AC$1005:$AS$1005,1,MATCH(COLUMNS($AC$1006:AD1006),$AC$1006:$AS$1006,0))&gt;=100000), " ",IF(INDEX($AC$2:$AS$1001,MATCH(ROWS($V$2:V706),$V$2:$V$1001,0),MATCH(COLUMNS($AC$1006:AD1006),$AC$1006:$AS$1006,0)), HYPERLINK("#",""), HYPERLINK(CONCATENATE("#metadata!", ADDRESS(INDEX($X$2:$X$1001,MATCH(ROWS($V$2:V706),$V$2:$V$1001,0),0), INDEX($AC$1004:$AS$1004,1,MATCH(COLUMNS($AC$1006:AD1006),$AC$1006:$AS$1006,0)))),"Fix")))</f>
        <v xml:space="preserve"> </v>
      </c>
      <c r="D706" s="4" t="str">
        <f ca="1">IF(OR(INDEX($W$2:$W$1001,MATCH(ROWS($V$2:V706),$V$2:$V$1001,0),1)&gt;=100000,INDEX($AC$1005:$AS$1005,1,MATCH(COLUMNS($AC$1006:AE1006),$AC$1006:$AS$1006,0))&gt;=100000), " ",IF(INDEX($AC$2:$AS$1001,MATCH(ROWS($V$2:V706),$V$2:$V$1001,0),MATCH(COLUMNS($AC$1006:AE1006),$AC$1006:$AS$1006,0)), HYPERLINK("#",""), HYPERLINK(CONCATENATE("#metadata!", ADDRESS(INDEX($X$2:$X$1001,MATCH(ROWS($V$2:V706),$V$2:$V$1001,0),0), INDEX($AC$1004:$AS$1004,1,MATCH(COLUMNS($AC$1006:AE1006),$AC$1006:$AS$1006,0)))),"Fix")))</f>
        <v xml:space="preserve"> </v>
      </c>
      <c r="E706" s="4" t="str">
        <f ca="1">IF(OR(INDEX($W$2:$W$1001,MATCH(ROWS($V$2:V706),$V$2:$V$1001,0),1)&gt;=100000,INDEX($AC$1005:$AS$1005,1,MATCH(COLUMNS($AC$1006:AF1006),$AC$1006:$AS$1006,0))&gt;=100000), " ",IF(INDEX($AC$2:$AS$1001,MATCH(ROWS($V$2:V706),$V$2:$V$1001,0),MATCH(COLUMNS($AC$1006:AF1006),$AC$1006:$AS$1006,0)), HYPERLINK("#",""), HYPERLINK(CONCATENATE("#metadata!", ADDRESS(INDEX($X$2:$X$1001,MATCH(ROWS($V$2:V706),$V$2:$V$1001,0),0), INDEX($AC$1004:$AS$1004,1,MATCH(COLUMNS($AC$1006:AF1006),$AC$1006:$AS$1006,0)))),"Fix")))</f>
        <v xml:space="preserve"> </v>
      </c>
      <c r="F706" s="4" t="str">
        <f ca="1">IF(OR(INDEX($W$2:$W$1001,MATCH(ROWS($V$2:V706),$V$2:$V$1001,0),1)&gt;=100000,INDEX($AC$1005:$AS$1005,1,MATCH(COLUMNS($AC$1006:AG1006),$AC$1006:$AS$1006,0))&gt;=100000), " ",IF(INDEX($AC$2:$AS$1001,MATCH(ROWS($V$2:V706),$V$2:$V$1001,0),MATCH(COLUMNS($AC$1006:AG1006),$AC$1006:$AS$1006,0)), HYPERLINK("#",""), HYPERLINK(CONCATENATE("#metadata!", ADDRESS(INDEX($X$2:$X$1001,MATCH(ROWS($V$2:V706),$V$2:$V$1001,0),0), INDEX($AC$1004:$AS$1004,1,MATCH(COLUMNS($AC$1006:AG1006),$AC$1006:$AS$1006,0)))),"Fix")))</f>
        <v xml:space="preserve"> </v>
      </c>
      <c r="G706" s="4" t="str">
        <f ca="1">IF(OR(INDEX($W$2:$W$1001,MATCH(ROWS($V$2:V706),$V$2:$V$1001,0),1)&gt;=100000,INDEX($AC$1005:$AS$1005,1,MATCH(COLUMNS($AC$1006:AH1006),$AC$1006:$AS$1006,0))&gt;=100000), " ",IF(INDEX($AC$2:$AS$1001,MATCH(ROWS($V$2:V706),$V$2:$V$1001,0),MATCH(COLUMNS($AC$1006:AH1006),$AC$1006:$AS$1006,0)), HYPERLINK("#",""), HYPERLINK(CONCATENATE("#metadata!", ADDRESS(INDEX($X$2:$X$1001,MATCH(ROWS($V$2:V706),$V$2:$V$1001,0),0), INDEX($AC$1004:$AS$1004,1,MATCH(COLUMNS($AC$1006:AH1006),$AC$1006:$AS$1006,0)))),"Fix")))</f>
        <v xml:space="preserve"> </v>
      </c>
      <c r="H706" s="4" t="str">
        <f ca="1">IF(OR(INDEX($W$2:$W$1001,MATCH(ROWS($V$2:V706),$V$2:$V$1001,0),1)&gt;=100000,INDEX($AC$1005:$AS$1005,1,MATCH(COLUMNS($AC$1006:AI1006),$AC$1006:$AS$1006,0))&gt;=100000), " ",IF(INDEX($AC$2:$AS$1001,MATCH(ROWS($V$2:V706),$V$2:$V$1001,0),MATCH(COLUMNS($AC$1006:AI1006),$AC$1006:$AS$1006,0)), HYPERLINK("#",""), HYPERLINK(CONCATENATE("#metadata!", ADDRESS(INDEX($X$2:$X$1001,MATCH(ROWS($V$2:V706),$V$2:$V$1001,0),0), INDEX($AC$1004:$AS$1004,1,MATCH(COLUMNS($AC$1006:AI1006),$AC$1006:$AS$1006,0)))),"Fix")))</f>
        <v xml:space="preserve"> </v>
      </c>
      <c r="I706" s="4" t="str">
        <f ca="1">IF(OR(INDEX($W$2:$W$1001,MATCH(ROWS($V$2:V706),$V$2:$V$1001,0),1)&gt;=100000,INDEX($AC$1005:$AS$1005,1,MATCH(COLUMNS($AC$1006:AJ1006),$AC$1006:$AS$1006,0))&gt;=100000), " ",IF(INDEX($AC$2:$AS$1001,MATCH(ROWS($V$2:V706),$V$2:$V$1001,0),MATCH(COLUMNS($AC$1006:AJ1006),$AC$1006:$AS$1006,0)), HYPERLINK("#",""), HYPERLINK(CONCATENATE("#metadata!", ADDRESS(INDEX($X$2:$X$1001,MATCH(ROWS($V$2:V706),$V$2:$V$1001,0),0), INDEX($AC$1004:$AS$1004,1,MATCH(COLUMNS($AC$1006:AJ1006),$AC$1006:$AS$1006,0)))),"Fix")))</f>
        <v xml:space="preserve"> </v>
      </c>
      <c r="J706" s="4" t="str">
        <f ca="1">IF(OR(INDEX($W$2:$W$1001,MATCH(ROWS($V$2:V706),$V$2:$V$1001,0),1)&gt;=100000,INDEX($AC$1005:$AS$1005,1,MATCH(COLUMNS($AC$1006:AK1006),$AC$1006:$AS$1006,0))&gt;=100000), " ",IF(INDEX($AC$2:$AS$1001,MATCH(ROWS($V$2:V706),$V$2:$V$1001,0),MATCH(COLUMNS($AC$1006:AK1006),$AC$1006:$AS$1006,0)), HYPERLINK("#",""), HYPERLINK(CONCATENATE("#metadata!", ADDRESS(INDEX($X$2:$X$1001,MATCH(ROWS($V$2:V706),$V$2:$V$1001,0),0), INDEX($AC$1004:$AS$1004,1,MATCH(COLUMNS($AC$1006:AK1006),$AC$1006:$AS$1006,0)))),"Fix")))</f>
        <v xml:space="preserve"> </v>
      </c>
      <c r="K706" s="4" t="str">
        <f ca="1">IF(OR(INDEX($W$2:$W$1001,MATCH(ROWS($V$2:V706),$V$2:$V$1001,0),1)&gt;=100000,INDEX($AC$1005:$AS$1005,1,MATCH(COLUMNS($AC$1006:AL1006),$AC$1006:$AS$1006,0))&gt;=100000), " ",IF(INDEX($AC$2:$AS$1001,MATCH(ROWS($V$2:V706),$V$2:$V$1001,0),MATCH(COLUMNS($AC$1006:AL1006),$AC$1006:$AS$1006,0)), HYPERLINK("#",""), HYPERLINK(CONCATENATE("#metadata!", ADDRESS(INDEX($X$2:$X$1001,MATCH(ROWS($V$2:V706),$V$2:$V$1001,0),0), INDEX($AC$1004:$AS$1004,1,MATCH(COLUMNS($AC$1006:AL1006),$AC$1006:$AS$1006,0)))),"Fix")))</f>
        <v xml:space="preserve"> </v>
      </c>
      <c r="L706" s="4" t="str">
        <f ca="1">IF(OR(INDEX($W$2:$W$1001,MATCH(ROWS($V$2:V706),$V$2:$V$1001,0),1)&gt;=100000,INDEX($AC$1005:$AS$1005,1,MATCH(COLUMNS($AC$1006:AM1006),$AC$1006:$AS$1006,0))&gt;=100000), " ",IF(INDEX($AC$2:$AS$1001,MATCH(ROWS($V$2:V706),$V$2:$V$1001,0),MATCH(COLUMNS($AC$1006:AM1006),$AC$1006:$AS$1006,0)), HYPERLINK("#",""), HYPERLINK(CONCATENATE("#metadata!", ADDRESS(INDEX($X$2:$X$1001,MATCH(ROWS($V$2:V706),$V$2:$V$1001,0),0), INDEX($AC$1004:$AS$1004,1,MATCH(COLUMNS($AC$1006:AM1006),$AC$1006:$AS$1006,0)))),"Fix")))</f>
        <v xml:space="preserve"> </v>
      </c>
      <c r="M706" s="4" t="str">
        <f ca="1">IF(OR(INDEX($W$2:$W$1001,MATCH(ROWS($V$2:V706),$V$2:$V$1001,0),1)&gt;=100000,INDEX($AC$1005:$AS$1005,1,MATCH(COLUMNS($AC$1006:AN1006),$AC$1006:$AS$1006,0))&gt;=100000), " ",IF(INDEX($AC$2:$AS$1001,MATCH(ROWS($V$2:V706),$V$2:$V$1001,0),MATCH(COLUMNS($AC$1006:AN1006),$AC$1006:$AS$1006,0)), HYPERLINK("#",""), HYPERLINK(CONCATENATE("#metadata!", ADDRESS(INDEX($X$2:$X$1001,MATCH(ROWS($V$2:V706),$V$2:$V$1001,0),0), INDEX($AC$1004:$AS$1004,1,MATCH(COLUMNS($AC$1006:AN1006),$AC$1006:$AS$1006,0)))),"Fix")))</f>
        <v xml:space="preserve"> </v>
      </c>
      <c r="N706" s="4" t="str">
        <f ca="1">IF(OR(INDEX($W$2:$W$1001,MATCH(ROWS($V$2:V706),$V$2:$V$1001,0),1)&gt;=100000,INDEX($AC$1005:$AS$1005,1,MATCH(COLUMNS($AC$1006:AO1006),$AC$1006:$AS$1006,0))&gt;=100000), " ",IF(INDEX($AC$2:$AS$1001,MATCH(ROWS($V$2:V706),$V$2:$V$1001,0),MATCH(COLUMNS($AC$1006:AO1006),$AC$1006:$AS$1006,0)), HYPERLINK("#",""), HYPERLINK(CONCATENATE("#metadata!", ADDRESS(INDEX($X$2:$X$1001,MATCH(ROWS($V$2:V706),$V$2:$V$1001,0),0), INDEX($AC$1004:$AS$1004,1,MATCH(COLUMNS($AC$1006:AO1006),$AC$1006:$AS$1006,0)))),"Fix")))</f>
        <v xml:space="preserve"> </v>
      </c>
      <c r="O706" s="4" t="str">
        <f ca="1">IF(OR(INDEX($W$2:$W$1001,MATCH(ROWS($V$2:V706),$V$2:$V$1001,0),1)&gt;=100000,INDEX($AC$1005:$AS$1005,1,MATCH(COLUMNS($AC$1006:AP1006),$AC$1006:$AS$1006,0))&gt;=100000), " ",IF(INDEX($AC$2:$AS$1001,MATCH(ROWS($V$2:V706),$V$2:$V$1001,0),MATCH(COLUMNS($AC$1006:AP1006),$AC$1006:$AS$1006,0)), HYPERLINK("#",""), HYPERLINK(CONCATENATE("#metadata!", ADDRESS(INDEX($X$2:$X$1001,MATCH(ROWS($V$2:V706),$V$2:$V$1001,0),0), INDEX($AC$1004:$AS$1004,1,MATCH(COLUMNS($AC$1006:AP1006),$AC$1006:$AS$1006,0)))),"Fix")))</f>
        <v xml:space="preserve"> </v>
      </c>
      <c r="P706" s="4" t="str">
        <f ca="1">IF(OR(INDEX($W$2:$W$1001,MATCH(ROWS($V$2:V706),$V$2:$V$1001,0),1)&gt;=100000,INDEX($AC$1005:$AS$1005,1,MATCH(COLUMNS($AC$1006:AQ1006),$AC$1006:$AS$1006,0))&gt;=100000), " ",IF(INDEX($AC$2:$AS$1001,MATCH(ROWS($V$2:V706),$V$2:$V$1001,0),MATCH(COLUMNS($AC$1006:AQ1006),$AC$1006:$AS$1006,0)), HYPERLINK("#",""), HYPERLINK(CONCATENATE("#metadata!", ADDRESS(INDEX($X$2:$X$1001,MATCH(ROWS($V$2:V706),$V$2:$V$1001,0),0), INDEX($AC$1004:$AS$1004,1,MATCH(COLUMNS($AC$1006:AQ1006),$AC$1006:$AS$1006,0)))),"Fix")))</f>
        <v xml:space="preserve"> </v>
      </c>
      <c r="Q706" s="4" t="str">
        <f ca="1">IF(OR(INDEX($W$2:$W$1001,MATCH(ROWS($V$2:V706),$V$2:$V$1001,0),1)&gt;=100000,INDEX($AC$1005:$AS$1005,1,MATCH(COLUMNS($AC$1006:AR1006),$AC$1006:$AS$1006,0))&gt;=100000), " ",IF(INDEX($AC$2:$AS$1001,MATCH(ROWS($V$2:V706),$V$2:$V$1001,0),MATCH(COLUMNS($AC$1006:AR1006),$AC$1006:$AS$1006,0)), HYPERLINK("#",""), HYPERLINK(CONCATENATE("#metadata!", ADDRESS(INDEX($X$2:$X$1001,MATCH(ROWS($V$2:V706),$V$2:$V$1001,0),0), INDEX($AC$1004:$AS$1004,1,MATCH(COLUMNS($AC$1006:AR1006),$AC$1006:$AS$1006,0)))),"Fix")))</f>
        <v xml:space="preserve"> </v>
      </c>
      <c r="R706" s="4" t="str">
        <f ca="1">IF(OR(INDEX($W$2:$W$1001,MATCH(ROWS($V$2:V706),$V$2:$V$1001,0),1)&gt;=100000,INDEX($AC$1005:$AS$1005,1,MATCH(COLUMNS($AC$1006:AS1006),$AC$1006:$AS$1006,0))&gt;=100000), " ",IF(INDEX($AC$2:$AS$1001,MATCH(ROWS($V$2:V706),$V$2:$V$1001,0),MATCH(COLUMNS($AC$1006:AS1006),$AC$1006:$AS$1006,0)), HYPERLINK("#",""), HYPERLINK(CONCATENATE("#metadata!", ADDRESS(INDEX($X$2:$X$1001,MATCH(ROWS($V$2:V706),$V$2:$V$1001,0),0), INDEX($AC$1004:$AS$1004,1,MATCH(COLUMNS($AC$1006:AS1006),$AC$1006:$AS$1006,0)))),"Fix")))</f>
        <v xml:space="preserve"> </v>
      </c>
      <c r="V706">
        <v>705</v>
      </c>
      <c r="W706">
        <v>100706</v>
      </c>
      <c r="X706">
        <v>706</v>
      </c>
      <c r="Y706" t="b">
        <f t="shared" ref="Y706:Y769" si="11">IF(Z706,TRUE,AND(AC706:AS706))</f>
        <v>1</v>
      </c>
      <c r="Z706" t="b">
        <f>COUNTBLANK(metadata!B706:R706)=COLUMNS(metadata!B706:R706)</f>
        <v>1</v>
      </c>
      <c r="AA706" t="str">
        <v/>
      </c>
      <c r="AC706" t="b">
        <f ca="1"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AD706" t="b">
        <f>IF(metadata!C706="",FALSE,ISNUMBER(VALUE(metadata!C706)))</f>
        <v>0</v>
      </c>
      <c r="AE706" t="b">
        <f>AND(IF(metadata!D706="",FALSE,TRUE),EXACT(metadata!D706,"years"))</f>
        <v>0</v>
      </c>
      <c r="AF706" t="b">
        <f>OR(AND(IF(metadata!E706="",FALSE,TRUE),OR(EXACT(metadata!E706,"not applicable"),EXACT(metadata!E706,"missing: not collected"),EXACT(metadata!E706,"missing: not provided"),EXACT(metadata!E706,"missing: restricted access"))),AND(IF(metadata!E706="",FALSE,ISNUMBER(VALUE(metadata!E706))),metadata!E706&gt;0))</f>
        <v>0</v>
      </c>
      <c r="AG706" t="b">
        <f>AND(IF(metadata!F706="",FALSE,TRUE),EXACT(metadata!F706,"Not applicable"))</f>
        <v>0</v>
      </c>
      <c r="AH706" t="b">
        <f>AND(IF(metadata!G706="",FALSE,TRUE),EXACT(metadata!G706,"urban biome"))</f>
        <v>0</v>
      </c>
      <c r="AI706" t="b">
        <f>AND(IF(metadata!H706="",FALSE,TRUE),EXACT(metadata!H706,"human-associated habitat"))</f>
        <v>0</v>
      </c>
      <c r="AJ706" t="b">
        <f>AND(IF(metadata!I706="",FALSE,TRUE),OR(EXACT(metadata!I706,"human-associated"),EXACT(metadata!I706,"human-skin"),EXACT(metadata!I706,"human-oral"),EXACT(metadata!I706,"human-gut"),EXACT(metadata!I706,"human-vaginal")))</f>
        <v>0</v>
      </c>
      <c r="AK706" t="b">
        <f>IF(metadata!J706="",FALSE,ISNUMBER(VALUE(metadata!J706)))</f>
        <v>0</v>
      </c>
      <c r="AL706" t="b">
        <f>AND(IF(metadata!K706="",FALSE,TRUE),EXACT(metadata!K706,"cm"))</f>
        <v>0</v>
      </c>
      <c r="AM706" t="b">
        <f>AND(IF(metadata!L706="",FALSE,TRUE),EXACT(metadata!L706,"human"))</f>
        <v>0</v>
      </c>
      <c r="AN706" t="b">
        <f>AND(IF(metadata!M706="",FALSE,TRUE),EXACT(metadata!M706,"Homo sapiens"))</f>
        <v>0</v>
      </c>
      <c r="AO706" t="b">
        <f>AND(IF(metadata!N706="",FALSE,TRUE),EXACT(metadata!N706,"9606"))</f>
        <v>0</v>
      </c>
      <c r="AP706" t="b">
        <f>IF(metadata!O706="",FALSE,TRUE)</f>
        <v>0</v>
      </c>
      <c r="AQ706" t="b">
        <f>IF(metadata!P706="",FALSE,TRUE)</f>
        <v>0</v>
      </c>
      <c r="AR706" t="b">
        <f>IF(metadata!Q706="",FALSE,ISNUMBER(VALUE(metadata!Q706)))</f>
        <v>0</v>
      </c>
      <c r="AS706" t="b">
        <f>AND(IF(metadata!R706="",FALSE,TRUE),EXACT(metadata!R706,"kg"))</f>
        <v>0</v>
      </c>
    </row>
    <row r="707" spans="1:45" x14ac:dyDescent="0.2">
      <c r="A707" s="5" t="str">
        <f ca="1">IF(B707=" "," ",HYPERLINK(CONCATENATE("#metadata!",ADDRESS(INDEX($X$2:$X$1001,MATCH(ROWS($V$2:V707),$V$2:$V$1001,0),0),1)),INDEX($AA$2:$AA$1001,MATCH(ROWS($V$2:V707),$V$2:$V$1001,0),0)))</f>
        <v xml:space="preserve"> </v>
      </c>
      <c r="B707" s="4" t="str">
        <f ca="1">IF(OR(INDEX($W$2:$W$1001,MATCH(ROWS($V$2:V707),$V$2:$V$1001,0),1)&gt;=100000,INDEX($AC$1005:$AS$1005,1,MATCH(COLUMNS($AC$1006:AC1006),$AC$1006:$AS$1006,0))&gt;=100000), " ",IF(INDEX($AC$2:$AS$1001,MATCH(ROWS($V$2:V707),$V$2:$V$1001,0),MATCH(COLUMNS($AC$1006:AC1006),$AC$1006:$AS$1006,0)), HYPERLINK("#",""), HYPERLINK(CONCATENATE("#metadata!", ADDRESS(INDEX($X$2:$X$1001,MATCH(ROWS($V$2:V707),$V$2:$V$1001,0),0), INDEX($AC$1004:$AS$1004,1,MATCH(COLUMNS($AC$1006:AC1006),$AC$1006:$AS$1006,0)))),"Fix")))</f>
        <v xml:space="preserve"> </v>
      </c>
      <c r="C707" s="4" t="str">
        <f ca="1">IF(OR(INDEX($W$2:$W$1001,MATCH(ROWS($V$2:V707),$V$2:$V$1001,0),1)&gt;=100000,INDEX($AC$1005:$AS$1005,1,MATCH(COLUMNS($AC$1006:AD1006),$AC$1006:$AS$1006,0))&gt;=100000), " ",IF(INDEX($AC$2:$AS$1001,MATCH(ROWS($V$2:V707),$V$2:$V$1001,0),MATCH(COLUMNS($AC$1006:AD1006),$AC$1006:$AS$1006,0)), HYPERLINK("#",""), HYPERLINK(CONCATENATE("#metadata!", ADDRESS(INDEX($X$2:$X$1001,MATCH(ROWS($V$2:V707),$V$2:$V$1001,0),0), INDEX($AC$1004:$AS$1004,1,MATCH(COLUMNS($AC$1006:AD1006),$AC$1006:$AS$1006,0)))),"Fix")))</f>
        <v xml:space="preserve"> </v>
      </c>
      <c r="D707" s="4" t="str">
        <f ca="1">IF(OR(INDEX($W$2:$W$1001,MATCH(ROWS($V$2:V707),$V$2:$V$1001,0),1)&gt;=100000,INDEX($AC$1005:$AS$1005,1,MATCH(COLUMNS($AC$1006:AE1006),$AC$1006:$AS$1006,0))&gt;=100000), " ",IF(INDEX($AC$2:$AS$1001,MATCH(ROWS($V$2:V707),$V$2:$V$1001,0),MATCH(COLUMNS($AC$1006:AE1006),$AC$1006:$AS$1006,0)), HYPERLINK("#",""), HYPERLINK(CONCATENATE("#metadata!", ADDRESS(INDEX($X$2:$X$1001,MATCH(ROWS($V$2:V707),$V$2:$V$1001,0),0), INDEX($AC$1004:$AS$1004,1,MATCH(COLUMNS($AC$1006:AE1006),$AC$1006:$AS$1006,0)))),"Fix")))</f>
        <v xml:space="preserve"> </v>
      </c>
      <c r="E707" s="4" t="str">
        <f ca="1">IF(OR(INDEX($W$2:$W$1001,MATCH(ROWS($V$2:V707),$V$2:$V$1001,0),1)&gt;=100000,INDEX($AC$1005:$AS$1005,1,MATCH(COLUMNS($AC$1006:AF1006),$AC$1006:$AS$1006,0))&gt;=100000), " ",IF(INDEX($AC$2:$AS$1001,MATCH(ROWS($V$2:V707),$V$2:$V$1001,0),MATCH(COLUMNS($AC$1006:AF1006),$AC$1006:$AS$1006,0)), HYPERLINK("#",""), HYPERLINK(CONCATENATE("#metadata!", ADDRESS(INDEX($X$2:$X$1001,MATCH(ROWS($V$2:V707),$V$2:$V$1001,0),0), INDEX($AC$1004:$AS$1004,1,MATCH(COLUMNS($AC$1006:AF1006),$AC$1006:$AS$1006,0)))),"Fix")))</f>
        <v xml:space="preserve"> </v>
      </c>
      <c r="F707" s="4" t="str">
        <f ca="1">IF(OR(INDEX($W$2:$W$1001,MATCH(ROWS($V$2:V707),$V$2:$V$1001,0),1)&gt;=100000,INDEX($AC$1005:$AS$1005,1,MATCH(COLUMNS($AC$1006:AG1006),$AC$1006:$AS$1006,0))&gt;=100000), " ",IF(INDEX($AC$2:$AS$1001,MATCH(ROWS($V$2:V707),$V$2:$V$1001,0),MATCH(COLUMNS($AC$1006:AG1006),$AC$1006:$AS$1006,0)), HYPERLINK("#",""), HYPERLINK(CONCATENATE("#metadata!", ADDRESS(INDEX($X$2:$X$1001,MATCH(ROWS($V$2:V707),$V$2:$V$1001,0),0), INDEX($AC$1004:$AS$1004,1,MATCH(COLUMNS($AC$1006:AG1006),$AC$1006:$AS$1006,0)))),"Fix")))</f>
        <v xml:space="preserve"> </v>
      </c>
      <c r="G707" s="4" t="str">
        <f ca="1">IF(OR(INDEX($W$2:$W$1001,MATCH(ROWS($V$2:V707),$V$2:$V$1001,0),1)&gt;=100000,INDEX($AC$1005:$AS$1005,1,MATCH(COLUMNS($AC$1006:AH1006),$AC$1006:$AS$1006,0))&gt;=100000), " ",IF(INDEX($AC$2:$AS$1001,MATCH(ROWS($V$2:V707),$V$2:$V$1001,0),MATCH(COLUMNS($AC$1006:AH1006),$AC$1006:$AS$1006,0)), HYPERLINK("#",""), HYPERLINK(CONCATENATE("#metadata!", ADDRESS(INDEX($X$2:$X$1001,MATCH(ROWS($V$2:V707),$V$2:$V$1001,0),0), INDEX($AC$1004:$AS$1004,1,MATCH(COLUMNS($AC$1006:AH1006),$AC$1006:$AS$1006,0)))),"Fix")))</f>
        <v xml:space="preserve"> </v>
      </c>
      <c r="H707" s="4" t="str">
        <f ca="1">IF(OR(INDEX($W$2:$W$1001,MATCH(ROWS($V$2:V707),$V$2:$V$1001,0),1)&gt;=100000,INDEX($AC$1005:$AS$1005,1,MATCH(COLUMNS($AC$1006:AI1006),$AC$1006:$AS$1006,0))&gt;=100000), " ",IF(INDEX($AC$2:$AS$1001,MATCH(ROWS($V$2:V707),$V$2:$V$1001,0),MATCH(COLUMNS($AC$1006:AI1006),$AC$1006:$AS$1006,0)), HYPERLINK("#",""), HYPERLINK(CONCATENATE("#metadata!", ADDRESS(INDEX($X$2:$X$1001,MATCH(ROWS($V$2:V707),$V$2:$V$1001,0),0), INDEX($AC$1004:$AS$1004,1,MATCH(COLUMNS($AC$1006:AI1006),$AC$1006:$AS$1006,0)))),"Fix")))</f>
        <v xml:space="preserve"> </v>
      </c>
      <c r="I707" s="4" t="str">
        <f ca="1">IF(OR(INDEX($W$2:$W$1001,MATCH(ROWS($V$2:V707),$V$2:$V$1001,0),1)&gt;=100000,INDEX($AC$1005:$AS$1005,1,MATCH(COLUMNS($AC$1006:AJ1006),$AC$1006:$AS$1006,0))&gt;=100000), " ",IF(INDEX($AC$2:$AS$1001,MATCH(ROWS($V$2:V707),$V$2:$V$1001,0),MATCH(COLUMNS($AC$1006:AJ1006),$AC$1006:$AS$1006,0)), HYPERLINK("#",""), HYPERLINK(CONCATENATE("#metadata!", ADDRESS(INDEX($X$2:$X$1001,MATCH(ROWS($V$2:V707),$V$2:$V$1001,0),0), INDEX($AC$1004:$AS$1004,1,MATCH(COLUMNS($AC$1006:AJ1006),$AC$1006:$AS$1006,0)))),"Fix")))</f>
        <v xml:space="preserve"> </v>
      </c>
      <c r="J707" s="4" t="str">
        <f ca="1">IF(OR(INDEX($W$2:$W$1001,MATCH(ROWS($V$2:V707),$V$2:$V$1001,0),1)&gt;=100000,INDEX($AC$1005:$AS$1005,1,MATCH(COLUMNS($AC$1006:AK1006),$AC$1006:$AS$1006,0))&gt;=100000), " ",IF(INDEX($AC$2:$AS$1001,MATCH(ROWS($V$2:V707),$V$2:$V$1001,0),MATCH(COLUMNS($AC$1006:AK1006),$AC$1006:$AS$1006,0)), HYPERLINK("#",""), HYPERLINK(CONCATENATE("#metadata!", ADDRESS(INDEX($X$2:$X$1001,MATCH(ROWS($V$2:V707),$V$2:$V$1001,0),0), INDEX($AC$1004:$AS$1004,1,MATCH(COLUMNS($AC$1006:AK1006),$AC$1006:$AS$1006,0)))),"Fix")))</f>
        <v xml:space="preserve"> </v>
      </c>
      <c r="K707" s="4" t="str">
        <f ca="1">IF(OR(INDEX($W$2:$W$1001,MATCH(ROWS($V$2:V707),$V$2:$V$1001,0),1)&gt;=100000,INDEX($AC$1005:$AS$1005,1,MATCH(COLUMNS($AC$1006:AL1006),$AC$1006:$AS$1006,0))&gt;=100000), " ",IF(INDEX($AC$2:$AS$1001,MATCH(ROWS($V$2:V707),$V$2:$V$1001,0),MATCH(COLUMNS($AC$1006:AL1006),$AC$1006:$AS$1006,0)), HYPERLINK("#",""), HYPERLINK(CONCATENATE("#metadata!", ADDRESS(INDEX($X$2:$X$1001,MATCH(ROWS($V$2:V707),$V$2:$V$1001,0),0), INDEX($AC$1004:$AS$1004,1,MATCH(COLUMNS($AC$1006:AL1006),$AC$1006:$AS$1006,0)))),"Fix")))</f>
        <v xml:space="preserve"> </v>
      </c>
      <c r="L707" s="4" t="str">
        <f ca="1">IF(OR(INDEX($W$2:$W$1001,MATCH(ROWS($V$2:V707),$V$2:$V$1001,0),1)&gt;=100000,INDEX($AC$1005:$AS$1005,1,MATCH(COLUMNS($AC$1006:AM1006),$AC$1006:$AS$1006,0))&gt;=100000), " ",IF(INDEX($AC$2:$AS$1001,MATCH(ROWS($V$2:V707),$V$2:$V$1001,0),MATCH(COLUMNS($AC$1006:AM1006),$AC$1006:$AS$1006,0)), HYPERLINK("#",""), HYPERLINK(CONCATENATE("#metadata!", ADDRESS(INDEX($X$2:$X$1001,MATCH(ROWS($V$2:V707),$V$2:$V$1001,0),0), INDEX($AC$1004:$AS$1004,1,MATCH(COLUMNS($AC$1006:AM1006),$AC$1006:$AS$1006,0)))),"Fix")))</f>
        <v xml:space="preserve"> </v>
      </c>
      <c r="M707" s="4" t="str">
        <f ca="1">IF(OR(INDEX($W$2:$W$1001,MATCH(ROWS($V$2:V707),$V$2:$V$1001,0),1)&gt;=100000,INDEX($AC$1005:$AS$1005,1,MATCH(COLUMNS($AC$1006:AN1006),$AC$1006:$AS$1006,0))&gt;=100000), " ",IF(INDEX($AC$2:$AS$1001,MATCH(ROWS($V$2:V707),$V$2:$V$1001,0),MATCH(COLUMNS($AC$1006:AN1006),$AC$1006:$AS$1006,0)), HYPERLINK("#",""), HYPERLINK(CONCATENATE("#metadata!", ADDRESS(INDEX($X$2:$X$1001,MATCH(ROWS($V$2:V707),$V$2:$V$1001,0),0), INDEX($AC$1004:$AS$1004,1,MATCH(COLUMNS($AC$1006:AN1006),$AC$1006:$AS$1006,0)))),"Fix")))</f>
        <v xml:space="preserve"> </v>
      </c>
      <c r="N707" s="4" t="str">
        <f ca="1">IF(OR(INDEX($W$2:$W$1001,MATCH(ROWS($V$2:V707),$V$2:$V$1001,0),1)&gt;=100000,INDEX($AC$1005:$AS$1005,1,MATCH(COLUMNS($AC$1006:AO1006),$AC$1006:$AS$1006,0))&gt;=100000), " ",IF(INDEX($AC$2:$AS$1001,MATCH(ROWS($V$2:V707),$V$2:$V$1001,0),MATCH(COLUMNS($AC$1006:AO1006),$AC$1006:$AS$1006,0)), HYPERLINK("#",""), HYPERLINK(CONCATENATE("#metadata!", ADDRESS(INDEX($X$2:$X$1001,MATCH(ROWS($V$2:V707),$V$2:$V$1001,0),0), INDEX($AC$1004:$AS$1004,1,MATCH(COLUMNS($AC$1006:AO1006),$AC$1006:$AS$1006,0)))),"Fix")))</f>
        <v xml:space="preserve"> </v>
      </c>
      <c r="O707" s="4" t="str">
        <f ca="1">IF(OR(INDEX($W$2:$W$1001,MATCH(ROWS($V$2:V707),$V$2:$V$1001,0),1)&gt;=100000,INDEX($AC$1005:$AS$1005,1,MATCH(COLUMNS($AC$1006:AP1006),$AC$1006:$AS$1006,0))&gt;=100000), " ",IF(INDEX($AC$2:$AS$1001,MATCH(ROWS($V$2:V707),$V$2:$V$1001,0),MATCH(COLUMNS($AC$1006:AP1006),$AC$1006:$AS$1006,0)), HYPERLINK("#",""), HYPERLINK(CONCATENATE("#metadata!", ADDRESS(INDEX($X$2:$X$1001,MATCH(ROWS($V$2:V707),$V$2:$V$1001,0),0), INDEX($AC$1004:$AS$1004,1,MATCH(COLUMNS($AC$1006:AP1006),$AC$1006:$AS$1006,0)))),"Fix")))</f>
        <v xml:space="preserve"> </v>
      </c>
      <c r="P707" s="4" t="str">
        <f ca="1">IF(OR(INDEX($W$2:$W$1001,MATCH(ROWS($V$2:V707),$V$2:$V$1001,0),1)&gt;=100000,INDEX($AC$1005:$AS$1005,1,MATCH(COLUMNS($AC$1006:AQ1006),$AC$1006:$AS$1006,0))&gt;=100000), " ",IF(INDEX($AC$2:$AS$1001,MATCH(ROWS($V$2:V707),$V$2:$V$1001,0),MATCH(COLUMNS($AC$1006:AQ1006),$AC$1006:$AS$1006,0)), HYPERLINK("#",""), HYPERLINK(CONCATENATE("#metadata!", ADDRESS(INDEX($X$2:$X$1001,MATCH(ROWS($V$2:V707),$V$2:$V$1001,0),0), INDEX($AC$1004:$AS$1004,1,MATCH(COLUMNS($AC$1006:AQ1006),$AC$1006:$AS$1006,0)))),"Fix")))</f>
        <v xml:space="preserve"> </v>
      </c>
      <c r="Q707" s="4" t="str">
        <f ca="1">IF(OR(INDEX($W$2:$W$1001,MATCH(ROWS($V$2:V707),$V$2:$V$1001,0),1)&gt;=100000,INDEX($AC$1005:$AS$1005,1,MATCH(COLUMNS($AC$1006:AR1006),$AC$1006:$AS$1006,0))&gt;=100000), " ",IF(INDEX($AC$2:$AS$1001,MATCH(ROWS($V$2:V707),$V$2:$V$1001,0),MATCH(COLUMNS($AC$1006:AR1006),$AC$1006:$AS$1006,0)), HYPERLINK("#",""), HYPERLINK(CONCATENATE("#metadata!", ADDRESS(INDEX($X$2:$X$1001,MATCH(ROWS($V$2:V707),$V$2:$V$1001,0),0), INDEX($AC$1004:$AS$1004,1,MATCH(COLUMNS($AC$1006:AR1006),$AC$1006:$AS$1006,0)))),"Fix")))</f>
        <v xml:space="preserve"> </v>
      </c>
      <c r="R707" s="4" t="str">
        <f ca="1">IF(OR(INDEX($W$2:$W$1001,MATCH(ROWS($V$2:V707),$V$2:$V$1001,0),1)&gt;=100000,INDEX($AC$1005:$AS$1005,1,MATCH(COLUMNS($AC$1006:AS1006),$AC$1006:$AS$1006,0))&gt;=100000), " ",IF(INDEX($AC$2:$AS$1001,MATCH(ROWS($V$2:V707),$V$2:$V$1001,0),MATCH(COLUMNS($AC$1006:AS1006),$AC$1006:$AS$1006,0)), HYPERLINK("#",""), HYPERLINK(CONCATENATE("#metadata!", ADDRESS(INDEX($X$2:$X$1001,MATCH(ROWS($V$2:V707),$V$2:$V$1001,0),0), INDEX($AC$1004:$AS$1004,1,MATCH(COLUMNS($AC$1006:AS1006),$AC$1006:$AS$1006,0)))),"Fix")))</f>
        <v xml:space="preserve"> </v>
      </c>
      <c r="V707">
        <v>706</v>
      </c>
      <c r="W707">
        <v>100707</v>
      </c>
      <c r="X707">
        <v>707</v>
      </c>
      <c r="Y707" t="b">
        <f t="shared" si="11"/>
        <v>1</v>
      </c>
      <c r="Z707" t="b">
        <f>COUNTBLANK(metadata!B707:R707)=COLUMNS(metadata!B707:R707)</f>
        <v>1</v>
      </c>
      <c r="AA707" t="str">
        <v/>
      </c>
      <c r="AC707" t="b">
        <f ca="1"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AD707" t="b">
        <f>IF(metadata!C707="",FALSE,ISNUMBER(VALUE(metadata!C707)))</f>
        <v>0</v>
      </c>
      <c r="AE707" t="b">
        <f>AND(IF(metadata!D707="",FALSE,TRUE),EXACT(metadata!D707,"years"))</f>
        <v>0</v>
      </c>
      <c r="AF707" t="b">
        <f>OR(AND(IF(metadata!E707="",FALSE,TRUE),OR(EXACT(metadata!E707,"not applicable"),EXACT(metadata!E707,"missing: not collected"),EXACT(metadata!E707,"missing: not provided"),EXACT(metadata!E707,"missing: restricted access"))),AND(IF(metadata!E707="",FALSE,ISNUMBER(VALUE(metadata!E707))),metadata!E707&gt;0))</f>
        <v>0</v>
      </c>
      <c r="AG707" t="b">
        <f>AND(IF(metadata!F707="",FALSE,TRUE),EXACT(metadata!F707,"Not applicable"))</f>
        <v>0</v>
      </c>
      <c r="AH707" t="b">
        <f>AND(IF(metadata!G707="",FALSE,TRUE),EXACT(metadata!G707,"urban biome"))</f>
        <v>0</v>
      </c>
      <c r="AI707" t="b">
        <f>AND(IF(metadata!H707="",FALSE,TRUE),EXACT(metadata!H707,"human-associated habitat"))</f>
        <v>0</v>
      </c>
      <c r="AJ707" t="b">
        <f>AND(IF(metadata!I707="",FALSE,TRUE),OR(EXACT(metadata!I707,"human-associated"),EXACT(metadata!I707,"human-skin"),EXACT(metadata!I707,"human-oral"),EXACT(metadata!I707,"human-gut"),EXACT(metadata!I707,"human-vaginal")))</f>
        <v>0</v>
      </c>
      <c r="AK707" t="b">
        <f>IF(metadata!J707="",FALSE,ISNUMBER(VALUE(metadata!J707)))</f>
        <v>0</v>
      </c>
      <c r="AL707" t="b">
        <f>AND(IF(metadata!K707="",FALSE,TRUE),EXACT(metadata!K707,"cm"))</f>
        <v>0</v>
      </c>
      <c r="AM707" t="b">
        <f>AND(IF(metadata!L707="",FALSE,TRUE),EXACT(metadata!L707,"human"))</f>
        <v>0</v>
      </c>
      <c r="AN707" t="b">
        <f>AND(IF(metadata!M707="",FALSE,TRUE),EXACT(metadata!M707,"Homo sapiens"))</f>
        <v>0</v>
      </c>
      <c r="AO707" t="b">
        <f>AND(IF(metadata!N707="",FALSE,TRUE),EXACT(metadata!N707,"9606"))</f>
        <v>0</v>
      </c>
      <c r="AP707" t="b">
        <f>IF(metadata!O707="",FALSE,TRUE)</f>
        <v>0</v>
      </c>
      <c r="AQ707" t="b">
        <f>IF(metadata!P707="",FALSE,TRUE)</f>
        <v>0</v>
      </c>
      <c r="AR707" t="b">
        <f>IF(metadata!Q707="",FALSE,ISNUMBER(VALUE(metadata!Q707)))</f>
        <v>0</v>
      </c>
      <c r="AS707" t="b">
        <f>AND(IF(metadata!R707="",FALSE,TRUE),EXACT(metadata!R707,"kg"))</f>
        <v>0</v>
      </c>
    </row>
    <row r="708" spans="1:45" x14ac:dyDescent="0.2">
      <c r="A708" s="5" t="str">
        <f ca="1">IF(B708=" "," ",HYPERLINK(CONCATENATE("#metadata!",ADDRESS(INDEX($X$2:$X$1001,MATCH(ROWS($V$2:V708),$V$2:$V$1001,0),0),1)),INDEX($AA$2:$AA$1001,MATCH(ROWS($V$2:V708),$V$2:$V$1001,0),0)))</f>
        <v xml:space="preserve"> </v>
      </c>
      <c r="B708" s="4" t="str">
        <f ca="1">IF(OR(INDEX($W$2:$W$1001,MATCH(ROWS($V$2:V708),$V$2:$V$1001,0),1)&gt;=100000,INDEX($AC$1005:$AS$1005,1,MATCH(COLUMNS($AC$1006:AC1006),$AC$1006:$AS$1006,0))&gt;=100000), " ",IF(INDEX($AC$2:$AS$1001,MATCH(ROWS($V$2:V708),$V$2:$V$1001,0),MATCH(COLUMNS($AC$1006:AC1006),$AC$1006:$AS$1006,0)), HYPERLINK("#",""), HYPERLINK(CONCATENATE("#metadata!", ADDRESS(INDEX($X$2:$X$1001,MATCH(ROWS($V$2:V708),$V$2:$V$1001,0),0), INDEX($AC$1004:$AS$1004,1,MATCH(COLUMNS($AC$1006:AC1006),$AC$1006:$AS$1006,0)))),"Fix")))</f>
        <v xml:space="preserve"> </v>
      </c>
      <c r="C708" s="4" t="str">
        <f ca="1">IF(OR(INDEX($W$2:$W$1001,MATCH(ROWS($V$2:V708),$V$2:$V$1001,0),1)&gt;=100000,INDEX($AC$1005:$AS$1005,1,MATCH(COLUMNS($AC$1006:AD1006),$AC$1006:$AS$1006,0))&gt;=100000), " ",IF(INDEX($AC$2:$AS$1001,MATCH(ROWS($V$2:V708),$V$2:$V$1001,0),MATCH(COLUMNS($AC$1006:AD1006),$AC$1006:$AS$1006,0)), HYPERLINK("#",""), HYPERLINK(CONCATENATE("#metadata!", ADDRESS(INDEX($X$2:$X$1001,MATCH(ROWS($V$2:V708),$V$2:$V$1001,0),0), INDEX($AC$1004:$AS$1004,1,MATCH(COLUMNS($AC$1006:AD1006),$AC$1006:$AS$1006,0)))),"Fix")))</f>
        <v xml:space="preserve"> </v>
      </c>
      <c r="D708" s="4" t="str">
        <f ca="1">IF(OR(INDEX($W$2:$W$1001,MATCH(ROWS($V$2:V708),$V$2:$V$1001,0),1)&gt;=100000,INDEX($AC$1005:$AS$1005,1,MATCH(COLUMNS($AC$1006:AE1006),$AC$1006:$AS$1006,0))&gt;=100000), " ",IF(INDEX($AC$2:$AS$1001,MATCH(ROWS($V$2:V708),$V$2:$V$1001,0),MATCH(COLUMNS($AC$1006:AE1006),$AC$1006:$AS$1006,0)), HYPERLINK("#",""), HYPERLINK(CONCATENATE("#metadata!", ADDRESS(INDEX($X$2:$X$1001,MATCH(ROWS($V$2:V708),$V$2:$V$1001,0),0), INDEX($AC$1004:$AS$1004,1,MATCH(COLUMNS($AC$1006:AE1006),$AC$1006:$AS$1006,0)))),"Fix")))</f>
        <v xml:space="preserve"> </v>
      </c>
      <c r="E708" s="4" t="str">
        <f ca="1">IF(OR(INDEX($W$2:$W$1001,MATCH(ROWS($V$2:V708),$V$2:$V$1001,0),1)&gt;=100000,INDEX($AC$1005:$AS$1005,1,MATCH(COLUMNS($AC$1006:AF1006),$AC$1006:$AS$1006,0))&gt;=100000), " ",IF(INDEX($AC$2:$AS$1001,MATCH(ROWS($V$2:V708),$V$2:$V$1001,0),MATCH(COLUMNS($AC$1006:AF1006),$AC$1006:$AS$1006,0)), HYPERLINK("#",""), HYPERLINK(CONCATENATE("#metadata!", ADDRESS(INDEX($X$2:$X$1001,MATCH(ROWS($V$2:V708),$V$2:$V$1001,0),0), INDEX($AC$1004:$AS$1004,1,MATCH(COLUMNS($AC$1006:AF1006),$AC$1006:$AS$1006,0)))),"Fix")))</f>
        <v xml:space="preserve"> </v>
      </c>
      <c r="F708" s="4" t="str">
        <f ca="1">IF(OR(INDEX($W$2:$W$1001,MATCH(ROWS($V$2:V708),$V$2:$V$1001,0),1)&gt;=100000,INDEX($AC$1005:$AS$1005,1,MATCH(COLUMNS($AC$1006:AG1006),$AC$1006:$AS$1006,0))&gt;=100000), " ",IF(INDEX($AC$2:$AS$1001,MATCH(ROWS($V$2:V708),$V$2:$V$1001,0),MATCH(COLUMNS($AC$1006:AG1006),$AC$1006:$AS$1006,0)), HYPERLINK("#",""), HYPERLINK(CONCATENATE("#metadata!", ADDRESS(INDEX($X$2:$X$1001,MATCH(ROWS($V$2:V708),$V$2:$V$1001,0),0), INDEX($AC$1004:$AS$1004,1,MATCH(COLUMNS($AC$1006:AG1006),$AC$1006:$AS$1006,0)))),"Fix")))</f>
        <v xml:space="preserve"> </v>
      </c>
      <c r="G708" s="4" t="str">
        <f ca="1">IF(OR(INDEX($W$2:$W$1001,MATCH(ROWS($V$2:V708),$V$2:$V$1001,0),1)&gt;=100000,INDEX($AC$1005:$AS$1005,1,MATCH(COLUMNS($AC$1006:AH1006),$AC$1006:$AS$1006,0))&gt;=100000), " ",IF(INDEX($AC$2:$AS$1001,MATCH(ROWS($V$2:V708),$V$2:$V$1001,0),MATCH(COLUMNS($AC$1006:AH1006),$AC$1006:$AS$1006,0)), HYPERLINK("#",""), HYPERLINK(CONCATENATE("#metadata!", ADDRESS(INDEX($X$2:$X$1001,MATCH(ROWS($V$2:V708),$V$2:$V$1001,0),0), INDEX($AC$1004:$AS$1004,1,MATCH(COLUMNS($AC$1006:AH1006),$AC$1006:$AS$1006,0)))),"Fix")))</f>
        <v xml:space="preserve"> </v>
      </c>
      <c r="H708" s="4" t="str">
        <f ca="1">IF(OR(INDEX($W$2:$W$1001,MATCH(ROWS($V$2:V708),$V$2:$V$1001,0),1)&gt;=100000,INDEX($AC$1005:$AS$1005,1,MATCH(COLUMNS($AC$1006:AI1006),$AC$1006:$AS$1006,0))&gt;=100000), " ",IF(INDEX($AC$2:$AS$1001,MATCH(ROWS($V$2:V708),$V$2:$V$1001,0),MATCH(COLUMNS($AC$1006:AI1006),$AC$1006:$AS$1006,0)), HYPERLINK("#",""), HYPERLINK(CONCATENATE("#metadata!", ADDRESS(INDEX($X$2:$X$1001,MATCH(ROWS($V$2:V708),$V$2:$V$1001,0),0), INDEX($AC$1004:$AS$1004,1,MATCH(COLUMNS($AC$1006:AI1006),$AC$1006:$AS$1006,0)))),"Fix")))</f>
        <v xml:space="preserve"> </v>
      </c>
      <c r="I708" s="4" t="str">
        <f ca="1">IF(OR(INDEX($W$2:$W$1001,MATCH(ROWS($V$2:V708),$V$2:$V$1001,0),1)&gt;=100000,INDEX($AC$1005:$AS$1005,1,MATCH(COLUMNS($AC$1006:AJ1006),$AC$1006:$AS$1006,0))&gt;=100000), " ",IF(INDEX($AC$2:$AS$1001,MATCH(ROWS($V$2:V708),$V$2:$V$1001,0),MATCH(COLUMNS($AC$1006:AJ1006),$AC$1006:$AS$1006,0)), HYPERLINK("#",""), HYPERLINK(CONCATENATE("#metadata!", ADDRESS(INDEX($X$2:$X$1001,MATCH(ROWS($V$2:V708),$V$2:$V$1001,0),0), INDEX($AC$1004:$AS$1004,1,MATCH(COLUMNS($AC$1006:AJ1006),$AC$1006:$AS$1006,0)))),"Fix")))</f>
        <v xml:space="preserve"> </v>
      </c>
      <c r="J708" s="4" t="str">
        <f ca="1">IF(OR(INDEX($W$2:$W$1001,MATCH(ROWS($V$2:V708),$V$2:$V$1001,0),1)&gt;=100000,INDEX($AC$1005:$AS$1005,1,MATCH(COLUMNS($AC$1006:AK1006),$AC$1006:$AS$1006,0))&gt;=100000), " ",IF(INDEX($AC$2:$AS$1001,MATCH(ROWS($V$2:V708),$V$2:$V$1001,0),MATCH(COLUMNS($AC$1006:AK1006),$AC$1006:$AS$1006,0)), HYPERLINK("#",""), HYPERLINK(CONCATENATE("#metadata!", ADDRESS(INDEX($X$2:$X$1001,MATCH(ROWS($V$2:V708),$V$2:$V$1001,0),0), INDEX($AC$1004:$AS$1004,1,MATCH(COLUMNS($AC$1006:AK1006),$AC$1006:$AS$1006,0)))),"Fix")))</f>
        <v xml:space="preserve"> </v>
      </c>
      <c r="K708" s="4" t="str">
        <f ca="1">IF(OR(INDEX($W$2:$W$1001,MATCH(ROWS($V$2:V708),$V$2:$V$1001,0),1)&gt;=100000,INDEX($AC$1005:$AS$1005,1,MATCH(COLUMNS($AC$1006:AL1006),$AC$1006:$AS$1006,0))&gt;=100000), " ",IF(INDEX($AC$2:$AS$1001,MATCH(ROWS($V$2:V708),$V$2:$V$1001,0),MATCH(COLUMNS($AC$1006:AL1006),$AC$1006:$AS$1006,0)), HYPERLINK("#",""), HYPERLINK(CONCATENATE("#metadata!", ADDRESS(INDEX($X$2:$X$1001,MATCH(ROWS($V$2:V708),$V$2:$V$1001,0),0), INDEX($AC$1004:$AS$1004,1,MATCH(COLUMNS($AC$1006:AL1006),$AC$1006:$AS$1006,0)))),"Fix")))</f>
        <v xml:space="preserve"> </v>
      </c>
      <c r="L708" s="4" t="str">
        <f ca="1">IF(OR(INDEX($W$2:$W$1001,MATCH(ROWS($V$2:V708),$V$2:$V$1001,0),1)&gt;=100000,INDEX($AC$1005:$AS$1005,1,MATCH(COLUMNS($AC$1006:AM1006),$AC$1006:$AS$1006,0))&gt;=100000), " ",IF(INDEX($AC$2:$AS$1001,MATCH(ROWS($V$2:V708),$V$2:$V$1001,0),MATCH(COLUMNS($AC$1006:AM1006),$AC$1006:$AS$1006,0)), HYPERLINK("#",""), HYPERLINK(CONCATENATE("#metadata!", ADDRESS(INDEX($X$2:$X$1001,MATCH(ROWS($V$2:V708),$V$2:$V$1001,0),0), INDEX($AC$1004:$AS$1004,1,MATCH(COLUMNS($AC$1006:AM1006),$AC$1006:$AS$1006,0)))),"Fix")))</f>
        <v xml:space="preserve"> </v>
      </c>
      <c r="M708" s="4" t="str">
        <f ca="1">IF(OR(INDEX($W$2:$W$1001,MATCH(ROWS($V$2:V708),$V$2:$V$1001,0),1)&gt;=100000,INDEX($AC$1005:$AS$1005,1,MATCH(COLUMNS($AC$1006:AN1006),$AC$1006:$AS$1006,0))&gt;=100000), " ",IF(INDEX($AC$2:$AS$1001,MATCH(ROWS($V$2:V708),$V$2:$V$1001,0),MATCH(COLUMNS($AC$1006:AN1006),$AC$1006:$AS$1006,0)), HYPERLINK("#",""), HYPERLINK(CONCATENATE("#metadata!", ADDRESS(INDEX($X$2:$X$1001,MATCH(ROWS($V$2:V708),$V$2:$V$1001,0),0), INDEX($AC$1004:$AS$1004,1,MATCH(COLUMNS($AC$1006:AN1006),$AC$1006:$AS$1006,0)))),"Fix")))</f>
        <v xml:space="preserve"> </v>
      </c>
      <c r="N708" s="4" t="str">
        <f ca="1">IF(OR(INDEX($W$2:$W$1001,MATCH(ROWS($V$2:V708),$V$2:$V$1001,0),1)&gt;=100000,INDEX($AC$1005:$AS$1005,1,MATCH(COLUMNS($AC$1006:AO1006),$AC$1006:$AS$1006,0))&gt;=100000), " ",IF(INDEX($AC$2:$AS$1001,MATCH(ROWS($V$2:V708),$V$2:$V$1001,0),MATCH(COLUMNS($AC$1006:AO1006),$AC$1006:$AS$1006,0)), HYPERLINK("#",""), HYPERLINK(CONCATENATE("#metadata!", ADDRESS(INDEX($X$2:$X$1001,MATCH(ROWS($V$2:V708),$V$2:$V$1001,0),0), INDEX($AC$1004:$AS$1004,1,MATCH(COLUMNS($AC$1006:AO1006),$AC$1006:$AS$1006,0)))),"Fix")))</f>
        <v xml:space="preserve"> </v>
      </c>
      <c r="O708" s="4" t="str">
        <f ca="1">IF(OR(INDEX($W$2:$W$1001,MATCH(ROWS($V$2:V708),$V$2:$V$1001,0),1)&gt;=100000,INDEX($AC$1005:$AS$1005,1,MATCH(COLUMNS($AC$1006:AP1006),$AC$1006:$AS$1006,0))&gt;=100000), " ",IF(INDEX($AC$2:$AS$1001,MATCH(ROWS($V$2:V708),$V$2:$V$1001,0),MATCH(COLUMNS($AC$1006:AP1006),$AC$1006:$AS$1006,0)), HYPERLINK("#",""), HYPERLINK(CONCATENATE("#metadata!", ADDRESS(INDEX($X$2:$X$1001,MATCH(ROWS($V$2:V708),$V$2:$V$1001,0),0), INDEX($AC$1004:$AS$1004,1,MATCH(COLUMNS($AC$1006:AP1006),$AC$1006:$AS$1006,0)))),"Fix")))</f>
        <v xml:space="preserve"> </v>
      </c>
      <c r="P708" s="4" t="str">
        <f ca="1">IF(OR(INDEX($W$2:$W$1001,MATCH(ROWS($V$2:V708),$V$2:$V$1001,0),1)&gt;=100000,INDEX($AC$1005:$AS$1005,1,MATCH(COLUMNS($AC$1006:AQ1006),$AC$1006:$AS$1006,0))&gt;=100000), " ",IF(INDEX($AC$2:$AS$1001,MATCH(ROWS($V$2:V708),$V$2:$V$1001,0),MATCH(COLUMNS($AC$1006:AQ1006),$AC$1006:$AS$1006,0)), HYPERLINK("#",""), HYPERLINK(CONCATENATE("#metadata!", ADDRESS(INDEX($X$2:$X$1001,MATCH(ROWS($V$2:V708),$V$2:$V$1001,0),0), INDEX($AC$1004:$AS$1004,1,MATCH(COLUMNS($AC$1006:AQ1006),$AC$1006:$AS$1006,0)))),"Fix")))</f>
        <v xml:space="preserve"> </v>
      </c>
      <c r="Q708" s="4" t="str">
        <f ca="1">IF(OR(INDEX($W$2:$W$1001,MATCH(ROWS($V$2:V708),$V$2:$V$1001,0),1)&gt;=100000,INDEX($AC$1005:$AS$1005,1,MATCH(COLUMNS($AC$1006:AR1006),$AC$1006:$AS$1006,0))&gt;=100000), " ",IF(INDEX($AC$2:$AS$1001,MATCH(ROWS($V$2:V708),$V$2:$V$1001,0),MATCH(COLUMNS($AC$1006:AR1006),$AC$1006:$AS$1006,0)), HYPERLINK("#",""), HYPERLINK(CONCATENATE("#metadata!", ADDRESS(INDEX($X$2:$X$1001,MATCH(ROWS($V$2:V708),$V$2:$V$1001,0),0), INDEX($AC$1004:$AS$1004,1,MATCH(COLUMNS($AC$1006:AR1006),$AC$1006:$AS$1006,0)))),"Fix")))</f>
        <v xml:space="preserve"> </v>
      </c>
      <c r="R708" s="4" t="str">
        <f ca="1">IF(OR(INDEX($W$2:$W$1001,MATCH(ROWS($V$2:V708),$V$2:$V$1001,0),1)&gt;=100000,INDEX($AC$1005:$AS$1005,1,MATCH(COLUMNS($AC$1006:AS1006),$AC$1006:$AS$1006,0))&gt;=100000), " ",IF(INDEX($AC$2:$AS$1001,MATCH(ROWS($V$2:V708),$V$2:$V$1001,0),MATCH(COLUMNS($AC$1006:AS1006),$AC$1006:$AS$1006,0)), HYPERLINK("#",""), HYPERLINK(CONCATENATE("#metadata!", ADDRESS(INDEX($X$2:$X$1001,MATCH(ROWS($V$2:V708),$V$2:$V$1001,0),0), INDEX($AC$1004:$AS$1004,1,MATCH(COLUMNS($AC$1006:AS1006),$AC$1006:$AS$1006,0)))),"Fix")))</f>
        <v xml:space="preserve"> </v>
      </c>
      <c r="V708">
        <v>707</v>
      </c>
      <c r="W708">
        <v>100708</v>
      </c>
      <c r="X708">
        <v>708</v>
      </c>
      <c r="Y708" t="b">
        <f t="shared" si="11"/>
        <v>1</v>
      </c>
      <c r="Z708" t="b">
        <f>COUNTBLANK(metadata!B708:R708)=COLUMNS(metadata!B708:R708)</f>
        <v>1</v>
      </c>
      <c r="AA708" t="str">
        <v/>
      </c>
      <c r="AC708" t="b">
        <f ca="1"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AD708" t="b">
        <f>IF(metadata!C708="",FALSE,ISNUMBER(VALUE(metadata!C708)))</f>
        <v>0</v>
      </c>
      <c r="AE708" t="b">
        <f>AND(IF(metadata!D708="",FALSE,TRUE),EXACT(metadata!D708,"years"))</f>
        <v>0</v>
      </c>
      <c r="AF708" t="b">
        <f>OR(AND(IF(metadata!E708="",FALSE,TRUE),OR(EXACT(metadata!E708,"not applicable"),EXACT(metadata!E708,"missing: not collected"),EXACT(metadata!E708,"missing: not provided"),EXACT(metadata!E708,"missing: restricted access"))),AND(IF(metadata!E708="",FALSE,ISNUMBER(VALUE(metadata!E708))),metadata!E708&gt;0))</f>
        <v>0</v>
      </c>
      <c r="AG708" t="b">
        <f>AND(IF(metadata!F708="",FALSE,TRUE),EXACT(metadata!F708,"Not applicable"))</f>
        <v>0</v>
      </c>
      <c r="AH708" t="b">
        <f>AND(IF(metadata!G708="",FALSE,TRUE),EXACT(metadata!G708,"urban biome"))</f>
        <v>0</v>
      </c>
      <c r="AI708" t="b">
        <f>AND(IF(metadata!H708="",FALSE,TRUE),EXACT(metadata!H708,"human-associated habitat"))</f>
        <v>0</v>
      </c>
      <c r="AJ708" t="b">
        <f>AND(IF(metadata!I708="",FALSE,TRUE),OR(EXACT(metadata!I708,"human-associated"),EXACT(metadata!I708,"human-skin"),EXACT(metadata!I708,"human-oral"),EXACT(metadata!I708,"human-gut"),EXACT(metadata!I708,"human-vaginal")))</f>
        <v>0</v>
      </c>
      <c r="AK708" t="b">
        <f>IF(metadata!J708="",FALSE,ISNUMBER(VALUE(metadata!J708)))</f>
        <v>0</v>
      </c>
      <c r="AL708" t="b">
        <f>AND(IF(metadata!K708="",FALSE,TRUE),EXACT(metadata!K708,"cm"))</f>
        <v>0</v>
      </c>
      <c r="AM708" t="b">
        <f>AND(IF(metadata!L708="",FALSE,TRUE),EXACT(metadata!L708,"human"))</f>
        <v>0</v>
      </c>
      <c r="AN708" t="b">
        <f>AND(IF(metadata!M708="",FALSE,TRUE),EXACT(metadata!M708,"Homo sapiens"))</f>
        <v>0</v>
      </c>
      <c r="AO708" t="b">
        <f>AND(IF(metadata!N708="",FALSE,TRUE),EXACT(metadata!N708,"9606"))</f>
        <v>0</v>
      </c>
      <c r="AP708" t="b">
        <f>IF(metadata!O708="",FALSE,TRUE)</f>
        <v>0</v>
      </c>
      <c r="AQ708" t="b">
        <f>IF(metadata!P708="",FALSE,TRUE)</f>
        <v>0</v>
      </c>
      <c r="AR708" t="b">
        <f>IF(metadata!Q708="",FALSE,ISNUMBER(VALUE(metadata!Q708)))</f>
        <v>0</v>
      </c>
      <c r="AS708" t="b">
        <f>AND(IF(metadata!R708="",FALSE,TRUE),EXACT(metadata!R708,"kg"))</f>
        <v>0</v>
      </c>
    </row>
    <row r="709" spans="1:45" x14ac:dyDescent="0.2">
      <c r="A709" s="5" t="str">
        <f ca="1">IF(B709=" "," ",HYPERLINK(CONCATENATE("#metadata!",ADDRESS(INDEX($X$2:$X$1001,MATCH(ROWS($V$2:V709),$V$2:$V$1001,0),0),1)),INDEX($AA$2:$AA$1001,MATCH(ROWS($V$2:V709),$V$2:$V$1001,0),0)))</f>
        <v xml:space="preserve"> </v>
      </c>
      <c r="B709" s="4" t="str">
        <f ca="1">IF(OR(INDEX($W$2:$W$1001,MATCH(ROWS($V$2:V709),$V$2:$V$1001,0),1)&gt;=100000,INDEX($AC$1005:$AS$1005,1,MATCH(COLUMNS($AC$1006:AC1006),$AC$1006:$AS$1006,0))&gt;=100000), " ",IF(INDEX($AC$2:$AS$1001,MATCH(ROWS($V$2:V709),$V$2:$V$1001,0),MATCH(COLUMNS($AC$1006:AC1006),$AC$1006:$AS$1006,0)), HYPERLINK("#",""), HYPERLINK(CONCATENATE("#metadata!", ADDRESS(INDEX($X$2:$X$1001,MATCH(ROWS($V$2:V709),$V$2:$V$1001,0),0), INDEX($AC$1004:$AS$1004,1,MATCH(COLUMNS($AC$1006:AC1006),$AC$1006:$AS$1006,0)))),"Fix")))</f>
        <v xml:space="preserve"> </v>
      </c>
      <c r="C709" s="4" t="str">
        <f ca="1">IF(OR(INDEX($W$2:$W$1001,MATCH(ROWS($V$2:V709),$V$2:$V$1001,0),1)&gt;=100000,INDEX($AC$1005:$AS$1005,1,MATCH(COLUMNS($AC$1006:AD1006),$AC$1006:$AS$1006,0))&gt;=100000), " ",IF(INDEX($AC$2:$AS$1001,MATCH(ROWS($V$2:V709),$V$2:$V$1001,0),MATCH(COLUMNS($AC$1006:AD1006),$AC$1006:$AS$1006,0)), HYPERLINK("#",""), HYPERLINK(CONCATENATE("#metadata!", ADDRESS(INDEX($X$2:$X$1001,MATCH(ROWS($V$2:V709),$V$2:$V$1001,0),0), INDEX($AC$1004:$AS$1004,1,MATCH(COLUMNS($AC$1006:AD1006),$AC$1006:$AS$1006,0)))),"Fix")))</f>
        <v xml:space="preserve"> </v>
      </c>
      <c r="D709" s="4" t="str">
        <f ca="1">IF(OR(INDEX($W$2:$W$1001,MATCH(ROWS($V$2:V709),$V$2:$V$1001,0),1)&gt;=100000,INDEX($AC$1005:$AS$1005,1,MATCH(COLUMNS($AC$1006:AE1006),$AC$1006:$AS$1006,0))&gt;=100000), " ",IF(INDEX($AC$2:$AS$1001,MATCH(ROWS($V$2:V709),$V$2:$V$1001,0),MATCH(COLUMNS($AC$1006:AE1006),$AC$1006:$AS$1006,0)), HYPERLINK("#",""), HYPERLINK(CONCATENATE("#metadata!", ADDRESS(INDEX($X$2:$X$1001,MATCH(ROWS($V$2:V709),$V$2:$V$1001,0),0), INDEX($AC$1004:$AS$1004,1,MATCH(COLUMNS($AC$1006:AE1006),$AC$1006:$AS$1006,0)))),"Fix")))</f>
        <v xml:space="preserve"> </v>
      </c>
      <c r="E709" s="4" t="str">
        <f ca="1">IF(OR(INDEX($W$2:$W$1001,MATCH(ROWS($V$2:V709),$V$2:$V$1001,0),1)&gt;=100000,INDEX($AC$1005:$AS$1005,1,MATCH(COLUMNS($AC$1006:AF1006),$AC$1006:$AS$1006,0))&gt;=100000), " ",IF(INDEX($AC$2:$AS$1001,MATCH(ROWS($V$2:V709),$V$2:$V$1001,0),MATCH(COLUMNS($AC$1006:AF1006),$AC$1006:$AS$1006,0)), HYPERLINK("#",""), HYPERLINK(CONCATENATE("#metadata!", ADDRESS(INDEX($X$2:$X$1001,MATCH(ROWS($V$2:V709),$V$2:$V$1001,0),0), INDEX($AC$1004:$AS$1004,1,MATCH(COLUMNS($AC$1006:AF1006),$AC$1006:$AS$1006,0)))),"Fix")))</f>
        <v xml:space="preserve"> </v>
      </c>
      <c r="F709" s="4" t="str">
        <f ca="1">IF(OR(INDEX($W$2:$W$1001,MATCH(ROWS($V$2:V709),$V$2:$V$1001,0),1)&gt;=100000,INDEX($AC$1005:$AS$1005,1,MATCH(COLUMNS($AC$1006:AG1006),$AC$1006:$AS$1006,0))&gt;=100000), " ",IF(INDEX($AC$2:$AS$1001,MATCH(ROWS($V$2:V709),$V$2:$V$1001,0),MATCH(COLUMNS($AC$1006:AG1006),$AC$1006:$AS$1006,0)), HYPERLINK("#",""), HYPERLINK(CONCATENATE("#metadata!", ADDRESS(INDEX($X$2:$X$1001,MATCH(ROWS($V$2:V709),$V$2:$V$1001,0),0), INDEX($AC$1004:$AS$1004,1,MATCH(COLUMNS($AC$1006:AG1006),$AC$1006:$AS$1006,0)))),"Fix")))</f>
        <v xml:space="preserve"> </v>
      </c>
      <c r="G709" s="4" t="str">
        <f ca="1">IF(OR(INDEX($W$2:$W$1001,MATCH(ROWS($V$2:V709),$V$2:$V$1001,0),1)&gt;=100000,INDEX($AC$1005:$AS$1005,1,MATCH(COLUMNS($AC$1006:AH1006),$AC$1006:$AS$1006,0))&gt;=100000), " ",IF(INDEX($AC$2:$AS$1001,MATCH(ROWS($V$2:V709),$V$2:$V$1001,0),MATCH(COLUMNS($AC$1006:AH1006),$AC$1006:$AS$1006,0)), HYPERLINK("#",""), HYPERLINK(CONCATENATE("#metadata!", ADDRESS(INDEX($X$2:$X$1001,MATCH(ROWS($V$2:V709),$V$2:$V$1001,0),0), INDEX($AC$1004:$AS$1004,1,MATCH(COLUMNS($AC$1006:AH1006),$AC$1006:$AS$1006,0)))),"Fix")))</f>
        <v xml:space="preserve"> </v>
      </c>
      <c r="H709" s="4" t="str">
        <f ca="1">IF(OR(INDEX($W$2:$W$1001,MATCH(ROWS($V$2:V709),$V$2:$V$1001,0),1)&gt;=100000,INDEX($AC$1005:$AS$1005,1,MATCH(COLUMNS($AC$1006:AI1006),$AC$1006:$AS$1006,0))&gt;=100000), " ",IF(INDEX($AC$2:$AS$1001,MATCH(ROWS($V$2:V709),$V$2:$V$1001,0),MATCH(COLUMNS($AC$1006:AI1006),$AC$1006:$AS$1006,0)), HYPERLINK("#",""), HYPERLINK(CONCATENATE("#metadata!", ADDRESS(INDEX($X$2:$X$1001,MATCH(ROWS($V$2:V709),$V$2:$V$1001,0),0), INDEX($AC$1004:$AS$1004,1,MATCH(COLUMNS($AC$1006:AI1006),$AC$1006:$AS$1006,0)))),"Fix")))</f>
        <v xml:space="preserve"> </v>
      </c>
      <c r="I709" s="4" t="str">
        <f ca="1">IF(OR(INDEX($W$2:$W$1001,MATCH(ROWS($V$2:V709),$V$2:$V$1001,0),1)&gt;=100000,INDEX($AC$1005:$AS$1005,1,MATCH(COLUMNS($AC$1006:AJ1006),$AC$1006:$AS$1006,0))&gt;=100000), " ",IF(INDEX($AC$2:$AS$1001,MATCH(ROWS($V$2:V709),$V$2:$V$1001,0),MATCH(COLUMNS($AC$1006:AJ1006),$AC$1006:$AS$1006,0)), HYPERLINK("#",""), HYPERLINK(CONCATENATE("#metadata!", ADDRESS(INDEX($X$2:$X$1001,MATCH(ROWS($V$2:V709),$V$2:$V$1001,0),0), INDEX($AC$1004:$AS$1004,1,MATCH(COLUMNS($AC$1006:AJ1006),$AC$1006:$AS$1006,0)))),"Fix")))</f>
        <v xml:space="preserve"> </v>
      </c>
      <c r="J709" s="4" t="str">
        <f ca="1">IF(OR(INDEX($W$2:$W$1001,MATCH(ROWS($V$2:V709),$V$2:$V$1001,0),1)&gt;=100000,INDEX($AC$1005:$AS$1005,1,MATCH(COLUMNS($AC$1006:AK1006),$AC$1006:$AS$1006,0))&gt;=100000), " ",IF(INDEX($AC$2:$AS$1001,MATCH(ROWS($V$2:V709),$V$2:$V$1001,0),MATCH(COLUMNS($AC$1006:AK1006),$AC$1006:$AS$1006,0)), HYPERLINK("#",""), HYPERLINK(CONCATENATE("#metadata!", ADDRESS(INDEX($X$2:$X$1001,MATCH(ROWS($V$2:V709),$V$2:$V$1001,0),0), INDEX($AC$1004:$AS$1004,1,MATCH(COLUMNS($AC$1006:AK1006),$AC$1006:$AS$1006,0)))),"Fix")))</f>
        <v xml:space="preserve"> </v>
      </c>
      <c r="K709" s="4" t="str">
        <f ca="1">IF(OR(INDEX($W$2:$W$1001,MATCH(ROWS($V$2:V709),$V$2:$V$1001,0),1)&gt;=100000,INDEX($AC$1005:$AS$1005,1,MATCH(COLUMNS($AC$1006:AL1006),$AC$1006:$AS$1006,0))&gt;=100000), " ",IF(INDEX($AC$2:$AS$1001,MATCH(ROWS($V$2:V709),$V$2:$V$1001,0),MATCH(COLUMNS($AC$1006:AL1006),$AC$1006:$AS$1006,0)), HYPERLINK("#",""), HYPERLINK(CONCATENATE("#metadata!", ADDRESS(INDEX($X$2:$X$1001,MATCH(ROWS($V$2:V709),$V$2:$V$1001,0),0), INDEX($AC$1004:$AS$1004,1,MATCH(COLUMNS($AC$1006:AL1006),$AC$1006:$AS$1006,0)))),"Fix")))</f>
        <v xml:space="preserve"> </v>
      </c>
      <c r="L709" s="4" t="str">
        <f ca="1">IF(OR(INDEX($W$2:$W$1001,MATCH(ROWS($V$2:V709),$V$2:$V$1001,0),1)&gt;=100000,INDEX($AC$1005:$AS$1005,1,MATCH(COLUMNS($AC$1006:AM1006),$AC$1006:$AS$1006,0))&gt;=100000), " ",IF(INDEX($AC$2:$AS$1001,MATCH(ROWS($V$2:V709),$V$2:$V$1001,0),MATCH(COLUMNS($AC$1006:AM1006),$AC$1006:$AS$1006,0)), HYPERLINK("#",""), HYPERLINK(CONCATENATE("#metadata!", ADDRESS(INDEX($X$2:$X$1001,MATCH(ROWS($V$2:V709),$V$2:$V$1001,0),0), INDEX($AC$1004:$AS$1004,1,MATCH(COLUMNS($AC$1006:AM1006),$AC$1006:$AS$1006,0)))),"Fix")))</f>
        <v xml:space="preserve"> </v>
      </c>
      <c r="M709" s="4" t="str">
        <f ca="1">IF(OR(INDEX($W$2:$W$1001,MATCH(ROWS($V$2:V709),$V$2:$V$1001,0),1)&gt;=100000,INDEX($AC$1005:$AS$1005,1,MATCH(COLUMNS($AC$1006:AN1006),$AC$1006:$AS$1006,0))&gt;=100000), " ",IF(INDEX($AC$2:$AS$1001,MATCH(ROWS($V$2:V709),$V$2:$V$1001,0),MATCH(COLUMNS($AC$1006:AN1006),$AC$1006:$AS$1006,0)), HYPERLINK("#",""), HYPERLINK(CONCATENATE("#metadata!", ADDRESS(INDEX($X$2:$X$1001,MATCH(ROWS($V$2:V709),$V$2:$V$1001,0),0), INDEX($AC$1004:$AS$1004,1,MATCH(COLUMNS($AC$1006:AN1006),$AC$1006:$AS$1006,0)))),"Fix")))</f>
        <v xml:space="preserve"> </v>
      </c>
      <c r="N709" s="4" t="str">
        <f ca="1">IF(OR(INDEX($W$2:$W$1001,MATCH(ROWS($V$2:V709),$V$2:$V$1001,0),1)&gt;=100000,INDEX($AC$1005:$AS$1005,1,MATCH(COLUMNS($AC$1006:AO1006),$AC$1006:$AS$1006,0))&gt;=100000), " ",IF(INDEX($AC$2:$AS$1001,MATCH(ROWS($V$2:V709),$V$2:$V$1001,0),MATCH(COLUMNS($AC$1006:AO1006),$AC$1006:$AS$1006,0)), HYPERLINK("#",""), HYPERLINK(CONCATENATE("#metadata!", ADDRESS(INDEX($X$2:$X$1001,MATCH(ROWS($V$2:V709),$V$2:$V$1001,0),0), INDEX($AC$1004:$AS$1004,1,MATCH(COLUMNS($AC$1006:AO1006),$AC$1006:$AS$1006,0)))),"Fix")))</f>
        <v xml:space="preserve"> </v>
      </c>
      <c r="O709" s="4" t="str">
        <f ca="1">IF(OR(INDEX($W$2:$W$1001,MATCH(ROWS($V$2:V709),$V$2:$V$1001,0),1)&gt;=100000,INDEX($AC$1005:$AS$1005,1,MATCH(COLUMNS($AC$1006:AP1006),$AC$1006:$AS$1006,0))&gt;=100000), " ",IF(INDEX($AC$2:$AS$1001,MATCH(ROWS($V$2:V709),$V$2:$V$1001,0),MATCH(COLUMNS($AC$1006:AP1006),$AC$1006:$AS$1006,0)), HYPERLINK("#",""), HYPERLINK(CONCATENATE("#metadata!", ADDRESS(INDEX($X$2:$X$1001,MATCH(ROWS($V$2:V709),$V$2:$V$1001,0),0), INDEX($AC$1004:$AS$1004,1,MATCH(COLUMNS($AC$1006:AP1006),$AC$1006:$AS$1006,0)))),"Fix")))</f>
        <v xml:space="preserve"> </v>
      </c>
      <c r="P709" s="4" t="str">
        <f ca="1">IF(OR(INDEX($W$2:$W$1001,MATCH(ROWS($V$2:V709),$V$2:$V$1001,0),1)&gt;=100000,INDEX($AC$1005:$AS$1005,1,MATCH(COLUMNS($AC$1006:AQ1006),$AC$1006:$AS$1006,0))&gt;=100000), " ",IF(INDEX($AC$2:$AS$1001,MATCH(ROWS($V$2:V709),$V$2:$V$1001,0),MATCH(COLUMNS($AC$1006:AQ1006),$AC$1006:$AS$1006,0)), HYPERLINK("#",""), HYPERLINK(CONCATENATE("#metadata!", ADDRESS(INDEX($X$2:$X$1001,MATCH(ROWS($V$2:V709),$V$2:$V$1001,0),0), INDEX($AC$1004:$AS$1004,1,MATCH(COLUMNS($AC$1006:AQ1006),$AC$1006:$AS$1006,0)))),"Fix")))</f>
        <v xml:space="preserve"> </v>
      </c>
      <c r="Q709" s="4" t="str">
        <f ca="1">IF(OR(INDEX($W$2:$W$1001,MATCH(ROWS($V$2:V709),$V$2:$V$1001,0),1)&gt;=100000,INDEX($AC$1005:$AS$1005,1,MATCH(COLUMNS($AC$1006:AR1006),$AC$1006:$AS$1006,0))&gt;=100000), " ",IF(INDEX($AC$2:$AS$1001,MATCH(ROWS($V$2:V709),$V$2:$V$1001,0),MATCH(COLUMNS($AC$1006:AR1006),$AC$1006:$AS$1006,0)), HYPERLINK("#",""), HYPERLINK(CONCATENATE("#metadata!", ADDRESS(INDEX($X$2:$X$1001,MATCH(ROWS($V$2:V709),$V$2:$V$1001,0),0), INDEX($AC$1004:$AS$1004,1,MATCH(COLUMNS($AC$1006:AR1006),$AC$1006:$AS$1006,0)))),"Fix")))</f>
        <v xml:space="preserve"> </v>
      </c>
      <c r="R709" s="4" t="str">
        <f ca="1">IF(OR(INDEX($W$2:$W$1001,MATCH(ROWS($V$2:V709),$V$2:$V$1001,0),1)&gt;=100000,INDEX($AC$1005:$AS$1005,1,MATCH(COLUMNS($AC$1006:AS1006),$AC$1006:$AS$1006,0))&gt;=100000), " ",IF(INDEX($AC$2:$AS$1001,MATCH(ROWS($V$2:V709),$V$2:$V$1001,0),MATCH(COLUMNS($AC$1006:AS1006),$AC$1006:$AS$1006,0)), HYPERLINK("#",""), HYPERLINK(CONCATENATE("#metadata!", ADDRESS(INDEX($X$2:$X$1001,MATCH(ROWS($V$2:V709),$V$2:$V$1001,0),0), INDEX($AC$1004:$AS$1004,1,MATCH(COLUMNS($AC$1006:AS1006),$AC$1006:$AS$1006,0)))),"Fix")))</f>
        <v xml:space="preserve"> </v>
      </c>
      <c r="V709">
        <v>708</v>
      </c>
      <c r="W709">
        <v>100709</v>
      </c>
      <c r="X709">
        <v>709</v>
      </c>
      <c r="Y709" t="b">
        <f t="shared" si="11"/>
        <v>1</v>
      </c>
      <c r="Z709" t="b">
        <f>COUNTBLANK(metadata!B709:R709)=COLUMNS(metadata!B709:R709)</f>
        <v>1</v>
      </c>
      <c r="AA709" t="str">
        <v/>
      </c>
      <c r="AC709" t="b">
        <f ca="1"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AD709" t="b">
        <f>IF(metadata!C709="",FALSE,ISNUMBER(VALUE(metadata!C709)))</f>
        <v>0</v>
      </c>
      <c r="AE709" t="b">
        <f>AND(IF(metadata!D709="",FALSE,TRUE),EXACT(metadata!D709,"years"))</f>
        <v>0</v>
      </c>
      <c r="AF709" t="b">
        <f>OR(AND(IF(metadata!E709="",FALSE,TRUE),OR(EXACT(metadata!E709,"not applicable"),EXACT(metadata!E709,"missing: not collected"),EXACT(metadata!E709,"missing: not provided"),EXACT(metadata!E709,"missing: restricted access"))),AND(IF(metadata!E709="",FALSE,ISNUMBER(VALUE(metadata!E709))),metadata!E709&gt;0))</f>
        <v>0</v>
      </c>
      <c r="AG709" t="b">
        <f>AND(IF(metadata!F709="",FALSE,TRUE),EXACT(metadata!F709,"Not applicable"))</f>
        <v>0</v>
      </c>
      <c r="AH709" t="b">
        <f>AND(IF(metadata!G709="",FALSE,TRUE),EXACT(metadata!G709,"urban biome"))</f>
        <v>0</v>
      </c>
      <c r="AI709" t="b">
        <f>AND(IF(metadata!H709="",FALSE,TRUE),EXACT(metadata!H709,"human-associated habitat"))</f>
        <v>0</v>
      </c>
      <c r="AJ709" t="b">
        <f>AND(IF(metadata!I709="",FALSE,TRUE),OR(EXACT(metadata!I709,"human-associated"),EXACT(metadata!I709,"human-skin"),EXACT(metadata!I709,"human-oral"),EXACT(metadata!I709,"human-gut"),EXACT(metadata!I709,"human-vaginal")))</f>
        <v>0</v>
      </c>
      <c r="AK709" t="b">
        <f>IF(metadata!J709="",FALSE,ISNUMBER(VALUE(metadata!J709)))</f>
        <v>0</v>
      </c>
      <c r="AL709" t="b">
        <f>AND(IF(metadata!K709="",FALSE,TRUE),EXACT(metadata!K709,"cm"))</f>
        <v>0</v>
      </c>
      <c r="AM709" t="b">
        <f>AND(IF(metadata!L709="",FALSE,TRUE),EXACT(metadata!L709,"human"))</f>
        <v>0</v>
      </c>
      <c r="AN709" t="b">
        <f>AND(IF(metadata!M709="",FALSE,TRUE),EXACT(metadata!M709,"Homo sapiens"))</f>
        <v>0</v>
      </c>
      <c r="AO709" t="b">
        <f>AND(IF(metadata!N709="",FALSE,TRUE),EXACT(metadata!N709,"9606"))</f>
        <v>0</v>
      </c>
      <c r="AP709" t="b">
        <f>IF(metadata!O709="",FALSE,TRUE)</f>
        <v>0</v>
      </c>
      <c r="AQ709" t="b">
        <f>IF(metadata!P709="",FALSE,TRUE)</f>
        <v>0</v>
      </c>
      <c r="AR709" t="b">
        <f>IF(metadata!Q709="",FALSE,ISNUMBER(VALUE(metadata!Q709)))</f>
        <v>0</v>
      </c>
      <c r="AS709" t="b">
        <f>AND(IF(metadata!R709="",FALSE,TRUE),EXACT(metadata!R709,"kg"))</f>
        <v>0</v>
      </c>
    </row>
    <row r="710" spans="1:45" x14ac:dyDescent="0.2">
      <c r="A710" s="5" t="str">
        <f ca="1">IF(B710=" "," ",HYPERLINK(CONCATENATE("#metadata!",ADDRESS(INDEX($X$2:$X$1001,MATCH(ROWS($V$2:V710),$V$2:$V$1001,0),0),1)),INDEX($AA$2:$AA$1001,MATCH(ROWS($V$2:V710),$V$2:$V$1001,0),0)))</f>
        <v xml:space="preserve"> </v>
      </c>
      <c r="B710" s="4" t="str">
        <f ca="1">IF(OR(INDEX($W$2:$W$1001,MATCH(ROWS($V$2:V710),$V$2:$V$1001,0),1)&gt;=100000,INDEX($AC$1005:$AS$1005,1,MATCH(COLUMNS($AC$1006:AC1006),$AC$1006:$AS$1006,0))&gt;=100000), " ",IF(INDEX($AC$2:$AS$1001,MATCH(ROWS($V$2:V710),$V$2:$V$1001,0),MATCH(COLUMNS($AC$1006:AC1006),$AC$1006:$AS$1006,0)), HYPERLINK("#",""), HYPERLINK(CONCATENATE("#metadata!", ADDRESS(INDEX($X$2:$X$1001,MATCH(ROWS($V$2:V710),$V$2:$V$1001,0),0), INDEX($AC$1004:$AS$1004,1,MATCH(COLUMNS($AC$1006:AC1006),$AC$1006:$AS$1006,0)))),"Fix")))</f>
        <v xml:space="preserve"> </v>
      </c>
      <c r="C710" s="4" t="str">
        <f ca="1">IF(OR(INDEX($W$2:$W$1001,MATCH(ROWS($V$2:V710),$V$2:$V$1001,0),1)&gt;=100000,INDEX($AC$1005:$AS$1005,1,MATCH(COLUMNS($AC$1006:AD1006),$AC$1006:$AS$1006,0))&gt;=100000), " ",IF(INDEX($AC$2:$AS$1001,MATCH(ROWS($V$2:V710),$V$2:$V$1001,0),MATCH(COLUMNS($AC$1006:AD1006),$AC$1006:$AS$1006,0)), HYPERLINK("#",""), HYPERLINK(CONCATENATE("#metadata!", ADDRESS(INDEX($X$2:$X$1001,MATCH(ROWS($V$2:V710),$V$2:$V$1001,0),0), INDEX($AC$1004:$AS$1004,1,MATCH(COLUMNS($AC$1006:AD1006),$AC$1006:$AS$1006,0)))),"Fix")))</f>
        <v xml:space="preserve"> </v>
      </c>
      <c r="D710" s="4" t="str">
        <f ca="1">IF(OR(INDEX($W$2:$W$1001,MATCH(ROWS($V$2:V710),$V$2:$V$1001,0),1)&gt;=100000,INDEX($AC$1005:$AS$1005,1,MATCH(COLUMNS($AC$1006:AE1006),$AC$1006:$AS$1006,0))&gt;=100000), " ",IF(INDEX($AC$2:$AS$1001,MATCH(ROWS($V$2:V710),$V$2:$V$1001,0),MATCH(COLUMNS($AC$1006:AE1006),$AC$1006:$AS$1006,0)), HYPERLINK("#",""), HYPERLINK(CONCATENATE("#metadata!", ADDRESS(INDEX($X$2:$X$1001,MATCH(ROWS($V$2:V710),$V$2:$V$1001,0),0), INDEX($AC$1004:$AS$1004,1,MATCH(COLUMNS($AC$1006:AE1006),$AC$1006:$AS$1006,0)))),"Fix")))</f>
        <v xml:space="preserve"> </v>
      </c>
      <c r="E710" s="4" t="str">
        <f ca="1">IF(OR(INDEX($W$2:$W$1001,MATCH(ROWS($V$2:V710),$V$2:$V$1001,0),1)&gt;=100000,INDEX($AC$1005:$AS$1005,1,MATCH(COLUMNS($AC$1006:AF1006),$AC$1006:$AS$1006,0))&gt;=100000), " ",IF(INDEX($AC$2:$AS$1001,MATCH(ROWS($V$2:V710),$V$2:$V$1001,0),MATCH(COLUMNS($AC$1006:AF1006),$AC$1006:$AS$1006,0)), HYPERLINK("#",""), HYPERLINK(CONCATENATE("#metadata!", ADDRESS(INDEX($X$2:$X$1001,MATCH(ROWS($V$2:V710),$V$2:$V$1001,0),0), INDEX($AC$1004:$AS$1004,1,MATCH(COLUMNS($AC$1006:AF1006),$AC$1006:$AS$1006,0)))),"Fix")))</f>
        <v xml:space="preserve"> </v>
      </c>
      <c r="F710" s="4" t="str">
        <f ca="1">IF(OR(INDEX($W$2:$W$1001,MATCH(ROWS($V$2:V710),$V$2:$V$1001,0),1)&gt;=100000,INDEX($AC$1005:$AS$1005,1,MATCH(COLUMNS($AC$1006:AG1006),$AC$1006:$AS$1006,0))&gt;=100000), " ",IF(INDEX($AC$2:$AS$1001,MATCH(ROWS($V$2:V710),$V$2:$V$1001,0),MATCH(COLUMNS($AC$1006:AG1006),$AC$1006:$AS$1006,0)), HYPERLINK("#",""), HYPERLINK(CONCATENATE("#metadata!", ADDRESS(INDEX($X$2:$X$1001,MATCH(ROWS($V$2:V710),$V$2:$V$1001,0),0), INDEX($AC$1004:$AS$1004,1,MATCH(COLUMNS($AC$1006:AG1006),$AC$1006:$AS$1006,0)))),"Fix")))</f>
        <v xml:space="preserve"> </v>
      </c>
      <c r="G710" s="4" t="str">
        <f ca="1">IF(OR(INDEX($W$2:$W$1001,MATCH(ROWS($V$2:V710),$V$2:$V$1001,0),1)&gt;=100000,INDEX($AC$1005:$AS$1005,1,MATCH(COLUMNS($AC$1006:AH1006),$AC$1006:$AS$1006,0))&gt;=100000), " ",IF(INDEX($AC$2:$AS$1001,MATCH(ROWS($V$2:V710),$V$2:$V$1001,0),MATCH(COLUMNS($AC$1006:AH1006),$AC$1006:$AS$1006,0)), HYPERLINK("#",""), HYPERLINK(CONCATENATE("#metadata!", ADDRESS(INDEX($X$2:$X$1001,MATCH(ROWS($V$2:V710),$V$2:$V$1001,0),0), INDEX($AC$1004:$AS$1004,1,MATCH(COLUMNS($AC$1006:AH1006),$AC$1006:$AS$1006,0)))),"Fix")))</f>
        <v xml:space="preserve"> </v>
      </c>
      <c r="H710" s="4" t="str">
        <f ca="1">IF(OR(INDEX($W$2:$W$1001,MATCH(ROWS($V$2:V710),$V$2:$V$1001,0),1)&gt;=100000,INDEX($AC$1005:$AS$1005,1,MATCH(COLUMNS($AC$1006:AI1006),$AC$1006:$AS$1006,0))&gt;=100000), " ",IF(INDEX($AC$2:$AS$1001,MATCH(ROWS($V$2:V710),$V$2:$V$1001,0),MATCH(COLUMNS($AC$1006:AI1006),$AC$1006:$AS$1006,0)), HYPERLINK("#",""), HYPERLINK(CONCATENATE("#metadata!", ADDRESS(INDEX($X$2:$X$1001,MATCH(ROWS($V$2:V710),$V$2:$V$1001,0),0), INDEX($AC$1004:$AS$1004,1,MATCH(COLUMNS($AC$1006:AI1006),$AC$1006:$AS$1006,0)))),"Fix")))</f>
        <v xml:space="preserve"> </v>
      </c>
      <c r="I710" s="4" t="str">
        <f ca="1">IF(OR(INDEX($W$2:$W$1001,MATCH(ROWS($V$2:V710),$V$2:$V$1001,0),1)&gt;=100000,INDEX($AC$1005:$AS$1005,1,MATCH(COLUMNS($AC$1006:AJ1006),$AC$1006:$AS$1006,0))&gt;=100000), " ",IF(INDEX($AC$2:$AS$1001,MATCH(ROWS($V$2:V710),$V$2:$V$1001,0),MATCH(COLUMNS($AC$1006:AJ1006),$AC$1006:$AS$1006,0)), HYPERLINK("#",""), HYPERLINK(CONCATENATE("#metadata!", ADDRESS(INDEX($X$2:$X$1001,MATCH(ROWS($V$2:V710),$V$2:$V$1001,0),0), INDEX($AC$1004:$AS$1004,1,MATCH(COLUMNS($AC$1006:AJ1006),$AC$1006:$AS$1006,0)))),"Fix")))</f>
        <v xml:space="preserve"> </v>
      </c>
      <c r="J710" s="4" t="str">
        <f ca="1">IF(OR(INDEX($W$2:$W$1001,MATCH(ROWS($V$2:V710),$V$2:$V$1001,0),1)&gt;=100000,INDEX($AC$1005:$AS$1005,1,MATCH(COLUMNS($AC$1006:AK1006),$AC$1006:$AS$1006,0))&gt;=100000), " ",IF(INDEX($AC$2:$AS$1001,MATCH(ROWS($V$2:V710),$V$2:$V$1001,0),MATCH(COLUMNS($AC$1006:AK1006),$AC$1006:$AS$1006,0)), HYPERLINK("#",""), HYPERLINK(CONCATENATE("#metadata!", ADDRESS(INDEX($X$2:$X$1001,MATCH(ROWS($V$2:V710),$V$2:$V$1001,0),0), INDEX($AC$1004:$AS$1004,1,MATCH(COLUMNS($AC$1006:AK1006),$AC$1006:$AS$1006,0)))),"Fix")))</f>
        <v xml:space="preserve"> </v>
      </c>
      <c r="K710" s="4" t="str">
        <f ca="1">IF(OR(INDEX($W$2:$W$1001,MATCH(ROWS($V$2:V710),$V$2:$V$1001,0),1)&gt;=100000,INDEX($AC$1005:$AS$1005,1,MATCH(COLUMNS($AC$1006:AL1006),$AC$1006:$AS$1006,0))&gt;=100000), " ",IF(INDEX($AC$2:$AS$1001,MATCH(ROWS($V$2:V710),$V$2:$V$1001,0),MATCH(COLUMNS($AC$1006:AL1006),$AC$1006:$AS$1006,0)), HYPERLINK("#",""), HYPERLINK(CONCATENATE("#metadata!", ADDRESS(INDEX($X$2:$X$1001,MATCH(ROWS($V$2:V710),$V$2:$V$1001,0),0), INDEX($AC$1004:$AS$1004,1,MATCH(COLUMNS($AC$1006:AL1006),$AC$1006:$AS$1006,0)))),"Fix")))</f>
        <v xml:space="preserve"> </v>
      </c>
      <c r="L710" s="4" t="str">
        <f ca="1">IF(OR(INDEX($W$2:$W$1001,MATCH(ROWS($V$2:V710),$V$2:$V$1001,0),1)&gt;=100000,INDEX($AC$1005:$AS$1005,1,MATCH(COLUMNS($AC$1006:AM1006),$AC$1006:$AS$1006,0))&gt;=100000), " ",IF(INDEX($AC$2:$AS$1001,MATCH(ROWS($V$2:V710),$V$2:$V$1001,0),MATCH(COLUMNS($AC$1006:AM1006),$AC$1006:$AS$1006,0)), HYPERLINK("#",""), HYPERLINK(CONCATENATE("#metadata!", ADDRESS(INDEX($X$2:$X$1001,MATCH(ROWS($V$2:V710),$V$2:$V$1001,0),0), INDEX($AC$1004:$AS$1004,1,MATCH(COLUMNS($AC$1006:AM1006),$AC$1006:$AS$1006,0)))),"Fix")))</f>
        <v xml:space="preserve"> </v>
      </c>
      <c r="M710" s="4" t="str">
        <f ca="1">IF(OR(INDEX($W$2:$W$1001,MATCH(ROWS($V$2:V710),$V$2:$V$1001,0),1)&gt;=100000,INDEX($AC$1005:$AS$1005,1,MATCH(COLUMNS($AC$1006:AN1006),$AC$1006:$AS$1006,0))&gt;=100000), " ",IF(INDEX($AC$2:$AS$1001,MATCH(ROWS($V$2:V710),$V$2:$V$1001,0),MATCH(COLUMNS($AC$1006:AN1006),$AC$1006:$AS$1006,0)), HYPERLINK("#",""), HYPERLINK(CONCATENATE("#metadata!", ADDRESS(INDEX($X$2:$X$1001,MATCH(ROWS($V$2:V710),$V$2:$V$1001,0),0), INDEX($AC$1004:$AS$1004,1,MATCH(COLUMNS($AC$1006:AN1006),$AC$1006:$AS$1006,0)))),"Fix")))</f>
        <v xml:space="preserve"> </v>
      </c>
      <c r="N710" s="4" t="str">
        <f ca="1">IF(OR(INDEX($W$2:$W$1001,MATCH(ROWS($V$2:V710),$V$2:$V$1001,0),1)&gt;=100000,INDEX($AC$1005:$AS$1005,1,MATCH(COLUMNS($AC$1006:AO1006),$AC$1006:$AS$1006,0))&gt;=100000), " ",IF(INDEX($AC$2:$AS$1001,MATCH(ROWS($V$2:V710),$V$2:$V$1001,0),MATCH(COLUMNS($AC$1006:AO1006),$AC$1006:$AS$1006,0)), HYPERLINK("#",""), HYPERLINK(CONCATENATE("#metadata!", ADDRESS(INDEX($X$2:$X$1001,MATCH(ROWS($V$2:V710),$V$2:$V$1001,0),0), INDEX($AC$1004:$AS$1004,1,MATCH(COLUMNS($AC$1006:AO1006),$AC$1006:$AS$1006,0)))),"Fix")))</f>
        <v xml:space="preserve"> </v>
      </c>
      <c r="O710" s="4" t="str">
        <f ca="1">IF(OR(INDEX($W$2:$W$1001,MATCH(ROWS($V$2:V710),$V$2:$V$1001,0),1)&gt;=100000,INDEX($AC$1005:$AS$1005,1,MATCH(COLUMNS($AC$1006:AP1006),$AC$1006:$AS$1006,0))&gt;=100000), " ",IF(INDEX($AC$2:$AS$1001,MATCH(ROWS($V$2:V710),$V$2:$V$1001,0),MATCH(COLUMNS($AC$1006:AP1006),$AC$1006:$AS$1006,0)), HYPERLINK("#",""), HYPERLINK(CONCATENATE("#metadata!", ADDRESS(INDEX($X$2:$X$1001,MATCH(ROWS($V$2:V710),$V$2:$V$1001,0),0), INDEX($AC$1004:$AS$1004,1,MATCH(COLUMNS($AC$1006:AP1006),$AC$1006:$AS$1006,0)))),"Fix")))</f>
        <v xml:space="preserve"> </v>
      </c>
      <c r="P710" s="4" t="str">
        <f ca="1">IF(OR(INDEX($W$2:$W$1001,MATCH(ROWS($V$2:V710),$V$2:$V$1001,0),1)&gt;=100000,INDEX($AC$1005:$AS$1005,1,MATCH(COLUMNS($AC$1006:AQ1006),$AC$1006:$AS$1006,0))&gt;=100000), " ",IF(INDEX($AC$2:$AS$1001,MATCH(ROWS($V$2:V710),$V$2:$V$1001,0),MATCH(COLUMNS($AC$1006:AQ1006),$AC$1006:$AS$1006,0)), HYPERLINK("#",""), HYPERLINK(CONCATENATE("#metadata!", ADDRESS(INDEX($X$2:$X$1001,MATCH(ROWS($V$2:V710),$V$2:$V$1001,0),0), INDEX($AC$1004:$AS$1004,1,MATCH(COLUMNS($AC$1006:AQ1006),$AC$1006:$AS$1006,0)))),"Fix")))</f>
        <v xml:space="preserve"> </v>
      </c>
      <c r="Q710" s="4" t="str">
        <f ca="1">IF(OR(INDEX($W$2:$W$1001,MATCH(ROWS($V$2:V710),$V$2:$V$1001,0),1)&gt;=100000,INDEX($AC$1005:$AS$1005,1,MATCH(COLUMNS($AC$1006:AR1006),$AC$1006:$AS$1006,0))&gt;=100000), " ",IF(INDEX($AC$2:$AS$1001,MATCH(ROWS($V$2:V710),$V$2:$V$1001,0),MATCH(COLUMNS($AC$1006:AR1006),$AC$1006:$AS$1006,0)), HYPERLINK("#",""), HYPERLINK(CONCATENATE("#metadata!", ADDRESS(INDEX($X$2:$X$1001,MATCH(ROWS($V$2:V710),$V$2:$V$1001,0),0), INDEX($AC$1004:$AS$1004,1,MATCH(COLUMNS($AC$1006:AR1006),$AC$1006:$AS$1006,0)))),"Fix")))</f>
        <v xml:space="preserve"> </v>
      </c>
      <c r="R710" s="4" t="str">
        <f ca="1">IF(OR(INDEX($W$2:$W$1001,MATCH(ROWS($V$2:V710),$V$2:$V$1001,0),1)&gt;=100000,INDEX($AC$1005:$AS$1005,1,MATCH(COLUMNS($AC$1006:AS1006),$AC$1006:$AS$1006,0))&gt;=100000), " ",IF(INDEX($AC$2:$AS$1001,MATCH(ROWS($V$2:V710),$V$2:$V$1001,0),MATCH(COLUMNS($AC$1006:AS1006),$AC$1006:$AS$1006,0)), HYPERLINK("#",""), HYPERLINK(CONCATENATE("#metadata!", ADDRESS(INDEX($X$2:$X$1001,MATCH(ROWS($V$2:V710),$V$2:$V$1001,0),0), INDEX($AC$1004:$AS$1004,1,MATCH(COLUMNS($AC$1006:AS1006),$AC$1006:$AS$1006,0)))),"Fix")))</f>
        <v xml:space="preserve"> </v>
      </c>
      <c r="V710">
        <v>709</v>
      </c>
      <c r="W710">
        <v>100710</v>
      </c>
      <c r="X710">
        <v>710</v>
      </c>
      <c r="Y710" t="b">
        <f t="shared" si="11"/>
        <v>1</v>
      </c>
      <c r="Z710" t="b">
        <f>COUNTBLANK(metadata!B710:R710)=COLUMNS(metadata!B710:R710)</f>
        <v>1</v>
      </c>
      <c r="AA710" t="str">
        <v/>
      </c>
      <c r="AC710" t="b">
        <f ca="1"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AD710" t="b">
        <f>IF(metadata!C710="",FALSE,ISNUMBER(VALUE(metadata!C710)))</f>
        <v>0</v>
      </c>
      <c r="AE710" t="b">
        <f>AND(IF(metadata!D710="",FALSE,TRUE),EXACT(metadata!D710,"years"))</f>
        <v>0</v>
      </c>
      <c r="AF710" t="b">
        <f>OR(AND(IF(metadata!E710="",FALSE,TRUE),OR(EXACT(metadata!E710,"not applicable"),EXACT(metadata!E710,"missing: not collected"),EXACT(metadata!E710,"missing: not provided"),EXACT(metadata!E710,"missing: restricted access"))),AND(IF(metadata!E710="",FALSE,ISNUMBER(VALUE(metadata!E710))),metadata!E710&gt;0))</f>
        <v>0</v>
      </c>
      <c r="AG710" t="b">
        <f>AND(IF(metadata!F710="",FALSE,TRUE),EXACT(metadata!F710,"Not applicable"))</f>
        <v>0</v>
      </c>
      <c r="AH710" t="b">
        <f>AND(IF(metadata!G710="",FALSE,TRUE),EXACT(metadata!G710,"urban biome"))</f>
        <v>0</v>
      </c>
      <c r="AI710" t="b">
        <f>AND(IF(metadata!H710="",FALSE,TRUE),EXACT(metadata!H710,"human-associated habitat"))</f>
        <v>0</v>
      </c>
      <c r="AJ710" t="b">
        <f>AND(IF(metadata!I710="",FALSE,TRUE),OR(EXACT(metadata!I710,"human-associated"),EXACT(metadata!I710,"human-skin"),EXACT(metadata!I710,"human-oral"),EXACT(metadata!I710,"human-gut"),EXACT(metadata!I710,"human-vaginal")))</f>
        <v>0</v>
      </c>
      <c r="AK710" t="b">
        <f>IF(metadata!J710="",FALSE,ISNUMBER(VALUE(metadata!J710)))</f>
        <v>0</v>
      </c>
      <c r="AL710" t="b">
        <f>AND(IF(metadata!K710="",FALSE,TRUE),EXACT(metadata!K710,"cm"))</f>
        <v>0</v>
      </c>
      <c r="AM710" t="b">
        <f>AND(IF(metadata!L710="",FALSE,TRUE),EXACT(metadata!L710,"human"))</f>
        <v>0</v>
      </c>
      <c r="AN710" t="b">
        <f>AND(IF(metadata!M710="",FALSE,TRUE),EXACT(metadata!M710,"Homo sapiens"))</f>
        <v>0</v>
      </c>
      <c r="AO710" t="b">
        <f>AND(IF(metadata!N710="",FALSE,TRUE),EXACT(metadata!N710,"9606"))</f>
        <v>0</v>
      </c>
      <c r="AP710" t="b">
        <f>IF(metadata!O710="",FALSE,TRUE)</f>
        <v>0</v>
      </c>
      <c r="AQ710" t="b">
        <f>IF(metadata!P710="",FALSE,TRUE)</f>
        <v>0</v>
      </c>
      <c r="AR710" t="b">
        <f>IF(metadata!Q710="",FALSE,ISNUMBER(VALUE(metadata!Q710)))</f>
        <v>0</v>
      </c>
      <c r="AS710" t="b">
        <f>AND(IF(metadata!R710="",FALSE,TRUE),EXACT(metadata!R710,"kg"))</f>
        <v>0</v>
      </c>
    </row>
    <row r="711" spans="1:45" x14ac:dyDescent="0.2">
      <c r="A711" s="5" t="str">
        <f ca="1">IF(B711=" "," ",HYPERLINK(CONCATENATE("#metadata!",ADDRESS(INDEX($X$2:$X$1001,MATCH(ROWS($V$2:V711),$V$2:$V$1001,0),0),1)),INDEX($AA$2:$AA$1001,MATCH(ROWS($V$2:V711),$V$2:$V$1001,0),0)))</f>
        <v xml:space="preserve"> </v>
      </c>
      <c r="B711" s="4" t="str">
        <f ca="1">IF(OR(INDEX($W$2:$W$1001,MATCH(ROWS($V$2:V711),$V$2:$V$1001,0),1)&gt;=100000,INDEX($AC$1005:$AS$1005,1,MATCH(COLUMNS($AC$1006:AC1006),$AC$1006:$AS$1006,0))&gt;=100000), " ",IF(INDEX($AC$2:$AS$1001,MATCH(ROWS($V$2:V711),$V$2:$V$1001,0),MATCH(COLUMNS($AC$1006:AC1006),$AC$1006:$AS$1006,0)), HYPERLINK("#",""), HYPERLINK(CONCATENATE("#metadata!", ADDRESS(INDEX($X$2:$X$1001,MATCH(ROWS($V$2:V711),$V$2:$V$1001,0),0), INDEX($AC$1004:$AS$1004,1,MATCH(COLUMNS($AC$1006:AC1006),$AC$1006:$AS$1006,0)))),"Fix")))</f>
        <v xml:space="preserve"> </v>
      </c>
      <c r="C711" s="4" t="str">
        <f ca="1">IF(OR(INDEX($W$2:$W$1001,MATCH(ROWS($V$2:V711),$V$2:$V$1001,0),1)&gt;=100000,INDEX($AC$1005:$AS$1005,1,MATCH(COLUMNS($AC$1006:AD1006),$AC$1006:$AS$1006,0))&gt;=100000), " ",IF(INDEX($AC$2:$AS$1001,MATCH(ROWS($V$2:V711),$V$2:$V$1001,0),MATCH(COLUMNS($AC$1006:AD1006),$AC$1006:$AS$1006,0)), HYPERLINK("#",""), HYPERLINK(CONCATENATE("#metadata!", ADDRESS(INDEX($X$2:$X$1001,MATCH(ROWS($V$2:V711),$V$2:$V$1001,0),0), INDEX($AC$1004:$AS$1004,1,MATCH(COLUMNS($AC$1006:AD1006),$AC$1006:$AS$1006,0)))),"Fix")))</f>
        <v xml:space="preserve"> </v>
      </c>
      <c r="D711" s="4" t="str">
        <f ca="1">IF(OR(INDEX($W$2:$W$1001,MATCH(ROWS($V$2:V711),$V$2:$V$1001,0),1)&gt;=100000,INDEX($AC$1005:$AS$1005,1,MATCH(COLUMNS($AC$1006:AE1006),$AC$1006:$AS$1006,0))&gt;=100000), " ",IF(INDEX($AC$2:$AS$1001,MATCH(ROWS($V$2:V711),$V$2:$V$1001,0),MATCH(COLUMNS($AC$1006:AE1006),$AC$1006:$AS$1006,0)), HYPERLINK("#",""), HYPERLINK(CONCATENATE("#metadata!", ADDRESS(INDEX($X$2:$X$1001,MATCH(ROWS($V$2:V711),$V$2:$V$1001,0),0), INDEX($AC$1004:$AS$1004,1,MATCH(COLUMNS($AC$1006:AE1006),$AC$1006:$AS$1006,0)))),"Fix")))</f>
        <v xml:space="preserve"> </v>
      </c>
      <c r="E711" s="4" t="str">
        <f ca="1">IF(OR(INDEX($W$2:$W$1001,MATCH(ROWS($V$2:V711),$V$2:$V$1001,0),1)&gt;=100000,INDEX($AC$1005:$AS$1005,1,MATCH(COLUMNS($AC$1006:AF1006),$AC$1006:$AS$1006,0))&gt;=100000), " ",IF(INDEX($AC$2:$AS$1001,MATCH(ROWS($V$2:V711),$V$2:$V$1001,0),MATCH(COLUMNS($AC$1006:AF1006),$AC$1006:$AS$1006,0)), HYPERLINK("#",""), HYPERLINK(CONCATENATE("#metadata!", ADDRESS(INDEX($X$2:$X$1001,MATCH(ROWS($V$2:V711),$V$2:$V$1001,0),0), INDEX($AC$1004:$AS$1004,1,MATCH(COLUMNS($AC$1006:AF1006),$AC$1006:$AS$1006,0)))),"Fix")))</f>
        <v xml:space="preserve"> </v>
      </c>
      <c r="F711" s="4" t="str">
        <f ca="1">IF(OR(INDEX($W$2:$W$1001,MATCH(ROWS($V$2:V711),$V$2:$V$1001,0),1)&gt;=100000,INDEX($AC$1005:$AS$1005,1,MATCH(COLUMNS($AC$1006:AG1006),$AC$1006:$AS$1006,0))&gt;=100000), " ",IF(INDEX($AC$2:$AS$1001,MATCH(ROWS($V$2:V711),$V$2:$V$1001,0),MATCH(COLUMNS($AC$1006:AG1006),$AC$1006:$AS$1006,0)), HYPERLINK("#",""), HYPERLINK(CONCATENATE("#metadata!", ADDRESS(INDEX($X$2:$X$1001,MATCH(ROWS($V$2:V711),$V$2:$V$1001,0),0), INDEX($AC$1004:$AS$1004,1,MATCH(COLUMNS($AC$1006:AG1006),$AC$1006:$AS$1006,0)))),"Fix")))</f>
        <v xml:space="preserve"> </v>
      </c>
      <c r="G711" s="4" t="str">
        <f ca="1">IF(OR(INDEX($W$2:$W$1001,MATCH(ROWS($V$2:V711),$V$2:$V$1001,0),1)&gt;=100000,INDEX($AC$1005:$AS$1005,1,MATCH(COLUMNS($AC$1006:AH1006),$AC$1006:$AS$1006,0))&gt;=100000), " ",IF(INDEX($AC$2:$AS$1001,MATCH(ROWS($V$2:V711),$V$2:$V$1001,0),MATCH(COLUMNS($AC$1006:AH1006),$AC$1006:$AS$1006,0)), HYPERLINK("#",""), HYPERLINK(CONCATENATE("#metadata!", ADDRESS(INDEX($X$2:$X$1001,MATCH(ROWS($V$2:V711),$V$2:$V$1001,0),0), INDEX($AC$1004:$AS$1004,1,MATCH(COLUMNS($AC$1006:AH1006),$AC$1006:$AS$1006,0)))),"Fix")))</f>
        <v xml:space="preserve"> </v>
      </c>
      <c r="H711" s="4" t="str">
        <f ca="1">IF(OR(INDEX($W$2:$W$1001,MATCH(ROWS($V$2:V711),$V$2:$V$1001,0),1)&gt;=100000,INDEX($AC$1005:$AS$1005,1,MATCH(COLUMNS($AC$1006:AI1006),$AC$1006:$AS$1006,0))&gt;=100000), " ",IF(INDEX($AC$2:$AS$1001,MATCH(ROWS($V$2:V711),$V$2:$V$1001,0),MATCH(COLUMNS($AC$1006:AI1006),$AC$1006:$AS$1006,0)), HYPERLINK("#",""), HYPERLINK(CONCATENATE("#metadata!", ADDRESS(INDEX($X$2:$X$1001,MATCH(ROWS($V$2:V711),$V$2:$V$1001,0),0), INDEX($AC$1004:$AS$1004,1,MATCH(COLUMNS($AC$1006:AI1006),$AC$1006:$AS$1006,0)))),"Fix")))</f>
        <v xml:space="preserve"> </v>
      </c>
      <c r="I711" s="4" t="str">
        <f ca="1">IF(OR(INDEX($W$2:$W$1001,MATCH(ROWS($V$2:V711),$V$2:$V$1001,0),1)&gt;=100000,INDEX($AC$1005:$AS$1005,1,MATCH(COLUMNS($AC$1006:AJ1006),$AC$1006:$AS$1006,0))&gt;=100000), " ",IF(INDEX($AC$2:$AS$1001,MATCH(ROWS($V$2:V711),$V$2:$V$1001,0),MATCH(COLUMNS($AC$1006:AJ1006),$AC$1006:$AS$1006,0)), HYPERLINK("#",""), HYPERLINK(CONCATENATE("#metadata!", ADDRESS(INDEX($X$2:$X$1001,MATCH(ROWS($V$2:V711),$V$2:$V$1001,0),0), INDEX($AC$1004:$AS$1004,1,MATCH(COLUMNS($AC$1006:AJ1006),$AC$1006:$AS$1006,0)))),"Fix")))</f>
        <v xml:space="preserve"> </v>
      </c>
      <c r="J711" s="4" t="str">
        <f ca="1">IF(OR(INDEX($W$2:$W$1001,MATCH(ROWS($V$2:V711),$V$2:$V$1001,0),1)&gt;=100000,INDEX($AC$1005:$AS$1005,1,MATCH(COLUMNS($AC$1006:AK1006),$AC$1006:$AS$1006,0))&gt;=100000), " ",IF(INDEX($AC$2:$AS$1001,MATCH(ROWS($V$2:V711),$V$2:$V$1001,0),MATCH(COLUMNS($AC$1006:AK1006),$AC$1006:$AS$1006,0)), HYPERLINK("#",""), HYPERLINK(CONCATENATE("#metadata!", ADDRESS(INDEX($X$2:$X$1001,MATCH(ROWS($V$2:V711),$V$2:$V$1001,0),0), INDEX($AC$1004:$AS$1004,1,MATCH(COLUMNS($AC$1006:AK1006),$AC$1006:$AS$1006,0)))),"Fix")))</f>
        <v xml:space="preserve"> </v>
      </c>
      <c r="K711" s="4" t="str">
        <f ca="1">IF(OR(INDEX($W$2:$W$1001,MATCH(ROWS($V$2:V711),$V$2:$V$1001,0),1)&gt;=100000,INDEX($AC$1005:$AS$1005,1,MATCH(COLUMNS($AC$1006:AL1006),$AC$1006:$AS$1006,0))&gt;=100000), " ",IF(INDEX($AC$2:$AS$1001,MATCH(ROWS($V$2:V711),$V$2:$V$1001,0),MATCH(COLUMNS($AC$1006:AL1006),$AC$1006:$AS$1006,0)), HYPERLINK("#",""), HYPERLINK(CONCATENATE("#metadata!", ADDRESS(INDEX($X$2:$X$1001,MATCH(ROWS($V$2:V711),$V$2:$V$1001,0),0), INDEX($AC$1004:$AS$1004,1,MATCH(COLUMNS($AC$1006:AL1006),$AC$1006:$AS$1006,0)))),"Fix")))</f>
        <v xml:space="preserve"> </v>
      </c>
      <c r="L711" s="4" t="str">
        <f ca="1">IF(OR(INDEX($W$2:$W$1001,MATCH(ROWS($V$2:V711),$V$2:$V$1001,0),1)&gt;=100000,INDEX($AC$1005:$AS$1005,1,MATCH(COLUMNS($AC$1006:AM1006),$AC$1006:$AS$1006,0))&gt;=100000), " ",IF(INDEX($AC$2:$AS$1001,MATCH(ROWS($V$2:V711),$V$2:$V$1001,0),MATCH(COLUMNS($AC$1006:AM1006),$AC$1006:$AS$1006,0)), HYPERLINK("#",""), HYPERLINK(CONCATENATE("#metadata!", ADDRESS(INDEX($X$2:$X$1001,MATCH(ROWS($V$2:V711),$V$2:$V$1001,0),0), INDEX($AC$1004:$AS$1004,1,MATCH(COLUMNS($AC$1006:AM1006),$AC$1006:$AS$1006,0)))),"Fix")))</f>
        <v xml:space="preserve"> </v>
      </c>
      <c r="M711" s="4" t="str">
        <f ca="1">IF(OR(INDEX($W$2:$W$1001,MATCH(ROWS($V$2:V711),$V$2:$V$1001,0),1)&gt;=100000,INDEX($AC$1005:$AS$1005,1,MATCH(COLUMNS($AC$1006:AN1006),$AC$1006:$AS$1006,0))&gt;=100000), " ",IF(INDEX($AC$2:$AS$1001,MATCH(ROWS($V$2:V711),$V$2:$V$1001,0),MATCH(COLUMNS($AC$1006:AN1006),$AC$1006:$AS$1006,0)), HYPERLINK("#",""), HYPERLINK(CONCATENATE("#metadata!", ADDRESS(INDEX($X$2:$X$1001,MATCH(ROWS($V$2:V711),$V$2:$V$1001,0),0), INDEX($AC$1004:$AS$1004,1,MATCH(COLUMNS($AC$1006:AN1006),$AC$1006:$AS$1006,0)))),"Fix")))</f>
        <v xml:space="preserve"> </v>
      </c>
      <c r="N711" s="4" t="str">
        <f ca="1">IF(OR(INDEX($W$2:$W$1001,MATCH(ROWS($V$2:V711),$V$2:$V$1001,0),1)&gt;=100000,INDEX($AC$1005:$AS$1005,1,MATCH(COLUMNS($AC$1006:AO1006),$AC$1006:$AS$1006,0))&gt;=100000), " ",IF(INDEX($AC$2:$AS$1001,MATCH(ROWS($V$2:V711),$V$2:$V$1001,0),MATCH(COLUMNS($AC$1006:AO1006),$AC$1006:$AS$1006,0)), HYPERLINK("#",""), HYPERLINK(CONCATENATE("#metadata!", ADDRESS(INDEX($X$2:$X$1001,MATCH(ROWS($V$2:V711),$V$2:$V$1001,0),0), INDEX($AC$1004:$AS$1004,1,MATCH(COLUMNS($AC$1006:AO1006),$AC$1006:$AS$1006,0)))),"Fix")))</f>
        <v xml:space="preserve"> </v>
      </c>
      <c r="O711" s="4" t="str">
        <f ca="1">IF(OR(INDEX($W$2:$W$1001,MATCH(ROWS($V$2:V711),$V$2:$V$1001,0),1)&gt;=100000,INDEX($AC$1005:$AS$1005,1,MATCH(COLUMNS($AC$1006:AP1006),$AC$1006:$AS$1006,0))&gt;=100000), " ",IF(INDEX($AC$2:$AS$1001,MATCH(ROWS($V$2:V711),$V$2:$V$1001,0),MATCH(COLUMNS($AC$1006:AP1006),$AC$1006:$AS$1006,0)), HYPERLINK("#",""), HYPERLINK(CONCATENATE("#metadata!", ADDRESS(INDEX($X$2:$X$1001,MATCH(ROWS($V$2:V711),$V$2:$V$1001,0),0), INDEX($AC$1004:$AS$1004,1,MATCH(COLUMNS($AC$1006:AP1006),$AC$1006:$AS$1006,0)))),"Fix")))</f>
        <v xml:space="preserve"> </v>
      </c>
      <c r="P711" s="4" t="str">
        <f ca="1">IF(OR(INDEX($W$2:$W$1001,MATCH(ROWS($V$2:V711),$V$2:$V$1001,0),1)&gt;=100000,INDEX($AC$1005:$AS$1005,1,MATCH(COLUMNS($AC$1006:AQ1006),$AC$1006:$AS$1006,0))&gt;=100000), " ",IF(INDEX($AC$2:$AS$1001,MATCH(ROWS($V$2:V711),$V$2:$V$1001,0),MATCH(COLUMNS($AC$1006:AQ1006),$AC$1006:$AS$1006,0)), HYPERLINK("#",""), HYPERLINK(CONCATENATE("#metadata!", ADDRESS(INDEX($X$2:$X$1001,MATCH(ROWS($V$2:V711),$V$2:$V$1001,0),0), INDEX($AC$1004:$AS$1004,1,MATCH(COLUMNS($AC$1006:AQ1006),$AC$1006:$AS$1006,0)))),"Fix")))</f>
        <v xml:space="preserve"> </v>
      </c>
      <c r="Q711" s="4" t="str">
        <f ca="1">IF(OR(INDEX($W$2:$W$1001,MATCH(ROWS($V$2:V711),$V$2:$V$1001,0),1)&gt;=100000,INDEX($AC$1005:$AS$1005,1,MATCH(COLUMNS($AC$1006:AR1006),$AC$1006:$AS$1006,0))&gt;=100000), " ",IF(INDEX($AC$2:$AS$1001,MATCH(ROWS($V$2:V711),$V$2:$V$1001,0),MATCH(COLUMNS($AC$1006:AR1006),$AC$1006:$AS$1006,0)), HYPERLINK("#",""), HYPERLINK(CONCATENATE("#metadata!", ADDRESS(INDEX($X$2:$X$1001,MATCH(ROWS($V$2:V711),$V$2:$V$1001,0),0), INDEX($AC$1004:$AS$1004,1,MATCH(COLUMNS($AC$1006:AR1006),$AC$1006:$AS$1006,0)))),"Fix")))</f>
        <v xml:space="preserve"> </v>
      </c>
      <c r="R711" s="4" t="str">
        <f ca="1">IF(OR(INDEX($W$2:$W$1001,MATCH(ROWS($V$2:V711),$V$2:$V$1001,0),1)&gt;=100000,INDEX($AC$1005:$AS$1005,1,MATCH(COLUMNS($AC$1006:AS1006),$AC$1006:$AS$1006,0))&gt;=100000), " ",IF(INDEX($AC$2:$AS$1001,MATCH(ROWS($V$2:V711),$V$2:$V$1001,0),MATCH(COLUMNS($AC$1006:AS1006),$AC$1006:$AS$1006,0)), HYPERLINK("#",""), HYPERLINK(CONCATENATE("#metadata!", ADDRESS(INDEX($X$2:$X$1001,MATCH(ROWS($V$2:V711),$V$2:$V$1001,0),0), INDEX($AC$1004:$AS$1004,1,MATCH(COLUMNS($AC$1006:AS1006),$AC$1006:$AS$1006,0)))),"Fix")))</f>
        <v xml:space="preserve"> </v>
      </c>
      <c r="V711">
        <v>710</v>
      </c>
      <c r="W711">
        <v>100711</v>
      </c>
      <c r="X711">
        <v>711</v>
      </c>
      <c r="Y711" t="b">
        <f t="shared" si="11"/>
        <v>1</v>
      </c>
      <c r="Z711" t="b">
        <f>COUNTBLANK(metadata!B711:R711)=COLUMNS(metadata!B711:R711)</f>
        <v>1</v>
      </c>
      <c r="AA711" t="str">
        <v/>
      </c>
      <c r="AC711" t="b">
        <f ca="1"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AD711" t="b">
        <f>IF(metadata!C711="",FALSE,ISNUMBER(VALUE(metadata!C711)))</f>
        <v>0</v>
      </c>
      <c r="AE711" t="b">
        <f>AND(IF(metadata!D711="",FALSE,TRUE),EXACT(metadata!D711,"years"))</f>
        <v>0</v>
      </c>
      <c r="AF711" t="b">
        <f>OR(AND(IF(metadata!E711="",FALSE,TRUE),OR(EXACT(metadata!E711,"not applicable"),EXACT(metadata!E711,"missing: not collected"),EXACT(metadata!E711,"missing: not provided"),EXACT(metadata!E711,"missing: restricted access"))),AND(IF(metadata!E711="",FALSE,ISNUMBER(VALUE(metadata!E711))),metadata!E711&gt;0))</f>
        <v>0</v>
      </c>
      <c r="AG711" t="b">
        <f>AND(IF(metadata!F711="",FALSE,TRUE),EXACT(metadata!F711,"Not applicable"))</f>
        <v>0</v>
      </c>
      <c r="AH711" t="b">
        <f>AND(IF(metadata!G711="",FALSE,TRUE),EXACT(metadata!G711,"urban biome"))</f>
        <v>0</v>
      </c>
      <c r="AI711" t="b">
        <f>AND(IF(metadata!H711="",FALSE,TRUE),EXACT(metadata!H711,"human-associated habitat"))</f>
        <v>0</v>
      </c>
      <c r="AJ711" t="b">
        <f>AND(IF(metadata!I711="",FALSE,TRUE),OR(EXACT(metadata!I711,"human-associated"),EXACT(metadata!I711,"human-skin"),EXACT(metadata!I711,"human-oral"),EXACT(metadata!I711,"human-gut"),EXACT(metadata!I711,"human-vaginal")))</f>
        <v>0</v>
      </c>
      <c r="AK711" t="b">
        <f>IF(metadata!J711="",FALSE,ISNUMBER(VALUE(metadata!J711)))</f>
        <v>0</v>
      </c>
      <c r="AL711" t="b">
        <f>AND(IF(metadata!K711="",FALSE,TRUE),EXACT(metadata!K711,"cm"))</f>
        <v>0</v>
      </c>
      <c r="AM711" t="b">
        <f>AND(IF(metadata!L711="",FALSE,TRUE),EXACT(metadata!L711,"human"))</f>
        <v>0</v>
      </c>
      <c r="AN711" t="b">
        <f>AND(IF(metadata!M711="",FALSE,TRUE),EXACT(metadata!M711,"Homo sapiens"))</f>
        <v>0</v>
      </c>
      <c r="AO711" t="b">
        <f>AND(IF(metadata!N711="",FALSE,TRUE),EXACT(metadata!N711,"9606"))</f>
        <v>0</v>
      </c>
      <c r="AP711" t="b">
        <f>IF(metadata!O711="",FALSE,TRUE)</f>
        <v>0</v>
      </c>
      <c r="AQ711" t="b">
        <f>IF(metadata!P711="",FALSE,TRUE)</f>
        <v>0</v>
      </c>
      <c r="AR711" t="b">
        <f>IF(metadata!Q711="",FALSE,ISNUMBER(VALUE(metadata!Q711)))</f>
        <v>0</v>
      </c>
      <c r="AS711" t="b">
        <f>AND(IF(metadata!R711="",FALSE,TRUE),EXACT(metadata!R711,"kg"))</f>
        <v>0</v>
      </c>
    </row>
    <row r="712" spans="1:45" x14ac:dyDescent="0.2">
      <c r="A712" s="5" t="str">
        <f ca="1">IF(B712=" "," ",HYPERLINK(CONCATENATE("#metadata!",ADDRESS(INDEX($X$2:$X$1001,MATCH(ROWS($V$2:V712),$V$2:$V$1001,0),0),1)),INDEX($AA$2:$AA$1001,MATCH(ROWS($V$2:V712),$V$2:$V$1001,0),0)))</f>
        <v xml:space="preserve"> </v>
      </c>
      <c r="B712" s="4" t="str">
        <f ca="1">IF(OR(INDEX($W$2:$W$1001,MATCH(ROWS($V$2:V712),$V$2:$V$1001,0),1)&gt;=100000,INDEX($AC$1005:$AS$1005,1,MATCH(COLUMNS($AC$1006:AC1006),$AC$1006:$AS$1006,0))&gt;=100000), " ",IF(INDEX($AC$2:$AS$1001,MATCH(ROWS($V$2:V712),$V$2:$V$1001,0),MATCH(COLUMNS($AC$1006:AC1006),$AC$1006:$AS$1006,0)), HYPERLINK("#",""), HYPERLINK(CONCATENATE("#metadata!", ADDRESS(INDEX($X$2:$X$1001,MATCH(ROWS($V$2:V712),$V$2:$V$1001,0),0), INDEX($AC$1004:$AS$1004,1,MATCH(COLUMNS($AC$1006:AC1006),$AC$1006:$AS$1006,0)))),"Fix")))</f>
        <v xml:space="preserve"> </v>
      </c>
      <c r="C712" s="4" t="str">
        <f ca="1">IF(OR(INDEX($W$2:$W$1001,MATCH(ROWS($V$2:V712),$V$2:$V$1001,0),1)&gt;=100000,INDEX($AC$1005:$AS$1005,1,MATCH(COLUMNS($AC$1006:AD1006),$AC$1006:$AS$1006,0))&gt;=100000), " ",IF(INDEX($AC$2:$AS$1001,MATCH(ROWS($V$2:V712),$V$2:$V$1001,0),MATCH(COLUMNS($AC$1006:AD1006),$AC$1006:$AS$1006,0)), HYPERLINK("#",""), HYPERLINK(CONCATENATE("#metadata!", ADDRESS(INDEX($X$2:$X$1001,MATCH(ROWS($V$2:V712),$V$2:$V$1001,0),0), INDEX($AC$1004:$AS$1004,1,MATCH(COLUMNS($AC$1006:AD1006),$AC$1006:$AS$1006,0)))),"Fix")))</f>
        <v xml:space="preserve"> </v>
      </c>
      <c r="D712" s="4" t="str">
        <f ca="1">IF(OR(INDEX($W$2:$W$1001,MATCH(ROWS($V$2:V712),$V$2:$V$1001,0),1)&gt;=100000,INDEX($AC$1005:$AS$1005,1,MATCH(COLUMNS($AC$1006:AE1006),$AC$1006:$AS$1006,0))&gt;=100000), " ",IF(INDEX($AC$2:$AS$1001,MATCH(ROWS($V$2:V712),$V$2:$V$1001,0),MATCH(COLUMNS($AC$1006:AE1006),$AC$1006:$AS$1006,0)), HYPERLINK("#",""), HYPERLINK(CONCATENATE("#metadata!", ADDRESS(INDEX($X$2:$X$1001,MATCH(ROWS($V$2:V712),$V$2:$V$1001,0),0), INDEX($AC$1004:$AS$1004,1,MATCH(COLUMNS($AC$1006:AE1006),$AC$1006:$AS$1006,0)))),"Fix")))</f>
        <v xml:space="preserve"> </v>
      </c>
      <c r="E712" s="4" t="str">
        <f ca="1">IF(OR(INDEX($W$2:$W$1001,MATCH(ROWS($V$2:V712),$V$2:$V$1001,0),1)&gt;=100000,INDEX($AC$1005:$AS$1005,1,MATCH(COLUMNS($AC$1006:AF1006),$AC$1006:$AS$1006,0))&gt;=100000), " ",IF(INDEX($AC$2:$AS$1001,MATCH(ROWS($V$2:V712),$V$2:$V$1001,0),MATCH(COLUMNS($AC$1006:AF1006),$AC$1006:$AS$1006,0)), HYPERLINK("#",""), HYPERLINK(CONCATENATE("#metadata!", ADDRESS(INDEX($X$2:$X$1001,MATCH(ROWS($V$2:V712),$V$2:$V$1001,0),0), INDEX($AC$1004:$AS$1004,1,MATCH(COLUMNS($AC$1006:AF1006),$AC$1006:$AS$1006,0)))),"Fix")))</f>
        <v xml:space="preserve"> </v>
      </c>
      <c r="F712" s="4" t="str">
        <f ca="1">IF(OR(INDEX($W$2:$W$1001,MATCH(ROWS($V$2:V712),$V$2:$V$1001,0),1)&gt;=100000,INDEX($AC$1005:$AS$1005,1,MATCH(COLUMNS($AC$1006:AG1006),$AC$1006:$AS$1006,0))&gt;=100000), " ",IF(INDEX($AC$2:$AS$1001,MATCH(ROWS($V$2:V712),$V$2:$V$1001,0),MATCH(COLUMNS($AC$1006:AG1006),$AC$1006:$AS$1006,0)), HYPERLINK("#",""), HYPERLINK(CONCATENATE("#metadata!", ADDRESS(INDEX($X$2:$X$1001,MATCH(ROWS($V$2:V712),$V$2:$V$1001,0),0), INDEX($AC$1004:$AS$1004,1,MATCH(COLUMNS($AC$1006:AG1006),$AC$1006:$AS$1006,0)))),"Fix")))</f>
        <v xml:space="preserve"> </v>
      </c>
      <c r="G712" s="4" t="str">
        <f ca="1">IF(OR(INDEX($W$2:$W$1001,MATCH(ROWS($V$2:V712),$V$2:$V$1001,0),1)&gt;=100000,INDEX($AC$1005:$AS$1005,1,MATCH(COLUMNS($AC$1006:AH1006),$AC$1006:$AS$1006,0))&gt;=100000), " ",IF(INDEX($AC$2:$AS$1001,MATCH(ROWS($V$2:V712),$V$2:$V$1001,0),MATCH(COLUMNS($AC$1006:AH1006),$AC$1006:$AS$1006,0)), HYPERLINK("#",""), HYPERLINK(CONCATENATE("#metadata!", ADDRESS(INDEX($X$2:$X$1001,MATCH(ROWS($V$2:V712),$V$2:$V$1001,0),0), INDEX($AC$1004:$AS$1004,1,MATCH(COLUMNS($AC$1006:AH1006),$AC$1006:$AS$1006,0)))),"Fix")))</f>
        <v xml:space="preserve"> </v>
      </c>
      <c r="H712" s="4" t="str">
        <f ca="1">IF(OR(INDEX($W$2:$W$1001,MATCH(ROWS($V$2:V712),$V$2:$V$1001,0),1)&gt;=100000,INDEX($AC$1005:$AS$1005,1,MATCH(COLUMNS($AC$1006:AI1006),$AC$1006:$AS$1006,0))&gt;=100000), " ",IF(INDEX($AC$2:$AS$1001,MATCH(ROWS($V$2:V712),$V$2:$V$1001,0),MATCH(COLUMNS($AC$1006:AI1006),$AC$1006:$AS$1006,0)), HYPERLINK("#",""), HYPERLINK(CONCATENATE("#metadata!", ADDRESS(INDEX($X$2:$X$1001,MATCH(ROWS($V$2:V712),$V$2:$V$1001,0),0), INDEX($AC$1004:$AS$1004,1,MATCH(COLUMNS($AC$1006:AI1006),$AC$1006:$AS$1006,0)))),"Fix")))</f>
        <v xml:space="preserve"> </v>
      </c>
      <c r="I712" s="4" t="str">
        <f ca="1">IF(OR(INDEX($W$2:$W$1001,MATCH(ROWS($V$2:V712),$V$2:$V$1001,0),1)&gt;=100000,INDEX($AC$1005:$AS$1005,1,MATCH(COLUMNS($AC$1006:AJ1006),$AC$1006:$AS$1006,0))&gt;=100000), " ",IF(INDEX($AC$2:$AS$1001,MATCH(ROWS($V$2:V712),$V$2:$V$1001,0),MATCH(COLUMNS($AC$1006:AJ1006),$AC$1006:$AS$1006,0)), HYPERLINK("#",""), HYPERLINK(CONCATENATE("#metadata!", ADDRESS(INDEX($X$2:$X$1001,MATCH(ROWS($V$2:V712),$V$2:$V$1001,0),0), INDEX($AC$1004:$AS$1004,1,MATCH(COLUMNS($AC$1006:AJ1006),$AC$1006:$AS$1006,0)))),"Fix")))</f>
        <v xml:space="preserve"> </v>
      </c>
      <c r="J712" s="4" t="str">
        <f ca="1">IF(OR(INDEX($W$2:$W$1001,MATCH(ROWS($V$2:V712),$V$2:$V$1001,0),1)&gt;=100000,INDEX($AC$1005:$AS$1005,1,MATCH(COLUMNS($AC$1006:AK1006),$AC$1006:$AS$1006,0))&gt;=100000), " ",IF(INDEX($AC$2:$AS$1001,MATCH(ROWS($V$2:V712),$V$2:$V$1001,0),MATCH(COLUMNS($AC$1006:AK1006),$AC$1006:$AS$1006,0)), HYPERLINK("#",""), HYPERLINK(CONCATENATE("#metadata!", ADDRESS(INDEX($X$2:$X$1001,MATCH(ROWS($V$2:V712),$V$2:$V$1001,0),0), INDEX($AC$1004:$AS$1004,1,MATCH(COLUMNS($AC$1006:AK1006),$AC$1006:$AS$1006,0)))),"Fix")))</f>
        <v xml:space="preserve"> </v>
      </c>
      <c r="K712" s="4" t="str">
        <f ca="1">IF(OR(INDEX($W$2:$W$1001,MATCH(ROWS($V$2:V712),$V$2:$V$1001,0),1)&gt;=100000,INDEX($AC$1005:$AS$1005,1,MATCH(COLUMNS($AC$1006:AL1006),$AC$1006:$AS$1006,0))&gt;=100000), " ",IF(INDEX($AC$2:$AS$1001,MATCH(ROWS($V$2:V712),$V$2:$V$1001,0),MATCH(COLUMNS($AC$1006:AL1006),$AC$1006:$AS$1006,0)), HYPERLINK("#",""), HYPERLINK(CONCATENATE("#metadata!", ADDRESS(INDEX($X$2:$X$1001,MATCH(ROWS($V$2:V712),$V$2:$V$1001,0),0), INDEX($AC$1004:$AS$1004,1,MATCH(COLUMNS($AC$1006:AL1006),$AC$1006:$AS$1006,0)))),"Fix")))</f>
        <v xml:space="preserve"> </v>
      </c>
      <c r="L712" s="4" t="str">
        <f ca="1">IF(OR(INDEX($W$2:$W$1001,MATCH(ROWS($V$2:V712),$V$2:$V$1001,0),1)&gt;=100000,INDEX($AC$1005:$AS$1005,1,MATCH(COLUMNS($AC$1006:AM1006),$AC$1006:$AS$1006,0))&gt;=100000), " ",IF(INDEX($AC$2:$AS$1001,MATCH(ROWS($V$2:V712),$V$2:$V$1001,0),MATCH(COLUMNS($AC$1006:AM1006),$AC$1006:$AS$1006,0)), HYPERLINK("#",""), HYPERLINK(CONCATENATE("#metadata!", ADDRESS(INDEX($X$2:$X$1001,MATCH(ROWS($V$2:V712),$V$2:$V$1001,0),0), INDEX($AC$1004:$AS$1004,1,MATCH(COLUMNS($AC$1006:AM1006),$AC$1006:$AS$1006,0)))),"Fix")))</f>
        <v xml:space="preserve"> </v>
      </c>
      <c r="M712" s="4" t="str">
        <f ca="1">IF(OR(INDEX($W$2:$W$1001,MATCH(ROWS($V$2:V712),$V$2:$V$1001,0),1)&gt;=100000,INDEX($AC$1005:$AS$1005,1,MATCH(COLUMNS($AC$1006:AN1006),$AC$1006:$AS$1006,0))&gt;=100000), " ",IF(INDEX($AC$2:$AS$1001,MATCH(ROWS($V$2:V712),$V$2:$V$1001,0),MATCH(COLUMNS($AC$1006:AN1006),$AC$1006:$AS$1006,0)), HYPERLINK("#",""), HYPERLINK(CONCATENATE("#metadata!", ADDRESS(INDEX($X$2:$X$1001,MATCH(ROWS($V$2:V712),$V$2:$V$1001,0),0), INDEX($AC$1004:$AS$1004,1,MATCH(COLUMNS($AC$1006:AN1006),$AC$1006:$AS$1006,0)))),"Fix")))</f>
        <v xml:space="preserve"> </v>
      </c>
      <c r="N712" s="4" t="str">
        <f ca="1">IF(OR(INDEX($W$2:$W$1001,MATCH(ROWS($V$2:V712),$V$2:$V$1001,0),1)&gt;=100000,INDEX($AC$1005:$AS$1005,1,MATCH(COLUMNS($AC$1006:AO1006),$AC$1006:$AS$1006,0))&gt;=100000), " ",IF(INDEX($AC$2:$AS$1001,MATCH(ROWS($V$2:V712),$V$2:$V$1001,0),MATCH(COLUMNS($AC$1006:AO1006),$AC$1006:$AS$1006,0)), HYPERLINK("#",""), HYPERLINK(CONCATENATE("#metadata!", ADDRESS(INDEX($X$2:$X$1001,MATCH(ROWS($V$2:V712),$V$2:$V$1001,0),0), INDEX($AC$1004:$AS$1004,1,MATCH(COLUMNS($AC$1006:AO1006),$AC$1006:$AS$1006,0)))),"Fix")))</f>
        <v xml:space="preserve"> </v>
      </c>
      <c r="O712" s="4" t="str">
        <f ca="1">IF(OR(INDEX($W$2:$W$1001,MATCH(ROWS($V$2:V712),$V$2:$V$1001,0),1)&gt;=100000,INDEX($AC$1005:$AS$1005,1,MATCH(COLUMNS($AC$1006:AP1006),$AC$1006:$AS$1006,0))&gt;=100000), " ",IF(INDEX($AC$2:$AS$1001,MATCH(ROWS($V$2:V712),$V$2:$V$1001,0),MATCH(COLUMNS($AC$1006:AP1006),$AC$1006:$AS$1006,0)), HYPERLINK("#",""), HYPERLINK(CONCATENATE("#metadata!", ADDRESS(INDEX($X$2:$X$1001,MATCH(ROWS($V$2:V712),$V$2:$V$1001,0),0), INDEX($AC$1004:$AS$1004,1,MATCH(COLUMNS($AC$1006:AP1006),$AC$1006:$AS$1006,0)))),"Fix")))</f>
        <v xml:space="preserve"> </v>
      </c>
      <c r="P712" s="4" t="str">
        <f ca="1">IF(OR(INDEX($W$2:$W$1001,MATCH(ROWS($V$2:V712),$V$2:$V$1001,0),1)&gt;=100000,INDEX($AC$1005:$AS$1005,1,MATCH(COLUMNS($AC$1006:AQ1006),$AC$1006:$AS$1006,0))&gt;=100000), " ",IF(INDEX($AC$2:$AS$1001,MATCH(ROWS($V$2:V712),$V$2:$V$1001,0),MATCH(COLUMNS($AC$1006:AQ1006),$AC$1006:$AS$1006,0)), HYPERLINK("#",""), HYPERLINK(CONCATENATE("#metadata!", ADDRESS(INDEX($X$2:$X$1001,MATCH(ROWS($V$2:V712),$V$2:$V$1001,0),0), INDEX($AC$1004:$AS$1004,1,MATCH(COLUMNS($AC$1006:AQ1006),$AC$1006:$AS$1006,0)))),"Fix")))</f>
        <v xml:space="preserve"> </v>
      </c>
      <c r="Q712" s="4" t="str">
        <f ca="1">IF(OR(INDEX($W$2:$W$1001,MATCH(ROWS($V$2:V712),$V$2:$V$1001,0),1)&gt;=100000,INDEX($AC$1005:$AS$1005,1,MATCH(COLUMNS($AC$1006:AR1006),$AC$1006:$AS$1006,0))&gt;=100000), " ",IF(INDEX($AC$2:$AS$1001,MATCH(ROWS($V$2:V712),$V$2:$V$1001,0),MATCH(COLUMNS($AC$1006:AR1006),$AC$1006:$AS$1006,0)), HYPERLINK("#",""), HYPERLINK(CONCATENATE("#metadata!", ADDRESS(INDEX($X$2:$X$1001,MATCH(ROWS($V$2:V712),$V$2:$V$1001,0),0), INDEX($AC$1004:$AS$1004,1,MATCH(COLUMNS($AC$1006:AR1006),$AC$1006:$AS$1006,0)))),"Fix")))</f>
        <v xml:space="preserve"> </v>
      </c>
      <c r="R712" s="4" t="str">
        <f ca="1">IF(OR(INDEX($W$2:$W$1001,MATCH(ROWS($V$2:V712),$V$2:$V$1001,0),1)&gt;=100000,INDEX($AC$1005:$AS$1005,1,MATCH(COLUMNS($AC$1006:AS1006),$AC$1006:$AS$1006,0))&gt;=100000), " ",IF(INDEX($AC$2:$AS$1001,MATCH(ROWS($V$2:V712),$V$2:$V$1001,0),MATCH(COLUMNS($AC$1006:AS1006),$AC$1006:$AS$1006,0)), HYPERLINK("#",""), HYPERLINK(CONCATENATE("#metadata!", ADDRESS(INDEX($X$2:$X$1001,MATCH(ROWS($V$2:V712),$V$2:$V$1001,0),0), INDEX($AC$1004:$AS$1004,1,MATCH(COLUMNS($AC$1006:AS1006),$AC$1006:$AS$1006,0)))),"Fix")))</f>
        <v xml:space="preserve"> </v>
      </c>
      <c r="V712">
        <v>711</v>
      </c>
      <c r="W712">
        <v>100712</v>
      </c>
      <c r="X712">
        <v>712</v>
      </c>
      <c r="Y712" t="b">
        <f t="shared" si="11"/>
        <v>1</v>
      </c>
      <c r="Z712" t="b">
        <f>COUNTBLANK(metadata!B712:R712)=COLUMNS(metadata!B712:R712)</f>
        <v>1</v>
      </c>
      <c r="AA712" t="str">
        <v/>
      </c>
      <c r="AC712" t="b">
        <f ca="1"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AD712" t="b">
        <f>IF(metadata!C712="",FALSE,ISNUMBER(VALUE(metadata!C712)))</f>
        <v>0</v>
      </c>
      <c r="AE712" t="b">
        <f>AND(IF(metadata!D712="",FALSE,TRUE),EXACT(metadata!D712,"years"))</f>
        <v>0</v>
      </c>
      <c r="AF712" t="b">
        <f>OR(AND(IF(metadata!E712="",FALSE,TRUE),OR(EXACT(metadata!E712,"not applicable"),EXACT(metadata!E712,"missing: not collected"),EXACT(metadata!E712,"missing: not provided"),EXACT(metadata!E712,"missing: restricted access"))),AND(IF(metadata!E712="",FALSE,ISNUMBER(VALUE(metadata!E712))),metadata!E712&gt;0))</f>
        <v>0</v>
      </c>
      <c r="AG712" t="b">
        <f>AND(IF(metadata!F712="",FALSE,TRUE),EXACT(metadata!F712,"Not applicable"))</f>
        <v>0</v>
      </c>
      <c r="AH712" t="b">
        <f>AND(IF(metadata!G712="",FALSE,TRUE),EXACT(metadata!G712,"urban biome"))</f>
        <v>0</v>
      </c>
      <c r="AI712" t="b">
        <f>AND(IF(metadata!H712="",FALSE,TRUE),EXACT(metadata!H712,"human-associated habitat"))</f>
        <v>0</v>
      </c>
      <c r="AJ712" t="b">
        <f>AND(IF(metadata!I712="",FALSE,TRUE),OR(EXACT(metadata!I712,"human-associated"),EXACT(metadata!I712,"human-skin"),EXACT(metadata!I712,"human-oral"),EXACT(metadata!I712,"human-gut"),EXACT(metadata!I712,"human-vaginal")))</f>
        <v>0</v>
      </c>
      <c r="AK712" t="b">
        <f>IF(metadata!J712="",FALSE,ISNUMBER(VALUE(metadata!J712)))</f>
        <v>0</v>
      </c>
      <c r="AL712" t="b">
        <f>AND(IF(metadata!K712="",FALSE,TRUE),EXACT(metadata!K712,"cm"))</f>
        <v>0</v>
      </c>
      <c r="AM712" t="b">
        <f>AND(IF(metadata!L712="",FALSE,TRUE),EXACT(metadata!L712,"human"))</f>
        <v>0</v>
      </c>
      <c r="AN712" t="b">
        <f>AND(IF(metadata!M712="",FALSE,TRUE),EXACT(metadata!M712,"Homo sapiens"))</f>
        <v>0</v>
      </c>
      <c r="AO712" t="b">
        <f>AND(IF(metadata!N712="",FALSE,TRUE),EXACT(metadata!N712,"9606"))</f>
        <v>0</v>
      </c>
      <c r="AP712" t="b">
        <f>IF(metadata!O712="",FALSE,TRUE)</f>
        <v>0</v>
      </c>
      <c r="AQ712" t="b">
        <f>IF(metadata!P712="",FALSE,TRUE)</f>
        <v>0</v>
      </c>
      <c r="AR712" t="b">
        <f>IF(metadata!Q712="",FALSE,ISNUMBER(VALUE(metadata!Q712)))</f>
        <v>0</v>
      </c>
      <c r="AS712" t="b">
        <f>AND(IF(metadata!R712="",FALSE,TRUE),EXACT(metadata!R712,"kg"))</f>
        <v>0</v>
      </c>
    </row>
    <row r="713" spans="1:45" x14ac:dyDescent="0.2">
      <c r="A713" s="5" t="str">
        <f ca="1">IF(B713=" "," ",HYPERLINK(CONCATENATE("#metadata!",ADDRESS(INDEX($X$2:$X$1001,MATCH(ROWS($V$2:V713),$V$2:$V$1001,0),0),1)),INDEX($AA$2:$AA$1001,MATCH(ROWS($V$2:V713),$V$2:$V$1001,0),0)))</f>
        <v xml:space="preserve"> </v>
      </c>
      <c r="B713" s="4" t="str">
        <f ca="1">IF(OR(INDEX($W$2:$W$1001,MATCH(ROWS($V$2:V713),$V$2:$V$1001,0),1)&gt;=100000,INDEX($AC$1005:$AS$1005,1,MATCH(COLUMNS($AC$1006:AC1006),$AC$1006:$AS$1006,0))&gt;=100000), " ",IF(INDEX($AC$2:$AS$1001,MATCH(ROWS($V$2:V713),$V$2:$V$1001,0),MATCH(COLUMNS($AC$1006:AC1006),$AC$1006:$AS$1006,0)), HYPERLINK("#",""), HYPERLINK(CONCATENATE("#metadata!", ADDRESS(INDEX($X$2:$X$1001,MATCH(ROWS($V$2:V713),$V$2:$V$1001,0),0), INDEX($AC$1004:$AS$1004,1,MATCH(COLUMNS($AC$1006:AC1006),$AC$1006:$AS$1006,0)))),"Fix")))</f>
        <v xml:space="preserve"> </v>
      </c>
      <c r="C713" s="4" t="str">
        <f ca="1">IF(OR(INDEX($W$2:$W$1001,MATCH(ROWS($V$2:V713),$V$2:$V$1001,0),1)&gt;=100000,INDEX($AC$1005:$AS$1005,1,MATCH(COLUMNS($AC$1006:AD1006),$AC$1006:$AS$1006,0))&gt;=100000), " ",IF(INDEX($AC$2:$AS$1001,MATCH(ROWS($V$2:V713),$V$2:$V$1001,0),MATCH(COLUMNS($AC$1006:AD1006),$AC$1006:$AS$1006,0)), HYPERLINK("#",""), HYPERLINK(CONCATENATE("#metadata!", ADDRESS(INDEX($X$2:$X$1001,MATCH(ROWS($V$2:V713),$V$2:$V$1001,0),0), INDEX($AC$1004:$AS$1004,1,MATCH(COLUMNS($AC$1006:AD1006),$AC$1006:$AS$1006,0)))),"Fix")))</f>
        <v xml:space="preserve"> </v>
      </c>
      <c r="D713" s="4" t="str">
        <f ca="1">IF(OR(INDEX($W$2:$W$1001,MATCH(ROWS($V$2:V713),$V$2:$V$1001,0),1)&gt;=100000,INDEX($AC$1005:$AS$1005,1,MATCH(COLUMNS($AC$1006:AE1006),$AC$1006:$AS$1006,0))&gt;=100000), " ",IF(INDEX($AC$2:$AS$1001,MATCH(ROWS($V$2:V713),$V$2:$V$1001,0),MATCH(COLUMNS($AC$1006:AE1006),$AC$1006:$AS$1006,0)), HYPERLINK("#",""), HYPERLINK(CONCATENATE("#metadata!", ADDRESS(INDEX($X$2:$X$1001,MATCH(ROWS($V$2:V713),$V$2:$V$1001,0),0), INDEX($AC$1004:$AS$1004,1,MATCH(COLUMNS($AC$1006:AE1006),$AC$1006:$AS$1006,0)))),"Fix")))</f>
        <v xml:space="preserve"> </v>
      </c>
      <c r="E713" s="4" t="str">
        <f ca="1">IF(OR(INDEX($W$2:$W$1001,MATCH(ROWS($V$2:V713),$V$2:$V$1001,0),1)&gt;=100000,INDEX($AC$1005:$AS$1005,1,MATCH(COLUMNS($AC$1006:AF1006),$AC$1006:$AS$1006,0))&gt;=100000), " ",IF(INDEX($AC$2:$AS$1001,MATCH(ROWS($V$2:V713),$V$2:$V$1001,0),MATCH(COLUMNS($AC$1006:AF1006),$AC$1006:$AS$1006,0)), HYPERLINK("#",""), HYPERLINK(CONCATENATE("#metadata!", ADDRESS(INDEX($X$2:$X$1001,MATCH(ROWS($V$2:V713),$V$2:$V$1001,0),0), INDEX($AC$1004:$AS$1004,1,MATCH(COLUMNS($AC$1006:AF1006),$AC$1006:$AS$1006,0)))),"Fix")))</f>
        <v xml:space="preserve"> </v>
      </c>
      <c r="F713" s="4" t="str">
        <f ca="1">IF(OR(INDEX($W$2:$W$1001,MATCH(ROWS($V$2:V713),$V$2:$V$1001,0),1)&gt;=100000,INDEX($AC$1005:$AS$1005,1,MATCH(COLUMNS($AC$1006:AG1006),$AC$1006:$AS$1006,0))&gt;=100000), " ",IF(INDEX($AC$2:$AS$1001,MATCH(ROWS($V$2:V713),$V$2:$V$1001,0),MATCH(COLUMNS($AC$1006:AG1006),$AC$1006:$AS$1006,0)), HYPERLINK("#",""), HYPERLINK(CONCATENATE("#metadata!", ADDRESS(INDEX($X$2:$X$1001,MATCH(ROWS($V$2:V713),$V$2:$V$1001,0),0), INDEX($AC$1004:$AS$1004,1,MATCH(COLUMNS($AC$1006:AG1006),$AC$1006:$AS$1006,0)))),"Fix")))</f>
        <v xml:space="preserve"> </v>
      </c>
      <c r="G713" s="4" t="str">
        <f ca="1">IF(OR(INDEX($W$2:$W$1001,MATCH(ROWS($V$2:V713),$V$2:$V$1001,0),1)&gt;=100000,INDEX($AC$1005:$AS$1005,1,MATCH(COLUMNS($AC$1006:AH1006),$AC$1006:$AS$1006,0))&gt;=100000), " ",IF(INDEX($AC$2:$AS$1001,MATCH(ROWS($V$2:V713),$V$2:$V$1001,0),MATCH(COLUMNS($AC$1006:AH1006),$AC$1006:$AS$1006,0)), HYPERLINK("#",""), HYPERLINK(CONCATENATE("#metadata!", ADDRESS(INDEX($X$2:$X$1001,MATCH(ROWS($V$2:V713),$V$2:$V$1001,0),0), INDEX($AC$1004:$AS$1004,1,MATCH(COLUMNS($AC$1006:AH1006),$AC$1006:$AS$1006,0)))),"Fix")))</f>
        <v xml:space="preserve"> </v>
      </c>
      <c r="H713" s="4" t="str">
        <f ca="1">IF(OR(INDEX($W$2:$W$1001,MATCH(ROWS($V$2:V713),$V$2:$V$1001,0),1)&gt;=100000,INDEX($AC$1005:$AS$1005,1,MATCH(COLUMNS($AC$1006:AI1006),$AC$1006:$AS$1006,0))&gt;=100000), " ",IF(INDEX($AC$2:$AS$1001,MATCH(ROWS($V$2:V713),$V$2:$V$1001,0),MATCH(COLUMNS($AC$1006:AI1006),$AC$1006:$AS$1006,0)), HYPERLINK("#",""), HYPERLINK(CONCATENATE("#metadata!", ADDRESS(INDEX($X$2:$X$1001,MATCH(ROWS($V$2:V713),$V$2:$V$1001,0),0), INDEX($AC$1004:$AS$1004,1,MATCH(COLUMNS($AC$1006:AI1006),$AC$1006:$AS$1006,0)))),"Fix")))</f>
        <v xml:space="preserve"> </v>
      </c>
      <c r="I713" s="4" t="str">
        <f ca="1">IF(OR(INDEX($W$2:$W$1001,MATCH(ROWS($V$2:V713),$V$2:$V$1001,0),1)&gt;=100000,INDEX($AC$1005:$AS$1005,1,MATCH(COLUMNS($AC$1006:AJ1006),$AC$1006:$AS$1006,0))&gt;=100000), " ",IF(INDEX($AC$2:$AS$1001,MATCH(ROWS($V$2:V713),$V$2:$V$1001,0),MATCH(COLUMNS($AC$1006:AJ1006),$AC$1006:$AS$1006,0)), HYPERLINK("#",""), HYPERLINK(CONCATENATE("#metadata!", ADDRESS(INDEX($X$2:$X$1001,MATCH(ROWS($V$2:V713),$V$2:$V$1001,0),0), INDEX($AC$1004:$AS$1004,1,MATCH(COLUMNS($AC$1006:AJ1006),$AC$1006:$AS$1006,0)))),"Fix")))</f>
        <v xml:space="preserve"> </v>
      </c>
      <c r="J713" s="4" t="str">
        <f ca="1">IF(OR(INDEX($W$2:$W$1001,MATCH(ROWS($V$2:V713),$V$2:$V$1001,0),1)&gt;=100000,INDEX($AC$1005:$AS$1005,1,MATCH(COLUMNS($AC$1006:AK1006),$AC$1006:$AS$1006,0))&gt;=100000), " ",IF(INDEX($AC$2:$AS$1001,MATCH(ROWS($V$2:V713),$V$2:$V$1001,0),MATCH(COLUMNS($AC$1006:AK1006),$AC$1006:$AS$1006,0)), HYPERLINK("#",""), HYPERLINK(CONCATENATE("#metadata!", ADDRESS(INDEX($X$2:$X$1001,MATCH(ROWS($V$2:V713),$V$2:$V$1001,0),0), INDEX($AC$1004:$AS$1004,1,MATCH(COLUMNS($AC$1006:AK1006),$AC$1006:$AS$1006,0)))),"Fix")))</f>
        <v xml:space="preserve"> </v>
      </c>
      <c r="K713" s="4" t="str">
        <f ca="1">IF(OR(INDEX($W$2:$W$1001,MATCH(ROWS($V$2:V713),$V$2:$V$1001,0),1)&gt;=100000,INDEX($AC$1005:$AS$1005,1,MATCH(COLUMNS($AC$1006:AL1006),$AC$1006:$AS$1006,0))&gt;=100000), " ",IF(INDEX($AC$2:$AS$1001,MATCH(ROWS($V$2:V713),$V$2:$V$1001,0),MATCH(COLUMNS($AC$1006:AL1006),$AC$1006:$AS$1006,0)), HYPERLINK("#",""), HYPERLINK(CONCATENATE("#metadata!", ADDRESS(INDEX($X$2:$X$1001,MATCH(ROWS($V$2:V713),$V$2:$V$1001,0),0), INDEX($AC$1004:$AS$1004,1,MATCH(COLUMNS($AC$1006:AL1006),$AC$1006:$AS$1006,0)))),"Fix")))</f>
        <v xml:space="preserve"> </v>
      </c>
      <c r="L713" s="4" t="str">
        <f ca="1">IF(OR(INDEX($W$2:$W$1001,MATCH(ROWS($V$2:V713),$V$2:$V$1001,0),1)&gt;=100000,INDEX($AC$1005:$AS$1005,1,MATCH(COLUMNS($AC$1006:AM1006),$AC$1006:$AS$1006,0))&gt;=100000), " ",IF(INDEX($AC$2:$AS$1001,MATCH(ROWS($V$2:V713),$V$2:$V$1001,0),MATCH(COLUMNS($AC$1006:AM1006),$AC$1006:$AS$1006,0)), HYPERLINK("#",""), HYPERLINK(CONCATENATE("#metadata!", ADDRESS(INDEX($X$2:$X$1001,MATCH(ROWS($V$2:V713),$V$2:$V$1001,0),0), INDEX($AC$1004:$AS$1004,1,MATCH(COLUMNS($AC$1006:AM1006),$AC$1006:$AS$1006,0)))),"Fix")))</f>
        <v xml:space="preserve"> </v>
      </c>
      <c r="M713" s="4" t="str">
        <f ca="1">IF(OR(INDEX($W$2:$W$1001,MATCH(ROWS($V$2:V713),$V$2:$V$1001,0),1)&gt;=100000,INDEX($AC$1005:$AS$1005,1,MATCH(COLUMNS($AC$1006:AN1006),$AC$1006:$AS$1006,0))&gt;=100000), " ",IF(INDEX($AC$2:$AS$1001,MATCH(ROWS($V$2:V713),$V$2:$V$1001,0),MATCH(COLUMNS($AC$1006:AN1006),$AC$1006:$AS$1006,0)), HYPERLINK("#",""), HYPERLINK(CONCATENATE("#metadata!", ADDRESS(INDEX($X$2:$X$1001,MATCH(ROWS($V$2:V713),$V$2:$V$1001,0),0), INDEX($AC$1004:$AS$1004,1,MATCH(COLUMNS($AC$1006:AN1006),$AC$1006:$AS$1006,0)))),"Fix")))</f>
        <v xml:space="preserve"> </v>
      </c>
      <c r="N713" s="4" t="str">
        <f ca="1">IF(OR(INDEX($W$2:$W$1001,MATCH(ROWS($V$2:V713),$V$2:$V$1001,0),1)&gt;=100000,INDEX($AC$1005:$AS$1005,1,MATCH(COLUMNS($AC$1006:AO1006),$AC$1006:$AS$1006,0))&gt;=100000), " ",IF(INDEX($AC$2:$AS$1001,MATCH(ROWS($V$2:V713),$V$2:$V$1001,0),MATCH(COLUMNS($AC$1006:AO1006),$AC$1006:$AS$1006,0)), HYPERLINK("#",""), HYPERLINK(CONCATENATE("#metadata!", ADDRESS(INDEX($X$2:$X$1001,MATCH(ROWS($V$2:V713),$V$2:$V$1001,0),0), INDEX($AC$1004:$AS$1004,1,MATCH(COLUMNS($AC$1006:AO1006),$AC$1006:$AS$1006,0)))),"Fix")))</f>
        <v xml:space="preserve"> </v>
      </c>
      <c r="O713" s="4" t="str">
        <f ca="1">IF(OR(INDEX($W$2:$W$1001,MATCH(ROWS($V$2:V713),$V$2:$V$1001,0),1)&gt;=100000,INDEX($AC$1005:$AS$1005,1,MATCH(COLUMNS($AC$1006:AP1006),$AC$1006:$AS$1006,0))&gt;=100000), " ",IF(INDEX($AC$2:$AS$1001,MATCH(ROWS($V$2:V713),$V$2:$V$1001,0),MATCH(COLUMNS($AC$1006:AP1006),$AC$1006:$AS$1006,0)), HYPERLINK("#",""), HYPERLINK(CONCATENATE("#metadata!", ADDRESS(INDEX($X$2:$X$1001,MATCH(ROWS($V$2:V713),$V$2:$V$1001,0),0), INDEX($AC$1004:$AS$1004,1,MATCH(COLUMNS($AC$1006:AP1006),$AC$1006:$AS$1006,0)))),"Fix")))</f>
        <v xml:space="preserve"> </v>
      </c>
      <c r="P713" s="4" t="str">
        <f ca="1">IF(OR(INDEX($W$2:$W$1001,MATCH(ROWS($V$2:V713),$V$2:$V$1001,0),1)&gt;=100000,INDEX($AC$1005:$AS$1005,1,MATCH(COLUMNS($AC$1006:AQ1006),$AC$1006:$AS$1006,0))&gt;=100000), " ",IF(INDEX($AC$2:$AS$1001,MATCH(ROWS($V$2:V713),$V$2:$V$1001,0),MATCH(COLUMNS($AC$1006:AQ1006),$AC$1006:$AS$1006,0)), HYPERLINK("#",""), HYPERLINK(CONCATENATE("#metadata!", ADDRESS(INDEX($X$2:$X$1001,MATCH(ROWS($V$2:V713),$V$2:$V$1001,0),0), INDEX($AC$1004:$AS$1004,1,MATCH(COLUMNS($AC$1006:AQ1006),$AC$1006:$AS$1006,0)))),"Fix")))</f>
        <v xml:space="preserve"> </v>
      </c>
      <c r="Q713" s="4" t="str">
        <f ca="1">IF(OR(INDEX($W$2:$W$1001,MATCH(ROWS($V$2:V713),$V$2:$V$1001,0),1)&gt;=100000,INDEX($AC$1005:$AS$1005,1,MATCH(COLUMNS($AC$1006:AR1006),$AC$1006:$AS$1006,0))&gt;=100000), " ",IF(INDEX($AC$2:$AS$1001,MATCH(ROWS($V$2:V713),$V$2:$V$1001,0),MATCH(COLUMNS($AC$1006:AR1006),$AC$1006:$AS$1006,0)), HYPERLINK("#",""), HYPERLINK(CONCATENATE("#metadata!", ADDRESS(INDEX($X$2:$X$1001,MATCH(ROWS($V$2:V713),$V$2:$V$1001,0),0), INDEX($AC$1004:$AS$1004,1,MATCH(COLUMNS($AC$1006:AR1006),$AC$1006:$AS$1006,0)))),"Fix")))</f>
        <v xml:space="preserve"> </v>
      </c>
      <c r="R713" s="4" t="str">
        <f ca="1">IF(OR(INDEX($W$2:$W$1001,MATCH(ROWS($V$2:V713),$V$2:$V$1001,0),1)&gt;=100000,INDEX($AC$1005:$AS$1005,1,MATCH(COLUMNS($AC$1006:AS1006),$AC$1006:$AS$1006,0))&gt;=100000), " ",IF(INDEX($AC$2:$AS$1001,MATCH(ROWS($V$2:V713),$V$2:$V$1001,0),MATCH(COLUMNS($AC$1006:AS1006),$AC$1006:$AS$1006,0)), HYPERLINK("#",""), HYPERLINK(CONCATENATE("#metadata!", ADDRESS(INDEX($X$2:$X$1001,MATCH(ROWS($V$2:V713),$V$2:$V$1001,0),0), INDEX($AC$1004:$AS$1004,1,MATCH(COLUMNS($AC$1006:AS1006),$AC$1006:$AS$1006,0)))),"Fix")))</f>
        <v xml:space="preserve"> </v>
      </c>
      <c r="V713">
        <v>712</v>
      </c>
      <c r="W713">
        <v>100713</v>
      </c>
      <c r="X713">
        <v>713</v>
      </c>
      <c r="Y713" t="b">
        <f t="shared" si="11"/>
        <v>1</v>
      </c>
      <c r="Z713" t="b">
        <f>COUNTBLANK(metadata!B713:R713)=COLUMNS(metadata!B713:R713)</f>
        <v>1</v>
      </c>
      <c r="AA713" t="str">
        <v/>
      </c>
      <c r="AC713" t="b">
        <f ca="1"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AD713" t="b">
        <f>IF(metadata!C713="",FALSE,ISNUMBER(VALUE(metadata!C713)))</f>
        <v>0</v>
      </c>
      <c r="AE713" t="b">
        <f>AND(IF(metadata!D713="",FALSE,TRUE),EXACT(metadata!D713,"years"))</f>
        <v>0</v>
      </c>
      <c r="AF713" t="b">
        <f>OR(AND(IF(metadata!E713="",FALSE,TRUE),OR(EXACT(metadata!E713,"not applicable"),EXACT(metadata!E713,"missing: not collected"),EXACT(metadata!E713,"missing: not provided"),EXACT(metadata!E713,"missing: restricted access"))),AND(IF(metadata!E713="",FALSE,ISNUMBER(VALUE(metadata!E713))),metadata!E713&gt;0))</f>
        <v>0</v>
      </c>
      <c r="AG713" t="b">
        <f>AND(IF(metadata!F713="",FALSE,TRUE),EXACT(metadata!F713,"Not applicable"))</f>
        <v>0</v>
      </c>
      <c r="AH713" t="b">
        <f>AND(IF(metadata!G713="",FALSE,TRUE),EXACT(metadata!G713,"urban biome"))</f>
        <v>0</v>
      </c>
      <c r="AI713" t="b">
        <f>AND(IF(metadata!H713="",FALSE,TRUE),EXACT(metadata!H713,"human-associated habitat"))</f>
        <v>0</v>
      </c>
      <c r="AJ713" t="b">
        <f>AND(IF(metadata!I713="",FALSE,TRUE),OR(EXACT(metadata!I713,"human-associated"),EXACT(metadata!I713,"human-skin"),EXACT(metadata!I713,"human-oral"),EXACT(metadata!I713,"human-gut"),EXACT(metadata!I713,"human-vaginal")))</f>
        <v>0</v>
      </c>
      <c r="AK713" t="b">
        <f>IF(metadata!J713="",FALSE,ISNUMBER(VALUE(metadata!J713)))</f>
        <v>0</v>
      </c>
      <c r="AL713" t="b">
        <f>AND(IF(metadata!K713="",FALSE,TRUE),EXACT(metadata!K713,"cm"))</f>
        <v>0</v>
      </c>
      <c r="AM713" t="b">
        <f>AND(IF(metadata!L713="",FALSE,TRUE),EXACT(metadata!L713,"human"))</f>
        <v>0</v>
      </c>
      <c r="AN713" t="b">
        <f>AND(IF(metadata!M713="",FALSE,TRUE),EXACT(metadata!M713,"Homo sapiens"))</f>
        <v>0</v>
      </c>
      <c r="AO713" t="b">
        <f>AND(IF(metadata!N713="",FALSE,TRUE),EXACT(metadata!N713,"9606"))</f>
        <v>0</v>
      </c>
      <c r="AP713" t="b">
        <f>IF(metadata!O713="",FALSE,TRUE)</f>
        <v>0</v>
      </c>
      <c r="AQ713" t="b">
        <f>IF(metadata!P713="",FALSE,TRUE)</f>
        <v>0</v>
      </c>
      <c r="AR713" t="b">
        <f>IF(metadata!Q713="",FALSE,ISNUMBER(VALUE(metadata!Q713)))</f>
        <v>0</v>
      </c>
      <c r="AS713" t="b">
        <f>AND(IF(metadata!R713="",FALSE,TRUE),EXACT(metadata!R713,"kg"))</f>
        <v>0</v>
      </c>
    </row>
    <row r="714" spans="1:45" x14ac:dyDescent="0.2">
      <c r="A714" s="5" t="str">
        <f ca="1">IF(B714=" "," ",HYPERLINK(CONCATENATE("#metadata!",ADDRESS(INDEX($X$2:$X$1001,MATCH(ROWS($V$2:V714),$V$2:$V$1001,0),0),1)),INDEX($AA$2:$AA$1001,MATCH(ROWS($V$2:V714),$V$2:$V$1001,0),0)))</f>
        <v xml:space="preserve"> </v>
      </c>
      <c r="B714" s="4" t="str">
        <f ca="1">IF(OR(INDEX($W$2:$W$1001,MATCH(ROWS($V$2:V714),$V$2:$V$1001,0),1)&gt;=100000,INDEX($AC$1005:$AS$1005,1,MATCH(COLUMNS($AC$1006:AC1006),$AC$1006:$AS$1006,0))&gt;=100000), " ",IF(INDEX($AC$2:$AS$1001,MATCH(ROWS($V$2:V714),$V$2:$V$1001,0),MATCH(COLUMNS($AC$1006:AC1006),$AC$1006:$AS$1006,0)), HYPERLINK("#",""), HYPERLINK(CONCATENATE("#metadata!", ADDRESS(INDEX($X$2:$X$1001,MATCH(ROWS($V$2:V714),$V$2:$V$1001,0),0), INDEX($AC$1004:$AS$1004,1,MATCH(COLUMNS($AC$1006:AC1006),$AC$1006:$AS$1006,0)))),"Fix")))</f>
        <v xml:space="preserve"> </v>
      </c>
      <c r="C714" s="4" t="str">
        <f ca="1">IF(OR(INDEX($W$2:$W$1001,MATCH(ROWS($V$2:V714),$V$2:$V$1001,0),1)&gt;=100000,INDEX($AC$1005:$AS$1005,1,MATCH(COLUMNS($AC$1006:AD1006),$AC$1006:$AS$1006,0))&gt;=100000), " ",IF(INDEX($AC$2:$AS$1001,MATCH(ROWS($V$2:V714),$V$2:$V$1001,0),MATCH(COLUMNS($AC$1006:AD1006),$AC$1006:$AS$1006,0)), HYPERLINK("#",""), HYPERLINK(CONCATENATE("#metadata!", ADDRESS(INDEX($X$2:$X$1001,MATCH(ROWS($V$2:V714),$V$2:$V$1001,0),0), INDEX($AC$1004:$AS$1004,1,MATCH(COLUMNS($AC$1006:AD1006),$AC$1006:$AS$1006,0)))),"Fix")))</f>
        <v xml:space="preserve"> </v>
      </c>
      <c r="D714" s="4" t="str">
        <f ca="1">IF(OR(INDEX($W$2:$W$1001,MATCH(ROWS($V$2:V714),$V$2:$V$1001,0),1)&gt;=100000,INDEX($AC$1005:$AS$1005,1,MATCH(COLUMNS($AC$1006:AE1006),$AC$1006:$AS$1006,0))&gt;=100000), " ",IF(INDEX($AC$2:$AS$1001,MATCH(ROWS($V$2:V714),$V$2:$V$1001,0),MATCH(COLUMNS($AC$1006:AE1006),$AC$1006:$AS$1006,0)), HYPERLINK("#",""), HYPERLINK(CONCATENATE("#metadata!", ADDRESS(INDEX($X$2:$X$1001,MATCH(ROWS($V$2:V714),$V$2:$V$1001,0),0), INDEX($AC$1004:$AS$1004,1,MATCH(COLUMNS($AC$1006:AE1006),$AC$1006:$AS$1006,0)))),"Fix")))</f>
        <v xml:space="preserve"> </v>
      </c>
      <c r="E714" s="4" t="str">
        <f ca="1">IF(OR(INDEX($W$2:$W$1001,MATCH(ROWS($V$2:V714),$V$2:$V$1001,0),1)&gt;=100000,INDEX($AC$1005:$AS$1005,1,MATCH(COLUMNS($AC$1006:AF1006),$AC$1006:$AS$1006,0))&gt;=100000), " ",IF(INDEX($AC$2:$AS$1001,MATCH(ROWS($V$2:V714),$V$2:$V$1001,0),MATCH(COLUMNS($AC$1006:AF1006),$AC$1006:$AS$1006,0)), HYPERLINK("#",""), HYPERLINK(CONCATENATE("#metadata!", ADDRESS(INDEX($X$2:$X$1001,MATCH(ROWS($V$2:V714),$V$2:$V$1001,0),0), INDEX($AC$1004:$AS$1004,1,MATCH(COLUMNS($AC$1006:AF1006),$AC$1006:$AS$1006,0)))),"Fix")))</f>
        <v xml:space="preserve"> </v>
      </c>
      <c r="F714" s="4" t="str">
        <f ca="1">IF(OR(INDEX($W$2:$W$1001,MATCH(ROWS($V$2:V714),$V$2:$V$1001,0),1)&gt;=100000,INDEX($AC$1005:$AS$1005,1,MATCH(COLUMNS($AC$1006:AG1006),$AC$1006:$AS$1006,0))&gt;=100000), " ",IF(INDEX($AC$2:$AS$1001,MATCH(ROWS($V$2:V714),$V$2:$V$1001,0),MATCH(COLUMNS($AC$1006:AG1006),$AC$1006:$AS$1006,0)), HYPERLINK("#",""), HYPERLINK(CONCATENATE("#metadata!", ADDRESS(INDEX($X$2:$X$1001,MATCH(ROWS($V$2:V714),$V$2:$V$1001,0),0), INDEX($AC$1004:$AS$1004,1,MATCH(COLUMNS($AC$1006:AG1006),$AC$1006:$AS$1006,0)))),"Fix")))</f>
        <v xml:space="preserve"> </v>
      </c>
      <c r="G714" s="4" t="str">
        <f ca="1">IF(OR(INDEX($W$2:$W$1001,MATCH(ROWS($V$2:V714),$V$2:$V$1001,0),1)&gt;=100000,INDEX($AC$1005:$AS$1005,1,MATCH(COLUMNS($AC$1006:AH1006),$AC$1006:$AS$1006,0))&gt;=100000), " ",IF(INDEX($AC$2:$AS$1001,MATCH(ROWS($V$2:V714),$V$2:$V$1001,0),MATCH(COLUMNS($AC$1006:AH1006),$AC$1006:$AS$1006,0)), HYPERLINK("#",""), HYPERLINK(CONCATENATE("#metadata!", ADDRESS(INDEX($X$2:$X$1001,MATCH(ROWS($V$2:V714),$V$2:$V$1001,0),0), INDEX($AC$1004:$AS$1004,1,MATCH(COLUMNS($AC$1006:AH1006),$AC$1006:$AS$1006,0)))),"Fix")))</f>
        <v xml:space="preserve"> </v>
      </c>
      <c r="H714" s="4" t="str">
        <f ca="1">IF(OR(INDEX($W$2:$W$1001,MATCH(ROWS($V$2:V714),$V$2:$V$1001,0),1)&gt;=100000,INDEX($AC$1005:$AS$1005,1,MATCH(COLUMNS($AC$1006:AI1006),$AC$1006:$AS$1006,0))&gt;=100000), " ",IF(INDEX($AC$2:$AS$1001,MATCH(ROWS($V$2:V714),$V$2:$V$1001,0),MATCH(COLUMNS($AC$1006:AI1006),$AC$1006:$AS$1006,0)), HYPERLINK("#",""), HYPERLINK(CONCATENATE("#metadata!", ADDRESS(INDEX($X$2:$X$1001,MATCH(ROWS($V$2:V714),$V$2:$V$1001,0),0), INDEX($AC$1004:$AS$1004,1,MATCH(COLUMNS($AC$1006:AI1006),$AC$1006:$AS$1006,0)))),"Fix")))</f>
        <v xml:space="preserve"> </v>
      </c>
      <c r="I714" s="4" t="str">
        <f ca="1">IF(OR(INDEX($W$2:$W$1001,MATCH(ROWS($V$2:V714),$V$2:$V$1001,0),1)&gt;=100000,INDEX($AC$1005:$AS$1005,1,MATCH(COLUMNS($AC$1006:AJ1006),$AC$1006:$AS$1006,0))&gt;=100000), " ",IF(INDEX($AC$2:$AS$1001,MATCH(ROWS($V$2:V714),$V$2:$V$1001,0),MATCH(COLUMNS($AC$1006:AJ1006),$AC$1006:$AS$1006,0)), HYPERLINK("#",""), HYPERLINK(CONCATENATE("#metadata!", ADDRESS(INDEX($X$2:$X$1001,MATCH(ROWS($V$2:V714),$V$2:$V$1001,0),0), INDEX($AC$1004:$AS$1004,1,MATCH(COLUMNS($AC$1006:AJ1006),$AC$1006:$AS$1006,0)))),"Fix")))</f>
        <v xml:space="preserve"> </v>
      </c>
      <c r="J714" s="4" t="str">
        <f ca="1">IF(OR(INDEX($W$2:$W$1001,MATCH(ROWS($V$2:V714),$V$2:$V$1001,0),1)&gt;=100000,INDEX($AC$1005:$AS$1005,1,MATCH(COLUMNS($AC$1006:AK1006),$AC$1006:$AS$1006,0))&gt;=100000), " ",IF(INDEX($AC$2:$AS$1001,MATCH(ROWS($V$2:V714),$V$2:$V$1001,0),MATCH(COLUMNS($AC$1006:AK1006),$AC$1006:$AS$1006,0)), HYPERLINK("#",""), HYPERLINK(CONCATENATE("#metadata!", ADDRESS(INDEX($X$2:$X$1001,MATCH(ROWS($V$2:V714),$V$2:$V$1001,0),0), INDEX($AC$1004:$AS$1004,1,MATCH(COLUMNS($AC$1006:AK1006),$AC$1006:$AS$1006,0)))),"Fix")))</f>
        <v xml:space="preserve"> </v>
      </c>
      <c r="K714" s="4" t="str">
        <f ca="1">IF(OR(INDEX($W$2:$W$1001,MATCH(ROWS($V$2:V714),$V$2:$V$1001,0),1)&gt;=100000,INDEX($AC$1005:$AS$1005,1,MATCH(COLUMNS($AC$1006:AL1006),$AC$1006:$AS$1006,0))&gt;=100000), " ",IF(INDEX($AC$2:$AS$1001,MATCH(ROWS($V$2:V714),$V$2:$V$1001,0),MATCH(COLUMNS($AC$1006:AL1006),$AC$1006:$AS$1006,0)), HYPERLINK("#",""), HYPERLINK(CONCATENATE("#metadata!", ADDRESS(INDEX($X$2:$X$1001,MATCH(ROWS($V$2:V714),$V$2:$V$1001,0),0), INDEX($AC$1004:$AS$1004,1,MATCH(COLUMNS($AC$1006:AL1006),$AC$1006:$AS$1006,0)))),"Fix")))</f>
        <v xml:space="preserve"> </v>
      </c>
      <c r="L714" s="4" t="str">
        <f ca="1">IF(OR(INDEX($W$2:$W$1001,MATCH(ROWS($V$2:V714),$V$2:$V$1001,0),1)&gt;=100000,INDEX($AC$1005:$AS$1005,1,MATCH(COLUMNS($AC$1006:AM1006),$AC$1006:$AS$1006,0))&gt;=100000), " ",IF(INDEX($AC$2:$AS$1001,MATCH(ROWS($V$2:V714),$V$2:$V$1001,0),MATCH(COLUMNS($AC$1006:AM1006),$AC$1006:$AS$1006,0)), HYPERLINK("#",""), HYPERLINK(CONCATENATE("#metadata!", ADDRESS(INDEX($X$2:$X$1001,MATCH(ROWS($V$2:V714),$V$2:$V$1001,0),0), INDEX($AC$1004:$AS$1004,1,MATCH(COLUMNS($AC$1006:AM1006),$AC$1006:$AS$1006,0)))),"Fix")))</f>
        <v xml:space="preserve"> </v>
      </c>
      <c r="M714" s="4" t="str">
        <f ca="1">IF(OR(INDEX($W$2:$W$1001,MATCH(ROWS($V$2:V714),$V$2:$V$1001,0),1)&gt;=100000,INDEX($AC$1005:$AS$1005,1,MATCH(COLUMNS($AC$1006:AN1006),$AC$1006:$AS$1006,0))&gt;=100000), " ",IF(INDEX($AC$2:$AS$1001,MATCH(ROWS($V$2:V714),$V$2:$V$1001,0),MATCH(COLUMNS($AC$1006:AN1006),$AC$1006:$AS$1006,0)), HYPERLINK("#",""), HYPERLINK(CONCATENATE("#metadata!", ADDRESS(INDEX($X$2:$X$1001,MATCH(ROWS($V$2:V714),$V$2:$V$1001,0),0), INDEX($AC$1004:$AS$1004,1,MATCH(COLUMNS($AC$1006:AN1006),$AC$1006:$AS$1006,0)))),"Fix")))</f>
        <v xml:space="preserve"> </v>
      </c>
      <c r="N714" s="4" t="str">
        <f ca="1">IF(OR(INDEX($W$2:$W$1001,MATCH(ROWS($V$2:V714),$V$2:$V$1001,0),1)&gt;=100000,INDEX($AC$1005:$AS$1005,1,MATCH(COLUMNS($AC$1006:AO1006),$AC$1006:$AS$1006,0))&gt;=100000), " ",IF(INDEX($AC$2:$AS$1001,MATCH(ROWS($V$2:V714),$V$2:$V$1001,0),MATCH(COLUMNS($AC$1006:AO1006),$AC$1006:$AS$1006,0)), HYPERLINK("#",""), HYPERLINK(CONCATENATE("#metadata!", ADDRESS(INDEX($X$2:$X$1001,MATCH(ROWS($V$2:V714),$V$2:$V$1001,0),0), INDEX($AC$1004:$AS$1004,1,MATCH(COLUMNS($AC$1006:AO1006),$AC$1006:$AS$1006,0)))),"Fix")))</f>
        <v xml:space="preserve"> </v>
      </c>
      <c r="O714" s="4" t="str">
        <f ca="1">IF(OR(INDEX($W$2:$W$1001,MATCH(ROWS($V$2:V714),$V$2:$V$1001,0),1)&gt;=100000,INDEX($AC$1005:$AS$1005,1,MATCH(COLUMNS($AC$1006:AP1006),$AC$1006:$AS$1006,0))&gt;=100000), " ",IF(INDEX($AC$2:$AS$1001,MATCH(ROWS($V$2:V714),$V$2:$V$1001,0),MATCH(COLUMNS($AC$1006:AP1006),$AC$1006:$AS$1006,0)), HYPERLINK("#",""), HYPERLINK(CONCATENATE("#metadata!", ADDRESS(INDEX($X$2:$X$1001,MATCH(ROWS($V$2:V714),$V$2:$V$1001,0),0), INDEX($AC$1004:$AS$1004,1,MATCH(COLUMNS($AC$1006:AP1006),$AC$1006:$AS$1006,0)))),"Fix")))</f>
        <v xml:space="preserve"> </v>
      </c>
      <c r="P714" s="4" t="str">
        <f ca="1">IF(OR(INDEX($W$2:$W$1001,MATCH(ROWS($V$2:V714),$V$2:$V$1001,0),1)&gt;=100000,INDEX($AC$1005:$AS$1005,1,MATCH(COLUMNS($AC$1006:AQ1006),$AC$1006:$AS$1006,0))&gt;=100000), " ",IF(INDEX($AC$2:$AS$1001,MATCH(ROWS($V$2:V714),$V$2:$V$1001,0),MATCH(COLUMNS($AC$1006:AQ1006),$AC$1006:$AS$1006,0)), HYPERLINK("#",""), HYPERLINK(CONCATENATE("#metadata!", ADDRESS(INDEX($X$2:$X$1001,MATCH(ROWS($V$2:V714),$V$2:$V$1001,0),0), INDEX($AC$1004:$AS$1004,1,MATCH(COLUMNS($AC$1006:AQ1006),$AC$1006:$AS$1006,0)))),"Fix")))</f>
        <v xml:space="preserve"> </v>
      </c>
      <c r="Q714" s="4" t="str">
        <f ca="1">IF(OR(INDEX($W$2:$W$1001,MATCH(ROWS($V$2:V714),$V$2:$V$1001,0),1)&gt;=100000,INDEX($AC$1005:$AS$1005,1,MATCH(COLUMNS($AC$1006:AR1006),$AC$1006:$AS$1006,0))&gt;=100000), " ",IF(INDEX($AC$2:$AS$1001,MATCH(ROWS($V$2:V714),$V$2:$V$1001,0),MATCH(COLUMNS($AC$1006:AR1006),$AC$1006:$AS$1006,0)), HYPERLINK("#",""), HYPERLINK(CONCATENATE("#metadata!", ADDRESS(INDEX($X$2:$X$1001,MATCH(ROWS($V$2:V714),$V$2:$V$1001,0),0), INDEX($AC$1004:$AS$1004,1,MATCH(COLUMNS($AC$1006:AR1006),$AC$1006:$AS$1006,0)))),"Fix")))</f>
        <v xml:space="preserve"> </v>
      </c>
      <c r="R714" s="4" t="str">
        <f ca="1">IF(OR(INDEX($W$2:$W$1001,MATCH(ROWS($V$2:V714),$V$2:$V$1001,0),1)&gt;=100000,INDEX($AC$1005:$AS$1005,1,MATCH(COLUMNS($AC$1006:AS1006),$AC$1006:$AS$1006,0))&gt;=100000), " ",IF(INDEX($AC$2:$AS$1001,MATCH(ROWS($V$2:V714),$V$2:$V$1001,0),MATCH(COLUMNS($AC$1006:AS1006),$AC$1006:$AS$1006,0)), HYPERLINK("#",""), HYPERLINK(CONCATENATE("#metadata!", ADDRESS(INDEX($X$2:$X$1001,MATCH(ROWS($V$2:V714),$V$2:$V$1001,0),0), INDEX($AC$1004:$AS$1004,1,MATCH(COLUMNS($AC$1006:AS1006),$AC$1006:$AS$1006,0)))),"Fix")))</f>
        <v xml:space="preserve"> </v>
      </c>
      <c r="V714">
        <v>713</v>
      </c>
      <c r="W714">
        <v>100714</v>
      </c>
      <c r="X714">
        <v>714</v>
      </c>
      <c r="Y714" t="b">
        <f t="shared" si="11"/>
        <v>1</v>
      </c>
      <c r="Z714" t="b">
        <f>COUNTBLANK(metadata!B714:R714)=COLUMNS(metadata!B714:R714)</f>
        <v>1</v>
      </c>
      <c r="AA714" t="str">
        <v/>
      </c>
      <c r="AC714" t="b">
        <f ca="1"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AD714" t="b">
        <f>IF(metadata!C714="",FALSE,ISNUMBER(VALUE(metadata!C714)))</f>
        <v>0</v>
      </c>
      <c r="AE714" t="b">
        <f>AND(IF(metadata!D714="",FALSE,TRUE),EXACT(metadata!D714,"years"))</f>
        <v>0</v>
      </c>
      <c r="AF714" t="b">
        <f>OR(AND(IF(metadata!E714="",FALSE,TRUE),OR(EXACT(metadata!E714,"not applicable"),EXACT(metadata!E714,"missing: not collected"),EXACT(metadata!E714,"missing: not provided"),EXACT(metadata!E714,"missing: restricted access"))),AND(IF(metadata!E714="",FALSE,ISNUMBER(VALUE(metadata!E714))),metadata!E714&gt;0))</f>
        <v>0</v>
      </c>
      <c r="AG714" t="b">
        <f>AND(IF(metadata!F714="",FALSE,TRUE),EXACT(metadata!F714,"Not applicable"))</f>
        <v>0</v>
      </c>
      <c r="AH714" t="b">
        <f>AND(IF(metadata!G714="",FALSE,TRUE),EXACT(metadata!G714,"urban biome"))</f>
        <v>0</v>
      </c>
      <c r="AI714" t="b">
        <f>AND(IF(metadata!H714="",FALSE,TRUE),EXACT(metadata!H714,"human-associated habitat"))</f>
        <v>0</v>
      </c>
      <c r="AJ714" t="b">
        <f>AND(IF(metadata!I714="",FALSE,TRUE),OR(EXACT(metadata!I714,"human-associated"),EXACT(metadata!I714,"human-skin"),EXACT(metadata!I714,"human-oral"),EXACT(metadata!I714,"human-gut"),EXACT(metadata!I714,"human-vaginal")))</f>
        <v>0</v>
      </c>
      <c r="AK714" t="b">
        <f>IF(metadata!J714="",FALSE,ISNUMBER(VALUE(metadata!J714)))</f>
        <v>0</v>
      </c>
      <c r="AL714" t="b">
        <f>AND(IF(metadata!K714="",FALSE,TRUE),EXACT(metadata!K714,"cm"))</f>
        <v>0</v>
      </c>
      <c r="AM714" t="b">
        <f>AND(IF(metadata!L714="",FALSE,TRUE),EXACT(metadata!L714,"human"))</f>
        <v>0</v>
      </c>
      <c r="AN714" t="b">
        <f>AND(IF(metadata!M714="",FALSE,TRUE),EXACT(metadata!M714,"Homo sapiens"))</f>
        <v>0</v>
      </c>
      <c r="AO714" t="b">
        <f>AND(IF(metadata!N714="",FALSE,TRUE),EXACT(metadata!N714,"9606"))</f>
        <v>0</v>
      </c>
      <c r="AP714" t="b">
        <f>IF(metadata!O714="",FALSE,TRUE)</f>
        <v>0</v>
      </c>
      <c r="AQ714" t="b">
        <f>IF(metadata!P714="",FALSE,TRUE)</f>
        <v>0</v>
      </c>
      <c r="AR714" t="b">
        <f>IF(metadata!Q714="",FALSE,ISNUMBER(VALUE(metadata!Q714)))</f>
        <v>0</v>
      </c>
      <c r="AS714" t="b">
        <f>AND(IF(metadata!R714="",FALSE,TRUE),EXACT(metadata!R714,"kg"))</f>
        <v>0</v>
      </c>
    </row>
    <row r="715" spans="1:45" x14ac:dyDescent="0.2">
      <c r="A715" s="5" t="str">
        <f ca="1">IF(B715=" "," ",HYPERLINK(CONCATENATE("#metadata!",ADDRESS(INDEX($X$2:$X$1001,MATCH(ROWS($V$2:V715),$V$2:$V$1001,0),0),1)),INDEX($AA$2:$AA$1001,MATCH(ROWS($V$2:V715),$V$2:$V$1001,0),0)))</f>
        <v xml:space="preserve"> </v>
      </c>
      <c r="B715" s="4" t="str">
        <f ca="1">IF(OR(INDEX($W$2:$W$1001,MATCH(ROWS($V$2:V715),$V$2:$V$1001,0),1)&gt;=100000,INDEX($AC$1005:$AS$1005,1,MATCH(COLUMNS($AC$1006:AC1006),$AC$1006:$AS$1006,0))&gt;=100000), " ",IF(INDEX($AC$2:$AS$1001,MATCH(ROWS($V$2:V715),$V$2:$V$1001,0),MATCH(COLUMNS($AC$1006:AC1006),$AC$1006:$AS$1006,0)), HYPERLINK("#",""), HYPERLINK(CONCATENATE("#metadata!", ADDRESS(INDEX($X$2:$X$1001,MATCH(ROWS($V$2:V715),$V$2:$V$1001,0),0), INDEX($AC$1004:$AS$1004,1,MATCH(COLUMNS($AC$1006:AC1006),$AC$1006:$AS$1006,0)))),"Fix")))</f>
        <v xml:space="preserve"> </v>
      </c>
      <c r="C715" s="4" t="str">
        <f ca="1">IF(OR(INDEX($W$2:$W$1001,MATCH(ROWS($V$2:V715),$V$2:$V$1001,0),1)&gt;=100000,INDEX($AC$1005:$AS$1005,1,MATCH(COLUMNS($AC$1006:AD1006),$AC$1006:$AS$1006,0))&gt;=100000), " ",IF(INDEX($AC$2:$AS$1001,MATCH(ROWS($V$2:V715),$V$2:$V$1001,0),MATCH(COLUMNS($AC$1006:AD1006),$AC$1006:$AS$1006,0)), HYPERLINK("#",""), HYPERLINK(CONCATENATE("#metadata!", ADDRESS(INDEX($X$2:$X$1001,MATCH(ROWS($V$2:V715),$V$2:$V$1001,0),0), INDEX($AC$1004:$AS$1004,1,MATCH(COLUMNS($AC$1006:AD1006),$AC$1006:$AS$1006,0)))),"Fix")))</f>
        <v xml:space="preserve"> </v>
      </c>
      <c r="D715" s="4" t="str">
        <f ca="1">IF(OR(INDEX($W$2:$W$1001,MATCH(ROWS($V$2:V715),$V$2:$V$1001,0),1)&gt;=100000,INDEX($AC$1005:$AS$1005,1,MATCH(COLUMNS($AC$1006:AE1006),$AC$1006:$AS$1006,0))&gt;=100000), " ",IF(INDEX($AC$2:$AS$1001,MATCH(ROWS($V$2:V715),$V$2:$V$1001,0),MATCH(COLUMNS($AC$1006:AE1006),$AC$1006:$AS$1006,0)), HYPERLINK("#",""), HYPERLINK(CONCATENATE("#metadata!", ADDRESS(INDEX($X$2:$X$1001,MATCH(ROWS($V$2:V715),$V$2:$V$1001,0),0), INDEX($AC$1004:$AS$1004,1,MATCH(COLUMNS($AC$1006:AE1006),$AC$1006:$AS$1006,0)))),"Fix")))</f>
        <v xml:space="preserve"> </v>
      </c>
      <c r="E715" s="4" t="str">
        <f ca="1">IF(OR(INDEX($W$2:$W$1001,MATCH(ROWS($V$2:V715),$V$2:$V$1001,0),1)&gt;=100000,INDEX($AC$1005:$AS$1005,1,MATCH(COLUMNS($AC$1006:AF1006),$AC$1006:$AS$1006,0))&gt;=100000), " ",IF(INDEX($AC$2:$AS$1001,MATCH(ROWS($V$2:V715),$V$2:$V$1001,0),MATCH(COLUMNS($AC$1006:AF1006),$AC$1006:$AS$1006,0)), HYPERLINK("#",""), HYPERLINK(CONCATENATE("#metadata!", ADDRESS(INDEX($X$2:$X$1001,MATCH(ROWS($V$2:V715),$V$2:$V$1001,0),0), INDEX($AC$1004:$AS$1004,1,MATCH(COLUMNS($AC$1006:AF1006),$AC$1006:$AS$1006,0)))),"Fix")))</f>
        <v xml:space="preserve"> </v>
      </c>
      <c r="F715" s="4" t="str">
        <f ca="1">IF(OR(INDEX($W$2:$W$1001,MATCH(ROWS($V$2:V715),$V$2:$V$1001,0),1)&gt;=100000,INDEX($AC$1005:$AS$1005,1,MATCH(COLUMNS($AC$1006:AG1006),$AC$1006:$AS$1006,0))&gt;=100000), " ",IF(INDEX($AC$2:$AS$1001,MATCH(ROWS($V$2:V715),$V$2:$V$1001,0),MATCH(COLUMNS($AC$1006:AG1006),$AC$1006:$AS$1006,0)), HYPERLINK("#",""), HYPERLINK(CONCATENATE("#metadata!", ADDRESS(INDEX($X$2:$X$1001,MATCH(ROWS($V$2:V715),$V$2:$V$1001,0),0), INDEX($AC$1004:$AS$1004,1,MATCH(COLUMNS($AC$1006:AG1006),$AC$1006:$AS$1006,0)))),"Fix")))</f>
        <v xml:space="preserve"> </v>
      </c>
      <c r="G715" s="4" t="str">
        <f ca="1">IF(OR(INDEX($W$2:$W$1001,MATCH(ROWS($V$2:V715),$V$2:$V$1001,0),1)&gt;=100000,INDEX($AC$1005:$AS$1005,1,MATCH(COLUMNS($AC$1006:AH1006),$AC$1006:$AS$1006,0))&gt;=100000), " ",IF(INDEX($AC$2:$AS$1001,MATCH(ROWS($V$2:V715),$V$2:$V$1001,0),MATCH(COLUMNS($AC$1006:AH1006),$AC$1006:$AS$1006,0)), HYPERLINK("#",""), HYPERLINK(CONCATENATE("#metadata!", ADDRESS(INDEX($X$2:$X$1001,MATCH(ROWS($V$2:V715),$V$2:$V$1001,0),0), INDEX($AC$1004:$AS$1004,1,MATCH(COLUMNS($AC$1006:AH1006),$AC$1006:$AS$1006,0)))),"Fix")))</f>
        <v xml:space="preserve"> </v>
      </c>
      <c r="H715" s="4" t="str">
        <f ca="1">IF(OR(INDEX($W$2:$W$1001,MATCH(ROWS($V$2:V715),$V$2:$V$1001,0),1)&gt;=100000,INDEX($AC$1005:$AS$1005,1,MATCH(COLUMNS($AC$1006:AI1006),$AC$1006:$AS$1006,0))&gt;=100000), " ",IF(INDEX($AC$2:$AS$1001,MATCH(ROWS($V$2:V715),$V$2:$V$1001,0),MATCH(COLUMNS($AC$1006:AI1006),$AC$1006:$AS$1006,0)), HYPERLINK("#",""), HYPERLINK(CONCATENATE("#metadata!", ADDRESS(INDEX($X$2:$X$1001,MATCH(ROWS($V$2:V715),$V$2:$V$1001,0),0), INDEX($AC$1004:$AS$1004,1,MATCH(COLUMNS($AC$1006:AI1006),$AC$1006:$AS$1006,0)))),"Fix")))</f>
        <v xml:space="preserve"> </v>
      </c>
      <c r="I715" s="4" t="str">
        <f ca="1">IF(OR(INDEX($W$2:$W$1001,MATCH(ROWS($V$2:V715),$V$2:$V$1001,0),1)&gt;=100000,INDEX($AC$1005:$AS$1005,1,MATCH(COLUMNS($AC$1006:AJ1006),$AC$1006:$AS$1006,0))&gt;=100000), " ",IF(INDEX($AC$2:$AS$1001,MATCH(ROWS($V$2:V715),$V$2:$V$1001,0),MATCH(COLUMNS($AC$1006:AJ1006),$AC$1006:$AS$1006,0)), HYPERLINK("#",""), HYPERLINK(CONCATENATE("#metadata!", ADDRESS(INDEX($X$2:$X$1001,MATCH(ROWS($V$2:V715),$V$2:$V$1001,0),0), INDEX($AC$1004:$AS$1004,1,MATCH(COLUMNS($AC$1006:AJ1006),$AC$1006:$AS$1006,0)))),"Fix")))</f>
        <v xml:space="preserve"> </v>
      </c>
      <c r="J715" s="4" t="str">
        <f ca="1">IF(OR(INDEX($W$2:$W$1001,MATCH(ROWS($V$2:V715),$V$2:$V$1001,0),1)&gt;=100000,INDEX($AC$1005:$AS$1005,1,MATCH(COLUMNS($AC$1006:AK1006),$AC$1006:$AS$1006,0))&gt;=100000), " ",IF(INDEX($AC$2:$AS$1001,MATCH(ROWS($V$2:V715),$V$2:$V$1001,0),MATCH(COLUMNS($AC$1006:AK1006),$AC$1006:$AS$1006,0)), HYPERLINK("#",""), HYPERLINK(CONCATENATE("#metadata!", ADDRESS(INDEX($X$2:$X$1001,MATCH(ROWS($V$2:V715),$V$2:$V$1001,0),0), INDEX($AC$1004:$AS$1004,1,MATCH(COLUMNS($AC$1006:AK1006),$AC$1006:$AS$1006,0)))),"Fix")))</f>
        <v xml:space="preserve"> </v>
      </c>
      <c r="K715" s="4" t="str">
        <f ca="1">IF(OR(INDEX($W$2:$W$1001,MATCH(ROWS($V$2:V715),$V$2:$V$1001,0),1)&gt;=100000,INDEX($AC$1005:$AS$1005,1,MATCH(COLUMNS($AC$1006:AL1006),$AC$1006:$AS$1006,0))&gt;=100000), " ",IF(INDEX($AC$2:$AS$1001,MATCH(ROWS($V$2:V715),$V$2:$V$1001,0),MATCH(COLUMNS($AC$1006:AL1006),$AC$1006:$AS$1006,0)), HYPERLINK("#",""), HYPERLINK(CONCATENATE("#metadata!", ADDRESS(INDEX($X$2:$X$1001,MATCH(ROWS($V$2:V715),$V$2:$V$1001,0),0), INDEX($AC$1004:$AS$1004,1,MATCH(COLUMNS($AC$1006:AL1006),$AC$1006:$AS$1006,0)))),"Fix")))</f>
        <v xml:space="preserve"> </v>
      </c>
      <c r="L715" s="4" t="str">
        <f ca="1">IF(OR(INDEX($W$2:$W$1001,MATCH(ROWS($V$2:V715),$V$2:$V$1001,0),1)&gt;=100000,INDEX($AC$1005:$AS$1005,1,MATCH(COLUMNS($AC$1006:AM1006),$AC$1006:$AS$1006,0))&gt;=100000), " ",IF(INDEX($AC$2:$AS$1001,MATCH(ROWS($V$2:V715),$V$2:$V$1001,0),MATCH(COLUMNS($AC$1006:AM1006),$AC$1006:$AS$1006,0)), HYPERLINK("#",""), HYPERLINK(CONCATENATE("#metadata!", ADDRESS(INDEX($X$2:$X$1001,MATCH(ROWS($V$2:V715),$V$2:$V$1001,0),0), INDEX($AC$1004:$AS$1004,1,MATCH(COLUMNS($AC$1006:AM1006),$AC$1006:$AS$1006,0)))),"Fix")))</f>
        <v xml:space="preserve"> </v>
      </c>
      <c r="M715" s="4" t="str">
        <f ca="1">IF(OR(INDEX($W$2:$W$1001,MATCH(ROWS($V$2:V715),$V$2:$V$1001,0),1)&gt;=100000,INDEX($AC$1005:$AS$1005,1,MATCH(COLUMNS($AC$1006:AN1006),$AC$1006:$AS$1006,0))&gt;=100000), " ",IF(INDEX($AC$2:$AS$1001,MATCH(ROWS($V$2:V715),$V$2:$V$1001,0),MATCH(COLUMNS($AC$1006:AN1006),$AC$1006:$AS$1006,0)), HYPERLINK("#",""), HYPERLINK(CONCATENATE("#metadata!", ADDRESS(INDEX($X$2:$X$1001,MATCH(ROWS($V$2:V715),$V$2:$V$1001,0),0), INDEX($AC$1004:$AS$1004,1,MATCH(COLUMNS($AC$1006:AN1006),$AC$1006:$AS$1006,0)))),"Fix")))</f>
        <v xml:space="preserve"> </v>
      </c>
      <c r="N715" s="4" t="str">
        <f ca="1">IF(OR(INDEX($W$2:$W$1001,MATCH(ROWS($V$2:V715),$V$2:$V$1001,0),1)&gt;=100000,INDEX($AC$1005:$AS$1005,1,MATCH(COLUMNS($AC$1006:AO1006),$AC$1006:$AS$1006,0))&gt;=100000), " ",IF(INDEX($AC$2:$AS$1001,MATCH(ROWS($V$2:V715),$V$2:$V$1001,0),MATCH(COLUMNS($AC$1006:AO1006),$AC$1006:$AS$1006,0)), HYPERLINK("#",""), HYPERLINK(CONCATENATE("#metadata!", ADDRESS(INDEX($X$2:$X$1001,MATCH(ROWS($V$2:V715),$V$2:$V$1001,0),0), INDEX($AC$1004:$AS$1004,1,MATCH(COLUMNS($AC$1006:AO1006),$AC$1006:$AS$1006,0)))),"Fix")))</f>
        <v xml:space="preserve"> </v>
      </c>
      <c r="O715" s="4" t="str">
        <f ca="1">IF(OR(INDEX($W$2:$W$1001,MATCH(ROWS($V$2:V715),$V$2:$V$1001,0),1)&gt;=100000,INDEX($AC$1005:$AS$1005,1,MATCH(COLUMNS($AC$1006:AP1006),$AC$1006:$AS$1006,0))&gt;=100000), " ",IF(INDEX($AC$2:$AS$1001,MATCH(ROWS($V$2:V715),$V$2:$V$1001,0),MATCH(COLUMNS($AC$1006:AP1006),$AC$1006:$AS$1006,0)), HYPERLINK("#",""), HYPERLINK(CONCATENATE("#metadata!", ADDRESS(INDEX($X$2:$X$1001,MATCH(ROWS($V$2:V715),$V$2:$V$1001,0),0), INDEX($AC$1004:$AS$1004,1,MATCH(COLUMNS($AC$1006:AP1006),$AC$1006:$AS$1006,0)))),"Fix")))</f>
        <v xml:space="preserve"> </v>
      </c>
      <c r="P715" s="4" t="str">
        <f ca="1">IF(OR(INDEX($W$2:$W$1001,MATCH(ROWS($V$2:V715),$V$2:$V$1001,0),1)&gt;=100000,INDEX($AC$1005:$AS$1005,1,MATCH(COLUMNS($AC$1006:AQ1006),$AC$1006:$AS$1006,0))&gt;=100000), " ",IF(INDEX($AC$2:$AS$1001,MATCH(ROWS($V$2:V715),$V$2:$V$1001,0),MATCH(COLUMNS($AC$1006:AQ1006),$AC$1006:$AS$1006,0)), HYPERLINK("#",""), HYPERLINK(CONCATENATE("#metadata!", ADDRESS(INDEX($X$2:$X$1001,MATCH(ROWS($V$2:V715),$V$2:$V$1001,0),0), INDEX($AC$1004:$AS$1004,1,MATCH(COLUMNS($AC$1006:AQ1006),$AC$1006:$AS$1006,0)))),"Fix")))</f>
        <v xml:space="preserve"> </v>
      </c>
      <c r="Q715" s="4" t="str">
        <f ca="1">IF(OR(INDEX($W$2:$W$1001,MATCH(ROWS($V$2:V715),$V$2:$V$1001,0),1)&gt;=100000,INDEX($AC$1005:$AS$1005,1,MATCH(COLUMNS($AC$1006:AR1006),$AC$1006:$AS$1006,0))&gt;=100000), " ",IF(INDEX($AC$2:$AS$1001,MATCH(ROWS($V$2:V715),$V$2:$V$1001,0),MATCH(COLUMNS($AC$1006:AR1006),$AC$1006:$AS$1006,0)), HYPERLINK("#",""), HYPERLINK(CONCATENATE("#metadata!", ADDRESS(INDEX($X$2:$X$1001,MATCH(ROWS($V$2:V715),$V$2:$V$1001,0),0), INDEX($AC$1004:$AS$1004,1,MATCH(COLUMNS($AC$1006:AR1006),$AC$1006:$AS$1006,0)))),"Fix")))</f>
        <v xml:space="preserve"> </v>
      </c>
      <c r="R715" s="4" t="str">
        <f ca="1">IF(OR(INDEX($W$2:$W$1001,MATCH(ROWS($V$2:V715),$V$2:$V$1001,0),1)&gt;=100000,INDEX($AC$1005:$AS$1005,1,MATCH(COLUMNS($AC$1006:AS1006),$AC$1006:$AS$1006,0))&gt;=100000), " ",IF(INDEX($AC$2:$AS$1001,MATCH(ROWS($V$2:V715),$V$2:$V$1001,0),MATCH(COLUMNS($AC$1006:AS1006),$AC$1006:$AS$1006,0)), HYPERLINK("#",""), HYPERLINK(CONCATENATE("#metadata!", ADDRESS(INDEX($X$2:$X$1001,MATCH(ROWS($V$2:V715),$V$2:$V$1001,0),0), INDEX($AC$1004:$AS$1004,1,MATCH(COLUMNS($AC$1006:AS1006),$AC$1006:$AS$1006,0)))),"Fix")))</f>
        <v xml:space="preserve"> </v>
      </c>
      <c r="V715">
        <v>714</v>
      </c>
      <c r="W715">
        <v>100715</v>
      </c>
      <c r="X715">
        <v>715</v>
      </c>
      <c r="Y715" t="b">
        <f t="shared" si="11"/>
        <v>1</v>
      </c>
      <c r="Z715" t="b">
        <f>COUNTBLANK(metadata!B715:R715)=COLUMNS(metadata!B715:R715)</f>
        <v>1</v>
      </c>
      <c r="AA715" t="str">
        <v/>
      </c>
      <c r="AC715" t="b">
        <f ca="1"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AD715" t="b">
        <f>IF(metadata!C715="",FALSE,ISNUMBER(VALUE(metadata!C715)))</f>
        <v>0</v>
      </c>
      <c r="AE715" t="b">
        <f>AND(IF(metadata!D715="",FALSE,TRUE),EXACT(metadata!D715,"years"))</f>
        <v>0</v>
      </c>
      <c r="AF715" t="b">
        <f>OR(AND(IF(metadata!E715="",FALSE,TRUE),OR(EXACT(metadata!E715,"not applicable"),EXACT(metadata!E715,"missing: not collected"),EXACT(metadata!E715,"missing: not provided"),EXACT(metadata!E715,"missing: restricted access"))),AND(IF(metadata!E715="",FALSE,ISNUMBER(VALUE(metadata!E715))),metadata!E715&gt;0))</f>
        <v>0</v>
      </c>
      <c r="AG715" t="b">
        <f>AND(IF(metadata!F715="",FALSE,TRUE),EXACT(metadata!F715,"Not applicable"))</f>
        <v>0</v>
      </c>
      <c r="AH715" t="b">
        <f>AND(IF(metadata!G715="",FALSE,TRUE),EXACT(metadata!G715,"urban biome"))</f>
        <v>0</v>
      </c>
      <c r="AI715" t="b">
        <f>AND(IF(metadata!H715="",FALSE,TRUE),EXACT(metadata!H715,"human-associated habitat"))</f>
        <v>0</v>
      </c>
      <c r="AJ715" t="b">
        <f>AND(IF(metadata!I715="",FALSE,TRUE),OR(EXACT(metadata!I715,"human-associated"),EXACT(metadata!I715,"human-skin"),EXACT(metadata!I715,"human-oral"),EXACT(metadata!I715,"human-gut"),EXACT(metadata!I715,"human-vaginal")))</f>
        <v>0</v>
      </c>
      <c r="AK715" t="b">
        <f>IF(metadata!J715="",FALSE,ISNUMBER(VALUE(metadata!J715)))</f>
        <v>0</v>
      </c>
      <c r="AL715" t="b">
        <f>AND(IF(metadata!K715="",FALSE,TRUE),EXACT(metadata!K715,"cm"))</f>
        <v>0</v>
      </c>
      <c r="AM715" t="b">
        <f>AND(IF(metadata!L715="",FALSE,TRUE),EXACT(metadata!L715,"human"))</f>
        <v>0</v>
      </c>
      <c r="AN715" t="b">
        <f>AND(IF(metadata!M715="",FALSE,TRUE),EXACT(metadata!M715,"Homo sapiens"))</f>
        <v>0</v>
      </c>
      <c r="AO715" t="b">
        <f>AND(IF(metadata!N715="",FALSE,TRUE),EXACT(metadata!N715,"9606"))</f>
        <v>0</v>
      </c>
      <c r="AP715" t="b">
        <f>IF(metadata!O715="",FALSE,TRUE)</f>
        <v>0</v>
      </c>
      <c r="AQ715" t="b">
        <f>IF(metadata!P715="",FALSE,TRUE)</f>
        <v>0</v>
      </c>
      <c r="AR715" t="b">
        <f>IF(metadata!Q715="",FALSE,ISNUMBER(VALUE(metadata!Q715)))</f>
        <v>0</v>
      </c>
      <c r="AS715" t="b">
        <f>AND(IF(metadata!R715="",FALSE,TRUE),EXACT(metadata!R715,"kg"))</f>
        <v>0</v>
      </c>
    </row>
    <row r="716" spans="1:45" x14ac:dyDescent="0.2">
      <c r="A716" s="5" t="str">
        <f ca="1">IF(B716=" "," ",HYPERLINK(CONCATENATE("#metadata!",ADDRESS(INDEX($X$2:$X$1001,MATCH(ROWS($V$2:V716),$V$2:$V$1001,0),0),1)),INDEX($AA$2:$AA$1001,MATCH(ROWS($V$2:V716),$V$2:$V$1001,0),0)))</f>
        <v xml:space="preserve"> </v>
      </c>
      <c r="B716" s="4" t="str">
        <f ca="1">IF(OR(INDEX($W$2:$W$1001,MATCH(ROWS($V$2:V716),$V$2:$V$1001,0),1)&gt;=100000,INDEX($AC$1005:$AS$1005,1,MATCH(COLUMNS($AC$1006:AC1006),$AC$1006:$AS$1006,0))&gt;=100000), " ",IF(INDEX($AC$2:$AS$1001,MATCH(ROWS($V$2:V716),$V$2:$V$1001,0),MATCH(COLUMNS($AC$1006:AC1006),$AC$1006:$AS$1006,0)), HYPERLINK("#",""), HYPERLINK(CONCATENATE("#metadata!", ADDRESS(INDEX($X$2:$X$1001,MATCH(ROWS($V$2:V716),$V$2:$V$1001,0),0), INDEX($AC$1004:$AS$1004,1,MATCH(COLUMNS($AC$1006:AC1006),$AC$1006:$AS$1006,0)))),"Fix")))</f>
        <v xml:space="preserve"> </v>
      </c>
      <c r="C716" s="4" t="str">
        <f ca="1">IF(OR(INDEX($W$2:$W$1001,MATCH(ROWS($V$2:V716),$V$2:$V$1001,0),1)&gt;=100000,INDEX($AC$1005:$AS$1005,1,MATCH(COLUMNS($AC$1006:AD1006),$AC$1006:$AS$1006,0))&gt;=100000), " ",IF(INDEX($AC$2:$AS$1001,MATCH(ROWS($V$2:V716),$V$2:$V$1001,0),MATCH(COLUMNS($AC$1006:AD1006),$AC$1006:$AS$1006,0)), HYPERLINK("#",""), HYPERLINK(CONCATENATE("#metadata!", ADDRESS(INDEX($X$2:$X$1001,MATCH(ROWS($V$2:V716),$V$2:$V$1001,0),0), INDEX($AC$1004:$AS$1004,1,MATCH(COLUMNS($AC$1006:AD1006),$AC$1006:$AS$1006,0)))),"Fix")))</f>
        <v xml:space="preserve"> </v>
      </c>
      <c r="D716" s="4" t="str">
        <f ca="1">IF(OR(INDEX($W$2:$W$1001,MATCH(ROWS($V$2:V716),$V$2:$V$1001,0),1)&gt;=100000,INDEX($AC$1005:$AS$1005,1,MATCH(COLUMNS($AC$1006:AE1006),$AC$1006:$AS$1006,0))&gt;=100000), " ",IF(INDEX($AC$2:$AS$1001,MATCH(ROWS($V$2:V716),$V$2:$V$1001,0),MATCH(COLUMNS($AC$1006:AE1006),$AC$1006:$AS$1006,0)), HYPERLINK("#",""), HYPERLINK(CONCATENATE("#metadata!", ADDRESS(INDEX($X$2:$X$1001,MATCH(ROWS($V$2:V716),$V$2:$V$1001,0),0), INDEX($AC$1004:$AS$1004,1,MATCH(COLUMNS($AC$1006:AE1006),$AC$1006:$AS$1006,0)))),"Fix")))</f>
        <v xml:space="preserve"> </v>
      </c>
      <c r="E716" s="4" t="str">
        <f ca="1">IF(OR(INDEX($W$2:$W$1001,MATCH(ROWS($V$2:V716),$V$2:$V$1001,0),1)&gt;=100000,INDEX($AC$1005:$AS$1005,1,MATCH(COLUMNS($AC$1006:AF1006),$AC$1006:$AS$1006,0))&gt;=100000), " ",IF(INDEX($AC$2:$AS$1001,MATCH(ROWS($V$2:V716),$V$2:$V$1001,0),MATCH(COLUMNS($AC$1006:AF1006),$AC$1006:$AS$1006,0)), HYPERLINK("#",""), HYPERLINK(CONCATENATE("#metadata!", ADDRESS(INDEX($X$2:$X$1001,MATCH(ROWS($V$2:V716),$V$2:$V$1001,0),0), INDEX($AC$1004:$AS$1004,1,MATCH(COLUMNS($AC$1006:AF1006),$AC$1006:$AS$1006,0)))),"Fix")))</f>
        <v xml:space="preserve"> </v>
      </c>
      <c r="F716" s="4" t="str">
        <f ca="1">IF(OR(INDEX($W$2:$W$1001,MATCH(ROWS($V$2:V716),$V$2:$V$1001,0),1)&gt;=100000,INDEX($AC$1005:$AS$1005,1,MATCH(COLUMNS($AC$1006:AG1006),$AC$1006:$AS$1006,0))&gt;=100000), " ",IF(INDEX($AC$2:$AS$1001,MATCH(ROWS($V$2:V716),$V$2:$V$1001,0),MATCH(COLUMNS($AC$1006:AG1006),$AC$1006:$AS$1006,0)), HYPERLINK("#",""), HYPERLINK(CONCATENATE("#metadata!", ADDRESS(INDEX($X$2:$X$1001,MATCH(ROWS($V$2:V716),$V$2:$V$1001,0),0), INDEX($AC$1004:$AS$1004,1,MATCH(COLUMNS($AC$1006:AG1006),$AC$1006:$AS$1006,0)))),"Fix")))</f>
        <v xml:space="preserve"> </v>
      </c>
      <c r="G716" s="4" t="str">
        <f ca="1">IF(OR(INDEX($W$2:$W$1001,MATCH(ROWS($V$2:V716),$V$2:$V$1001,0),1)&gt;=100000,INDEX($AC$1005:$AS$1005,1,MATCH(COLUMNS($AC$1006:AH1006),$AC$1006:$AS$1006,0))&gt;=100000), " ",IF(INDEX($AC$2:$AS$1001,MATCH(ROWS($V$2:V716),$V$2:$V$1001,0),MATCH(COLUMNS($AC$1006:AH1006),$AC$1006:$AS$1006,0)), HYPERLINK("#",""), HYPERLINK(CONCATENATE("#metadata!", ADDRESS(INDEX($X$2:$X$1001,MATCH(ROWS($V$2:V716),$V$2:$V$1001,0),0), INDEX($AC$1004:$AS$1004,1,MATCH(COLUMNS($AC$1006:AH1006),$AC$1006:$AS$1006,0)))),"Fix")))</f>
        <v xml:space="preserve"> </v>
      </c>
      <c r="H716" s="4" t="str">
        <f ca="1">IF(OR(INDEX($W$2:$W$1001,MATCH(ROWS($V$2:V716),$V$2:$V$1001,0),1)&gt;=100000,INDEX($AC$1005:$AS$1005,1,MATCH(COLUMNS($AC$1006:AI1006),$AC$1006:$AS$1006,0))&gt;=100000), " ",IF(INDEX($AC$2:$AS$1001,MATCH(ROWS($V$2:V716),$V$2:$V$1001,0),MATCH(COLUMNS($AC$1006:AI1006),$AC$1006:$AS$1006,0)), HYPERLINK("#",""), HYPERLINK(CONCATENATE("#metadata!", ADDRESS(INDEX($X$2:$X$1001,MATCH(ROWS($V$2:V716),$V$2:$V$1001,0),0), INDEX($AC$1004:$AS$1004,1,MATCH(COLUMNS($AC$1006:AI1006),$AC$1006:$AS$1006,0)))),"Fix")))</f>
        <v xml:space="preserve"> </v>
      </c>
      <c r="I716" s="4" t="str">
        <f ca="1">IF(OR(INDEX($W$2:$W$1001,MATCH(ROWS($V$2:V716),$V$2:$V$1001,0),1)&gt;=100000,INDEX($AC$1005:$AS$1005,1,MATCH(COLUMNS($AC$1006:AJ1006),$AC$1006:$AS$1006,0))&gt;=100000), " ",IF(INDEX($AC$2:$AS$1001,MATCH(ROWS($V$2:V716),$V$2:$V$1001,0),MATCH(COLUMNS($AC$1006:AJ1006),$AC$1006:$AS$1006,0)), HYPERLINK("#",""), HYPERLINK(CONCATENATE("#metadata!", ADDRESS(INDEX($X$2:$X$1001,MATCH(ROWS($V$2:V716),$V$2:$V$1001,0),0), INDEX($AC$1004:$AS$1004,1,MATCH(COLUMNS($AC$1006:AJ1006),$AC$1006:$AS$1006,0)))),"Fix")))</f>
        <v xml:space="preserve"> </v>
      </c>
      <c r="J716" s="4" t="str">
        <f ca="1">IF(OR(INDEX($W$2:$W$1001,MATCH(ROWS($V$2:V716),$V$2:$V$1001,0),1)&gt;=100000,INDEX($AC$1005:$AS$1005,1,MATCH(COLUMNS($AC$1006:AK1006),$AC$1006:$AS$1006,0))&gt;=100000), " ",IF(INDEX($AC$2:$AS$1001,MATCH(ROWS($V$2:V716),$V$2:$V$1001,0),MATCH(COLUMNS($AC$1006:AK1006),$AC$1006:$AS$1006,0)), HYPERLINK("#",""), HYPERLINK(CONCATENATE("#metadata!", ADDRESS(INDEX($X$2:$X$1001,MATCH(ROWS($V$2:V716),$V$2:$V$1001,0),0), INDEX($AC$1004:$AS$1004,1,MATCH(COLUMNS($AC$1006:AK1006),$AC$1006:$AS$1006,0)))),"Fix")))</f>
        <v xml:space="preserve"> </v>
      </c>
      <c r="K716" s="4" t="str">
        <f ca="1">IF(OR(INDEX($W$2:$W$1001,MATCH(ROWS($V$2:V716),$V$2:$V$1001,0),1)&gt;=100000,INDEX($AC$1005:$AS$1005,1,MATCH(COLUMNS($AC$1006:AL1006),$AC$1006:$AS$1006,0))&gt;=100000), " ",IF(INDEX($AC$2:$AS$1001,MATCH(ROWS($V$2:V716),$V$2:$V$1001,0),MATCH(COLUMNS($AC$1006:AL1006),$AC$1006:$AS$1006,0)), HYPERLINK("#",""), HYPERLINK(CONCATENATE("#metadata!", ADDRESS(INDEX($X$2:$X$1001,MATCH(ROWS($V$2:V716),$V$2:$V$1001,0),0), INDEX($AC$1004:$AS$1004,1,MATCH(COLUMNS($AC$1006:AL1006),$AC$1006:$AS$1006,0)))),"Fix")))</f>
        <v xml:space="preserve"> </v>
      </c>
      <c r="L716" s="4" t="str">
        <f ca="1">IF(OR(INDEX($W$2:$W$1001,MATCH(ROWS($V$2:V716),$V$2:$V$1001,0),1)&gt;=100000,INDEX($AC$1005:$AS$1005,1,MATCH(COLUMNS($AC$1006:AM1006),$AC$1006:$AS$1006,0))&gt;=100000), " ",IF(INDEX($AC$2:$AS$1001,MATCH(ROWS($V$2:V716),$V$2:$V$1001,0),MATCH(COLUMNS($AC$1006:AM1006),$AC$1006:$AS$1006,0)), HYPERLINK("#",""), HYPERLINK(CONCATENATE("#metadata!", ADDRESS(INDEX($X$2:$X$1001,MATCH(ROWS($V$2:V716),$V$2:$V$1001,0),0), INDEX($AC$1004:$AS$1004,1,MATCH(COLUMNS($AC$1006:AM1006),$AC$1006:$AS$1006,0)))),"Fix")))</f>
        <v xml:space="preserve"> </v>
      </c>
      <c r="M716" s="4" t="str">
        <f ca="1">IF(OR(INDEX($W$2:$W$1001,MATCH(ROWS($V$2:V716),$V$2:$V$1001,0),1)&gt;=100000,INDEX($AC$1005:$AS$1005,1,MATCH(COLUMNS($AC$1006:AN1006),$AC$1006:$AS$1006,0))&gt;=100000), " ",IF(INDEX($AC$2:$AS$1001,MATCH(ROWS($V$2:V716),$V$2:$V$1001,0),MATCH(COLUMNS($AC$1006:AN1006),$AC$1006:$AS$1006,0)), HYPERLINK("#",""), HYPERLINK(CONCATENATE("#metadata!", ADDRESS(INDEX($X$2:$X$1001,MATCH(ROWS($V$2:V716),$V$2:$V$1001,0),0), INDEX($AC$1004:$AS$1004,1,MATCH(COLUMNS($AC$1006:AN1006),$AC$1006:$AS$1006,0)))),"Fix")))</f>
        <v xml:space="preserve"> </v>
      </c>
      <c r="N716" s="4" t="str">
        <f ca="1">IF(OR(INDEX($W$2:$W$1001,MATCH(ROWS($V$2:V716),$V$2:$V$1001,0),1)&gt;=100000,INDEX($AC$1005:$AS$1005,1,MATCH(COLUMNS($AC$1006:AO1006),$AC$1006:$AS$1006,0))&gt;=100000), " ",IF(INDEX($AC$2:$AS$1001,MATCH(ROWS($V$2:V716),$V$2:$V$1001,0),MATCH(COLUMNS($AC$1006:AO1006),$AC$1006:$AS$1006,0)), HYPERLINK("#",""), HYPERLINK(CONCATENATE("#metadata!", ADDRESS(INDEX($X$2:$X$1001,MATCH(ROWS($V$2:V716),$V$2:$V$1001,0),0), INDEX($AC$1004:$AS$1004,1,MATCH(COLUMNS($AC$1006:AO1006),$AC$1006:$AS$1006,0)))),"Fix")))</f>
        <v xml:space="preserve"> </v>
      </c>
      <c r="O716" s="4" t="str">
        <f ca="1">IF(OR(INDEX($W$2:$W$1001,MATCH(ROWS($V$2:V716),$V$2:$V$1001,0),1)&gt;=100000,INDEX($AC$1005:$AS$1005,1,MATCH(COLUMNS($AC$1006:AP1006),$AC$1006:$AS$1006,0))&gt;=100000), " ",IF(INDEX($AC$2:$AS$1001,MATCH(ROWS($V$2:V716),$V$2:$V$1001,0),MATCH(COLUMNS($AC$1006:AP1006),$AC$1006:$AS$1006,0)), HYPERLINK("#",""), HYPERLINK(CONCATENATE("#metadata!", ADDRESS(INDEX($X$2:$X$1001,MATCH(ROWS($V$2:V716),$V$2:$V$1001,0),0), INDEX($AC$1004:$AS$1004,1,MATCH(COLUMNS($AC$1006:AP1006),$AC$1006:$AS$1006,0)))),"Fix")))</f>
        <v xml:space="preserve"> </v>
      </c>
      <c r="P716" s="4" t="str">
        <f ca="1">IF(OR(INDEX($W$2:$W$1001,MATCH(ROWS($V$2:V716),$V$2:$V$1001,0),1)&gt;=100000,INDEX($AC$1005:$AS$1005,1,MATCH(COLUMNS($AC$1006:AQ1006),$AC$1006:$AS$1006,0))&gt;=100000), " ",IF(INDEX($AC$2:$AS$1001,MATCH(ROWS($V$2:V716),$V$2:$V$1001,0),MATCH(COLUMNS($AC$1006:AQ1006),$AC$1006:$AS$1006,0)), HYPERLINK("#",""), HYPERLINK(CONCATENATE("#metadata!", ADDRESS(INDEX($X$2:$X$1001,MATCH(ROWS($V$2:V716),$V$2:$V$1001,0),0), INDEX($AC$1004:$AS$1004,1,MATCH(COLUMNS($AC$1006:AQ1006),$AC$1006:$AS$1006,0)))),"Fix")))</f>
        <v xml:space="preserve"> </v>
      </c>
      <c r="Q716" s="4" t="str">
        <f ca="1">IF(OR(INDEX($W$2:$W$1001,MATCH(ROWS($V$2:V716),$V$2:$V$1001,0),1)&gt;=100000,INDEX($AC$1005:$AS$1005,1,MATCH(COLUMNS($AC$1006:AR1006),$AC$1006:$AS$1006,0))&gt;=100000), " ",IF(INDEX($AC$2:$AS$1001,MATCH(ROWS($V$2:V716),$V$2:$V$1001,0),MATCH(COLUMNS($AC$1006:AR1006),$AC$1006:$AS$1006,0)), HYPERLINK("#",""), HYPERLINK(CONCATENATE("#metadata!", ADDRESS(INDEX($X$2:$X$1001,MATCH(ROWS($V$2:V716),$V$2:$V$1001,0),0), INDEX($AC$1004:$AS$1004,1,MATCH(COLUMNS($AC$1006:AR1006),$AC$1006:$AS$1006,0)))),"Fix")))</f>
        <v xml:space="preserve"> </v>
      </c>
      <c r="R716" s="4" t="str">
        <f ca="1">IF(OR(INDEX($W$2:$W$1001,MATCH(ROWS($V$2:V716),$V$2:$V$1001,0),1)&gt;=100000,INDEX($AC$1005:$AS$1005,1,MATCH(COLUMNS($AC$1006:AS1006),$AC$1006:$AS$1006,0))&gt;=100000), " ",IF(INDEX($AC$2:$AS$1001,MATCH(ROWS($V$2:V716),$V$2:$V$1001,0),MATCH(COLUMNS($AC$1006:AS1006),$AC$1006:$AS$1006,0)), HYPERLINK("#",""), HYPERLINK(CONCATENATE("#metadata!", ADDRESS(INDEX($X$2:$X$1001,MATCH(ROWS($V$2:V716),$V$2:$V$1001,0),0), INDEX($AC$1004:$AS$1004,1,MATCH(COLUMNS($AC$1006:AS1006),$AC$1006:$AS$1006,0)))),"Fix")))</f>
        <v xml:space="preserve"> </v>
      </c>
      <c r="V716">
        <v>715</v>
      </c>
      <c r="W716">
        <v>100716</v>
      </c>
      <c r="X716">
        <v>716</v>
      </c>
      <c r="Y716" t="b">
        <f t="shared" si="11"/>
        <v>1</v>
      </c>
      <c r="Z716" t="b">
        <f>COUNTBLANK(metadata!B716:R716)=COLUMNS(metadata!B716:R716)</f>
        <v>1</v>
      </c>
      <c r="AA716" t="str">
        <v/>
      </c>
      <c r="AC716" t="b">
        <f ca="1"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AD716" t="b">
        <f>IF(metadata!C716="",FALSE,ISNUMBER(VALUE(metadata!C716)))</f>
        <v>0</v>
      </c>
      <c r="AE716" t="b">
        <f>AND(IF(metadata!D716="",FALSE,TRUE),EXACT(metadata!D716,"years"))</f>
        <v>0</v>
      </c>
      <c r="AF716" t="b">
        <f>OR(AND(IF(metadata!E716="",FALSE,TRUE),OR(EXACT(metadata!E716,"not applicable"),EXACT(metadata!E716,"missing: not collected"),EXACT(metadata!E716,"missing: not provided"),EXACT(metadata!E716,"missing: restricted access"))),AND(IF(metadata!E716="",FALSE,ISNUMBER(VALUE(metadata!E716))),metadata!E716&gt;0))</f>
        <v>0</v>
      </c>
      <c r="AG716" t="b">
        <f>AND(IF(metadata!F716="",FALSE,TRUE),EXACT(metadata!F716,"Not applicable"))</f>
        <v>0</v>
      </c>
      <c r="AH716" t="b">
        <f>AND(IF(metadata!G716="",FALSE,TRUE),EXACT(metadata!G716,"urban biome"))</f>
        <v>0</v>
      </c>
      <c r="AI716" t="b">
        <f>AND(IF(metadata!H716="",FALSE,TRUE),EXACT(metadata!H716,"human-associated habitat"))</f>
        <v>0</v>
      </c>
      <c r="AJ716" t="b">
        <f>AND(IF(metadata!I716="",FALSE,TRUE),OR(EXACT(metadata!I716,"human-associated"),EXACT(metadata!I716,"human-skin"),EXACT(metadata!I716,"human-oral"),EXACT(metadata!I716,"human-gut"),EXACT(metadata!I716,"human-vaginal")))</f>
        <v>0</v>
      </c>
      <c r="AK716" t="b">
        <f>IF(metadata!J716="",FALSE,ISNUMBER(VALUE(metadata!J716)))</f>
        <v>0</v>
      </c>
      <c r="AL716" t="b">
        <f>AND(IF(metadata!K716="",FALSE,TRUE),EXACT(metadata!K716,"cm"))</f>
        <v>0</v>
      </c>
      <c r="AM716" t="b">
        <f>AND(IF(metadata!L716="",FALSE,TRUE),EXACT(metadata!L716,"human"))</f>
        <v>0</v>
      </c>
      <c r="AN716" t="b">
        <f>AND(IF(metadata!M716="",FALSE,TRUE),EXACT(metadata!M716,"Homo sapiens"))</f>
        <v>0</v>
      </c>
      <c r="AO716" t="b">
        <f>AND(IF(metadata!N716="",FALSE,TRUE),EXACT(metadata!N716,"9606"))</f>
        <v>0</v>
      </c>
      <c r="AP716" t="b">
        <f>IF(metadata!O716="",FALSE,TRUE)</f>
        <v>0</v>
      </c>
      <c r="AQ716" t="b">
        <f>IF(metadata!P716="",FALSE,TRUE)</f>
        <v>0</v>
      </c>
      <c r="AR716" t="b">
        <f>IF(metadata!Q716="",FALSE,ISNUMBER(VALUE(metadata!Q716)))</f>
        <v>0</v>
      </c>
      <c r="AS716" t="b">
        <f>AND(IF(metadata!R716="",FALSE,TRUE),EXACT(metadata!R716,"kg"))</f>
        <v>0</v>
      </c>
    </row>
    <row r="717" spans="1:45" x14ac:dyDescent="0.2">
      <c r="A717" s="5" t="str">
        <f ca="1">IF(B717=" "," ",HYPERLINK(CONCATENATE("#metadata!",ADDRESS(INDEX($X$2:$X$1001,MATCH(ROWS($V$2:V717),$V$2:$V$1001,0),0),1)),INDEX($AA$2:$AA$1001,MATCH(ROWS($V$2:V717),$V$2:$V$1001,0),0)))</f>
        <v xml:space="preserve"> </v>
      </c>
      <c r="B717" s="4" t="str">
        <f ca="1">IF(OR(INDEX($W$2:$W$1001,MATCH(ROWS($V$2:V717),$V$2:$V$1001,0),1)&gt;=100000,INDEX($AC$1005:$AS$1005,1,MATCH(COLUMNS($AC$1006:AC1006),$AC$1006:$AS$1006,0))&gt;=100000), " ",IF(INDEX($AC$2:$AS$1001,MATCH(ROWS($V$2:V717),$V$2:$V$1001,0),MATCH(COLUMNS($AC$1006:AC1006),$AC$1006:$AS$1006,0)), HYPERLINK("#",""), HYPERLINK(CONCATENATE("#metadata!", ADDRESS(INDEX($X$2:$X$1001,MATCH(ROWS($V$2:V717),$V$2:$V$1001,0),0), INDEX($AC$1004:$AS$1004,1,MATCH(COLUMNS($AC$1006:AC1006),$AC$1006:$AS$1006,0)))),"Fix")))</f>
        <v xml:space="preserve"> </v>
      </c>
      <c r="C717" s="4" t="str">
        <f ca="1">IF(OR(INDEX($W$2:$W$1001,MATCH(ROWS($V$2:V717),$V$2:$V$1001,0),1)&gt;=100000,INDEX($AC$1005:$AS$1005,1,MATCH(COLUMNS($AC$1006:AD1006),$AC$1006:$AS$1006,0))&gt;=100000), " ",IF(INDEX($AC$2:$AS$1001,MATCH(ROWS($V$2:V717),$V$2:$V$1001,0),MATCH(COLUMNS($AC$1006:AD1006),$AC$1006:$AS$1006,0)), HYPERLINK("#",""), HYPERLINK(CONCATENATE("#metadata!", ADDRESS(INDEX($X$2:$X$1001,MATCH(ROWS($V$2:V717),$V$2:$V$1001,0),0), INDEX($AC$1004:$AS$1004,1,MATCH(COLUMNS($AC$1006:AD1006),$AC$1006:$AS$1006,0)))),"Fix")))</f>
        <v xml:space="preserve"> </v>
      </c>
      <c r="D717" s="4" t="str">
        <f ca="1">IF(OR(INDEX($W$2:$W$1001,MATCH(ROWS($V$2:V717),$V$2:$V$1001,0),1)&gt;=100000,INDEX($AC$1005:$AS$1005,1,MATCH(COLUMNS($AC$1006:AE1006),$AC$1006:$AS$1006,0))&gt;=100000), " ",IF(INDEX($AC$2:$AS$1001,MATCH(ROWS($V$2:V717),$V$2:$V$1001,0),MATCH(COLUMNS($AC$1006:AE1006),$AC$1006:$AS$1006,0)), HYPERLINK("#",""), HYPERLINK(CONCATENATE("#metadata!", ADDRESS(INDEX($X$2:$X$1001,MATCH(ROWS($V$2:V717),$V$2:$V$1001,0),0), INDEX($AC$1004:$AS$1004,1,MATCH(COLUMNS($AC$1006:AE1006),$AC$1006:$AS$1006,0)))),"Fix")))</f>
        <v xml:space="preserve"> </v>
      </c>
      <c r="E717" s="4" t="str">
        <f ca="1">IF(OR(INDEX($W$2:$W$1001,MATCH(ROWS($V$2:V717),$V$2:$V$1001,0),1)&gt;=100000,INDEX($AC$1005:$AS$1005,1,MATCH(COLUMNS($AC$1006:AF1006),$AC$1006:$AS$1006,0))&gt;=100000), " ",IF(INDEX($AC$2:$AS$1001,MATCH(ROWS($V$2:V717),$V$2:$V$1001,0),MATCH(COLUMNS($AC$1006:AF1006),$AC$1006:$AS$1006,0)), HYPERLINK("#",""), HYPERLINK(CONCATENATE("#metadata!", ADDRESS(INDEX($X$2:$X$1001,MATCH(ROWS($V$2:V717),$V$2:$V$1001,0),0), INDEX($AC$1004:$AS$1004,1,MATCH(COLUMNS($AC$1006:AF1006),$AC$1006:$AS$1006,0)))),"Fix")))</f>
        <v xml:space="preserve"> </v>
      </c>
      <c r="F717" s="4" t="str">
        <f ca="1">IF(OR(INDEX($W$2:$W$1001,MATCH(ROWS($V$2:V717),$V$2:$V$1001,0),1)&gt;=100000,INDEX($AC$1005:$AS$1005,1,MATCH(COLUMNS($AC$1006:AG1006),$AC$1006:$AS$1006,0))&gt;=100000), " ",IF(INDEX($AC$2:$AS$1001,MATCH(ROWS($V$2:V717),$V$2:$V$1001,0),MATCH(COLUMNS($AC$1006:AG1006),$AC$1006:$AS$1006,0)), HYPERLINK("#",""), HYPERLINK(CONCATENATE("#metadata!", ADDRESS(INDEX($X$2:$X$1001,MATCH(ROWS($V$2:V717),$V$2:$V$1001,0),0), INDEX($AC$1004:$AS$1004,1,MATCH(COLUMNS($AC$1006:AG1006),$AC$1006:$AS$1006,0)))),"Fix")))</f>
        <v xml:space="preserve"> </v>
      </c>
      <c r="G717" s="4" t="str">
        <f ca="1">IF(OR(INDEX($W$2:$W$1001,MATCH(ROWS($V$2:V717),$V$2:$V$1001,0),1)&gt;=100000,INDEX($AC$1005:$AS$1005,1,MATCH(COLUMNS($AC$1006:AH1006),$AC$1006:$AS$1006,0))&gt;=100000), " ",IF(INDEX($AC$2:$AS$1001,MATCH(ROWS($V$2:V717),$V$2:$V$1001,0),MATCH(COLUMNS($AC$1006:AH1006),$AC$1006:$AS$1006,0)), HYPERLINK("#",""), HYPERLINK(CONCATENATE("#metadata!", ADDRESS(INDEX($X$2:$X$1001,MATCH(ROWS($V$2:V717),$V$2:$V$1001,0),0), INDEX($AC$1004:$AS$1004,1,MATCH(COLUMNS($AC$1006:AH1006),$AC$1006:$AS$1006,0)))),"Fix")))</f>
        <v xml:space="preserve"> </v>
      </c>
      <c r="H717" s="4" t="str">
        <f ca="1">IF(OR(INDEX($W$2:$W$1001,MATCH(ROWS($V$2:V717),$V$2:$V$1001,0),1)&gt;=100000,INDEX($AC$1005:$AS$1005,1,MATCH(COLUMNS($AC$1006:AI1006),$AC$1006:$AS$1006,0))&gt;=100000), " ",IF(INDEX($AC$2:$AS$1001,MATCH(ROWS($V$2:V717),$V$2:$V$1001,0),MATCH(COLUMNS($AC$1006:AI1006),$AC$1006:$AS$1006,0)), HYPERLINK("#",""), HYPERLINK(CONCATENATE("#metadata!", ADDRESS(INDEX($X$2:$X$1001,MATCH(ROWS($V$2:V717),$V$2:$V$1001,0),0), INDEX($AC$1004:$AS$1004,1,MATCH(COLUMNS($AC$1006:AI1006),$AC$1006:$AS$1006,0)))),"Fix")))</f>
        <v xml:space="preserve"> </v>
      </c>
      <c r="I717" s="4" t="str">
        <f ca="1">IF(OR(INDEX($W$2:$W$1001,MATCH(ROWS($V$2:V717),$V$2:$V$1001,0),1)&gt;=100000,INDEX($AC$1005:$AS$1005,1,MATCH(COLUMNS($AC$1006:AJ1006),$AC$1006:$AS$1006,0))&gt;=100000), " ",IF(INDEX($AC$2:$AS$1001,MATCH(ROWS($V$2:V717),$V$2:$V$1001,0),MATCH(COLUMNS($AC$1006:AJ1006),$AC$1006:$AS$1006,0)), HYPERLINK("#",""), HYPERLINK(CONCATENATE("#metadata!", ADDRESS(INDEX($X$2:$X$1001,MATCH(ROWS($V$2:V717),$V$2:$V$1001,0),0), INDEX($AC$1004:$AS$1004,1,MATCH(COLUMNS($AC$1006:AJ1006),$AC$1006:$AS$1006,0)))),"Fix")))</f>
        <v xml:space="preserve"> </v>
      </c>
      <c r="J717" s="4" t="str">
        <f ca="1">IF(OR(INDEX($W$2:$W$1001,MATCH(ROWS($V$2:V717),$V$2:$V$1001,0),1)&gt;=100000,INDEX($AC$1005:$AS$1005,1,MATCH(COLUMNS($AC$1006:AK1006),$AC$1006:$AS$1006,0))&gt;=100000), " ",IF(INDEX($AC$2:$AS$1001,MATCH(ROWS($V$2:V717),$V$2:$V$1001,0),MATCH(COLUMNS($AC$1006:AK1006),$AC$1006:$AS$1006,0)), HYPERLINK("#",""), HYPERLINK(CONCATENATE("#metadata!", ADDRESS(INDEX($X$2:$X$1001,MATCH(ROWS($V$2:V717),$V$2:$V$1001,0),0), INDEX($AC$1004:$AS$1004,1,MATCH(COLUMNS($AC$1006:AK1006),$AC$1006:$AS$1006,0)))),"Fix")))</f>
        <v xml:space="preserve"> </v>
      </c>
      <c r="K717" s="4" t="str">
        <f ca="1">IF(OR(INDEX($W$2:$W$1001,MATCH(ROWS($V$2:V717),$V$2:$V$1001,0),1)&gt;=100000,INDEX($AC$1005:$AS$1005,1,MATCH(COLUMNS($AC$1006:AL1006),$AC$1006:$AS$1006,0))&gt;=100000), " ",IF(INDEX($AC$2:$AS$1001,MATCH(ROWS($V$2:V717),$V$2:$V$1001,0),MATCH(COLUMNS($AC$1006:AL1006),$AC$1006:$AS$1006,0)), HYPERLINK("#",""), HYPERLINK(CONCATENATE("#metadata!", ADDRESS(INDEX($X$2:$X$1001,MATCH(ROWS($V$2:V717),$V$2:$V$1001,0),0), INDEX($AC$1004:$AS$1004,1,MATCH(COLUMNS($AC$1006:AL1006),$AC$1006:$AS$1006,0)))),"Fix")))</f>
        <v xml:space="preserve"> </v>
      </c>
      <c r="L717" s="4" t="str">
        <f ca="1">IF(OR(INDEX($W$2:$W$1001,MATCH(ROWS($V$2:V717),$V$2:$V$1001,0),1)&gt;=100000,INDEX($AC$1005:$AS$1005,1,MATCH(COLUMNS($AC$1006:AM1006),$AC$1006:$AS$1006,0))&gt;=100000), " ",IF(INDEX($AC$2:$AS$1001,MATCH(ROWS($V$2:V717),$V$2:$V$1001,0),MATCH(COLUMNS($AC$1006:AM1006),$AC$1006:$AS$1006,0)), HYPERLINK("#",""), HYPERLINK(CONCATENATE("#metadata!", ADDRESS(INDEX($X$2:$X$1001,MATCH(ROWS($V$2:V717),$V$2:$V$1001,0),0), INDEX($AC$1004:$AS$1004,1,MATCH(COLUMNS($AC$1006:AM1006),$AC$1006:$AS$1006,0)))),"Fix")))</f>
        <v xml:space="preserve"> </v>
      </c>
      <c r="M717" s="4" t="str">
        <f ca="1">IF(OR(INDEX($W$2:$W$1001,MATCH(ROWS($V$2:V717),$V$2:$V$1001,0),1)&gt;=100000,INDEX($AC$1005:$AS$1005,1,MATCH(COLUMNS($AC$1006:AN1006),$AC$1006:$AS$1006,0))&gt;=100000), " ",IF(INDEX($AC$2:$AS$1001,MATCH(ROWS($V$2:V717),$V$2:$V$1001,0),MATCH(COLUMNS($AC$1006:AN1006),$AC$1006:$AS$1006,0)), HYPERLINK("#",""), HYPERLINK(CONCATENATE("#metadata!", ADDRESS(INDEX($X$2:$X$1001,MATCH(ROWS($V$2:V717),$V$2:$V$1001,0),0), INDEX($AC$1004:$AS$1004,1,MATCH(COLUMNS($AC$1006:AN1006),$AC$1006:$AS$1006,0)))),"Fix")))</f>
        <v xml:space="preserve"> </v>
      </c>
      <c r="N717" s="4" t="str">
        <f ca="1">IF(OR(INDEX($W$2:$W$1001,MATCH(ROWS($V$2:V717),$V$2:$V$1001,0),1)&gt;=100000,INDEX($AC$1005:$AS$1005,1,MATCH(COLUMNS($AC$1006:AO1006),$AC$1006:$AS$1006,0))&gt;=100000), " ",IF(INDEX($AC$2:$AS$1001,MATCH(ROWS($V$2:V717),$V$2:$V$1001,0),MATCH(COLUMNS($AC$1006:AO1006),$AC$1006:$AS$1006,0)), HYPERLINK("#",""), HYPERLINK(CONCATENATE("#metadata!", ADDRESS(INDEX($X$2:$X$1001,MATCH(ROWS($V$2:V717),$V$2:$V$1001,0),0), INDEX($AC$1004:$AS$1004,1,MATCH(COLUMNS($AC$1006:AO1006),$AC$1006:$AS$1006,0)))),"Fix")))</f>
        <v xml:space="preserve"> </v>
      </c>
      <c r="O717" s="4" t="str">
        <f ca="1">IF(OR(INDEX($W$2:$W$1001,MATCH(ROWS($V$2:V717),$V$2:$V$1001,0),1)&gt;=100000,INDEX($AC$1005:$AS$1005,1,MATCH(COLUMNS($AC$1006:AP1006),$AC$1006:$AS$1006,0))&gt;=100000), " ",IF(INDEX($AC$2:$AS$1001,MATCH(ROWS($V$2:V717),$V$2:$V$1001,0),MATCH(COLUMNS($AC$1006:AP1006),$AC$1006:$AS$1006,0)), HYPERLINK("#",""), HYPERLINK(CONCATENATE("#metadata!", ADDRESS(INDEX($X$2:$X$1001,MATCH(ROWS($V$2:V717),$V$2:$V$1001,0),0), INDEX($AC$1004:$AS$1004,1,MATCH(COLUMNS($AC$1006:AP1006),$AC$1006:$AS$1006,0)))),"Fix")))</f>
        <v xml:space="preserve"> </v>
      </c>
      <c r="P717" s="4" t="str">
        <f ca="1">IF(OR(INDEX($W$2:$W$1001,MATCH(ROWS($V$2:V717),$V$2:$V$1001,0),1)&gt;=100000,INDEX($AC$1005:$AS$1005,1,MATCH(COLUMNS($AC$1006:AQ1006),$AC$1006:$AS$1006,0))&gt;=100000), " ",IF(INDEX($AC$2:$AS$1001,MATCH(ROWS($V$2:V717),$V$2:$V$1001,0),MATCH(COLUMNS($AC$1006:AQ1006),$AC$1006:$AS$1006,0)), HYPERLINK("#",""), HYPERLINK(CONCATENATE("#metadata!", ADDRESS(INDEX($X$2:$X$1001,MATCH(ROWS($V$2:V717),$V$2:$V$1001,0),0), INDEX($AC$1004:$AS$1004,1,MATCH(COLUMNS($AC$1006:AQ1006),$AC$1006:$AS$1006,0)))),"Fix")))</f>
        <v xml:space="preserve"> </v>
      </c>
      <c r="Q717" s="4" t="str">
        <f ca="1">IF(OR(INDEX($W$2:$W$1001,MATCH(ROWS($V$2:V717),$V$2:$V$1001,0),1)&gt;=100000,INDEX($AC$1005:$AS$1005,1,MATCH(COLUMNS($AC$1006:AR1006),$AC$1006:$AS$1006,0))&gt;=100000), " ",IF(INDEX($AC$2:$AS$1001,MATCH(ROWS($V$2:V717),$V$2:$V$1001,0),MATCH(COLUMNS($AC$1006:AR1006),$AC$1006:$AS$1006,0)), HYPERLINK("#",""), HYPERLINK(CONCATENATE("#metadata!", ADDRESS(INDEX($X$2:$X$1001,MATCH(ROWS($V$2:V717),$V$2:$V$1001,0),0), INDEX($AC$1004:$AS$1004,1,MATCH(COLUMNS($AC$1006:AR1006),$AC$1006:$AS$1006,0)))),"Fix")))</f>
        <v xml:space="preserve"> </v>
      </c>
      <c r="R717" s="4" t="str">
        <f ca="1">IF(OR(INDEX($W$2:$W$1001,MATCH(ROWS($V$2:V717),$V$2:$V$1001,0),1)&gt;=100000,INDEX($AC$1005:$AS$1005,1,MATCH(COLUMNS($AC$1006:AS1006),$AC$1006:$AS$1006,0))&gt;=100000), " ",IF(INDEX($AC$2:$AS$1001,MATCH(ROWS($V$2:V717),$V$2:$V$1001,0),MATCH(COLUMNS($AC$1006:AS1006),$AC$1006:$AS$1006,0)), HYPERLINK("#",""), HYPERLINK(CONCATENATE("#metadata!", ADDRESS(INDEX($X$2:$X$1001,MATCH(ROWS($V$2:V717),$V$2:$V$1001,0),0), INDEX($AC$1004:$AS$1004,1,MATCH(COLUMNS($AC$1006:AS1006),$AC$1006:$AS$1006,0)))),"Fix")))</f>
        <v xml:space="preserve"> </v>
      </c>
      <c r="V717">
        <v>716</v>
      </c>
      <c r="W717">
        <v>100717</v>
      </c>
      <c r="X717">
        <v>717</v>
      </c>
      <c r="Y717" t="b">
        <f t="shared" si="11"/>
        <v>1</v>
      </c>
      <c r="Z717" t="b">
        <f>COUNTBLANK(metadata!B717:R717)=COLUMNS(metadata!B717:R717)</f>
        <v>1</v>
      </c>
      <c r="AA717" t="str">
        <v/>
      </c>
      <c r="AC717" t="b">
        <f ca="1"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AD717" t="b">
        <f>IF(metadata!C717="",FALSE,ISNUMBER(VALUE(metadata!C717)))</f>
        <v>0</v>
      </c>
      <c r="AE717" t="b">
        <f>AND(IF(metadata!D717="",FALSE,TRUE),EXACT(metadata!D717,"years"))</f>
        <v>0</v>
      </c>
      <c r="AF717" t="b">
        <f>OR(AND(IF(metadata!E717="",FALSE,TRUE),OR(EXACT(metadata!E717,"not applicable"),EXACT(metadata!E717,"missing: not collected"),EXACT(metadata!E717,"missing: not provided"),EXACT(metadata!E717,"missing: restricted access"))),AND(IF(metadata!E717="",FALSE,ISNUMBER(VALUE(metadata!E717))),metadata!E717&gt;0))</f>
        <v>0</v>
      </c>
      <c r="AG717" t="b">
        <f>AND(IF(metadata!F717="",FALSE,TRUE),EXACT(metadata!F717,"Not applicable"))</f>
        <v>0</v>
      </c>
      <c r="AH717" t="b">
        <f>AND(IF(metadata!G717="",FALSE,TRUE),EXACT(metadata!G717,"urban biome"))</f>
        <v>0</v>
      </c>
      <c r="AI717" t="b">
        <f>AND(IF(metadata!H717="",FALSE,TRUE),EXACT(metadata!H717,"human-associated habitat"))</f>
        <v>0</v>
      </c>
      <c r="AJ717" t="b">
        <f>AND(IF(metadata!I717="",FALSE,TRUE),OR(EXACT(metadata!I717,"human-associated"),EXACT(metadata!I717,"human-skin"),EXACT(metadata!I717,"human-oral"),EXACT(metadata!I717,"human-gut"),EXACT(metadata!I717,"human-vaginal")))</f>
        <v>0</v>
      </c>
      <c r="AK717" t="b">
        <f>IF(metadata!J717="",FALSE,ISNUMBER(VALUE(metadata!J717)))</f>
        <v>0</v>
      </c>
      <c r="AL717" t="b">
        <f>AND(IF(metadata!K717="",FALSE,TRUE),EXACT(metadata!K717,"cm"))</f>
        <v>0</v>
      </c>
      <c r="AM717" t="b">
        <f>AND(IF(metadata!L717="",FALSE,TRUE),EXACT(metadata!L717,"human"))</f>
        <v>0</v>
      </c>
      <c r="AN717" t="b">
        <f>AND(IF(metadata!M717="",FALSE,TRUE),EXACT(metadata!M717,"Homo sapiens"))</f>
        <v>0</v>
      </c>
      <c r="AO717" t="b">
        <f>AND(IF(metadata!N717="",FALSE,TRUE),EXACT(metadata!N717,"9606"))</f>
        <v>0</v>
      </c>
      <c r="AP717" t="b">
        <f>IF(metadata!O717="",FALSE,TRUE)</f>
        <v>0</v>
      </c>
      <c r="AQ717" t="b">
        <f>IF(metadata!P717="",FALSE,TRUE)</f>
        <v>0</v>
      </c>
      <c r="AR717" t="b">
        <f>IF(metadata!Q717="",FALSE,ISNUMBER(VALUE(metadata!Q717)))</f>
        <v>0</v>
      </c>
      <c r="AS717" t="b">
        <f>AND(IF(metadata!R717="",FALSE,TRUE),EXACT(metadata!R717,"kg"))</f>
        <v>0</v>
      </c>
    </row>
    <row r="718" spans="1:45" x14ac:dyDescent="0.2">
      <c r="A718" s="5" t="str">
        <f ca="1">IF(B718=" "," ",HYPERLINK(CONCATENATE("#metadata!",ADDRESS(INDEX($X$2:$X$1001,MATCH(ROWS($V$2:V718),$V$2:$V$1001,0),0),1)),INDEX($AA$2:$AA$1001,MATCH(ROWS($V$2:V718),$V$2:$V$1001,0),0)))</f>
        <v xml:space="preserve"> </v>
      </c>
      <c r="B718" s="4" t="str">
        <f ca="1">IF(OR(INDEX($W$2:$W$1001,MATCH(ROWS($V$2:V718),$V$2:$V$1001,0),1)&gt;=100000,INDEX($AC$1005:$AS$1005,1,MATCH(COLUMNS($AC$1006:AC1006),$AC$1006:$AS$1006,0))&gt;=100000), " ",IF(INDEX($AC$2:$AS$1001,MATCH(ROWS($V$2:V718),$V$2:$V$1001,0),MATCH(COLUMNS($AC$1006:AC1006),$AC$1006:$AS$1006,0)), HYPERLINK("#",""), HYPERLINK(CONCATENATE("#metadata!", ADDRESS(INDEX($X$2:$X$1001,MATCH(ROWS($V$2:V718),$V$2:$V$1001,0),0), INDEX($AC$1004:$AS$1004,1,MATCH(COLUMNS($AC$1006:AC1006),$AC$1006:$AS$1006,0)))),"Fix")))</f>
        <v xml:space="preserve"> </v>
      </c>
      <c r="C718" s="4" t="str">
        <f ca="1">IF(OR(INDEX($W$2:$W$1001,MATCH(ROWS($V$2:V718),$V$2:$V$1001,0),1)&gt;=100000,INDEX($AC$1005:$AS$1005,1,MATCH(COLUMNS($AC$1006:AD1006),$AC$1006:$AS$1006,0))&gt;=100000), " ",IF(INDEX($AC$2:$AS$1001,MATCH(ROWS($V$2:V718),$V$2:$V$1001,0),MATCH(COLUMNS($AC$1006:AD1006),$AC$1006:$AS$1006,0)), HYPERLINK("#",""), HYPERLINK(CONCATENATE("#metadata!", ADDRESS(INDEX($X$2:$X$1001,MATCH(ROWS($V$2:V718),$V$2:$V$1001,0),0), INDEX($AC$1004:$AS$1004,1,MATCH(COLUMNS($AC$1006:AD1006),$AC$1006:$AS$1006,0)))),"Fix")))</f>
        <v xml:space="preserve"> </v>
      </c>
      <c r="D718" s="4" t="str">
        <f ca="1">IF(OR(INDEX($W$2:$W$1001,MATCH(ROWS($V$2:V718),$V$2:$V$1001,0),1)&gt;=100000,INDEX($AC$1005:$AS$1005,1,MATCH(COLUMNS($AC$1006:AE1006),$AC$1006:$AS$1006,0))&gt;=100000), " ",IF(INDEX($AC$2:$AS$1001,MATCH(ROWS($V$2:V718),$V$2:$V$1001,0),MATCH(COLUMNS($AC$1006:AE1006),$AC$1006:$AS$1006,0)), HYPERLINK("#",""), HYPERLINK(CONCATENATE("#metadata!", ADDRESS(INDEX($X$2:$X$1001,MATCH(ROWS($V$2:V718),$V$2:$V$1001,0),0), INDEX($AC$1004:$AS$1004,1,MATCH(COLUMNS($AC$1006:AE1006),$AC$1006:$AS$1006,0)))),"Fix")))</f>
        <v xml:space="preserve"> </v>
      </c>
      <c r="E718" s="4" t="str">
        <f ca="1">IF(OR(INDEX($W$2:$W$1001,MATCH(ROWS($V$2:V718),$V$2:$V$1001,0),1)&gt;=100000,INDEX($AC$1005:$AS$1005,1,MATCH(COLUMNS($AC$1006:AF1006),$AC$1006:$AS$1006,0))&gt;=100000), " ",IF(INDEX($AC$2:$AS$1001,MATCH(ROWS($V$2:V718),$V$2:$V$1001,0),MATCH(COLUMNS($AC$1006:AF1006),$AC$1006:$AS$1006,0)), HYPERLINK("#",""), HYPERLINK(CONCATENATE("#metadata!", ADDRESS(INDEX($X$2:$X$1001,MATCH(ROWS($V$2:V718),$V$2:$V$1001,0),0), INDEX($AC$1004:$AS$1004,1,MATCH(COLUMNS($AC$1006:AF1006),$AC$1006:$AS$1006,0)))),"Fix")))</f>
        <v xml:space="preserve"> </v>
      </c>
      <c r="F718" s="4" t="str">
        <f ca="1">IF(OR(INDEX($W$2:$W$1001,MATCH(ROWS($V$2:V718),$V$2:$V$1001,0),1)&gt;=100000,INDEX($AC$1005:$AS$1005,1,MATCH(COLUMNS($AC$1006:AG1006),$AC$1006:$AS$1006,0))&gt;=100000), " ",IF(INDEX($AC$2:$AS$1001,MATCH(ROWS($V$2:V718),$V$2:$V$1001,0),MATCH(COLUMNS($AC$1006:AG1006),$AC$1006:$AS$1006,0)), HYPERLINK("#",""), HYPERLINK(CONCATENATE("#metadata!", ADDRESS(INDEX($X$2:$X$1001,MATCH(ROWS($V$2:V718),$V$2:$V$1001,0),0), INDEX($AC$1004:$AS$1004,1,MATCH(COLUMNS($AC$1006:AG1006),$AC$1006:$AS$1006,0)))),"Fix")))</f>
        <v xml:space="preserve"> </v>
      </c>
      <c r="G718" s="4" t="str">
        <f ca="1">IF(OR(INDEX($W$2:$W$1001,MATCH(ROWS($V$2:V718),$V$2:$V$1001,0),1)&gt;=100000,INDEX($AC$1005:$AS$1005,1,MATCH(COLUMNS($AC$1006:AH1006),$AC$1006:$AS$1006,0))&gt;=100000), " ",IF(INDEX($AC$2:$AS$1001,MATCH(ROWS($V$2:V718),$V$2:$V$1001,0),MATCH(COLUMNS($AC$1006:AH1006),$AC$1006:$AS$1006,0)), HYPERLINK("#",""), HYPERLINK(CONCATENATE("#metadata!", ADDRESS(INDEX($X$2:$X$1001,MATCH(ROWS($V$2:V718),$V$2:$V$1001,0),0), INDEX($AC$1004:$AS$1004,1,MATCH(COLUMNS($AC$1006:AH1006),$AC$1006:$AS$1006,0)))),"Fix")))</f>
        <v xml:space="preserve"> </v>
      </c>
      <c r="H718" s="4" t="str">
        <f ca="1">IF(OR(INDEX($W$2:$W$1001,MATCH(ROWS($V$2:V718),$V$2:$V$1001,0),1)&gt;=100000,INDEX($AC$1005:$AS$1005,1,MATCH(COLUMNS($AC$1006:AI1006),$AC$1006:$AS$1006,0))&gt;=100000), " ",IF(INDEX($AC$2:$AS$1001,MATCH(ROWS($V$2:V718),$V$2:$V$1001,0),MATCH(COLUMNS($AC$1006:AI1006),$AC$1006:$AS$1006,0)), HYPERLINK("#",""), HYPERLINK(CONCATENATE("#metadata!", ADDRESS(INDEX($X$2:$X$1001,MATCH(ROWS($V$2:V718),$V$2:$V$1001,0),0), INDEX($AC$1004:$AS$1004,1,MATCH(COLUMNS($AC$1006:AI1006),$AC$1006:$AS$1006,0)))),"Fix")))</f>
        <v xml:space="preserve"> </v>
      </c>
      <c r="I718" s="4" t="str">
        <f ca="1">IF(OR(INDEX($W$2:$W$1001,MATCH(ROWS($V$2:V718),$V$2:$V$1001,0),1)&gt;=100000,INDEX($AC$1005:$AS$1005,1,MATCH(COLUMNS($AC$1006:AJ1006),$AC$1006:$AS$1006,0))&gt;=100000), " ",IF(INDEX($AC$2:$AS$1001,MATCH(ROWS($V$2:V718),$V$2:$V$1001,0),MATCH(COLUMNS($AC$1006:AJ1006),$AC$1006:$AS$1006,0)), HYPERLINK("#",""), HYPERLINK(CONCATENATE("#metadata!", ADDRESS(INDEX($X$2:$X$1001,MATCH(ROWS($V$2:V718),$V$2:$V$1001,0),0), INDEX($AC$1004:$AS$1004,1,MATCH(COLUMNS($AC$1006:AJ1006),$AC$1006:$AS$1006,0)))),"Fix")))</f>
        <v xml:space="preserve"> </v>
      </c>
      <c r="J718" s="4" t="str">
        <f ca="1">IF(OR(INDEX($W$2:$W$1001,MATCH(ROWS($V$2:V718),$V$2:$V$1001,0),1)&gt;=100000,INDEX($AC$1005:$AS$1005,1,MATCH(COLUMNS($AC$1006:AK1006),$AC$1006:$AS$1006,0))&gt;=100000), " ",IF(INDEX($AC$2:$AS$1001,MATCH(ROWS($V$2:V718),$V$2:$V$1001,0),MATCH(COLUMNS($AC$1006:AK1006),$AC$1006:$AS$1006,0)), HYPERLINK("#",""), HYPERLINK(CONCATENATE("#metadata!", ADDRESS(INDEX($X$2:$X$1001,MATCH(ROWS($V$2:V718),$V$2:$V$1001,0),0), INDEX($AC$1004:$AS$1004,1,MATCH(COLUMNS($AC$1006:AK1006),$AC$1006:$AS$1006,0)))),"Fix")))</f>
        <v xml:space="preserve"> </v>
      </c>
      <c r="K718" s="4" t="str">
        <f ca="1">IF(OR(INDEX($W$2:$W$1001,MATCH(ROWS($V$2:V718),$V$2:$V$1001,0),1)&gt;=100000,INDEX($AC$1005:$AS$1005,1,MATCH(COLUMNS($AC$1006:AL1006),$AC$1006:$AS$1006,0))&gt;=100000), " ",IF(INDEX($AC$2:$AS$1001,MATCH(ROWS($V$2:V718),$V$2:$V$1001,0),MATCH(COLUMNS($AC$1006:AL1006),$AC$1006:$AS$1006,0)), HYPERLINK("#",""), HYPERLINK(CONCATENATE("#metadata!", ADDRESS(INDEX($X$2:$X$1001,MATCH(ROWS($V$2:V718),$V$2:$V$1001,0),0), INDEX($AC$1004:$AS$1004,1,MATCH(COLUMNS($AC$1006:AL1006),$AC$1006:$AS$1006,0)))),"Fix")))</f>
        <v xml:space="preserve"> </v>
      </c>
      <c r="L718" s="4" t="str">
        <f ca="1">IF(OR(INDEX($W$2:$W$1001,MATCH(ROWS($V$2:V718),$V$2:$V$1001,0),1)&gt;=100000,INDEX($AC$1005:$AS$1005,1,MATCH(COLUMNS($AC$1006:AM1006),$AC$1006:$AS$1006,0))&gt;=100000), " ",IF(INDEX($AC$2:$AS$1001,MATCH(ROWS($V$2:V718),$V$2:$V$1001,0),MATCH(COLUMNS($AC$1006:AM1006),$AC$1006:$AS$1006,0)), HYPERLINK("#",""), HYPERLINK(CONCATENATE("#metadata!", ADDRESS(INDEX($X$2:$X$1001,MATCH(ROWS($V$2:V718),$V$2:$V$1001,0),0), INDEX($AC$1004:$AS$1004,1,MATCH(COLUMNS($AC$1006:AM1006),$AC$1006:$AS$1006,0)))),"Fix")))</f>
        <v xml:space="preserve"> </v>
      </c>
      <c r="M718" s="4" t="str">
        <f ca="1">IF(OR(INDEX($W$2:$W$1001,MATCH(ROWS($V$2:V718),$V$2:$V$1001,0),1)&gt;=100000,INDEX($AC$1005:$AS$1005,1,MATCH(COLUMNS($AC$1006:AN1006),$AC$1006:$AS$1006,0))&gt;=100000), " ",IF(INDEX($AC$2:$AS$1001,MATCH(ROWS($V$2:V718),$V$2:$V$1001,0),MATCH(COLUMNS($AC$1006:AN1006),$AC$1006:$AS$1006,0)), HYPERLINK("#",""), HYPERLINK(CONCATENATE("#metadata!", ADDRESS(INDEX($X$2:$X$1001,MATCH(ROWS($V$2:V718),$V$2:$V$1001,0),0), INDEX($AC$1004:$AS$1004,1,MATCH(COLUMNS($AC$1006:AN1006),$AC$1006:$AS$1006,0)))),"Fix")))</f>
        <v xml:space="preserve"> </v>
      </c>
      <c r="N718" s="4" t="str">
        <f ca="1">IF(OR(INDEX($W$2:$W$1001,MATCH(ROWS($V$2:V718),$V$2:$V$1001,0),1)&gt;=100000,INDEX($AC$1005:$AS$1005,1,MATCH(COLUMNS($AC$1006:AO1006),$AC$1006:$AS$1006,0))&gt;=100000), " ",IF(INDEX($AC$2:$AS$1001,MATCH(ROWS($V$2:V718),$V$2:$V$1001,0),MATCH(COLUMNS($AC$1006:AO1006),$AC$1006:$AS$1006,0)), HYPERLINK("#",""), HYPERLINK(CONCATENATE("#metadata!", ADDRESS(INDEX($X$2:$X$1001,MATCH(ROWS($V$2:V718),$V$2:$V$1001,0),0), INDEX($AC$1004:$AS$1004,1,MATCH(COLUMNS($AC$1006:AO1006),$AC$1006:$AS$1006,0)))),"Fix")))</f>
        <v xml:space="preserve"> </v>
      </c>
      <c r="O718" s="4" t="str">
        <f ca="1">IF(OR(INDEX($W$2:$W$1001,MATCH(ROWS($V$2:V718),$V$2:$V$1001,0),1)&gt;=100000,INDEX($AC$1005:$AS$1005,1,MATCH(COLUMNS($AC$1006:AP1006),$AC$1006:$AS$1006,0))&gt;=100000), " ",IF(INDEX($AC$2:$AS$1001,MATCH(ROWS($V$2:V718),$V$2:$V$1001,0),MATCH(COLUMNS($AC$1006:AP1006),$AC$1006:$AS$1006,0)), HYPERLINK("#",""), HYPERLINK(CONCATENATE("#metadata!", ADDRESS(INDEX($X$2:$X$1001,MATCH(ROWS($V$2:V718),$V$2:$V$1001,0),0), INDEX($AC$1004:$AS$1004,1,MATCH(COLUMNS($AC$1006:AP1006),$AC$1006:$AS$1006,0)))),"Fix")))</f>
        <v xml:space="preserve"> </v>
      </c>
      <c r="P718" s="4" t="str">
        <f ca="1">IF(OR(INDEX($W$2:$W$1001,MATCH(ROWS($V$2:V718),$V$2:$V$1001,0),1)&gt;=100000,INDEX($AC$1005:$AS$1005,1,MATCH(COLUMNS($AC$1006:AQ1006),$AC$1006:$AS$1006,0))&gt;=100000), " ",IF(INDEX($AC$2:$AS$1001,MATCH(ROWS($V$2:V718),$V$2:$V$1001,0),MATCH(COLUMNS($AC$1006:AQ1006),$AC$1006:$AS$1006,0)), HYPERLINK("#",""), HYPERLINK(CONCATENATE("#metadata!", ADDRESS(INDEX($X$2:$X$1001,MATCH(ROWS($V$2:V718),$V$2:$V$1001,0),0), INDEX($AC$1004:$AS$1004,1,MATCH(COLUMNS($AC$1006:AQ1006),$AC$1006:$AS$1006,0)))),"Fix")))</f>
        <v xml:space="preserve"> </v>
      </c>
      <c r="Q718" s="4" t="str">
        <f ca="1">IF(OR(INDEX($W$2:$W$1001,MATCH(ROWS($V$2:V718),$V$2:$V$1001,0),1)&gt;=100000,INDEX($AC$1005:$AS$1005,1,MATCH(COLUMNS($AC$1006:AR1006),$AC$1006:$AS$1006,0))&gt;=100000), " ",IF(INDEX($AC$2:$AS$1001,MATCH(ROWS($V$2:V718),$V$2:$V$1001,0),MATCH(COLUMNS($AC$1006:AR1006),$AC$1006:$AS$1006,0)), HYPERLINK("#",""), HYPERLINK(CONCATENATE("#metadata!", ADDRESS(INDEX($X$2:$X$1001,MATCH(ROWS($V$2:V718),$V$2:$V$1001,0),0), INDEX($AC$1004:$AS$1004,1,MATCH(COLUMNS($AC$1006:AR1006),$AC$1006:$AS$1006,0)))),"Fix")))</f>
        <v xml:space="preserve"> </v>
      </c>
      <c r="R718" s="4" t="str">
        <f ca="1">IF(OR(INDEX($W$2:$W$1001,MATCH(ROWS($V$2:V718),$V$2:$V$1001,0),1)&gt;=100000,INDEX($AC$1005:$AS$1005,1,MATCH(COLUMNS($AC$1006:AS1006),$AC$1006:$AS$1006,0))&gt;=100000), " ",IF(INDEX($AC$2:$AS$1001,MATCH(ROWS($V$2:V718),$V$2:$V$1001,0),MATCH(COLUMNS($AC$1006:AS1006),$AC$1006:$AS$1006,0)), HYPERLINK("#",""), HYPERLINK(CONCATENATE("#metadata!", ADDRESS(INDEX($X$2:$X$1001,MATCH(ROWS($V$2:V718),$V$2:$V$1001,0),0), INDEX($AC$1004:$AS$1004,1,MATCH(COLUMNS($AC$1006:AS1006),$AC$1006:$AS$1006,0)))),"Fix")))</f>
        <v xml:space="preserve"> </v>
      </c>
      <c r="V718">
        <v>717</v>
      </c>
      <c r="W718">
        <v>100718</v>
      </c>
      <c r="X718">
        <v>718</v>
      </c>
      <c r="Y718" t="b">
        <f t="shared" si="11"/>
        <v>1</v>
      </c>
      <c r="Z718" t="b">
        <f>COUNTBLANK(metadata!B718:R718)=COLUMNS(metadata!B718:R718)</f>
        <v>1</v>
      </c>
      <c r="AA718" t="str">
        <v/>
      </c>
      <c r="AC718" t="b">
        <f ca="1"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AD718" t="b">
        <f>IF(metadata!C718="",FALSE,ISNUMBER(VALUE(metadata!C718)))</f>
        <v>0</v>
      </c>
      <c r="AE718" t="b">
        <f>AND(IF(metadata!D718="",FALSE,TRUE),EXACT(metadata!D718,"years"))</f>
        <v>0</v>
      </c>
      <c r="AF718" t="b">
        <f>OR(AND(IF(metadata!E718="",FALSE,TRUE),OR(EXACT(metadata!E718,"not applicable"),EXACT(metadata!E718,"missing: not collected"),EXACT(metadata!E718,"missing: not provided"),EXACT(metadata!E718,"missing: restricted access"))),AND(IF(metadata!E718="",FALSE,ISNUMBER(VALUE(metadata!E718))),metadata!E718&gt;0))</f>
        <v>0</v>
      </c>
      <c r="AG718" t="b">
        <f>AND(IF(metadata!F718="",FALSE,TRUE),EXACT(metadata!F718,"Not applicable"))</f>
        <v>0</v>
      </c>
      <c r="AH718" t="b">
        <f>AND(IF(metadata!G718="",FALSE,TRUE),EXACT(metadata!G718,"urban biome"))</f>
        <v>0</v>
      </c>
      <c r="AI718" t="b">
        <f>AND(IF(metadata!H718="",FALSE,TRUE),EXACT(metadata!H718,"human-associated habitat"))</f>
        <v>0</v>
      </c>
      <c r="AJ718" t="b">
        <f>AND(IF(metadata!I718="",FALSE,TRUE),OR(EXACT(metadata!I718,"human-associated"),EXACT(metadata!I718,"human-skin"),EXACT(metadata!I718,"human-oral"),EXACT(metadata!I718,"human-gut"),EXACT(metadata!I718,"human-vaginal")))</f>
        <v>0</v>
      </c>
      <c r="AK718" t="b">
        <f>IF(metadata!J718="",FALSE,ISNUMBER(VALUE(metadata!J718)))</f>
        <v>0</v>
      </c>
      <c r="AL718" t="b">
        <f>AND(IF(metadata!K718="",FALSE,TRUE),EXACT(metadata!K718,"cm"))</f>
        <v>0</v>
      </c>
      <c r="AM718" t="b">
        <f>AND(IF(metadata!L718="",FALSE,TRUE),EXACT(metadata!L718,"human"))</f>
        <v>0</v>
      </c>
      <c r="AN718" t="b">
        <f>AND(IF(metadata!M718="",FALSE,TRUE),EXACT(metadata!M718,"Homo sapiens"))</f>
        <v>0</v>
      </c>
      <c r="AO718" t="b">
        <f>AND(IF(metadata!N718="",FALSE,TRUE),EXACT(metadata!N718,"9606"))</f>
        <v>0</v>
      </c>
      <c r="AP718" t="b">
        <f>IF(metadata!O718="",FALSE,TRUE)</f>
        <v>0</v>
      </c>
      <c r="AQ718" t="b">
        <f>IF(metadata!P718="",FALSE,TRUE)</f>
        <v>0</v>
      </c>
      <c r="AR718" t="b">
        <f>IF(metadata!Q718="",FALSE,ISNUMBER(VALUE(metadata!Q718)))</f>
        <v>0</v>
      </c>
      <c r="AS718" t="b">
        <f>AND(IF(metadata!R718="",FALSE,TRUE),EXACT(metadata!R718,"kg"))</f>
        <v>0</v>
      </c>
    </row>
    <row r="719" spans="1:45" x14ac:dyDescent="0.2">
      <c r="A719" s="5" t="str">
        <f ca="1">IF(B719=" "," ",HYPERLINK(CONCATENATE("#metadata!",ADDRESS(INDEX($X$2:$X$1001,MATCH(ROWS($V$2:V719),$V$2:$V$1001,0),0),1)),INDEX($AA$2:$AA$1001,MATCH(ROWS($V$2:V719),$V$2:$V$1001,0),0)))</f>
        <v xml:space="preserve"> </v>
      </c>
      <c r="B719" s="4" t="str">
        <f ca="1">IF(OR(INDEX($W$2:$W$1001,MATCH(ROWS($V$2:V719),$V$2:$V$1001,0),1)&gt;=100000,INDEX($AC$1005:$AS$1005,1,MATCH(COLUMNS($AC$1006:AC1006),$AC$1006:$AS$1006,0))&gt;=100000), " ",IF(INDEX($AC$2:$AS$1001,MATCH(ROWS($V$2:V719),$V$2:$V$1001,0),MATCH(COLUMNS($AC$1006:AC1006),$AC$1006:$AS$1006,0)), HYPERLINK("#",""), HYPERLINK(CONCATENATE("#metadata!", ADDRESS(INDEX($X$2:$X$1001,MATCH(ROWS($V$2:V719),$V$2:$V$1001,0),0), INDEX($AC$1004:$AS$1004,1,MATCH(COLUMNS($AC$1006:AC1006),$AC$1006:$AS$1006,0)))),"Fix")))</f>
        <v xml:space="preserve"> </v>
      </c>
      <c r="C719" s="4" t="str">
        <f ca="1">IF(OR(INDEX($W$2:$W$1001,MATCH(ROWS($V$2:V719),$V$2:$V$1001,0),1)&gt;=100000,INDEX($AC$1005:$AS$1005,1,MATCH(COLUMNS($AC$1006:AD1006),$AC$1006:$AS$1006,0))&gt;=100000), " ",IF(INDEX($AC$2:$AS$1001,MATCH(ROWS($V$2:V719),$V$2:$V$1001,0),MATCH(COLUMNS($AC$1006:AD1006),$AC$1006:$AS$1006,0)), HYPERLINK("#",""), HYPERLINK(CONCATENATE("#metadata!", ADDRESS(INDEX($X$2:$X$1001,MATCH(ROWS($V$2:V719),$V$2:$V$1001,0),0), INDEX($AC$1004:$AS$1004,1,MATCH(COLUMNS($AC$1006:AD1006),$AC$1006:$AS$1006,0)))),"Fix")))</f>
        <v xml:space="preserve"> </v>
      </c>
      <c r="D719" s="4" t="str">
        <f ca="1">IF(OR(INDEX($W$2:$W$1001,MATCH(ROWS($V$2:V719),$V$2:$V$1001,0),1)&gt;=100000,INDEX($AC$1005:$AS$1005,1,MATCH(COLUMNS($AC$1006:AE1006),$AC$1006:$AS$1006,0))&gt;=100000), " ",IF(INDEX($AC$2:$AS$1001,MATCH(ROWS($V$2:V719),$V$2:$V$1001,0),MATCH(COLUMNS($AC$1006:AE1006),$AC$1006:$AS$1006,0)), HYPERLINK("#",""), HYPERLINK(CONCATENATE("#metadata!", ADDRESS(INDEX($X$2:$X$1001,MATCH(ROWS($V$2:V719),$V$2:$V$1001,0),0), INDEX($AC$1004:$AS$1004,1,MATCH(COLUMNS($AC$1006:AE1006),$AC$1006:$AS$1006,0)))),"Fix")))</f>
        <v xml:space="preserve"> </v>
      </c>
      <c r="E719" s="4" t="str">
        <f ca="1">IF(OR(INDEX($W$2:$W$1001,MATCH(ROWS($V$2:V719),$V$2:$V$1001,0),1)&gt;=100000,INDEX($AC$1005:$AS$1005,1,MATCH(COLUMNS($AC$1006:AF1006),$AC$1006:$AS$1006,0))&gt;=100000), " ",IF(INDEX($AC$2:$AS$1001,MATCH(ROWS($V$2:V719),$V$2:$V$1001,0),MATCH(COLUMNS($AC$1006:AF1006),$AC$1006:$AS$1006,0)), HYPERLINK("#",""), HYPERLINK(CONCATENATE("#metadata!", ADDRESS(INDEX($X$2:$X$1001,MATCH(ROWS($V$2:V719),$V$2:$V$1001,0),0), INDEX($AC$1004:$AS$1004,1,MATCH(COLUMNS($AC$1006:AF1006),$AC$1006:$AS$1006,0)))),"Fix")))</f>
        <v xml:space="preserve"> </v>
      </c>
      <c r="F719" s="4" t="str">
        <f ca="1">IF(OR(INDEX($W$2:$W$1001,MATCH(ROWS($V$2:V719),$V$2:$V$1001,0),1)&gt;=100000,INDEX($AC$1005:$AS$1005,1,MATCH(COLUMNS($AC$1006:AG1006),$AC$1006:$AS$1006,0))&gt;=100000), " ",IF(INDEX($AC$2:$AS$1001,MATCH(ROWS($V$2:V719),$V$2:$V$1001,0),MATCH(COLUMNS($AC$1006:AG1006),$AC$1006:$AS$1006,0)), HYPERLINK("#",""), HYPERLINK(CONCATENATE("#metadata!", ADDRESS(INDEX($X$2:$X$1001,MATCH(ROWS($V$2:V719),$V$2:$V$1001,0),0), INDEX($AC$1004:$AS$1004,1,MATCH(COLUMNS($AC$1006:AG1006),$AC$1006:$AS$1006,0)))),"Fix")))</f>
        <v xml:space="preserve"> </v>
      </c>
      <c r="G719" s="4" t="str">
        <f ca="1">IF(OR(INDEX($W$2:$W$1001,MATCH(ROWS($V$2:V719),$V$2:$V$1001,0),1)&gt;=100000,INDEX($AC$1005:$AS$1005,1,MATCH(COLUMNS($AC$1006:AH1006),$AC$1006:$AS$1006,0))&gt;=100000), " ",IF(INDEX($AC$2:$AS$1001,MATCH(ROWS($V$2:V719),$V$2:$V$1001,0),MATCH(COLUMNS($AC$1006:AH1006),$AC$1006:$AS$1006,0)), HYPERLINK("#",""), HYPERLINK(CONCATENATE("#metadata!", ADDRESS(INDEX($X$2:$X$1001,MATCH(ROWS($V$2:V719),$V$2:$V$1001,0),0), INDEX($AC$1004:$AS$1004,1,MATCH(COLUMNS($AC$1006:AH1006),$AC$1006:$AS$1006,0)))),"Fix")))</f>
        <v xml:space="preserve"> </v>
      </c>
      <c r="H719" s="4" t="str">
        <f ca="1">IF(OR(INDEX($W$2:$W$1001,MATCH(ROWS($V$2:V719),$V$2:$V$1001,0),1)&gt;=100000,INDEX($AC$1005:$AS$1005,1,MATCH(COLUMNS($AC$1006:AI1006),$AC$1006:$AS$1006,0))&gt;=100000), " ",IF(INDEX($AC$2:$AS$1001,MATCH(ROWS($V$2:V719),$V$2:$V$1001,0),MATCH(COLUMNS($AC$1006:AI1006),$AC$1006:$AS$1006,0)), HYPERLINK("#",""), HYPERLINK(CONCATENATE("#metadata!", ADDRESS(INDEX($X$2:$X$1001,MATCH(ROWS($V$2:V719),$V$2:$V$1001,0),0), INDEX($AC$1004:$AS$1004,1,MATCH(COLUMNS($AC$1006:AI1006),$AC$1006:$AS$1006,0)))),"Fix")))</f>
        <v xml:space="preserve"> </v>
      </c>
      <c r="I719" s="4" t="str">
        <f ca="1">IF(OR(INDEX($W$2:$W$1001,MATCH(ROWS($V$2:V719),$V$2:$V$1001,0),1)&gt;=100000,INDEX($AC$1005:$AS$1005,1,MATCH(COLUMNS($AC$1006:AJ1006),$AC$1006:$AS$1006,0))&gt;=100000), " ",IF(INDEX($AC$2:$AS$1001,MATCH(ROWS($V$2:V719),$V$2:$V$1001,0),MATCH(COLUMNS($AC$1006:AJ1006),$AC$1006:$AS$1006,0)), HYPERLINK("#",""), HYPERLINK(CONCATENATE("#metadata!", ADDRESS(INDEX($X$2:$X$1001,MATCH(ROWS($V$2:V719),$V$2:$V$1001,0),0), INDEX($AC$1004:$AS$1004,1,MATCH(COLUMNS($AC$1006:AJ1006),$AC$1006:$AS$1006,0)))),"Fix")))</f>
        <v xml:space="preserve"> </v>
      </c>
      <c r="J719" s="4" t="str">
        <f ca="1">IF(OR(INDEX($W$2:$W$1001,MATCH(ROWS($V$2:V719),$V$2:$V$1001,0),1)&gt;=100000,INDEX($AC$1005:$AS$1005,1,MATCH(COLUMNS($AC$1006:AK1006),$AC$1006:$AS$1006,0))&gt;=100000), " ",IF(INDEX($AC$2:$AS$1001,MATCH(ROWS($V$2:V719),$V$2:$V$1001,0),MATCH(COLUMNS($AC$1006:AK1006),$AC$1006:$AS$1006,0)), HYPERLINK("#",""), HYPERLINK(CONCATENATE("#metadata!", ADDRESS(INDEX($X$2:$X$1001,MATCH(ROWS($V$2:V719),$V$2:$V$1001,0),0), INDEX($AC$1004:$AS$1004,1,MATCH(COLUMNS($AC$1006:AK1006),$AC$1006:$AS$1006,0)))),"Fix")))</f>
        <v xml:space="preserve"> </v>
      </c>
      <c r="K719" s="4" t="str">
        <f ca="1">IF(OR(INDEX($W$2:$W$1001,MATCH(ROWS($V$2:V719),$V$2:$V$1001,0),1)&gt;=100000,INDEX($AC$1005:$AS$1005,1,MATCH(COLUMNS($AC$1006:AL1006),$AC$1006:$AS$1006,0))&gt;=100000), " ",IF(INDEX($AC$2:$AS$1001,MATCH(ROWS($V$2:V719),$V$2:$V$1001,0),MATCH(COLUMNS($AC$1006:AL1006),$AC$1006:$AS$1006,0)), HYPERLINK("#",""), HYPERLINK(CONCATENATE("#metadata!", ADDRESS(INDEX($X$2:$X$1001,MATCH(ROWS($V$2:V719),$V$2:$V$1001,0),0), INDEX($AC$1004:$AS$1004,1,MATCH(COLUMNS($AC$1006:AL1006),$AC$1006:$AS$1006,0)))),"Fix")))</f>
        <v xml:space="preserve"> </v>
      </c>
      <c r="L719" s="4" t="str">
        <f ca="1">IF(OR(INDEX($W$2:$W$1001,MATCH(ROWS($V$2:V719),$V$2:$V$1001,0),1)&gt;=100000,INDEX($AC$1005:$AS$1005,1,MATCH(COLUMNS($AC$1006:AM1006),$AC$1006:$AS$1006,0))&gt;=100000), " ",IF(INDEX($AC$2:$AS$1001,MATCH(ROWS($V$2:V719),$V$2:$V$1001,0),MATCH(COLUMNS($AC$1006:AM1006),$AC$1006:$AS$1006,0)), HYPERLINK("#",""), HYPERLINK(CONCATENATE("#metadata!", ADDRESS(INDEX($X$2:$X$1001,MATCH(ROWS($V$2:V719),$V$2:$V$1001,0),0), INDEX($AC$1004:$AS$1004,1,MATCH(COLUMNS($AC$1006:AM1006),$AC$1006:$AS$1006,0)))),"Fix")))</f>
        <v xml:space="preserve"> </v>
      </c>
      <c r="M719" s="4" t="str">
        <f ca="1">IF(OR(INDEX($W$2:$W$1001,MATCH(ROWS($V$2:V719),$V$2:$V$1001,0),1)&gt;=100000,INDEX($AC$1005:$AS$1005,1,MATCH(COLUMNS($AC$1006:AN1006),$AC$1006:$AS$1006,0))&gt;=100000), " ",IF(INDEX($AC$2:$AS$1001,MATCH(ROWS($V$2:V719),$V$2:$V$1001,0),MATCH(COLUMNS($AC$1006:AN1006),$AC$1006:$AS$1006,0)), HYPERLINK("#",""), HYPERLINK(CONCATENATE("#metadata!", ADDRESS(INDEX($X$2:$X$1001,MATCH(ROWS($V$2:V719),$V$2:$V$1001,0),0), INDEX($AC$1004:$AS$1004,1,MATCH(COLUMNS($AC$1006:AN1006),$AC$1006:$AS$1006,0)))),"Fix")))</f>
        <v xml:space="preserve"> </v>
      </c>
      <c r="N719" s="4" t="str">
        <f ca="1">IF(OR(INDEX($W$2:$W$1001,MATCH(ROWS($V$2:V719),$V$2:$V$1001,0),1)&gt;=100000,INDEX($AC$1005:$AS$1005,1,MATCH(COLUMNS($AC$1006:AO1006),$AC$1006:$AS$1006,0))&gt;=100000), " ",IF(INDEX($AC$2:$AS$1001,MATCH(ROWS($V$2:V719),$V$2:$V$1001,0),MATCH(COLUMNS($AC$1006:AO1006),$AC$1006:$AS$1006,0)), HYPERLINK("#",""), HYPERLINK(CONCATENATE("#metadata!", ADDRESS(INDEX($X$2:$X$1001,MATCH(ROWS($V$2:V719),$V$2:$V$1001,0),0), INDEX($AC$1004:$AS$1004,1,MATCH(COLUMNS($AC$1006:AO1006),$AC$1006:$AS$1006,0)))),"Fix")))</f>
        <v xml:space="preserve"> </v>
      </c>
      <c r="O719" s="4" t="str">
        <f ca="1">IF(OR(INDEX($W$2:$W$1001,MATCH(ROWS($V$2:V719),$V$2:$V$1001,0),1)&gt;=100000,INDEX($AC$1005:$AS$1005,1,MATCH(COLUMNS($AC$1006:AP1006),$AC$1006:$AS$1006,0))&gt;=100000), " ",IF(INDEX($AC$2:$AS$1001,MATCH(ROWS($V$2:V719),$V$2:$V$1001,0),MATCH(COLUMNS($AC$1006:AP1006),$AC$1006:$AS$1006,0)), HYPERLINK("#",""), HYPERLINK(CONCATENATE("#metadata!", ADDRESS(INDEX($X$2:$X$1001,MATCH(ROWS($V$2:V719),$V$2:$V$1001,0),0), INDEX($AC$1004:$AS$1004,1,MATCH(COLUMNS($AC$1006:AP1006),$AC$1006:$AS$1006,0)))),"Fix")))</f>
        <v xml:space="preserve"> </v>
      </c>
      <c r="P719" s="4" t="str">
        <f ca="1">IF(OR(INDEX($W$2:$W$1001,MATCH(ROWS($V$2:V719),$V$2:$V$1001,0),1)&gt;=100000,INDEX($AC$1005:$AS$1005,1,MATCH(COLUMNS($AC$1006:AQ1006),$AC$1006:$AS$1006,0))&gt;=100000), " ",IF(INDEX($AC$2:$AS$1001,MATCH(ROWS($V$2:V719),$V$2:$V$1001,0),MATCH(COLUMNS($AC$1006:AQ1006),$AC$1006:$AS$1006,0)), HYPERLINK("#",""), HYPERLINK(CONCATENATE("#metadata!", ADDRESS(INDEX($X$2:$X$1001,MATCH(ROWS($V$2:V719),$V$2:$V$1001,0),0), INDEX($AC$1004:$AS$1004,1,MATCH(COLUMNS($AC$1006:AQ1006),$AC$1006:$AS$1006,0)))),"Fix")))</f>
        <v xml:space="preserve"> </v>
      </c>
      <c r="Q719" s="4" t="str">
        <f ca="1">IF(OR(INDEX($W$2:$W$1001,MATCH(ROWS($V$2:V719),$V$2:$V$1001,0),1)&gt;=100000,INDEX($AC$1005:$AS$1005,1,MATCH(COLUMNS($AC$1006:AR1006),$AC$1006:$AS$1006,0))&gt;=100000), " ",IF(INDEX($AC$2:$AS$1001,MATCH(ROWS($V$2:V719),$V$2:$V$1001,0),MATCH(COLUMNS($AC$1006:AR1006),$AC$1006:$AS$1006,0)), HYPERLINK("#",""), HYPERLINK(CONCATENATE("#metadata!", ADDRESS(INDEX($X$2:$X$1001,MATCH(ROWS($V$2:V719),$V$2:$V$1001,0),0), INDEX($AC$1004:$AS$1004,1,MATCH(COLUMNS($AC$1006:AR1006),$AC$1006:$AS$1006,0)))),"Fix")))</f>
        <v xml:space="preserve"> </v>
      </c>
      <c r="R719" s="4" t="str">
        <f ca="1">IF(OR(INDEX($W$2:$W$1001,MATCH(ROWS($V$2:V719),$V$2:$V$1001,0),1)&gt;=100000,INDEX($AC$1005:$AS$1005,1,MATCH(COLUMNS($AC$1006:AS1006),$AC$1006:$AS$1006,0))&gt;=100000), " ",IF(INDEX($AC$2:$AS$1001,MATCH(ROWS($V$2:V719),$V$2:$V$1001,0),MATCH(COLUMNS($AC$1006:AS1006),$AC$1006:$AS$1006,0)), HYPERLINK("#",""), HYPERLINK(CONCATENATE("#metadata!", ADDRESS(INDEX($X$2:$X$1001,MATCH(ROWS($V$2:V719),$V$2:$V$1001,0),0), INDEX($AC$1004:$AS$1004,1,MATCH(COLUMNS($AC$1006:AS1006),$AC$1006:$AS$1006,0)))),"Fix")))</f>
        <v xml:space="preserve"> </v>
      </c>
      <c r="V719">
        <v>718</v>
      </c>
      <c r="W719">
        <v>100719</v>
      </c>
      <c r="X719">
        <v>719</v>
      </c>
      <c r="Y719" t="b">
        <f t="shared" si="11"/>
        <v>1</v>
      </c>
      <c r="Z719" t="b">
        <f>COUNTBLANK(metadata!B719:R719)=COLUMNS(metadata!B719:R719)</f>
        <v>1</v>
      </c>
      <c r="AA719" t="str">
        <v/>
      </c>
      <c r="AC719" t="b">
        <f ca="1"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AD719" t="b">
        <f>IF(metadata!C719="",FALSE,ISNUMBER(VALUE(metadata!C719)))</f>
        <v>0</v>
      </c>
      <c r="AE719" t="b">
        <f>AND(IF(metadata!D719="",FALSE,TRUE),EXACT(metadata!D719,"years"))</f>
        <v>0</v>
      </c>
      <c r="AF719" t="b">
        <f>OR(AND(IF(metadata!E719="",FALSE,TRUE),OR(EXACT(metadata!E719,"not applicable"),EXACT(metadata!E719,"missing: not collected"),EXACT(metadata!E719,"missing: not provided"),EXACT(metadata!E719,"missing: restricted access"))),AND(IF(metadata!E719="",FALSE,ISNUMBER(VALUE(metadata!E719))),metadata!E719&gt;0))</f>
        <v>0</v>
      </c>
      <c r="AG719" t="b">
        <f>AND(IF(metadata!F719="",FALSE,TRUE),EXACT(metadata!F719,"Not applicable"))</f>
        <v>0</v>
      </c>
      <c r="AH719" t="b">
        <f>AND(IF(metadata!G719="",FALSE,TRUE),EXACT(metadata!G719,"urban biome"))</f>
        <v>0</v>
      </c>
      <c r="AI719" t="b">
        <f>AND(IF(metadata!H719="",FALSE,TRUE),EXACT(metadata!H719,"human-associated habitat"))</f>
        <v>0</v>
      </c>
      <c r="AJ719" t="b">
        <f>AND(IF(metadata!I719="",FALSE,TRUE),OR(EXACT(metadata!I719,"human-associated"),EXACT(metadata!I719,"human-skin"),EXACT(metadata!I719,"human-oral"),EXACT(metadata!I719,"human-gut"),EXACT(metadata!I719,"human-vaginal")))</f>
        <v>0</v>
      </c>
      <c r="AK719" t="b">
        <f>IF(metadata!J719="",FALSE,ISNUMBER(VALUE(metadata!J719)))</f>
        <v>0</v>
      </c>
      <c r="AL719" t="b">
        <f>AND(IF(metadata!K719="",FALSE,TRUE),EXACT(metadata!K719,"cm"))</f>
        <v>0</v>
      </c>
      <c r="AM719" t="b">
        <f>AND(IF(metadata!L719="",FALSE,TRUE),EXACT(metadata!L719,"human"))</f>
        <v>0</v>
      </c>
      <c r="AN719" t="b">
        <f>AND(IF(metadata!M719="",FALSE,TRUE),EXACT(metadata!M719,"Homo sapiens"))</f>
        <v>0</v>
      </c>
      <c r="AO719" t="b">
        <f>AND(IF(metadata!N719="",FALSE,TRUE),EXACT(metadata!N719,"9606"))</f>
        <v>0</v>
      </c>
      <c r="AP719" t="b">
        <f>IF(metadata!O719="",FALSE,TRUE)</f>
        <v>0</v>
      </c>
      <c r="AQ719" t="b">
        <f>IF(metadata!P719="",FALSE,TRUE)</f>
        <v>0</v>
      </c>
      <c r="AR719" t="b">
        <f>IF(metadata!Q719="",FALSE,ISNUMBER(VALUE(metadata!Q719)))</f>
        <v>0</v>
      </c>
      <c r="AS719" t="b">
        <f>AND(IF(metadata!R719="",FALSE,TRUE),EXACT(metadata!R719,"kg"))</f>
        <v>0</v>
      </c>
    </row>
    <row r="720" spans="1:45" x14ac:dyDescent="0.2">
      <c r="A720" s="5" t="str">
        <f ca="1">IF(B720=" "," ",HYPERLINK(CONCATENATE("#metadata!",ADDRESS(INDEX($X$2:$X$1001,MATCH(ROWS($V$2:V720),$V$2:$V$1001,0),0),1)),INDEX($AA$2:$AA$1001,MATCH(ROWS($V$2:V720),$V$2:$V$1001,0),0)))</f>
        <v xml:space="preserve"> </v>
      </c>
      <c r="B720" s="4" t="str">
        <f ca="1">IF(OR(INDEX($W$2:$W$1001,MATCH(ROWS($V$2:V720),$V$2:$V$1001,0),1)&gt;=100000,INDEX($AC$1005:$AS$1005,1,MATCH(COLUMNS($AC$1006:AC1006),$AC$1006:$AS$1006,0))&gt;=100000), " ",IF(INDEX($AC$2:$AS$1001,MATCH(ROWS($V$2:V720),$V$2:$V$1001,0),MATCH(COLUMNS($AC$1006:AC1006),$AC$1006:$AS$1006,0)), HYPERLINK("#",""), HYPERLINK(CONCATENATE("#metadata!", ADDRESS(INDEX($X$2:$X$1001,MATCH(ROWS($V$2:V720),$V$2:$V$1001,0),0), INDEX($AC$1004:$AS$1004,1,MATCH(COLUMNS($AC$1006:AC1006),$AC$1006:$AS$1006,0)))),"Fix")))</f>
        <v xml:space="preserve"> </v>
      </c>
      <c r="C720" s="4" t="str">
        <f ca="1">IF(OR(INDEX($W$2:$W$1001,MATCH(ROWS($V$2:V720),$V$2:$V$1001,0),1)&gt;=100000,INDEX($AC$1005:$AS$1005,1,MATCH(COLUMNS($AC$1006:AD1006),$AC$1006:$AS$1006,0))&gt;=100000), " ",IF(INDEX($AC$2:$AS$1001,MATCH(ROWS($V$2:V720),$V$2:$V$1001,0),MATCH(COLUMNS($AC$1006:AD1006),$AC$1006:$AS$1006,0)), HYPERLINK("#",""), HYPERLINK(CONCATENATE("#metadata!", ADDRESS(INDEX($X$2:$X$1001,MATCH(ROWS($V$2:V720),$V$2:$V$1001,0),0), INDEX($AC$1004:$AS$1004,1,MATCH(COLUMNS($AC$1006:AD1006),$AC$1006:$AS$1006,0)))),"Fix")))</f>
        <v xml:space="preserve"> </v>
      </c>
      <c r="D720" s="4" t="str">
        <f ca="1">IF(OR(INDEX($W$2:$W$1001,MATCH(ROWS($V$2:V720),$V$2:$V$1001,0),1)&gt;=100000,INDEX($AC$1005:$AS$1005,1,MATCH(COLUMNS($AC$1006:AE1006),$AC$1006:$AS$1006,0))&gt;=100000), " ",IF(INDEX($AC$2:$AS$1001,MATCH(ROWS($V$2:V720),$V$2:$V$1001,0),MATCH(COLUMNS($AC$1006:AE1006),$AC$1006:$AS$1006,0)), HYPERLINK("#",""), HYPERLINK(CONCATENATE("#metadata!", ADDRESS(INDEX($X$2:$X$1001,MATCH(ROWS($V$2:V720),$V$2:$V$1001,0),0), INDEX($AC$1004:$AS$1004,1,MATCH(COLUMNS($AC$1006:AE1006),$AC$1006:$AS$1006,0)))),"Fix")))</f>
        <v xml:space="preserve"> </v>
      </c>
      <c r="E720" s="4" t="str">
        <f ca="1">IF(OR(INDEX($W$2:$W$1001,MATCH(ROWS($V$2:V720),$V$2:$V$1001,0),1)&gt;=100000,INDEX($AC$1005:$AS$1005,1,MATCH(COLUMNS($AC$1006:AF1006),$AC$1006:$AS$1006,0))&gt;=100000), " ",IF(INDEX($AC$2:$AS$1001,MATCH(ROWS($V$2:V720),$V$2:$V$1001,0),MATCH(COLUMNS($AC$1006:AF1006),$AC$1006:$AS$1006,0)), HYPERLINK("#",""), HYPERLINK(CONCATENATE("#metadata!", ADDRESS(INDEX($X$2:$X$1001,MATCH(ROWS($V$2:V720),$V$2:$V$1001,0),0), INDEX($AC$1004:$AS$1004,1,MATCH(COLUMNS($AC$1006:AF1006),$AC$1006:$AS$1006,0)))),"Fix")))</f>
        <v xml:space="preserve"> </v>
      </c>
      <c r="F720" s="4" t="str">
        <f ca="1">IF(OR(INDEX($W$2:$W$1001,MATCH(ROWS($V$2:V720),$V$2:$V$1001,0),1)&gt;=100000,INDEX($AC$1005:$AS$1005,1,MATCH(COLUMNS($AC$1006:AG1006),$AC$1006:$AS$1006,0))&gt;=100000), " ",IF(INDEX($AC$2:$AS$1001,MATCH(ROWS($V$2:V720),$V$2:$V$1001,0),MATCH(COLUMNS($AC$1006:AG1006),$AC$1006:$AS$1006,0)), HYPERLINK("#",""), HYPERLINK(CONCATENATE("#metadata!", ADDRESS(INDEX($X$2:$X$1001,MATCH(ROWS($V$2:V720),$V$2:$V$1001,0),0), INDEX($AC$1004:$AS$1004,1,MATCH(COLUMNS($AC$1006:AG1006),$AC$1006:$AS$1006,0)))),"Fix")))</f>
        <v xml:space="preserve"> </v>
      </c>
      <c r="G720" s="4" t="str">
        <f ca="1">IF(OR(INDEX($W$2:$W$1001,MATCH(ROWS($V$2:V720),$V$2:$V$1001,0),1)&gt;=100000,INDEX($AC$1005:$AS$1005,1,MATCH(COLUMNS($AC$1006:AH1006),$AC$1006:$AS$1006,0))&gt;=100000), " ",IF(INDEX($AC$2:$AS$1001,MATCH(ROWS($V$2:V720),$V$2:$V$1001,0),MATCH(COLUMNS($AC$1006:AH1006),$AC$1006:$AS$1006,0)), HYPERLINK("#",""), HYPERLINK(CONCATENATE("#metadata!", ADDRESS(INDEX($X$2:$X$1001,MATCH(ROWS($V$2:V720),$V$2:$V$1001,0),0), INDEX($AC$1004:$AS$1004,1,MATCH(COLUMNS($AC$1006:AH1006),$AC$1006:$AS$1006,0)))),"Fix")))</f>
        <v xml:space="preserve"> </v>
      </c>
      <c r="H720" s="4" t="str">
        <f ca="1">IF(OR(INDEX($W$2:$W$1001,MATCH(ROWS($V$2:V720),$V$2:$V$1001,0),1)&gt;=100000,INDEX($AC$1005:$AS$1005,1,MATCH(COLUMNS($AC$1006:AI1006),$AC$1006:$AS$1006,0))&gt;=100000), " ",IF(INDEX($AC$2:$AS$1001,MATCH(ROWS($V$2:V720),$V$2:$V$1001,0),MATCH(COLUMNS($AC$1006:AI1006),$AC$1006:$AS$1006,0)), HYPERLINK("#",""), HYPERLINK(CONCATENATE("#metadata!", ADDRESS(INDEX($X$2:$X$1001,MATCH(ROWS($V$2:V720),$V$2:$V$1001,0),0), INDEX($AC$1004:$AS$1004,1,MATCH(COLUMNS($AC$1006:AI1006),$AC$1006:$AS$1006,0)))),"Fix")))</f>
        <v xml:space="preserve"> </v>
      </c>
      <c r="I720" s="4" t="str">
        <f ca="1">IF(OR(INDEX($W$2:$W$1001,MATCH(ROWS($V$2:V720),$V$2:$V$1001,0),1)&gt;=100000,INDEX($AC$1005:$AS$1005,1,MATCH(COLUMNS($AC$1006:AJ1006),$AC$1006:$AS$1006,0))&gt;=100000), " ",IF(INDEX($AC$2:$AS$1001,MATCH(ROWS($V$2:V720),$V$2:$V$1001,0),MATCH(COLUMNS($AC$1006:AJ1006),$AC$1006:$AS$1006,0)), HYPERLINK("#",""), HYPERLINK(CONCATENATE("#metadata!", ADDRESS(INDEX($X$2:$X$1001,MATCH(ROWS($V$2:V720),$V$2:$V$1001,0),0), INDEX($AC$1004:$AS$1004,1,MATCH(COLUMNS($AC$1006:AJ1006),$AC$1006:$AS$1006,0)))),"Fix")))</f>
        <v xml:space="preserve"> </v>
      </c>
      <c r="J720" s="4" t="str">
        <f ca="1">IF(OR(INDEX($W$2:$W$1001,MATCH(ROWS($V$2:V720),$V$2:$V$1001,0),1)&gt;=100000,INDEX($AC$1005:$AS$1005,1,MATCH(COLUMNS($AC$1006:AK1006),$AC$1006:$AS$1006,0))&gt;=100000), " ",IF(INDEX($AC$2:$AS$1001,MATCH(ROWS($V$2:V720),$V$2:$V$1001,0),MATCH(COLUMNS($AC$1006:AK1006),$AC$1006:$AS$1006,0)), HYPERLINK("#",""), HYPERLINK(CONCATENATE("#metadata!", ADDRESS(INDEX($X$2:$X$1001,MATCH(ROWS($V$2:V720),$V$2:$V$1001,0),0), INDEX($AC$1004:$AS$1004,1,MATCH(COLUMNS($AC$1006:AK1006),$AC$1006:$AS$1006,0)))),"Fix")))</f>
        <v xml:space="preserve"> </v>
      </c>
      <c r="K720" s="4" t="str">
        <f ca="1">IF(OR(INDEX($W$2:$W$1001,MATCH(ROWS($V$2:V720),$V$2:$V$1001,0),1)&gt;=100000,INDEX($AC$1005:$AS$1005,1,MATCH(COLUMNS($AC$1006:AL1006),$AC$1006:$AS$1006,0))&gt;=100000), " ",IF(INDEX($AC$2:$AS$1001,MATCH(ROWS($V$2:V720),$V$2:$V$1001,0),MATCH(COLUMNS($AC$1006:AL1006),$AC$1006:$AS$1006,0)), HYPERLINK("#",""), HYPERLINK(CONCATENATE("#metadata!", ADDRESS(INDEX($X$2:$X$1001,MATCH(ROWS($V$2:V720),$V$2:$V$1001,0),0), INDEX($AC$1004:$AS$1004,1,MATCH(COLUMNS($AC$1006:AL1006),$AC$1006:$AS$1006,0)))),"Fix")))</f>
        <v xml:space="preserve"> </v>
      </c>
      <c r="L720" s="4" t="str">
        <f ca="1">IF(OR(INDEX($W$2:$W$1001,MATCH(ROWS($V$2:V720),$V$2:$V$1001,0),1)&gt;=100000,INDEX($AC$1005:$AS$1005,1,MATCH(COLUMNS($AC$1006:AM1006),$AC$1006:$AS$1006,0))&gt;=100000), " ",IF(INDEX($AC$2:$AS$1001,MATCH(ROWS($V$2:V720),$V$2:$V$1001,0),MATCH(COLUMNS($AC$1006:AM1006),$AC$1006:$AS$1006,0)), HYPERLINK("#",""), HYPERLINK(CONCATENATE("#metadata!", ADDRESS(INDEX($X$2:$X$1001,MATCH(ROWS($V$2:V720),$V$2:$V$1001,0),0), INDEX($AC$1004:$AS$1004,1,MATCH(COLUMNS($AC$1006:AM1006),$AC$1006:$AS$1006,0)))),"Fix")))</f>
        <v xml:space="preserve"> </v>
      </c>
      <c r="M720" s="4" t="str">
        <f ca="1">IF(OR(INDEX($W$2:$W$1001,MATCH(ROWS($V$2:V720),$V$2:$V$1001,0),1)&gt;=100000,INDEX($AC$1005:$AS$1005,1,MATCH(COLUMNS($AC$1006:AN1006),$AC$1006:$AS$1006,0))&gt;=100000), " ",IF(INDEX($AC$2:$AS$1001,MATCH(ROWS($V$2:V720),$V$2:$V$1001,0),MATCH(COLUMNS($AC$1006:AN1006),$AC$1006:$AS$1006,0)), HYPERLINK("#",""), HYPERLINK(CONCATENATE("#metadata!", ADDRESS(INDEX($X$2:$X$1001,MATCH(ROWS($V$2:V720),$V$2:$V$1001,0),0), INDEX($AC$1004:$AS$1004,1,MATCH(COLUMNS($AC$1006:AN1006),$AC$1006:$AS$1006,0)))),"Fix")))</f>
        <v xml:space="preserve"> </v>
      </c>
      <c r="N720" s="4" t="str">
        <f ca="1">IF(OR(INDEX($W$2:$W$1001,MATCH(ROWS($V$2:V720),$V$2:$V$1001,0),1)&gt;=100000,INDEX($AC$1005:$AS$1005,1,MATCH(COLUMNS($AC$1006:AO1006),$AC$1006:$AS$1006,0))&gt;=100000), " ",IF(INDEX($AC$2:$AS$1001,MATCH(ROWS($V$2:V720),$V$2:$V$1001,0),MATCH(COLUMNS($AC$1006:AO1006),$AC$1006:$AS$1006,0)), HYPERLINK("#",""), HYPERLINK(CONCATENATE("#metadata!", ADDRESS(INDEX($X$2:$X$1001,MATCH(ROWS($V$2:V720),$V$2:$V$1001,0),0), INDEX($AC$1004:$AS$1004,1,MATCH(COLUMNS($AC$1006:AO1006),$AC$1006:$AS$1006,0)))),"Fix")))</f>
        <v xml:space="preserve"> </v>
      </c>
      <c r="O720" s="4" t="str">
        <f ca="1">IF(OR(INDEX($W$2:$W$1001,MATCH(ROWS($V$2:V720),$V$2:$V$1001,0),1)&gt;=100000,INDEX($AC$1005:$AS$1005,1,MATCH(COLUMNS($AC$1006:AP1006),$AC$1006:$AS$1006,0))&gt;=100000), " ",IF(INDEX($AC$2:$AS$1001,MATCH(ROWS($V$2:V720),$V$2:$V$1001,0),MATCH(COLUMNS($AC$1006:AP1006),$AC$1006:$AS$1006,0)), HYPERLINK("#",""), HYPERLINK(CONCATENATE("#metadata!", ADDRESS(INDEX($X$2:$X$1001,MATCH(ROWS($V$2:V720),$V$2:$V$1001,0),0), INDEX($AC$1004:$AS$1004,1,MATCH(COLUMNS($AC$1006:AP1006),$AC$1006:$AS$1006,0)))),"Fix")))</f>
        <v xml:space="preserve"> </v>
      </c>
      <c r="P720" s="4" t="str">
        <f ca="1">IF(OR(INDEX($W$2:$W$1001,MATCH(ROWS($V$2:V720),$V$2:$V$1001,0),1)&gt;=100000,INDEX($AC$1005:$AS$1005,1,MATCH(COLUMNS($AC$1006:AQ1006),$AC$1006:$AS$1006,0))&gt;=100000), " ",IF(INDEX($AC$2:$AS$1001,MATCH(ROWS($V$2:V720),$V$2:$V$1001,0),MATCH(COLUMNS($AC$1006:AQ1006),$AC$1006:$AS$1006,0)), HYPERLINK("#",""), HYPERLINK(CONCATENATE("#metadata!", ADDRESS(INDEX($X$2:$X$1001,MATCH(ROWS($V$2:V720),$V$2:$V$1001,0),0), INDEX($AC$1004:$AS$1004,1,MATCH(COLUMNS($AC$1006:AQ1006),$AC$1006:$AS$1006,0)))),"Fix")))</f>
        <v xml:space="preserve"> </v>
      </c>
      <c r="Q720" s="4" t="str">
        <f ca="1">IF(OR(INDEX($W$2:$W$1001,MATCH(ROWS($V$2:V720),$V$2:$V$1001,0),1)&gt;=100000,INDEX($AC$1005:$AS$1005,1,MATCH(COLUMNS($AC$1006:AR1006),$AC$1006:$AS$1006,0))&gt;=100000), " ",IF(INDEX($AC$2:$AS$1001,MATCH(ROWS($V$2:V720),$V$2:$V$1001,0),MATCH(COLUMNS($AC$1006:AR1006),$AC$1006:$AS$1006,0)), HYPERLINK("#",""), HYPERLINK(CONCATENATE("#metadata!", ADDRESS(INDEX($X$2:$X$1001,MATCH(ROWS($V$2:V720),$V$2:$V$1001,0),0), INDEX($AC$1004:$AS$1004,1,MATCH(COLUMNS($AC$1006:AR1006),$AC$1006:$AS$1006,0)))),"Fix")))</f>
        <v xml:space="preserve"> </v>
      </c>
      <c r="R720" s="4" t="str">
        <f ca="1">IF(OR(INDEX($W$2:$W$1001,MATCH(ROWS($V$2:V720),$V$2:$V$1001,0),1)&gt;=100000,INDEX($AC$1005:$AS$1005,1,MATCH(COLUMNS($AC$1006:AS1006),$AC$1006:$AS$1006,0))&gt;=100000), " ",IF(INDEX($AC$2:$AS$1001,MATCH(ROWS($V$2:V720),$V$2:$V$1001,0),MATCH(COLUMNS($AC$1006:AS1006),$AC$1006:$AS$1006,0)), HYPERLINK("#",""), HYPERLINK(CONCATENATE("#metadata!", ADDRESS(INDEX($X$2:$X$1001,MATCH(ROWS($V$2:V720),$V$2:$V$1001,0),0), INDEX($AC$1004:$AS$1004,1,MATCH(COLUMNS($AC$1006:AS1006),$AC$1006:$AS$1006,0)))),"Fix")))</f>
        <v xml:space="preserve"> </v>
      </c>
      <c r="V720">
        <v>719</v>
      </c>
      <c r="W720">
        <v>100720</v>
      </c>
      <c r="X720">
        <v>720</v>
      </c>
      <c r="Y720" t="b">
        <f t="shared" si="11"/>
        <v>1</v>
      </c>
      <c r="Z720" t="b">
        <f>COUNTBLANK(metadata!B720:R720)=COLUMNS(metadata!B720:R720)</f>
        <v>1</v>
      </c>
      <c r="AA720" t="str">
        <v/>
      </c>
      <c r="AC720" t="b">
        <f ca="1"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AD720" t="b">
        <f>IF(metadata!C720="",FALSE,ISNUMBER(VALUE(metadata!C720)))</f>
        <v>0</v>
      </c>
      <c r="AE720" t="b">
        <f>AND(IF(metadata!D720="",FALSE,TRUE),EXACT(metadata!D720,"years"))</f>
        <v>0</v>
      </c>
      <c r="AF720" t="b">
        <f>OR(AND(IF(metadata!E720="",FALSE,TRUE),OR(EXACT(metadata!E720,"not applicable"),EXACT(metadata!E720,"missing: not collected"),EXACT(metadata!E720,"missing: not provided"),EXACT(metadata!E720,"missing: restricted access"))),AND(IF(metadata!E720="",FALSE,ISNUMBER(VALUE(metadata!E720))),metadata!E720&gt;0))</f>
        <v>0</v>
      </c>
      <c r="AG720" t="b">
        <f>AND(IF(metadata!F720="",FALSE,TRUE),EXACT(metadata!F720,"Not applicable"))</f>
        <v>0</v>
      </c>
      <c r="AH720" t="b">
        <f>AND(IF(metadata!G720="",FALSE,TRUE),EXACT(metadata!G720,"urban biome"))</f>
        <v>0</v>
      </c>
      <c r="AI720" t="b">
        <f>AND(IF(metadata!H720="",FALSE,TRUE),EXACT(metadata!H720,"human-associated habitat"))</f>
        <v>0</v>
      </c>
      <c r="AJ720" t="b">
        <f>AND(IF(metadata!I720="",FALSE,TRUE),OR(EXACT(metadata!I720,"human-associated"),EXACT(metadata!I720,"human-skin"),EXACT(metadata!I720,"human-oral"),EXACT(metadata!I720,"human-gut"),EXACT(metadata!I720,"human-vaginal")))</f>
        <v>0</v>
      </c>
      <c r="AK720" t="b">
        <f>IF(metadata!J720="",FALSE,ISNUMBER(VALUE(metadata!J720)))</f>
        <v>0</v>
      </c>
      <c r="AL720" t="b">
        <f>AND(IF(metadata!K720="",FALSE,TRUE),EXACT(metadata!K720,"cm"))</f>
        <v>0</v>
      </c>
      <c r="AM720" t="b">
        <f>AND(IF(metadata!L720="",FALSE,TRUE),EXACT(metadata!L720,"human"))</f>
        <v>0</v>
      </c>
      <c r="AN720" t="b">
        <f>AND(IF(metadata!M720="",FALSE,TRUE),EXACT(metadata!M720,"Homo sapiens"))</f>
        <v>0</v>
      </c>
      <c r="AO720" t="b">
        <f>AND(IF(metadata!N720="",FALSE,TRUE),EXACT(metadata!N720,"9606"))</f>
        <v>0</v>
      </c>
      <c r="AP720" t="b">
        <f>IF(metadata!O720="",FALSE,TRUE)</f>
        <v>0</v>
      </c>
      <c r="AQ720" t="b">
        <f>IF(metadata!P720="",FALSE,TRUE)</f>
        <v>0</v>
      </c>
      <c r="AR720" t="b">
        <f>IF(metadata!Q720="",FALSE,ISNUMBER(VALUE(metadata!Q720)))</f>
        <v>0</v>
      </c>
      <c r="AS720" t="b">
        <f>AND(IF(metadata!R720="",FALSE,TRUE),EXACT(metadata!R720,"kg"))</f>
        <v>0</v>
      </c>
    </row>
    <row r="721" spans="1:45" x14ac:dyDescent="0.2">
      <c r="A721" s="5" t="str">
        <f ca="1">IF(B721=" "," ",HYPERLINK(CONCATENATE("#metadata!",ADDRESS(INDEX($X$2:$X$1001,MATCH(ROWS($V$2:V721),$V$2:$V$1001,0),0),1)),INDEX($AA$2:$AA$1001,MATCH(ROWS($V$2:V721),$V$2:$V$1001,0),0)))</f>
        <v xml:space="preserve"> </v>
      </c>
      <c r="B721" s="4" t="str">
        <f ca="1">IF(OR(INDEX($W$2:$W$1001,MATCH(ROWS($V$2:V721),$V$2:$V$1001,0),1)&gt;=100000,INDEX($AC$1005:$AS$1005,1,MATCH(COLUMNS($AC$1006:AC1006),$AC$1006:$AS$1006,0))&gt;=100000), " ",IF(INDEX($AC$2:$AS$1001,MATCH(ROWS($V$2:V721),$V$2:$V$1001,0),MATCH(COLUMNS($AC$1006:AC1006),$AC$1006:$AS$1006,0)), HYPERLINK("#",""), HYPERLINK(CONCATENATE("#metadata!", ADDRESS(INDEX($X$2:$X$1001,MATCH(ROWS($V$2:V721),$V$2:$V$1001,0),0), INDEX($AC$1004:$AS$1004,1,MATCH(COLUMNS($AC$1006:AC1006),$AC$1006:$AS$1006,0)))),"Fix")))</f>
        <v xml:space="preserve"> </v>
      </c>
      <c r="C721" s="4" t="str">
        <f ca="1">IF(OR(INDEX($W$2:$W$1001,MATCH(ROWS($V$2:V721),$V$2:$V$1001,0),1)&gt;=100000,INDEX($AC$1005:$AS$1005,1,MATCH(COLUMNS($AC$1006:AD1006),$AC$1006:$AS$1006,0))&gt;=100000), " ",IF(INDEX($AC$2:$AS$1001,MATCH(ROWS($V$2:V721),$V$2:$V$1001,0),MATCH(COLUMNS($AC$1006:AD1006),$AC$1006:$AS$1006,0)), HYPERLINK("#",""), HYPERLINK(CONCATENATE("#metadata!", ADDRESS(INDEX($X$2:$X$1001,MATCH(ROWS($V$2:V721),$V$2:$V$1001,0),0), INDEX($AC$1004:$AS$1004,1,MATCH(COLUMNS($AC$1006:AD1006),$AC$1006:$AS$1006,0)))),"Fix")))</f>
        <v xml:space="preserve"> </v>
      </c>
      <c r="D721" s="4" t="str">
        <f ca="1">IF(OR(INDEX($W$2:$W$1001,MATCH(ROWS($V$2:V721),$V$2:$V$1001,0),1)&gt;=100000,INDEX($AC$1005:$AS$1005,1,MATCH(COLUMNS($AC$1006:AE1006),$AC$1006:$AS$1006,0))&gt;=100000), " ",IF(INDEX($AC$2:$AS$1001,MATCH(ROWS($V$2:V721),$V$2:$V$1001,0),MATCH(COLUMNS($AC$1006:AE1006),$AC$1006:$AS$1006,0)), HYPERLINK("#",""), HYPERLINK(CONCATENATE("#metadata!", ADDRESS(INDEX($X$2:$X$1001,MATCH(ROWS($V$2:V721),$V$2:$V$1001,0),0), INDEX($AC$1004:$AS$1004,1,MATCH(COLUMNS($AC$1006:AE1006),$AC$1006:$AS$1006,0)))),"Fix")))</f>
        <v xml:space="preserve"> </v>
      </c>
      <c r="E721" s="4" t="str">
        <f ca="1">IF(OR(INDEX($W$2:$W$1001,MATCH(ROWS($V$2:V721),$V$2:$V$1001,0),1)&gt;=100000,INDEX($AC$1005:$AS$1005,1,MATCH(COLUMNS($AC$1006:AF1006),$AC$1006:$AS$1006,0))&gt;=100000), " ",IF(INDEX($AC$2:$AS$1001,MATCH(ROWS($V$2:V721),$V$2:$V$1001,0),MATCH(COLUMNS($AC$1006:AF1006),$AC$1006:$AS$1006,0)), HYPERLINK("#",""), HYPERLINK(CONCATENATE("#metadata!", ADDRESS(INDEX($X$2:$X$1001,MATCH(ROWS($V$2:V721),$V$2:$V$1001,0),0), INDEX($AC$1004:$AS$1004,1,MATCH(COLUMNS($AC$1006:AF1006),$AC$1006:$AS$1006,0)))),"Fix")))</f>
        <v xml:space="preserve"> </v>
      </c>
      <c r="F721" s="4" t="str">
        <f ca="1">IF(OR(INDEX($W$2:$W$1001,MATCH(ROWS($V$2:V721),$V$2:$V$1001,0),1)&gt;=100000,INDEX($AC$1005:$AS$1005,1,MATCH(COLUMNS($AC$1006:AG1006),$AC$1006:$AS$1006,0))&gt;=100000), " ",IF(INDEX($AC$2:$AS$1001,MATCH(ROWS($V$2:V721),$V$2:$V$1001,0),MATCH(COLUMNS($AC$1006:AG1006),$AC$1006:$AS$1006,0)), HYPERLINK("#",""), HYPERLINK(CONCATENATE("#metadata!", ADDRESS(INDEX($X$2:$X$1001,MATCH(ROWS($V$2:V721),$V$2:$V$1001,0),0), INDEX($AC$1004:$AS$1004,1,MATCH(COLUMNS($AC$1006:AG1006),$AC$1006:$AS$1006,0)))),"Fix")))</f>
        <v xml:space="preserve"> </v>
      </c>
      <c r="G721" s="4" t="str">
        <f ca="1">IF(OR(INDEX($W$2:$W$1001,MATCH(ROWS($V$2:V721),$V$2:$V$1001,0),1)&gt;=100000,INDEX($AC$1005:$AS$1005,1,MATCH(COLUMNS($AC$1006:AH1006),$AC$1006:$AS$1006,0))&gt;=100000), " ",IF(INDEX($AC$2:$AS$1001,MATCH(ROWS($V$2:V721),$V$2:$V$1001,0),MATCH(COLUMNS($AC$1006:AH1006),$AC$1006:$AS$1006,0)), HYPERLINK("#",""), HYPERLINK(CONCATENATE("#metadata!", ADDRESS(INDEX($X$2:$X$1001,MATCH(ROWS($V$2:V721),$V$2:$V$1001,0),0), INDEX($AC$1004:$AS$1004,1,MATCH(COLUMNS($AC$1006:AH1006),$AC$1006:$AS$1006,0)))),"Fix")))</f>
        <v xml:space="preserve"> </v>
      </c>
      <c r="H721" s="4" t="str">
        <f ca="1">IF(OR(INDEX($W$2:$W$1001,MATCH(ROWS($V$2:V721),$V$2:$V$1001,0),1)&gt;=100000,INDEX($AC$1005:$AS$1005,1,MATCH(COLUMNS($AC$1006:AI1006),$AC$1006:$AS$1006,0))&gt;=100000), " ",IF(INDEX($AC$2:$AS$1001,MATCH(ROWS($V$2:V721),$V$2:$V$1001,0),MATCH(COLUMNS($AC$1006:AI1006),$AC$1006:$AS$1006,0)), HYPERLINK("#",""), HYPERLINK(CONCATENATE("#metadata!", ADDRESS(INDEX($X$2:$X$1001,MATCH(ROWS($V$2:V721),$V$2:$V$1001,0),0), INDEX($AC$1004:$AS$1004,1,MATCH(COLUMNS($AC$1006:AI1006),$AC$1006:$AS$1006,0)))),"Fix")))</f>
        <v xml:space="preserve"> </v>
      </c>
      <c r="I721" s="4" t="str">
        <f ca="1">IF(OR(INDEX($W$2:$W$1001,MATCH(ROWS($V$2:V721),$V$2:$V$1001,0),1)&gt;=100000,INDEX($AC$1005:$AS$1005,1,MATCH(COLUMNS($AC$1006:AJ1006),$AC$1006:$AS$1006,0))&gt;=100000), " ",IF(INDEX($AC$2:$AS$1001,MATCH(ROWS($V$2:V721),$V$2:$V$1001,0),MATCH(COLUMNS($AC$1006:AJ1006),$AC$1006:$AS$1006,0)), HYPERLINK("#",""), HYPERLINK(CONCATENATE("#metadata!", ADDRESS(INDEX($X$2:$X$1001,MATCH(ROWS($V$2:V721),$V$2:$V$1001,0),0), INDEX($AC$1004:$AS$1004,1,MATCH(COLUMNS($AC$1006:AJ1006),$AC$1006:$AS$1006,0)))),"Fix")))</f>
        <v xml:space="preserve"> </v>
      </c>
      <c r="J721" s="4" t="str">
        <f ca="1">IF(OR(INDEX($W$2:$W$1001,MATCH(ROWS($V$2:V721),$V$2:$V$1001,0),1)&gt;=100000,INDEX($AC$1005:$AS$1005,1,MATCH(COLUMNS($AC$1006:AK1006),$AC$1006:$AS$1006,0))&gt;=100000), " ",IF(INDEX($AC$2:$AS$1001,MATCH(ROWS($V$2:V721),$V$2:$V$1001,0),MATCH(COLUMNS($AC$1006:AK1006),$AC$1006:$AS$1006,0)), HYPERLINK("#",""), HYPERLINK(CONCATENATE("#metadata!", ADDRESS(INDEX($X$2:$X$1001,MATCH(ROWS($V$2:V721),$V$2:$V$1001,0),0), INDEX($AC$1004:$AS$1004,1,MATCH(COLUMNS($AC$1006:AK1006),$AC$1006:$AS$1006,0)))),"Fix")))</f>
        <v xml:space="preserve"> </v>
      </c>
      <c r="K721" s="4" t="str">
        <f ca="1">IF(OR(INDEX($W$2:$W$1001,MATCH(ROWS($V$2:V721),$V$2:$V$1001,0),1)&gt;=100000,INDEX($AC$1005:$AS$1005,1,MATCH(COLUMNS($AC$1006:AL1006),$AC$1006:$AS$1006,0))&gt;=100000), " ",IF(INDEX($AC$2:$AS$1001,MATCH(ROWS($V$2:V721),$V$2:$V$1001,0),MATCH(COLUMNS($AC$1006:AL1006),$AC$1006:$AS$1006,0)), HYPERLINK("#",""), HYPERLINK(CONCATENATE("#metadata!", ADDRESS(INDEX($X$2:$X$1001,MATCH(ROWS($V$2:V721),$V$2:$V$1001,0),0), INDEX($AC$1004:$AS$1004,1,MATCH(COLUMNS($AC$1006:AL1006),$AC$1006:$AS$1006,0)))),"Fix")))</f>
        <v xml:space="preserve"> </v>
      </c>
      <c r="L721" s="4" t="str">
        <f ca="1">IF(OR(INDEX($W$2:$W$1001,MATCH(ROWS($V$2:V721),$V$2:$V$1001,0),1)&gt;=100000,INDEX($AC$1005:$AS$1005,1,MATCH(COLUMNS($AC$1006:AM1006),$AC$1006:$AS$1006,0))&gt;=100000), " ",IF(INDEX($AC$2:$AS$1001,MATCH(ROWS($V$2:V721),$V$2:$V$1001,0),MATCH(COLUMNS($AC$1006:AM1006),$AC$1006:$AS$1006,0)), HYPERLINK("#",""), HYPERLINK(CONCATENATE("#metadata!", ADDRESS(INDEX($X$2:$X$1001,MATCH(ROWS($V$2:V721),$V$2:$V$1001,0),0), INDEX($AC$1004:$AS$1004,1,MATCH(COLUMNS($AC$1006:AM1006),$AC$1006:$AS$1006,0)))),"Fix")))</f>
        <v xml:space="preserve"> </v>
      </c>
      <c r="M721" s="4" t="str">
        <f ca="1">IF(OR(INDEX($W$2:$W$1001,MATCH(ROWS($V$2:V721),$V$2:$V$1001,0),1)&gt;=100000,INDEX($AC$1005:$AS$1005,1,MATCH(COLUMNS($AC$1006:AN1006),$AC$1006:$AS$1006,0))&gt;=100000), " ",IF(INDEX($AC$2:$AS$1001,MATCH(ROWS($V$2:V721),$V$2:$V$1001,0),MATCH(COLUMNS($AC$1006:AN1006),$AC$1006:$AS$1006,0)), HYPERLINK("#",""), HYPERLINK(CONCATENATE("#metadata!", ADDRESS(INDEX($X$2:$X$1001,MATCH(ROWS($V$2:V721),$V$2:$V$1001,0),0), INDEX($AC$1004:$AS$1004,1,MATCH(COLUMNS($AC$1006:AN1006),$AC$1006:$AS$1006,0)))),"Fix")))</f>
        <v xml:space="preserve"> </v>
      </c>
      <c r="N721" s="4" t="str">
        <f ca="1">IF(OR(INDEX($W$2:$W$1001,MATCH(ROWS($V$2:V721),$V$2:$V$1001,0),1)&gt;=100000,INDEX($AC$1005:$AS$1005,1,MATCH(COLUMNS($AC$1006:AO1006),$AC$1006:$AS$1006,0))&gt;=100000), " ",IF(INDEX($AC$2:$AS$1001,MATCH(ROWS($V$2:V721),$V$2:$V$1001,0),MATCH(COLUMNS($AC$1006:AO1006),$AC$1006:$AS$1006,0)), HYPERLINK("#",""), HYPERLINK(CONCATENATE("#metadata!", ADDRESS(INDEX($X$2:$X$1001,MATCH(ROWS($V$2:V721),$V$2:$V$1001,0),0), INDEX($AC$1004:$AS$1004,1,MATCH(COLUMNS($AC$1006:AO1006),$AC$1006:$AS$1006,0)))),"Fix")))</f>
        <v xml:space="preserve"> </v>
      </c>
      <c r="O721" s="4" t="str">
        <f ca="1">IF(OR(INDEX($W$2:$W$1001,MATCH(ROWS($V$2:V721),$V$2:$V$1001,0),1)&gt;=100000,INDEX($AC$1005:$AS$1005,1,MATCH(COLUMNS($AC$1006:AP1006),$AC$1006:$AS$1006,0))&gt;=100000), " ",IF(INDEX($AC$2:$AS$1001,MATCH(ROWS($V$2:V721),$V$2:$V$1001,0),MATCH(COLUMNS($AC$1006:AP1006),$AC$1006:$AS$1006,0)), HYPERLINK("#",""), HYPERLINK(CONCATENATE("#metadata!", ADDRESS(INDEX($X$2:$X$1001,MATCH(ROWS($V$2:V721),$V$2:$V$1001,0),0), INDEX($AC$1004:$AS$1004,1,MATCH(COLUMNS($AC$1006:AP1006),$AC$1006:$AS$1006,0)))),"Fix")))</f>
        <v xml:space="preserve"> </v>
      </c>
      <c r="P721" s="4" t="str">
        <f ca="1">IF(OR(INDEX($W$2:$W$1001,MATCH(ROWS($V$2:V721),$V$2:$V$1001,0),1)&gt;=100000,INDEX($AC$1005:$AS$1005,1,MATCH(COLUMNS($AC$1006:AQ1006),$AC$1006:$AS$1006,0))&gt;=100000), " ",IF(INDEX($AC$2:$AS$1001,MATCH(ROWS($V$2:V721),$V$2:$V$1001,0),MATCH(COLUMNS($AC$1006:AQ1006),$AC$1006:$AS$1006,0)), HYPERLINK("#",""), HYPERLINK(CONCATENATE("#metadata!", ADDRESS(INDEX($X$2:$X$1001,MATCH(ROWS($V$2:V721),$V$2:$V$1001,0),0), INDEX($AC$1004:$AS$1004,1,MATCH(COLUMNS($AC$1006:AQ1006),$AC$1006:$AS$1006,0)))),"Fix")))</f>
        <v xml:space="preserve"> </v>
      </c>
      <c r="Q721" s="4" t="str">
        <f ca="1">IF(OR(INDEX($W$2:$W$1001,MATCH(ROWS($V$2:V721),$V$2:$V$1001,0),1)&gt;=100000,INDEX($AC$1005:$AS$1005,1,MATCH(COLUMNS($AC$1006:AR1006),$AC$1006:$AS$1006,0))&gt;=100000), " ",IF(INDEX($AC$2:$AS$1001,MATCH(ROWS($V$2:V721),$V$2:$V$1001,0),MATCH(COLUMNS($AC$1006:AR1006),$AC$1006:$AS$1006,0)), HYPERLINK("#",""), HYPERLINK(CONCATENATE("#metadata!", ADDRESS(INDEX($X$2:$X$1001,MATCH(ROWS($V$2:V721),$V$2:$V$1001,0),0), INDEX($AC$1004:$AS$1004,1,MATCH(COLUMNS($AC$1006:AR1006),$AC$1006:$AS$1006,0)))),"Fix")))</f>
        <v xml:space="preserve"> </v>
      </c>
      <c r="R721" s="4" t="str">
        <f ca="1">IF(OR(INDEX($W$2:$W$1001,MATCH(ROWS($V$2:V721),$V$2:$V$1001,0),1)&gt;=100000,INDEX($AC$1005:$AS$1005,1,MATCH(COLUMNS($AC$1006:AS1006),$AC$1006:$AS$1006,0))&gt;=100000), " ",IF(INDEX($AC$2:$AS$1001,MATCH(ROWS($V$2:V721),$V$2:$V$1001,0),MATCH(COLUMNS($AC$1006:AS1006),$AC$1006:$AS$1006,0)), HYPERLINK("#",""), HYPERLINK(CONCATENATE("#metadata!", ADDRESS(INDEX($X$2:$X$1001,MATCH(ROWS($V$2:V721),$V$2:$V$1001,0),0), INDEX($AC$1004:$AS$1004,1,MATCH(COLUMNS($AC$1006:AS1006),$AC$1006:$AS$1006,0)))),"Fix")))</f>
        <v xml:space="preserve"> </v>
      </c>
      <c r="V721">
        <v>720</v>
      </c>
      <c r="W721">
        <v>100721</v>
      </c>
      <c r="X721">
        <v>721</v>
      </c>
      <c r="Y721" t="b">
        <f t="shared" si="11"/>
        <v>1</v>
      </c>
      <c r="Z721" t="b">
        <f>COUNTBLANK(metadata!B721:R721)=COLUMNS(metadata!B721:R721)</f>
        <v>1</v>
      </c>
      <c r="AA721" t="str">
        <v/>
      </c>
      <c r="AC721" t="b">
        <f ca="1"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AD721" t="b">
        <f>IF(metadata!C721="",FALSE,ISNUMBER(VALUE(metadata!C721)))</f>
        <v>0</v>
      </c>
      <c r="AE721" t="b">
        <f>AND(IF(metadata!D721="",FALSE,TRUE),EXACT(metadata!D721,"years"))</f>
        <v>0</v>
      </c>
      <c r="AF721" t="b">
        <f>OR(AND(IF(metadata!E721="",FALSE,TRUE),OR(EXACT(metadata!E721,"not applicable"),EXACT(metadata!E721,"missing: not collected"),EXACT(metadata!E721,"missing: not provided"),EXACT(metadata!E721,"missing: restricted access"))),AND(IF(metadata!E721="",FALSE,ISNUMBER(VALUE(metadata!E721))),metadata!E721&gt;0))</f>
        <v>0</v>
      </c>
      <c r="AG721" t="b">
        <f>AND(IF(metadata!F721="",FALSE,TRUE),EXACT(metadata!F721,"Not applicable"))</f>
        <v>0</v>
      </c>
      <c r="AH721" t="b">
        <f>AND(IF(metadata!G721="",FALSE,TRUE),EXACT(metadata!G721,"urban biome"))</f>
        <v>0</v>
      </c>
      <c r="AI721" t="b">
        <f>AND(IF(metadata!H721="",FALSE,TRUE),EXACT(metadata!H721,"human-associated habitat"))</f>
        <v>0</v>
      </c>
      <c r="AJ721" t="b">
        <f>AND(IF(metadata!I721="",FALSE,TRUE),OR(EXACT(metadata!I721,"human-associated"),EXACT(metadata!I721,"human-skin"),EXACT(metadata!I721,"human-oral"),EXACT(metadata!I721,"human-gut"),EXACT(metadata!I721,"human-vaginal")))</f>
        <v>0</v>
      </c>
      <c r="AK721" t="b">
        <f>IF(metadata!J721="",FALSE,ISNUMBER(VALUE(metadata!J721)))</f>
        <v>0</v>
      </c>
      <c r="AL721" t="b">
        <f>AND(IF(metadata!K721="",FALSE,TRUE),EXACT(metadata!K721,"cm"))</f>
        <v>0</v>
      </c>
      <c r="AM721" t="b">
        <f>AND(IF(metadata!L721="",FALSE,TRUE),EXACT(metadata!L721,"human"))</f>
        <v>0</v>
      </c>
      <c r="AN721" t="b">
        <f>AND(IF(metadata!M721="",FALSE,TRUE),EXACT(metadata!M721,"Homo sapiens"))</f>
        <v>0</v>
      </c>
      <c r="AO721" t="b">
        <f>AND(IF(metadata!N721="",FALSE,TRUE),EXACT(metadata!N721,"9606"))</f>
        <v>0</v>
      </c>
      <c r="AP721" t="b">
        <f>IF(metadata!O721="",FALSE,TRUE)</f>
        <v>0</v>
      </c>
      <c r="AQ721" t="b">
        <f>IF(metadata!P721="",FALSE,TRUE)</f>
        <v>0</v>
      </c>
      <c r="AR721" t="b">
        <f>IF(metadata!Q721="",FALSE,ISNUMBER(VALUE(metadata!Q721)))</f>
        <v>0</v>
      </c>
      <c r="AS721" t="b">
        <f>AND(IF(metadata!R721="",FALSE,TRUE),EXACT(metadata!R721,"kg"))</f>
        <v>0</v>
      </c>
    </row>
    <row r="722" spans="1:45" x14ac:dyDescent="0.2">
      <c r="A722" s="5" t="str">
        <f ca="1">IF(B722=" "," ",HYPERLINK(CONCATENATE("#metadata!",ADDRESS(INDEX($X$2:$X$1001,MATCH(ROWS($V$2:V722),$V$2:$V$1001,0),0),1)),INDEX($AA$2:$AA$1001,MATCH(ROWS($V$2:V722),$V$2:$V$1001,0),0)))</f>
        <v xml:space="preserve"> </v>
      </c>
      <c r="B722" s="4" t="str">
        <f ca="1">IF(OR(INDEX($W$2:$W$1001,MATCH(ROWS($V$2:V722),$V$2:$V$1001,0),1)&gt;=100000,INDEX($AC$1005:$AS$1005,1,MATCH(COLUMNS($AC$1006:AC1006),$AC$1006:$AS$1006,0))&gt;=100000), " ",IF(INDEX($AC$2:$AS$1001,MATCH(ROWS($V$2:V722),$V$2:$V$1001,0),MATCH(COLUMNS($AC$1006:AC1006),$AC$1006:$AS$1006,0)), HYPERLINK("#",""), HYPERLINK(CONCATENATE("#metadata!", ADDRESS(INDEX($X$2:$X$1001,MATCH(ROWS($V$2:V722),$V$2:$V$1001,0),0), INDEX($AC$1004:$AS$1004,1,MATCH(COLUMNS($AC$1006:AC1006),$AC$1006:$AS$1006,0)))),"Fix")))</f>
        <v xml:space="preserve"> </v>
      </c>
      <c r="C722" s="4" t="str">
        <f ca="1">IF(OR(INDEX($W$2:$W$1001,MATCH(ROWS($V$2:V722),$V$2:$V$1001,0),1)&gt;=100000,INDEX($AC$1005:$AS$1005,1,MATCH(COLUMNS($AC$1006:AD1006),$AC$1006:$AS$1006,0))&gt;=100000), " ",IF(INDEX($AC$2:$AS$1001,MATCH(ROWS($V$2:V722),$V$2:$V$1001,0),MATCH(COLUMNS($AC$1006:AD1006),$AC$1006:$AS$1006,0)), HYPERLINK("#",""), HYPERLINK(CONCATENATE("#metadata!", ADDRESS(INDEX($X$2:$X$1001,MATCH(ROWS($V$2:V722),$V$2:$V$1001,0),0), INDEX($AC$1004:$AS$1004,1,MATCH(COLUMNS($AC$1006:AD1006),$AC$1006:$AS$1006,0)))),"Fix")))</f>
        <v xml:space="preserve"> </v>
      </c>
      <c r="D722" s="4" t="str">
        <f ca="1">IF(OR(INDEX($W$2:$W$1001,MATCH(ROWS($V$2:V722),$V$2:$V$1001,0),1)&gt;=100000,INDEX($AC$1005:$AS$1005,1,MATCH(COLUMNS($AC$1006:AE1006),$AC$1006:$AS$1006,0))&gt;=100000), " ",IF(INDEX($AC$2:$AS$1001,MATCH(ROWS($V$2:V722),$V$2:$V$1001,0),MATCH(COLUMNS($AC$1006:AE1006),$AC$1006:$AS$1006,0)), HYPERLINK("#",""), HYPERLINK(CONCATENATE("#metadata!", ADDRESS(INDEX($X$2:$X$1001,MATCH(ROWS($V$2:V722),$V$2:$V$1001,0),0), INDEX($AC$1004:$AS$1004,1,MATCH(COLUMNS($AC$1006:AE1006),$AC$1006:$AS$1006,0)))),"Fix")))</f>
        <v xml:space="preserve"> </v>
      </c>
      <c r="E722" s="4" t="str">
        <f ca="1">IF(OR(INDEX($W$2:$W$1001,MATCH(ROWS($V$2:V722),$V$2:$V$1001,0),1)&gt;=100000,INDEX($AC$1005:$AS$1005,1,MATCH(COLUMNS($AC$1006:AF1006),$AC$1006:$AS$1006,0))&gt;=100000), " ",IF(INDEX($AC$2:$AS$1001,MATCH(ROWS($V$2:V722),$V$2:$V$1001,0),MATCH(COLUMNS($AC$1006:AF1006),$AC$1006:$AS$1006,0)), HYPERLINK("#",""), HYPERLINK(CONCATENATE("#metadata!", ADDRESS(INDEX($X$2:$X$1001,MATCH(ROWS($V$2:V722),$V$2:$V$1001,0),0), INDEX($AC$1004:$AS$1004,1,MATCH(COLUMNS($AC$1006:AF1006),$AC$1006:$AS$1006,0)))),"Fix")))</f>
        <v xml:space="preserve"> </v>
      </c>
      <c r="F722" s="4" t="str">
        <f ca="1">IF(OR(INDEX($W$2:$W$1001,MATCH(ROWS($V$2:V722),$V$2:$V$1001,0),1)&gt;=100000,INDEX($AC$1005:$AS$1005,1,MATCH(COLUMNS($AC$1006:AG1006),$AC$1006:$AS$1006,0))&gt;=100000), " ",IF(INDEX($AC$2:$AS$1001,MATCH(ROWS($V$2:V722),$V$2:$V$1001,0),MATCH(COLUMNS($AC$1006:AG1006),$AC$1006:$AS$1006,0)), HYPERLINK("#",""), HYPERLINK(CONCATENATE("#metadata!", ADDRESS(INDEX($X$2:$X$1001,MATCH(ROWS($V$2:V722),$V$2:$V$1001,0),0), INDEX($AC$1004:$AS$1004,1,MATCH(COLUMNS($AC$1006:AG1006),$AC$1006:$AS$1006,0)))),"Fix")))</f>
        <v xml:space="preserve"> </v>
      </c>
      <c r="G722" s="4" t="str">
        <f ca="1">IF(OR(INDEX($W$2:$W$1001,MATCH(ROWS($V$2:V722),$V$2:$V$1001,0),1)&gt;=100000,INDEX($AC$1005:$AS$1005,1,MATCH(COLUMNS($AC$1006:AH1006),$AC$1006:$AS$1006,0))&gt;=100000), " ",IF(INDEX($AC$2:$AS$1001,MATCH(ROWS($V$2:V722),$V$2:$V$1001,0),MATCH(COLUMNS($AC$1006:AH1006),$AC$1006:$AS$1006,0)), HYPERLINK("#",""), HYPERLINK(CONCATENATE("#metadata!", ADDRESS(INDEX($X$2:$X$1001,MATCH(ROWS($V$2:V722),$V$2:$V$1001,0),0), INDEX($AC$1004:$AS$1004,1,MATCH(COLUMNS($AC$1006:AH1006),$AC$1006:$AS$1006,0)))),"Fix")))</f>
        <v xml:space="preserve"> </v>
      </c>
      <c r="H722" s="4" t="str">
        <f ca="1">IF(OR(INDEX($W$2:$W$1001,MATCH(ROWS($V$2:V722),$V$2:$V$1001,0),1)&gt;=100000,INDEX($AC$1005:$AS$1005,1,MATCH(COLUMNS($AC$1006:AI1006),$AC$1006:$AS$1006,0))&gt;=100000), " ",IF(INDEX($AC$2:$AS$1001,MATCH(ROWS($V$2:V722),$V$2:$V$1001,0),MATCH(COLUMNS($AC$1006:AI1006),$AC$1006:$AS$1006,0)), HYPERLINK("#",""), HYPERLINK(CONCATENATE("#metadata!", ADDRESS(INDEX($X$2:$X$1001,MATCH(ROWS($V$2:V722),$V$2:$V$1001,0),0), INDEX($AC$1004:$AS$1004,1,MATCH(COLUMNS($AC$1006:AI1006),$AC$1006:$AS$1006,0)))),"Fix")))</f>
        <v xml:space="preserve"> </v>
      </c>
      <c r="I722" s="4" t="str">
        <f ca="1">IF(OR(INDEX($W$2:$W$1001,MATCH(ROWS($V$2:V722),$V$2:$V$1001,0),1)&gt;=100000,INDEX($AC$1005:$AS$1005,1,MATCH(COLUMNS($AC$1006:AJ1006),$AC$1006:$AS$1006,0))&gt;=100000), " ",IF(INDEX($AC$2:$AS$1001,MATCH(ROWS($V$2:V722),$V$2:$V$1001,0),MATCH(COLUMNS($AC$1006:AJ1006),$AC$1006:$AS$1006,0)), HYPERLINK("#",""), HYPERLINK(CONCATENATE("#metadata!", ADDRESS(INDEX($X$2:$X$1001,MATCH(ROWS($V$2:V722),$V$2:$V$1001,0),0), INDEX($AC$1004:$AS$1004,1,MATCH(COLUMNS($AC$1006:AJ1006),$AC$1006:$AS$1006,0)))),"Fix")))</f>
        <v xml:space="preserve"> </v>
      </c>
      <c r="J722" s="4" t="str">
        <f ca="1">IF(OR(INDEX($W$2:$W$1001,MATCH(ROWS($V$2:V722),$V$2:$V$1001,0),1)&gt;=100000,INDEX($AC$1005:$AS$1005,1,MATCH(COLUMNS($AC$1006:AK1006),$AC$1006:$AS$1006,0))&gt;=100000), " ",IF(INDEX($AC$2:$AS$1001,MATCH(ROWS($V$2:V722),$V$2:$V$1001,0),MATCH(COLUMNS($AC$1006:AK1006),$AC$1006:$AS$1006,0)), HYPERLINK("#",""), HYPERLINK(CONCATENATE("#metadata!", ADDRESS(INDEX($X$2:$X$1001,MATCH(ROWS($V$2:V722),$V$2:$V$1001,0),0), INDEX($AC$1004:$AS$1004,1,MATCH(COLUMNS($AC$1006:AK1006),$AC$1006:$AS$1006,0)))),"Fix")))</f>
        <v xml:space="preserve"> </v>
      </c>
      <c r="K722" s="4" t="str">
        <f ca="1">IF(OR(INDEX($W$2:$W$1001,MATCH(ROWS($V$2:V722),$V$2:$V$1001,0),1)&gt;=100000,INDEX($AC$1005:$AS$1005,1,MATCH(COLUMNS($AC$1006:AL1006),$AC$1006:$AS$1006,0))&gt;=100000), " ",IF(INDEX($AC$2:$AS$1001,MATCH(ROWS($V$2:V722),$V$2:$V$1001,0),MATCH(COLUMNS($AC$1006:AL1006),$AC$1006:$AS$1006,0)), HYPERLINK("#",""), HYPERLINK(CONCATENATE("#metadata!", ADDRESS(INDEX($X$2:$X$1001,MATCH(ROWS($V$2:V722),$V$2:$V$1001,0),0), INDEX($AC$1004:$AS$1004,1,MATCH(COLUMNS($AC$1006:AL1006),$AC$1006:$AS$1006,0)))),"Fix")))</f>
        <v xml:space="preserve"> </v>
      </c>
      <c r="L722" s="4" t="str">
        <f ca="1">IF(OR(INDEX($W$2:$W$1001,MATCH(ROWS($V$2:V722),$V$2:$V$1001,0),1)&gt;=100000,INDEX($AC$1005:$AS$1005,1,MATCH(COLUMNS($AC$1006:AM1006),$AC$1006:$AS$1006,0))&gt;=100000), " ",IF(INDEX($AC$2:$AS$1001,MATCH(ROWS($V$2:V722),$V$2:$V$1001,0),MATCH(COLUMNS($AC$1006:AM1006),$AC$1006:$AS$1006,0)), HYPERLINK("#",""), HYPERLINK(CONCATENATE("#metadata!", ADDRESS(INDEX($X$2:$X$1001,MATCH(ROWS($V$2:V722),$V$2:$V$1001,0),0), INDEX($AC$1004:$AS$1004,1,MATCH(COLUMNS($AC$1006:AM1006),$AC$1006:$AS$1006,0)))),"Fix")))</f>
        <v xml:space="preserve"> </v>
      </c>
      <c r="M722" s="4" t="str">
        <f ca="1">IF(OR(INDEX($W$2:$W$1001,MATCH(ROWS($V$2:V722),$V$2:$V$1001,0),1)&gt;=100000,INDEX($AC$1005:$AS$1005,1,MATCH(COLUMNS($AC$1006:AN1006),$AC$1006:$AS$1006,0))&gt;=100000), " ",IF(INDEX($AC$2:$AS$1001,MATCH(ROWS($V$2:V722),$V$2:$V$1001,0),MATCH(COLUMNS($AC$1006:AN1006),$AC$1006:$AS$1006,0)), HYPERLINK("#",""), HYPERLINK(CONCATENATE("#metadata!", ADDRESS(INDEX($X$2:$X$1001,MATCH(ROWS($V$2:V722),$V$2:$V$1001,0),0), INDEX($AC$1004:$AS$1004,1,MATCH(COLUMNS($AC$1006:AN1006),$AC$1006:$AS$1006,0)))),"Fix")))</f>
        <v xml:space="preserve"> </v>
      </c>
      <c r="N722" s="4" t="str">
        <f ca="1">IF(OR(INDEX($W$2:$W$1001,MATCH(ROWS($V$2:V722),$V$2:$V$1001,0),1)&gt;=100000,INDEX($AC$1005:$AS$1005,1,MATCH(COLUMNS($AC$1006:AO1006),$AC$1006:$AS$1006,0))&gt;=100000), " ",IF(INDEX($AC$2:$AS$1001,MATCH(ROWS($V$2:V722),$V$2:$V$1001,0),MATCH(COLUMNS($AC$1006:AO1006),$AC$1006:$AS$1006,0)), HYPERLINK("#",""), HYPERLINK(CONCATENATE("#metadata!", ADDRESS(INDEX($X$2:$X$1001,MATCH(ROWS($V$2:V722),$V$2:$V$1001,0),0), INDEX($AC$1004:$AS$1004,1,MATCH(COLUMNS($AC$1006:AO1006),$AC$1006:$AS$1006,0)))),"Fix")))</f>
        <v xml:space="preserve"> </v>
      </c>
      <c r="O722" s="4" t="str">
        <f ca="1">IF(OR(INDEX($W$2:$W$1001,MATCH(ROWS($V$2:V722),$V$2:$V$1001,0),1)&gt;=100000,INDEX($AC$1005:$AS$1005,1,MATCH(COLUMNS($AC$1006:AP1006),$AC$1006:$AS$1006,0))&gt;=100000), " ",IF(INDEX($AC$2:$AS$1001,MATCH(ROWS($V$2:V722),$V$2:$V$1001,0),MATCH(COLUMNS($AC$1006:AP1006),$AC$1006:$AS$1006,0)), HYPERLINK("#",""), HYPERLINK(CONCATENATE("#metadata!", ADDRESS(INDEX($X$2:$X$1001,MATCH(ROWS($V$2:V722),$V$2:$V$1001,0),0), INDEX($AC$1004:$AS$1004,1,MATCH(COLUMNS($AC$1006:AP1006),$AC$1006:$AS$1006,0)))),"Fix")))</f>
        <v xml:space="preserve"> </v>
      </c>
      <c r="P722" s="4" t="str">
        <f ca="1">IF(OR(INDEX($W$2:$W$1001,MATCH(ROWS($V$2:V722),$V$2:$V$1001,0),1)&gt;=100000,INDEX($AC$1005:$AS$1005,1,MATCH(COLUMNS($AC$1006:AQ1006),$AC$1006:$AS$1006,0))&gt;=100000), " ",IF(INDEX($AC$2:$AS$1001,MATCH(ROWS($V$2:V722),$V$2:$V$1001,0),MATCH(COLUMNS($AC$1006:AQ1006),$AC$1006:$AS$1006,0)), HYPERLINK("#",""), HYPERLINK(CONCATENATE("#metadata!", ADDRESS(INDEX($X$2:$X$1001,MATCH(ROWS($V$2:V722),$V$2:$V$1001,0),0), INDEX($AC$1004:$AS$1004,1,MATCH(COLUMNS($AC$1006:AQ1006),$AC$1006:$AS$1006,0)))),"Fix")))</f>
        <v xml:space="preserve"> </v>
      </c>
      <c r="Q722" s="4" t="str">
        <f ca="1">IF(OR(INDEX($W$2:$W$1001,MATCH(ROWS($V$2:V722),$V$2:$V$1001,0),1)&gt;=100000,INDEX($AC$1005:$AS$1005,1,MATCH(COLUMNS($AC$1006:AR1006),$AC$1006:$AS$1006,0))&gt;=100000), " ",IF(INDEX($AC$2:$AS$1001,MATCH(ROWS($V$2:V722),$V$2:$V$1001,0),MATCH(COLUMNS($AC$1006:AR1006),$AC$1006:$AS$1006,0)), HYPERLINK("#",""), HYPERLINK(CONCATENATE("#metadata!", ADDRESS(INDEX($X$2:$X$1001,MATCH(ROWS($V$2:V722),$V$2:$V$1001,0),0), INDEX($AC$1004:$AS$1004,1,MATCH(COLUMNS($AC$1006:AR1006),$AC$1006:$AS$1006,0)))),"Fix")))</f>
        <v xml:space="preserve"> </v>
      </c>
      <c r="R722" s="4" t="str">
        <f ca="1">IF(OR(INDEX($W$2:$W$1001,MATCH(ROWS($V$2:V722),$V$2:$V$1001,0),1)&gt;=100000,INDEX($AC$1005:$AS$1005,1,MATCH(COLUMNS($AC$1006:AS1006),$AC$1006:$AS$1006,0))&gt;=100000), " ",IF(INDEX($AC$2:$AS$1001,MATCH(ROWS($V$2:V722),$V$2:$V$1001,0),MATCH(COLUMNS($AC$1006:AS1006),$AC$1006:$AS$1006,0)), HYPERLINK("#",""), HYPERLINK(CONCATENATE("#metadata!", ADDRESS(INDEX($X$2:$X$1001,MATCH(ROWS($V$2:V722),$V$2:$V$1001,0),0), INDEX($AC$1004:$AS$1004,1,MATCH(COLUMNS($AC$1006:AS1006),$AC$1006:$AS$1006,0)))),"Fix")))</f>
        <v xml:space="preserve"> </v>
      </c>
      <c r="V722">
        <v>721</v>
      </c>
      <c r="W722">
        <v>100722</v>
      </c>
      <c r="X722">
        <v>722</v>
      </c>
      <c r="Y722" t="b">
        <f t="shared" si="11"/>
        <v>1</v>
      </c>
      <c r="Z722" t="b">
        <f>COUNTBLANK(metadata!B722:R722)=COLUMNS(metadata!B722:R722)</f>
        <v>1</v>
      </c>
      <c r="AA722" t="str">
        <v/>
      </c>
      <c r="AC722" t="b">
        <f ca="1"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AD722" t="b">
        <f>IF(metadata!C722="",FALSE,ISNUMBER(VALUE(metadata!C722)))</f>
        <v>0</v>
      </c>
      <c r="AE722" t="b">
        <f>AND(IF(metadata!D722="",FALSE,TRUE),EXACT(metadata!D722,"years"))</f>
        <v>0</v>
      </c>
      <c r="AF722" t="b">
        <f>OR(AND(IF(metadata!E722="",FALSE,TRUE),OR(EXACT(metadata!E722,"not applicable"),EXACT(metadata!E722,"missing: not collected"),EXACT(metadata!E722,"missing: not provided"),EXACT(metadata!E722,"missing: restricted access"))),AND(IF(metadata!E722="",FALSE,ISNUMBER(VALUE(metadata!E722))),metadata!E722&gt;0))</f>
        <v>0</v>
      </c>
      <c r="AG722" t="b">
        <f>AND(IF(metadata!F722="",FALSE,TRUE),EXACT(metadata!F722,"Not applicable"))</f>
        <v>0</v>
      </c>
      <c r="AH722" t="b">
        <f>AND(IF(metadata!G722="",FALSE,TRUE),EXACT(metadata!G722,"urban biome"))</f>
        <v>0</v>
      </c>
      <c r="AI722" t="b">
        <f>AND(IF(metadata!H722="",FALSE,TRUE),EXACT(metadata!H722,"human-associated habitat"))</f>
        <v>0</v>
      </c>
      <c r="AJ722" t="b">
        <f>AND(IF(metadata!I722="",FALSE,TRUE),OR(EXACT(metadata!I722,"human-associated"),EXACT(metadata!I722,"human-skin"),EXACT(metadata!I722,"human-oral"),EXACT(metadata!I722,"human-gut"),EXACT(metadata!I722,"human-vaginal")))</f>
        <v>0</v>
      </c>
      <c r="AK722" t="b">
        <f>IF(metadata!J722="",FALSE,ISNUMBER(VALUE(metadata!J722)))</f>
        <v>0</v>
      </c>
      <c r="AL722" t="b">
        <f>AND(IF(metadata!K722="",FALSE,TRUE),EXACT(metadata!K722,"cm"))</f>
        <v>0</v>
      </c>
      <c r="AM722" t="b">
        <f>AND(IF(metadata!L722="",FALSE,TRUE),EXACT(metadata!L722,"human"))</f>
        <v>0</v>
      </c>
      <c r="AN722" t="b">
        <f>AND(IF(metadata!M722="",FALSE,TRUE),EXACT(metadata!M722,"Homo sapiens"))</f>
        <v>0</v>
      </c>
      <c r="AO722" t="b">
        <f>AND(IF(metadata!N722="",FALSE,TRUE),EXACT(metadata!N722,"9606"))</f>
        <v>0</v>
      </c>
      <c r="AP722" t="b">
        <f>IF(metadata!O722="",FALSE,TRUE)</f>
        <v>0</v>
      </c>
      <c r="AQ722" t="b">
        <f>IF(metadata!P722="",FALSE,TRUE)</f>
        <v>0</v>
      </c>
      <c r="AR722" t="b">
        <f>IF(metadata!Q722="",FALSE,ISNUMBER(VALUE(metadata!Q722)))</f>
        <v>0</v>
      </c>
      <c r="AS722" t="b">
        <f>AND(IF(metadata!R722="",FALSE,TRUE),EXACT(metadata!R722,"kg"))</f>
        <v>0</v>
      </c>
    </row>
    <row r="723" spans="1:45" x14ac:dyDescent="0.2">
      <c r="A723" s="5" t="str">
        <f ca="1">IF(B723=" "," ",HYPERLINK(CONCATENATE("#metadata!",ADDRESS(INDEX($X$2:$X$1001,MATCH(ROWS($V$2:V723),$V$2:$V$1001,0),0),1)),INDEX($AA$2:$AA$1001,MATCH(ROWS($V$2:V723),$V$2:$V$1001,0),0)))</f>
        <v xml:space="preserve"> </v>
      </c>
      <c r="B723" s="4" t="str">
        <f ca="1">IF(OR(INDEX($W$2:$W$1001,MATCH(ROWS($V$2:V723),$V$2:$V$1001,0),1)&gt;=100000,INDEX($AC$1005:$AS$1005,1,MATCH(COLUMNS($AC$1006:AC1006),$AC$1006:$AS$1006,0))&gt;=100000), " ",IF(INDEX($AC$2:$AS$1001,MATCH(ROWS($V$2:V723),$V$2:$V$1001,0),MATCH(COLUMNS($AC$1006:AC1006),$AC$1006:$AS$1006,0)), HYPERLINK("#",""), HYPERLINK(CONCATENATE("#metadata!", ADDRESS(INDEX($X$2:$X$1001,MATCH(ROWS($V$2:V723),$V$2:$V$1001,0),0), INDEX($AC$1004:$AS$1004,1,MATCH(COLUMNS($AC$1006:AC1006),$AC$1006:$AS$1006,0)))),"Fix")))</f>
        <v xml:space="preserve"> </v>
      </c>
      <c r="C723" s="4" t="str">
        <f ca="1">IF(OR(INDEX($W$2:$W$1001,MATCH(ROWS($V$2:V723),$V$2:$V$1001,0),1)&gt;=100000,INDEX($AC$1005:$AS$1005,1,MATCH(COLUMNS($AC$1006:AD1006),$AC$1006:$AS$1006,0))&gt;=100000), " ",IF(INDEX($AC$2:$AS$1001,MATCH(ROWS($V$2:V723),$V$2:$V$1001,0),MATCH(COLUMNS($AC$1006:AD1006),$AC$1006:$AS$1006,0)), HYPERLINK("#",""), HYPERLINK(CONCATENATE("#metadata!", ADDRESS(INDEX($X$2:$X$1001,MATCH(ROWS($V$2:V723),$V$2:$V$1001,0),0), INDEX($AC$1004:$AS$1004,1,MATCH(COLUMNS($AC$1006:AD1006),$AC$1006:$AS$1006,0)))),"Fix")))</f>
        <v xml:space="preserve"> </v>
      </c>
      <c r="D723" s="4" t="str">
        <f ca="1">IF(OR(INDEX($W$2:$W$1001,MATCH(ROWS($V$2:V723),$V$2:$V$1001,0),1)&gt;=100000,INDEX($AC$1005:$AS$1005,1,MATCH(COLUMNS($AC$1006:AE1006),$AC$1006:$AS$1006,0))&gt;=100000), " ",IF(INDEX($AC$2:$AS$1001,MATCH(ROWS($V$2:V723),$V$2:$V$1001,0),MATCH(COLUMNS($AC$1006:AE1006),$AC$1006:$AS$1006,0)), HYPERLINK("#",""), HYPERLINK(CONCATENATE("#metadata!", ADDRESS(INDEX($X$2:$X$1001,MATCH(ROWS($V$2:V723),$V$2:$V$1001,0),0), INDEX($AC$1004:$AS$1004,1,MATCH(COLUMNS($AC$1006:AE1006),$AC$1006:$AS$1006,0)))),"Fix")))</f>
        <v xml:space="preserve"> </v>
      </c>
      <c r="E723" s="4" t="str">
        <f ca="1">IF(OR(INDEX($W$2:$W$1001,MATCH(ROWS($V$2:V723),$V$2:$V$1001,0),1)&gt;=100000,INDEX($AC$1005:$AS$1005,1,MATCH(COLUMNS($AC$1006:AF1006),$AC$1006:$AS$1006,0))&gt;=100000), " ",IF(INDEX($AC$2:$AS$1001,MATCH(ROWS($V$2:V723),$V$2:$V$1001,0),MATCH(COLUMNS($AC$1006:AF1006),$AC$1006:$AS$1006,0)), HYPERLINK("#",""), HYPERLINK(CONCATENATE("#metadata!", ADDRESS(INDEX($X$2:$X$1001,MATCH(ROWS($V$2:V723),$V$2:$V$1001,0),0), INDEX($AC$1004:$AS$1004,1,MATCH(COLUMNS($AC$1006:AF1006),$AC$1006:$AS$1006,0)))),"Fix")))</f>
        <v xml:space="preserve"> </v>
      </c>
      <c r="F723" s="4" t="str">
        <f ca="1">IF(OR(INDEX($W$2:$W$1001,MATCH(ROWS($V$2:V723),$V$2:$V$1001,0),1)&gt;=100000,INDEX($AC$1005:$AS$1005,1,MATCH(COLUMNS($AC$1006:AG1006),$AC$1006:$AS$1006,0))&gt;=100000), " ",IF(INDEX($AC$2:$AS$1001,MATCH(ROWS($V$2:V723),$V$2:$V$1001,0),MATCH(COLUMNS($AC$1006:AG1006),$AC$1006:$AS$1006,0)), HYPERLINK("#",""), HYPERLINK(CONCATENATE("#metadata!", ADDRESS(INDEX($X$2:$X$1001,MATCH(ROWS($V$2:V723),$V$2:$V$1001,0),0), INDEX($AC$1004:$AS$1004,1,MATCH(COLUMNS($AC$1006:AG1006),$AC$1006:$AS$1006,0)))),"Fix")))</f>
        <v xml:space="preserve"> </v>
      </c>
      <c r="G723" s="4" t="str">
        <f ca="1">IF(OR(INDEX($W$2:$W$1001,MATCH(ROWS($V$2:V723),$V$2:$V$1001,0),1)&gt;=100000,INDEX($AC$1005:$AS$1005,1,MATCH(COLUMNS($AC$1006:AH1006),$AC$1006:$AS$1006,0))&gt;=100000), " ",IF(INDEX($AC$2:$AS$1001,MATCH(ROWS($V$2:V723),$V$2:$V$1001,0),MATCH(COLUMNS($AC$1006:AH1006),$AC$1006:$AS$1006,0)), HYPERLINK("#",""), HYPERLINK(CONCATENATE("#metadata!", ADDRESS(INDEX($X$2:$X$1001,MATCH(ROWS($V$2:V723),$V$2:$V$1001,0),0), INDEX($AC$1004:$AS$1004,1,MATCH(COLUMNS($AC$1006:AH1006),$AC$1006:$AS$1006,0)))),"Fix")))</f>
        <v xml:space="preserve"> </v>
      </c>
      <c r="H723" s="4" t="str">
        <f ca="1">IF(OR(INDEX($W$2:$W$1001,MATCH(ROWS($V$2:V723),$V$2:$V$1001,0),1)&gt;=100000,INDEX($AC$1005:$AS$1005,1,MATCH(COLUMNS($AC$1006:AI1006),$AC$1006:$AS$1006,0))&gt;=100000), " ",IF(INDEX($AC$2:$AS$1001,MATCH(ROWS($V$2:V723),$V$2:$V$1001,0),MATCH(COLUMNS($AC$1006:AI1006),$AC$1006:$AS$1006,0)), HYPERLINK("#",""), HYPERLINK(CONCATENATE("#metadata!", ADDRESS(INDEX($X$2:$X$1001,MATCH(ROWS($V$2:V723),$V$2:$V$1001,0),0), INDEX($AC$1004:$AS$1004,1,MATCH(COLUMNS($AC$1006:AI1006),$AC$1006:$AS$1006,0)))),"Fix")))</f>
        <v xml:space="preserve"> </v>
      </c>
      <c r="I723" s="4" t="str">
        <f ca="1">IF(OR(INDEX($W$2:$W$1001,MATCH(ROWS($V$2:V723),$V$2:$V$1001,0),1)&gt;=100000,INDEX($AC$1005:$AS$1005,1,MATCH(COLUMNS($AC$1006:AJ1006),$AC$1006:$AS$1006,0))&gt;=100000), " ",IF(INDEX($AC$2:$AS$1001,MATCH(ROWS($V$2:V723),$V$2:$V$1001,0),MATCH(COLUMNS($AC$1006:AJ1006),$AC$1006:$AS$1006,0)), HYPERLINK("#",""), HYPERLINK(CONCATENATE("#metadata!", ADDRESS(INDEX($X$2:$X$1001,MATCH(ROWS($V$2:V723),$V$2:$V$1001,0),0), INDEX($AC$1004:$AS$1004,1,MATCH(COLUMNS($AC$1006:AJ1006),$AC$1006:$AS$1006,0)))),"Fix")))</f>
        <v xml:space="preserve"> </v>
      </c>
      <c r="J723" s="4" t="str">
        <f ca="1">IF(OR(INDEX($W$2:$W$1001,MATCH(ROWS($V$2:V723),$V$2:$V$1001,0),1)&gt;=100000,INDEX($AC$1005:$AS$1005,1,MATCH(COLUMNS($AC$1006:AK1006),$AC$1006:$AS$1006,0))&gt;=100000), " ",IF(INDEX($AC$2:$AS$1001,MATCH(ROWS($V$2:V723),$V$2:$V$1001,0),MATCH(COLUMNS($AC$1006:AK1006),$AC$1006:$AS$1006,0)), HYPERLINK("#",""), HYPERLINK(CONCATENATE("#metadata!", ADDRESS(INDEX($X$2:$X$1001,MATCH(ROWS($V$2:V723),$V$2:$V$1001,0),0), INDEX($AC$1004:$AS$1004,1,MATCH(COLUMNS($AC$1006:AK1006),$AC$1006:$AS$1006,0)))),"Fix")))</f>
        <v xml:space="preserve"> </v>
      </c>
      <c r="K723" s="4" t="str">
        <f ca="1">IF(OR(INDEX($W$2:$W$1001,MATCH(ROWS($V$2:V723),$V$2:$V$1001,0),1)&gt;=100000,INDEX($AC$1005:$AS$1005,1,MATCH(COLUMNS($AC$1006:AL1006),$AC$1006:$AS$1006,0))&gt;=100000), " ",IF(INDEX($AC$2:$AS$1001,MATCH(ROWS($V$2:V723),$V$2:$V$1001,0),MATCH(COLUMNS($AC$1006:AL1006),$AC$1006:$AS$1006,0)), HYPERLINK("#",""), HYPERLINK(CONCATENATE("#metadata!", ADDRESS(INDEX($X$2:$X$1001,MATCH(ROWS($V$2:V723),$V$2:$V$1001,0),0), INDEX($AC$1004:$AS$1004,1,MATCH(COLUMNS($AC$1006:AL1006),$AC$1006:$AS$1006,0)))),"Fix")))</f>
        <v xml:space="preserve"> </v>
      </c>
      <c r="L723" s="4" t="str">
        <f ca="1">IF(OR(INDEX($W$2:$W$1001,MATCH(ROWS($V$2:V723),$V$2:$V$1001,0),1)&gt;=100000,INDEX($AC$1005:$AS$1005,1,MATCH(COLUMNS($AC$1006:AM1006),$AC$1006:$AS$1006,0))&gt;=100000), " ",IF(INDEX($AC$2:$AS$1001,MATCH(ROWS($V$2:V723),$V$2:$V$1001,0),MATCH(COLUMNS($AC$1006:AM1006),$AC$1006:$AS$1006,0)), HYPERLINK("#",""), HYPERLINK(CONCATENATE("#metadata!", ADDRESS(INDEX($X$2:$X$1001,MATCH(ROWS($V$2:V723),$V$2:$V$1001,0),0), INDEX($AC$1004:$AS$1004,1,MATCH(COLUMNS($AC$1006:AM1006),$AC$1006:$AS$1006,0)))),"Fix")))</f>
        <v xml:space="preserve"> </v>
      </c>
      <c r="M723" s="4" t="str">
        <f ca="1">IF(OR(INDEX($W$2:$W$1001,MATCH(ROWS($V$2:V723),$V$2:$V$1001,0),1)&gt;=100000,INDEX($AC$1005:$AS$1005,1,MATCH(COLUMNS($AC$1006:AN1006),$AC$1006:$AS$1006,0))&gt;=100000), " ",IF(INDEX($AC$2:$AS$1001,MATCH(ROWS($V$2:V723),$V$2:$V$1001,0),MATCH(COLUMNS($AC$1006:AN1006),$AC$1006:$AS$1006,0)), HYPERLINK("#",""), HYPERLINK(CONCATENATE("#metadata!", ADDRESS(INDEX($X$2:$X$1001,MATCH(ROWS($V$2:V723),$V$2:$V$1001,0),0), INDEX($AC$1004:$AS$1004,1,MATCH(COLUMNS($AC$1006:AN1006),$AC$1006:$AS$1006,0)))),"Fix")))</f>
        <v xml:space="preserve"> </v>
      </c>
      <c r="N723" s="4" t="str">
        <f ca="1">IF(OR(INDEX($W$2:$W$1001,MATCH(ROWS($V$2:V723),$V$2:$V$1001,0),1)&gt;=100000,INDEX($AC$1005:$AS$1005,1,MATCH(COLUMNS($AC$1006:AO1006),$AC$1006:$AS$1006,0))&gt;=100000), " ",IF(INDEX($AC$2:$AS$1001,MATCH(ROWS($V$2:V723),$V$2:$V$1001,0),MATCH(COLUMNS($AC$1006:AO1006),$AC$1006:$AS$1006,0)), HYPERLINK("#",""), HYPERLINK(CONCATENATE("#metadata!", ADDRESS(INDEX($X$2:$X$1001,MATCH(ROWS($V$2:V723),$V$2:$V$1001,0),0), INDEX($AC$1004:$AS$1004,1,MATCH(COLUMNS($AC$1006:AO1006),$AC$1006:$AS$1006,0)))),"Fix")))</f>
        <v xml:space="preserve"> </v>
      </c>
      <c r="O723" s="4" t="str">
        <f ca="1">IF(OR(INDEX($W$2:$W$1001,MATCH(ROWS($V$2:V723),$V$2:$V$1001,0),1)&gt;=100000,INDEX($AC$1005:$AS$1005,1,MATCH(COLUMNS($AC$1006:AP1006),$AC$1006:$AS$1006,0))&gt;=100000), " ",IF(INDEX($AC$2:$AS$1001,MATCH(ROWS($V$2:V723),$V$2:$V$1001,0),MATCH(COLUMNS($AC$1006:AP1006),$AC$1006:$AS$1006,0)), HYPERLINK("#",""), HYPERLINK(CONCATENATE("#metadata!", ADDRESS(INDEX($X$2:$X$1001,MATCH(ROWS($V$2:V723),$V$2:$V$1001,0),0), INDEX($AC$1004:$AS$1004,1,MATCH(COLUMNS($AC$1006:AP1006),$AC$1006:$AS$1006,0)))),"Fix")))</f>
        <v xml:space="preserve"> </v>
      </c>
      <c r="P723" s="4" t="str">
        <f ca="1">IF(OR(INDEX($W$2:$W$1001,MATCH(ROWS($V$2:V723),$V$2:$V$1001,0),1)&gt;=100000,INDEX($AC$1005:$AS$1005,1,MATCH(COLUMNS($AC$1006:AQ1006),$AC$1006:$AS$1006,0))&gt;=100000), " ",IF(INDEX($AC$2:$AS$1001,MATCH(ROWS($V$2:V723),$V$2:$V$1001,0),MATCH(COLUMNS($AC$1006:AQ1006),$AC$1006:$AS$1006,0)), HYPERLINK("#",""), HYPERLINK(CONCATENATE("#metadata!", ADDRESS(INDEX($X$2:$X$1001,MATCH(ROWS($V$2:V723),$V$2:$V$1001,0),0), INDEX($AC$1004:$AS$1004,1,MATCH(COLUMNS($AC$1006:AQ1006),$AC$1006:$AS$1006,0)))),"Fix")))</f>
        <v xml:space="preserve"> </v>
      </c>
      <c r="Q723" s="4" t="str">
        <f ca="1">IF(OR(INDEX($W$2:$W$1001,MATCH(ROWS($V$2:V723),$V$2:$V$1001,0),1)&gt;=100000,INDEX($AC$1005:$AS$1005,1,MATCH(COLUMNS($AC$1006:AR1006),$AC$1006:$AS$1006,0))&gt;=100000), " ",IF(INDEX($AC$2:$AS$1001,MATCH(ROWS($V$2:V723),$V$2:$V$1001,0),MATCH(COLUMNS($AC$1006:AR1006),$AC$1006:$AS$1006,0)), HYPERLINK("#",""), HYPERLINK(CONCATENATE("#metadata!", ADDRESS(INDEX($X$2:$X$1001,MATCH(ROWS($V$2:V723),$V$2:$V$1001,0),0), INDEX($AC$1004:$AS$1004,1,MATCH(COLUMNS($AC$1006:AR1006),$AC$1006:$AS$1006,0)))),"Fix")))</f>
        <v xml:space="preserve"> </v>
      </c>
      <c r="R723" s="4" t="str">
        <f ca="1">IF(OR(INDEX($W$2:$W$1001,MATCH(ROWS($V$2:V723),$V$2:$V$1001,0),1)&gt;=100000,INDEX($AC$1005:$AS$1005,1,MATCH(COLUMNS($AC$1006:AS1006),$AC$1006:$AS$1006,0))&gt;=100000), " ",IF(INDEX($AC$2:$AS$1001,MATCH(ROWS($V$2:V723),$V$2:$V$1001,0),MATCH(COLUMNS($AC$1006:AS1006),$AC$1006:$AS$1006,0)), HYPERLINK("#",""), HYPERLINK(CONCATENATE("#metadata!", ADDRESS(INDEX($X$2:$X$1001,MATCH(ROWS($V$2:V723),$V$2:$V$1001,0),0), INDEX($AC$1004:$AS$1004,1,MATCH(COLUMNS($AC$1006:AS1006),$AC$1006:$AS$1006,0)))),"Fix")))</f>
        <v xml:space="preserve"> </v>
      </c>
      <c r="V723">
        <v>722</v>
      </c>
      <c r="W723">
        <v>100723</v>
      </c>
      <c r="X723">
        <v>723</v>
      </c>
      <c r="Y723" t="b">
        <f t="shared" si="11"/>
        <v>1</v>
      </c>
      <c r="Z723" t="b">
        <f>COUNTBLANK(metadata!B723:R723)=COLUMNS(metadata!B723:R723)</f>
        <v>1</v>
      </c>
      <c r="AA723" t="str">
        <v/>
      </c>
      <c r="AC723" t="b">
        <f ca="1"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AD723" t="b">
        <f>IF(metadata!C723="",FALSE,ISNUMBER(VALUE(metadata!C723)))</f>
        <v>0</v>
      </c>
      <c r="AE723" t="b">
        <f>AND(IF(metadata!D723="",FALSE,TRUE),EXACT(metadata!D723,"years"))</f>
        <v>0</v>
      </c>
      <c r="AF723" t="b">
        <f>OR(AND(IF(metadata!E723="",FALSE,TRUE),OR(EXACT(metadata!E723,"not applicable"),EXACT(metadata!E723,"missing: not collected"),EXACT(metadata!E723,"missing: not provided"),EXACT(metadata!E723,"missing: restricted access"))),AND(IF(metadata!E723="",FALSE,ISNUMBER(VALUE(metadata!E723))),metadata!E723&gt;0))</f>
        <v>0</v>
      </c>
      <c r="AG723" t="b">
        <f>AND(IF(metadata!F723="",FALSE,TRUE),EXACT(metadata!F723,"Not applicable"))</f>
        <v>0</v>
      </c>
      <c r="AH723" t="b">
        <f>AND(IF(metadata!G723="",FALSE,TRUE),EXACT(metadata!G723,"urban biome"))</f>
        <v>0</v>
      </c>
      <c r="AI723" t="b">
        <f>AND(IF(metadata!H723="",FALSE,TRUE),EXACT(metadata!H723,"human-associated habitat"))</f>
        <v>0</v>
      </c>
      <c r="AJ723" t="b">
        <f>AND(IF(metadata!I723="",FALSE,TRUE),OR(EXACT(metadata!I723,"human-associated"),EXACT(metadata!I723,"human-skin"),EXACT(metadata!I723,"human-oral"),EXACT(metadata!I723,"human-gut"),EXACT(metadata!I723,"human-vaginal")))</f>
        <v>0</v>
      </c>
      <c r="AK723" t="b">
        <f>IF(metadata!J723="",FALSE,ISNUMBER(VALUE(metadata!J723)))</f>
        <v>0</v>
      </c>
      <c r="AL723" t="b">
        <f>AND(IF(metadata!K723="",FALSE,TRUE),EXACT(metadata!K723,"cm"))</f>
        <v>0</v>
      </c>
      <c r="AM723" t="b">
        <f>AND(IF(metadata!L723="",FALSE,TRUE),EXACT(metadata!L723,"human"))</f>
        <v>0</v>
      </c>
      <c r="AN723" t="b">
        <f>AND(IF(metadata!M723="",FALSE,TRUE),EXACT(metadata!M723,"Homo sapiens"))</f>
        <v>0</v>
      </c>
      <c r="AO723" t="b">
        <f>AND(IF(metadata!N723="",FALSE,TRUE),EXACT(metadata!N723,"9606"))</f>
        <v>0</v>
      </c>
      <c r="AP723" t="b">
        <f>IF(metadata!O723="",FALSE,TRUE)</f>
        <v>0</v>
      </c>
      <c r="AQ723" t="b">
        <f>IF(metadata!P723="",FALSE,TRUE)</f>
        <v>0</v>
      </c>
      <c r="AR723" t="b">
        <f>IF(metadata!Q723="",FALSE,ISNUMBER(VALUE(metadata!Q723)))</f>
        <v>0</v>
      </c>
      <c r="AS723" t="b">
        <f>AND(IF(metadata!R723="",FALSE,TRUE),EXACT(metadata!R723,"kg"))</f>
        <v>0</v>
      </c>
    </row>
    <row r="724" spans="1:45" x14ac:dyDescent="0.2">
      <c r="A724" s="5" t="str">
        <f ca="1">IF(B724=" "," ",HYPERLINK(CONCATENATE("#metadata!",ADDRESS(INDEX($X$2:$X$1001,MATCH(ROWS($V$2:V724),$V$2:$V$1001,0),0),1)),INDEX($AA$2:$AA$1001,MATCH(ROWS($V$2:V724),$V$2:$V$1001,0),0)))</f>
        <v xml:space="preserve"> </v>
      </c>
      <c r="B724" s="4" t="str">
        <f ca="1">IF(OR(INDEX($W$2:$W$1001,MATCH(ROWS($V$2:V724),$V$2:$V$1001,0),1)&gt;=100000,INDEX($AC$1005:$AS$1005,1,MATCH(COLUMNS($AC$1006:AC1006),$AC$1006:$AS$1006,0))&gt;=100000), " ",IF(INDEX($AC$2:$AS$1001,MATCH(ROWS($V$2:V724),$V$2:$V$1001,0),MATCH(COLUMNS($AC$1006:AC1006),$AC$1006:$AS$1006,0)), HYPERLINK("#",""), HYPERLINK(CONCATENATE("#metadata!", ADDRESS(INDEX($X$2:$X$1001,MATCH(ROWS($V$2:V724),$V$2:$V$1001,0),0), INDEX($AC$1004:$AS$1004,1,MATCH(COLUMNS($AC$1006:AC1006),$AC$1006:$AS$1006,0)))),"Fix")))</f>
        <v xml:space="preserve"> </v>
      </c>
      <c r="C724" s="4" t="str">
        <f ca="1">IF(OR(INDEX($W$2:$W$1001,MATCH(ROWS($V$2:V724),$V$2:$V$1001,0),1)&gt;=100000,INDEX($AC$1005:$AS$1005,1,MATCH(COLUMNS($AC$1006:AD1006),$AC$1006:$AS$1006,0))&gt;=100000), " ",IF(INDEX($AC$2:$AS$1001,MATCH(ROWS($V$2:V724),$V$2:$V$1001,0),MATCH(COLUMNS($AC$1006:AD1006),$AC$1006:$AS$1006,0)), HYPERLINK("#",""), HYPERLINK(CONCATENATE("#metadata!", ADDRESS(INDEX($X$2:$X$1001,MATCH(ROWS($V$2:V724),$V$2:$V$1001,0),0), INDEX($AC$1004:$AS$1004,1,MATCH(COLUMNS($AC$1006:AD1006),$AC$1006:$AS$1006,0)))),"Fix")))</f>
        <v xml:space="preserve"> </v>
      </c>
      <c r="D724" s="4" t="str">
        <f ca="1">IF(OR(INDEX($W$2:$W$1001,MATCH(ROWS($V$2:V724),$V$2:$V$1001,0),1)&gt;=100000,INDEX($AC$1005:$AS$1005,1,MATCH(COLUMNS($AC$1006:AE1006),$AC$1006:$AS$1006,0))&gt;=100000), " ",IF(INDEX($AC$2:$AS$1001,MATCH(ROWS($V$2:V724),$V$2:$V$1001,0),MATCH(COLUMNS($AC$1006:AE1006),$AC$1006:$AS$1006,0)), HYPERLINK("#",""), HYPERLINK(CONCATENATE("#metadata!", ADDRESS(INDEX($X$2:$X$1001,MATCH(ROWS($V$2:V724),$V$2:$V$1001,0),0), INDEX($AC$1004:$AS$1004,1,MATCH(COLUMNS($AC$1006:AE1006),$AC$1006:$AS$1006,0)))),"Fix")))</f>
        <v xml:space="preserve"> </v>
      </c>
      <c r="E724" s="4" t="str">
        <f ca="1">IF(OR(INDEX($W$2:$W$1001,MATCH(ROWS($V$2:V724),$V$2:$V$1001,0),1)&gt;=100000,INDEX($AC$1005:$AS$1005,1,MATCH(COLUMNS($AC$1006:AF1006),$AC$1006:$AS$1006,0))&gt;=100000), " ",IF(INDEX($AC$2:$AS$1001,MATCH(ROWS($V$2:V724),$V$2:$V$1001,0),MATCH(COLUMNS($AC$1006:AF1006),$AC$1006:$AS$1006,0)), HYPERLINK("#",""), HYPERLINK(CONCATENATE("#metadata!", ADDRESS(INDEX($X$2:$X$1001,MATCH(ROWS($V$2:V724),$V$2:$V$1001,0),0), INDEX($AC$1004:$AS$1004,1,MATCH(COLUMNS($AC$1006:AF1006),$AC$1006:$AS$1006,0)))),"Fix")))</f>
        <v xml:space="preserve"> </v>
      </c>
      <c r="F724" s="4" t="str">
        <f ca="1">IF(OR(INDEX($W$2:$W$1001,MATCH(ROWS($V$2:V724),$V$2:$V$1001,0),1)&gt;=100000,INDEX($AC$1005:$AS$1005,1,MATCH(COLUMNS($AC$1006:AG1006),$AC$1006:$AS$1006,0))&gt;=100000), " ",IF(INDEX($AC$2:$AS$1001,MATCH(ROWS($V$2:V724),$V$2:$V$1001,0),MATCH(COLUMNS($AC$1006:AG1006),$AC$1006:$AS$1006,0)), HYPERLINK("#",""), HYPERLINK(CONCATENATE("#metadata!", ADDRESS(INDEX($X$2:$X$1001,MATCH(ROWS($V$2:V724),$V$2:$V$1001,0),0), INDEX($AC$1004:$AS$1004,1,MATCH(COLUMNS($AC$1006:AG1006),$AC$1006:$AS$1006,0)))),"Fix")))</f>
        <v xml:space="preserve"> </v>
      </c>
      <c r="G724" s="4" t="str">
        <f ca="1">IF(OR(INDEX($W$2:$W$1001,MATCH(ROWS($V$2:V724),$V$2:$V$1001,0),1)&gt;=100000,INDEX($AC$1005:$AS$1005,1,MATCH(COLUMNS($AC$1006:AH1006),$AC$1006:$AS$1006,0))&gt;=100000), " ",IF(INDEX($AC$2:$AS$1001,MATCH(ROWS($V$2:V724),$V$2:$V$1001,0),MATCH(COLUMNS($AC$1006:AH1006),$AC$1006:$AS$1006,0)), HYPERLINK("#",""), HYPERLINK(CONCATENATE("#metadata!", ADDRESS(INDEX($X$2:$X$1001,MATCH(ROWS($V$2:V724),$V$2:$V$1001,0),0), INDEX($AC$1004:$AS$1004,1,MATCH(COLUMNS($AC$1006:AH1006),$AC$1006:$AS$1006,0)))),"Fix")))</f>
        <v xml:space="preserve"> </v>
      </c>
      <c r="H724" s="4" t="str">
        <f ca="1">IF(OR(INDEX($W$2:$W$1001,MATCH(ROWS($V$2:V724),$V$2:$V$1001,0),1)&gt;=100000,INDEX($AC$1005:$AS$1005,1,MATCH(COLUMNS($AC$1006:AI1006),$AC$1006:$AS$1006,0))&gt;=100000), " ",IF(INDEX($AC$2:$AS$1001,MATCH(ROWS($V$2:V724),$V$2:$V$1001,0),MATCH(COLUMNS($AC$1006:AI1006),$AC$1006:$AS$1006,0)), HYPERLINK("#",""), HYPERLINK(CONCATENATE("#metadata!", ADDRESS(INDEX($X$2:$X$1001,MATCH(ROWS($V$2:V724),$V$2:$V$1001,0),0), INDEX($AC$1004:$AS$1004,1,MATCH(COLUMNS($AC$1006:AI1006),$AC$1006:$AS$1006,0)))),"Fix")))</f>
        <v xml:space="preserve"> </v>
      </c>
      <c r="I724" s="4" t="str">
        <f ca="1">IF(OR(INDEX($W$2:$W$1001,MATCH(ROWS($V$2:V724),$V$2:$V$1001,0),1)&gt;=100000,INDEX($AC$1005:$AS$1005,1,MATCH(COLUMNS($AC$1006:AJ1006),$AC$1006:$AS$1006,0))&gt;=100000), " ",IF(INDEX($AC$2:$AS$1001,MATCH(ROWS($V$2:V724),$V$2:$V$1001,0),MATCH(COLUMNS($AC$1006:AJ1006),$AC$1006:$AS$1006,0)), HYPERLINK("#",""), HYPERLINK(CONCATENATE("#metadata!", ADDRESS(INDEX($X$2:$X$1001,MATCH(ROWS($V$2:V724),$V$2:$V$1001,0),0), INDEX($AC$1004:$AS$1004,1,MATCH(COLUMNS($AC$1006:AJ1006),$AC$1006:$AS$1006,0)))),"Fix")))</f>
        <v xml:space="preserve"> </v>
      </c>
      <c r="J724" s="4" t="str">
        <f ca="1">IF(OR(INDEX($W$2:$W$1001,MATCH(ROWS($V$2:V724),$V$2:$V$1001,0),1)&gt;=100000,INDEX($AC$1005:$AS$1005,1,MATCH(COLUMNS($AC$1006:AK1006),$AC$1006:$AS$1006,0))&gt;=100000), " ",IF(INDEX($AC$2:$AS$1001,MATCH(ROWS($V$2:V724),$V$2:$V$1001,0),MATCH(COLUMNS($AC$1006:AK1006),$AC$1006:$AS$1006,0)), HYPERLINK("#",""), HYPERLINK(CONCATENATE("#metadata!", ADDRESS(INDEX($X$2:$X$1001,MATCH(ROWS($V$2:V724),$V$2:$V$1001,0),0), INDEX($AC$1004:$AS$1004,1,MATCH(COLUMNS($AC$1006:AK1006),$AC$1006:$AS$1006,0)))),"Fix")))</f>
        <v xml:space="preserve"> </v>
      </c>
      <c r="K724" s="4" t="str">
        <f ca="1">IF(OR(INDEX($W$2:$W$1001,MATCH(ROWS($V$2:V724),$V$2:$V$1001,0),1)&gt;=100000,INDEX($AC$1005:$AS$1005,1,MATCH(COLUMNS($AC$1006:AL1006),$AC$1006:$AS$1006,0))&gt;=100000), " ",IF(INDEX($AC$2:$AS$1001,MATCH(ROWS($V$2:V724),$V$2:$V$1001,0),MATCH(COLUMNS($AC$1006:AL1006),$AC$1006:$AS$1006,0)), HYPERLINK("#",""), HYPERLINK(CONCATENATE("#metadata!", ADDRESS(INDEX($X$2:$X$1001,MATCH(ROWS($V$2:V724),$V$2:$V$1001,0),0), INDEX($AC$1004:$AS$1004,1,MATCH(COLUMNS($AC$1006:AL1006),$AC$1006:$AS$1006,0)))),"Fix")))</f>
        <v xml:space="preserve"> </v>
      </c>
      <c r="L724" s="4" t="str">
        <f ca="1">IF(OR(INDEX($W$2:$W$1001,MATCH(ROWS($V$2:V724),$V$2:$V$1001,0),1)&gt;=100000,INDEX($AC$1005:$AS$1005,1,MATCH(COLUMNS($AC$1006:AM1006),$AC$1006:$AS$1006,0))&gt;=100000), " ",IF(INDEX($AC$2:$AS$1001,MATCH(ROWS($V$2:V724),$V$2:$V$1001,0),MATCH(COLUMNS($AC$1006:AM1006),$AC$1006:$AS$1006,0)), HYPERLINK("#",""), HYPERLINK(CONCATENATE("#metadata!", ADDRESS(INDEX($X$2:$X$1001,MATCH(ROWS($V$2:V724),$V$2:$V$1001,0),0), INDEX($AC$1004:$AS$1004,1,MATCH(COLUMNS($AC$1006:AM1006),$AC$1006:$AS$1006,0)))),"Fix")))</f>
        <v xml:space="preserve"> </v>
      </c>
      <c r="M724" s="4" t="str">
        <f ca="1">IF(OR(INDEX($W$2:$W$1001,MATCH(ROWS($V$2:V724),$V$2:$V$1001,0),1)&gt;=100000,INDEX($AC$1005:$AS$1005,1,MATCH(COLUMNS($AC$1006:AN1006),$AC$1006:$AS$1006,0))&gt;=100000), " ",IF(INDEX($AC$2:$AS$1001,MATCH(ROWS($V$2:V724),$V$2:$V$1001,0),MATCH(COLUMNS($AC$1006:AN1006),$AC$1006:$AS$1006,0)), HYPERLINK("#",""), HYPERLINK(CONCATENATE("#metadata!", ADDRESS(INDEX($X$2:$X$1001,MATCH(ROWS($V$2:V724),$V$2:$V$1001,0),0), INDEX($AC$1004:$AS$1004,1,MATCH(COLUMNS($AC$1006:AN1006),$AC$1006:$AS$1006,0)))),"Fix")))</f>
        <v xml:space="preserve"> </v>
      </c>
      <c r="N724" s="4" t="str">
        <f ca="1">IF(OR(INDEX($W$2:$W$1001,MATCH(ROWS($V$2:V724),$V$2:$V$1001,0),1)&gt;=100000,INDEX($AC$1005:$AS$1005,1,MATCH(COLUMNS($AC$1006:AO1006),$AC$1006:$AS$1006,0))&gt;=100000), " ",IF(INDEX($AC$2:$AS$1001,MATCH(ROWS($V$2:V724),$V$2:$V$1001,0),MATCH(COLUMNS($AC$1006:AO1006),$AC$1006:$AS$1006,0)), HYPERLINK("#",""), HYPERLINK(CONCATENATE("#metadata!", ADDRESS(INDEX($X$2:$X$1001,MATCH(ROWS($V$2:V724),$V$2:$V$1001,0),0), INDEX($AC$1004:$AS$1004,1,MATCH(COLUMNS($AC$1006:AO1006),$AC$1006:$AS$1006,0)))),"Fix")))</f>
        <v xml:space="preserve"> </v>
      </c>
      <c r="O724" s="4" t="str">
        <f ca="1">IF(OR(INDEX($W$2:$W$1001,MATCH(ROWS($V$2:V724),$V$2:$V$1001,0),1)&gt;=100000,INDEX($AC$1005:$AS$1005,1,MATCH(COLUMNS($AC$1006:AP1006),$AC$1006:$AS$1006,0))&gt;=100000), " ",IF(INDEX($AC$2:$AS$1001,MATCH(ROWS($V$2:V724),$V$2:$V$1001,0),MATCH(COLUMNS($AC$1006:AP1006),$AC$1006:$AS$1006,0)), HYPERLINK("#",""), HYPERLINK(CONCATENATE("#metadata!", ADDRESS(INDEX($X$2:$X$1001,MATCH(ROWS($V$2:V724),$V$2:$V$1001,0),0), INDEX($AC$1004:$AS$1004,1,MATCH(COLUMNS($AC$1006:AP1006),$AC$1006:$AS$1006,0)))),"Fix")))</f>
        <v xml:space="preserve"> </v>
      </c>
      <c r="P724" s="4" t="str">
        <f ca="1">IF(OR(INDEX($W$2:$W$1001,MATCH(ROWS($V$2:V724),$V$2:$V$1001,0),1)&gt;=100000,INDEX($AC$1005:$AS$1005,1,MATCH(COLUMNS($AC$1006:AQ1006),$AC$1006:$AS$1006,0))&gt;=100000), " ",IF(INDEX($AC$2:$AS$1001,MATCH(ROWS($V$2:V724),$V$2:$V$1001,0),MATCH(COLUMNS($AC$1006:AQ1006),$AC$1006:$AS$1006,0)), HYPERLINK("#",""), HYPERLINK(CONCATENATE("#metadata!", ADDRESS(INDEX($X$2:$X$1001,MATCH(ROWS($V$2:V724),$V$2:$V$1001,0),0), INDEX($AC$1004:$AS$1004,1,MATCH(COLUMNS($AC$1006:AQ1006),$AC$1006:$AS$1006,0)))),"Fix")))</f>
        <v xml:space="preserve"> </v>
      </c>
      <c r="Q724" s="4" t="str">
        <f ca="1">IF(OR(INDEX($W$2:$W$1001,MATCH(ROWS($V$2:V724),$V$2:$V$1001,0),1)&gt;=100000,INDEX($AC$1005:$AS$1005,1,MATCH(COLUMNS($AC$1006:AR1006),$AC$1006:$AS$1006,0))&gt;=100000), " ",IF(INDEX($AC$2:$AS$1001,MATCH(ROWS($V$2:V724),$V$2:$V$1001,0),MATCH(COLUMNS($AC$1006:AR1006),$AC$1006:$AS$1006,0)), HYPERLINK("#",""), HYPERLINK(CONCATENATE("#metadata!", ADDRESS(INDEX($X$2:$X$1001,MATCH(ROWS($V$2:V724),$V$2:$V$1001,0),0), INDEX($AC$1004:$AS$1004,1,MATCH(COLUMNS($AC$1006:AR1006),$AC$1006:$AS$1006,0)))),"Fix")))</f>
        <v xml:space="preserve"> </v>
      </c>
      <c r="R724" s="4" t="str">
        <f ca="1">IF(OR(INDEX($W$2:$W$1001,MATCH(ROWS($V$2:V724),$V$2:$V$1001,0),1)&gt;=100000,INDEX($AC$1005:$AS$1005,1,MATCH(COLUMNS($AC$1006:AS1006),$AC$1006:$AS$1006,0))&gt;=100000), " ",IF(INDEX($AC$2:$AS$1001,MATCH(ROWS($V$2:V724),$V$2:$V$1001,0),MATCH(COLUMNS($AC$1006:AS1006),$AC$1006:$AS$1006,0)), HYPERLINK("#",""), HYPERLINK(CONCATENATE("#metadata!", ADDRESS(INDEX($X$2:$X$1001,MATCH(ROWS($V$2:V724),$V$2:$V$1001,0),0), INDEX($AC$1004:$AS$1004,1,MATCH(COLUMNS($AC$1006:AS1006),$AC$1006:$AS$1006,0)))),"Fix")))</f>
        <v xml:space="preserve"> </v>
      </c>
      <c r="V724">
        <v>723</v>
      </c>
      <c r="W724">
        <v>100724</v>
      </c>
      <c r="X724">
        <v>724</v>
      </c>
      <c r="Y724" t="b">
        <f t="shared" si="11"/>
        <v>1</v>
      </c>
      <c r="Z724" t="b">
        <f>COUNTBLANK(metadata!B724:R724)=COLUMNS(metadata!B724:R724)</f>
        <v>1</v>
      </c>
      <c r="AA724" t="str">
        <v/>
      </c>
      <c r="AC724" t="b">
        <f ca="1"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AD724" t="b">
        <f>IF(metadata!C724="",FALSE,ISNUMBER(VALUE(metadata!C724)))</f>
        <v>0</v>
      </c>
      <c r="AE724" t="b">
        <f>AND(IF(metadata!D724="",FALSE,TRUE),EXACT(metadata!D724,"years"))</f>
        <v>0</v>
      </c>
      <c r="AF724" t="b">
        <f>OR(AND(IF(metadata!E724="",FALSE,TRUE),OR(EXACT(metadata!E724,"not applicable"),EXACT(metadata!E724,"missing: not collected"),EXACT(metadata!E724,"missing: not provided"),EXACT(metadata!E724,"missing: restricted access"))),AND(IF(metadata!E724="",FALSE,ISNUMBER(VALUE(metadata!E724))),metadata!E724&gt;0))</f>
        <v>0</v>
      </c>
      <c r="AG724" t="b">
        <f>AND(IF(metadata!F724="",FALSE,TRUE),EXACT(metadata!F724,"Not applicable"))</f>
        <v>0</v>
      </c>
      <c r="AH724" t="b">
        <f>AND(IF(metadata!G724="",FALSE,TRUE),EXACT(metadata!G724,"urban biome"))</f>
        <v>0</v>
      </c>
      <c r="AI724" t="b">
        <f>AND(IF(metadata!H724="",FALSE,TRUE),EXACT(metadata!H724,"human-associated habitat"))</f>
        <v>0</v>
      </c>
      <c r="AJ724" t="b">
        <f>AND(IF(metadata!I724="",FALSE,TRUE),OR(EXACT(metadata!I724,"human-associated"),EXACT(metadata!I724,"human-skin"),EXACT(metadata!I724,"human-oral"),EXACT(metadata!I724,"human-gut"),EXACT(metadata!I724,"human-vaginal")))</f>
        <v>0</v>
      </c>
      <c r="AK724" t="b">
        <f>IF(metadata!J724="",FALSE,ISNUMBER(VALUE(metadata!J724)))</f>
        <v>0</v>
      </c>
      <c r="AL724" t="b">
        <f>AND(IF(metadata!K724="",FALSE,TRUE),EXACT(metadata!K724,"cm"))</f>
        <v>0</v>
      </c>
      <c r="AM724" t="b">
        <f>AND(IF(metadata!L724="",FALSE,TRUE),EXACT(metadata!L724,"human"))</f>
        <v>0</v>
      </c>
      <c r="AN724" t="b">
        <f>AND(IF(metadata!M724="",FALSE,TRUE),EXACT(metadata!M724,"Homo sapiens"))</f>
        <v>0</v>
      </c>
      <c r="AO724" t="b">
        <f>AND(IF(metadata!N724="",FALSE,TRUE),EXACT(metadata!N724,"9606"))</f>
        <v>0</v>
      </c>
      <c r="AP724" t="b">
        <f>IF(metadata!O724="",FALSE,TRUE)</f>
        <v>0</v>
      </c>
      <c r="AQ724" t="b">
        <f>IF(metadata!P724="",FALSE,TRUE)</f>
        <v>0</v>
      </c>
      <c r="AR724" t="b">
        <f>IF(metadata!Q724="",FALSE,ISNUMBER(VALUE(metadata!Q724)))</f>
        <v>0</v>
      </c>
      <c r="AS724" t="b">
        <f>AND(IF(metadata!R724="",FALSE,TRUE),EXACT(metadata!R724,"kg"))</f>
        <v>0</v>
      </c>
    </row>
    <row r="725" spans="1:45" x14ac:dyDescent="0.2">
      <c r="A725" s="5" t="str">
        <f ca="1">IF(B725=" "," ",HYPERLINK(CONCATENATE("#metadata!",ADDRESS(INDEX($X$2:$X$1001,MATCH(ROWS($V$2:V725),$V$2:$V$1001,0),0),1)),INDEX($AA$2:$AA$1001,MATCH(ROWS($V$2:V725),$V$2:$V$1001,0),0)))</f>
        <v xml:space="preserve"> </v>
      </c>
      <c r="B725" s="4" t="str">
        <f ca="1">IF(OR(INDEX($W$2:$W$1001,MATCH(ROWS($V$2:V725),$V$2:$V$1001,0),1)&gt;=100000,INDEX($AC$1005:$AS$1005,1,MATCH(COLUMNS($AC$1006:AC1006),$AC$1006:$AS$1006,0))&gt;=100000), " ",IF(INDEX($AC$2:$AS$1001,MATCH(ROWS($V$2:V725),$V$2:$V$1001,0),MATCH(COLUMNS($AC$1006:AC1006),$AC$1006:$AS$1006,0)), HYPERLINK("#",""), HYPERLINK(CONCATENATE("#metadata!", ADDRESS(INDEX($X$2:$X$1001,MATCH(ROWS($V$2:V725),$V$2:$V$1001,0),0), INDEX($AC$1004:$AS$1004,1,MATCH(COLUMNS($AC$1006:AC1006),$AC$1006:$AS$1006,0)))),"Fix")))</f>
        <v xml:space="preserve"> </v>
      </c>
      <c r="C725" s="4" t="str">
        <f ca="1">IF(OR(INDEX($W$2:$W$1001,MATCH(ROWS($V$2:V725),$V$2:$V$1001,0),1)&gt;=100000,INDEX($AC$1005:$AS$1005,1,MATCH(COLUMNS($AC$1006:AD1006),$AC$1006:$AS$1006,0))&gt;=100000), " ",IF(INDEX($AC$2:$AS$1001,MATCH(ROWS($V$2:V725),$V$2:$V$1001,0),MATCH(COLUMNS($AC$1006:AD1006),$AC$1006:$AS$1006,0)), HYPERLINK("#",""), HYPERLINK(CONCATENATE("#metadata!", ADDRESS(INDEX($X$2:$X$1001,MATCH(ROWS($V$2:V725),$V$2:$V$1001,0),0), INDEX($AC$1004:$AS$1004,1,MATCH(COLUMNS($AC$1006:AD1006),$AC$1006:$AS$1006,0)))),"Fix")))</f>
        <v xml:space="preserve"> </v>
      </c>
      <c r="D725" s="4" t="str">
        <f ca="1">IF(OR(INDEX($W$2:$W$1001,MATCH(ROWS($V$2:V725),$V$2:$V$1001,0),1)&gt;=100000,INDEX($AC$1005:$AS$1005,1,MATCH(COLUMNS($AC$1006:AE1006),$AC$1006:$AS$1006,0))&gt;=100000), " ",IF(INDEX($AC$2:$AS$1001,MATCH(ROWS($V$2:V725),$V$2:$V$1001,0),MATCH(COLUMNS($AC$1006:AE1006),$AC$1006:$AS$1006,0)), HYPERLINK("#",""), HYPERLINK(CONCATENATE("#metadata!", ADDRESS(INDEX($X$2:$X$1001,MATCH(ROWS($V$2:V725),$V$2:$V$1001,0),0), INDEX($AC$1004:$AS$1004,1,MATCH(COLUMNS($AC$1006:AE1006),$AC$1006:$AS$1006,0)))),"Fix")))</f>
        <v xml:space="preserve"> </v>
      </c>
      <c r="E725" s="4" t="str">
        <f ca="1">IF(OR(INDEX($W$2:$W$1001,MATCH(ROWS($V$2:V725),$V$2:$V$1001,0),1)&gt;=100000,INDEX($AC$1005:$AS$1005,1,MATCH(COLUMNS($AC$1006:AF1006),$AC$1006:$AS$1006,0))&gt;=100000), " ",IF(INDEX($AC$2:$AS$1001,MATCH(ROWS($V$2:V725),$V$2:$V$1001,0),MATCH(COLUMNS($AC$1006:AF1006),$AC$1006:$AS$1006,0)), HYPERLINK("#",""), HYPERLINK(CONCATENATE("#metadata!", ADDRESS(INDEX($X$2:$X$1001,MATCH(ROWS($V$2:V725),$V$2:$V$1001,0),0), INDEX($AC$1004:$AS$1004,1,MATCH(COLUMNS($AC$1006:AF1006),$AC$1006:$AS$1006,0)))),"Fix")))</f>
        <v xml:space="preserve"> </v>
      </c>
      <c r="F725" s="4" t="str">
        <f ca="1">IF(OR(INDEX($W$2:$W$1001,MATCH(ROWS($V$2:V725),$V$2:$V$1001,0),1)&gt;=100000,INDEX($AC$1005:$AS$1005,1,MATCH(COLUMNS($AC$1006:AG1006),$AC$1006:$AS$1006,0))&gt;=100000), " ",IF(INDEX($AC$2:$AS$1001,MATCH(ROWS($V$2:V725),$V$2:$V$1001,0),MATCH(COLUMNS($AC$1006:AG1006),$AC$1006:$AS$1006,0)), HYPERLINK("#",""), HYPERLINK(CONCATENATE("#metadata!", ADDRESS(INDEX($X$2:$X$1001,MATCH(ROWS($V$2:V725),$V$2:$V$1001,0),0), INDEX($AC$1004:$AS$1004,1,MATCH(COLUMNS($AC$1006:AG1006),$AC$1006:$AS$1006,0)))),"Fix")))</f>
        <v xml:space="preserve"> </v>
      </c>
      <c r="G725" s="4" t="str">
        <f ca="1">IF(OR(INDEX($W$2:$W$1001,MATCH(ROWS($V$2:V725),$V$2:$V$1001,0),1)&gt;=100000,INDEX($AC$1005:$AS$1005,1,MATCH(COLUMNS($AC$1006:AH1006),$AC$1006:$AS$1006,0))&gt;=100000), " ",IF(INDEX($AC$2:$AS$1001,MATCH(ROWS($V$2:V725),$V$2:$V$1001,0),MATCH(COLUMNS($AC$1006:AH1006),$AC$1006:$AS$1006,0)), HYPERLINK("#",""), HYPERLINK(CONCATENATE("#metadata!", ADDRESS(INDEX($X$2:$X$1001,MATCH(ROWS($V$2:V725),$V$2:$V$1001,0),0), INDEX($AC$1004:$AS$1004,1,MATCH(COLUMNS($AC$1006:AH1006),$AC$1006:$AS$1006,0)))),"Fix")))</f>
        <v xml:space="preserve"> </v>
      </c>
      <c r="H725" s="4" t="str">
        <f ca="1">IF(OR(INDEX($W$2:$W$1001,MATCH(ROWS($V$2:V725),$V$2:$V$1001,0),1)&gt;=100000,INDEX($AC$1005:$AS$1005,1,MATCH(COLUMNS($AC$1006:AI1006),$AC$1006:$AS$1006,0))&gt;=100000), " ",IF(INDEX($AC$2:$AS$1001,MATCH(ROWS($V$2:V725),$V$2:$V$1001,0),MATCH(COLUMNS($AC$1006:AI1006),$AC$1006:$AS$1006,0)), HYPERLINK("#",""), HYPERLINK(CONCATENATE("#metadata!", ADDRESS(INDEX($X$2:$X$1001,MATCH(ROWS($V$2:V725),$V$2:$V$1001,0),0), INDEX($AC$1004:$AS$1004,1,MATCH(COLUMNS($AC$1006:AI1006),$AC$1006:$AS$1006,0)))),"Fix")))</f>
        <v xml:space="preserve"> </v>
      </c>
      <c r="I725" s="4" t="str">
        <f ca="1">IF(OR(INDEX($W$2:$W$1001,MATCH(ROWS($V$2:V725),$V$2:$V$1001,0),1)&gt;=100000,INDEX($AC$1005:$AS$1005,1,MATCH(COLUMNS($AC$1006:AJ1006),$AC$1006:$AS$1006,0))&gt;=100000), " ",IF(INDEX($AC$2:$AS$1001,MATCH(ROWS($V$2:V725),$V$2:$V$1001,0),MATCH(COLUMNS($AC$1006:AJ1006),$AC$1006:$AS$1006,0)), HYPERLINK("#",""), HYPERLINK(CONCATENATE("#metadata!", ADDRESS(INDEX($X$2:$X$1001,MATCH(ROWS($V$2:V725),$V$2:$V$1001,0),0), INDEX($AC$1004:$AS$1004,1,MATCH(COLUMNS($AC$1006:AJ1006),$AC$1006:$AS$1006,0)))),"Fix")))</f>
        <v xml:space="preserve"> </v>
      </c>
      <c r="J725" s="4" t="str">
        <f ca="1">IF(OR(INDEX($W$2:$W$1001,MATCH(ROWS($V$2:V725),$V$2:$V$1001,0),1)&gt;=100000,INDEX($AC$1005:$AS$1005,1,MATCH(COLUMNS($AC$1006:AK1006),$AC$1006:$AS$1006,0))&gt;=100000), " ",IF(INDEX($AC$2:$AS$1001,MATCH(ROWS($V$2:V725),$V$2:$V$1001,0),MATCH(COLUMNS($AC$1006:AK1006),$AC$1006:$AS$1006,0)), HYPERLINK("#",""), HYPERLINK(CONCATENATE("#metadata!", ADDRESS(INDEX($X$2:$X$1001,MATCH(ROWS($V$2:V725),$V$2:$V$1001,0),0), INDEX($AC$1004:$AS$1004,1,MATCH(COLUMNS($AC$1006:AK1006),$AC$1006:$AS$1006,0)))),"Fix")))</f>
        <v xml:space="preserve"> </v>
      </c>
      <c r="K725" s="4" t="str">
        <f ca="1">IF(OR(INDEX($W$2:$W$1001,MATCH(ROWS($V$2:V725),$V$2:$V$1001,0),1)&gt;=100000,INDEX($AC$1005:$AS$1005,1,MATCH(COLUMNS($AC$1006:AL1006),$AC$1006:$AS$1006,0))&gt;=100000), " ",IF(INDEX($AC$2:$AS$1001,MATCH(ROWS($V$2:V725),$V$2:$V$1001,0),MATCH(COLUMNS($AC$1006:AL1006),$AC$1006:$AS$1006,0)), HYPERLINK("#",""), HYPERLINK(CONCATENATE("#metadata!", ADDRESS(INDEX($X$2:$X$1001,MATCH(ROWS($V$2:V725),$V$2:$V$1001,0),0), INDEX($AC$1004:$AS$1004,1,MATCH(COLUMNS($AC$1006:AL1006),$AC$1006:$AS$1006,0)))),"Fix")))</f>
        <v xml:space="preserve"> </v>
      </c>
      <c r="L725" s="4" t="str">
        <f ca="1">IF(OR(INDEX($W$2:$W$1001,MATCH(ROWS($V$2:V725),$V$2:$V$1001,0),1)&gt;=100000,INDEX($AC$1005:$AS$1005,1,MATCH(COLUMNS($AC$1006:AM1006),$AC$1006:$AS$1006,0))&gt;=100000), " ",IF(INDEX($AC$2:$AS$1001,MATCH(ROWS($V$2:V725),$V$2:$V$1001,0),MATCH(COLUMNS($AC$1006:AM1006),$AC$1006:$AS$1006,0)), HYPERLINK("#",""), HYPERLINK(CONCATENATE("#metadata!", ADDRESS(INDEX($X$2:$X$1001,MATCH(ROWS($V$2:V725),$V$2:$V$1001,0),0), INDEX($AC$1004:$AS$1004,1,MATCH(COLUMNS($AC$1006:AM1006),$AC$1006:$AS$1006,0)))),"Fix")))</f>
        <v xml:space="preserve"> </v>
      </c>
      <c r="M725" s="4" t="str">
        <f ca="1">IF(OR(INDEX($W$2:$W$1001,MATCH(ROWS($V$2:V725),$V$2:$V$1001,0),1)&gt;=100000,INDEX($AC$1005:$AS$1005,1,MATCH(COLUMNS($AC$1006:AN1006),$AC$1006:$AS$1006,0))&gt;=100000), " ",IF(INDEX($AC$2:$AS$1001,MATCH(ROWS($V$2:V725),$V$2:$V$1001,0),MATCH(COLUMNS($AC$1006:AN1006),$AC$1006:$AS$1006,0)), HYPERLINK("#",""), HYPERLINK(CONCATENATE("#metadata!", ADDRESS(INDEX($X$2:$X$1001,MATCH(ROWS($V$2:V725),$V$2:$V$1001,0),0), INDEX($AC$1004:$AS$1004,1,MATCH(COLUMNS($AC$1006:AN1006),$AC$1006:$AS$1006,0)))),"Fix")))</f>
        <v xml:space="preserve"> </v>
      </c>
      <c r="N725" s="4" t="str">
        <f ca="1">IF(OR(INDEX($W$2:$W$1001,MATCH(ROWS($V$2:V725),$V$2:$V$1001,0),1)&gt;=100000,INDEX($AC$1005:$AS$1005,1,MATCH(COLUMNS($AC$1006:AO1006),$AC$1006:$AS$1006,0))&gt;=100000), " ",IF(INDEX($AC$2:$AS$1001,MATCH(ROWS($V$2:V725),$V$2:$V$1001,0),MATCH(COLUMNS($AC$1006:AO1006),$AC$1006:$AS$1006,0)), HYPERLINK("#",""), HYPERLINK(CONCATENATE("#metadata!", ADDRESS(INDEX($X$2:$X$1001,MATCH(ROWS($V$2:V725),$V$2:$V$1001,0),0), INDEX($AC$1004:$AS$1004,1,MATCH(COLUMNS($AC$1006:AO1006),$AC$1006:$AS$1006,0)))),"Fix")))</f>
        <v xml:space="preserve"> </v>
      </c>
      <c r="O725" s="4" t="str">
        <f ca="1">IF(OR(INDEX($W$2:$W$1001,MATCH(ROWS($V$2:V725),$V$2:$V$1001,0),1)&gt;=100000,INDEX($AC$1005:$AS$1005,1,MATCH(COLUMNS($AC$1006:AP1006),$AC$1006:$AS$1006,0))&gt;=100000), " ",IF(INDEX($AC$2:$AS$1001,MATCH(ROWS($V$2:V725),$V$2:$V$1001,0),MATCH(COLUMNS($AC$1006:AP1006),$AC$1006:$AS$1006,0)), HYPERLINK("#",""), HYPERLINK(CONCATENATE("#metadata!", ADDRESS(INDEX($X$2:$X$1001,MATCH(ROWS($V$2:V725),$V$2:$V$1001,0),0), INDEX($AC$1004:$AS$1004,1,MATCH(COLUMNS($AC$1006:AP1006),$AC$1006:$AS$1006,0)))),"Fix")))</f>
        <v xml:space="preserve"> </v>
      </c>
      <c r="P725" s="4" t="str">
        <f ca="1">IF(OR(INDEX($W$2:$W$1001,MATCH(ROWS($V$2:V725),$V$2:$V$1001,0),1)&gt;=100000,INDEX($AC$1005:$AS$1005,1,MATCH(COLUMNS($AC$1006:AQ1006),$AC$1006:$AS$1006,0))&gt;=100000), " ",IF(INDEX($AC$2:$AS$1001,MATCH(ROWS($V$2:V725),$V$2:$V$1001,0),MATCH(COLUMNS($AC$1006:AQ1006),$AC$1006:$AS$1006,0)), HYPERLINK("#",""), HYPERLINK(CONCATENATE("#metadata!", ADDRESS(INDEX($X$2:$X$1001,MATCH(ROWS($V$2:V725),$V$2:$V$1001,0),0), INDEX($AC$1004:$AS$1004,1,MATCH(COLUMNS($AC$1006:AQ1006),$AC$1006:$AS$1006,0)))),"Fix")))</f>
        <v xml:space="preserve"> </v>
      </c>
      <c r="Q725" s="4" t="str">
        <f ca="1">IF(OR(INDEX($W$2:$W$1001,MATCH(ROWS($V$2:V725),$V$2:$V$1001,0),1)&gt;=100000,INDEX($AC$1005:$AS$1005,1,MATCH(COLUMNS($AC$1006:AR1006),$AC$1006:$AS$1006,0))&gt;=100000), " ",IF(INDEX($AC$2:$AS$1001,MATCH(ROWS($V$2:V725),$V$2:$V$1001,0),MATCH(COLUMNS($AC$1006:AR1006),$AC$1006:$AS$1006,0)), HYPERLINK("#",""), HYPERLINK(CONCATENATE("#metadata!", ADDRESS(INDEX($X$2:$X$1001,MATCH(ROWS($V$2:V725),$V$2:$V$1001,0),0), INDEX($AC$1004:$AS$1004,1,MATCH(COLUMNS($AC$1006:AR1006),$AC$1006:$AS$1006,0)))),"Fix")))</f>
        <v xml:space="preserve"> </v>
      </c>
      <c r="R725" s="4" t="str">
        <f ca="1">IF(OR(INDEX($W$2:$W$1001,MATCH(ROWS($V$2:V725),$V$2:$V$1001,0),1)&gt;=100000,INDEX($AC$1005:$AS$1005,1,MATCH(COLUMNS($AC$1006:AS1006),$AC$1006:$AS$1006,0))&gt;=100000), " ",IF(INDEX($AC$2:$AS$1001,MATCH(ROWS($V$2:V725),$V$2:$V$1001,0),MATCH(COLUMNS($AC$1006:AS1006),$AC$1006:$AS$1006,0)), HYPERLINK("#",""), HYPERLINK(CONCATENATE("#metadata!", ADDRESS(INDEX($X$2:$X$1001,MATCH(ROWS($V$2:V725),$V$2:$V$1001,0),0), INDEX($AC$1004:$AS$1004,1,MATCH(COLUMNS($AC$1006:AS1006),$AC$1006:$AS$1006,0)))),"Fix")))</f>
        <v xml:space="preserve"> </v>
      </c>
      <c r="V725">
        <v>724</v>
      </c>
      <c r="W725">
        <v>100725</v>
      </c>
      <c r="X725">
        <v>725</v>
      </c>
      <c r="Y725" t="b">
        <f t="shared" si="11"/>
        <v>1</v>
      </c>
      <c r="Z725" t="b">
        <f>COUNTBLANK(metadata!B725:R725)=COLUMNS(metadata!B725:R725)</f>
        <v>1</v>
      </c>
      <c r="AA725" t="str">
        <v/>
      </c>
      <c r="AC725" t="b">
        <f ca="1"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AD725" t="b">
        <f>IF(metadata!C725="",FALSE,ISNUMBER(VALUE(metadata!C725)))</f>
        <v>0</v>
      </c>
      <c r="AE725" t="b">
        <f>AND(IF(metadata!D725="",FALSE,TRUE),EXACT(metadata!D725,"years"))</f>
        <v>0</v>
      </c>
      <c r="AF725" t="b">
        <f>OR(AND(IF(metadata!E725="",FALSE,TRUE),OR(EXACT(metadata!E725,"not applicable"),EXACT(metadata!E725,"missing: not collected"),EXACT(metadata!E725,"missing: not provided"),EXACT(metadata!E725,"missing: restricted access"))),AND(IF(metadata!E725="",FALSE,ISNUMBER(VALUE(metadata!E725))),metadata!E725&gt;0))</f>
        <v>0</v>
      </c>
      <c r="AG725" t="b">
        <f>AND(IF(metadata!F725="",FALSE,TRUE),EXACT(metadata!F725,"Not applicable"))</f>
        <v>0</v>
      </c>
      <c r="AH725" t="b">
        <f>AND(IF(metadata!G725="",FALSE,TRUE),EXACT(metadata!G725,"urban biome"))</f>
        <v>0</v>
      </c>
      <c r="AI725" t="b">
        <f>AND(IF(metadata!H725="",FALSE,TRUE),EXACT(metadata!H725,"human-associated habitat"))</f>
        <v>0</v>
      </c>
      <c r="AJ725" t="b">
        <f>AND(IF(metadata!I725="",FALSE,TRUE),OR(EXACT(metadata!I725,"human-associated"),EXACT(metadata!I725,"human-skin"),EXACT(metadata!I725,"human-oral"),EXACT(metadata!I725,"human-gut"),EXACT(metadata!I725,"human-vaginal")))</f>
        <v>0</v>
      </c>
      <c r="AK725" t="b">
        <f>IF(metadata!J725="",FALSE,ISNUMBER(VALUE(metadata!J725)))</f>
        <v>0</v>
      </c>
      <c r="AL725" t="b">
        <f>AND(IF(metadata!K725="",FALSE,TRUE),EXACT(metadata!K725,"cm"))</f>
        <v>0</v>
      </c>
      <c r="AM725" t="b">
        <f>AND(IF(metadata!L725="",FALSE,TRUE),EXACT(metadata!L725,"human"))</f>
        <v>0</v>
      </c>
      <c r="AN725" t="b">
        <f>AND(IF(metadata!M725="",FALSE,TRUE),EXACT(metadata!M725,"Homo sapiens"))</f>
        <v>0</v>
      </c>
      <c r="AO725" t="b">
        <f>AND(IF(metadata!N725="",FALSE,TRUE),EXACT(metadata!N725,"9606"))</f>
        <v>0</v>
      </c>
      <c r="AP725" t="b">
        <f>IF(metadata!O725="",FALSE,TRUE)</f>
        <v>0</v>
      </c>
      <c r="AQ725" t="b">
        <f>IF(metadata!P725="",FALSE,TRUE)</f>
        <v>0</v>
      </c>
      <c r="AR725" t="b">
        <f>IF(metadata!Q725="",FALSE,ISNUMBER(VALUE(metadata!Q725)))</f>
        <v>0</v>
      </c>
      <c r="AS725" t="b">
        <f>AND(IF(metadata!R725="",FALSE,TRUE),EXACT(metadata!R725,"kg"))</f>
        <v>0</v>
      </c>
    </row>
    <row r="726" spans="1:45" x14ac:dyDescent="0.2">
      <c r="A726" s="5" t="str">
        <f ca="1">IF(B726=" "," ",HYPERLINK(CONCATENATE("#metadata!",ADDRESS(INDEX($X$2:$X$1001,MATCH(ROWS($V$2:V726),$V$2:$V$1001,0),0),1)),INDEX($AA$2:$AA$1001,MATCH(ROWS($V$2:V726),$V$2:$V$1001,0),0)))</f>
        <v xml:space="preserve"> </v>
      </c>
      <c r="B726" s="4" t="str">
        <f ca="1">IF(OR(INDEX($W$2:$W$1001,MATCH(ROWS($V$2:V726),$V$2:$V$1001,0),1)&gt;=100000,INDEX($AC$1005:$AS$1005,1,MATCH(COLUMNS($AC$1006:AC1006),$AC$1006:$AS$1006,0))&gt;=100000), " ",IF(INDEX($AC$2:$AS$1001,MATCH(ROWS($V$2:V726),$V$2:$V$1001,0),MATCH(COLUMNS($AC$1006:AC1006),$AC$1006:$AS$1006,0)), HYPERLINK("#",""), HYPERLINK(CONCATENATE("#metadata!", ADDRESS(INDEX($X$2:$X$1001,MATCH(ROWS($V$2:V726),$V$2:$V$1001,0),0), INDEX($AC$1004:$AS$1004,1,MATCH(COLUMNS($AC$1006:AC1006),$AC$1006:$AS$1006,0)))),"Fix")))</f>
        <v xml:space="preserve"> </v>
      </c>
      <c r="C726" s="4" t="str">
        <f ca="1">IF(OR(INDEX($W$2:$W$1001,MATCH(ROWS($V$2:V726),$V$2:$V$1001,0),1)&gt;=100000,INDEX($AC$1005:$AS$1005,1,MATCH(COLUMNS($AC$1006:AD1006),$AC$1006:$AS$1006,0))&gt;=100000), " ",IF(INDEX($AC$2:$AS$1001,MATCH(ROWS($V$2:V726),$V$2:$V$1001,0),MATCH(COLUMNS($AC$1006:AD1006),$AC$1006:$AS$1006,0)), HYPERLINK("#",""), HYPERLINK(CONCATENATE("#metadata!", ADDRESS(INDEX($X$2:$X$1001,MATCH(ROWS($V$2:V726),$V$2:$V$1001,0),0), INDEX($AC$1004:$AS$1004,1,MATCH(COLUMNS($AC$1006:AD1006),$AC$1006:$AS$1006,0)))),"Fix")))</f>
        <v xml:space="preserve"> </v>
      </c>
      <c r="D726" s="4" t="str">
        <f ca="1">IF(OR(INDEX($W$2:$W$1001,MATCH(ROWS($V$2:V726),$V$2:$V$1001,0),1)&gt;=100000,INDEX($AC$1005:$AS$1005,1,MATCH(COLUMNS($AC$1006:AE1006),$AC$1006:$AS$1006,0))&gt;=100000), " ",IF(INDEX($AC$2:$AS$1001,MATCH(ROWS($V$2:V726),$V$2:$V$1001,0),MATCH(COLUMNS($AC$1006:AE1006),$AC$1006:$AS$1006,0)), HYPERLINK("#",""), HYPERLINK(CONCATENATE("#metadata!", ADDRESS(INDEX($X$2:$X$1001,MATCH(ROWS($V$2:V726),$V$2:$V$1001,0),0), INDEX($AC$1004:$AS$1004,1,MATCH(COLUMNS($AC$1006:AE1006),$AC$1006:$AS$1006,0)))),"Fix")))</f>
        <v xml:space="preserve"> </v>
      </c>
      <c r="E726" s="4" t="str">
        <f ca="1">IF(OR(INDEX($W$2:$W$1001,MATCH(ROWS($V$2:V726),$V$2:$V$1001,0),1)&gt;=100000,INDEX($AC$1005:$AS$1005,1,MATCH(COLUMNS($AC$1006:AF1006),$AC$1006:$AS$1006,0))&gt;=100000), " ",IF(INDEX($AC$2:$AS$1001,MATCH(ROWS($V$2:V726),$V$2:$V$1001,0),MATCH(COLUMNS($AC$1006:AF1006),$AC$1006:$AS$1006,0)), HYPERLINK("#",""), HYPERLINK(CONCATENATE("#metadata!", ADDRESS(INDEX($X$2:$X$1001,MATCH(ROWS($V$2:V726),$V$2:$V$1001,0),0), INDEX($AC$1004:$AS$1004,1,MATCH(COLUMNS($AC$1006:AF1006),$AC$1006:$AS$1006,0)))),"Fix")))</f>
        <v xml:space="preserve"> </v>
      </c>
      <c r="F726" s="4" t="str">
        <f ca="1">IF(OR(INDEX($W$2:$W$1001,MATCH(ROWS($V$2:V726),$V$2:$V$1001,0),1)&gt;=100000,INDEX($AC$1005:$AS$1005,1,MATCH(COLUMNS($AC$1006:AG1006),$AC$1006:$AS$1006,0))&gt;=100000), " ",IF(INDEX($AC$2:$AS$1001,MATCH(ROWS($V$2:V726),$V$2:$V$1001,0),MATCH(COLUMNS($AC$1006:AG1006),$AC$1006:$AS$1006,0)), HYPERLINK("#",""), HYPERLINK(CONCATENATE("#metadata!", ADDRESS(INDEX($X$2:$X$1001,MATCH(ROWS($V$2:V726),$V$2:$V$1001,0),0), INDEX($AC$1004:$AS$1004,1,MATCH(COLUMNS($AC$1006:AG1006),$AC$1006:$AS$1006,0)))),"Fix")))</f>
        <v xml:space="preserve"> </v>
      </c>
      <c r="G726" s="4" t="str">
        <f ca="1">IF(OR(INDEX($W$2:$W$1001,MATCH(ROWS($V$2:V726),$V$2:$V$1001,0),1)&gt;=100000,INDEX($AC$1005:$AS$1005,1,MATCH(COLUMNS($AC$1006:AH1006),$AC$1006:$AS$1006,0))&gt;=100000), " ",IF(INDEX($AC$2:$AS$1001,MATCH(ROWS($V$2:V726),$V$2:$V$1001,0),MATCH(COLUMNS($AC$1006:AH1006),$AC$1006:$AS$1006,0)), HYPERLINK("#",""), HYPERLINK(CONCATENATE("#metadata!", ADDRESS(INDEX($X$2:$X$1001,MATCH(ROWS($V$2:V726),$V$2:$V$1001,0),0), INDEX($AC$1004:$AS$1004,1,MATCH(COLUMNS($AC$1006:AH1006),$AC$1006:$AS$1006,0)))),"Fix")))</f>
        <v xml:space="preserve"> </v>
      </c>
      <c r="H726" s="4" t="str">
        <f ca="1">IF(OR(INDEX($W$2:$W$1001,MATCH(ROWS($V$2:V726),$V$2:$V$1001,0),1)&gt;=100000,INDEX($AC$1005:$AS$1005,1,MATCH(COLUMNS($AC$1006:AI1006),$AC$1006:$AS$1006,0))&gt;=100000), " ",IF(INDEX($AC$2:$AS$1001,MATCH(ROWS($V$2:V726),$V$2:$V$1001,0),MATCH(COLUMNS($AC$1006:AI1006),$AC$1006:$AS$1006,0)), HYPERLINK("#",""), HYPERLINK(CONCATENATE("#metadata!", ADDRESS(INDEX($X$2:$X$1001,MATCH(ROWS($V$2:V726),$V$2:$V$1001,0),0), INDEX($AC$1004:$AS$1004,1,MATCH(COLUMNS($AC$1006:AI1006),$AC$1006:$AS$1006,0)))),"Fix")))</f>
        <v xml:space="preserve"> </v>
      </c>
      <c r="I726" s="4" t="str">
        <f ca="1">IF(OR(INDEX($W$2:$W$1001,MATCH(ROWS($V$2:V726),$V$2:$V$1001,0),1)&gt;=100000,INDEX($AC$1005:$AS$1005,1,MATCH(COLUMNS($AC$1006:AJ1006),$AC$1006:$AS$1006,0))&gt;=100000), " ",IF(INDEX($AC$2:$AS$1001,MATCH(ROWS($V$2:V726),$V$2:$V$1001,0),MATCH(COLUMNS($AC$1006:AJ1006),$AC$1006:$AS$1006,0)), HYPERLINK("#",""), HYPERLINK(CONCATENATE("#metadata!", ADDRESS(INDEX($X$2:$X$1001,MATCH(ROWS($V$2:V726),$V$2:$V$1001,0),0), INDEX($AC$1004:$AS$1004,1,MATCH(COLUMNS($AC$1006:AJ1006),$AC$1006:$AS$1006,0)))),"Fix")))</f>
        <v xml:space="preserve"> </v>
      </c>
      <c r="J726" s="4" t="str">
        <f ca="1">IF(OR(INDEX($W$2:$W$1001,MATCH(ROWS($V$2:V726),$V$2:$V$1001,0),1)&gt;=100000,INDEX($AC$1005:$AS$1005,1,MATCH(COLUMNS($AC$1006:AK1006),$AC$1006:$AS$1006,0))&gt;=100000), " ",IF(INDEX($AC$2:$AS$1001,MATCH(ROWS($V$2:V726),$V$2:$V$1001,0),MATCH(COLUMNS($AC$1006:AK1006),$AC$1006:$AS$1006,0)), HYPERLINK("#",""), HYPERLINK(CONCATENATE("#metadata!", ADDRESS(INDEX($X$2:$X$1001,MATCH(ROWS($V$2:V726),$V$2:$V$1001,0),0), INDEX($AC$1004:$AS$1004,1,MATCH(COLUMNS($AC$1006:AK1006),$AC$1006:$AS$1006,0)))),"Fix")))</f>
        <v xml:space="preserve"> </v>
      </c>
      <c r="K726" s="4" t="str">
        <f ca="1">IF(OR(INDEX($W$2:$W$1001,MATCH(ROWS($V$2:V726),$V$2:$V$1001,0),1)&gt;=100000,INDEX($AC$1005:$AS$1005,1,MATCH(COLUMNS($AC$1006:AL1006),$AC$1006:$AS$1006,0))&gt;=100000), " ",IF(INDEX($AC$2:$AS$1001,MATCH(ROWS($V$2:V726),$V$2:$V$1001,0),MATCH(COLUMNS($AC$1006:AL1006),$AC$1006:$AS$1006,0)), HYPERLINK("#",""), HYPERLINK(CONCATENATE("#metadata!", ADDRESS(INDEX($X$2:$X$1001,MATCH(ROWS($V$2:V726),$V$2:$V$1001,0),0), INDEX($AC$1004:$AS$1004,1,MATCH(COLUMNS($AC$1006:AL1006),$AC$1006:$AS$1006,0)))),"Fix")))</f>
        <v xml:space="preserve"> </v>
      </c>
      <c r="L726" s="4" t="str">
        <f ca="1">IF(OR(INDEX($W$2:$W$1001,MATCH(ROWS($V$2:V726),$V$2:$V$1001,0),1)&gt;=100000,INDEX($AC$1005:$AS$1005,1,MATCH(COLUMNS($AC$1006:AM1006),$AC$1006:$AS$1006,0))&gt;=100000), " ",IF(INDEX($AC$2:$AS$1001,MATCH(ROWS($V$2:V726),$V$2:$V$1001,0),MATCH(COLUMNS($AC$1006:AM1006),$AC$1006:$AS$1006,0)), HYPERLINK("#",""), HYPERLINK(CONCATENATE("#metadata!", ADDRESS(INDEX($X$2:$X$1001,MATCH(ROWS($V$2:V726),$V$2:$V$1001,0),0), INDEX($AC$1004:$AS$1004,1,MATCH(COLUMNS($AC$1006:AM1006),$AC$1006:$AS$1006,0)))),"Fix")))</f>
        <v xml:space="preserve"> </v>
      </c>
      <c r="M726" s="4" t="str">
        <f ca="1">IF(OR(INDEX($W$2:$W$1001,MATCH(ROWS($V$2:V726),$V$2:$V$1001,0),1)&gt;=100000,INDEX($AC$1005:$AS$1005,1,MATCH(COLUMNS($AC$1006:AN1006),$AC$1006:$AS$1006,0))&gt;=100000), " ",IF(INDEX($AC$2:$AS$1001,MATCH(ROWS($V$2:V726),$V$2:$V$1001,0),MATCH(COLUMNS($AC$1006:AN1006),$AC$1006:$AS$1006,0)), HYPERLINK("#",""), HYPERLINK(CONCATENATE("#metadata!", ADDRESS(INDEX($X$2:$X$1001,MATCH(ROWS($V$2:V726),$V$2:$V$1001,0),0), INDEX($AC$1004:$AS$1004,1,MATCH(COLUMNS($AC$1006:AN1006),$AC$1006:$AS$1006,0)))),"Fix")))</f>
        <v xml:space="preserve"> </v>
      </c>
      <c r="N726" s="4" t="str">
        <f ca="1">IF(OR(INDEX($W$2:$W$1001,MATCH(ROWS($V$2:V726),$V$2:$V$1001,0),1)&gt;=100000,INDEX($AC$1005:$AS$1005,1,MATCH(COLUMNS($AC$1006:AO1006),$AC$1006:$AS$1006,0))&gt;=100000), " ",IF(INDEX($AC$2:$AS$1001,MATCH(ROWS($V$2:V726),$V$2:$V$1001,0),MATCH(COLUMNS($AC$1006:AO1006),$AC$1006:$AS$1006,0)), HYPERLINK("#",""), HYPERLINK(CONCATENATE("#metadata!", ADDRESS(INDEX($X$2:$X$1001,MATCH(ROWS($V$2:V726),$V$2:$V$1001,0),0), INDEX($AC$1004:$AS$1004,1,MATCH(COLUMNS($AC$1006:AO1006),$AC$1006:$AS$1006,0)))),"Fix")))</f>
        <v xml:space="preserve"> </v>
      </c>
      <c r="O726" s="4" t="str">
        <f ca="1">IF(OR(INDEX($W$2:$W$1001,MATCH(ROWS($V$2:V726),$V$2:$V$1001,0),1)&gt;=100000,INDEX($AC$1005:$AS$1005,1,MATCH(COLUMNS($AC$1006:AP1006),$AC$1006:$AS$1006,0))&gt;=100000), " ",IF(INDEX($AC$2:$AS$1001,MATCH(ROWS($V$2:V726),$V$2:$V$1001,0),MATCH(COLUMNS($AC$1006:AP1006),$AC$1006:$AS$1006,0)), HYPERLINK("#",""), HYPERLINK(CONCATENATE("#metadata!", ADDRESS(INDEX($X$2:$X$1001,MATCH(ROWS($V$2:V726),$V$2:$V$1001,0),0), INDEX($AC$1004:$AS$1004,1,MATCH(COLUMNS($AC$1006:AP1006),$AC$1006:$AS$1006,0)))),"Fix")))</f>
        <v xml:space="preserve"> </v>
      </c>
      <c r="P726" s="4" t="str">
        <f ca="1">IF(OR(INDEX($W$2:$W$1001,MATCH(ROWS($V$2:V726),$V$2:$V$1001,0),1)&gt;=100000,INDEX($AC$1005:$AS$1005,1,MATCH(COLUMNS($AC$1006:AQ1006),$AC$1006:$AS$1006,0))&gt;=100000), " ",IF(INDEX($AC$2:$AS$1001,MATCH(ROWS($V$2:V726),$V$2:$V$1001,0),MATCH(COLUMNS($AC$1006:AQ1006),$AC$1006:$AS$1006,0)), HYPERLINK("#",""), HYPERLINK(CONCATENATE("#metadata!", ADDRESS(INDEX($X$2:$X$1001,MATCH(ROWS($V$2:V726),$V$2:$V$1001,0),0), INDEX($AC$1004:$AS$1004,1,MATCH(COLUMNS($AC$1006:AQ1006),$AC$1006:$AS$1006,0)))),"Fix")))</f>
        <v xml:space="preserve"> </v>
      </c>
      <c r="Q726" s="4" t="str">
        <f ca="1">IF(OR(INDEX($W$2:$W$1001,MATCH(ROWS($V$2:V726),$V$2:$V$1001,0),1)&gt;=100000,INDEX($AC$1005:$AS$1005,1,MATCH(COLUMNS($AC$1006:AR1006),$AC$1006:$AS$1006,0))&gt;=100000), " ",IF(INDEX($AC$2:$AS$1001,MATCH(ROWS($V$2:V726),$V$2:$V$1001,0),MATCH(COLUMNS($AC$1006:AR1006),$AC$1006:$AS$1006,0)), HYPERLINK("#",""), HYPERLINK(CONCATENATE("#metadata!", ADDRESS(INDEX($X$2:$X$1001,MATCH(ROWS($V$2:V726),$V$2:$V$1001,0),0), INDEX($AC$1004:$AS$1004,1,MATCH(COLUMNS($AC$1006:AR1006),$AC$1006:$AS$1006,0)))),"Fix")))</f>
        <v xml:space="preserve"> </v>
      </c>
      <c r="R726" s="4" t="str">
        <f ca="1">IF(OR(INDEX($W$2:$W$1001,MATCH(ROWS($V$2:V726),$V$2:$V$1001,0),1)&gt;=100000,INDEX($AC$1005:$AS$1005,1,MATCH(COLUMNS($AC$1006:AS1006),$AC$1006:$AS$1006,0))&gt;=100000), " ",IF(INDEX($AC$2:$AS$1001,MATCH(ROWS($V$2:V726),$V$2:$V$1001,0),MATCH(COLUMNS($AC$1006:AS1006),$AC$1006:$AS$1006,0)), HYPERLINK("#",""), HYPERLINK(CONCATENATE("#metadata!", ADDRESS(INDEX($X$2:$X$1001,MATCH(ROWS($V$2:V726),$V$2:$V$1001,0),0), INDEX($AC$1004:$AS$1004,1,MATCH(COLUMNS($AC$1006:AS1006),$AC$1006:$AS$1006,0)))),"Fix")))</f>
        <v xml:space="preserve"> </v>
      </c>
      <c r="V726">
        <v>725</v>
      </c>
      <c r="W726">
        <v>100726</v>
      </c>
      <c r="X726">
        <v>726</v>
      </c>
      <c r="Y726" t="b">
        <f t="shared" si="11"/>
        <v>1</v>
      </c>
      <c r="Z726" t="b">
        <f>COUNTBLANK(metadata!B726:R726)=COLUMNS(metadata!B726:R726)</f>
        <v>1</v>
      </c>
      <c r="AA726" t="str">
        <v/>
      </c>
      <c r="AC726" t="b">
        <f ca="1"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AD726" t="b">
        <f>IF(metadata!C726="",FALSE,ISNUMBER(VALUE(metadata!C726)))</f>
        <v>0</v>
      </c>
      <c r="AE726" t="b">
        <f>AND(IF(metadata!D726="",FALSE,TRUE),EXACT(metadata!D726,"years"))</f>
        <v>0</v>
      </c>
      <c r="AF726" t="b">
        <f>OR(AND(IF(metadata!E726="",FALSE,TRUE),OR(EXACT(metadata!E726,"not applicable"),EXACT(metadata!E726,"missing: not collected"),EXACT(metadata!E726,"missing: not provided"),EXACT(metadata!E726,"missing: restricted access"))),AND(IF(metadata!E726="",FALSE,ISNUMBER(VALUE(metadata!E726))),metadata!E726&gt;0))</f>
        <v>0</v>
      </c>
      <c r="AG726" t="b">
        <f>AND(IF(metadata!F726="",FALSE,TRUE),EXACT(metadata!F726,"Not applicable"))</f>
        <v>0</v>
      </c>
      <c r="AH726" t="b">
        <f>AND(IF(metadata!G726="",FALSE,TRUE),EXACT(metadata!G726,"urban biome"))</f>
        <v>0</v>
      </c>
      <c r="AI726" t="b">
        <f>AND(IF(metadata!H726="",FALSE,TRUE),EXACT(metadata!H726,"human-associated habitat"))</f>
        <v>0</v>
      </c>
      <c r="AJ726" t="b">
        <f>AND(IF(metadata!I726="",FALSE,TRUE),OR(EXACT(metadata!I726,"human-associated"),EXACT(metadata!I726,"human-skin"),EXACT(metadata!I726,"human-oral"),EXACT(metadata!I726,"human-gut"),EXACT(metadata!I726,"human-vaginal")))</f>
        <v>0</v>
      </c>
      <c r="AK726" t="b">
        <f>IF(metadata!J726="",FALSE,ISNUMBER(VALUE(metadata!J726)))</f>
        <v>0</v>
      </c>
      <c r="AL726" t="b">
        <f>AND(IF(metadata!K726="",FALSE,TRUE),EXACT(metadata!K726,"cm"))</f>
        <v>0</v>
      </c>
      <c r="AM726" t="b">
        <f>AND(IF(metadata!L726="",FALSE,TRUE),EXACT(metadata!L726,"human"))</f>
        <v>0</v>
      </c>
      <c r="AN726" t="b">
        <f>AND(IF(metadata!M726="",FALSE,TRUE),EXACT(metadata!M726,"Homo sapiens"))</f>
        <v>0</v>
      </c>
      <c r="AO726" t="b">
        <f>AND(IF(metadata!N726="",FALSE,TRUE),EXACT(metadata!N726,"9606"))</f>
        <v>0</v>
      </c>
      <c r="AP726" t="b">
        <f>IF(metadata!O726="",FALSE,TRUE)</f>
        <v>0</v>
      </c>
      <c r="AQ726" t="b">
        <f>IF(metadata!P726="",FALSE,TRUE)</f>
        <v>0</v>
      </c>
      <c r="AR726" t="b">
        <f>IF(metadata!Q726="",FALSE,ISNUMBER(VALUE(metadata!Q726)))</f>
        <v>0</v>
      </c>
      <c r="AS726" t="b">
        <f>AND(IF(metadata!R726="",FALSE,TRUE),EXACT(metadata!R726,"kg"))</f>
        <v>0</v>
      </c>
    </row>
    <row r="727" spans="1:45" x14ac:dyDescent="0.2">
      <c r="A727" s="5" t="str">
        <f ca="1">IF(B727=" "," ",HYPERLINK(CONCATENATE("#metadata!",ADDRESS(INDEX($X$2:$X$1001,MATCH(ROWS($V$2:V727),$V$2:$V$1001,0),0),1)),INDEX($AA$2:$AA$1001,MATCH(ROWS($V$2:V727),$V$2:$V$1001,0),0)))</f>
        <v xml:space="preserve"> </v>
      </c>
      <c r="B727" s="4" t="str">
        <f ca="1">IF(OR(INDEX($W$2:$W$1001,MATCH(ROWS($V$2:V727),$V$2:$V$1001,0),1)&gt;=100000,INDEX($AC$1005:$AS$1005,1,MATCH(COLUMNS($AC$1006:AC1006),$AC$1006:$AS$1006,0))&gt;=100000), " ",IF(INDEX($AC$2:$AS$1001,MATCH(ROWS($V$2:V727),$V$2:$V$1001,0),MATCH(COLUMNS($AC$1006:AC1006),$AC$1006:$AS$1006,0)), HYPERLINK("#",""), HYPERLINK(CONCATENATE("#metadata!", ADDRESS(INDEX($X$2:$X$1001,MATCH(ROWS($V$2:V727),$V$2:$V$1001,0),0), INDEX($AC$1004:$AS$1004,1,MATCH(COLUMNS($AC$1006:AC1006),$AC$1006:$AS$1006,0)))),"Fix")))</f>
        <v xml:space="preserve"> </v>
      </c>
      <c r="C727" s="4" t="str">
        <f ca="1">IF(OR(INDEX($W$2:$W$1001,MATCH(ROWS($V$2:V727),$V$2:$V$1001,0),1)&gt;=100000,INDEX($AC$1005:$AS$1005,1,MATCH(COLUMNS($AC$1006:AD1006),$AC$1006:$AS$1006,0))&gt;=100000), " ",IF(INDEX($AC$2:$AS$1001,MATCH(ROWS($V$2:V727),$V$2:$V$1001,0),MATCH(COLUMNS($AC$1006:AD1006),$AC$1006:$AS$1006,0)), HYPERLINK("#",""), HYPERLINK(CONCATENATE("#metadata!", ADDRESS(INDEX($X$2:$X$1001,MATCH(ROWS($V$2:V727),$V$2:$V$1001,0),0), INDEX($AC$1004:$AS$1004,1,MATCH(COLUMNS($AC$1006:AD1006),$AC$1006:$AS$1006,0)))),"Fix")))</f>
        <v xml:space="preserve"> </v>
      </c>
      <c r="D727" s="4" t="str">
        <f ca="1">IF(OR(INDEX($W$2:$W$1001,MATCH(ROWS($V$2:V727),$V$2:$V$1001,0),1)&gt;=100000,INDEX($AC$1005:$AS$1005,1,MATCH(COLUMNS($AC$1006:AE1006),$AC$1006:$AS$1006,0))&gt;=100000), " ",IF(INDEX($AC$2:$AS$1001,MATCH(ROWS($V$2:V727),$V$2:$V$1001,0),MATCH(COLUMNS($AC$1006:AE1006),$AC$1006:$AS$1006,0)), HYPERLINK("#",""), HYPERLINK(CONCATENATE("#metadata!", ADDRESS(INDEX($X$2:$X$1001,MATCH(ROWS($V$2:V727),$V$2:$V$1001,0),0), INDEX($AC$1004:$AS$1004,1,MATCH(COLUMNS($AC$1006:AE1006),$AC$1006:$AS$1006,0)))),"Fix")))</f>
        <v xml:space="preserve"> </v>
      </c>
      <c r="E727" s="4" t="str">
        <f ca="1">IF(OR(INDEX($W$2:$W$1001,MATCH(ROWS($V$2:V727),$V$2:$V$1001,0),1)&gt;=100000,INDEX($AC$1005:$AS$1005,1,MATCH(COLUMNS($AC$1006:AF1006),$AC$1006:$AS$1006,0))&gt;=100000), " ",IF(INDEX($AC$2:$AS$1001,MATCH(ROWS($V$2:V727),$V$2:$V$1001,0),MATCH(COLUMNS($AC$1006:AF1006),$AC$1006:$AS$1006,0)), HYPERLINK("#",""), HYPERLINK(CONCATENATE("#metadata!", ADDRESS(INDEX($X$2:$X$1001,MATCH(ROWS($V$2:V727),$V$2:$V$1001,0),0), INDEX($AC$1004:$AS$1004,1,MATCH(COLUMNS($AC$1006:AF1006),$AC$1006:$AS$1006,0)))),"Fix")))</f>
        <v xml:space="preserve"> </v>
      </c>
      <c r="F727" s="4" t="str">
        <f ca="1">IF(OR(INDEX($W$2:$W$1001,MATCH(ROWS($V$2:V727),$V$2:$V$1001,0),1)&gt;=100000,INDEX($AC$1005:$AS$1005,1,MATCH(COLUMNS($AC$1006:AG1006),$AC$1006:$AS$1006,0))&gt;=100000), " ",IF(INDEX($AC$2:$AS$1001,MATCH(ROWS($V$2:V727),$V$2:$V$1001,0),MATCH(COLUMNS($AC$1006:AG1006),$AC$1006:$AS$1006,0)), HYPERLINK("#",""), HYPERLINK(CONCATENATE("#metadata!", ADDRESS(INDEX($X$2:$X$1001,MATCH(ROWS($V$2:V727),$V$2:$V$1001,0),0), INDEX($AC$1004:$AS$1004,1,MATCH(COLUMNS($AC$1006:AG1006),$AC$1006:$AS$1006,0)))),"Fix")))</f>
        <v xml:space="preserve"> </v>
      </c>
      <c r="G727" s="4" t="str">
        <f ca="1">IF(OR(INDEX($W$2:$W$1001,MATCH(ROWS($V$2:V727),$V$2:$V$1001,0),1)&gt;=100000,INDEX($AC$1005:$AS$1005,1,MATCH(COLUMNS($AC$1006:AH1006),$AC$1006:$AS$1006,0))&gt;=100000), " ",IF(INDEX($AC$2:$AS$1001,MATCH(ROWS($V$2:V727),$V$2:$V$1001,0),MATCH(COLUMNS($AC$1006:AH1006),$AC$1006:$AS$1006,0)), HYPERLINK("#",""), HYPERLINK(CONCATENATE("#metadata!", ADDRESS(INDEX($X$2:$X$1001,MATCH(ROWS($V$2:V727),$V$2:$V$1001,0),0), INDEX($AC$1004:$AS$1004,1,MATCH(COLUMNS($AC$1006:AH1006),$AC$1006:$AS$1006,0)))),"Fix")))</f>
        <v xml:space="preserve"> </v>
      </c>
      <c r="H727" s="4" t="str">
        <f ca="1">IF(OR(INDEX($W$2:$W$1001,MATCH(ROWS($V$2:V727),$V$2:$V$1001,0),1)&gt;=100000,INDEX($AC$1005:$AS$1005,1,MATCH(COLUMNS($AC$1006:AI1006),$AC$1006:$AS$1006,0))&gt;=100000), " ",IF(INDEX($AC$2:$AS$1001,MATCH(ROWS($V$2:V727),$V$2:$V$1001,0),MATCH(COLUMNS($AC$1006:AI1006),$AC$1006:$AS$1006,0)), HYPERLINK("#",""), HYPERLINK(CONCATENATE("#metadata!", ADDRESS(INDEX($X$2:$X$1001,MATCH(ROWS($V$2:V727),$V$2:$V$1001,0),0), INDEX($AC$1004:$AS$1004,1,MATCH(COLUMNS($AC$1006:AI1006),$AC$1006:$AS$1006,0)))),"Fix")))</f>
        <v xml:space="preserve"> </v>
      </c>
      <c r="I727" s="4" t="str">
        <f ca="1">IF(OR(INDEX($W$2:$W$1001,MATCH(ROWS($V$2:V727),$V$2:$V$1001,0),1)&gt;=100000,INDEX($AC$1005:$AS$1005,1,MATCH(COLUMNS($AC$1006:AJ1006),$AC$1006:$AS$1006,0))&gt;=100000), " ",IF(INDEX($AC$2:$AS$1001,MATCH(ROWS($V$2:V727),$V$2:$V$1001,0),MATCH(COLUMNS($AC$1006:AJ1006),$AC$1006:$AS$1006,0)), HYPERLINK("#",""), HYPERLINK(CONCATENATE("#metadata!", ADDRESS(INDEX($X$2:$X$1001,MATCH(ROWS($V$2:V727),$V$2:$V$1001,0),0), INDEX($AC$1004:$AS$1004,1,MATCH(COLUMNS($AC$1006:AJ1006),$AC$1006:$AS$1006,0)))),"Fix")))</f>
        <v xml:space="preserve"> </v>
      </c>
      <c r="J727" s="4" t="str">
        <f ca="1">IF(OR(INDEX($W$2:$W$1001,MATCH(ROWS($V$2:V727),$V$2:$V$1001,0),1)&gt;=100000,INDEX($AC$1005:$AS$1005,1,MATCH(COLUMNS($AC$1006:AK1006),$AC$1006:$AS$1006,0))&gt;=100000), " ",IF(INDEX($AC$2:$AS$1001,MATCH(ROWS($V$2:V727),$V$2:$V$1001,0),MATCH(COLUMNS($AC$1006:AK1006),$AC$1006:$AS$1006,0)), HYPERLINK("#",""), HYPERLINK(CONCATENATE("#metadata!", ADDRESS(INDEX($X$2:$X$1001,MATCH(ROWS($V$2:V727),$V$2:$V$1001,0),0), INDEX($AC$1004:$AS$1004,1,MATCH(COLUMNS($AC$1006:AK1006),$AC$1006:$AS$1006,0)))),"Fix")))</f>
        <v xml:space="preserve"> </v>
      </c>
      <c r="K727" s="4" t="str">
        <f ca="1">IF(OR(INDEX($W$2:$W$1001,MATCH(ROWS($V$2:V727),$V$2:$V$1001,0),1)&gt;=100000,INDEX($AC$1005:$AS$1005,1,MATCH(COLUMNS($AC$1006:AL1006),$AC$1006:$AS$1006,0))&gt;=100000), " ",IF(INDEX($AC$2:$AS$1001,MATCH(ROWS($V$2:V727),$V$2:$V$1001,0),MATCH(COLUMNS($AC$1006:AL1006),$AC$1006:$AS$1006,0)), HYPERLINK("#",""), HYPERLINK(CONCATENATE("#metadata!", ADDRESS(INDEX($X$2:$X$1001,MATCH(ROWS($V$2:V727),$V$2:$V$1001,0),0), INDEX($AC$1004:$AS$1004,1,MATCH(COLUMNS($AC$1006:AL1006),$AC$1006:$AS$1006,0)))),"Fix")))</f>
        <v xml:space="preserve"> </v>
      </c>
      <c r="L727" s="4" t="str">
        <f ca="1">IF(OR(INDEX($W$2:$W$1001,MATCH(ROWS($V$2:V727),$V$2:$V$1001,0),1)&gt;=100000,INDEX($AC$1005:$AS$1005,1,MATCH(COLUMNS($AC$1006:AM1006),$AC$1006:$AS$1006,0))&gt;=100000), " ",IF(INDEX($AC$2:$AS$1001,MATCH(ROWS($V$2:V727),$V$2:$V$1001,0),MATCH(COLUMNS($AC$1006:AM1006),$AC$1006:$AS$1006,0)), HYPERLINK("#",""), HYPERLINK(CONCATENATE("#metadata!", ADDRESS(INDEX($X$2:$X$1001,MATCH(ROWS($V$2:V727),$V$2:$V$1001,0),0), INDEX($AC$1004:$AS$1004,1,MATCH(COLUMNS($AC$1006:AM1006),$AC$1006:$AS$1006,0)))),"Fix")))</f>
        <v xml:space="preserve"> </v>
      </c>
      <c r="M727" s="4" t="str">
        <f ca="1">IF(OR(INDEX($W$2:$W$1001,MATCH(ROWS($V$2:V727),$V$2:$V$1001,0),1)&gt;=100000,INDEX($AC$1005:$AS$1005,1,MATCH(COLUMNS($AC$1006:AN1006),$AC$1006:$AS$1006,0))&gt;=100000), " ",IF(INDEX($AC$2:$AS$1001,MATCH(ROWS($V$2:V727),$V$2:$V$1001,0),MATCH(COLUMNS($AC$1006:AN1006),$AC$1006:$AS$1006,0)), HYPERLINK("#",""), HYPERLINK(CONCATENATE("#metadata!", ADDRESS(INDEX($X$2:$X$1001,MATCH(ROWS($V$2:V727),$V$2:$V$1001,0),0), INDEX($AC$1004:$AS$1004,1,MATCH(COLUMNS($AC$1006:AN1006),$AC$1006:$AS$1006,0)))),"Fix")))</f>
        <v xml:space="preserve"> </v>
      </c>
      <c r="N727" s="4" t="str">
        <f ca="1">IF(OR(INDEX($W$2:$W$1001,MATCH(ROWS($V$2:V727),$V$2:$V$1001,0),1)&gt;=100000,INDEX($AC$1005:$AS$1005,1,MATCH(COLUMNS($AC$1006:AO1006),$AC$1006:$AS$1006,0))&gt;=100000), " ",IF(INDEX($AC$2:$AS$1001,MATCH(ROWS($V$2:V727),$V$2:$V$1001,0),MATCH(COLUMNS($AC$1006:AO1006),$AC$1006:$AS$1006,0)), HYPERLINK("#",""), HYPERLINK(CONCATENATE("#metadata!", ADDRESS(INDEX($X$2:$X$1001,MATCH(ROWS($V$2:V727),$V$2:$V$1001,0),0), INDEX($AC$1004:$AS$1004,1,MATCH(COLUMNS($AC$1006:AO1006),$AC$1006:$AS$1006,0)))),"Fix")))</f>
        <v xml:space="preserve"> </v>
      </c>
      <c r="O727" s="4" t="str">
        <f ca="1">IF(OR(INDEX($W$2:$W$1001,MATCH(ROWS($V$2:V727),$V$2:$V$1001,0),1)&gt;=100000,INDEX($AC$1005:$AS$1005,1,MATCH(COLUMNS($AC$1006:AP1006),$AC$1006:$AS$1006,0))&gt;=100000), " ",IF(INDEX($AC$2:$AS$1001,MATCH(ROWS($V$2:V727),$V$2:$V$1001,0),MATCH(COLUMNS($AC$1006:AP1006),$AC$1006:$AS$1006,0)), HYPERLINK("#",""), HYPERLINK(CONCATENATE("#metadata!", ADDRESS(INDEX($X$2:$X$1001,MATCH(ROWS($V$2:V727),$V$2:$V$1001,0),0), INDEX($AC$1004:$AS$1004,1,MATCH(COLUMNS($AC$1006:AP1006),$AC$1006:$AS$1006,0)))),"Fix")))</f>
        <v xml:space="preserve"> </v>
      </c>
      <c r="P727" s="4" t="str">
        <f ca="1">IF(OR(INDEX($W$2:$W$1001,MATCH(ROWS($V$2:V727),$V$2:$V$1001,0),1)&gt;=100000,INDEX($AC$1005:$AS$1005,1,MATCH(COLUMNS($AC$1006:AQ1006),$AC$1006:$AS$1006,0))&gt;=100000), " ",IF(INDEX($AC$2:$AS$1001,MATCH(ROWS($V$2:V727),$V$2:$V$1001,0),MATCH(COLUMNS($AC$1006:AQ1006),$AC$1006:$AS$1006,0)), HYPERLINK("#",""), HYPERLINK(CONCATENATE("#metadata!", ADDRESS(INDEX($X$2:$X$1001,MATCH(ROWS($V$2:V727),$V$2:$V$1001,0),0), INDEX($AC$1004:$AS$1004,1,MATCH(COLUMNS($AC$1006:AQ1006),$AC$1006:$AS$1006,0)))),"Fix")))</f>
        <v xml:space="preserve"> </v>
      </c>
      <c r="Q727" s="4" t="str">
        <f ca="1">IF(OR(INDEX($W$2:$W$1001,MATCH(ROWS($V$2:V727),$V$2:$V$1001,0),1)&gt;=100000,INDEX($AC$1005:$AS$1005,1,MATCH(COLUMNS($AC$1006:AR1006),$AC$1006:$AS$1006,0))&gt;=100000), " ",IF(INDEX($AC$2:$AS$1001,MATCH(ROWS($V$2:V727),$V$2:$V$1001,0),MATCH(COLUMNS($AC$1006:AR1006),$AC$1006:$AS$1006,0)), HYPERLINK("#",""), HYPERLINK(CONCATENATE("#metadata!", ADDRESS(INDEX($X$2:$X$1001,MATCH(ROWS($V$2:V727),$V$2:$V$1001,0),0), INDEX($AC$1004:$AS$1004,1,MATCH(COLUMNS($AC$1006:AR1006),$AC$1006:$AS$1006,0)))),"Fix")))</f>
        <v xml:space="preserve"> </v>
      </c>
      <c r="R727" s="4" t="str">
        <f ca="1">IF(OR(INDEX($W$2:$W$1001,MATCH(ROWS($V$2:V727),$V$2:$V$1001,0),1)&gt;=100000,INDEX($AC$1005:$AS$1005,1,MATCH(COLUMNS($AC$1006:AS1006),$AC$1006:$AS$1006,0))&gt;=100000), " ",IF(INDEX($AC$2:$AS$1001,MATCH(ROWS($V$2:V727),$V$2:$V$1001,0),MATCH(COLUMNS($AC$1006:AS1006),$AC$1006:$AS$1006,0)), HYPERLINK("#",""), HYPERLINK(CONCATENATE("#metadata!", ADDRESS(INDEX($X$2:$X$1001,MATCH(ROWS($V$2:V727),$V$2:$V$1001,0),0), INDEX($AC$1004:$AS$1004,1,MATCH(COLUMNS($AC$1006:AS1006),$AC$1006:$AS$1006,0)))),"Fix")))</f>
        <v xml:space="preserve"> </v>
      </c>
      <c r="V727">
        <v>726</v>
      </c>
      <c r="W727">
        <v>100727</v>
      </c>
      <c r="X727">
        <v>727</v>
      </c>
      <c r="Y727" t="b">
        <f t="shared" si="11"/>
        <v>1</v>
      </c>
      <c r="Z727" t="b">
        <f>COUNTBLANK(metadata!B727:R727)=COLUMNS(metadata!B727:R727)</f>
        <v>1</v>
      </c>
      <c r="AA727" t="str">
        <v/>
      </c>
      <c r="AC727" t="b">
        <f ca="1"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AD727" t="b">
        <f>IF(metadata!C727="",FALSE,ISNUMBER(VALUE(metadata!C727)))</f>
        <v>0</v>
      </c>
      <c r="AE727" t="b">
        <f>AND(IF(metadata!D727="",FALSE,TRUE),EXACT(metadata!D727,"years"))</f>
        <v>0</v>
      </c>
      <c r="AF727" t="b">
        <f>OR(AND(IF(metadata!E727="",FALSE,TRUE),OR(EXACT(metadata!E727,"not applicable"),EXACT(metadata!E727,"missing: not collected"),EXACT(metadata!E727,"missing: not provided"),EXACT(metadata!E727,"missing: restricted access"))),AND(IF(metadata!E727="",FALSE,ISNUMBER(VALUE(metadata!E727))),metadata!E727&gt;0))</f>
        <v>0</v>
      </c>
      <c r="AG727" t="b">
        <f>AND(IF(metadata!F727="",FALSE,TRUE),EXACT(metadata!F727,"Not applicable"))</f>
        <v>0</v>
      </c>
      <c r="AH727" t="b">
        <f>AND(IF(metadata!G727="",FALSE,TRUE),EXACT(metadata!G727,"urban biome"))</f>
        <v>0</v>
      </c>
      <c r="AI727" t="b">
        <f>AND(IF(metadata!H727="",FALSE,TRUE),EXACT(metadata!H727,"human-associated habitat"))</f>
        <v>0</v>
      </c>
      <c r="AJ727" t="b">
        <f>AND(IF(metadata!I727="",FALSE,TRUE),OR(EXACT(metadata!I727,"human-associated"),EXACT(metadata!I727,"human-skin"),EXACT(metadata!I727,"human-oral"),EXACT(metadata!I727,"human-gut"),EXACT(metadata!I727,"human-vaginal")))</f>
        <v>0</v>
      </c>
      <c r="AK727" t="b">
        <f>IF(metadata!J727="",FALSE,ISNUMBER(VALUE(metadata!J727)))</f>
        <v>0</v>
      </c>
      <c r="AL727" t="b">
        <f>AND(IF(metadata!K727="",FALSE,TRUE),EXACT(metadata!K727,"cm"))</f>
        <v>0</v>
      </c>
      <c r="AM727" t="b">
        <f>AND(IF(metadata!L727="",FALSE,TRUE),EXACT(metadata!L727,"human"))</f>
        <v>0</v>
      </c>
      <c r="AN727" t="b">
        <f>AND(IF(metadata!M727="",FALSE,TRUE),EXACT(metadata!M727,"Homo sapiens"))</f>
        <v>0</v>
      </c>
      <c r="AO727" t="b">
        <f>AND(IF(metadata!N727="",FALSE,TRUE),EXACT(metadata!N727,"9606"))</f>
        <v>0</v>
      </c>
      <c r="AP727" t="b">
        <f>IF(metadata!O727="",FALSE,TRUE)</f>
        <v>0</v>
      </c>
      <c r="AQ727" t="b">
        <f>IF(metadata!P727="",FALSE,TRUE)</f>
        <v>0</v>
      </c>
      <c r="AR727" t="b">
        <f>IF(metadata!Q727="",FALSE,ISNUMBER(VALUE(metadata!Q727)))</f>
        <v>0</v>
      </c>
      <c r="AS727" t="b">
        <f>AND(IF(metadata!R727="",FALSE,TRUE),EXACT(metadata!R727,"kg"))</f>
        <v>0</v>
      </c>
    </row>
    <row r="728" spans="1:45" x14ac:dyDescent="0.2">
      <c r="A728" s="5" t="str">
        <f ca="1">IF(B728=" "," ",HYPERLINK(CONCATENATE("#metadata!",ADDRESS(INDEX($X$2:$X$1001,MATCH(ROWS($V$2:V728),$V$2:$V$1001,0),0),1)),INDEX($AA$2:$AA$1001,MATCH(ROWS($V$2:V728),$V$2:$V$1001,0),0)))</f>
        <v xml:space="preserve"> </v>
      </c>
      <c r="B728" s="4" t="str">
        <f ca="1">IF(OR(INDEX($W$2:$W$1001,MATCH(ROWS($V$2:V728),$V$2:$V$1001,0),1)&gt;=100000,INDEX($AC$1005:$AS$1005,1,MATCH(COLUMNS($AC$1006:AC1006),$AC$1006:$AS$1006,0))&gt;=100000), " ",IF(INDEX($AC$2:$AS$1001,MATCH(ROWS($V$2:V728),$V$2:$V$1001,0),MATCH(COLUMNS($AC$1006:AC1006),$AC$1006:$AS$1006,0)), HYPERLINK("#",""), HYPERLINK(CONCATENATE("#metadata!", ADDRESS(INDEX($X$2:$X$1001,MATCH(ROWS($V$2:V728),$V$2:$V$1001,0),0), INDEX($AC$1004:$AS$1004,1,MATCH(COLUMNS($AC$1006:AC1006),$AC$1006:$AS$1006,0)))),"Fix")))</f>
        <v xml:space="preserve"> </v>
      </c>
      <c r="C728" s="4" t="str">
        <f ca="1">IF(OR(INDEX($W$2:$W$1001,MATCH(ROWS($V$2:V728),$V$2:$V$1001,0),1)&gt;=100000,INDEX($AC$1005:$AS$1005,1,MATCH(COLUMNS($AC$1006:AD1006),$AC$1006:$AS$1006,0))&gt;=100000), " ",IF(INDEX($AC$2:$AS$1001,MATCH(ROWS($V$2:V728),$V$2:$V$1001,0),MATCH(COLUMNS($AC$1006:AD1006),$AC$1006:$AS$1006,0)), HYPERLINK("#",""), HYPERLINK(CONCATENATE("#metadata!", ADDRESS(INDEX($X$2:$X$1001,MATCH(ROWS($V$2:V728),$V$2:$V$1001,0),0), INDEX($AC$1004:$AS$1004,1,MATCH(COLUMNS($AC$1006:AD1006),$AC$1006:$AS$1006,0)))),"Fix")))</f>
        <v xml:space="preserve"> </v>
      </c>
      <c r="D728" s="4" t="str">
        <f ca="1">IF(OR(INDEX($W$2:$W$1001,MATCH(ROWS($V$2:V728),$V$2:$V$1001,0),1)&gt;=100000,INDEX($AC$1005:$AS$1005,1,MATCH(COLUMNS($AC$1006:AE1006),$AC$1006:$AS$1006,0))&gt;=100000), " ",IF(INDEX($AC$2:$AS$1001,MATCH(ROWS($V$2:V728),$V$2:$V$1001,0),MATCH(COLUMNS($AC$1006:AE1006),$AC$1006:$AS$1006,0)), HYPERLINK("#",""), HYPERLINK(CONCATENATE("#metadata!", ADDRESS(INDEX($X$2:$X$1001,MATCH(ROWS($V$2:V728),$V$2:$V$1001,0),0), INDEX($AC$1004:$AS$1004,1,MATCH(COLUMNS($AC$1006:AE1006),$AC$1006:$AS$1006,0)))),"Fix")))</f>
        <v xml:space="preserve"> </v>
      </c>
      <c r="E728" s="4" t="str">
        <f ca="1">IF(OR(INDEX($W$2:$W$1001,MATCH(ROWS($V$2:V728),$V$2:$V$1001,0),1)&gt;=100000,INDEX($AC$1005:$AS$1005,1,MATCH(COLUMNS($AC$1006:AF1006),$AC$1006:$AS$1006,0))&gt;=100000), " ",IF(INDEX($AC$2:$AS$1001,MATCH(ROWS($V$2:V728),$V$2:$V$1001,0),MATCH(COLUMNS($AC$1006:AF1006),$AC$1006:$AS$1006,0)), HYPERLINK("#",""), HYPERLINK(CONCATENATE("#metadata!", ADDRESS(INDEX($X$2:$X$1001,MATCH(ROWS($V$2:V728),$V$2:$V$1001,0),0), INDEX($AC$1004:$AS$1004,1,MATCH(COLUMNS($AC$1006:AF1006),$AC$1006:$AS$1006,0)))),"Fix")))</f>
        <v xml:space="preserve"> </v>
      </c>
      <c r="F728" s="4" t="str">
        <f ca="1">IF(OR(INDEX($W$2:$W$1001,MATCH(ROWS($V$2:V728),$V$2:$V$1001,0),1)&gt;=100000,INDEX($AC$1005:$AS$1005,1,MATCH(COLUMNS($AC$1006:AG1006),$AC$1006:$AS$1006,0))&gt;=100000), " ",IF(INDEX($AC$2:$AS$1001,MATCH(ROWS($V$2:V728),$V$2:$V$1001,0),MATCH(COLUMNS($AC$1006:AG1006),$AC$1006:$AS$1006,0)), HYPERLINK("#",""), HYPERLINK(CONCATENATE("#metadata!", ADDRESS(INDEX($X$2:$X$1001,MATCH(ROWS($V$2:V728),$V$2:$V$1001,0),0), INDEX($AC$1004:$AS$1004,1,MATCH(COLUMNS($AC$1006:AG1006),$AC$1006:$AS$1006,0)))),"Fix")))</f>
        <v xml:space="preserve"> </v>
      </c>
      <c r="G728" s="4" t="str">
        <f ca="1">IF(OR(INDEX($W$2:$W$1001,MATCH(ROWS($V$2:V728),$V$2:$V$1001,0),1)&gt;=100000,INDEX($AC$1005:$AS$1005,1,MATCH(COLUMNS($AC$1006:AH1006),$AC$1006:$AS$1006,0))&gt;=100000), " ",IF(INDEX($AC$2:$AS$1001,MATCH(ROWS($V$2:V728),$V$2:$V$1001,0),MATCH(COLUMNS($AC$1006:AH1006),$AC$1006:$AS$1006,0)), HYPERLINK("#",""), HYPERLINK(CONCATENATE("#metadata!", ADDRESS(INDEX($X$2:$X$1001,MATCH(ROWS($V$2:V728),$V$2:$V$1001,0),0), INDEX($AC$1004:$AS$1004,1,MATCH(COLUMNS($AC$1006:AH1006),$AC$1006:$AS$1006,0)))),"Fix")))</f>
        <v xml:space="preserve"> </v>
      </c>
      <c r="H728" s="4" t="str">
        <f ca="1">IF(OR(INDEX($W$2:$W$1001,MATCH(ROWS($V$2:V728),$V$2:$V$1001,0),1)&gt;=100000,INDEX($AC$1005:$AS$1005,1,MATCH(COLUMNS($AC$1006:AI1006),$AC$1006:$AS$1006,0))&gt;=100000), " ",IF(INDEX($AC$2:$AS$1001,MATCH(ROWS($V$2:V728),$V$2:$V$1001,0),MATCH(COLUMNS($AC$1006:AI1006),$AC$1006:$AS$1006,0)), HYPERLINK("#",""), HYPERLINK(CONCATENATE("#metadata!", ADDRESS(INDEX($X$2:$X$1001,MATCH(ROWS($V$2:V728),$V$2:$V$1001,0),0), INDEX($AC$1004:$AS$1004,1,MATCH(COLUMNS($AC$1006:AI1006),$AC$1006:$AS$1006,0)))),"Fix")))</f>
        <v xml:space="preserve"> </v>
      </c>
      <c r="I728" s="4" t="str">
        <f ca="1">IF(OR(INDEX($W$2:$W$1001,MATCH(ROWS($V$2:V728),$V$2:$V$1001,0),1)&gt;=100000,INDEX($AC$1005:$AS$1005,1,MATCH(COLUMNS($AC$1006:AJ1006),$AC$1006:$AS$1006,0))&gt;=100000), " ",IF(INDEX($AC$2:$AS$1001,MATCH(ROWS($V$2:V728),$V$2:$V$1001,0),MATCH(COLUMNS($AC$1006:AJ1006),$AC$1006:$AS$1006,0)), HYPERLINK("#",""), HYPERLINK(CONCATENATE("#metadata!", ADDRESS(INDEX($X$2:$X$1001,MATCH(ROWS($V$2:V728),$V$2:$V$1001,0),0), INDEX($AC$1004:$AS$1004,1,MATCH(COLUMNS($AC$1006:AJ1006),$AC$1006:$AS$1006,0)))),"Fix")))</f>
        <v xml:space="preserve"> </v>
      </c>
      <c r="J728" s="4" t="str">
        <f ca="1">IF(OR(INDEX($W$2:$W$1001,MATCH(ROWS($V$2:V728),$V$2:$V$1001,0),1)&gt;=100000,INDEX($AC$1005:$AS$1005,1,MATCH(COLUMNS($AC$1006:AK1006),$AC$1006:$AS$1006,0))&gt;=100000), " ",IF(INDEX($AC$2:$AS$1001,MATCH(ROWS($V$2:V728),$V$2:$V$1001,0),MATCH(COLUMNS($AC$1006:AK1006),$AC$1006:$AS$1006,0)), HYPERLINK("#",""), HYPERLINK(CONCATENATE("#metadata!", ADDRESS(INDEX($X$2:$X$1001,MATCH(ROWS($V$2:V728),$V$2:$V$1001,0),0), INDEX($AC$1004:$AS$1004,1,MATCH(COLUMNS($AC$1006:AK1006),$AC$1006:$AS$1006,0)))),"Fix")))</f>
        <v xml:space="preserve"> </v>
      </c>
      <c r="K728" s="4" t="str">
        <f ca="1">IF(OR(INDEX($W$2:$W$1001,MATCH(ROWS($V$2:V728),$V$2:$V$1001,0),1)&gt;=100000,INDEX($AC$1005:$AS$1005,1,MATCH(COLUMNS($AC$1006:AL1006),$AC$1006:$AS$1006,0))&gt;=100000), " ",IF(INDEX($AC$2:$AS$1001,MATCH(ROWS($V$2:V728),$V$2:$V$1001,0),MATCH(COLUMNS($AC$1006:AL1006),$AC$1006:$AS$1006,0)), HYPERLINK("#",""), HYPERLINK(CONCATENATE("#metadata!", ADDRESS(INDEX($X$2:$X$1001,MATCH(ROWS($V$2:V728),$V$2:$V$1001,0),0), INDEX($AC$1004:$AS$1004,1,MATCH(COLUMNS($AC$1006:AL1006),$AC$1006:$AS$1006,0)))),"Fix")))</f>
        <v xml:space="preserve"> </v>
      </c>
      <c r="L728" s="4" t="str">
        <f ca="1">IF(OR(INDEX($W$2:$W$1001,MATCH(ROWS($V$2:V728),$V$2:$V$1001,0),1)&gt;=100000,INDEX($AC$1005:$AS$1005,1,MATCH(COLUMNS($AC$1006:AM1006),$AC$1006:$AS$1006,0))&gt;=100000), " ",IF(INDEX($AC$2:$AS$1001,MATCH(ROWS($V$2:V728),$V$2:$V$1001,0),MATCH(COLUMNS($AC$1006:AM1006),$AC$1006:$AS$1006,0)), HYPERLINK("#",""), HYPERLINK(CONCATENATE("#metadata!", ADDRESS(INDEX($X$2:$X$1001,MATCH(ROWS($V$2:V728),$V$2:$V$1001,0),0), INDEX($AC$1004:$AS$1004,1,MATCH(COLUMNS($AC$1006:AM1006),$AC$1006:$AS$1006,0)))),"Fix")))</f>
        <v xml:space="preserve"> </v>
      </c>
      <c r="M728" s="4" t="str">
        <f ca="1">IF(OR(INDEX($W$2:$W$1001,MATCH(ROWS($V$2:V728),$V$2:$V$1001,0),1)&gt;=100000,INDEX($AC$1005:$AS$1005,1,MATCH(COLUMNS($AC$1006:AN1006),$AC$1006:$AS$1006,0))&gt;=100000), " ",IF(INDEX($AC$2:$AS$1001,MATCH(ROWS($V$2:V728),$V$2:$V$1001,0),MATCH(COLUMNS($AC$1006:AN1006),$AC$1006:$AS$1006,0)), HYPERLINK("#",""), HYPERLINK(CONCATENATE("#metadata!", ADDRESS(INDEX($X$2:$X$1001,MATCH(ROWS($V$2:V728),$V$2:$V$1001,0),0), INDEX($AC$1004:$AS$1004,1,MATCH(COLUMNS($AC$1006:AN1006),$AC$1006:$AS$1006,0)))),"Fix")))</f>
        <v xml:space="preserve"> </v>
      </c>
      <c r="N728" s="4" t="str">
        <f ca="1">IF(OR(INDEX($W$2:$W$1001,MATCH(ROWS($V$2:V728),$V$2:$V$1001,0),1)&gt;=100000,INDEX($AC$1005:$AS$1005,1,MATCH(COLUMNS($AC$1006:AO1006),$AC$1006:$AS$1006,0))&gt;=100000), " ",IF(INDEX($AC$2:$AS$1001,MATCH(ROWS($V$2:V728),$V$2:$V$1001,0),MATCH(COLUMNS($AC$1006:AO1006),$AC$1006:$AS$1006,0)), HYPERLINK("#",""), HYPERLINK(CONCATENATE("#metadata!", ADDRESS(INDEX($X$2:$X$1001,MATCH(ROWS($V$2:V728),$V$2:$V$1001,0),0), INDEX($AC$1004:$AS$1004,1,MATCH(COLUMNS($AC$1006:AO1006),$AC$1006:$AS$1006,0)))),"Fix")))</f>
        <v xml:space="preserve"> </v>
      </c>
      <c r="O728" s="4" t="str">
        <f ca="1">IF(OR(INDEX($W$2:$W$1001,MATCH(ROWS($V$2:V728),$V$2:$V$1001,0),1)&gt;=100000,INDEX($AC$1005:$AS$1005,1,MATCH(COLUMNS($AC$1006:AP1006),$AC$1006:$AS$1006,0))&gt;=100000), " ",IF(INDEX($AC$2:$AS$1001,MATCH(ROWS($V$2:V728),$V$2:$V$1001,0),MATCH(COLUMNS($AC$1006:AP1006),$AC$1006:$AS$1006,0)), HYPERLINK("#",""), HYPERLINK(CONCATENATE("#metadata!", ADDRESS(INDEX($X$2:$X$1001,MATCH(ROWS($V$2:V728),$V$2:$V$1001,0),0), INDEX($AC$1004:$AS$1004,1,MATCH(COLUMNS($AC$1006:AP1006),$AC$1006:$AS$1006,0)))),"Fix")))</f>
        <v xml:space="preserve"> </v>
      </c>
      <c r="P728" s="4" t="str">
        <f ca="1">IF(OR(INDEX($W$2:$W$1001,MATCH(ROWS($V$2:V728),$V$2:$V$1001,0),1)&gt;=100000,INDEX($AC$1005:$AS$1005,1,MATCH(COLUMNS($AC$1006:AQ1006),$AC$1006:$AS$1006,0))&gt;=100000), " ",IF(INDEX($AC$2:$AS$1001,MATCH(ROWS($V$2:V728),$V$2:$V$1001,0),MATCH(COLUMNS($AC$1006:AQ1006),$AC$1006:$AS$1006,0)), HYPERLINK("#",""), HYPERLINK(CONCATENATE("#metadata!", ADDRESS(INDEX($X$2:$X$1001,MATCH(ROWS($V$2:V728),$V$2:$V$1001,0),0), INDEX($AC$1004:$AS$1004,1,MATCH(COLUMNS($AC$1006:AQ1006),$AC$1006:$AS$1006,0)))),"Fix")))</f>
        <v xml:space="preserve"> </v>
      </c>
      <c r="Q728" s="4" t="str">
        <f ca="1">IF(OR(INDEX($W$2:$W$1001,MATCH(ROWS($V$2:V728),$V$2:$V$1001,0),1)&gt;=100000,INDEX($AC$1005:$AS$1005,1,MATCH(COLUMNS($AC$1006:AR1006),$AC$1006:$AS$1006,0))&gt;=100000), " ",IF(INDEX($AC$2:$AS$1001,MATCH(ROWS($V$2:V728),$V$2:$V$1001,0),MATCH(COLUMNS($AC$1006:AR1006),$AC$1006:$AS$1006,0)), HYPERLINK("#",""), HYPERLINK(CONCATENATE("#metadata!", ADDRESS(INDEX($X$2:$X$1001,MATCH(ROWS($V$2:V728),$V$2:$V$1001,0),0), INDEX($AC$1004:$AS$1004,1,MATCH(COLUMNS($AC$1006:AR1006),$AC$1006:$AS$1006,0)))),"Fix")))</f>
        <v xml:space="preserve"> </v>
      </c>
      <c r="R728" s="4" t="str">
        <f ca="1">IF(OR(INDEX($W$2:$W$1001,MATCH(ROWS($V$2:V728),$V$2:$V$1001,0),1)&gt;=100000,INDEX($AC$1005:$AS$1005,1,MATCH(COLUMNS($AC$1006:AS1006),$AC$1006:$AS$1006,0))&gt;=100000), " ",IF(INDEX($AC$2:$AS$1001,MATCH(ROWS($V$2:V728),$V$2:$V$1001,0),MATCH(COLUMNS($AC$1006:AS1006),$AC$1006:$AS$1006,0)), HYPERLINK("#",""), HYPERLINK(CONCATENATE("#metadata!", ADDRESS(INDEX($X$2:$X$1001,MATCH(ROWS($V$2:V728),$V$2:$V$1001,0),0), INDEX($AC$1004:$AS$1004,1,MATCH(COLUMNS($AC$1006:AS1006),$AC$1006:$AS$1006,0)))),"Fix")))</f>
        <v xml:space="preserve"> </v>
      </c>
      <c r="V728">
        <v>727</v>
      </c>
      <c r="W728">
        <v>100728</v>
      </c>
      <c r="X728">
        <v>728</v>
      </c>
      <c r="Y728" t="b">
        <f t="shared" si="11"/>
        <v>1</v>
      </c>
      <c r="Z728" t="b">
        <f>COUNTBLANK(metadata!B728:R728)=COLUMNS(metadata!B728:R728)</f>
        <v>1</v>
      </c>
      <c r="AA728" t="str">
        <v/>
      </c>
      <c r="AC728" t="b">
        <f ca="1"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AD728" t="b">
        <f>IF(metadata!C728="",FALSE,ISNUMBER(VALUE(metadata!C728)))</f>
        <v>0</v>
      </c>
      <c r="AE728" t="b">
        <f>AND(IF(metadata!D728="",FALSE,TRUE),EXACT(metadata!D728,"years"))</f>
        <v>0</v>
      </c>
      <c r="AF728" t="b">
        <f>OR(AND(IF(metadata!E728="",FALSE,TRUE),OR(EXACT(metadata!E728,"not applicable"),EXACT(metadata!E728,"missing: not collected"),EXACT(metadata!E728,"missing: not provided"),EXACT(metadata!E728,"missing: restricted access"))),AND(IF(metadata!E728="",FALSE,ISNUMBER(VALUE(metadata!E728))),metadata!E728&gt;0))</f>
        <v>0</v>
      </c>
      <c r="AG728" t="b">
        <f>AND(IF(metadata!F728="",FALSE,TRUE),EXACT(metadata!F728,"Not applicable"))</f>
        <v>0</v>
      </c>
      <c r="AH728" t="b">
        <f>AND(IF(metadata!G728="",FALSE,TRUE),EXACT(metadata!G728,"urban biome"))</f>
        <v>0</v>
      </c>
      <c r="AI728" t="b">
        <f>AND(IF(metadata!H728="",FALSE,TRUE),EXACT(metadata!H728,"human-associated habitat"))</f>
        <v>0</v>
      </c>
      <c r="AJ728" t="b">
        <f>AND(IF(metadata!I728="",FALSE,TRUE),OR(EXACT(metadata!I728,"human-associated"),EXACT(metadata!I728,"human-skin"),EXACT(metadata!I728,"human-oral"),EXACT(metadata!I728,"human-gut"),EXACT(metadata!I728,"human-vaginal")))</f>
        <v>0</v>
      </c>
      <c r="AK728" t="b">
        <f>IF(metadata!J728="",FALSE,ISNUMBER(VALUE(metadata!J728)))</f>
        <v>0</v>
      </c>
      <c r="AL728" t="b">
        <f>AND(IF(metadata!K728="",FALSE,TRUE),EXACT(metadata!K728,"cm"))</f>
        <v>0</v>
      </c>
      <c r="AM728" t="b">
        <f>AND(IF(metadata!L728="",FALSE,TRUE),EXACT(metadata!L728,"human"))</f>
        <v>0</v>
      </c>
      <c r="AN728" t="b">
        <f>AND(IF(metadata!M728="",FALSE,TRUE),EXACT(metadata!M728,"Homo sapiens"))</f>
        <v>0</v>
      </c>
      <c r="AO728" t="b">
        <f>AND(IF(metadata!N728="",FALSE,TRUE),EXACT(metadata!N728,"9606"))</f>
        <v>0</v>
      </c>
      <c r="AP728" t="b">
        <f>IF(metadata!O728="",FALSE,TRUE)</f>
        <v>0</v>
      </c>
      <c r="AQ728" t="b">
        <f>IF(metadata!P728="",FALSE,TRUE)</f>
        <v>0</v>
      </c>
      <c r="AR728" t="b">
        <f>IF(metadata!Q728="",FALSE,ISNUMBER(VALUE(metadata!Q728)))</f>
        <v>0</v>
      </c>
      <c r="AS728" t="b">
        <f>AND(IF(metadata!R728="",FALSE,TRUE),EXACT(metadata!R728,"kg"))</f>
        <v>0</v>
      </c>
    </row>
    <row r="729" spans="1:45" x14ac:dyDescent="0.2">
      <c r="A729" s="5" t="str">
        <f ca="1">IF(B729=" "," ",HYPERLINK(CONCATENATE("#metadata!",ADDRESS(INDEX($X$2:$X$1001,MATCH(ROWS($V$2:V729),$V$2:$V$1001,0),0),1)),INDEX($AA$2:$AA$1001,MATCH(ROWS($V$2:V729),$V$2:$V$1001,0),0)))</f>
        <v xml:space="preserve"> </v>
      </c>
      <c r="B729" s="4" t="str">
        <f ca="1">IF(OR(INDEX($W$2:$W$1001,MATCH(ROWS($V$2:V729),$V$2:$V$1001,0),1)&gt;=100000,INDEX($AC$1005:$AS$1005,1,MATCH(COLUMNS($AC$1006:AC1006),$AC$1006:$AS$1006,0))&gt;=100000), " ",IF(INDEX($AC$2:$AS$1001,MATCH(ROWS($V$2:V729),$V$2:$V$1001,0),MATCH(COLUMNS($AC$1006:AC1006),$AC$1006:$AS$1006,0)), HYPERLINK("#",""), HYPERLINK(CONCATENATE("#metadata!", ADDRESS(INDEX($X$2:$X$1001,MATCH(ROWS($V$2:V729),$V$2:$V$1001,0),0), INDEX($AC$1004:$AS$1004,1,MATCH(COLUMNS($AC$1006:AC1006),$AC$1006:$AS$1006,0)))),"Fix")))</f>
        <v xml:space="preserve"> </v>
      </c>
      <c r="C729" s="4" t="str">
        <f ca="1">IF(OR(INDEX($W$2:$W$1001,MATCH(ROWS($V$2:V729),$V$2:$V$1001,0),1)&gt;=100000,INDEX($AC$1005:$AS$1005,1,MATCH(COLUMNS($AC$1006:AD1006),$AC$1006:$AS$1006,0))&gt;=100000), " ",IF(INDEX($AC$2:$AS$1001,MATCH(ROWS($V$2:V729),$V$2:$V$1001,0),MATCH(COLUMNS($AC$1006:AD1006),$AC$1006:$AS$1006,0)), HYPERLINK("#",""), HYPERLINK(CONCATENATE("#metadata!", ADDRESS(INDEX($X$2:$X$1001,MATCH(ROWS($V$2:V729),$V$2:$V$1001,0),0), INDEX($AC$1004:$AS$1004,1,MATCH(COLUMNS($AC$1006:AD1006),$AC$1006:$AS$1006,0)))),"Fix")))</f>
        <v xml:space="preserve"> </v>
      </c>
      <c r="D729" s="4" t="str">
        <f ca="1">IF(OR(INDEX($W$2:$W$1001,MATCH(ROWS($V$2:V729),$V$2:$V$1001,0),1)&gt;=100000,INDEX($AC$1005:$AS$1005,1,MATCH(COLUMNS($AC$1006:AE1006),$AC$1006:$AS$1006,0))&gt;=100000), " ",IF(INDEX($AC$2:$AS$1001,MATCH(ROWS($V$2:V729),$V$2:$V$1001,0),MATCH(COLUMNS($AC$1006:AE1006),$AC$1006:$AS$1006,0)), HYPERLINK("#",""), HYPERLINK(CONCATENATE("#metadata!", ADDRESS(INDEX($X$2:$X$1001,MATCH(ROWS($V$2:V729),$V$2:$V$1001,0),0), INDEX($AC$1004:$AS$1004,1,MATCH(COLUMNS($AC$1006:AE1006),$AC$1006:$AS$1006,0)))),"Fix")))</f>
        <v xml:space="preserve"> </v>
      </c>
      <c r="E729" s="4" t="str">
        <f ca="1">IF(OR(INDEX($W$2:$W$1001,MATCH(ROWS($V$2:V729),$V$2:$V$1001,0),1)&gt;=100000,INDEX($AC$1005:$AS$1005,1,MATCH(COLUMNS($AC$1006:AF1006),$AC$1006:$AS$1006,0))&gt;=100000), " ",IF(INDEX($AC$2:$AS$1001,MATCH(ROWS($V$2:V729),$V$2:$V$1001,0),MATCH(COLUMNS($AC$1006:AF1006),$AC$1006:$AS$1006,0)), HYPERLINK("#",""), HYPERLINK(CONCATENATE("#metadata!", ADDRESS(INDEX($X$2:$X$1001,MATCH(ROWS($V$2:V729),$V$2:$V$1001,0),0), INDEX($AC$1004:$AS$1004,1,MATCH(COLUMNS($AC$1006:AF1006),$AC$1006:$AS$1006,0)))),"Fix")))</f>
        <v xml:space="preserve"> </v>
      </c>
      <c r="F729" s="4" t="str">
        <f ca="1">IF(OR(INDEX($W$2:$W$1001,MATCH(ROWS($V$2:V729),$V$2:$V$1001,0),1)&gt;=100000,INDEX($AC$1005:$AS$1005,1,MATCH(COLUMNS($AC$1006:AG1006),$AC$1006:$AS$1006,0))&gt;=100000), " ",IF(INDEX($AC$2:$AS$1001,MATCH(ROWS($V$2:V729),$V$2:$V$1001,0),MATCH(COLUMNS($AC$1006:AG1006),$AC$1006:$AS$1006,0)), HYPERLINK("#",""), HYPERLINK(CONCATENATE("#metadata!", ADDRESS(INDEX($X$2:$X$1001,MATCH(ROWS($V$2:V729),$V$2:$V$1001,0),0), INDEX($AC$1004:$AS$1004,1,MATCH(COLUMNS($AC$1006:AG1006),$AC$1006:$AS$1006,0)))),"Fix")))</f>
        <v xml:space="preserve"> </v>
      </c>
      <c r="G729" s="4" t="str">
        <f ca="1">IF(OR(INDEX($W$2:$W$1001,MATCH(ROWS($V$2:V729),$V$2:$V$1001,0),1)&gt;=100000,INDEX($AC$1005:$AS$1005,1,MATCH(COLUMNS($AC$1006:AH1006),$AC$1006:$AS$1006,0))&gt;=100000), " ",IF(INDEX($AC$2:$AS$1001,MATCH(ROWS($V$2:V729),$V$2:$V$1001,0),MATCH(COLUMNS($AC$1006:AH1006),$AC$1006:$AS$1006,0)), HYPERLINK("#",""), HYPERLINK(CONCATENATE("#metadata!", ADDRESS(INDEX($X$2:$X$1001,MATCH(ROWS($V$2:V729),$V$2:$V$1001,0),0), INDEX($AC$1004:$AS$1004,1,MATCH(COLUMNS($AC$1006:AH1006),$AC$1006:$AS$1006,0)))),"Fix")))</f>
        <v xml:space="preserve"> </v>
      </c>
      <c r="H729" s="4" t="str">
        <f ca="1">IF(OR(INDEX($W$2:$W$1001,MATCH(ROWS($V$2:V729),$V$2:$V$1001,0),1)&gt;=100000,INDEX($AC$1005:$AS$1005,1,MATCH(COLUMNS($AC$1006:AI1006),$AC$1006:$AS$1006,0))&gt;=100000), " ",IF(INDEX($AC$2:$AS$1001,MATCH(ROWS($V$2:V729),$V$2:$V$1001,0),MATCH(COLUMNS($AC$1006:AI1006),$AC$1006:$AS$1006,0)), HYPERLINK("#",""), HYPERLINK(CONCATENATE("#metadata!", ADDRESS(INDEX($X$2:$X$1001,MATCH(ROWS($V$2:V729),$V$2:$V$1001,0),0), INDEX($AC$1004:$AS$1004,1,MATCH(COLUMNS($AC$1006:AI1006),$AC$1006:$AS$1006,0)))),"Fix")))</f>
        <v xml:space="preserve"> </v>
      </c>
      <c r="I729" s="4" t="str">
        <f ca="1">IF(OR(INDEX($W$2:$W$1001,MATCH(ROWS($V$2:V729),$V$2:$V$1001,0),1)&gt;=100000,INDEX($AC$1005:$AS$1005,1,MATCH(COLUMNS($AC$1006:AJ1006),$AC$1006:$AS$1006,0))&gt;=100000), " ",IF(INDEX($AC$2:$AS$1001,MATCH(ROWS($V$2:V729),$V$2:$V$1001,0),MATCH(COLUMNS($AC$1006:AJ1006),$AC$1006:$AS$1006,0)), HYPERLINK("#",""), HYPERLINK(CONCATENATE("#metadata!", ADDRESS(INDEX($X$2:$X$1001,MATCH(ROWS($V$2:V729),$V$2:$V$1001,0),0), INDEX($AC$1004:$AS$1004,1,MATCH(COLUMNS($AC$1006:AJ1006),$AC$1006:$AS$1006,0)))),"Fix")))</f>
        <v xml:space="preserve"> </v>
      </c>
      <c r="J729" s="4" t="str">
        <f ca="1">IF(OR(INDEX($W$2:$W$1001,MATCH(ROWS($V$2:V729),$V$2:$V$1001,0),1)&gt;=100000,INDEX($AC$1005:$AS$1005,1,MATCH(COLUMNS($AC$1006:AK1006),$AC$1006:$AS$1006,0))&gt;=100000), " ",IF(INDEX($AC$2:$AS$1001,MATCH(ROWS($V$2:V729),$V$2:$V$1001,0),MATCH(COLUMNS($AC$1006:AK1006),$AC$1006:$AS$1006,0)), HYPERLINK("#",""), HYPERLINK(CONCATENATE("#metadata!", ADDRESS(INDEX($X$2:$X$1001,MATCH(ROWS($V$2:V729),$V$2:$V$1001,0),0), INDEX($AC$1004:$AS$1004,1,MATCH(COLUMNS($AC$1006:AK1006),$AC$1006:$AS$1006,0)))),"Fix")))</f>
        <v xml:space="preserve"> </v>
      </c>
      <c r="K729" s="4" t="str">
        <f ca="1">IF(OR(INDEX($W$2:$W$1001,MATCH(ROWS($V$2:V729),$V$2:$V$1001,0),1)&gt;=100000,INDEX($AC$1005:$AS$1005,1,MATCH(COLUMNS($AC$1006:AL1006),$AC$1006:$AS$1006,0))&gt;=100000), " ",IF(INDEX($AC$2:$AS$1001,MATCH(ROWS($V$2:V729),$V$2:$V$1001,0),MATCH(COLUMNS($AC$1006:AL1006),$AC$1006:$AS$1006,0)), HYPERLINK("#",""), HYPERLINK(CONCATENATE("#metadata!", ADDRESS(INDEX($X$2:$X$1001,MATCH(ROWS($V$2:V729),$V$2:$V$1001,0),0), INDEX($AC$1004:$AS$1004,1,MATCH(COLUMNS($AC$1006:AL1006),$AC$1006:$AS$1006,0)))),"Fix")))</f>
        <v xml:space="preserve"> </v>
      </c>
      <c r="L729" s="4" t="str">
        <f ca="1">IF(OR(INDEX($W$2:$W$1001,MATCH(ROWS($V$2:V729),$V$2:$V$1001,0),1)&gt;=100000,INDEX($AC$1005:$AS$1005,1,MATCH(COLUMNS($AC$1006:AM1006),$AC$1006:$AS$1006,0))&gt;=100000), " ",IF(INDEX($AC$2:$AS$1001,MATCH(ROWS($V$2:V729),$V$2:$V$1001,0),MATCH(COLUMNS($AC$1006:AM1006),$AC$1006:$AS$1006,0)), HYPERLINK("#",""), HYPERLINK(CONCATENATE("#metadata!", ADDRESS(INDEX($X$2:$X$1001,MATCH(ROWS($V$2:V729),$V$2:$V$1001,0),0), INDEX($AC$1004:$AS$1004,1,MATCH(COLUMNS($AC$1006:AM1006),$AC$1006:$AS$1006,0)))),"Fix")))</f>
        <v xml:space="preserve"> </v>
      </c>
      <c r="M729" s="4" t="str">
        <f ca="1">IF(OR(INDEX($W$2:$W$1001,MATCH(ROWS($V$2:V729),$V$2:$V$1001,0),1)&gt;=100000,INDEX($AC$1005:$AS$1005,1,MATCH(COLUMNS($AC$1006:AN1006),$AC$1006:$AS$1006,0))&gt;=100000), " ",IF(INDEX($AC$2:$AS$1001,MATCH(ROWS($V$2:V729),$V$2:$V$1001,0),MATCH(COLUMNS($AC$1006:AN1006),$AC$1006:$AS$1006,0)), HYPERLINK("#",""), HYPERLINK(CONCATENATE("#metadata!", ADDRESS(INDEX($X$2:$X$1001,MATCH(ROWS($V$2:V729),$V$2:$V$1001,0),0), INDEX($AC$1004:$AS$1004,1,MATCH(COLUMNS($AC$1006:AN1006),$AC$1006:$AS$1006,0)))),"Fix")))</f>
        <v xml:space="preserve"> </v>
      </c>
      <c r="N729" s="4" t="str">
        <f ca="1">IF(OR(INDEX($W$2:$W$1001,MATCH(ROWS($V$2:V729),$V$2:$V$1001,0),1)&gt;=100000,INDEX($AC$1005:$AS$1005,1,MATCH(COLUMNS($AC$1006:AO1006),$AC$1006:$AS$1006,0))&gt;=100000), " ",IF(INDEX($AC$2:$AS$1001,MATCH(ROWS($V$2:V729),$V$2:$V$1001,0),MATCH(COLUMNS($AC$1006:AO1006),$AC$1006:$AS$1006,0)), HYPERLINK("#",""), HYPERLINK(CONCATENATE("#metadata!", ADDRESS(INDEX($X$2:$X$1001,MATCH(ROWS($V$2:V729),$V$2:$V$1001,0),0), INDEX($AC$1004:$AS$1004,1,MATCH(COLUMNS($AC$1006:AO1006),$AC$1006:$AS$1006,0)))),"Fix")))</f>
        <v xml:space="preserve"> </v>
      </c>
      <c r="O729" s="4" t="str">
        <f ca="1">IF(OR(INDEX($W$2:$W$1001,MATCH(ROWS($V$2:V729),$V$2:$V$1001,0),1)&gt;=100000,INDEX($AC$1005:$AS$1005,1,MATCH(COLUMNS($AC$1006:AP1006),$AC$1006:$AS$1006,0))&gt;=100000), " ",IF(INDEX($AC$2:$AS$1001,MATCH(ROWS($V$2:V729),$V$2:$V$1001,0),MATCH(COLUMNS($AC$1006:AP1006),$AC$1006:$AS$1006,0)), HYPERLINK("#",""), HYPERLINK(CONCATENATE("#metadata!", ADDRESS(INDEX($X$2:$X$1001,MATCH(ROWS($V$2:V729),$V$2:$V$1001,0),0), INDEX($AC$1004:$AS$1004,1,MATCH(COLUMNS($AC$1006:AP1006),$AC$1006:$AS$1006,0)))),"Fix")))</f>
        <v xml:space="preserve"> </v>
      </c>
      <c r="P729" s="4" t="str">
        <f ca="1">IF(OR(INDEX($W$2:$W$1001,MATCH(ROWS($V$2:V729),$V$2:$V$1001,0),1)&gt;=100000,INDEX($AC$1005:$AS$1005,1,MATCH(COLUMNS($AC$1006:AQ1006),$AC$1006:$AS$1006,0))&gt;=100000), " ",IF(INDEX($AC$2:$AS$1001,MATCH(ROWS($V$2:V729),$V$2:$V$1001,0),MATCH(COLUMNS($AC$1006:AQ1006),$AC$1006:$AS$1006,0)), HYPERLINK("#",""), HYPERLINK(CONCATENATE("#metadata!", ADDRESS(INDEX($X$2:$X$1001,MATCH(ROWS($V$2:V729),$V$2:$V$1001,0),0), INDEX($AC$1004:$AS$1004,1,MATCH(COLUMNS($AC$1006:AQ1006),$AC$1006:$AS$1006,0)))),"Fix")))</f>
        <v xml:space="preserve"> </v>
      </c>
      <c r="Q729" s="4" t="str">
        <f ca="1">IF(OR(INDEX($W$2:$W$1001,MATCH(ROWS($V$2:V729),$V$2:$V$1001,0),1)&gt;=100000,INDEX($AC$1005:$AS$1005,1,MATCH(COLUMNS($AC$1006:AR1006),$AC$1006:$AS$1006,0))&gt;=100000), " ",IF(INDEX($AC$2:$AS$1001,MATCH(ROWS($V$2:V729),$V$2:$V$1001,0),MATCH(COLUMNS($AC$1006:AR1006),$AC$1006:$AS$1006,0)), HYPERLINK("#",""), HYPERLINK(CONCATENATE("#metadata!", ADDRESS(INDEX($X$2:$X$1001,MATCH(ROWS($V$2:V729),$V$2:$V$1001,0),0), INDEX($AC$1004:$AS$1004,1,MATCH(COLUMNS($AC$1006:AR1006),$AC$1006:$AS$1006,0)))),"Fix")))</f>
        <v xml:space="preserve"> </v>
      </c>
      <c r="R729" s="4" t="str">
        <f ca="1">IF(OR(INDEX($W$2:$W$1001,MATCH(ROWS($V$2:V729),$V$2:$V$1001,0),1)&gt;=100000,INDEX($AC$1005:$AS$1005,1,MATCH(COLUMNS($AC$1006:AS1006),$AC$1006:$AS$1006,0))&gt;=100000), " ",IF(INDEX($AC$2:$AS$1001,MATCH(ROWS($V$2:V729),$V$2:$V$1001,0),MATCH(COLUMNS($AC$1006:AS1006),$AC$1006:$AS$1006,0)), HYPERLINK("#",""), HYPERLINK(CONCATENATE("#metadata!", ADDRESS(INDEX($X$2:$X$1001,MATCH(ROWS($V$2:V729),$V$2:$V$1001,0),0), INDEX($AC$1004:$AS$1004,1,MATCH(COLUMNS($AC$1006:AS1006),$AC$1006:$AS$1006,0)))),"Fix")))</f>
        <v xml:space="preserve"> </v>
      </c>
      <c r="V729">
        <v>728</v>
      </c>
      <c r="W729">
        <v>100729</v>
      </c>
      <c r="X729">
        <v>729</v>
      </c>
      <c r="Y729" t="b">
        <f t="shared" si="11"/>
        <v>1</v>
      </c>
      <c r="Z729" t="b">
        <f>COUNTBLANK(metadata!B729:R729)=COLUMNS(metadata!B729:R729)</f>
        <v>1</v>
      </c>
      <c r="AA729" t="str">
        <v/>
      </c>
      <c r="AC729" t="b">
        <f ca="1"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AD729" t="b">
        <f>IF(metadata!C729="",FALSE,ISNUMBER(VALUE(metadata!C729)))</f>
        <v>0</v>
      </c>
      <c r="AE729" t="b">
        <f>AND(IF(metadata!D729="",FALSE,TRUE),EXACT(metadata!D729,"years"))</f>
        <v>0</v>
      </c>
      <c r="AF729" t="b">
        <f>OR(AND(IF(metadata!E729="",FALSE,TRUE),OR(EXACT(metadata!E729,"not applicable"),EXACT(metadata!E729,"missing: not collected"),EXACT(metadata!E729,"missing: not provided"),EXACT(metadata!E729,"missing: restricted access"))),AND(IF(metadata!E729="",FALSE,ISNUMBER(VALUE(metadata!E729))),metadata!E729&gt;0))</f>
        <v>0</v>
      </c>
      <c r="AG729" t="b">
        <f>AND(IF(metadata!F729="",FALSE,TRUE),EXACT(metadata!F729,"Not applicable"))</f>
        <v>0</v>
      </c>
      <c r="AH729" t="b">
        <f>AND(IF(metadata!G729="",FALSE,TRUE),EXACT(metadata!G729,"urban biome"))</f>
        <v>0</v>
      </c>
      <c r="AI729" t="b">
        <f>AND(IF(metadata!H729="",FALSE,TRUE),EXACT(metadata!H729,"human-associated habitat"))</f>
        <v>0</v>
      </c>
      <c r="AJ729" t="b">
        <f>AND(IF(metadata!I729="",FALSE,TRUE),OR(EXACT(metadata!I729,"human-associated"),EXACT(metadata!I729,"human-skin"),EXACT(metadata!I729,"human-oral"),EXACT(metadata!I729,"human-gut"),EXACT(metadata!I729,"human-vaginal")))</f>
        <v>0</v>
      </c>
      <c r="AK729" t="b">
        <f>IF(metadata!J729="",FALSE,ISNUMBER(VALUE(metadata!J729)))</f>
        <v>0</v>
      </c>
      <c r="AL729" t="b">
        <f>AND(IF(metadata!K729="",FALSE,TRUE),EXACT(metadata!K729,"cm"))</f>
        <v>0</v>
      </c>
      <c r="AM729" t="b">
        <f>AND(IF(metadata!L729="",FALSE,TRUE),EXACT(metadata!L729,"human"))</f>
        <v>0</v>
      </c>
      <c r="AN729" t="b">
        <f>AND(IF(metadata!M729="",FALSE,TRUE),EXACT(metadata!M729,"Homo sapiens"))</f>
        <v>0</v>
      </c>
      <c r="AO729" t="b">
        <f>AND(IF(metadata!N729="",FALSE,TRUE),EXACT(metadata!N729,"9606"))</f>
        <v>0</v>
      </c>
      <c r="AP729" t="b">
        <f>IF(metadata!O729="",FALSE,TRUE)</f>
        <v>0</v>
      </c>
      <c r="AQ729" t="b">
        <f>IF(metadata!P729="",FALSE,TRUE)</f>
        <v>0</v>
      </c>
      <c r="AR729" t="b">
        <f>IF(metadata!Q729="",FALSE,ISNUMBER(VALUE(metadata!Q729)))</f>
        <v>0</v>
      </c>
      <c r="AS729" t="b">
        <f>AND(IF(metadata!R729="",FALSE,TRUE),EXACT(metadata!R729,"kg"))</f>
        <v>0</v>
      </c>
    </row>
    <row r="730" spans="1:45" x14ac:dyDescent="0.2">
      <c r="A730" s="5" t="str">
        <f ca="1">IF(B730=" "," ",HYPERLINK(CONCATENATE("#metadata!",ADDRESS(INDEX($X$2:$X$1001,MATCH(ROWS($V$2:V730),$V$2:$V$1001,0),0),1)),INDEX($AA$2:$AA$1001,MATCH(ROWS($V$2:V730),$V$2:$V$1001,0),0)))</f>
        <v xml:space="preserve"> </v>
      </c>
      <c r="B730" s="4" t="str">
        <f ca="1">IF(OR(INDEX($W$2:$W$1001,MATCH(ROWS($V$2:V730),$V$2:$V$1001,0),1)&gt;=100000,INDEX($AC$1005:$AS$1005,1,MATCH(COLUMNS($AC$1006:AC1006),$AC$1006:$AS$1006,0))&gt;=100000), " ",IF(INDEX($AC$2:$AS$1001,MATCH(ROWS($V$2:V730),$V$2:$V$1001,0),MATCH(COLUMNS($AC$1006:AC1006),$AC$1006:$AS$1006,0)), HYPERLINK("#",""), HYPERLINK(CONCATENATE("#metadata!", ADDRESS(INDEX($X$2:$X$1001,MATCH(ROWS($V$2:V730),$V$2:$V$1001,0),0), INDEX($AC$1004:$AS$1004,1,MATCH(COLUMNS($AC$1006:AC1006),$AC$1006:$AS$1006,0)))),"Fix")))</f>
        <v xml:space="preserve"> </v>
      </c>
      <c r="C730" s="4" t="str">
        <f ca="1">IF(OR(INDEX($W$2:$W$1001,MATCH(ROWS($V$2:V730),$V$2:$V$1001,0),1)&gt;=100000,INDEX($AC$1005:$AS$1005,1,MATCH(COLUMNS($AC$1006:AD1006),$AC$1006:$AS$1006,0))&gt;=100000), " ",IF(INDEX($AC$2:$AS$1001,MATCH(ROWS($V$2:V730),$V$2:$V$1001,0),MATCH(COLUMNS($AC$1006:AD1006),$AC$1006:$AS$1006,0)), HYPERLINK("#",""), HYPERLINK(CONCATENATE("#metadata!", ADDRESS(INDEX($X$2:$X$1001,MATCH(ROWS($V$2:V730),$V$2:$V$1001,0),0), INDEX($AC$1004:$AS$1004,1,MATCH(COLUMNS($AC$1006:AD1006),$AC$1006:$AS$1006,0)))),"Fix")))</f>
        <v xml:space="preserve"> </v>
      </c>
      <c r="D730" s="4" t="str">
        <f ca="1">IF(OR(INDEX($W$2:$W$1001,MATCH(ROWS($V$2:V730),$V$2:$V$1001,0),1)&gt;=100000,INDEX($AC$1005:$AS$1005,1,MATCH(COLUMNS($AC$1006:AE1006),$AC$1006:$AS$1006,0))&gt;=100000), " ",IF(INDEX($AC$2:$AS$1001,MATCH(ROWS($V$2:V730),$V$2:$V$1001,0),MATCH(COLUMNS($AC$1006:AE1006),$AC$1006:$AS$1006,0)), HYPERLINK("#",""), HYPERLINK(CONCATENATE("#metadata!", ADDRESS(INDEX($X$2:$X$1001,MATCH(ROWS($V$2:V730),$V$2:$V$1001,0),0), INDEX($AC$1004:$AS$1004,1,MATCH(COLUMNS($AC$1006:AE1006),$AC$1006:$AS$1006,0)))),"Fix")))</f>
        <v xml:space="preserve"> </v>
      </c>
      <c r="E730" s="4" t="str">
        <f ca="1">IF(OR(INDEX($W$2:$W$1001,MATCH(ROWS($V$2:V730),$V$2:$V$1001,0),1)&gt;=100000,INDEX($AC$1005:$AS$1005,1,MATCH(COLUMNS($AC$1006:AF1006),$AC$1006:$AS$1006,0))&gt;=100000), " ",IF(INDEX($AC$2:$AS$1001,MATCH(ROWS($V$2:V730),$V$2:$V$1001,0),MATCH(COLUMNS($AC$1006:AF1006),$AC$1006:$AS$1006,0)), HYPERLINK("#",""), HYPERLINK(CONCATENATE("#metadata!", ADDRESS(INDEX($X$2:$X$1001,MATCH(ROWS($V$2:V730),$V$2:$V$1001,0),0), INDEX($AC$1004:$AS$1004,1,MATCH(COLUMNS($AC$1006:AF1006),$AC$1006:$AS$1006,0)))),"Fix")))</f>
        <v xml:space="preserve"> </v>
      </c>
      <c r="F730" s="4" t="str">
        <f ca="1">IF(OR(INDEX($W$2:$W$1001,MATCH(ROWS($V$2:V730),$V$2:$V$1001,0),1)&gt;=100000,INDEX($AC$1005:$AS$1005,1,MATCH(COLUMNS($AC$1006:AG1006),$AC$1006:$AS$1006,0))&gt;=100000), " ",IF(INDEX($AC$2:$AS$1001,MATCH(ROWS($V$2:V730),$V$2:$V$1001,0),MATCH(COLUMNS($AC$1006:AG1006),$AC$1006:$AS$1006,0)), HYPERLINK("#",""), HYPERLINK(CONCATENATE("#metadata!", ADDRESS(INDEX($X$2:$X$1001,MATCH(ROWS($V$2:V730),$V$2:$V$1001,0),0), INDEX($AC$1004:$AS$1004,1,MATCH(COLUMNS($AC$1006:AG1006),$AC$1006:$AS$1006,0)))),"Fix")))</f>
        <v xml:space="preserve"> </v>
      </c>
      <c r="G730" s="4" t="str">
        <f ca="1">IF(OR(INDEX($W$2:$W$1001,MATCH(ROWS($V$2:V730),$V$2:$V$1001,0),1)&gt;=100000,INDEX($AC$1005:$AS$1005,1,MATCH(COLUMNS($AC$1006:AH1006),$AC$1006:$AS$1006,0))&gt;=100000), " ",IF(INDEX($AC$2:$AS$1001,MATCH(ROWS($V$2:V730),$V$2:$V$1001,0),MATCH(COLUMNS($AC$1006:AH1006),$AC$1006:$AS$1006,0)), HYPERLINK("#",""), HYPERLINK(CONCATENATE("#metadata!", ADDRESS(INDEX($X$2:$X$1001,MATCH(ROWS($V$2:V730),$V$2:$V$1001,0),0), INDEX($AC$1004:$AS$1004,1,MATCH(COLUMNS($AC$1006:AH1006),$AC$1006:$AS$1006,0)))),"Fix")))</f>
        <v xml:space="preserve"> </v>
      </c>
      <c r="H730" s="4" t="str">
        <f ca="1">IF(OR(INDEX($W$2:$W$1001,MATCH(ROWS($V$2:V730),$V$2:$V$1001,0),1)&gt;=100000,INDEX($AC$1005:$AS$1005,1,MATCH(COLUMNS($AC$1006:AI1006),$AC$1006:$AS$1006,0))&gt;=100000), " ",IF(INDEX($AC$2:$AS$1001,MATCH(ROWS($V$2:V730),$V$2:$V$1001,0),MATCH(COLUMNS($AC$1006:AI1006),$AC$1006:$AS$1006,0)), HYPERLINK("#",""), HYPERLINK(CONCATENATE("#metadata!", ADDRESS(INDEX($X$2:$X$1001,MATCH(ROWS($V$2:V730),$V$2:$V$1001,0),0), INDEX($AC$1004:$AS$1004,1,MATCH(COLUMNS($AC$1006:AI1006),$AC$1006:$AS$1006,0)))),"Fix")))</f>
        <v xml:space="preserve"> </v>
      </c>
      <c r="I730" s="4" t="str">
        <f ca="1">IF(OR(INDEX($W$2:$W$1001,MATCH(ROWS($V$2:V730),$V$2:$V$1001,0),1)&gt;=100000,INDEX($AC$1005:$AS$1005,1,MATCH(COLUMNS($AC$1006:AJ1006),$AC$1006:$AS$1006,0))&gt;=100000), " ",IF(INDEX($AC$2:$AS$1001,MATCH(ROWS($V$2:V730),$V$2:$V$1001,0),MATCH(COLUMNS($AC$1006:AJ1006),$AC$1006:$AS$1006,0)), HYPERLINK("#",""), HYPERLINK(CONCATENATE("#metadata!", ADDRESS(INDEX($X$2:$X$1001,MATCH(ROWS($V$2:V730),$V$2:$V$1001,0),0), INDEX($AC$1004:$AS$1004,1,MATCH(COLUMNS($AC$1006:AJ1006),$AC$1006:$AS$1006,0)))),"Fix")))</f>
        <v xml:space="preserve"> </v>
      </c>
      <c r="J730" s="4" t="str">
        <f ca="1">IF(OR(INDEX($W$2:$W$1001,MATCH(ROWS($V$2:V730),$V$2:$V$1001,0),1)&gt;=100000,INDEX($AC$1005:$AS$1005,1,MATCH(COLUMNS($AC$1006:AK1006),$AC$1006:$AS$1006,0))&gt;=100000), " ",IF(INDEX($AC$2:$AS$1001,MATCH(ROWS($V$2:V730),$V$2:$V$1001,0),MATCH(COLUMNS($AC$1006:AK1006),$AC$1006:$AS$1006,0)), HYPERLINK("#",""), HYPERLINK(CONCATENATE("#metadata!", ADDRESS(INDEX($X$2:$X$1001,MATCH(ROWS($V$2:V730),$V$2:$V$1001,0),0), INDEX($AC$1004:$AS$1004,1,MATCH(COLUMNS($AC$1006:AK1006),$AC$1006:$AS$1006,0)))),"Fix")))</f>
        <v xml:space="preserve"> </v>
      </c>
      <c r="K730" s="4" t="str">
        <f ca="1">IF(OR(INDEX($W$2:$W$1001,MATCH(ROWS($V$2:V730),$V$2:$V$1001,0),1)&gt;=100000,INDEX($AC$1005:$AS$1005,1,MATCH(COLUMNS($AC$1006:AL1006),$AC$1006:$AS$1006,0))&gt;=100000), " ",IF(INDEX($AC$2:$AS$1001,MATCH(ROWS($V$2:V730),$V$2:$V$1001,0),MATCH(COLUMNS($AC$1006:AL1006),$AC$1006:$AS$1006,0)), HYPERLINK("#",""), HYPERLINK(CONCATENATE("#metadata!", ADDRESS(INDEX($X$2:$X$1001,MATCH(ROWS($V$2:V730),$V$2:$V$1001,0),0), INDEX($AC$1004:$AS$1004,1,MATCH(COLUMNS($AC$1006:AL1006),$AC$1006:$AS$1006,0)))),"Fix")))</f>
        <v xml:space="preserve"> </v>
      </c>
      <c r="L730" s="4" t="str">
        <f ca="1">IF(OR(INDEX($W$2:$W$1001,MATCH(ROWS($V$2:V730),$V$2:$V$1001,0),1)&gt;=100000,INDEX($AC$1005:$AS$1005,1,MATCH(COLUMNS($AC$1006:AM1006),$AC$1006:$AS$1006,0))&gt;=100000), " ",IF(INDEX($AC$2:$AS$1001,MATCH(ROWS($V$2:V730),$V$2:$V$1001,0),MATCH(COLUMNS($AC$1006:AM1006),$AC$1006:$AS$1006,0)), HYPERLINK("#",""), HYPERLINK(CONCATENATE("#metadata!", ADDRESS(INDEX($X$2:$X$1001,MATCH(ROWS($V$2:V730),$V$2:$V$1001,0),0), INDEX($AC$1004:$AS$1004,1,MATCH(COLUMNS($AC$1006:AM1006),$AC$1006:$AS$1006,0)))),"Fix")))</f>
        <v xml:space="preserve"> </v>
      </c>
      <c r="M730" s="4" t="str">
        <f ca="1">IF(OR(INDEX($W$2:$W$1001,MATCH(ROWS($V$2:V730),$V$2:$V$1001,0),1)&gt;=100000,INDEX($AC$1005:$AS$1005,1,MATCH(COLUMNS($AC$1006:AN1006),$AC$1006:$AS$1006,0))&gt;=100000), " ",IF(INDEX($AC$2:$AS$1001,MATCH(ROWS($V$2:V730),$V$2:$V$1001,0),MATCH(COLUMNS($AC$1006:AN1006),$AC$1006:$AS$1006,0)), HYPERLINK("#",""), HYPERLINK(CONCATENATE("#metadata!", ADDRESS(INDEX($X$2:$X$1001,MATCH(ROWS($V$2:V730),$V$2:$V$1001,0),0), INDEX($AC$1004:$AS$1004,1,MATCH(COLUMNS($AC$1006:AN1006),$AC$1006:$AS$1006,0)))),"Fix")))</f>
        <v xml:space="preserve"> </v>
      </c>
      <c r="N730" s="4" t="str">
        <f ca="1">IF(OR(INDEX($W$2:$W$1001,MATCH(ROWS($V$2:V730),$V$2:$V$1001,0),1)&gt;=100000,INDEX($AC$1005:$AS$1005,1,MATCH(COLUMNS($AC$1006:AO1006),$AC$1006:$AS$1006,0))&gt;=100000), " ",IF(INDEX($AC$2:$AS$1001,MATCH(ROWS($V$2:V730),$V$2:$V$1001,0),MATCH(COLUMNS($AC$1006:AO1006),$AC$1006:$AS$1006,0)), HYPERLINK("#",""), HYPERLINK(CONCATENATE("#metadata!", ADDRESS(INDEX($X$2:$X$1001,MATCH(ROWS($V$2:V730),$V$2:$V$1001,0),0), INDEX($AC$1004:$AS$1004,1,MATCH(COLUMNS($AC$1006:AO1006),$AC$1006:$AS$1006,0)))),"Fix")))</f>
        <v xml:space="preserve"> </v>
      </c>
      <c r="O730" s="4" t="str">
        <f ca="1">IF(OR(INDEX($W$2:$W$1001,MATCH(ROWS($V$2:V730),$V$2:$V$1001,0),1)&gt;=100000,INDEX($AC$1005:$AS$1005,1,MATCH(COLUMNS($AC$1006:AP1006),$AC$1006:$AS$1006,0))&gt;=100000), " ",IF(INDEX($AC$2:$AS$1001,MATCH(ROWS($V$2:V730),$V$2:$V$1001,0),MATCH(COLUMNS($AC$1006:AP1006),$AC$1006:$AS$1006,0)), HYPERLINK("#",""), HYPERLINK(CONCATENATE("#metadata!", ADDRESS(INDEX($X$2:$X$1001,MATCH(ROWS($V$2:V730),$V$2:$V$1001,0),0), INDEX($AC$1004:$AS$1004,1,MATCH(COLUMNS($AC$1006:AP1006),$AC$1006:$AS$1006,0)))),"Fix")))</f>
        <v xml:space="preserve"> </v>
      </c>
      <c r="P730" s="4" t="str">
        <f ca="1">IF(OR(INDEX($W$2:$W$1001,MATCH(ROWS($V$2:V730),$V$2:$V$1001,0),1)&gt;=100000,INDEX($AC$1005:$AS$1005,1,MATCH(COLUMNS($AC$1006:AQ1006),$AC$1006:$AS$1006,0))&gt;=100000), " ",IF(INDEX($AC$2:$AS$1001,MATCH(ROWS($V$2:V730),$V$2:$V$1001,0),MATCH(COLUMNS($AC$1006:AQ1006),$AC$1006:$AS$1006,0)), HYPERLINK("#",""), HYPERLINK(CONCATENATE("#metadata!", ADDRESS(INDEX($X$2:$X$1001,MATCH(ROWS($V$2:V730),$V$2:$V$1001,0),0), INDEX($AC$1004:$AS$1004,1,MATCH(COLUMNS($AC$1006:AQ1006),$AC$1006:$AS$1006,0)))),"Fix")))</f>
        <v xml:space="preserve"> </v>
      </c>
      <c r="Q730" s="4" t="str">
        <f ca="1">IF(OR(INDEX($W$2:$W$1001,MATCH(ROWS($V$2:V730),$V$2:$V$1001,0),1)&gt;=100000,INDEX($AC$1005:$AS$1005,1,MATCH(COLUMNS($AC$1006:AR1006),$AC$1006:$AS$1006,0))&gt;=100000), " ",IF(INDEX($AC$2:$AS$1001,MATCH(ROWS($V$2:V730),$V$2:$V$1001,0),MATCH(COLUMNS($AC$1006:AR1006),$AC$1006:$AS$1006,0)), HYPERLINK("#",""), HYPERLINK(CONCATENATE("#metadata!", ADDRESS(INDEX($X$2:$X$1001,MATCH(ROWS($V$2:V730),$V$2:$V$1001,0),0), INDEX($AC$1004:$AS$1004,1,MATCH(COLUMNS($AC$1006:AR1006),$AC$1006:$AS$1006,0)))),"Fix")))</f>
        <v xml:space="preserve"> </v>
      </c>
      <c r="R730" s="4" t="str">
        <f ca="1">IF(OR(INDEX($W$2:$W$1001,MATCH(ROWS($V$2:V730),$V$2:$V$1001,0),1)&gt;=100000,INDEX($AC$1005:$AS$1005,1,MATCH(COLUMNS($AC$1006:AS1006),$AC$1006:$AS$1006,0))&gt;=100000), " ",IF(INDEX($AC$2:$AS$1001,MATCH(ROWS($V$2:V730),$V$2:$V$1001,0),MATCH(COLUMNS($AC$1006:AS1006),$AC$1006:$AS$1006,0)), HYPERLINK("#",""), HYPERLINK(CONCATENATE("#metadata!", ADDRESS(INDEX($X$2:$X$1001,MATCH(ROWS($V$2:V730),$V$2:$V$1001,0),0), INDEX($AC$1004:$AS$1004,1,MATCH(COLUMNS($AC$1006:AS1006),$AC$1006:$AS$1006,0)))),"Fix")))</f>
        <v xml:space="preserve"> </v>
      </c>
      <c r="V730">
        <v>729</v>
      </c>
      <c r="W730">
        <v>100730</v>
      </c>
      <c r="X730">
        <v>730</v>
      </c>
      <c r="Y730" t="b">
        <f t="shared" si="11"/>
        <v>1</v>
      </c>
      <c r="Z730" t="b">
        <f>COUNTBLANK(metadata!B730:R730)=COLUMNS(metadata!B730:R730)</f>
        <v>1</v>
      </c>
      <c r="AA730" t="str">
        <v/>
      </c>
      <c r="AC730" t="b">
        <f ca="1"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AD730" t="b">
        <f>IF(metadata!C730="",FALSE,ISNUMBER(VALUE(metadata!C730)))</f>
        <v>0</v>
      </c>
      <c r="AE730" t="b">
        <f>AND(IF(metadata!D730="",FALSE,TRUE),EXACT(metadata!D730,"years"))</f>
        <v>0</v>
      </c>
      <c r="AF730" t="b">
        <f>OR(AND(IF(metadata!E730="",FALSE,TRUE),OR(EXACT(metadata!E730,"not applicable"),EXACT(metadata!E730,"missing: not collected"),EXACT(metadata!E730,"missing: not provided"),EXACT(metadata!E730,"missing: restricted access"))),AND(IF(metadata!E730="",FALSE,ISNUMBER(VALUE(metadata!E730))),metadata!E730&gt;0))</f>
        <v>0</v>
      </c>
      <c r="AG730" t="b">
        <f>AND(IF(metadata!F730="",FALSE,TRUE),EXACT(metadata!F730,"Not applicable"))</f>
        <v>0</v>
      </c>
      <c r="AH730" t="b">
        <f>AND(IF(metadata!G730="",FALSE,TRUE),EXACT(metadata!G730,"urban biome"))</f>
        <v>0</v>
      </c>
      <c r="AI730" t="b">
        <f>AND(IF(metadata!H730="",FALSE,TRUE),EXACT(metadata!H730,"human-associated habitat"))</f>
        <v>0</v>
      </c>
      <c r="AJ730" t="b">
        <f>AND(IF(metadata!I730="",FALSE,TRUE),OR(EXACT(metadata!I730,"human-associated"),EXACT(metadata!I730,"human-skin"),EXACT(metadata!I730,"human-oral"),EXACT(metadata!I730,"human-gut"),EXACT(metadata!I730,"human-vaginal")))</f>
        <v>0</v>
      </c>
      <c r="AK730" t="b">
        <f>IF(metadata!J730="",FALSE,ISNUMBER(VALUE(metadata!J730)))</f>
        <v>0</v>
      </c>
      <c r="AL730" t="b">
        <f>AND(IF(metadata!K730="",FALSE,TRUE),EXACT(metadata!K730,"cm"))</f>
        <v>0</v>
      </c>
      <c r="AM730" t="b">
        <f>AND(IF(metadata!L730="",FALSE,TRUE),EXACT(metadata!L730,"human"))</f>
        <v>0</v>
      </c>
      <c r="AN730" t="b">
        <f>AND(IF(metadata!M730="",FALSE,TRUE),EXACT(metadata!M730,"Homo sapiens"))</f>
        <v>0</v>
      </c>
      <c r="AO730" t="b">
        <f>AND(IF(metadata!N730="",FALSE,TRUE),EXACT(metadata!N730,"9606"))</f>
        <v>0</v>
      </c>
      <c r="AP730" t="b">
        <f>IF(metadata!O730="",FALSE,TRUE)</f>
        <v>0</v>
      </c>
      <c r="AQ730" t="b">
        <f>IF(metadata!P730="",FALSE,TRUE)</f>
        <v>0</v>
      </c>
      <c r="AR730" t="b">
        <f>IF(metadata!Q730="",FALSE,ISNUMBER(VALUE(metadata!Q730)))</f>
        <v>0</v>
      </c>
      <c r="AS730" t="b">
        <f>AND(IF(metadata!R730="",FALSE,TRUE),EXACT(metadata!R730,"kg"))</f>
        <v>0</v>
      </c>
    </row>
    <row r="731" spans="1:45" x14ac:dyDescent="0.2">
      <c r="A731" s="5" t="str">
        <f ca="1">IF(B731=" "," ",HYPERLINK(CONCATENATE("#metadata!",ADDRESS(INDEX($X$2:$X$1001,MATCH(ROWS($V$2:V731),$V$2:$V$1001,0),0),1)),INDEX($AA$2:$AA$1001,MATCH(ROWS($V$2:V731),$V$2:$V$1001,0),0)))</f>
        <v xml:space="preserve"> </v>
      </c>
      <c r="B731" s="4" t="str">
        <f ca="1">IF(OR(INDEX($W$2:$W$1001,MATCH(ROWS($V$2:V731),$V$2:$V$1001,0),1)&gt;=100000,INDEX($AC$1005:$AS$1005,1,MATCH(COLUMNS($AC$1006:AC1006),$AC$1006:$AS$1006,0))&gt;=100000), " ",IF(INDEX($AC$2:$AS$1001,MATCH(ROWS($V$2:V731),$V$2:$V$1001,0),MATCH(COLUMNS($AC$1006:AC1006),$AC$1006:$AS$1006,0)), HYPERLINK("#",""), HYPERLINK(CONCATENATE("#metadata!", ADDRESS(INDEX($X$2:$X$1001,MATCH(ROWS($V$2:V731),$V$2:$V$1001,0),0), INDEX($AC$1004:$AS$1004,1,MATCH(COLUMNS($AC$1006:AC1006),$AC$1006:$AS$1006,0)))),"Fix")))</f>
        <v xml:space="preserve"> </v>
      </c>
      <c r="C731" s="4" t="str">
        <f ca="1">IF(OR(INDEX($W$2:$W$1001,MATCH(ROWS($V$2:V731),$V$2:$V$1001,0),1)&gt;=100000,INDEX($AC$1005:$AS$1005,1,MATCH(COLUMNS($AC$1006:AD1006),$AC$1006:$AS$1006,0))&gt;=100000), " ",IF(INDEX($AC$2:$AS$1001,MATCH(ROWS($V$2:V731),$V$2:$V$1001,0),MATCH(COLUMNS($AC$1006:AD1006),$AC$1006:$AS$1006,0)), HYPERLINK("#",""), HYPERLINK(CONCATENATE("#metadata!", ADDRESS(INDEX($X$2:$X$1001,MATCH(ROWS($V$2:V731),$V$2:$V$1001,0),0), INDEX($AC$1004:$AS$1004,1,MATCH(COLUMNS($AC$1006:AD1006),$AC$1006:$AS$1006,0)))),"Fix")))</f>
        <v xml:space="preserve"> </v>
      </c>
      <c r="D731" s="4" t="str">
        <f ca="1">IF(OR(INDEX($W$2:$W$1001,MATCH(ROWS($V$2:V731),$V$2:$V$1001,0),1)&gt;=100000,INDEX($AC$1005:$AS$1005,1,MATCH(COLUMNS($AC$1006:AE1006),$AC$1006:$AS$1006,0))&gt;=100000), " ",IF(INDEX($AC$2:$AS$1001,MATCH(ROWS($V$2:V731),$V$2:$V$1001,0),MATCH(COLUMNS($AC$1006:AE1006),$AC$1006:$AS$1006,0)), HYPERLINK("#",""), HYPERLINK(CONCATENATE("#metadata!", ADDRESS(INDEX($X$2:$X$1001,MATCH(ROWS($V$2:V731),$V$2:$V$1001,0),0), INDEX($AC$1004:$AS$1004,1,MATCH(COLUMNS($AC$1006:AE1006),$AC$1006:$AS$1006,0)))),"Fix")))</f>
        <v xml:space="preserve"> </v>
      </c>
      <c r="E731" s="4" t="str">
        <f ca="1">IF(OR(INDEX($W$2:$W$1001,MATCH(ROWS($V$2:V731),$V$2:$V$1001,0),1)&gt;=100000,INDEX($AC$1005:$AS$1005,1,MATCH(COLUMNS($AC$1006:AF1006),$AC$1006:$AS$1006,0))&gt;=100000), " ",IF(INDEX($AC$2:$AS$1001,MATCH(ROWS($V$2:V731),$V$2:$V$1001,0),MATCH(COLUMNS($AC$1006:AF1006),$AC$1006:$AS$1006,0)), HYPERLINK("#",""), HYPERLINK(CONCATENATE("#metadata!", ADDRESS(INDEX($X$2:$X$1001,MATCH(ROWS($V$2:V731),$V$2:$V$1001,0),0), INDEX($AC$1004:$AS$1004,1,MATCH(COLUMNS($AC$1006:AF1006),$AC$1006:$AS$1006,0)))),"Fix")))</f>
        <v xml:space="preserve"> </v>
      </c>
      <c r="F731" s="4" t="str">
        <f ca="1">IF(OR(INDEX($W$2:$W$1001,MATCH(ROWS($V$2:V731),$V$2:$V$1001,0),1)&gt;=100000,INDEX($AC$1005:$AS$1005,1,MATCH(COLUMNS($AC$1006:AG1006),$AC$1006:$AS$1006,0))&gt;=100000), " ",IF(INDEX($AC$2:$AS$1001,MATCH(ROWS($V$2:V731),$V$2:$V$1001,0),MATCH(COLUMNS($AC$1006:AG1006),$AC$1006:$AS$1006,0)), HYPERLINK("#",""), HYPERLINK(CONCATENATE("#metadata!", ADDRESS(INDEX($X$2:$X$1001,MATCH(ROWS($V$2:V731),$V$2:$V$1001,0),0), INDEX($AC$1004:$AS$1004,1,MATCH(COLUMNS($AC$1006:AG1006),$AC$1006:$AS$1006,0)))),"Fix")))</f>
        <v xml:space="preserve"> </v>
      </c>
      <c r="G731" s="4" t="str">
        <f ca="1">IF(OR(INDEX($W$2:$W$1001,MATCH(ROWS($V$2:V731),$V$2:$V$1001,0),1)&gt;=100000,INDEX($AC$1005:$AS$1005,1,MATCH(COLUMNS($AC$1006:AH1006),$AC$1006:$AS$1006,0))&gt;=100000), " ",IF(INDEX($AC$2:$AS$1001,MATCH(ROWS($V$2:V731),$V$2:$V$1001,0),MATCH(COLUMNS($AC$1006:AH1006),$AC$1006:$AS$1006,0)), HYPERLINK("#",""), HYPERLINK(CONCATENATE("#metadata!", ADDRESS(INDEX($X$2:$X$1001,MATCH(ROWS($V$2:V731),$V$2:$V$1001,0),0), INDEX($AC$1004:$AS$1004,1,MATCH(COLUMNS($AC$1006:AH1006),$AC$1006:$AS$1006,0)))),"Fix")))</f>
        <v xml:space="preserve"> </v>
      </c>
      <c r="H731" s="4" t="str">
        <f ca="1">IF(OR(INDEX($W$2:$W$1001,MATCH(ROWS($V$2:V731),$V$2:$V$1001,0),1)&gt;=100000,INDEX($AC$1005:$AS$1005,1,MATCH(COLUMNS($AC$1006:AI1006),$AC$1006:$AS$1006,0))&gt;=100000), " ",IF(INDEX($AC$2:$AS$1001,MATCH(ROWS($V$2:V731),$V$2:$V$1001,0),MATCH(COLUMNS($AC$1006:AI1006),$AC$1006:$AS$1006,0)), HYPERLINK("#",""), HYPERLINK(CONCATENATE("#metadata!", ADDRESS(INDEX($X$2:$X$1001,MATCH(ROWS($V$2:V731),$V$2:$V$1001,0),0), INDEX($AC$1004:$AS$1004,1,MATCH(COLUMNS($AC$1006:AI1006),$AC$1006:$AS$1006,0)))),"Fix")))</f>
        <v xml:space="preserve"> </v>
      </c>
      <c r="I731" s="4" t="str">
        <f ca="1">IF(OR(INDEX($W$2:$W$1001,MATCH(ROWS($V$2:V731),$V$2:$V$1001,0),1)&gt;=100000,INDEX($AC$1005:$AS$1005,1,MATCH(COLUMNS($AC$1006:AJ1006),$AC$1006:$AS$1006,0))&gt;=100000), " ",IF(INDEX($AC$2:$AS$1001,MATCH(ROWS($V$2:V731),$V$2:$V$1001,0),MATCH(COLUMNS($AC$1006:AJ1006),$AC$1006:$AS$1006,0)), HYPERLINK("#",""), HYPERLINK(CONCATENATE("#metadata!", ADDRESS(INDEX($X$2:$X$1001,MATCH(ROWS($V$2:V731),$V$2:$V$1001,0),0), INDEX($AC$1004:$AS$1004,1,MATCH(COLUMNS($AC$1006:AJ1006),$AC$1006:$AS$1006,0)))),"Fix")))</f>
        <v xml:space="preserve"> </v>
      </c>
      <c r="J731" s="4" t="str">
        <f ca="1">IF(OR(INDEX($W$2:$W$1001,MATCH(ROWS($V$2:V731),$V$2:$V$1001,0),1)&gt;=100000,INDEX($AC$1005:$AS$1005,1,MATCH(COLUMNS($AC$1006:AK1006),$AC$1006:$AS$1006,0))&gt;=100000), " ",IF(INDEX($AC$2:$AS$1001,MATCH(ROWS($V$2:V731),$V$2:$V$1001,0),MATCH(COLUMNS($AC$1006:AK1006),$AC$1006:$AS$1006,0)), HYPERLINK("#",""), HYPERLINK(CONCATENATE("#metadata!", ADDRESS(INDEX($X$2:$X$1001,MATCH(ROWS($V$2:V731),$V$2:$V$1001,0),0), INDEX($AC$1004:$AS$1004,1,MATCH(COLUMNS($AC$1006:AK1006),$AC$1006:$AS$1006,0)))),"Fix")))</f>
        <v xml:space="preserve"> </v>
      </c>
      <c r="K731" s="4" t="str">
        <f ca="1">IF(OR(INDEX($W$2:$W$1001,MATCH(ROWS($V$2:V731),$V$2:$V$1001,0),1)&gt;=100000,INDEX($AC$1005:$AS$1005,1,MATCH(COLUMNS($AC$1006:AL1006),$AC$1006:$AS$1006,0))&gt;=100000), " ",IF(INDEX($AC$2:$AS$1001,MATCH(ROWS($V$2:V731),$V$2:$V$1001,0),MATCH(COLUMNS($AC$1006:AL1006),$AC$1006:$AS$1006,0)), HYPERLINK("#",""), HYPERLINK(CONCATENATE("#metadata!", ADDRESS(INDEX($X$2:$X$1001,MATCH(ROWS($V$2:V731),$V$2:$V$1001,0),0), INDEX($AC$1004:$AS$1004,1,MATCH(COLUMNS($AC$1006:AL1006),$AC$1006:$AS$1006,0)))),"Fix")))</f>
        <v xml:space="preserve"> </v>
      </c>
      <c r="L731" s="4" t="str">
        <f ca="1">IF(OR(INDEX($W$2:$W$1001,MATCH(ROWS($V$2:V731),$V$2:$V$1001,0),1)&gt;=100000,INDEX($AC$1005:$AS$1005,1,MATCH(COLUMNS($AC$1006:AM1006),$AC$1006:$AS$1006,0))&gt;=100000), " ",IF(INDEX($AC$2:$AS$1001,MATCH(ROWS($V$2:V731),$V$2:$V$1001,0),MATCH(COLUMNS($AC$1006:AM1006),$AC$1006:$AS$1006,0)), HYPERLINK("#",""), HYPERLINK(CONCATENATE("#metadata!", ADDRESS(INDEX($X$2:$X$1001,MATCH(ROWS($V$2:V731),$V$2:$V$1001,0),0), INDEX($AC$1004:$AS$1004,1,MATCH(COLUMNS($AC$1006:AM1006),$AC$1006:$AS$1006,0)))),"Fix")))</f>
        <v xml:space="preserve"> </v>
      </c>
      <c r="M731" s="4" t="str">
        <f ca="1">IF(OR(INDEX($W$2:$W$1001,MATCH(ROWS($V$2:V731),$V$2:$V$1001,0),1)&gt;=100000,INDEX($AC$1005:$AS$1005,1,MATCH(COLUMNS($AC$1006:AN1006),$AC$1006:$AS$1006,0))&gt;=100000), " ",IF(INDEX($AC$2:$AS$1001,MATCH(ROWS($V$2:V731),$V$2:$V$1001,0),MATCH(COLUMNS($AC$1006:AN1006),$AC$1006:$AS$1006,0)), HYPERLINK("#",""), HYPERLINK(CONCATENATE("#metadata!", ADDRESS(INDEX($X$2:$X$1001,MATCH(ROWS($V$2:V731),$V$2:$V$1001,0),0), INDEX($AC$1004:$AS$1004,1,MATCH(COLUMNS($AC$1006:AN1006),$AC$1006:$AS$1006,0)))),"Fix")))</f>
        <v xml:space="preserve"> </v>
      </c>
      <c r="N731" s="4" t="str">
        <f ca="1">IF(OR(INDEX($W$2:$W$1001,MATCH(ROWS($V$2:V731),$V$2:$V$1001,0),1)&gt;=100000,INDEX($AC$1005:$AS$1005,1,MATCH(COLUMNS($AC$1006:AO1006),$AC$1006:$AS$1006,0))&gt;=100000), " ",IF(INDEX($AC$2:$AS$1001,MATCH(ROWS($V$2:V731),$V$2:$V$1001,0),MATCH(COLUMNS($AC$1006:AO1006),$AC$1006:$AS$1006,0)), HYPERLINK("#",""), HYPERLINK(CONCATENATE("#metadata!", ADDRESS(INDEX($X$2:$X$1001,MATCH(ROWS($V$2:V731),$V$2:$V$1001,0),0), INDEX($AC$1004:$AS$1004,1,MATCH(COLUMNS($AC$1006:AO1006),$AC$1006:$AS$1006,0)))),"Fix")))</f>
        <v xml:space="preserve"> </v>
      </c>
      <c r="O731" s="4" t="str">
        <f ca="1">IF(OR(INDEX($W$2:$W$1001,MATCH(ROWS($V$2:V731),$V$2:$V$1001,0),1)&gt;=100000,INDEX($AC$1005:$AS$1005,1,MATCH(COLUMNS($AC$1006:AP1006),$AC$1006:$AS$1006,0))&gt;=100000), " ",IF(INDEX($AC$2:$AS$1001,MATCH(ROWS($V$2:V731),$V$2:$V$1001,0),MATCH(COLUMNS($AC$1006:AP1006),$AC$1006:$AS$1006,0)), HYPERLINK("#",""), HYPERLINK(CONCATENATE("#metadata!", ADDRESS(INDEX($X$2:$X$1001,MATCH(ROWS($V$2:V731),$V$2:$V$1001,0),0), INDEX($AC$1004:$AS$1004,1,MATCH(COLUMNS($AC$1006:AP1006),$AC$1006:$AS$1006,0)))),"Fix")))</f>
        <v xml:space="preserve"> </v>
      </c>
      <c r="P731" s="4" t="str">
        <f ca="1">IF(OR(INDEX($W$2:$W$1001,MATCH(ROWS($V$2:V731),$V$2:$V$1001,0),1)&gt;=100000,INDEX($AC$1005:$AS$1005,1,MATCH(COLUMNS($AC$1006:AQ1006),$AC$1006:$AS$1006,0))&gt;=100000), " ",IF(INDEX($AC$2:$AS$1001,MATCH(ROWS($V$2:V731),$V$2:$V$1001,0),MATCH(COLUMNS($AC$1006:AQ1006),$AC$1006:$AS$1006,0)), HYPERLINK("#",""), HYPERLINK(CONCATENATE("#metadata!", ADDRESS(INDEX($X$2:$X$1001,MATCH(ROWS($V$2:V731),$V$2:$V$1001,0),0), INDEX($AC$1004:$AS$1004,1,MATCH(COLUMNS($AC$1006:AQ1006),$AC$1006:$AS$1006,0)))),"Fix")))</f>
        <v xml:space="preserve"> </v>
      </c>
      <c r="Q731" s="4" t="str">
        <f ca="1">IF(OR(INDEX($W$2:$W$1001,MATCH(ROWS($V$2:V731),$V$2:$V$1001,0),1)&gt;=100000,INDEX($AC$1005:$AS$1005,1,MATCH(COLUMNS($AC$1006:AR1006),$AC$1006:$AS$1006,0))&gt;=100000), " ",IF(INDEX($AC$2:$AS$1001,MATCH(ROWS($V$2:V731),$V$2:$V$1001,0),MATCH(COLUMNS($AC$1006:AR1006),$AC$1006:$AS$1006,0)), HYPERLINK("#",""), HYPERLINK(CONCATENATE("#metadata!", ADDRESS(INDEX($X$2:$X$1001,MATCH(ROWS($V$2:V731),$V$2:$V$1001,0),0), INDEX($AC$1004:$AS$1004,1,MATCH(COLUMNS($AC$1006:AR1006),$AC$1006:$AS$1006,0)))),"Fix")))</f>
        <v xml:space="preserve"> </v>
      </c>
      <c r="R731" s="4" t="str">
        <f ca="1">IF(OR(INDEX($W$2:$W$1001,MATCH(ROWS($V$2:V731),$V$2:$V$1001,0),1)&gt;=100000,INDEX($AC$1005:$AS$1005,1,MATCH(COLUMNS($AC$1006:AS1006),$AC$1006:$AS$1006,0))&gt;=100000), " ",IF(INDEX($AC$2:$AS$1001,MATCH(ROWS($V$2:V731),$V$2:$V$1001,0),MATCH(COLUMNS($AC$1006:AS1006),$AC$1006:$AS$1006,0)), HYPERLINK("#",""), HYPERLINK(CONCATENATE("#metadata!", ADDRESS(INDEX($X$2:$X$1001,MATCH(ROWS($V$2:V731),$V$2:$V$1001,0),0), INDEX($AC$1004:$AS$1004,1,MATCH(COLUMNS($AC$1006:AS1006),$AC$1006:$AS$1006,0)))),"Fix")))</f>
        <v xml:space="preserve"> </v>
      </c>
      <c r="V731">
        <v>730</v>
      </c>
      <c r="W731">
        <v>100731</v>
      </c>
      <c r="X731">
        <v>731</v>
      </c>
      <c r="Y731" t="b">
        <f t="shared" si="11"/>
        <v>1</v>
      </c>
      <c r="Z731" t="b">
        <f>COUNTBLANK(metadata!B731:R731)=COLUMNS(metadata!B731:R731)</f>
        <v>1</v>
      </c>
      <c r="AA731" t="str">
        <v/>
      </c>
      <c r="AC731" t="b">
        <f ca="1"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AD731" t="b">
        <f>IF(metadata!C731="",FALSE,ISNUMBER(VALUE(metadata!C731)))</f>
        <v>0</v>
      </c>
      <c r="AE731" t="b">
        <f>AND(IF(metadata!D731="",FALSE,TRUE),EXACT(metadata!D731,"years"))</f>
        <v>0</v>
      </c>
      <c r="AF731" t="b">
        <f>OR(AND(IF(metadata!E731="",FALSE,TRUE),OR(EXACT(metadata!E731,"not applicable"),EXACT(metadata!E731,"missing: not collected"),EXACT(metadata!E731,"missing: not provided"),EXACT(metadata!E731,"missing: restricted access"))),AND(IF(metadata!E731="",FALSE,ISNUMBER(VALUE(metadata!E731))),metadata!E731&gt;0))</f>
        <v>0</v>
      </c>
      <c r="AG731" t="b">
        <f>AND(IF(metadata!F731="",FALSE,TRUE),EXACT(metadata!F731,"Not applicable"))</f>
        <v>0</v>
      </c>
      <c r="AH731" t="b">
        <f>AND(IF(metadata!G731="",FALSE,TRUE),EXACT(metadata!G731,"urban biome"))</f>
        <v>0</v>
      </c>
      <c r="AI731" t="b">
        <f>AND(IF(metadata!H731="",FALSE,TRUE),EXACT(metadata!H731,"human-associated habitat"))</f>
        <v>0</v>
      </c>
      <c r="AJ731" t="b">
        <f>AND(IF(metadata!I731="",FALSE,TRUE),OR(EXACT(metadata!I731,"human-associated"),EXACT(metadata!I731,"human-skin"),EXACT(metadata!I731,"human-oral"),EXACT(metadata!I731,"human-gut"),EXACT(metadata!I731,"human-vaginal")))</f>
        <v>0</v>
      </c>
      <c r="AK731" t="b">
        <f>IF(metadata!J731="",FALSE,ISNUMBER(VALUE(metadata!J731)))</f>
        <v>0</v>
      </c>
      <c r="AL731" t="b">
        <f>AND(IF(metadata!K731="",FALSE,TRUE),EXACT(metadata!K731,"cm"))</f>
        <v>0</v>
      </c>
      <c r="AM731" t="b">
        <f>AND(IF(metadata!L731="",FALSE,TRUE),EXACT(metadata!L731,"human"))</f>
        <v>0</v>
      </c>
      <c r="AN731" t="b">
        <f>AND(IF(metadata!M731="",FALSE,TRUE),EXACT(metadata!M731,"Homo sapiens"))</f>
        <v>0</v>
      </c>
      <c r="AO731" t="b">
        <f>AND(IF(metadata!N731="",FALSE,TRUE),EXACT(metadata!N731,"9606"))</f>
        <v>0</v>
      </c>
      <c r="AP731" t="b">
        <f>IF(metadata!O731="",FALSE,TRUE)</f>
        <v>0</v>
      </c>
      <c r="AQ731" t="b">
        <f>IF(metadata!P731="",FALSE,TRUE)</f>
        <v>0</v>
      </c>
      <c r="AR731" t="b">
        <f>IF(metadata!Q731="",FALSE,ISNUMBER(VALUE(metadata!Q731)))</f>
        <v>0</v>
      </c>
      <c r="AS731" t="b">
        <f>AND(IF(metadata!R731="",FALSE,TRUE),EXACT(metadata!R731,"kg"))</f>
        <v>0</v>
      </c>
    </row>
    <row r="732" spans="1:45" x14ac:dyDescent="0.2">
      <c r="A732" s="5" t="str">
        <f ca="1">IF(B732=" "," ",HYPERLINK(CONCATENATE("#metadata!",ADDRESS(INDEX($X$2:$X$1001,MATCH(ROWS($V$2:V732),$V$2:$V$1001,0),0),1)),INDEX($AA$2:$AA$1001,MATCH(ROWS($V$2:V732),$V$2:$V$1001,0),0)))</f>
        <v xml:space="preserve"> </v>
      </c>
      <c r="B732" s="4" t="str">
        <f ca="1">IF(OR(INDEX($W$2:$W$1001,MATCH(ROWS($V$2:V732),$V$2:$V$1001,0),1)&gt;=100000,INDEX($AC$1005:$AS$1005,1,MATCH(COLUMNS($AC$1006:AC1006),$AC$1006:$AS$1006,0))&gt;=100000), " ",IF(INDEX($AC$2:$AS$1001,MATCH(ROWS($V$2:V732),$V$2:$V$1001,0),MATCH(COLUMNS($AC$1006:AC1006),$AC$1006:$AS$1006,0)), HYPERLINK("#",""), HYPERLINK(CONCATENATE("#metadata!", ADDRESS(INDEX($X$2:$X$1001,MATCH(ROWS($V$2:V732),$V$2:$V$1001,0),0), INDEX($AC$1004:$AS$1004,1,MATCH(COLUMNS($AC$1006:AC1006),$AC$1006:$AS$1006,0)))),"Fix")))</f>
        <v xml:space="preserve"> </v>
      </c>
      <c r="C732" s="4" t="str">
        <f ca="1">IF(OR(INDEX($W$2:$W$1001,MATCH(ROWS($V$2:V732),$V$2:$V$1001,0),1)&gt;=100000,INDEX($AC$1005:$AS$1005,1,MATCH(COLUMNS($AC$1006:AD1006),$AC$1006:$AS$1006,0))&gt;=100000), " ",IF(INDEX($AC$2:$AS$1001,MATCH(ROWS($V$2:V732),$V$2:$V$1001,0),MATCH(COLUMNS($AC$1006:AD1006),$AC$1006:$AS$1006,0)), HYPERLINK("#",""), HYPERLINK(CONCATENATE("#metadata!", ADDRESS(INDEX($X$2:$X$1001,MATCH(ROWS($V$2:V732),$V$2:$V$1001,0),0), INDEX($AC$1004:$AS$1004,1,MATCH(COLUMNS($AC$1006:AD1006),$AC$1006:$AS$1006,0)))),"Fix")))</f>
        <v xml:space="preserve"> </v>
      </c>
      <c r="D732" s="4" t="str">
        <f ca="1">IF(OR(INDEX($W$2:$W$1001,MATCH(ROWS($V$2:V732),$V$2:$V$1001,0),1)&gt;=100000,INDEX($AC$1005:$AS$1005,1,MATCH(COLUMNS($AC$1006:AE1006),$AC$1006:$AS$1006,0))&gt;=100000), " ",IF(INDEX($AC$2:$AS$1001,MATCH(ROWS($V$2:V732),$V$2:$V$1001,0),MATCH(COLUMNS($AC$1006:AE1006),$AC$1006:$AS$1006,0)), HYPERLINK("#",""), HYPERLINK(CONCATENATE("#metadata!", ADDRESS(INDEX($X$2:$X$1001,MATCH(ROWS($V$2:V732),$V$2:$V$1001,0),0), INDEX($AC$1004:$AS$1004,1,MATCH(COLUMNS($AC$1006:AE1006),$AC$1006:$AS$1006,0)))),"Fix")))</f>
        <v xml:space="preserve"> </v>
      </c>
      <c r="E732" s="4" t="str">
        <f ca="1">IF(OR(INDEX($W$2:$W$1001,MATCH(ROWS($V$2:V732),$V$2:$V$1001,0),1)&gt;=100000,INDEX($AC$1005:$AS$1005,1,MATCH(COLUMNS($AC$1006:AF1006),$AC$1006:$AS$1006,0))&gt;=100000), " ",IF(INDEX($AC$2:$AS$1001,MATCH(ROWS($V$2:V732),$V$2:$V$1001,0),MATCH(COLUMNS($AC$1006:AF1006),$AC$1006:$AS$1006,0)), HYPERLINK("#",""), HYPERLINK(CONCATENATE("#metadata!", ADDRESS(INDEX($X$2:$X$1001,MATCH(ROWS($V$2:V732),$V$2:$V$1001,0),0), INDEX($AC$1004:$AS$1004,1,MATCH(COLUMNS($AC$1006:AF1006),$AC$1006:$AS$1006,0)))),"Fix")))</f>
        <v xml:space="preserve"> </v>
      </c>
      <c r="F732" s="4" t="str">
        <f ca="1">IF(OR(INDEX($W$2:$W$1001,MATCH(ROWS($V$2:V732),$V$2:$V$1001,0),1)&gt;=100000,INDEX($AC$1005:$AS$1005,1,MATCH(COLUMNS($AC$1006:AG1006),$AC$1006:$AS$1006,0))&gt;=100000), " ",IF(INDEX($AC$2:$AS$1001,MATCH(ROWS($V$2:V732),$V$2:$V$1001,0),MATCH(COLUMNS($AC$1006:AG1006),$AC$1006:$AS$1006,0)), HYPERLINK("#",""), HYPERLINK(CONCATENATE("#metadata!", ADDRESS(INDEX($X$2:$X$1001,MATCH(ROWS($V$2:V732),$V$2:$V$1001,0),0), INDEX($AC$1004:$AS$1004,1,MATCH(COLUMNS($AC$1006:AG1006),$AC$1006:$AS$1006,0)))),"Fix")))</f>
        <v xml:space="preserve"> </v>
      </c>
      <c r="G732" s="4" t="str">
        <f ca="1">IF(OR(INDEX($W$2:$W$1001,MATCH(ROWS($V$2:V732),$V$2:$V$1001,0),1)&gt;=100000,INDEX($AC$1005:$AS$1005,1,MATCH(COLUMNS($AC$1006:AH1006),$AC$1006:$AS$1006,0))&gt;=100000), " ",IF(INDEX($AC$2:$AS$1001,MATCH(ROWS($V$2:V732),$V$2:$V$1001,0),MATCH(COLUMNS($AC$1006:AH1006),$AC$1006:$AS$1006,0)), HYPERLINK("#",""), HYPERLINK(CONCATENATE("#metadata!", ADDRESS(INDEX($X$2:$X$1001,MATCH(ROWS($V$2:V732),$V$2:$V$1001,0),0), INDEX($AC$1004:$AS$1004,1,MATCH(COLUMNS($AC$1006:AH1006),$AC$1006:$AS$1006,0)))),"Fix")))</f>
        <v xml:space="preserve"> </v>
      </c>
      <c r="H732" s="4" t="str">
        <f ca="1">IF(OR(INDEX($W$2:$W$1001,MATCH(ROWS($V$2:V732),$V$2:$V$1001,0),1)&gt;=100000,INDEX($AC$1005:$AS$1005,1,MATCH(COLUMNS($AC$1006:AI1006),$AC$1006:$AS$1006,0))&gt;=100000), " ",IF(INDEX($AC$2:$AS$1001,MATCH(ROWS($V$2:V732),$V$2:$V$1001,0),MATCH(COLUMNS($AC$1006:AI1006),$AC$1006:$AS$1006,0)), HYPERLINK("#",""), HYPERLINK(CONCATENATE("#metadata!", ADDRESS(INDEX($X$2:$X$1001,MATCH(ROWS($V$2:V732),$V$2:$V$1001,0),0), INDEX($AC$1004:$AS$1004,1,MATCH(COLUMNS($AC$1006:AI1006),$AC$1006:$AS$1006,0)))),"Fix")))</f>
        <v xml:space="preserve"> </v>
      </c>
      <c r="I732" s="4" t="str">
        <f ca="1">IF(OR(INDEX($W$2:$W$1001,MATCH(ROWS($V$2:V732),$V$2:$V$1001,0),1)&gt;=100000,INDEX($AC$1005:$AS$1005,1,MATCH(COLUMNS($AC$1006:AJ1006),$AC$1006:$AS$1006,0))&gt;=100000), " ",IF(INDEX($AC$2:$AS$1001,MATCH(ROWS($V$2:V732),$V$2:$V$1001,0),MATCH(COLUMNS($AC$1006:AJ1006),$AC$1006:$AS$1006,0)), HYPERLINK("#",""), HYPERLINK(CONCATENATE("#metadata!", ADDRESS(INDEX($X$2:$X$1001,MATCH(ROWS($V$2:V732),$V$2:$V$1001,0),0), INDEX($AC$1004:$AS$1004,1,MATCH(COLUMNS($AC$1006:AJ1006),$AC$1006:$AS$1006,0)))),"Fix")))</f>
        <v xml:space="preserve"> </v>
      </c>
      <c r="J732" s="4" t="str">
        <f ca="1">IF(OR(INDEX($W$2:$W$1001,MATCH(ROWS($V$2:V732),$V$2:$V$1001,0),1)&gt;=100000,INDEX($AC$1005:$AS$1005,1,MATCH(COLUMNS($AC$1006:AK1006),$AC$1006:$AS$1006,0))&gt;=100000), " ",IF(INDEX($AC$2:$AS$1001,MATCH(ROWS($V$2:V732),$V$2:$V$1001,0),MATCH(COLUMNS($AC$1006:AK1006),$AC$1006:$AS$1006,0)), HYPERLINK("#",""), HYPERLINK(CONCATENATE("#metadata!", ADDRESS(INDEX($X$2:$X$1001,MATCH(ROWS($V$2:V732),$V$2:$V$1001,0),0), INDEX($AC$1004:$AS$1004,1,MATCH(COLUMNS($AC$1006:AK1006),$AC$1006:$AS$1006,0)))),"Fix")))</f>
        <v xml:space="preserve"> </v>
      </c>
      <c r="K732" s="4" t="str">
        <f ca="1">IF(OR(INDEX($W$2:$W$1001,MATCH(ROWS($V$2:V732),$V$2:$V$1001,0),1)&gt;=100000,INDEX($AC$1005:$AS$1005,1,MATCH(COLUMNS($AC$1006:AL1006),$AC$1006:$AS$1006,0))&gt;=100000), " ",IF(INDEX($AC$2:$AS$1001,MATCH(ROWS($V$2:V732),$V$2:$V$1001,0),MATCH(COLUMNS($AC$1006:AL1006),$AC$1006:$AS$1006,0)), HYPERLINK("#",""), HYPERLINK(CONCATENATE("#metadata!", ADDRESS(INDEX($X$2:$X$1001,MATCH(ROWS($V$2:V732),$V$2:$V$1001,0),0), INDEX($AC$1004:$AS$1004,1,MATCH(COLUMNS($AC$1006:AL1006),$AC$1006:$AS$1006,0)))),"Fix")))</f>
        <v xml:space="preserve"> </v>
      </c>
      <c r="L732" s="4" t="str">
        <f ca="1">IF(OR(INDEX($W$2:$W$1001,MATCH(ROWS($V$2:V732),$V$2:$V$1001,0),1)&gt;=100000,INDEX($AC$1005:$AS$1005,1,MATCH(COLUMNS($AC$1006:AM1006),$AC$1006:$AS$1006,0))&gt;=100000), " ",IF(INDEX($AC$2:$AS$1001,MATCH(ROWS($V$2:V732),$V$2:$V$1001,0),MATCH(COLUMNS($AC$1006:AM1006),$AC$1006:$AS$1006,0)), HYPERLINK("#",""), HYPERLINK(CONCATENATE("#metadata!", ADDRESS(INDEX($X$2:$X$1001,MATCH(ROWS($V$2:V732),$V$2:$V$1001,0),0), INDEX($AC$1004:$AS$1004,1,MATCH(COLUMNS($AC$1006:AM1006),$AC$1006:$AS$1006,0)))),"Fix")))</f>
        <v xml:space="preserve"> </v>
      </c>
      <c r="M732" s="4" t="str">
        <f ca="1">IF(OR(INDEX($W$2:$W$1001,MATCH(ROWS($V$2:V732),$V$2:$V$1001,0),1)&gt;=100000,INDEX($AC$1005:$AS$1005,1,MATCH(COLUMNS($AC$1006:AN1006),$AC$1006:$AS$1006,0))&gt;=100000), " ",IF(INDEX($AC$2:$AS$1001,MATCH(ROWS($V$2:V732),$V$2:$V$1001,0),MATCH(COLUMNS($AC$1006:AN1006),$AC$1006:$AS$1006,0)), HYPERLINK("#",""), HYPERLINK(CONCATENATE("#metadata!", ADDRESS(INDEX($X$2:$X$1001,MATCH(ROWS($V$2:V732),$V$2:$V$1001,0),0), INDEX($AC$1004:$AS$1004,1,MATCH(COLUMNS($AC$1006:AN1006),$AC$1006:$AS$1006,0)))),"Fix")))</f>
        <v xml:space="preserve"> </v>
      </c>
      <c r="N732" s="4" t="str">
        <f ca="1">IF(OR(INDEX($W$2:$W$1001,MATCH(ROWS($V$2:V732),$V$2:$V$1001,0),1)&gt;=100000,INDEX($AC$1005:$AS$1005,1,MATCH(COLUMNS($AC$1006:AO1006),$AC$1006:$AS$1006,0))&gt;=100000), " ",IF(INDEX($AC$2:$AS$1001,MATCH(ROWS($V$2:V732),$V$2:$V$1001,0),MATCH(COLUMNS($AC$1006:AO1006),$AC$1006:$AS$1006,0)), HYPERLINK("#",""), HYPERLINK(CONCATENATE("#metadata!", ADDRESS(INDEX($X$2:$X$1001,MATCH(ROWS($V$2:V732),$V$2:$V$1001,0),0), INDEX($AC$1004:$AS$1004,1,MATCH(COLUMNS($AC$1006:AO1006),$AC$1006:$AS$1006,0)))),"Fix")))</f>
        <v xml:space="preserve"> </v>
      </c>
      <c r="O732" s="4" t="str">
        <f ca="1">IF(OR(INDEX($W$2:$W$1001,MATCH(ROWS($V$2:V732),$V$2:$V$1001,0),1)&gt;=100000,INDEX($AC$1005:$AS$1005,1,MATCH(COLUMNS($AC$1006:AP1006),$AC$1006:$AS$1006,0))&gt;=100000), " ",IF(INDEX($AC$2:$AS$1001,MATCH(ROWS($V$2:V732),$V$2:$V$1001,0),MATCH(COLUMNS($AC$1006:AP1006),$AC$1006:$AS$1006,0)), HYPERLINK("#",""), HYPERLINK(CONCATENATE("#metadata!", ADDRESS(INDEX($X$2:$X$1001,MATCH(ROWS($V$2:V732),$V$2:$V$1001,0),0), INDEX($AC$1004:$AS$1004,1,MATCH(COLUMNS($AC$1006:AP1006),$AC$1006:$AS$1006,0)))),"Fix")))</f>
        <v xml:space="preserve"> </v>
      </c>
      <c r="P732" s="4" t="str">
        <f ca="1">IF(OR(INDEX($W$2:$W$1001,MATCH(ROWS($V$2:V732),$V$2:$V$1001,0),1)&gt;=100000,INDEX($AC$1005:$AS$1005,1,MATCH(COLUMNS($AC$1006:AQ1006),$AC$1006:$AS$1006,0))&gt;=100000), " ",IF(INDEX($AC$2:$AS$1001,MATCH(ROWS($V$2:V732),$V$2:$V$1001,0),MATCH(COLUMNS($AC$1006:AQ1006),$AC$1006:$AS$1006,0)), HYPERLINK("#",""), HYPERLINK(CONCATENATE("#metadata!", ADDRESS(INDEX($X$2:$X$1001,MATCH(ROWS($V$2:V732),$V$2:$V$1001,0),0), INDEX($AC$1004:$AS$1004,1,MATCH(COLUMNS($AC$1006:AQ1006),$AC$1006:$AS$1006,0)))),"Fix")))</f>
        <v xml:space="preserve"> </v>
      </c>
      <c r="Q732" s="4" t="str">
        <f ca="1">IF(OR(INDEX($W$2:$W$1001,MATCH(ROWS($V$2:V732),$V$2:$V$1001,0),1)&gt;=100000,INDEX($AC$1005:$AS$1005,1,MATCH(COLUMNS($AC$1006:AR1006),$AC$1006:$AS$1006,0))&gt;=100000), " ",IF(INDEX($AC$2:$AS$1001,MATCH(ROWS($V$2:V732),$V$2:$V$1001,0),MATCH(COLUMNS($AC$1006:AR1006),$AC$1006:$AS$1006,0)), HYPERLINK("#",""), HYPERLINK(CONCATENATE("#metadata!", ADDRESS(INDEX($X$2:$X$1001,MATCH(ROWS($V$2:V732),$V$2:$V$1001,0),0), INDEX($AC$1004:$AS$1004,1,MATCH(COLUMNS($AC$1006:AR1006),$AC$1006:$AS$1006,0)))),"Fix")))</f>
        <v xml:space="preserve"> </v>
      </c>
      <c r="R732" s="4" t="str">
        <f ca="1">IF(OR(INDEX($W$2:$W$1001,MATCH(ROWS($V$2:V732),$V$2:$V$1001,0),1)&gt;=100000,INDEX($AC$1005:$AS$1005,1,MATCH(COLUMNS($AC$1006:AS1006),$AC$1006:$AS$1006,0))&gt;=100000), " ",IF(INDEX($AC$2:$AS$1001,MATCH(ROWS($V$2:V732),$V$2:$V$1001,0),MATCH(COLUMNS($AC$1006:AS1006),$AC$1006:$AS$1006,0)), HYPERLINK("#",""), HYPERLINK(CONCATENATE("#metadata!", ADDRESS(INDEX($X$2:$X$1001,MATCH(ROWS($V$2:V732),$V$2:$V$1001,0),0), INDEX($AC$1004:$AS$1004,1,MATCH(COLUMNS($AC$1006:AS1006),$AC$1006:$AS$1006,0)))),"Fix")))</f>
        <v xml:space="preserve"> </v>
      </c>
      <c r="V732">
        <v>731</v>
      </c>
      <c r="W732">
        <v>100732</v>
      </c>
      <c r="X732">
        <v>732</v>
      </c>
      <c r="Y732" t="b">
        <f t="shared" si="11"/>
        <v>1</v>
      </c>
      <c r="Z732" t="b">
        <f>COUNTBLANK(metadata!B732:R732)=COLUMNS(metadata!B732:R732)</f>
        <v>1</v>
      </c>
      <c r="AA732" t="str">
        <v/>
      </c>
      <c r="AC732" t="b">
        <f ca="1"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AD732" t="b">
        <f>IF(metadata!C732="",FALSE,ISNUMBER(VALUE(metadata!C732)))</f>
        <v>0</v>
      </c>
      <c r="AE732" t="b">
        <f>AND(IF(metadata!D732="",FALSE,TRUE),EXACT(metadata!D732,"years"))</f>
        <v>0</v>
      </c>
      <c r="AF732" t="b">
        <f>OR(AND(IF(metadata!E732="",FALSE,TRUE),OR(EXACT(metadata!E732,"not applicable"),EXACT(metadata!E732,"missing: not collected"),EXACT(metadata!E732,"missing: not provided"),EXACT(metadata!E732,"missing: restricted access"))),AND(IF(metadata!E732="",FALSE,ISNUMBER(VALUE(metadata!E732))),metadata!E732&gt;0))</f>
        <v>0</v>
      </c>
      <c r="AG732" t="b">
        <f>AND(IF(metadata!F732="",FALSE,TRUE),EXACT(metadata!F732,"Not applicable"))</f>
        <v>0</v>
      </c>
      <c r="AH732" t="b">
        <f>AND(IF(metadata!G732="",FALSE,TRUE),EXACT(metadata!G732,"urban biome"))</f>
        <v>0</v>
      </c>
      <c r="AI732" t="b">
        <f>AND(IF(metadata!H732="",FALSE,TRUE),EXACT(metadata!H732,"human-associated habitat"))</f>
        <v>0</v>
      </c>
      <c r="AJ732" t="b">
        <f>AND(IF(metadata!I732="",FALSE,TRUE),OR(EXACT(metadata!I732,"human-associated"),EXACT(metadata!I732,"human-skin"),EXACT(metadata!I732,"human-oral"),EXACT(metadata!I732,"human-gut"),EXACT(metadata!I732,"human-vaginal")))</f>
        <v>0</v>
      </c>
      <c r="AK732" t="b">
        <f>IF(metadata!J732="",FALSE,ISNUMBER(VALUE(metadata!J732)))</f>
        <v>0</v>
      </c>
      <c r="AL732" t="b">
        <f>AND(IF(metadata!K732="",FALSE,TRUE),EXACT(metadata!K732,"cm"))</f>
        <v>0</v>
      </c>
      <c r="AM732" t="b">
        <f>AND(IF(metadata!L732="",FALSE,TRUE),EXACT(metadata!L732,"human"))</f>
        <v>0</v>
      </c>
      <c r="AN732" t="b">
        <f>AND(IF(metadata!M732="",FALSE,TRUE),EXACT(metadata!M732,"Homo sapiens"))</f>
        <v>0</v>
      </c>
      <c r="AO732" t="b">
        <f>AND(IF(metadata!N732="",FALSE,TRUE),EXACT(metadata!N732,"9606"))</f>
        <v>0</v>
      </c>
      <c r="AP732" t="b">
        <f>IF(metadata!O732="",FALSE,TRUE)</f>
        <v>0</v>
      </c>
      <c r="AQ732" t="b">
        <f>IF(metadata!P732="",FALSE,TRUE)</f>
        <v>0</v>
      </c>
      <c r="AR732" t="b">
        <f>IF(metadata!Q732="",FALSE,ISNUMBER(VALUE(metadata!Q732)))</f>
        <v>0</v>
      </c>
      <c r="AS732" t="b">
        <f>AND(IF(metadata!R732="",FALSE,TRUE),EXACT(metadata!R732,"kg"))</f>
        <v>0</v>
      </c>
    </row>
    <row r="733" spans="1:45" x14ac:dyDescent="0.2">
      <c r="A733" s="5" t="str">
        <f ca="1">IF(B733=" "," ",HYPERLINK(CONCATENATE("#metadata!",ADDRESS(INDEX($X$2:$X$1001,MATCH(ROWS($V$2:V733),$V$2:$V$1001,0),0),1)),INDEX($AA$2:$AA$1001,MATCH(ROWS($V$2:V733),$V$2:$V$1001,0),0)))</f>
        <v xml:space="preserve"> </v>
      </c>
      <c r="B733" s="4" t="str">
        <f ca="1">IF(OR(INDEX($W$2:$W$1001,MATCH(ROWS($V$2:V733),$V$2:$V$1001,0),1)&gt;=100000,INDEX($AC$1005:$AS$1005,1,MATCH(COLUMNS($AC$1006:AC1006),$AC$1006:$AS$1006,0))&gt;=100000), " ",IF(INDEX($AC$2:$AS$1001,MATCH(ROWS($V$2:V733),$V$2:$V$1001,0),MATCH(COLUMNS($AC$1006:AC1006),$AC$1006:$AS$1006,0)), HYPERLINK("#",""), HYPERLINK(CONCATENATE("#metadata!", ADDRESS(INDEX($X$2:$X$1001,MATCH(ROWS($V$2:V733),$V$2:$V$1001,0),0), INDEX($AC$1004:$AS$1004,1,MATCH(COLUMNS($AC$1006:AC1006),$AC$1006:$AS$1006,0)))),"Fix")))</f>
        <v xml:space="preserve"> </v>
      </c>
      <c r="C733" s="4" t="str">
        <f ca="1">IF(OR(INDEX($W$2:$W$1001,MATCH(ROWS($V$2:V733),$V$2:$V$1001,0),1)&gt;=100000,INDEX($AC$1005:$AS$1005,1,MATCH(COLUMNS($AC$1006:AD1006),$AC$1006:$AS$1006,0))&gt;=100000), " ",IF(INDEX($AC$2:$AS$1001,MATCH(ROWS($V$2:V733),$V$2:$V$1001,0),MATCH(COLUMNS($AC$1006:AD1006),$AC$1006:$AS$1006,0)), HYPERLINK("#",""), HYPERLINK(CONCATENATE("#metadata!", ADDRESS(INDEX($X$2:$X$1001,MATCH(ROWS($V$2:V733),$V$2:$V$1001,0),0), INDEX($AC$1004:$AS$1004,1,MATCH(COLUMNS($AC$1006:AD1006),$AC$1006:$AS$1006,0)))),"Fix")))</f>
        <v xml:space="preserve"> </v>
      </c>
      <c r="D733" s="4" t="str">
        <f ca="1">IF(OR(INDEX($W$2:$W$1001,MATCH(ROWS($V$2:V733),$V$2:$V$1001,0),1)&gt;=100000,INDEX($AC$1005:$AS$1005,1,MATCH(COLUMNS($AC$1006:AE1006),$AC$1006:$AS$1006,0))&gt;=100000), " ",IF(INDEX($AC$2:$AS$1001,MATCH(ROWS($V$2:V733),$V$2:$V$1001,0),MATCH(COLUMNS($AC$1006:AE1006),$AC$1006:$AS$1006,0)), HYPERLINK("#",""), HYPERLINK(CONCATENATE("#metadata!", ADDRESS(INDEX($X$2:$X$1001,MATCH(ROWS($V$2:V733),$V$2:$V$1001,0),0), INDEX($AC$1004:$AS$1004,1,MATCH(COLUMNS($AC$1006:AE1006),$AC$1006:$AS$1006,0)))),"Fix")))</f>
        <v xml:space="preserve"> </v>
      </c>
      <c r="E733" s="4" t="str">
        <f ca="1">IF(OR(INDEX($W$2:$W$1001,MATCH(ROWS($V$2:V733),$V$2:$V$1001,0),1)&gt;=100000,INDEX($AC$1005:$AS$1005,1,MATCH(COLUMNS($AC$1006:AF1006),$AC$1006:$AS$1006,0))&gt;=100000), " ",IF(INDEX($AC$2:$AS$1001,MATCH(ROWS($V$2:V733),$V$2:$V$1001,0),MATCH(COLUMNS($AC$1006:AF1006),$AC$1006:$AS$1006,0)), HYPERLINK("#",""), HYPERLINK(CONCATENATE("#metadata!", ADDRESS(INDEX($X$2:$X$1001,MATCH(ROWS($V$2:V733),$V$2:$V$1001,0),0), INDEX($AC$1004:$AS$1004,1,MATCH(COLUMNS($AC$1006:AF1006),$AC$1006:$AS$1006,0)))),"Fix")))</f>
        <v xml:space="preserve"> </v>
      </c>
      <c r="F733" s="4" t="str">
        <f ca="1">IF(OR(INDEX($W$2:$W$1001,MATCH(ROWS($V$2:V733),$V$2:$V$1001,0),1)&gt;=100000,INDEX($AC$1005:$AS$1005,1,MATCH(COLUMNS($AC$1006:AG1006),$AC$1006:$AS$1006,0))&gt;=100000), " ",IF(INDEX($AC$2:$AS$1001,MATCH(ROWS($V$2:V733),$V$2:$V$1001,0),MATCH(COLUMNS($AC$1006:AG1006),$AC$1006:$AS$1006,0)), HYPERLINK("#",""), HYPERLINK(CONCATENATE("#metadata!", ADDRESS(INDEX($X$2:$X$1001,MATCH(ROWS($V$2:V733),$V$2:$V$1001,0),0), INDEX($AC$1004:$AS$1004,1,MATCH(COLUMNS($AC$1006:AG1006),$AC$1006:$AS$1006,0)))),"Fix")))</f>
        <v xml:space="preserve"> </v>
      </c>
      <c r="G733" s="4" t="str">
        <f ca="1">IF(OR(INDEX($W$2:$W$1001,MATCH(ROWS($V$2:V733),$V$2:$V$1001,0),1)&gt;=100000,INDEX($AC$1005:$AS$1005,1,MATCH(COLUMNS($AC$1006:AH1006),$AC$1006:$AS$1006,0))&gt;=100000), " ",IF(INDEX($AC$2:$AS$1001,MATCH(ROWS($V$2:V733),$V$2:$V$1001,0),MATCH(COLUMNS($AC$1006:AH1006),$AC$1006:$AS$1006,0)), HYPERLINK("#",""), HYPERLINK(CONCATENATE("#metadata!", ADDRESS(INDEX($X$2:$X$1001,MATCH(ROWS($V$2:V733),$V$2:$V$1001,0),0), INDEX($AC$1004:$AS$1004,1,MATCH(COLUMNS($AC$1006:AH1006),$AC$1006:$AS$1006,0)))),"Fix")))</f>
        <v xml:space="preserve"> </v>
      </c>
      <c r="H733" s="4" t="str">
        <f ca="1">IF(OR(INDEX($W$2:$W$1001,MATCH(ROWS($V$2:V733),$V$2:$V$1001,0),1)&gt;=100000,INDEX($AC$1005:$AS$1005,1,MATCH(COLUMNS($AC$1006:AI1006),$AC$1006:$AS$1006,0))&gt;=100000), " ",IF(INDEX($AC$2:$AS$1001,MATCH(ROWS($V$2:V733),$V$2:$V$1001,0),MATCH(COLUMNS($AC$1006:AI1006),$AC$1006:$AS$1006,0)), HYPERLINK("#",""), HYPERLINK(CONCATENATE("#metadata!", ADDRESS(INDEX($X$2:$X$1001,MATCH(ROWS($V$2:V733),$V$2:$V$1001,0),0), INDEX($AC$1004:$AS$1004,1,MATCH(COLUMNS($AC$1006:AI1006),$AC$1006:$AS$1006,0)))),"Fix")))</f>
        <v xml:space="preserve"> </v>
      </c>
      <c r="I733" s="4" t="str">
        <f ca="1">IF(OR(INDEX($W$2:$W$1001,MATCH(ROWS($V$2:V733),$V$2:$V$1001,0),1)&gt;=100000,INDEX($AC$1005:$AS$1005,1,MATCH(COLUMNS($AC$1006:AJ1006),$AC$1006:$AS$1006,0))&gt;=100000), " ",IF(INDEX($AC$2:$AS$1001,MATCH(ROWS($V$2:V733),$V$2:$V$1001,0),MATCH(COLUMNS($AC$1006:AJ1006),$AC$1006:$AS$1006,0)), HYPERLINK("#",""), HYPERLINK(CONCATENATE("#metadata!", ADDRESS(INDEX($X$2:$X$1001,MATCH(ROWS($V$2:V733),$V$2:$V$1001,0),0), INDEX($AC$1004:$AS$1004,1,MATCH(COLUMNS($AC$1006:AJ1006),$AC$1006:$AS$1006,0)))),"Fix")))</f>
        <v xml:space="preserve"> </v>
      </c>
      <c r="J733" s="4" t="str">
        <f ca="1">IF(OR(INDEX($W$2:$W$1001,MATCH(ROWS($V$2:V733),$V$2:$V$1001,0),1)&gt;=100000,INDEX($AC$1005:$AS$1005,1,MATCH(COLUMNS($AC$1006:AK1006),$AC$1006:$AS$1006,0))&gt;=100000), " ",IF(INDEX($AC$2:$AS$1001,MATCH(ROWS($V$2:V733),$V$2:$V$1001,0),MATCH(COLUMNS($AC$1006:AK1006),$AC$1006:$AS$1006,0)), HYPERLINK("#",""), HYPERLINK(CONCATENATE("#metadata!", ADDRESS(INDEX($X$2:$X$1001,MATCH(ROWS($V$2:V733),$V$2:$V$1001,0),0), INDEX($AC$1004:$AS$1004,1,MATCH(COLUMNS($AC$1006:AK1006),$AC$1006:$AS$1006,0)))),"Fix")))</f>
        <v xml:space="preserve"> </v>
      </c>
      <c r="K733" s="4" t="str">
        <f ca="1">IF(OR(INDEX($W$2:$W$1001,MATCH(ROWS($V$2:V733),$V$2:$V$1001,0),1)&gt;=100000,INDEX($AC$1005:$AS$1005,1,MATCH(COLUMNS($AC$1006:AL1006),$AC$1006:$AS$1006,0))&gt;=100000), " ",IF(INDEX($AC$2:$AS$1001,MATCH(ROWS($V$2:V733),$V$2:$V$1001,0),MATCH(COLUMNS($AC$1006:AL1006),$AC$1006:$AS$1006,0)), HYPERLINK("#",""), HYPERLINK(CONCATENATE("#metadata!", ADDRESS(INDEX($X$2:$X$1001,MATCH(ROWS($V$2:V733),$V$2:$V$1001,0),0), INDEX($AC$1004:$AS$1004,1,MATCH(COLUMNS($AC$1006:AL1006),$AC$1006:$AS$1006,0)))),"Fix")))</f>
        <v xml:space="preserve"> </v>
      </c>
      <c r="L733" s="4" t="str">
        <f ca="1">IF(OR(INDEX($W$2:$W$1001,MATCH(ROWS($V$2:V733),$V$2:$V$1001,0),1)&gt;=100000,INDEX($AC$1005:$AS$1005,1,MATCH(COLUMNS($AC$1006:AM1006),$AC$1006:$AS$1006,0))&gt;=100000), " ",IF(INDEX($AC$2:$AS$1001,MATCH(ROWS($V$2:V733),$V$2:$V$1001,0),MATCH(COLUMNS($AC$1006:AM1006),$AC$1006:$AS$1006,0)), HYPERLINK("#",""), HYPERLINK(CONCATENATE("#metadata!", ADDRESS(INDEX($X$2:$X$1001,MATCH(ROWS($V$2:V733),$V$2:$V$1001,0),0), INDEX($AC$1004:$AS$1004,1,MATCH(COLUMNS($AC$1006:AM1006),$AC$1006:$AS$1006,0)))),"Fix")))</f>
        <v xml:space="preserve"> </v>
      </c>
      <c r="M733" s="4" t="str">
        <f ca="1">IF(OR(INDEX($W$2:$W$1001,MATCH(ROWS($V$2:V733),$V$2:$V$1001,0),1)&gt;=100000,INDEX($AC$1005:$AS$1005,1,MATCH(COLUMNS($AC$1006:AN1006),$AC$1006:$AS$1006,0))&gt;=100000), " ",IF(INDEX($AC$2:$AS$1001,MATCH(ROWS($V$2:V733),$V$2:$V$1001,0),MATCH(COLUMNS($AC$1006:AN1006),$AC$1006:$AS$1006,0)), HYPERLINK("#",""), HYPERLINK(CONCATENATE("#metadata!", ADDRESS(INDEX($X$2:$X$1001,MATCH(ROWS($V$2:V733),$V$2:$V$1001,0),0), INDEX($AC$1004:$AS$1004,1,MATCH(COLUMNS($AC$1006:AN1006),$AC$1006:$AS$1006,0)))),"Fix")))</f>
        <v xml:space="preserve"> </v>
      </c>
      <c r="N733" s="4" t="str">
        <f ca="1">IF(OR(INDEX($W$2:$W$1001,MATCH(ROWS($V$2:V733),$V$2:$V$1001,0),1)&gt;=100000,INDEX($AC$1005:$AS$1005,1,MATCH(COLUMNS($AC$1006:AO1006),$AC$1006:$AS$1006,0))&gt;=100000), " ",IF(INDEX($AC$2:$AS$1001,MATCH(ROWS($V$2:V733),$V$2:$V$1001,0),MATCH(COLUMNS($AC$1006:AO1006),$AC$1006:$AS$1006,0)), HYPERLINK("#",""), HYPERLINK(CONCATENATE("#metadata!", ADDRESS(INDEX($X$2:$X$1001,MATCH(ROWS($V$2:V733),$V$2:$V$1001,0),0), INDEX($AC$1004:$AS$1004,1,MATCH(COLUMNS($AC$1006:AO1006),$AC$1006:$AS$1006,0)))),"Fix")))</f>
        <v xml:space="preserve"> </v>
      </c>
      <c r="O733" s="4" t="str">
        <f ca="1">IF(OR(INDEX($W$2:$W$1001,MATCH(ROWS($V$2:V733),$V$2:$V$1001,0),1)&gt;=100000,INDEX($AC$1005:$AS$1005,1,MATCH(COLUMNS($AC$1006:AP1006),$AC$1006:$AS$1006,0))&gt;=100000), " ",IF(INDEX($AC$2:$AS$1001,MATCH(ROWS($V$2:V733),$V$2:$V$1001,0),MATCH(COLUMNS($AC$1006:AP1006),$AC$1006:$AS$1006,0)), HYPERLINK("#",""), HYPERLINK(CONCATENATE("#metadata!", ADDRESS(INDEX($X$2:$X$1001,MATCH(ROWS($V$2:V733),$V$2:$V$1001,0),0), INDEX($AC$1004:$AS$1004,1,MATCH(COLUMNS($AC$1006:AP1006),$AC$1006:$AS$1006,0)))),"Fix")))</f>
        <v xml:space="preserve"> </v>
      </c>
      <c r="P733" s="4" t="str">
        <f ca="1">IF(OR(INDEX($W$2:$W$1001,MATCH(ROWS($V$2:V733),$V$2:$V$1001,0),1)&gt;=100000,INDEX($AC$1005:$AS$1005,1,MATCH(COLUMNS($AC$1006:AQ1006),$AC$1006:$AS$1006,0))&gt;=100000), " ",IF(INDEX($AC$2:$AS$1001,MATCH(ROWS($V$2:V733),$V$2:$V$1001,0),MATCH(COLUMNS($AC$1006:AQ1006),$AC$1006:$AS$1006,0)), HYPERLINK("#",""), HYPERLINK(CONCATENATE("#metadata!", ADDRESS(INDEX($X$2:$X$1001,MATCH(ROWS($V$2:V733),$V$2:$V$1001,0),0), INDEX($AC$1004:$AS$1004,1,MATCH(COLUMNS($AC$1006:AQ1006),$AC$1006:$AS$1006,0)))),"Fix")))</f>
        <v xml:space="preserve"> </v>
      </c>
      <c r="Q733" s="4" t="str">
        <f ca="1">IF(OR(INDEX($W$2:$W$1001,MATCH(ROWS($V$2:V733),$V$2:$V$1001,0),1)&gt;=100000,INDEX($AC$1005:$AS$1005,1,MATCH(COLUMNS($AC$1006:AR1006),$AC$1006:$AS$1006,0))&gt;=100000), " ",IF(INDEX($AC$2:$AS$1001,MATCH(ROWS($V$2:V733),$V$2:$V$1001,0),MATCH(COLUMNS($AC$1006:AR1006),$AC$1006:$AS$1006,0)), HYPERLINK("#",""), HYPERLINK(CONCATENATE("#metadata!", ADDRESS(INDEX($X$2:$X$1001,MATCH(ROWS($V$2:V733),$V$2:$V$1001,0),0), INDEX($AC$1004:$AS$1004,1,MATCH(COLUMNS($AC$1006:AR1006),$AC$1006:$AS$1006,0)))),"Fix")))</f>
        <v xml:space="preserve"> </v>
      </c>
      <c r="R733" s="4" t="str">
        <f ca="1">IF(OR(INDEX($W$2:$W$1001,MATCH(ROWS($V$2:V733),$V$2:$V$1001,0),1)&gt;=100000,INDEX($AC$1005:$AS$1005,1,MATCH(COLUMNS($AC$1006:AS1006),$AC$1006:$AS$1006,0))&gt;=100000), " ",IF(INDEX($AC$2:$AS$1001,MATCH(ROWS($V$2:V733),$V$2:$V$1001,0),MATCH(COLUMNS($AC$1006:AS1006),$AC$1006:$AS$1006,0)), HYPERLINK("#",""), HYPERLINK(CONCATENATE("#metadata!", ADDRESS(INDEX($X$2:$X$1001,MATCH(ROWS($V$2:V733),$V$2:$V$1001,0),0), INDEX($AC$1004:$AS$1004,1,MATCH(COLUMNS($AC$1006:AS1006),$AC$1006:$AS$1006,0)))),"Fix")))</f>
        <v xml:space="preserve"> </v>
      </c>
      <c r="V733">
        <v>732</v>
      </c>
      <c r="W733">
        <v>100733</v>
      </c>
      <c r="X733">
        <v>733</v>
      </c>
      <c r="Y733" t="b">
        <f t="shared" si="11"/>
        <v>1</v>
      </c>
      <c r="Z733" t="b">
        <f>COUNTBLANK(metadata!B733:R733)=COLUMNS(metadata!B733:R733)</f>
        <v>1</v>
      </c>
      <c r="AA733" t="str">
        <v/>
      </c>
      <c r="AC733" t="b">
        <f ca="1"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AD733" t="b">
        <f>IF(metadata!C733="",FALSE,ISNUMBER(VALUE(metadata!C733)))</f>
        <v>0</v>
      </c>
      <c r="AE733" t="b">
        <f>AND(IF(metadata!D733="",FALSE,TRUE),EXACT(metadata!D733,"years"))</f>
        <v>0</v>
      </c>
      <c r="AF733" t="b">
        <f>OR(AND(IF(metadata!E733="",FALSE,TRUE),OR(EXACT(metadata!E733,"not applicable"),EXACT(metadata!E733,"missing: not collected"),EXACT(metadata!E733,"missing: not provided"),EXACT(metadata!E733,"missing: restricted access"))),AND(IF(metadata!E733="",FALSE,ISNUMBER(VALUE(metadata!E733))),metadata!E733&gt;0))</f>
        <v>0</v>
      </c>
      <c r="AG733" t="b">
        <f>AND(IF(metadata!F733="",FALSE,TRUE),EXACT(metadata!F733,"Not applicable"))</f>
        <v>0</v>
      </c>
      <c r="AH733" t="b">
        <f>AND(IF(metadata!G733="",FALSE,TRUE),EXACT(metadata!G733,"urban biome"))</f>
        <v>0</v>
      </c>
      <c r="AI733" t="b">
        <f>AND(IF(metadata!H733="",FALSE,TRUE),EXACT(metadata!H733,"human-associated habitat"))</f>
        <v>0</v>
      </c>
      <c r="AJ733" t="b">
        <f>AND(IF(metadata!I733="",FALSE,TRUE),OR(EXACT(metadata!I733,"human-associated"),EXACT(metadata!I733,"human-skin"),EXACT(metadata!I733,"human-oral"),EXACT(metadata!I733,"human-gut"),EXACT(metadata!I733,"human-vaginal")))</f>
        <v>0</v>
      </c>
      <c r="AK733" t="b">
        <f>IF(metadata!J733="",FALSE,ISNUMBER(VALUE(metadata!J733)))</f>
        <v>0</v>
      </c>
      <c r="AL733" t="b">
        <f>AND(IF(metadata!K733="",FALSE,TRUE),EXACT(metadata!K733,"cm"))</f>
        <v>0</v>
      </c>
      <c r="AM733" t="b">
        <f>AND(IF(metadata!L733="",FALSE,TRUE),EXACT(metadata!L733,"human"))</f>
        <v>0</v>
      </c>
      <c r="AN733" t="b">
        <f>AND(IF(metadata!M733="",FALSE,TRUE),EXACT(metadata!M733,"Homo sapiens"))</f>
        <v>0</v>
      </c>
      <c r="AO733" t="b">
        <f>AND(IF(metadata!N733="",FALSE,TRUE),EXACT(metadata!N733,"9606"))</f>
        <v>0</v>
      </c>
      <c r="AP733" t="b">
        <f>IF(metadata!O733="",FALSE,TRUE)</f>
        <v>0</v>
      </c>
      <c r="AQ733" t="b">
        <f>IF(metadata!P733="",FALSE,TRUE)</f>
        <v>0</v>
      </c>
      <c r="AR733" t="b">
        <f>IF(metadata!Q733="",FALSE,ISNUMBER(VALUE(metadata!Q733)))</f>
        <v>0</v>
      </c>
      <c r="AS733" t="b">
        <f>AND(IF(metadata!R733="",FALSE,TRUE),EXACT(metadata!R733,"kg"))</f>
        <v>0</v>
      </c>
    </row>
    <row r="734" spans="1:45" x14ac:dyDescent="0.2">
      <c r="A734" s="5" t="str">
        <f ca="1">IF(B734=" "," ",HYPERLINK(CONCATENATE("#metadata!",ADDRESS(INDEX($X$2:$X$1001,MATCH(ROWS($V$2:V734),$V$2:$V$1001,0),0),1)),INDEX($AA$2:$AA$1001,MATCH(ROWS($V$2:V734),$V$2:$V$1001,0),0)))</f>
        <v xml:space="preserve"> </v>
      </c>
      <c r="B734" s="4" t="str">
        <f ca="1">IF(OR(INDEX($W$2:$W$1001,MATCH(ROWS($V$2:V734),$V$2:$V$1001,0),1)&gt;=100000,INDEX($AC$1005:$AS$1005,1,MATCH(COLUMNS($AC$1006:AC1006),$AC$1006:$AS$1006,0))&gt;=100000), " ",IF(INDEX($AC$2:$AS$1001,MATCH(ROWS($V$2:V734),$V$2:$V$1001,0),MATCH(COLUMNS($AC$1006:AC1006),$AC$1006:$AS$1006,0)), HYPERLINK("#",""), HYPERLINK(CONCATENATE("#metadata!", ADDRESS(INDEX($X$2:$X$1001,MATCH(ROWS($V$2:V734),$V$2:$V$1001,0),0), INDEX($AC$1004:$AS$1004,1,MATCH(COLUMNS($AC$1006:AC1006),$AC$1006:$AS$1006,0)))),"Fix")))</f>
        <v xml:space="preserve"> </v>
      </c>
      <c r="C734" s="4" t="str">
        <f ca="1">IF(OR(INDEX($W$2:$W$1001,MATCH(ROWS($V$2:V734),$V$2:$V$1001,0),1)&gt;=100000,INDEX($AC$1005:$AS$1005,1,MATCH(COLUMNS($AC$1006:AD1006),$AC$1006:$AS$1006,0))&gt;=100000), " ",IF(INDEX($AC$2:$AS$1001,MATCH(ROWS($V$2:V734),$V$2:$V$1001,0),MATCH(COLUMNS($AC$1006:AD1006),$AC$1006:$AS$1006,0)), HYPERLINK("#",""), HYPERLINK(CONCATENATE("#metadata!", ADDRESS(INDEX($X$2:$X$1001,MATCH(ROWS($V$2:V734),$V$2:$V$1001,0),0), INDEX($AC$1004:$AS$1004,1,MATCH(COLUMNS($AC$1006:AD1006),$AC$1006:$AS$1006,0)))),"Fix")))</f>
        <v xml:space="preserve"> </v>
      </c>
      <c r="D734" s="4" t="str">
        <f ca="1">IF(OR(INDEX($W$2:$W$1001,MATCH(ROWS($V$2:V734),$V$2:$V$1001,0),1)&gt;=100000,INDEX($AC$1005:$AS$1005,1,MATCH(COLUMNS($AC$1006:AE1006),$AC$1006:$AS$1006,0))&gt;=100000), " ",IF(INDEX($AC$2:$AS$1001,MATCH(ROWS($V$2:V734),$V$2:$V$1001,0),MATCH(COLUMNS($AC$1006:AE1006),$AC$1006:$AS$1006,0)), HYPERLINK("#",""), HYPERLINK(CONCATENATE("#metadata!", ADDRESS(INDEX($X$2:$X$1001,MATCH(ROWS($V$2:V734),$V$2:$V$1001,0),0), INDEX($AC$1004:$AS$1004,1,MATCH(COLUMNS($AC$1006:AE1006),$AC$1006:$AS$1006,0)))),"Fix")))</f>
        <v xml:space="preserve"> </v>
      </c>
      <c r="E734" s="4" t="str">
        <f ca="1">IF(OR(INDEX($W$2:$W$1001,MATCH(ROWS($V$2:V734),$V$2:$V$1001,0),1)&gt;=100000,INDEX($AC$1005:$AS$1005,1,MATCH(COLUMNS($AC$1006:AF1006),$AC$1006:$AS$1006,0))&gt;=100000), " ",IF(INDEX($AC$2:$AS$1001,MATCH(ROWS($V$2:V734),$V$2:$V$1001,0),MATCH(COLUMNS($AC$1006:AF1006),$AC$1006:$AS$1006,0)), HYPERLINK("#",""), HYPERLINK(CONCATENATE("#metadata!", ADDRESS(INDEX($X$2:$X$1001,MATCH(ROWS($V$2:V734),$V$2:$V$1001,0),0), INDEX($AC$1004:$AS$1004,1,MATCH(COLUMNS($AC$1006:AF1006),$AC$1006:$AS$1006,0)))),"Fix")))</f>
        <v xml:space="preserve"> </v>
      </c>
      <c r="F734" s="4" t="str">
        <f ca="1">IF(OR(INDEX($W$2:$W$1001,MATCH(ROWS($V$2:V734),$V$2:$V$1001,0),1)&gt;=100000,INDEX($AC$1005:$AS$1005,1,MATCH(COLUMNS($AC$1006:AG1006),$AC$1006:$AS$1006,0))&gt;=100000), " ",IF(INDEX($AC$2:$AS$1001,MATCH(ROWS($V$2:V734),$V$2:$V$1001,0),MATCH(COLUMNS($AC$1006:AG1006),$AC$1006:$AS$1006,0)), HYPERLINK("#",""), HYPERLINK(CONCATENATE("#metadata!", ADDRESS(INDEX($X$2:$X$1001,MATCH(ROWS($V$2:V734),$V$2:$V$1001,0),0), INDEX($AC$1004:$AS$1004,1,MATCH(COLUMNS($AC$1006:AG1006),$AC$1006:$AS$1006,0)))),"Fix")))</f>
        <v xml:space="preserve"> </v>
      </c>
      <c r="G734" s="4" t="str">
        <f ca="1">IF(OR(INDEX($W$2:$W$1001,MATCH(ROWS($V$2:V734),$V$2:$V$1001,0),1)&gt;=100000,INDEX($AC$1005:$AS$1005,1,MATCH(COLUMNS($AC$1006:AH1006),$AC$1006:$AS$1006,0))&gt;=100000), " ",IF(INDEX($AC$2:$AS$1001,MATCH(ROWS($V$2:V734),$V$2:$V$1001,0),MATCH(COLUMNS($AC$1006:AH1006),$AC$1006:$AS$1006,0)), HYPERLINK("#",""), HYPERLINK(CONCATENATE("#metadata!", ADDRESS(INDEX($X$2:$X$1001,MATCH(ROWS($V$2:V734),$V$2:$V$1001,0),0), INDEX($AC$1004:$AS$1004,1,MATCH(COLUMNS($AC$1006:AH1006),$AC$1006:$AS$1006,0)))),"Fix")))</f>
        <v xml:space="preserve"> </v>
      </c>
      <c r="H734" s="4" t="str">
        <f ca="1">IF(OR(INDEX($W$2:$W$1001,MATCH(ROWS($V$2:V734),$V$2:$V$1001,0),1)&gt;=100000,INDEX($AC$1005:$AS$1005,1,MATCH(COLUMNS($AC$1006:AI1006),$AC$1006:$AS$1006,0))&gt;=100000), " ",IF(INDEX($AC$2:$AS$1001,MATCH(ROWS($V$2:V734),$V$2:$V$1001,0),MATCH(COLUMNS($AC$1006:AI1006),$AC$1006:$AS$1006,0)), HYPERLINK("#",""), HYPERLINK(CONCATENATE("#metadata!", ADDRESS(INDEX($X$2:$X$1001,MATCH(ROWS($V$2:V734),$V$2:$V$1001,0),0), INDEX($AC$1004:$AS$1004,1,MATCH(COLUMNS($AC$1006:AI1006),$AC$1006:$AS$1006,0)))),"Fix")))</f>
        <v xml:space="preserve"> </v>
      </c>
      <c r="I734" s="4" t="str">
        <f ca="1">IF(OR(INDEX($W$2:$W$1001,MATCH(ROWS($V$2:V734),$V$2:$V$1001,0),1)&gt;=100000,INDEX($AC$1005:$AS$1005,1,MATCH(COLUMNS($AC$1006:AJ1006),$AC$1006:$AS$1006,0))&gt;=100000), " ",IF(INDEX($AC$2:$AS$1001,MATCH(ROWS($V$2:V734),$V$2:$V$1001,0),MATCH(COLUMNS($AC$1006:AJ1006),$AC$1006:$AS$1006,0)), HYPERLINK("#",""), HYPERLINK(CONCATENATE("#metadata!", ADDRESS(INDEX($X$2:$X$1001,MATCH(ROWS($V$2:V734),$V$2:$V$1001,0),0), INDEX($AC$1004:$AS$1004,1,MATCH(COLUMNS($AC$1006:AJ1006),$AC$1006:$AS$1006,0)))),"Fix")))</f>
        <v xml:space="preserve"> </v>
      </c>
      <c r="J734" s="4" t="str">
        <f ca="1">IF(OR(INDEX($W$2:$W$1001,MATCH(ROWS($V$2:V734),$V$2:$V$1001,0),1)&gt;=100000,INDEX($AC$1005:$AS$1005,1,MATCH(COLUMNS($AC$1006:AK1006),$AC$1006:$AS$1006,0))&gt;=100000), " ",IF(INDEX($AC$2:$AS$1001,MATCH(ROWS($V$2:V734),$V$2:$V$1001,0),MATCH(COLUMNS($AC$1006:AK1006),$AC$1006:$AS$1006,0)), HYPERLINK("#",""), HYPERLINK(CONCATENATE("#metadata!", ADDRESS(INDEX($X$2:$X$1001,MATCH(ROWS($V$2:V734),$V$2:$V$1001,0),0), INDEX($AC$1004:$AS$1004,1,MATCH(COLUMNS($AC$1006:AK1006),$AC$1006:$AS$1006,0)))),"Fix")))</f>
        <v xml:space="preserve"> </v>
      </c>
      <c r="K734" s="4" t="str">
        <f ca="1">IF(OR(INDEX($W$2:$W$1001,MATCH(ROWS($V$2:V734),$V$2:$V$1001,0),1)&gt;=100000,INDEX($AC$1005:$AS$1005,1,MATCH(COLUMNS($AC$1006:AL1006),$AC$1006:$AS$1006,0))&gt;=100000), " ",IF(INDEX($AC$2:$AS$1001,MATCH(ROWS($V$2:V734),$V$2:$V$1001,0),MATCH(COLUMNS($AC$1006:AL1006),$AC$1006:$AS$1006,0)), HYPERLINK("#",""), HYPERLINK(CONCATENATE("#metadata!", ADDRESS(INDEX($X$2:$X$1001,MATCH(ROWS($V$2:V734),$V$2:$V$1001,0),0), INDEX($AC$1004:$AS$1004,1,MATCH(COLUMNS($AC$1006:AL1006),$AC$1006:$AS$1006,0)))),"Fix")))</f>
        <v xml:space="preserve"> </v>
      </c>
      <c r="L734" s="4" t="str">
        <f ca="1">IF(OR(INDEX($W$2:$W$1001,MATCH(ROWS($V$2:V734),$V$2:$V$1001,0),1)&gt;=100000,INDEX($AC$1005:$AS$1005,1,MATCH(COLUMNS($AC$1006:AM1006),$AC$1006:$AS$1006,0))&gt;=100000), " ",IF(INDEX($AC$2:$AS$1001,MATCH(ROWS($V$2:V734),$V$2:$V$1001,0),MATCH(COLUMNS($AC$1006:AM1006),$AC$1006:$AS$1006,0)), HYPERLINK("#",""), HYPERLINK(CONCATENATE("#metadata!", ADDRESS(INDEX($X$2:$X$1001,MATCH(ROWS($V$2:V734),$V$2:$V$1001,0),0), INDEX($AC$1004:$AS$1004,1,MATCH(COLUMNS($AC$1006:AM1006),$AC$1006:$AS$1006,0)))),"Fix")))</f>
        <v xml:space="preserve"> </v>
      </c>
      <c r="M734" s="4" t="str">
        <f ca="1">IF(OR(INDEX($W$2:$W$1001,MATCH(ROWS($V$2:V734),$V$2:$V$1001,0),1)&gt;=100000,INDEX($AC$1005:$AS$1005,1,MATCH(COLUMNS($AC$1006:AN1006),$AC$1006:$AS$1006,0))&gt;=100000), " ",IF(INDEX($AC$2:$AS$1001,MATCH(ROWS($V$2:V734),$V$2:$V$1001,0),MATCH(COLUMNS($AC$1006:AN1006),$AC$1006:$AS$1006,0)), HYPERLINK("#",""), HYPERLINK(CONCATENATE("#metadata!", ADDRESS(INDEX($X$2:$X$1001,MATCH(ROWS($V$2:V734),$V$2:$V$1001,0),0), INDEX($AC$1004:$AS$1004,1,MATCH(COLUMNS($AC$1006:AN1006),$AC$1006:$AS$1006,0)))),"Fix")))</f>
        <v xml:space="preserve"> </v>
      </c>
      <c r="N734" s="4" t="str">
        <f ca="1">IF(OR(INDEX($W$2:$W$1001,MATCH(ROWS($V$2:V734),$V$2:$V$1001,0),1)&gt;=100000,INDEX($AC$1005:$AS$1005,1,MATCH(COLUMNS($AC$1006:AO1006),$AC$1006:$AS$1006,0))&gt;=100000), " ",IF(INDEX($AC$2:$AS$1001,MATCH(ROWS($V$2:V734),$V$2:$V$1001,0),MATCH(COLUMNS($AC$1006:AO1006),$AC$1006:$AS$1006,0)), HYPERLINK("#",""), HYPERLINK(CONCATENATE("#metadata!", ADDRESS(INDEX($X$2:$X$1001,MATCH(ROWS($V$2:V734),$V$2:$V$1001,0),0), INDEX($AC$1004:$AS$1004,1,MATCH(COLUMNS($AC$1006:AO1006),$AC$1006:$AS$1006,0)))),"Fix")))</f>
        <v xml:space="preserve"> </v>
      </c>
      <c r="O734" s="4" t="str">
        <f ca="1">IF(OR(INDEX($W$2:$W$1001,MATCH(ROWS($V$2:V734),$V$2:$V$1001,0),1)&gt;=100000,INDEX($AC$1005:$AS$1005,1,MATCH(COLUMNS($AC$1006:AP1006),$AC$1006:$AS$1006,0))&gt;=100000), " ",IF(INDEX($AC$2:$AS$1001,MATCH(ROWS($V$2:V734),$V$2:$V$1001,0),MATCH(COLUMNS($AC$1006:AP1006),$AC$1006:$AS$1006,0)), HYPERLINK("#",""), HYPERLINK(CONCATENATE("#metadata!", ADDRESS(INDEX($X$2:$X$1001,MATCH(ROWS($V$2:V734),$V$2:$V$1001,0),0), INDEX($AC$1004:$AS$1004,1,MATCH(COLUMNS($AC$1006:AP1006),$AC$1006:$AS$1006,0)))),"Fix")))</f>
        <v xml:space="preserve"> </v>
      </c>
      <c r="P734" s="4" t="str">
        <f ca="1">IF(OR(INDEX($W$2:$W$1001,MATCH(ROWS($V$2:V734),$V$2:$V$1001,0),1)&gt;=100000,INDEX($AC$1005:$AS$1005,1,MATCH(COLUMNS($AC$1006:AQ1006),$AC$1006:$AS$1006,0))&gt;=100000), " ",IF(INDEX($AC$2:$AS$1001,MATCH(ROWS($V$2:V734),$V$2:$V$1001,0),MATCH(COLUMNS($AC$1006:AQ1006),$AC$1006:$AS$1006,0)), HYPERLINK("#",""), HYPERLINK(CONCATENATE("#metadata!", ADDRESS(INDEX($X$2:$X$1001,MATCH(ROWS($V$2:V734),$V$2:$V$1001,0),0), INDEX($AC$1004:$AS$1004,1,MATCH(COLUMNS($AC$1006:AQ1006),$AC$1006:$AS$1006,0)))),"Fix")))</f>
        <v xml:space="preserve"> </v>
      </c>
      <c r="Q734" s="4" t="str">
        <f ca="1">IF(OR(INDEX($W$2:$W$1001,MATCH(ROWS($V$2:V734),$V$2:$V$1001,0),1)&gt;=100000,INDEX($AC$1005:$AS$1005,1,MATCH(COLUMNS($AC$1006:AR1006),$AC$1006:$AS$1006,0))&gt;=100000), " ",IF(INDEX($AC$2:$AS$1001,MATCH(ROWS($V$2:V734),$V$2:$V$1001,0),MATCH(COLUMNS($AC$1006:AR1006),$AC$1006:$AS$1006,0)), HYPERLINK("#",""), HYPERLINK(CONCATENATE("#metadata!", ADDRESS(INDEX($X$2:$X$1001,MATCH(ROWS($V$2:V734),$V$2:$V$1001,0),0), INDEX($AC$1004:$AS$1004,1,MATCH(COLUMNS($AC$1006:AR1006),$AC$1006:$AS$1006,0)))),"Fix")))</f>
        <v xml:space="preserve"> </v>
      </c>
      <c r="R734" s="4" t="str">
        <f ca="1">IF(OR(INDEX($W$2:$W$1001,MATCH(ROWS($V$2:V734),$V$2:$V$1001,0),1)&gt;=100000,INDEX($AC$1005:$AS$1005,1,MATCH(COLUMNS($AC$1006:AS1006),$AC$1006:$AS$1006,0))&gt;=100000), " ",IF(INDEX($AC$2:$AS$1001,MATCH(ROWS($V$2:V734),$V$2:$V$1001,0),MATCH(COLUMNS($AC$1006:AS1006),$AC$1006:$AS$1006,0)), HYPERLINK("#",""), HYPERLINK(CONCATENATE("#metadata!", ADDRESS(INDEX($X$2:$X$1001,MATCH(ROWS($V$2:V734),$V$2:$V$1001,0),0), INDEX($AC$1004:$AS$1004,1,MATCH(COLUMNS($AC$1006:AS1006),$AC$1006:$AS$1006,0)))),"Fix")))</f>
        <v xml:space="preserve"> </v>
      </c>
      <c r="V734">
        <v>733</v>
      </c>
      <c r="W734">
        <v>100734</v>
      </c>
      <c r="X734">
        <v>734</v>
      </c>
      <c r="Y734" t="b">
        <f t="shared" si="11"/>
        <v>1</v>
      </c>
      <c r="Z734" t="b">
        <f>COUNTBLANK(metadata!B734:R734)=COLUMNS(metadata!B734:R734)</f>
        <v>1</v>
      </c>
      <c r="AA734" t="str">
        <v/>
      </c>
      <c r="AC734" t="b">
        <f ca="1"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AD734" t="b">
        <f>IF(metadata!C734="",FALSE,ISNUMBER(VALUE(metadata!C734)))</f>
        <v>0</v>
      </c>
      <c r="AE734" t="b">
        <f>AND(IF(metadata!D734="",FALSE,TRUE),EXACT(metadata!D734,"years"))</f>
        <v>0</v>
      </c>
      <c r="AF734" t="b">
        <f>OR(AND(IF(metadata!E734="",FALSE,TRUE),OR(EXACT(metadata!E734,"not applicable"),EXACT(metadata!E734,"missing: not collected"),EXACT(metadata!E734,"missing: not provided"),EXACT(metadata!E734,"missing: restricted access"))),AND(IF(metadata!E734="",FALSE,ISNUMBER(VALUE(metadata!E734))),metadata!E734&gt;0))</f>
        <v>0</v>
      </c>
      <c r="AG734" t="b">
        <f>AND(IF(metadata!F734="",FALSE,TRUE),EXACT(metadata!F734,"Not applicable"))</f>
        <v>0</v>
      </c>
      <c r="AH734" t="b">
        <f>AND(IF(metadata!G734="",FALSE,TRUE),EXACT(metadata!G734,"urban biome"))</f>
        <v>0</v>
      </c>
      <c r="AI734" t="b">
        <f>AND(IF(metadata!H734="",FALSE,TRUE),EXACT(metadata!H734,"human-associated habitat"))</f>
        <v>0</v>
      </c>
      <c r="AJ734" t="b">
        <f>AND(IF(metadata!I734="",FALSE,TRUE),OR(EXACT(metadata!I734,"human-associated"),EXACT(metadata!I734,"human-skin"),EXACT(metadata!I734,"human-oral"),EXACT(metadata!I734,"human-gut"),EXACT(metadata!I734,"human-vaginal")))</f>
        <v>0</v>
      </c>
      <c r="AK734" t="b">
        <f>IF(metadata!J734="",FALSE,ISNUMBER(VALUE(metadata!J734)))</f>
        <v>0</v>
      </c>
      <c r="AL734" t="b">
        <f>AND(IF(metadata!K734="",FALSE,TRUE),EXACT(metadata!K734,"cm"))</f>
        <v>0</v>
      </c>
      <c r="AM734" t="b">
        <f>AND(IF(metadata!L734="",FALSE,TRUE),EXACT(metadata!L734,"human"))</f>
        <v>0</v>
      </c>
      <c r="AN734" t="b">
        <f>AND(IF(metadata!M734="",FALSE,TRUE),EXACT(metadata!M734,"Homo sapiens"))</f>
        <v>0</v>
      </c>
      <c r="AO734" t="b">
        <f>AND(IF(metadata!N734="",FALSE,TRUE),EXACT(metadata!N734,"9606"))</f>
        <v>0</v>
      </c>
      <c r="AP734" t="b">
        <f>IF(metadata!O734="",FALSE,TRUE)</f>
        <v>0</v>
      </c>
      <c r="AQ734" t="b">
        <f>IF(metadata!P734="",FALSE,TRUE)</f>
        <v>0</v>
      </c>
      <c r="AR734" t="b">
        <f>IF(metadata!Q734="",FALSE,ISNUMBER(VALUE(metadata!Q734)))</f>
        <v>0</v>
      </c>
      <c r="AS734" t="b">
        <f>AND(IF(metadata!R734="",FALSE,TRUE),EXACT(metadata!R734,"kg"))</f>
        <v>0</v>
      </c>
    </row>
    <row r="735" spans="1:45" x14ac:dyDescent="0.2">
      <c r="A735" s="5" t="str">
        <f ca="1">IF(B735=" "," ",HYPERLINK(CONCATENATE("#metadata!",ADDRESS(INDEX($X$2:$X$1001,MATCH(ROWS($V$2:V735),$V$2:$V$1001,0),0),1)),INDEX($AA$2:$AA$1001,MATCH(ROWS($V$2:V735),$V$2:$V$1001,0),0)))</f>
        <v xml:space="preserve"> </v>
      </c>
      <c r="B735" s="4" t="str">
        <f ca="1">IF(OR(INDEX($W$2:$W$1001,MATCH(ROWS($V$2:V735),$V$2:$V$1001,0),1)&gt;=100000,INDEX($AC$1005:$AS$1005,1,MATCH(COLUMNS($AC$1006:AC1006),$AC$1006:$AS$1006,0))&gt;=100000), " ",IF(INDEX($AC$2:$AS$1001,MATCH(ROWS($V$2:V735),$V$2:$V$1001,0),MATCH(COLUMNS($AC$1006:AC1006),$AC$1006:$AS$1006,0)), HYPERLINK("#",""), HYPERLINK(CONCATENATE("#metadata!", ADDRESS(INDEX($X$2:$X$1001,MATCH(ROWS($V$2:V735),$V$2:$V$1001,0),0), INDEX($AC$1004:$AS$1004,1,MATCH(COLUMNS($AC$1006:AC1006),$AC$1006:$AS$1006,0)))),"Fix")))</f>
        <v xml:space="preserve"> </v>
      </c>
      <c r="C735" s="4" t="str">
        <f ca="1">IF(OR(INDEX($W$2:$W$1001,MATCH(ROWS($V$2:V735),$V$2:$V$1001,0),1)&gt;=100000,INDEX($AC$1005:$AS$1005,1,MATCH(COLUMNS($AC$1006:AD1006),$AC$1006:$AS$1006,0))&gt;=100000), " ",IF(INDEX($AC$2:$AS$1001,MATCH(ROWS($V$2:V735),$V$2:$V$1001,0),MATCH(COLUMNS($AC$1006:AD1006),$AC$1006:$AS$1006,0)), HYPERLINK("#",""), HYPERLINK(CONCATENATE("#metadata!", ADDRESS(INDEX($X$2:$X$1001,MATCH(ROWS($V$2:V735),$V$2:$V$1001,0),0), INDEX($AC$1004:$AS$1004,1,MATCH(COLUMNS($AC$1006:AD1006),$AC$1006:$AS$1006,0)))),"Fix")))</f>
        <v xml:space="preserve"> </v>
      </c>
      <c r="D735" s="4" t="str">
        <f ca="1">IF(OR(INDEX($W$2:$W$1001,MATCH(ROWS($V$2:V735),$V$2:$V$1001,0),1)&gt;=100000,INDEX($AC$1005:$AS$1005,1,MATCH(COLUMNS($AC$1006:AE1006),$AC$1006:$AS$1006,0))&gt;=100000), " ",IF(INDEX($AC$2:$AS$1001,MATCH(ROWS($V$2:V735),$V$2:$V$1001,0),MATCH(COLUMNS($AC$1006:AE1006),$AC$1006:$AS$1006,0)), HYPERLINK("#",""), HYPERLINK(CONCATENATE("#metadata!", ADDRESS(INDEX($X$2:$X$1001,MATCH(ROWS($V$2:V735),$V$2:$V$1001,0),0), INDEX($AC$1004:$AS$1004,1,MATCH(COLUMNS($AC$1006:AE1006),$AC$1006:$AS$1006,0)))),"Fix")))</f>
        <v xml:space="preserve"> </v>
      </c>
      <c r="E735" s="4" t="str">
        <f ca="1">IF(OR(INDEX($W$2:$W$1001,MATCH(ROWS($V$2:V735),$V$2:$V$1001,0),1)&gt;=100000,INDEX($AC$1005:$AS$1005,1,MATCH(COLUMNS($AC$1006:AF1006),$AC$1006:$AS$1006,0))&gt;=100000), " ",IF(INDEX($AC$2:$AS$1001,MATCH(ROWS($V$2:V735),$V$2:$V$1001,0),MATCH(COLUMNS($AC$1006:AF1006),$AC$1006:$AS$1006,0)), HYPERLINK("#",""), HYPERLINK(CONCATENATE("#metadata!", ADDRESS(INDEX($X$2:$X$1001,MATCH(ROWS($V$2:V735),$V$2:$V$1001,0),0), INDEX($AC$1004:$AS$1004,1,MATCH(COLUMNS($AC$1006:AF1006),$AC$1006:$AS$1006,0)))),"Fix")))</f>
        <v xml:space="preserve"> </v>
      </c>
      <c r="F735" s="4" t="str">
        <f ca="1">IF(OR(INDEX($W$2:$W$1001,MATCH(ROWS($V$2:V735),$V$2:$V$1001,0),1)&gt;=100000,INDEX($AC$1005:$AS$1005,1,MATCH(COLUMNS($AC$1006:AG1006),$AC$1006:$AS$1006,0))&gt;=100000), " ",IF(INDEX($AC$2:$AS$1001,MATCH(ROWS($V$2:V735),$V$2:$V$1001,0),MATCH(COLUMNS($AC$1006:AG1006),$AC$1006:$AS$1006,0)), HYPERLINK("#",""), HYPERLINK(CONCATENATE("#metadata!", ADDRESS(INDEX($X$2:$X$1001,MATCH(ROWS($V$2:V735),$V$2:$V$1001,0),0), INDEX($AC$1004:$AS$1004,1,MATCH(COLUMNS($AC$1006:AG1006),$AC$1006:$AS$1006,0)))),"Fix")))</f>
        <v xml:space="preserve"> </v>
      </c>
      <c r="G735" s="4" t="str">
        <f ca="1">IF(OR(INDEX($W$2:$W$1001,MATCH(ROWS($V$2:V735),$V$2:$V$1001,0),1)&gt;=100000,INDEX($AC$1005:$AS$1005,1,MATCH(COLUMNS($AC$1006:AH1006),$AC$1006:$AS$1006,0))&gt;=100000), " ",IF(INDEX($AC$2:$AS$1001,MATCH(ROWS($V$2:V735),$V$2:$V$1001,0),MATCH(COLUMNS($AC$1006:AH1006),$AC$1006:$AS$1006,0)), HYPERLINK("#",""), HYPERLINK(CONCATENATE("#metadata!", ADDRESS(INDEX($X$2:$X$1001,MATCH(ROWS($V$2:V735),$V$2:$V$1001,0),0), INDEX($AC$1004:$AS$1004,1,MATCH(COLUMNS($AC$1006:AH1006),$AC$1006:$AS$1006,0)))),"Fix")))</f>
        <v xml:space="preserve"> </v>
      </c>
      <c r="H735" s="4" t="str">
        <f ca="1">IF(OR(INDEX($W$2:$W$1001,MATCH(ROWS($V$2:V735),$V$2:$V$1001,0),1)&gt;=100000,INDEX($AC$1005:$AS$1005,1,MATCH(COLUMNS($AC$1006:AI1006),$AC$1006:$AS$1006,0))&gt;=100000), " ",IF(INDEX($AC$2:$AS$1001,MATCH(ROWS($V$2:V735),$V$2:$V$1001,0),MATCH(COLUMNS($AC$1006:AI1006),$AC$1006:$AS$1006,0)), HYPERLINK("#",""), HYPERLINK(CONCATENATE("#metadata!", ADDRESS(INDEX($X$2:$X$1001,MATCH(ROWS($V$2:V735),$V$2:$V$1001,0),0), INDEX($AC$1004:$AS$1004,1,MATCH(COLUMNS($AC$1006:AI1006),$AC$1006:$AS$1006,0)))),"Fix")))</f>
        <v xml:space="preserve"> </v>
      </c>
      <c r="I735" s="4" t="str">
        <f ca="1">IF(OR(INDEX($W$2:$W$1001,MATCH(ROWS($V$2:V735),$V$2:$V$1001,0),1)&gt;=100000,INDEX($AC$1005:$AS$1005,1,MATCH(COLUMNS($AC$1006:AJ1006),$AC$1006:$AS$1006,0))&gt;=100000), " ",IF(INDEX($AC$2:$AS$1001,MATCH(ROWS($V$2:V735),$V$2:$V$1001,0),MATCH(COLUMNS($AC$1006:AJ1006),$AC$1006:$AS$1006,0)), HYPERLINK("#",""), HYPERLINK(CONCATENATE("#metadata!", ADDRESS(INDEX($X$2:$X$1001,MATCH(ROWS($V$2:V735),$V$2:$V$1001,0),0), INDEX($AC$1004:$AS$1004,1,MATCH(COLUMNS($AC$1006:AJ1006),$AC$1006:$AS$1006,0)))),"Fix")))</f>
        <v xml:space="preserve"> </v>
      </c>
      <c r="J735" s="4" t="str">
        <f ca="1">IF(OR(INDEX($W$2:$W$1001,MATCH(ROWS($V$2:V735),$V$2:$V$1001,0),1)&gt;=100000,INDEX($AC$1005:$AS$1005,1,MATCH(COLUMNS($AC$1006:AK1006),$AC$1006:$AS$1006,0))&gt;=100000), " ",IF(INDEX($AC$2:$AS$1001,MATCH(ROWS($V$2:V735),$V$2:$V$1001,0),MATCH(COLUMNS($AC$1006:AK1006),$AC$1006:$AS$1006,0)), HYPERLINK("#",""), HYPERLINK(CONCATENATE("#metadata!", ADDRESS(INDEX($X$2:$X$1001,MATCH(ROWS($V$2:V735),$V$2:$V$1001,0),0), INDEX($AC$1004:$AS$1004,1,MATCH(COLUMNS($AC$1006:AK1006),$AC$1006:$AS$1006,0)))),"Fix")))</f>
        <v xml:space="preserve"> </v>
      </c>
      <c r="K735" s="4" t="str">
        <f ca="1">IF(OR(INDEX($W$2:$W$1001,MATCH(ROWS($V$2:V735),$V$2:$V$1001,0),1)&gt;=100000,INDEX($AC$1005:$AS$1005,1,MATCH(COLUMNS($AC$1006:AL1006),$AC$1006:$AS$1006,0))&gt;=100000), " ",IF(INDEX($AC$2:$AS$1001,MATCH(ROWS($V$2:V735),$V$2:$V$1001,0),MATCH(COLUMNS($AC$1006:AL1006),$AC$1006:$AS$1006,0)), HYPERLINK("#",""), HYPERLINK(CONCATENATE("#metadata!", ADDRESS(INDEX($X$2:$X$1001,MATCH(ROWS($V$2:V735),$V$2:$V$1001,0),0), INDEX($AC$1004:$AS$1004,1,MATCH(COLUMNS($AC$1006:AL1006),$AC$1006:$AS$1006,0)))),"Fix")))</f>
        <v xml:space="preserve"> </v>
      </c>
      <c r="L735" s="4" t="str">
        <f ca="1">IF(OR(INDEX($W$2:$W$1001,MATCH(ROWS($V$2:V735),$V$2:$V$1001,0),1)&gt;=100000,INDEX($AC$1005:$AS$1005,1,MATCH(COLUMNS($AC$1006:AM1006),$AC$1006:$AS$1006,0))&gt;=100000), " ",IF(INDEX($AC$2:$AS$1001,MATCH(ROWS($V$2:V735),$V$2:$V$1001,0),MATCH(COLUMNS($AC$1006:AM1006),$AC$1006:$AS$1006,0)), HYPERLINK("#",""), HYPERLINK(CONCATENATE("#metadata!", ADDRESS(INDEX($X$2:$X$1001,MATCH(ROWS($V$2:V735),$V$2:$V$1001,0),0), INDEX($AC$1004:$AS$1004,1,MATCH(COLUMNS($AC$1006:AM1006),$AC$1006:$AS$1006,0)))),"Fix")))</f>
        <v xml:space="preserve"> </v>
      </c>
      <c r="M735" s="4" t="str">
        <f ca="1">IF(OR(INDEX($W$2:$W$1001,MATCH(ROWS($V$2:V735),$V$2:$V$1001,0),1)&gt;=100000,INDEX($AC$1005:$AS$1005,1,MATCH(COLUMNS($AC$1006:AN1006),$AC$1006:$AS$1006,0))&gt;=100000), " ",IF(INDEX($AC$2:$AS$1001,MATCH(ROWS($V$2:V735),$V$2:$V$1001,0),MATCH(COLUMNS($AC$1006:AN1006),$AC$1006:$AS$1006,0)), HYPERLINK("#",""), HYPERLINK(CONCATENATE("#metadata!", ADDRESS(INDEX($X$2:$X$1001,MATCH(ROWS($V$2:V735),$V$2:$V$1001,0),0), INDEX($AC$1004:$AS$1004,1,MATCH(COLUMNS($AC$1006:AN1006),$AC$1006:$AS$1006,0)))),"Fix")))</f>
        <v xml:space="preserve"> </v>
      </c>
      <c r="N735" s="4" t="str">
        <f ca="1">IF(OR(INDEX($W$2:$W$1001,MATCH(ROWS($V$2:V735),$V$2:$V$1001,0),1)&gt;=100000,INDEX($AC$1005:$AS$1005,1,MATCH(COLUMNS($AC$1006:AO1006),$AC$1006:$AS$1006,0))&gt;=100000), " ",IF(INDEX($AC$2:$AS$1001,MATCH(ROWS($V$2:V735),$V$2:$V$1001,0),MATCH(COLUMNS($AC$1006:AO1006),$AC$1006:$AS$1006,0)), HYPERLINK("#",""), HYPERLINK(CONCATENATE("#metadata!", ADDRESS(INDEX($X$2:$X$1001,MATCH(ROWS($V$2:V735),$V$2:$V$1001,0),0), INDEX($AC$1004:$AS$1004,1,MATCH(COLUMNS($AC$1006:AO1006),$AC$1006:$AS$1006,0)))),"Fix")))</f>
        <v xml:space="preserve"> </v>
      </c>
      <c r="O735" s="4" t="str">
        <f ca="1">IF(OR(INDEX($W$2:$W$1001,MATCH(ROWS($V$2:V735),$V$2:$V$1001,0),1)&gt;=100000,INDEX($AC$1005:$AS$1005,1,MATCH(COLUMNS($AC$1006:AP1006),$AC$1006:$AS$1006,0))&gt;=100000), " ",IF(INDEX($AC$2:$AS$1001,MATCH(ROWS($V$2:V735),$V$2:$V$1001,0),MATCH(COLUMNS($AC$1006:AP1006),$AC$1006:$AS$1006,0)), HYPERLINK("#",""), HYPERLINK(CONCATENATE("#metadata!", ADDRESS(INDEX($X$2:$X$1001,MATCH(ROWS($V$2:V735),$V$2:$V$1001,0),0), INDEX($AC$1004:$AS$1004,1,MATCH(COLUMNS($AC$1006:AP1006),$AC$1006:$AS$1006,0)))),"Fix")))</f>
        <v xml:space="preserve"> </v>
      </c>
      <c r="P735" s="4" t="str">
        <f ca="1">IF(OR(INDEX($W$2:$W$1001,MATCH(ROWS($V$2:V735),$V$2:$V$1001,0),1)&gt;=100000,INDEX($AC$1005:$AS$1005,1,MATCH(COLUMNS($AC$1006:AQ1006),$AC$1006:$AS$1006,0))&gt;=100000), " ",IF(INDEX($AC$2:$AS$1001,MATCH(ROWS($V$2:V735),$V$2:$V$1001,0),MATCH(COLUMNS($AC$1006:AQ1006),$AC$1006:$AS$1006,0)), HYPERLINK("#",""), HYPERLINK(CONCATENATE("#metadata!", ADDRESS(INDEX($X$2:$X$1001,MATCH(ROWS($V$2:V735),$V$2:$V$1001,0),0), INDEX($AC$1004:$AS$1004,1,MATCH(COLUMNS($AC$1006:AQ1006),$AC$1006:$AS$1006,0)))),"Fix")))</f>
        <v xml:space="preserve"> </v>
      </c>
      <c r="Q735" s="4" t="str">
        <f ca="1">IF(OR(INDEX($W$2:$W$1001,MATCH(ROWS($V$2:V735),$V$2:$V$1001,0),1)&gt;=100000,INDEX($AC$1005:$AS$1005,1,MATCH(COLUMNS($AC$1006:AR1006),$AC$1006:$AS$1006,0))&gt;=100000), " ",IF(INDEX($AC$2:$AS$1001,MATCH(ROWS($V$2:V735),$V$2:$V$1001,0),MATCH(COLUMNS($AC$1006:AR1006),$AC$1006:$AS$1006,0)), HYPERLINK("#",""), HYPERLINK(CONCATENATE("#metadata!", ADDRESS(INDEX($X$2:$X$1001,MATCH(ROWS($V$2:V735),$V$2:$V$1001,0),0), INDEX($AC$1004:$AS$1004,1,MATCH(COLUMNS($AC$1006:AR1006),$AC$1006:$AS$1006,0)))),"Fix")))</f>
        <v xml:space="preserve"> </v>
      </c>
      <c r="R735" s="4" t="str">
        <f ca="1">IF(OR(INDEX($W$2:$W$1001,MATCH(ROWS($V$2:V735),$V$2:$V$1001,0),1)&gt;=100000,INDEX($AC$1005:$AS$1005,1,MATCH(COLUMNS($AC$1006:AS1006),$AC$1006:$AS$1006,0))&gt;=100000), " ",IF(INDEX($AC$2:$AS$1001,MATCH(ROWS($V$2:V735),$V$2:$V$1001,0),MATCH(COLUMNS($AC$1006:AS1006),$AC$1006:$AS$1006,0)), HYPERLINK("#",""), HYPERLINK(CONCATENATE("#metadata!", ADDRESS(INDEX($X$2:$X$1001,MATCH(ROWS($V$2:V735),$V$2:$V$1001,0),0), INDEX($AC$1004:$AS$1004,1,MATCH(COLUMNS($AC$1006:AS1006),$AC$1006:$AS$1006,0)))),"Fix")))</f>
        <v xml:space="preserve"> </v>
      </c>
      <c r="V735">
        <v>734</v>
      </c>
      <c r="W735">
        <v>100735</v>
      </c>
      <c r="X735">
        <v>735</v>
      </c>
      <c r="Y735" t="b">
        <f t="shared" si="11"/>
        <v>1</v>
      </c>
      <c r="Z735" t="b">
        <f>COUNTBLANK(metadata!B735:R735)=COLUMNS(metadata!B735:R735)</f>
        <v>1</v>
      </c>
      <c r="AA735" t="str">
        <v/>
      </c>
      <c r="AC735" t="b">
        <f ca="1"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AD735" t="b">
        <f>IF(metadata!C735="",FALSE,ISNUMBER(VALUE(metadata!C735)))</f>
        <v>0</v>
      </c>
      <c r="AE735" t="b">
        <f>AND(IF(metadata!D735="",FALSE,TRUE),EXACT(metadata!D735,"years"))</f>
        <v>0</v>
      </c>
      <c r="AF735" t="b">
        <f>OR(AND(IF(metadata!E735="",FALSE,TRUE),OR(EXACT(metadata!E735,"not applicable"),EXACT(metadata!E735,"missing: not collected"),EXACT(metadata!E735,"missing: not provided"),EXACT(metadata!E735,"missing: restricted access"))),AND(IF(metadata!E735="",FALSE,ISNUMBER(VALUE(metadata!E735))),metadata!E735&gt;0))</f>
        <v>0</v>
      </c>
      <c r="AG735" t="b">
        <f>AND(IF(metadata!F735="",FALSE,TRUE),EXACT(metadata!F735,"Not applicable"))</f>
        <v>0</v>
      </c>
      <c r="AH735" t="b">
        <f>AND(IF(metadata!G735="",FALSE,TRUE),EXACT(metadata!G735,"urban biome"))</f>
        <v>0</v>
      </c>
      <c r="AI735" t="b">
        <f>AND(IF(metadata!H735="",FALSE,TRUE),EXACT(metadata!H735,"human-associated habitat"))</f>
        <v>0</v>
      </c>
      <c r="AJ735" t="b">
        <f>AND(IF(metadata!I735="",FALSE,TRUE),OR(EXACT(metadata!I735,"human-associated"),EXACT(metadata!I735,"human-skin"),EXACT(metadata!I735,"human-oral"),EXACT(metadata!I735,"human-gut"),EXACT(metadata!I735,"human-vaginal")))</f>
        <v>0</v>
      </c>
      <c r="AK735" t="b">
        <f>IF(metadata!J735="",FALSE,ISNUMBER(VALUE(metadata!J735)))</f>
        <v>0</v>
      </c>
      <c r="AL735" t="b">
        <f>AND(IF(metadata!K735="",FALSE,TRUE),EXACT(metadata!K735,"cm"))</f>
        <v>0</v>
      </c>
      <c r="AM735" t="b">
        <f>AND(IF(metadata!L735="",FALSE,TRUE),EXACT(metadata!L735,"human"))</f>
        <v>0</v>
      </c>
      <c r="AN735" t="b">
        <f>AND(IF(metadata!M735="",FALSE,TRUE),EXACT(metadata!M735,"Homo sapiens"))</f>
        <v>0</v>
      </c>
      <c r="AO735" t="b">
        <f>AND(IF(metadata!N735="",FALSE,TRUE),EXACT(metadata!N735,"9606"))</f>
        <v>0</v>
      </c>
      <c r="AP735" t="b">
        <f>IF(metadata!O735="",FALSE,TRUE)</f>
        <v>0</v>
      </c>
      <c r="AQ735" t="b">
        <f>IF(metadata!P735="",FALSE,TRUE)</f>
        <v>0</v>
      </c>
      <c r="AR735" t="b">
        <f>IF(metadata!Q735="",FALSE,ISNUMBER(VALUE(metadata!Q735)))</f>
        <v>0</v>
      </c>
      <c r="AS735" t="b">
        <f>AND(IF(metadata!R735="",FALSE,TRUE),EXACT(metadata!R735,"kg"))</f>
        <v>0</v>
      </c>
    </row>
    <row r="736" spans="1:45" x14ac:dyDescent="0.2">
      <c r="A736" s="5" t="str">
        <f ca="1">IF(B736=" "," ",HYPERLINK(CONCATENATE("#metadata!",ADDRESS(INDEX($X$2:$X$1001,MATCH(ROWS($V$2:V736),$V$2:$V$1001,0),0),1)),INDEX($AA$2:$AA$1001,MATCH(ROWS($V$2:V736),$V$2:$V$1001,0),0)))</f>
        <v xml:space="preserve"> </v>
      </c>
      <c r="B736" s="4" t="str">
        <f ca="1">IF(OR(INDEX($W$2:$W$1001,MATCH(ROWS($V$2:V736),$V$2:$V$1001,0),1)&gt;=100000,INDEX($AC$1005:$AS$1005,1,MATCH(COLUMNS($AC$1006:AC1006),$AC$1006:$AS$1006,0))&gt;=100000), " ",IF(INDEX($AC$2:$AS$1001,MATCH(ROWS($V$2:V736),$V$2:$V$1001,0),MATCH(COLUMNS($AC$1006:AC1006),$AC$1006:$AS$1006,0)), HYPERLINK("#",""), HYPERLINK(CONCATENATE("#metadata!", ADDRESS(INDEX($X$2:$X$1001,MATCH(ROWS($V$2:V736),$V$2:$V$1001,0),0), INDEX($AC$1004:$AS$1004,1,MATCH(COLUMNS($AC$1006:AC1006),$AC$1006:$AS$1006,0)))),"Fix")))</f>
        <v xml:space="preserve"> </v>
      </c>
      <c r="C736" s="4" t="str">
        <f ca="1">IF(OR(INDEX($W$2:$W$1001,MATCH(ROWS($V$2:V736),$V$2:$V$1001,0),1)&gt;=100000,INDEX($AC$1005:$AS$1005,1,MATCH(COLUMNS($AC$1006:AD1006),$AC$1006:$AS$1006,0))&gt;=100000), " ",IF(INDEX($AC$2:$AS$1001,MATCH(ROWS($V$2:V736),$V$2:$V$1001,0),MATCH(COLUMNS($AC$1006:AD1006),$AC$1006:$AS$1006,0)), HYPERLINK("#",""), HYPERLINK(CONCATENATE("#metadata!", ADDRESS(INDEX($X$2:$X$1001,MATCH(ROWS($V$2:V736),$V$2:$V$1001,0),0), INDEX($AC$1004:$AS$1004,1,MATCH(COLUMNS($AC$1006:AD1006),$AC$1006:$AS$1006,0)))),"Fix")))</f>
        <v xml:space="preserve"> </v>
      </c>
      <c r="D736" s="4" t="str">
        <f ca="1">IF(OR(INDEX($W$2:$W$1001,MATCH(ROWS($V$2:V736),$V$2:$V$1001,0),1)&gt;=100000,INDEX($AC$1005:$AS$1005,1,MATCH(COLUMNS($AC$1006:AE1006),$AC$1006:$AS$1006,0))&gt;=100000), " ",IF(INDEX($AC$2:$AS$1001,MATCH(ROWS($V$2:V736),$V$2:$V$1001,0),MATCH(COLUMNS($AC$1006:AE1006),$AC$1006:$AS$1006,0)), HYPERLINK("#",""), HYPERLINK(CONCATENATE("#metadata!", ADDRESS(INDEX($X$2:$X$1001,MATCH(ROWS($V$2:V736),$V$2:$V$1001,0),0), INDEX($AC$1004:$AS$1004,1,MATCH(COLUMNS($AC$1006:AE1006),$AC$1006:$AS$1006,0)))),"Fix")))</f>
        <v xml:space="preserve"> </v>
      </c>
      <c r="E736" s="4" t="str">
        <f ca="1">IF(OR(INDEX($W$2:$W$1001,MATCH(ROWS($V$2:V736),$V$2:$V$1001,0),1)&gt;=100000,INDEX($AC$1005:$AS$1005,1,MATCH(COLUMNS($AC$1006:AF1006),$AC$1006:$AS$1006,0))&gt;=100000), " ",IF(INDEX($AC$2:$AS$1001,MATCH(ROWS($V$2:V736),$V$2:$V$1001,0),MATCH(COLUMNS($AC$1006:AF1006),$AC$1006:$AS$1006,0)), HYPERLINK("#",""), HYPERLINK(CONCATENATE("#metadata!", ADDRESS(INDEX($X$2:$X$1001,MATCH(ROWS($V$2:V736),$V$2:$V$1001,0),0), INDEX($AC$1004:$AS$1004,1,MATCH(COLUMNS($AC$1006:AF1006),$AC$1006:$AS$1006,0)))),"Fix")))</f>
        <v xml:space="preserve"> </v>
      </c>
      <c r="F736" s="4" t="str">
        <f ca="1">IF(OR(INDEX($W$2:$W$1001,MATCH(ROWS($V$2:V736),$V$2:$V$1001,0),1)&gt;=100000,INDEX($AC$1005:$AS$1005,1,MATCH(COLUMNS($AC$1006:AG1006),$AC$1006:$AS$1006,0))&gt;=100000), " ",IF(INDEX($AC$2:$AS$1001,MATCH(ROWS($V$2:V736),$V$2:$V$1001,0),MATCH(COLUMNS($AC$1006:AG1006),$AC$1006:$AS$1006,0)), HYPERLINK("#",""), HYPERLINK(CONCATENATE("#metadata!", ADDRESS(INDEX($X$2:$X$1001,MATCH(ROWS($V$2:V736),$V$2:$V$1001,0),0), INDEX($AC$1004:$AS$1004,1,MATCH(COLUMNS($AC$1006:AG1006),$AC$1006:$AS$1006,0)))),"Fix")))</f>
        <v xml:space="preserve"> </v>
      </c>
      <c r="G736" s="4" t="str">
        <f ca="1">IF(OR(INDEX($W$2:$W$1001,MATCH(ROWS($V$2:V736),$V$2:$V$1001,0),1)&gt;=100000,INDEX($AC$1005:$AS$1005,1,MATCH(COLUMNS($AC$1006:AH1006),$AC$1006:$AS$1006,0))&gt;=100000), " ",IF(INDEX($AC$2:$AS$1001,MATCH(ROWS($V$2:V736),$V$2:$V$1001,0),MATCH(COLUMNS($AC$1006:AH1006),$AC$1006:$AS$1006,0)), HYPERLINK("#",""), HYPERLINK(CONCATENATE("#metadata!", ADDRESS(INDEX($X$2:$X$1001,MATCH(ROWS($V$2:V736),$V$2:$V$1001,0),0), INDEX($AC$1004:$AS$1004,1,MATCH(COLUMNS($AC$1006:AH1006),$AC$1006:$AS$1006,0)))),"Fix")))</f>
        <v xml:space="preserve"> </v>
      </c>
      <c r="H736" s="4" t="str">
        <f ca="1">IF(OR(INDEX($W$2:$W$1001,MATCH(ROWS($V$2:V736),$V$2:$V$1001,0),1)&gt;=100000,INDEX($AC$1005:$AS$1005,1,MATCH(COLUMNS($AC$1006:AI1006),$AC$1006:$AS$1006,0))&gt;=100000), " ",IF(INDEX($AC$2:$AS$1001,MATCH(ROWS($V$2:V736),$V$2:$V$1001,0),MATCH(COLUMNS($AC$1006:AI1006),$AC$1006:$AS$1006,0)), HYPERLINK("#",""), HYPERLINK(CONCATENATE("#metadata!", ADDRESS(INDEX($X$2:$X$1001,MATCH(ROWS($V$2:V736),$V$2:$V$1001,0),0), INDEX($AC$1004:$AS$1004,1,MATCH(COLUMNS($AC$1006:AI1006),$AC$1006:$AS$1006,0)))),"Fix")))</f>
        <v xml:space="preserve"> </v>
      </c>
      <c r="I736" s="4" t="str">
        <f ca="1">IF(OR(INDEX($W$2:$W$1001,MATCH(ROWS($V$2:V736),$V$2:$V$1001,0),1)&gt;=100000,INDEX($AC$1005:$AS$1005,1,MATCH(COLUMNS($AC$1006:AJ1006),$AC$1006:$AS$1006,0))&gt;=100000), " ",IF(INDEX($AC$2:$AS$1001,MATCH(ROWS($V$2:V736),$V$2:$V$1001,0),MATCH(COLUMNS($AC$1006:AJ1006),$AC$1006:$AS$1006,0)), HYPERLINK("#",""), HYPERLINK(CONCATENATE("#metadata!", ADDRESS(INDEX($X$2:$X$1001,MATCH(ROWS($V$2:V736),$V$2:$V$1001,0),0), INDEX($AC$1004:$AS$1004,1,MATCH(COLUMNS($AC$1006:AJ1006),$AC$1006:$AS$1006,0)))),"Fix")))</f>
        <v xml:space="preserve"> </v>
      </c>
      <c r="J736" s="4" t="str">
        <f ca="1">IF(OR(INDEX($W$2:$W$1001,MATCH(ROWS($V$2:V736),$V$2:$V$1001,0),1)&gt;=100000,INDEX($AC$1005:$AS$1005,1,MATCH(COLUMNS($AC$1006:AK1006),$AC$1006:$AS$1006,0))&gt;=100000), " ",IF(INDEX($AC$2:$AS$1001,MATCH(ROWS($V$2:V736),$V$2:$V$1001,0),MATCH(COLUMNS($AC$1006:AK1006),$AC$1006:$AS$1006,0)), HYPERLINK("#",""), HYPERLINK(CONCATENATE("#metadata!", ADDRESS(INDEX($X$2:$X$1001,MATCH(ROWS($V$2:V736),$V$2:$V$1001,0),0), INDEX($AC$1004:$AS$1004,1,MATCH(COLUMNS($AC$1006:AK1006),$AC$1006:$AS$1006,0)))),"Fix")))</f>
        <v xml:space="preserve"> </v>
      </c>
      <c r="K736" s="4" t="str">
        <f ca="1">IF(OR(INDEX($W$2:$W$1001,MATCH(ROWS($V$2:V736),$V$2:$V$1001,0),1)&gt;=100000,INDEX($AC$1005:$AS$1005,1,MATCH(COLUMNS($AC$1006:AL1006),$AC$1006:$AS$1006,0))&gt;=100000), " ",IF(INDEX($AC$2:$AS$1001,MATCH(ROWS($V$2:V736),$V$2:$V$1001,0),MATCH(COLUMNS($AC$1006:AL1006),$AC$1006:$AS$1006,0)), HYPERLINK("#",""), HYPERLINK(CONCATENATE("#metadata!", ADDRESS(INDEX($X$2:$X$1001,MATCH(ROWS($V$2:V736),$V$2:$V$1001,0),0), INDEX($AC$1004:$AS$1004,1,MATCH(COLUMNS($AC$1006:AL1006),$AC$1006:$AS$1006,0)))),"Fix")))</f>
        <v xml:space="preserve"> </v>
      </c>
      <c r="L736" s="4" t="str">
        <f ca="1">IF(OR(INDEX($W$2:$W$1001,MATCH(ROWS($V$2:V736),$V$2:$V$1001,0),1)&gt;=100000,INDEX($AC$1005:$AS$1005,1,MATCH(COLUMNS($AC$1006:AM1006),$AC$1006:$AS$1006,0))&gt;=100000), " ",IF(INDEX($AC$2:$AS$1001,MATCH(ROWS($V$2:V736),$V$2:$V$1001,0),MATCH(COLUMNS($AC$1006:AM1006),$AC$1006:$AS$1006,0)), HYPERLINK("#",""), HYPERLINK(CONCATENATE("#metadata!", ADDRESS(INDEX($X$2:$X$1001,MATCH(ROWS($V$2:V736),$V$2:$V$1001,0),0), INDEX($AC$1004:$AS$1004,1,MATCH(COLUMNS($AC$1006:AM1006),$AC$1006:$AS$1006,0)))),"Fix")))</f>
        <v xml:space="preserve"> </v>
      </c>
      <c r="M736" s="4" t="str">
        <f ca="1">IF(OR(INDEX($W$2:$W$1001,MATCH(ROWS($V$2:V736),$V$2:$V$1001,0),1)&gt;=100000,INDEX($AC$1005:$AS$1005,1,MATCH(COLUMNS($AC$1006:AN1006),$AC$1006:$AS$1006,0))&gt;=100000), " ",IF(INDEX($AC$2:$AS$1001,MATCH(ROWS($V$2:V736),$V$2:$V$1001,0),MATCH(COLUMNS($AC$1006:AN1006),$AC$1006:$AS$1006,0)), HYPERLINK("#",""), HYPERLINK(CONCATENATE("#metadata!", ADDRESS(INDEX($X$2:$X$1001,MATCH(ROWS($V$2:V736),$V$2:$V$1001,0),0), INDEX($AC$1004:$AS$1004,1,MATCH(COLUMNS($AC$1006:AN1006),$AC$1006:$AS$1006,0)))),"Fix")))</f>
        <v xml:space="preserve"> </v>
      </c>
      <c r="N736" s="4" t="str">
        <f ca="1">IF(OR(INDEX($W$2:$W$1001,MATCH(ROWS($V$2:V736),$V$2:$V$1001,0),1)&gt;=100000,INDEX($AC$1005:$AS$1005,1,MATCH(COLUMNS($AC$1006:AO1006),$AC$1006:$AS$1006,0))&gt;=100000), " ",IF(INDEX($AC$2:$AS$1001,MATCH(ROWS($V$2:V736),$V$2:$V$1001,0),MATCH(COLUMNS($AC$1006:AO1006),$AC$1006:$AS$1006,0)), HYPERLINK("#",""), HYPERLINK(CONCATENATE("#metadata!", ADDRESS(INDEX($X$2:$X$1001,MATCH(ROWS($V$2:V736),$V$2:$V$1001,0),0), INDEX($AC$1004:$AS$1004,1,MATCH(COLUMNS($AC$1006:AO1006),$AC$1006:$AS$1006,0)))),"Fix")))</f>
        <v xml:space="preserve"> </v>
      </c>
      <c r="O736" s="4" t="str">
        <f ca="1">IF(OR(INDEX($W$2:$W$1001,MATCH(ROWS($V$2:V736),$V$2:$V$1001,0),1)&gt;=100000,INDEX($AC$1005:$AS$1005,1,MATCH(COLUMNS($AC$1006:AP1006),$AC$1006:$AS$1006,0))&gt;=100000), " ",IF(INDEX($AC$2:$AS$1001,MATCH(ROWS($V$2:V736),$V$2:$V$1001,0),MATCH(COLUMNS($AC$1006:AP1006),$AC$1006:$AS$1006,0)), HYPERLINK("#",""), HYPERLINK(CONCATENATE("#metadata!", ADDRESS(INDEX($X$2:$X$1001,MATCH(ROWS($V$2:V736),$V$2:$V$1001,0),0), INDEX($AC$1004:$AS$1004,1,MATCH(COLUMNS($AC$1006:AP1006),$AC$1006:$AS$1006,0)))),"Fix")))</f>
        <v xml:space="preserve"> </v>
      </c>
      <c r="P736" s="4" t="str">
        <f ca="1">IF(OR(INDEX($W$2:$W$1001,MATCH(ROWS($V$2:V736),$V$2:$V$1001,0),1)&gt;=100000,INDEX($AC$1005:$AS$1005,1,MATCH(COLUMNS($AC$1006:AQ1006),$AC$1006:$AS$1006,0))&gt;=100000), " ",IF(INDEX($AC$2:$AS$1001,MATCH(ROWS($V$2:V736),$V$2:$V$1001,0),MATCH(COLUMNS($AC$1006:AQ1006),$AC$1006:$AS$1006,0)), HYPERLINK("#",""), HYPERLINK(CONCATENATE("#metadata!", ADDRESS(INDEX($X$2:$X$1001,MATCH(ROWS($V$2:V736),$V$2:$V$1001,0),0), INDEX($AC$1004:$AS$1004,1,MATCH(COLUMNS($AC$1006:AQ1006),$AC$1006:$AS$1006,0)))),"Fix")))</f>
        <v xml:space="preserve"> </v>
      </c>
      <c r="Q736" s="4" t="str">
        <f ca="1">IF(OR(INDEX($W$2:$W$1001,MATCH(ROWS($V$2:V736),$V$2:$V$1001,0),1)&gt;=100000,INDEX($AC$1005:$AS$1005,1,MATCH(COLUMNS($AC$1006:AR1006),$AC$1006:$AS$1006,0))&gt;=100000), " ",IF(INDEX($AC$2:$AS$1001,MATCH(ROWS($V$2:V736),$V$2:$V$1001,0),MATCH(COLUMNS($AC$1006:AR1006),$AC$1006:$AS$1006,0)), HYPERLINK("#",""), HYPERLINK(CONCATENATE("#metadata!", ADDRESS(INDEX($X$2:$X$1001,MATCH(ROWS($V$2:V736),$V$2:$V$1001,0),0), INDEX($AC$1004:$AS$1004,1,MATCH(COLUMNS($AC$1006:AR1006),$AC$1006:$AS$1006,0)))),"Fix")))</f>
        <v xml:space="preserve"> </v>
      </c>
      <c r="R736" s="4" t="str">
        <f ca="1">IF(OR(INDEX($W$2:$W$1001,MATCH(ROWS($V$2:V736),$V$2:$V$1001,0),1)&gt;=100000,INDEX($AC$1005:$AS$1005,1,MATCH(COLUMNS($AC$1006:AS1006),$AC$1006:$AS$1006,0))&gt;=100000), " ",IF(INDEX($AC$2:$AS$1001,MATCH(ROWS($V$2:V736),$V$2:$V$1001,0),MATCH(COLUMNS($AC$1006:AS1006),$AC$1006:$AS$1006,0)), HYPERLINK("#",""), HYPERLINK(CONCATENATE("#metadata!", ADDRESS(INDEX($X$2:$X$1001,MATCH(ROWS($V$2:V736),$V$2:$V$1001,0),0), INDEX($AC$1004:$AS$1004,1,MATCH(COLUMNS($AC$1006:AS1006),$AC$1006:$AS$1006,0)))),"Fix")))</f>
        <v xml:space="preserve"> </v>
      </c>
      <c r="V736">
        <v>735</v>
      </c>
      <c r="W736">
        <v>100736</v>
      </c>
      <c r="X736">
        <v>736</v>
      </c>
      <c r="Y736" t="b">
        <f t="shared" si="11"/>
        <v>1</v>
      </c>
      <c r="Z736" t="b">
        <f>COUNTBLANK(metadata!B736:R736)=COLUMNS(metadata!B736:R736)</f>
        <v>1</v>
      </c>
      <c r="AA736" t="str">
        <v/>
      </c>
      <c r="AC736" t="b">
        <f ca="1"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AD736" t="b">
        <f>IF(metadata!C736="",FALSE,ISNUMBER(VALUE(metadata!C736)))</f>
        <v>0</v>
      </c>
      <c r="AE736" t="b">
        <f>AND(IF(metadata!D736="",FALSE,TRUE),EXACT(metadata!D736,"years"))</f>
        <v>0</v>
      </c>
      <c r="AF736" t="b">
        <f>OR(AND(IF(metadata!E736="",FALSE,TRUE),OR(EXACT(metadata!E736,"not applicable"),EXACT(metadata!E736,"missing: not collected"),EXACT(metadata!E736,"missing: not provided"),EXACT(metadata!E736,"missing: restricted access"))),AND(IF(metadata!E736="",FALSE,ISNUMBER(VALUE(metadata!E736))),metadata!E736&gt;0))</f>
        <v>0</v>
      </c>
      <c r="AG736" t="b">
        <f>AND(IF(metadata!F736="",FALSE,TRUE),EXACT(metadata!F736,"Not applicable"))</f>
        <v>0</v>
      </c>
      <c r="AH736" t="b">
        <f>AND(IF(metadata!G736="",FALSE,TRUE),EXACT(metadata!G736,"urban biome"))</f>
        <v>0</v>
      </c>
      <c r="AI736" t="b">
        <f>AND(IF(metadata!H736="",FALSE,TRUE),EXACT(metadata!H736,"human-associated habitat"))</f>
        <v>0</v>
      </c>
      <c r="AJ736" t="b">
        <f>AND(IF(metadata!I736="",FALSE,TRUE),OR(EXACT(metadata!I736,"human-associated"),EXACT(metadata!I736,"human-skin"),EXACT(metadata!I736,"human-oral"),EXACT(metadata!I736,"human-gut"),EXACT(metadata!I736,"human-vaginal")))</f>
        <v>0</v>
      </c>
      <c r="AK736" t="b">
        <f>IF(metadata!J736="",FALSE,ISNUMBER(VALUE(metadata!J736)))</f>
        <v>0</v>
      </c>
      <c r="AL736" t="b">
        <f>AND(IF(metadata!K736="",FALSE,TRUE),EXACT(metadata!K736,"cm"))</f>
        <v>0</v>
      </c>
      <c r="AM736" t="b">
        <f>AND(IF(metadata!L736="",FALSE,TRUE),EXACT(metadata!L736,"human"))</f>
        <v>0</v>
      </c>
      <c r="AN736" t="b">
        <f>AND(IF(metadata!M736="",FALSE,TRUE),EXACT(metadata!M736,"Homo sapiens"))</f>
        <v>0</v>
      </c>
      <c r="AO736" t="b">
        <f>AND(IF(metadata!N736="",FALSE,TRUE),EXACT(metadata!N736,"9606"))</f>
        <v>0</v>
      </c>
      <c r="AP736" t="b">
        <f>IF(metadata!O736="",FALSE,TRUE)</f>
        <v>0</v>
      </c>
      <c r="AQ736" t="b">
        <f>IF(metadata!P736="",FALSE,TRUE)</f>
        <v>0</v>
      </c>
      <c r="AR736" t="b">
        <f>IF(metadata!Q736="",FALSE,ISNUMBER(VALUE(metadata!Q736)))</f>
        <v>0</v>
      </c>
      <c r="AS736" t="b">
        <f>AND(IF(metadata!R736="",FALSE,TRUE),EXACT(metadata!R736,"kg"))</f>
        <v>0</v>
      </c>
    </row>
    <row r="737" spans="1:45" x14ac:dyDescent="0.2">
      <c r="A737" s="5" t="str">
        <f ca="1">IF(B737=" "," ",HYPERLINK(CONCATENATE("#metadata!",ADDRESS(INDEX($X$2:$X$1001,MATCH(ROWS($V$2:V737),$V$2:$V$1001,0),0),1)),INDEX($AA$2:$AA$1001,MATCH(ROWS($V$2:V737),$V$2:$V$1001,0),0)))</f>
        <v xml:space="preserve"> </v>
      </c>
      <c r="B737" s="4" t="str">
        <f ca="1">IF(OR(INDEX($W$2:$W$1001,MATCH(ROWS($V$2:V737),$V$2:$V$1001,0),1)&gt;=100000,INDEX($AC$1005:$AS$1005,1,MATCH(COLUMNS($AC$1006:AC1006),$AC$1006:$AS$1006,0))&gt;=100000), " ",IF(INDEX($AC$2:$AS$1001,MATCH(ROWS($V$2:V737),$V$2:$V$1001,0),MATCH(COLUMNS($AC$1006:AC1006),$AC$1006:$AS$1006,0)), HYPERLINK("#",""), HYPERLINK(CONCATENATE("#metadata!", ADDRESS(INDEX($X$2:$X$1001,MATCH(ROWS($V$2:V737),$V$2:$V$1001,0),0), INDEX($AC$1004:$AS$1004,1,MATCH(COLUMNS($AC$1006:AC1006),$AC$1006:$AS$1006,0)))),"Fix")))</f>
        <v xml:space="preserve"> </v>
      </c>
      <c r="C737" s="4" t="str">
        <f ca="1">IF(OR(INDEX($W$2:$W$1001,MATCH(ROWS($V$2:V737),$V$2:$V$1001,0),1)&gt;=100000,INDEX($AC$1005:$AS$1005,1,MATCH(COLUMNS($AC$1006:AD1006),$AC$1006:$AS$1006,0))&gt;=100000), " ",IF(INDEX($AC$2:$AS$1001,MATCH(ROWS($V$2:V737),$V$2:$V$1001,0),MATCH(COLUMNS($AC$1006:AD1006),$AC$1006:$AS$1006,0)), HYPERLINK("#",""), HYPERLINK(CONCATENATE("#metadata!", ADDRESS(INDEX($X$2:$X$1001,MATCH(ROWS($V$2:V737),$V$2:$V$1001,0),0), INDEX($AC$1004:$AS$1004,1,MATCH(COLUMNS($AC$1006:AD1006),$AC$1006:$AS$1006,0)))),"Fix")))</f>
        <v xml:space="preserve"> </v>
      </c>
      <c r="D737" s="4" t="str">
        <f ca="1">IF(OR(INDEX($W$2:$W$1001,MATCH(ROWS($V$2:V737),$V$2:$V$1001,0),1)&gt;=100000,INDEX($AC$1005:$AS$1005,1,MATCH(COLUMNS($AC$1006:AE1006),$AC$1006:$AS$1006,0))&gt;=100000), " ",IF(INDEX($AC$2:$AS$1001,MATCH(ROWS($V$2:V737),$V$2:$V$1001,0),MATCH(COLUMNS($AC$1006:AE1006),$AC$1006:$AS$1006,0)), HYPERLINK("#",""), HYPERLINK(CONCATENATE("#metadata!", ADDRESS(INDEX($X$2:$X$1001,MATCH(ROWS($V$2:V737),$V$2:$V$1001,0),0), INDEX($AC$1004:$AS$1004,1,MATCH(COLUMNS($AC$1006:AE1006),$AC$1006:$AS$1006,0)))),"Fix")))</f>
        <v xml:space="preserve"> </v>
      </c>
      <c r="E737" s="4" t="str">
        <f ca="1">IF(OR(INDEX($W$2:$W$1001,MATCH(ROWS($V$2:V737),$V$2:$V$1001,0),1)&gt;=100000,INDEX($AC$1005:$AS$1005,1,MATCH(COLUMNS($AC$1006:AF1006),$AC$1006:$AS$1006,0))&gt;=100000), " ",IF(INDEX($AC$2:$AS$1001,MATCH(ROWS($V$2:V737),$V$2:$V$1001,0),MATCH(COLUMNS($AC$1006:AF1006),$AC$1006:$AS$1006,0)), HYPERLINK("#",""), HYPERLINK(CONCATENATE("#metadata!", ADDRESS(INDEX($X$2:$X$1001,MATCH(ROWS($V$2:V737),$V$2:$V$1001,0),0), INDEX($AC$1004:$AS$1004,1,MATCH(COLUMNS($AC$1006:AF1006),$AC$1006:$AS$1006,0)))),"Fix")))</f>
        <v xml:space="preserve"> </v>
      </c>
      <c r="F737" s="4" t="str">
        <f ca="1">IF(OR(INDEX($W$2:$W$1001,MATCH(ROWS($V$2:V737),$V$2:$V$1001,0),1)&gt;=100000,INDEX($AC$1005:$AS$1005,1,MATCH(COLUMNS($AC$1006:AG1006),$AC$1006:$AS$1006,0))&gt;=100000), " ",IF(INDEX($AC$2:$AS$1001,MATCH(ROWS($V$2:V737),$V$2:$V$1001,0),MATCH(COLUMNS($AC$1006:AG1006),$AC$1006:$AS$1006,0)), HYPERLINK("#",""), HYPERLINK(CONCATENATE("#metadata!", ADDRESS(INDEX($X$2:$X$1001,MATCH(ROWS($V$2:V737),$V$2:$V$1001,0),0), INDEX($AC$1004:$AS$1004,1,MATCH(COLUMNS($AC$1006:AG1006),$AC$1006:$AS$1006,0)))),"Fix")))</f>
        <v xml:space="preserve"> </v>
      </c>
      <c r="G737" s="4" t="str">
        <f ca="1">IF(OR(INDEX($W$2:$W$1001,MATCH(ROWS($V$2:V737),$V$2:$V$1001,0),1)&gt;=100000,INDEX($AC$1005:$AS$1005,1,MATCH(COLUMNS($AC$1006:AH1006),$AC$1006:$AS$1006,0))&gt;=100000), " ",IF(INDEX($AC$2:$AS$1001,MATCH(ROWS($V$2:V737),$V$2:$V$1001,0),MATCH(COLUMNS($AC$1006:AH1006),$AC$1006:$AS$1006,0)), HYPERLINK("#",""), HYPERLINK(CONCATENATE("#metadata!", ADDRESS(INDEX($X$2:$X$1001,MATCH(ROWS($V$2:V737),$V$2:$V$1001,0),0), INDEX($AC$1004:$AS$1004,1,MATCH(COLUMNS($AC$1006:AH1006),$AC$1006:$AS$1006,0)))),"Fix")))</f>
        <v xml:space="preserve"> </v>
      </c>
      <c r="H737" s="4" t="str">
        <f ca="1">IF(OR(INDEX($W$2:$W$1001,MATCH(ROWS($V$2:V737),$V$2:$V$1001,0),1)&gt;=100000,INDEX($AC$1005:$AS$1005,1,MATCH(COLUMNS($AC$1006:AI1006),$AC$1006:$AS$1006,0))&gt;=100000), " ",IF(INDEX($AC$2:$AS$1001,MATCH(ROWS($V$2:V737),$V$2:$V$1001,0),MATCH(COLUMNS($AC$1006:AI1006),$AC$1006:$AS$1006,0)), HYPERLINK("#",""), HYPERLINK(CONCATENATE("#metadata!", ADDRESS(INDEX($X$2:$X$1001,MATCH(ROWS($V$2:V737),$V$2:$V$1001,0),0), INDEX($AC$1004:$AS$1004,1,MATCH(COLUMNS($AC$1006:AI1006),$AC$1006:$AS$1006,0)))),"Fix")))</f>
        <v xml:space="preserve"> </v>
      </c>
      <c r="I737" s="4" t="str">
        <f ca="1">IF(OR(INDEX($W$2:$W$1001,MATCH(ROWS($V$2:V737),$V$2:$V$1001,0),1)&gt;=100000,INDEX($AC$1005:$AS$1005,1,MATCH(COLUMNS($AC$1006:AJ1006),$AC$1006:$AS$1006,0))&gt;=100000), " ",IF(INDEX($AC$2:$AS$1001,MATCH(ROWS($V$2:V737),$V$2:$V$1001,0),MATCH(COLUMNS($AC$1006:AJ1006),$AC$1006:$AS$1006,0)), HYPERLINK("#",""), HYPERLINK(CONCATENATE("#metadata!", ADDRESS(INDEX($X$2:$X$1001,MATCH(ROWS($V$2:V737),$V$2:$V$1001,0),0), INDEX($AC$1004:$AS$1004,1,MATCH(COLUMNS($AC$1006:AJ1006),$AC$1006:$AS$1006,0)))),"Fix")))</f>
        <v xml:space="preserve"> </v>
      </c>
      <c r="J737" s="4" t="str">
        <f ca="1">IF(OR(INDEX($W$2:$W$1001,MATCH(ROWS($V$2:V737),$V$2:$V$1001,0),1)&gt;=100000,INDEX($AC$1005:$AS$1005,1,MATCH(COLUMNS($AC$1006:AK1006),$AC$1006:$AS$1006,0))&gt;=100000), " ",IF(INDEX($AC$2:$AS$1001,MATCH(ROWS($V$2:V737),$V$2:$V$1001,0),MATCH(COLUMNS($AC$1006:AK1006),$AC$1006:$AS$1006,0)), HYPERLINK("#",""), HYPERLINK(CONCATENATE("#metadata!", ADDRESS(INDEX($X$2:$X$1001,MATCH(ROWS($V$2:V737),$V$2:$V$1001,0),0), INDEX($AC$1004:$AS$1004,1,MATCH(COLUMNS($AC$1006:AK1006),$AC$1006:$AS$1006,0)))),"Fix")))</f>
        <v xml:space="preserve"> </v>
      </c>
      <c r="K737" s="4" t="str">
        <f ca="1">IF(OR(INDEX($W$2:$W$1001,MATCH(ROWS($V$2:V737),$V$2:$V$1001,0),1)&gt;=100000,INDEX($AC$1005:$AS$1005,1,MATCH(COLUMNS($AC$1006:AL1006),$AC$1006:$AS$1006,0))&gt;=100000), " ",IF(INDEX($AC$2:$AS$1001,MATCH(ROWS($V$2:V737),$V$2:$V$1001,0),MATCH(COLUMNS($AC$1006:AL1006),$AC$1006:$AS$1006,0)), HYPERLINK("#",""), HYPERLINK(CONCATENATE("#metadata!", ADDRESS(INDEX($X$2:$X$1001,MATCH(ROWS($V$2:V737),$V$2:$V$1001,0),0), INDEX($AC$1004:$AS$1004,1,MATCH(COLUMNS($AC$1006:AL1006),$AC$1006:$AS$1006,0)))),"Fix")))</f>
        <v xml:space="preserve"> </v>
      </c>
      <c r="L737" s="4" t="str">
        <f ca="1">IF(OR(INDEX($W$2:$W$1001,MATCH(ROWS($V$2:V737),$V$2:$V$1001,0),1)&gt;=100000,INDEX($AC$1005:$AS$1005,1,MATCH(COLUMNS($AC$1006:AM1006),$AC$1006:$AS$1006,0))&gt;=100000), " ",IF(INDEX($AC$2:$AS$1001,MATCH(ROWS($V$2:V737),$V$2:$V$1001,0),MATCH(COLUMNS($AC$1006:AM1006),$AC$1006:$AS$1006,0)), HYPERLINK("#",""), HYPERLINK(CONCATENATE("#metadata!", ADDRESS(INDEX($X$2:$X$1001,MATCH(ROWS($V$2:V737),$V$2:$V$1001,0),0), INDEX($AC$1004:$AS$1004,1,MATCH(COLUMNS($AC$1006:AM1006),$AC$1006:$AS$1006,0)))),"Fix")))</f>
        <v xml:space="preserve"> </v>
      </c>
      <c r="M737" s="4" t="str">
        <f ca="1">IF(OR(INDEX($W$2:$W$1001,MATCH(ROWS($V$2:V737),$V$2:$V$1001,0),1)&gt;=100000,INDEX($AC$1005:$AS$1005,1,MATCH(COLUMNS($AC$1006:AN1006),$AC$1006:$AS$1006,0))&gt;=100000), " ",IF(INDEX($AC$2:$AS$1001,MATCH(ROWS($V$2:V737),$V$2:$V$1001,0),MATCH(COLUMNS($AC$1006:AN1006),$AC$1006:$AS$1006,0)), HYPERLINK("#",""), HYPERLINK(CONCATENATE("#metadata!", ADDRESS(INDEX($X$2:$X$1001,MATCH(ROWS($V$2:V737),$V$2:$V$1001,0),0), INDEX($AC$1004:$AS$1004,1,MATCH(COLUMNS($AC$1006:AN1006),$AC$1006:$AS$1006,0)))),"Fix")))</f>
        <v xml:space="preserve"> </v>
      </c>
      <c r="N737" s="4" t="str">
        <f ca="1">IF(OR(INDEX($W$2:$W$1001,MATCH(ROWS($V$2:V737),$V$2:$V$1001,0),1)&gt;=100000,INDEX($AC$1005:$AS$1005,1,MATCH(COLUMNS($AC$1006:AO1006),$AC$1006:$AS$1006,0))&gt;=100000), " ",IF(INDEX($AC$2:$AS$1001,MATCH(ROWS($V$2:V737),$V$2:$V$1001,0),MATCH(COLUMNS($AC$1006:AO1006),$AC$1006:$AS$1006,0)), HYPERLINK("#",""), HYPERLINK(CONCATENATE("#metadata!", ADDRESS(INDEX($X$2:$X$1001,MATCH(ROWS($V$2:V737),$V$2:$V$1001,0),0), INDEX($AC$1004:$AS$1004,1,MATCH(COLUMNS($AC$1006:AO1006),$AC$1006:$AS$1006,0)))),"Fix")))</f>
        <v xml:space="preserve"> </v>
      </c>
      <c r="O737" s="4" t="str">
        <f ca="1">IF(OR(INDEX($W$2:$W$1001,MATCH(ROWS($V$2:V737),$V$2:$V$1001,0),1)&gt;=100000,INDEX($AC$1005:$AS$1005,1,MATCH(COLUMNS($AC$1006:AP1006),$AC$1006:$AS$1006,0))&gt;=100000), " ",IF(INDEX($AC$2:$AS$1001,MATCH(ROWS($V$2:V737),$V$2:$V$1001,0),MATCH(COLUMNS($AC$1006:AP1006),$AC$1006:$AS$1006,0)), HYPERLINK("#",""), HYPERLINK(CONCATENATE("#metadata!", ADDRESS(INDEX($X$2:$X$1001,MATCH(ROWS($V$2:V737),$V$2:$V$1001,0),0), INDEX($AC$1004:$AS$1004,1,MATCH(COLUMNS($AC$1006:AP1006),$AC$1006:$AS$1006,0)))),"Fix")))</f>
        <v xml:space="preserve"> </v>
      </c>
      <c r="P737" s="4" t="str">
        <f ca="1">IF(OR(INDEX($W$2:$W$1001,MATCH(ROWS($V$2:V737),$V$2:$V$1001,0),1)&gt;=100000,INDEX($AC$1005:$AS$1005,1,MATCH(COLUMNS($AC$1006:AQ1006),$AC$1006:$AS$1006,0))&gt;=100000), " ",IF(INDEX($AC$2:$AS$1001,MATCH(ROWS($V$2:V737),$V$2:$V$1001,0),MATCH(COLUMNS($AC$1006:AQ1006),$AC$1006:$AS$1006,0)), HYPERLINK("#",""), HYPERLINK(CONCATENATE("#metadata!", ADDRESS(INDEX($X$2:$X$1001,MATCH(ROWS($V$2:V737),$V$2:$V$1001,0),0), INDEX($AC$1004:$AS$1004,1,MATCH(COLUMNS($AC$1006:AQ1006),$AC$1006:$AS$1006,0)))),"Fix")))</f>
        <v xml:space="preserve"> </v>
      </c>
      <c r="Q737" s="4" t="str">
        <f ca="1">IF(OR(INDEX($W$2:$W$1001,MATCH(ROWS($V$2:V737),$V$2:$V$1001,0),1)&gt;=100000,INDEX($AC$1005:$AS$1005,1,MATCH(COLUMNS($AC$1006:AR1006),$AC$1006:$AS$1006,0))&gt;=100000), " ",IF(INDEX($AC$2:$AS$1001,MATCH(ROWS($V$2:V737),$V$2:$V$1001,0),MATCH(COLUMNS($AC$1006:AR1006),$AC$1006:$AS$1006,0)), HYPERLINK("#",""), HYPERLINK(CONCATENATE("#metadata!", ADDRESS(INDEX($X$2:$X$1001,MATCH(ROWS($V$2:V737),$V$2:$V$1001,0),0), INDEX($AC$1004:$AS$1004,1,MATCH(COLUMNS($AC$1006:AR1006),$AC$1006:$AS$1006,0)))),"Fix")))</f>
        <v xml:space="preserve"> </v>
      </c>
      <c r="R737" s="4" t="str">
        <f ca="1">IF(OR(INDEX($W$2:$W$1001,MATCH(ROWS($V$2:V737),$V$2:$V$1001,0),1)&gt;=100000,INDEX($AC$1005:$AS$1005,1,MATCH(COLUMNS($AC$1006:AS1006),$AC$1006:$AS$1006,0))&gt;=100000), " ",IF(INDEX($AC$2:$AS$1001,MATCH(ROWS($V$2:V737),$V$2:$V$1001,0),MATCH(COLUMNS($AC$1006:AS1006),$AC$1006:$AS$1006,0)), HYPERLINK("#",""), HYPERLINK(CONCATENATE("#metadata!", ADDRESS(INDEX($X$2:$X$1001,MATCH(ROWS($V$2:V737),$V$2:$V$1001,0),0), INDEX($AC$1004:$AS$1004,1,MATCH(COLUMNS($AC$1006:AS1006),$AC$1006:$AS$1006,0)))),"Fix")))</f>
        <v xml:space="preserve"> </v>
      </c>
      <c r="V737">
        <v>736</v>
      </c>
      <c r="W737">
        <v>100737</v>
      </c>
      <c r="X737">
        <v>737</v>
      </c>
      <c r="Y737" t="b">
        <f t="shared" si="11"/>
        <v>1</v>
      </c>
      <c r="Z737" t="b">
        <f>COUNTBLANK(metadata!B737:R737)=COLUMNS(metadata!B737:R737)</f>
        <v>1</v>
      </c>
      <c r="AA737" t="str">
        <v/>
      </c>
      <c r="AC737" t="b">
        <f ca="1"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AD737" t="b">
        <f>IF(metadata!C737="",FALSE,ISNUMBER(VALUE(metadata!C737)))</f>
        <v>0</v>
      </c>
      <c r="AE737" t="b">
        <f>AND(IF(metadata!D737="",FALSE,TRUE),EXACT(metadata!D737,"years"))</f>
        <v>0</v>
      </c>
      <c r="AF737" t="b">
        <f>OR(AND(IF(metadata!E737="",FALSE,TRUE),OR(EXACT(metadata!E737,"not applicable"),EXACT(metadata!E737,"missing: not collected"),EXACT(metadata!E737,"missing: not provided"),EXACT(metadata!E737,"missing: restricted access"))),AND(IF(metadata!E737="",FALSE,ISNUMBER(VALUE(metadata!E737))),metadata!E737&gt;0))</f>
        <v>0</v>
      </c>
      <c r="AG737" t="b">
        <f>AND(IF(metadata!F737="",FALSE,TRUE),EXACT(metadata!F737,"Not applicable"))</f>
        <v>0</v>
      </c>
      <c r="AH737" t="b">
        <f>AND(IF(metadata!G737="",FALSE,TRUE),EXACT(metadata!G737,"urban biome"))</f>
        <v>0</v>
      </c>
      <c r="AI737" t="b">
        <f>AND(IF(metadata!H737="",FALSE,TRUE),EXACT(metadata!H737,"human-associated habitat"))</f>
        <v>0</v>
      </c>
      <c r="AJ737" t="b">
        <f>AND(IF(metadata!I737="",FALSE,TRUE),OR(EXACT(metadata!I737,"human-associated"),EXACT(metadata!I737,"human-skin"),EXACT(metadata!I737,"human-oral"),EXACT(metadata!I737,"human-gut"),EXACT(metadata!I737,"human-vaginal")))</f>
        <v>0</v>
      </c>
      <c r="AK737" t="b">
        <f>IF(metadata!J737="",FALSE,ISNUMBER(VALUE(metadata!J737)))</f>
        <v>0</v>
      </c>
      <c r="AL737" t="b">
        <f>AND(IF(metadata!K737="",FALSE,TRUE),EXACT(metadata!K737,"cm"))</f>
        <v>0</v>
      </c>
      <c r="AM737" t="b">
        <f>AND(IF(metadata!L737="",FALSE,TRUE),EXACT(metadata!L737,"human"))</f>
        <v>0</v>
      </c>
      <c r="AN737" t="b">
        <f>AND(IF(metadata!M737="",FALSE,TRUE),EXACT(metadata!M737,"Homo sapiens"))</f>
        <v>0</v>
      </c>
      <c r="AO737" t="b">
        <f>AND(IF(metadata!N737="",FALSE,TRUE),EXACT(metadata!N737,"9606"))</f>
        <v>0</v>
      </c>
      <c r="AP737" t="b">
        <f>IF(metadata!O737="",FALSE,TRUE)</f>
        <v>0</v>
      </c>
      <c r="AQ737" t="b">
        <f>IF(metadata!P737="",FALSE,TRUE)</f>
        <v>0</v>
      </c>
      <c r="AR737" t="b">
        <f>IF(metadata!Q737="",FALSE,ISNUMBER(VALUE(metadata!Q737)))</f>
        <v>0</v>
      </c>
      <c r="AS737" t="b">
        <f>AND(IF(metadata!R737="",FALSE,TRUE),EXACT(metadata!R737,"kg"))</f>
        <v>0</v>
      </c>
    </row>
    <row r="738" spans="1:45" x14ac:dyDescent="0.2">
      <c r="A738" s="5" t="str">
        <f ca="1">IF(B738=" "," ",HYPERLINK(CONCATENATE("#metadata!",ADDRESS(INDEX($X$2:$X$1001,MATCH(ROWS($V$2:V738),$V$2:$V$1001,0),0),1)),INDEX($AA$2:$AA$1001,MATCH(ROWS($V$2:V738),$V$2:$V$1001,0),0)))</f>
        <v xml:space="preserve"> </v>
      </c>
      <c r="B738" s="4" t="str">
        <f ca="1">IF(OR(INDEX($W$2:$W$1001,MATCH(ROWS($V$2:V738),$V$2:$V$1001,0),1)&gt;=100000,INDEX($AC$1005:$AS$1005,1,MATCH(COLUMNS($AC$1006:AC1006),$AC$1006:$AS$1006,0))&gt;=100000), " ",IF(INDEX($AC$2:$AS$1001,MATCH(ROWS($V$2:V738),$V$2:$V$1001,0),MATCH(COLUMNS($AC$1006:AC1006),$AC$1006:$AS$1006,0)), HYPERLINK("#",""), HYPERLINK(CONCATENATE("#metadata!", ADDRESS(INDEX($X$2:$X$1001,MATCH(ROWS($V$2:V738),$V$2:$V$1001,0),0), INDEX($AC$1004:$AS$1004,1,MATCH(COLUMNS($AC$1006:AC1006),$AC$1006:$AS$1006,0)))),"Fix")))</f>
        <v xml:space="preserve"> </v>
      </c>
      <c r="C738" s="4" t="str">
        <f ca="1">IF(OR(INDEX($W$2:$W$1001,MATCH(ROWS($V$2:V738),$V$2:$V$1001,0),1)&gt;=100000,INDEX($AC$1005:$AS$1005,1,MATCH(COLUMNS($AC$1006:AD1006),$AC$1006:$AS$1006,0))&gt;=100000), " ",IF(INDEX($AC$2:$AS$1001,MATCH(ROWS($V$2:V738),$V$2:$V$1001,0),MATCH(COLUMNS($AC$1006:AD1006),$AC$1006:$AS$1006,0)), HYPERLINK("#",""), HYPERLINK(CONCATENATE("#metadata!", ADDRESS(INDEX($X$2:$X$1001,MATCH(ROWS($V$2:V738),$V$2:$V$1001,0),0), INDEX($AC$1004:$AS$1004,1,MATCH(COLUMNS($AC$1006:AD1006),$AC$1006:$AS$1006,0)))),"Fix")))</f>
        <v xml:space="preserve"> </v>
      </c>
      <c r="D738" s="4" t="str">
        <f ca="1">IF(OR(INDEX($W$2:$W$1001,MATCH(ROWS($V$2:V738),$V$2:$V$1001,0),1)&gt;=100000,INDEX($AC$1005:$AS$1005,1,MATCH(COLUMNS($AC$1006:AE1006),$AC$1006:$AS$1006,0))&gt;=100000), " ",IF(INDEX($AC$2:$AS$1001,MATCH(ROWS($V$2:V738),$V$2:$V$1001,0),MATCH(COLUMNS($AC$1006:AE1006),$AC$1006:$AS$1006,0)), HYPERLINK("#",""), HYPERLINK(CONCATENATE("#metadata!", ADDRESS(INDEX($X$2:$X$1001,MATCH(ROWS($V$2:V738),$V$2:$V$1001,0),0), INDEX($AC$1004:$AS$1004,1,MATCH(COLUMNS($AC$1006:AE1006),$AC$1006:$AS$1006,0)))),"Fix")))</f>
        <v xml:space="preserve"> </v>
      </c>
      <c r="E738" s="4" t="str">
        <f ca="1">IF(OR(INDEX($W$2:$W$1001,MATCH(ROWS($V$2:V738),$V$2:$V$1001,0),1)&gt;=100000,INDEX($AC$1005:$AS$1005,1,MATCH(COLUMNS($AC$1006:AF1006),$AC$1006:$AS$1006,0))&gt;=100000), " ",IF(INDEX($AC$2:$AS$1001,MATCH(ROWS($V$2:V738),$V$2:$V$1001,0),MATCH(COLUMNS($AC$1006:AF1006),$AC$1006:$AS$1006,0)), HYPERLINK("#",""), HYPERLINK(CONCATENATE("#metadata!", ADDRESS(INDEX($X$2:$X$1001,MATCH(ROWS($V$2:V738),$V$2:$V$1001,0),0), INDEX($AC$1004:$AS$1004,1,MATCH(COLUMNS($AC$1006:AF1006),$AC$1006:$AS$1006,0)))),"Fix")))</f>
        <v xml:space="preserve"> </v>
      </c>
      <c r="F738" s="4" t="str">
        <f ca="1">IF(OR(INDEX($W$2:$W$1001,MATCH(ROWS($V$2:V738),$V$2:$V$1001,0),1)&gt;=100000,INDEX($AC$1005:$AS$1005,1,MATCH(COLUMNS($AC$1006:AG1006),$AC$1006:$AS$1006,0))&gt;=100000), " ",IF(INDEX($AC$2:$AS$1001,MATCH(ROWS($V$2:V738),$V$2:$V$1001,0),MATCH(COLUMNS($AC$1006:AG1006),$AC$1006:$AS$1006,0)), HYPERLINK("#",""), HYPERLINK(CONCATENATE("#metadata!", ADDRESS(INDEX($X$2:$X$1001,MATCH(ROWS($V$2:V738),$V$2:$V$1001,0),0), INDEX($AC$1004:$AS$1004,1,MATCH(COLUMNS($AC$1006:AG1006),$AC$1006:$AS$1006,0)))),"Fix")))</f>
        <v xml:space="preserve"> </v>
      </c>
      <c r="G738" s="4" t="str">
        <f ca="1">IF(OR(INDEX($W$2:$W$1001,MATCH(ROWS($V$2:V738),$V$2:$V$1001,0),1)&gt;=100000,INDEX($AC$1005:$AS$1005,1,MATCH(COLUMNS($AC$1006:AH1006),$AC$1006:$AS$1006,0))&gt;=100000), " ",IF(INDEX($AC$2:$AS$1001,MATCH(ROWS($V$2:V738),$V$2:$V$1001,0),MATCH(COLUMNS($AC$1006:AH1006),$AC$1006:$AS$1006,0)), HYPERLINK("#",""), HYPERLINK(CONCATENATE("#metadata!", ADDRESS(INDEX($X$2:$X$1001,MATCH(ROWS($V$2:V738),$V$2:$V$1001,0),0), INDEX($AC$1004:$AS$1004,1,MATCH(COLUMNS($AC$1006:AH1006),$AC$1006:$AS$1006,0)))),"Fix")))</f>
        <v xml:space="preserve"> </v>
      </c>
      <c r="H738" s="4" t="str">
        <f ca="1">IF(OR(INDEX($W$2:$W$1001,MATCH(ROWS($V$2:V738),$V$2:$V$1001,0),1)&gt;=100000,INDEX($AC$1005:$AS$1005,1,MATCH(COLUMNS($AC$1006:AI1006),$AC$1006:$AS$1006,0))&gt;=100000), " ",IF(INDEX($AC$2:$AS$1001,MATCH(ROWS($V$2:V738),$V$2:$V$1001,0),MATCH(COLUMNS($AC$1006:AI1006),$AC$1006:$AS$1006,0)), HYPERLINK("#",""), HYPERLINK(CONCATENATE("#metadata!", ADDRESS(INDEX($X$2:$X$1001,MATCH(ROWS($V$2:V738),$V$2:$V$1001,0),0), INDEX($AC$1004:$AS$1004,1,MATCH(COLUMNS($AC$1006:AI1006),$AC$1006:$AS$1006,0)))),"Fix")))</f>
        <v xml:space="preserve"> </v>
      </c>
      <c r="I738" s="4" t="str">
        <f ca="1">IF(OR(INDEX($W$2:$W$1001,MATCH(ROWS($V$2:V738),$V$2:$V$1001,0),1)&gt;=100000,INDEX($AC$1005:$AS$1005,1,MATCH(COLUMNS($AC$1006:AJ1006),$AC$1006:$AS$1006,0))&gt;=100000), " ",IF(INDEX($AC$2:$AS$1001,MATCH(ROWS($V$2:V738),$V$2:$V$1001,0),MATCH(COLUMNS($AC$1006:AJ1006),$AC$1006:$AS$1006,0)), HYPERLINK("#",""), HYPERLINK(CONCATENATE("#metadata!", ADDRESS(INDEX($X$2:$X$1001,MATCH(ROWS($V$2:V738),$V$2:$V$1001,0),0), INDEX($AC$1004:$AS$1004,1,MATCH(COLUMNS($AC$1006:AJ1006),$AC$1006:$AS$1006,0)))),"Fix")))</f>
        <v xml:space="preserve"> </v>
      </c>
      <c r="J738" s="4" t="str">
        <f ca="1">IF(OR(INDEX($W$2:$W$1001,MATCH(ROWS($V$2:V738),$V$2:$V$1001,0),1)&gt;=100000,INDEX($AC$1005:$AS$1005,1,MATCH(COLUMNS($AC$1006:AK1006),$AC$1006:$AS$1006,0))&gt;=100000), " ",IF(INDEX($AC$2:$AS$1001,MATCH(ROWS($V$2:V738),$V$2:$V$1001,0),MATCH(COLUMNS($AC$1006:AK1006),$AC$1006:$AS$1006,0)), HYPERLINK("#",""), HYPERLINK(CONCATENATE("#metadata!", ADDRESS(INDEX($X$2:$X$1001,MATCH(ROWS($V$2:V738),$V$2:$V$1001,0),0), INDEX($AC$1004:$AS$1004,1,MATCH(COLUMNS($AC$1006:AK1006),$AC$1006:$AS$1006,0)))),"Fix")))</f>
        <v xml:space="preserve"> </v>
      </c>
      <c r="K738" s="4" t="str">
        <f ca="1">IF(OR(INDEX($W$2:$W$1001,MATCH(ROWS($V$2:V738),$V$2:$V$1001,0),1)&gt;=100000,INDEX($AC$1005:$AS$1005,1,MATCH(COLUMNS($AC$1006:AL1006),$AC$1006:$AS$1006,0))&gt;=100000), " ",IF(INDEX($AC$2:$AS$1001,MATCH(ROWS($V$2:V738),$V$2:$V$1001,0),MATCH(COLUMNS($AC$1006:AL1006),$AC$1006:$AS$1006,0)), HYPERLINK("#",""), HYPERLINK(CONCATENATE("#metadata!", ADDRESS(INDEX($X$2:$X$1001,MATCH(ROWS($V$2:V738),$V$2:$V$1001,0),0), INDEX($AC$1004:$AS$1004,1,MATCH(COLUMNS($AC$1006:AL1006),$AC$1006:$AS$1006,0)))),"Fix")))</f>
        <v xml:space="preserve"> </v>
      </c>
      <c r="L738" s="4" t="str">
        <f ca="1">IF(OR(INDEX($W$2:$W$1001,MATCH(ROWS($V$2:V738),$V$2:$V$1001,0),1)&gt;=100000,INDEX($AC$1005:$AS$1005,1,MATCH(COLUMNS($AC$1006:AM1006),$AC$1006:$AS$1006,0))&gt;=100000), " ",IF(INDEX($AC$2:$AS$1001,MATCH(ROWS($V$2:V738),$V$2:$V$1001,0),MATCH(COLUMNS($AC$1006:AM1006),$AC$1006:$AS$1006,0)), HYPERLINK("#",""), HYPERLINK(CONCATENATE("#metadata!", ADDRESS(INDEX($X$2:$X$1001,MATCH(ROWS($V$2:V738),$V$2:$V$1001,0),0), INDEX($AC$1004:$AS$1004,1,MATCH(COLUMNS($AC$1006:AM1006),$AC$1006:$AS$1006,0)))),"Fix")))</f>
        <v xml:space="preserve"> </v>
      </c>
      <c r="M738" s="4" t="str">
        <f ca="1">IF(OR(INDEX($W$2:$W$1001,MATCH(ROWS($V$2:V738),$V$2:$V$1001,0),1)&gt;=100000,INDEX($AC$1005:$AS$1005,1,MATCH(COLUMNS($AC$1006:AN1006),$AC$1006:$AS$1006,0))&gt;=100000), " ",IF(INDEX($AC$2:$AS$1001,MATCH(ROWS($V$2:V738),$V$2:$V$1001,0),MATCH(COLUMNS($AC$1006:AN1006),$AC$1006:$AS$1006,0)), HYPERLINK("#",""), HYPERLINK(CONCATENATE("#metadata!", ADDRESS(INDEX($X$2:$X$1001,MATCH(ROWS($V$2:V738),$V$2:$V$1001,0),0), INDEX($AC$1004:$AS$1004,1,MATCH(COLUMNS($AC$1006:AN1006),$AC$1006:$AS$1006,0)))),"Fix")))</f>
        <v xml:space="preserve"> </v>
      </c>
      <c r="N738" s="4" t="str">
        <f ca="1">IF(OR(INDEX($W$2:$W$1001,MATCH(ROWS($V$2:V738),$V$2:$V$1001,0),1)&gt;=100000,INDEX($AC$1005:$AS$1005,1,MATCH(COLUMNS($AC$1006:AO1006),$AC$1006:$AS$1006,0))&gt;=100000), " ",IF(INDEX($AC$2:$AS$1001,MATCH(ROWS($V$2:V738),$V$2:$V$1001,0),MATCH(COLUMNS($AC$1006:AO1006),$AC$1006:$AS$1006,0)), HYPERLINK("#",""), HYPERLINK(CONCATENATE("#metadata!", ADDRESS(INDEX($X$2:$X$1001,MATCH(ROWS($V$2:V738),$V$2:$V$1001,0),0), INDEX($AC$1004:$AS$1004,1,MATCH(COLUMNS($AC$1006:AO1006),$AC$1006:$AS$1006,0)))),"Fix")))</f>
        <v xml:space="preserve"> </v>
      </c>
      <c r="O738" s="4" t="str">
        <f ca="1">IF(OR(INDEX($W$2:$W$1001,MATCH(ROWS($V$2:V738),$V$2:$V$1001,0),1)&gt;=100000,INDEX($AC$1005:$AS$1005,1,MATCH(COLUMNS($AC$1006:AP1006),$AC$1006:$AS$1006,0))&gt;=100000), " ",IF(INDEX($AC$2:$AS$1001,MATCH(ROWS($V$2:V738),$V$2:$V$1001,0),MATCH(COLUMNS($AC$1006:AP1006),$AC$1006:$AS$1006,0)), HYPERLINK("#",""), HYPERLINK(CONCATENATE("#metadata!", ADDRESS(INDEX($X$2:$X$1001,MATCH(ROWS($V$2:V738),$V$2:$V$1001,0),0), INDEX($AC$1004:$AS$1004,1,MATCH(COLUMNS($AC$1006:AP1006),$AC$1006:$AS$1006,0)))),"Fix")))</f>
        <v xml:space="preserve"> </v>
      </c>
      <c r="P738" s="4" t="str">
        <f ca="1">IF(OR(INDEX($W$2:$W$1001,MATCH(ROWS($V$2:V738),$V$2:$V$1001,0),1)&gt;=100000,INDEX($AC$1005:$AS$1005,1,MATCH(COLUMNS($AC$1006:AQ1006),$AC$1006:$AS$1006,0))&gt;=100000), " ",IF(INDEX($AC$2:$AS$1001,MATCH(ROWS($V$2:V738),$V$2:$V$1001,0),MATCH(COLUMNS($AC$1006:AQ1006),$AC$1006:$AS$1006,0)), HYPERLINK("#",""), HYPERLINK(CONCATENATE("#metadata!", ADDRESS(INDEX($X$2:$X$1001,MATCH(ROWS($V$2:V738),$V$2:$V$1001,0),0), INDEX($AC$1004:$AS$1004,1,MATCH(COLUMNS($AC$1006:AQ1006),$AC$1006:$AS$1006,0)))),"Fix")))</f>
        <v xml:space="preserve"> </v>
      </c>
      <c r="Q738" s="4" t="str">
        <f ca="1">IF(OR(INDEX($W$2:$W$1001,MATCH(ROWS($V$2:V738),$V$2:$V$1001,0),1)&gt;=100000,INDEX($AC$1005:$AS$1005,1,MATCH(COLUMNS($AC$1006:AR1006),$AC$1006:$AS$1006,0))&gt;=100000), " ",IF(INDEX($AC$2:$AS$1001,MATCH(ROWS($V$2:V738),$V$2:$V$1001,0),MATCH(COLUMNS($AC$1006:AR1006),$AC$1006:$AS$1006,0)), HYPERLINK("#",""), HYPERLINK(CONCATENATE("#metadata!", ADDRESS(INDEX($X$2:$X$1001,MATCH(ROWS($V$2:V738),$V$2:$V$1001,0),0), INDEX($AC$1004:$AS$1004,1,MATCH(COLUMNS($AC$1006:AR1006),$AC$1006:$AS$1006,0)))),"Fix")))</f>
        <v xml:space="preserve"> </v>
      </c>
      <c r="R738" s="4" t="str">
        <f ca="1">IF(OR(INDEX($W$2:$W$1001,MATCH(ROWS($V$2:V738),$V$2:$V$1001,0),1)&gt;=100000,INDEX($AC$1005:$AS$1005,1,MATCH(COLUMNS($AC$1006:AS1006),$AC$1006:$AS$1006,0))&gt;=100000), " ",IF(INDEX($AC$2:$AS$1001,MATCH(ROWS($V$2:V738),$V$2:$V$1001,0),MATCH(COLUMNS($AC$1006:AS1006),$AC$1006:$AS$1006,0)), HYPERLINK("#",""), HYPERLINK(CONCATENATE("#metadata!", ADDRESS(INDEX($X$2:$X$1001,MATCH(ROWS($V$2:V738),$V$2:$V$1001,0),0), INDEX($AC$1004:$AS$1004,1,MATCH(COLUMNS($AC$1006:AS1006),$AC$1006:$AS$1006,0)))),"Fix")))</f>
        <v xml:space="preserve"> </v>
      </c>
      <c r="V738">
        <v>737</v>
      </c>
      <c r="W738">
        <v>100738</v>
      </c>
      <c r="X738">
        <v>738</v>
      </c>
      <c r="Y738" t="b">
        <f t="shared" si="11"/>
        <v>1</v>
      </c>
      <c r="Z738" t="b">
        <f>COUNTBLANK(metadata!B738:R738)=COLUMNS(metadata!B738:R738)</f>
        <v>1</v>
      </c>
      <c r="AA738" t="str">
        <v/>
      </c>
      <c r="AC738" t="b">
        <f ca="1"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AD738" t="b">
        <f>IF(metadata!C738="",FALSE,ISNUMBER(VALUE(metadata!C738)))</f>
        <v>0</v>
      </c>
      <c r="AE738" t="b">
        <f>AND(IF(metadata!D738="",FALSE,TRUE),EXACT(metadata!D738,"years"))</f>
        <v>0</v>
      </c>
      <c r="AF738" t="b">
        <f>OR(AND(IF(metadata!E738="",FALSE,TRUE),OR(EXACT(metadata!E738,"not applicable"),EXACT(metadata!E738,"missing: not collected"),EXACT(metadata!E738,"missing: not provided"),EXACT(metadata!E738,"missing: restricted access"))),AND(IF(metadata!E738="",FALSE,ISNUMBER(VALUE(metadata!E738))),metadata!E738&gt;0))</f>
        <v>0</v>
      </c>
      <c r="AG738" t="b">
        <f>AND(IF(metadata!F738="",FALSE,TRUE),EXACT(metadata!F738,"Not applicable"))</f>
        <v>0</v>
      </c>
      <c r="AH738" t="b">
        <f>AND(IF(metadata!G738="",FALSE,TRUE),EXACT(metadata!G738,"urban biome"))</f>
        <v>0</v>
      </c>
      <c r="AI738" t="b">
        <f>AND(IF(metadata!H738="",FALSE,TRUE),EXACT(metadata!H738,"human-associated habitat"))</f>
        <v>0</v>
      </c>
      <c r="AJ738" t="b">
        <f>AND(IF(metadata!I738="",FALSE,TRUE),OR(EXACT(metadata!I738,"human-associated"),EXACT(metadata!I738,"human-skin"),EXACT(metadata!I738,"human-oral"),EXACT(metadata!I738,"human-gut"),EXACT(metadata!I738,"human-vaginal")))</f>
        <v>0</v>
      </c>
      <c r="AK738" t="b">
        <f>IF(metadata!J738="",FALSE,ISNUMBER(VALUE(metadata!J738)))</f>
        <v>0</v>
      </c>
      <c r="AL738" t="b">
        <f>AND(IF(metadata!K738="",FALSE,TRUE),EXACT(metadata!K738,"cm"))</f>
        <v>0</v>
      </c>
      <c r="AM738" t="b">
        <f>AND(IF(metadata!L738="",FALSE,TRUE),EXACT(metadata!L738,"human"))</f>
        <v>0</v>
      </c>
      <c r="AN738" t="b">
        <f>AND(IF(metadata!M738="",FALSE,TRUE),EXACT(metadata!M738,"Homo sapiens"))</f>
        <v>0</v>
      </c>
      <c r="AO738" t="b">
        <f>AND(IF(metadata!N738="",FALSE,TRUE),EXACT(metadata!N738,"9606"))</f>
        <v>0</v>
      </c>
      <c r="AP738" t="b">
        <f>IF(metadata!O738="",FALSE,TRUE)</f>
        <v>0</v>
      </c>
      <c r="AQ738" t="b">
        <f>IF(metadata!P738="",FALSE,TRUE)</f>
        <v>0</v>
      </c>
      <c r="AR738" t="b">
        <f>IF(metadata!Q738="",FALSE,ISNUMBER(VALUE(metadata!Q738)))</f>
        <v>0</v>
      </c>
      <c r="AS738" t="b">
        <f>AND(IF(metadata!R738="",FALSE,TRUE),EXACT(metadata!R738,"kg"))</f>
        <v>0</v>
      </c>
    </row>
    <row r="739" spans="1:45" x14ac:dyDescent="0.2">
      <c r="A739" s="5" t="str">
        <f ca="1">IF(B739=" "," ",HYPERLINK(CONCATENATE("#metadata!",ADDRESS(INDEX($X$2:$X$1001,MATCH(ROWS($V$2:V739),$V$2:$V$1001,0),0),1)),INDEX($AA$2:$AA$1001,MATCH(ROWS($V$2:V739),$V$2:$V$1001,0),0)))</f>
        <v xml:space="preserve"> </v>
      </c>
      <c r="B739" s="4" t="str">
        <f ca="1">IF(OR(INDEX($W$2:$W$1001,MATCH(ROWS($V$2:V739),$V$2:$V$1001,0),1)&gt;=100000,INDEX($AC$1005:$AS$1005,1,MATCH(COLUMNS($AC$1006:AC1006),$AC$1006:$AS$1006,0))&gt;=100000), " ",IF(INDEX($AC$2:$AS$1001,MATCH(ROWS($V$2:V739),$V$2:$V$1001,0),MATCH(COLUMNS($AC$1006:AC1006),$AC$1006:$AS$1006,0)), HYPERLINK("#",""), HYPERLINK(CONCATENATE("#metadata!", ADDRESS(INDEX($X$2:$X$1001,MATCH(ROWS($V$2:V739),$V$2:$V$1001,0),0), INDEX($AC$1004:$AS$1004,1,MATCH(COLUMNS($AC$1006:AC1006),$AC$1006:$AS$1006,0)))),"Fix")))</f>
        <v xml:space="preserve"> </v>
      </c>
      <c r="C739" s="4" t="str">
        <f ca="1">IF(OR(INDEX($W$2:$W$1001,MATCH(ROWS($V$2:V739),$V$2:$V$1001,0),1)&gt;=100000,INDEX($AC$1005:$AS$1005,1,MATCH(COLUMNS($AC$1006:AD1006),$AC$1006:$AS$1006,0))&gt;=100000), " ",IF(INDEX($AC$2:$AS$1001,MATCH(ROWS($V$2:V739),$V$2:$V$1001,0),MATCH(COLUMNS($AC$1006:AD1006),$AC$1006:$AS$1006,0)), HYPERLINK("#",""), HYPERLINK(CONCATENATE("#metadata!", ADDRESS(INDEX($X$2:$X$1001,MATCH(ROWS($V$2:V739),$V$2:$V$1001,0),0), INDEX($AC$1004:$AS$1004,1,MATCH(COLUMNS($AC$1006:AD1006),$AC$1006:$AS$1006,0)))),"Fix")))</f>
        <v xml:space="preserve"> </v>
      </c>
      <c r="D739" s="4" t="str">
        <f ca="1">IF(OR(INDEX($W$2:$W$1001,MATCH(ROWS($V$2:V739),$V$2:$V$1001,0),1)&gt;=100000,INDEX($AC$1005:$AS$1005,1,MATCH(COLUMNS($AC$1006:AE1006),$AC$1006:$AS$1006,0))&gt;=100000), " ",IF(INDEX($AC$2:$AS$1001,MATCH(ROWS($V$2:V739),$V$2:$V$1001,0),MATCH(COLUMNS($AC$1006:AE1006),$AC$1006:$AS$1006,0)), HYPERLINK("#",""), HYPERLINK(CONCATENATE("#metadata!", ADDRESS(INDEX($X$2:$X$1001,MATCH(ROWS($V$2:V739),$V$2:$V$1001,0),0), INDEX($AC$1004:$AS$1004,1,MATCH(COLUMNS($AC$1006:AE1006),$AC$1006:$AS$1006,0)))),"Fix")))</f>
        <v xml:space="preserve"> </v>
      </c>
      <c r="E739" s="4" t="str">
        <f ca="1">IF(OR(INDEX($W$2:$W$1001,MATCH(ROWS($V$2:V739),$V$2:$V$1001,0),1)&gt;=100000,INDEX($AC$1005:$AS$1005,1,MATCH(COLUMNS($AC$1006:AF1006),$AC$1006:$AS$1006,0))&gt;=100000), " ",IF(INDEX($AC$2:$AS$1001,MATCH(ROWS($V$2:V739),$V$2:$V$1001,0),MATCH(COLUMNS($AC$1006:AF1006),$AC$1006:$AS$1006,0)), HYPERLINK("#",""), HYPERLINK(CONCATENATE("#metadata!", ADDRESS(INDEX($X$2:$X$1001,MATCH(ROWS($V$2:V739),$V$2:$V$1001,0),0), INDEX($AC$1004:$AS$1004,1,MATCH(COLUMNS($AC$1006:AF1006),$AC$1006:$AS$1006,0)))),"Fix")))</f>
        <v xml:space="preserve"> </v>
      </c>
      <c r="F739" s="4" t="str">
        <f ca="1">IF(OR(INDEX($W$2:$W$1001,MATCH(ROWS($V$2:V739),$V$2:$V$1001,0),1)&gt;=100000,INDEX($AC$1005:$AS$1005,1,MATCH(COLUMNS($AC$1006:AG1006),$AC$1006:$AS$1006,0))&gt;=100000), " ",IF(INDEX($AC$2:$AS$1001,MATCH(ROWS($V$2:V739),$V$2:$V$1001,0),MATCH(COLUMNS($AC$1006:AG1006),$AC$1006:$AS$1006,0)), HYPERLINK("#",""), HYPERLINK(CONCATENATE("#metadata!", ADDRESS(INDEX($X$2:$X$1001,MATCH(ROWS($V$2:V739),$V$2:$V$1001,0),0), INDEX($AC$1004:$AS$1004,1,MATCH(COLUMNS($AC$1006:AG1006),$AC$1006:$AS$1006,0)))),"Fix")))</f>
        <v xml:space="preserve"> </v>
      </c>
      <c r="G739" s="4" t="str">
        <f ca="1">IF(OR(INDEX($W$2:$W$1001,MATCH(ROWS($V$2:V739),$V$2:$V$1001,0),1)&gt;=100000,INDEX($AC$1005:$AS$1005,1,MATCH(COLUMNS($AC$1006:AH1006),$AC$1006:$AS$1006,0))&gt;=100000), " ",IF(INDEX($AC$2:$AS$1001,MATCH(ROWS($V$2:V739),$V$2:$V$1001,0),MATCH(COLUMNS($AC$1006:AH1006),$AC$1006:$AS$1006,0)), HYPERLINK("#",""), HYPERLINK(CONCATENATE("#metadata!", ADDRESS(INDEX($X$2:$X$1001,MATCH(ROWS($V$2:V739),$V$2:$V$1001,0),0), INDEX($AC$1004:$AS$1004,1,MATCH(COLUMNS($AC$1006:AH1006),$AC$1006:$AS$1006,0)))),"Fix")))</f>
        <v xml:space="preserve"> </v>
      </c>
      <c r="H739" s="4" t="str">
        <f ca="1">IF(OR(INDEX($W$2:$W$1001,MATCH(ROWS($V$2:V739),$V$2:$V$1001,0),1)&gt;=100000,INDEX($AC$1005:$AS$1005,1,MATCH(COLUMNS($AC$1006:AI1006),$AC$1006:$AS$1006,0))&gt;=100000), " ",IF(INDEX($AC$2:$AS$1001,MATCH(ROWS($V$2:V739),$V$2:$V$1001,0),MATCH(COLUMNS($AC$1006:AI1006),$AC$1006:$AS$1006,0)), HYPERLINK("#",""), HYPERLINK(CONCATENATE("#metadata!", ADDRESS(INDEX($X$2:$X$1001,MATCH(ROWS($V$2:V739),$V$2:$V$1001,0),0), INDEX($AC$1004:$AS$1004,1,MATCH(COLUMNS($AC$1006:AI1006),$AC$1006:$AS$1006,0)))),"Fix")))</f>
        <v xml:space="preserve"> </v>
      </c>
      <c r="I739" s="4" t="str">
        <f ca="1">IF(OR(INDEX($W$2:$W$1001,MATCH(ROWS($V$2:V739),$V$2:$V$1001,0),1)&gt;=100000,INDEX($AC$1005:$AS$1005,1,MATCH(COLUMNS($AC$1006:AJ1006),$AC$1006:$AS$1006,0))&gt;=100000), " ",IF(INDEX($AC$2:$AS$1001,MATCH(ROWS($V$2:V739),$V$2:$V$1001,0),MATCH(COLUMNS($AC$1006:AJ1006),$AC$1006:$AS$1006,0)), HYPERLINK("#",""), HYPERLINK(CONCATENATE("#metadata!", ADDRESS(INDEX($X$2:$X$1001,MATCH(ROWS($V$2:V739),$V$2:$V$1001,0),0), INDEX($AC$1004:$AS$1004,1,MATCH(COLUMNS($AC$1006:AJ1006),$AC$1006:$AS$1006,0)))),"Fix")))</f>
        <v xml:space="preserve"> </v>
      </c>
      <c r="J739" s="4" t="str">
        <f ca="1">IF(OR(INDEX($W$2:$W$1001,MATCH(ROWS($V$2:V739),$V$2:$V$1001,0),1)&gt;=100000,INDEX($AC$1005:$AS$1005,1,MATCH(COLUMNS($AC$1006:AK1006),$AC$1006:$AS$1006,0))&gt;=100000), " ",IF(INDEX($AC$2:$AS$1001,MATCH(ROWS($V$2:V739),$V$2:$V$1001,0),MATCH(COLUMNS($AC$1006:AK1006),$AC$1006:$AS$1006,0)), HYPERLINK("#",""), HYPERLINK(CONCATENATE("#metadata!", ADDRESS(INDEX($X$2:$X$1001,MATCH(ROWS($V$2:V739),$V$2:$V$1001,0),0), INDEX($AC$1004:$AS$1004,1,MATCH(COLUMNS($AC$1006:AK1006),$AC$1006:$AS$1006,0)))),"Fix")))</f>
        <v xml:space="preserve"> </v>
      </c>
      <c r="K739" s="4" t="str">
        <f ca="1">IF(OR(INDEX($W$2:$W$1001,MATCH(ROWS($V$2:V739),$V$2:$V$1001,0),1)&gt;=100000,INDEX($AC$1005:$AS$1005,1,MATCH(COLUMNS($AC$1006:AL1006),$AC$1006:$AS$1006,0))&gt;=100000), " ",IF(INDEX($AC$2:$AS$1001,MATCH(ROWS($V$2:V739),$V$2:$V$1001,0),MATCH(COLUMNS($AC$1006:AL1006),$AC$1006:$AS$1006,0)), HYPERLINK("#",""), HYPERLINK(CONCATENATE("#metadata!", ADDRESS(INDEX($X$2:$X$1001,MATCH(ROWS($V$2:V739),$V$2:$V$1001,0),0), INDEX($AC$1004:$AS$1004,1,MATCH(COLUMNS($AC$1006:AL1006),$AC$1006:$AS$1006,0)))),"Fix")))</f>
        <v xml:space="preserve"> </v>
      </c>
      <c r="L739" s="4" t="str">
        <f ca="1">IF(OR(INDEX($W$2:$W$1001,MATCH(ROWS($V$2:V739),$V$2:$V$1001,0),1)&gt;=100000,INDEX($AC$1005:$AS$1005,1,MATCH(COLUMNS($AC$1006:AM1006),$AC$1006:$AS$1006,0))&gt;=100000), " ",IF(INDEX($AC$2:$AS$1001,MATCH(ROWS($V$2:V739),$V$2:$V$1001,0),MATCH(COLUMNS($AC$1006:AM1006),$AC$1006:$AS$1006,0)), HYPERLINK("#",""), HYPERLINK(CONCATENATE("#metadata!", ADDRESS(INDEX($X$2:$X$1001,MATCH(ROWS($V$2:V739),$V$2:$V$1001,0),0), INDEX($AC$1004:$AS$1004,1,MATCH(COLUMNS($AC$1006:AM1006),$AC$1006:$AS$1006,0)))),"Fix")))</f>
        <v xml:space="preserve"> </v>
      </c>
      <c r="M739" s="4" t="str">
        <f ca="1">IF(OR(INDEX($W$2:$W$1001,MATCH(ROWS($V$2:V739),$V$2:$V$1001,0),1)&gt;=100000,INDEX($AC$1005:$AS$1005,1,MATCH(COLUMNS($AC$1006:AN1006),$AC$1006:$AS$1006,0))&gt;=100000), " ",IF(INDEX($AC$2:$AS$1001,MATCH(ROWS($V$2:V739),$V$2:$V$1001,0),MATCH(COLUMNS($AC$1006:AN1006),$AC$1006:$AS$1006,0)), HYPERLINK("#",""), HYPERLINK(CONCATENATE("#metadata!", ADDRESS(INDEX($X$2:$X$1001,MATCH(ROWS($V$2:V739),$V$2:$V$1001,0),0), INDEX($AC$1004:$AS$1004,1,MATCH(COLUMNS($AC$1006:AN1006),$AC$1006:$AS$1006,0)))),"Fix")))</f>
        <v xml:space="preserve"> </v>
      </c>
      <c r="N739" s="4" t="str">
        <f ca="1">IF(OR(INDEX($W$2:$W$1001,MATCH(ROWS($V$2:V739),$V$2:$V$1001,0),1)&gt;=100000,INDEX($AC$1005:$AS$1005,1,MATCH(COLUMNS($AC$1006:AO1006),$AC$1006:$AS$1006,0))&gt;=100000), " ",IF(INDEX($AC$2:$AS$1001,MATCH(ROWS($V$2:V739),$V$2:$V$1001,0),MATCH(COLUMNS($AC$1006:AO1006),$AC$1006:$AS$1006,0)), HYPERLINK("#",""), HYPERLINK(CONCATENATE("#metadata!", ADDRESS(INDEX($X$2:$X$1001,MATCH(ROWS($V$2:V739),$V$2:$V$1001,0),0), INDEX($AC$1004:$AS$1004,1,MATCH(COLUMNS($AC$1006:AO1006),$AC$1006:$AS$1006,0)))),"Fix")))</f>
        <v xml:space="preserve"> </v>
      </c>
      <c r="O739" s="4" t="str">
        <f ca="1">IF(OR(INDEX($W$2:$W$1001,MATCH(ROWS($V$2:V739),$V$2:$V$1001,0),1)&gt;=100000,INDEX($AC$1005:$AS$1005,1,MATCH(COLUMNS($AC$1006:AP1006),$AC$1006:$AS$1006,0))&gt;=100000), " ",IF(INDEX($AC$2:$AS$1001,MATCH(ROWS($V$2:V739),$V$2:$V$1001,0),MATCH(COLUMNS($AC$1006:AP1006),$AC$1006:$AS$1006,0)), HYPERLINK("#",""), HYPERLINK(CONCATENATE("#metadata!", ADDRESS(INDEX($X$2:$X$1001,MATCH(ROWS($V$2:V739),$V$2:$V$1001,0),0), INDEX($AC$1004:$AS$1004,1,MATCH(COLUMNS($AC$1006:AP1006),$AC$1006:$AS$1006,0)))),"Fix")))</f>
        <v xml:space="preserve"> </v>
      </c>
      <c r="P739" s="4" t="str">
        <f ca="1">IF(OR(INDEX($W$2:$W$1001,MATCH(ROWS($V$2:V739),$V$2:$V$1001,0),1)&gt;=100000,INDEX($AC$1005:$AS$1005,1,MATCH(COLUMNS($AC$1006:AQ1006),$AC$1006:$AS$1006,0))&gt;=100000), " ",IF(INDEX($AC$2:$AS$1001,MATCH(ROWS($V$2:V739),$V$2:$V$1001,0),MATCH(COLUMNS($AC$1006:AQ1006),$AC$1006:$AS$1006,0)), HYPERLINK("#",""), HYPERLINK(CONCATENATE("#metadata!", ADDRESS(INDEX($X$2:$X$1001,MATCH(ROWS($V$2:V739),$V$2:$V$1001,0),0), INDEX($AC$1004:$AS$1004,1,MATCH(COLUMNS($AC$1006:AQ1006),$AC$1006:$AS$1006,0)))),"Fix")))</f>
        <v xml:space="preserve"> </v>
      </c>
      <c r="Q739" s="4" t="str">
        <f ca="1">IF(OR(INDEX($W$2:$W$1001,MATCH(ROWS($V$2:V739),$V$2:$V$1001,0),1)&gt;=100000,INDEX($AC$1005:$AS$1005,1,MATCH(COLUMNS($AC$1006:AR1006),$AC$1006:$AS$1006,0))&gt;=100000), " ",IF(INDEX($AC$2:$AS$1001,MATCH(ROWS($V$2:V739),$V$2:$V$1001,0),MATCH(COLUMNS($AC$1006:AR1006),$AC$1006:$AS$1006,0)), HYPERLINK("#",""), HYPERLINK(CONCATENATE("#metadata!", ADDRESS(INDEX($X$2:$X$1001,MATCH(ROWS($V$2:V739),$V$2:$V$1001,0),0), INDEX($AC$1004:$AS$1004,1,MATCH(COLUMNS($AC$1006:AR1006),$AC$1006:$AS$1006,0)))),"Fix")))</f>
        <v xml:space="preserve"> </v>
      </c>
      <c r="R739" s="4" t="str">
        <f ca="1">IF(OR(INDEX($W$2:$W$1001,MATCH(ROWS($V$2:V739),$V$2:$V$1001,0),1)&gt;=100000,INDEX($AC$1005:$AS$1005,1,MATCH(COLUMNS($AC$1006:AS1006),$AC$1006:$AS$1006,0))&gt;=100000), " ",IF(INDEX($AC$2:$AS$1001,MATCH(ROWS($V$2:V739),$V$2:$V$1001,0),MATCH(COLUMNS($AC$1006:AS1006),$AC$1006:$AS$1006,0)), HYPERLINK("#",""), HYPERLINK(CONCATENATE("#metadata!", ADDRESS(INDEX($X$2:$X$1001,MATCH(ROWS($V$2:V739),$V$2:$V$1001,0),0), INDEX($AC$1004:$AS$1004,1,MATCH(COLUMNS($AC$1006:AS1006),$AC$1006:$AS$1006,0)))),"Fix")))</f>
        <v xml:space="preserve"> </v>
      </c>
      <c r="V739">
        <v>738</v>
      </c>
      <c r="W739">
        <v>100739</v>
      </c>
      <c r="X739">
        <v>739</v>
      </c>
      <c r="Y739" t="b">
        <f t="shared" si="11"/>
        <v>1</v>
      </c>
      <c r="Z739" t="b">
        <f>COUNTBLANK(metadata!B739:R739)=COLUMNS(metadata!B739:R739)</f>
        <v>1</v>
      </c>
      <c r="AA739" t="str">
        <v/>
      </c>
      <c r="AC739" t="b">
        <f ca="1"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AD739" t="b">
        <f>IF(metadata!C739="",FALSE,ISNUMBER(VALUE(metadata!C739)))</f>
        <v>0</v>
      </c>
      <c r="AE739" t="b">
        <f>AND(IF(metadata!D739="",FALSE,TRUE),EXACT(metadata!D739,"years"))</f>
        <v>0</v>
      </c>
      <c r="AF739" t="b">
        <f>OR(AND(IF(metadata!E739="",FALSE,TRUE),OR(EXACT(metadata!E739,"not applicable"),EXACT(metadata!E739,"missing: not collected"),EXACT(metadata!E739,"missing: not provided"),EXACT(metadata!E739,"missing: restricted access"))),AND(IF(metadata!E739="",FALSE,ISNUMBER(VALUE(metadata!E739))),metadata!E739&gt;0))</f>
        <v>0</v>
      </c>
      <c r="AG739" t="b">
        <f>AND(IF(metadata!F739="",FALSE,TRUE),EXACT(metadata!F739,"Not applicable"))</f>
        <v>0</v>
      </c>
      <c r="AH739" t="b">
        <f>AND(IF(metadata!G739="",FALSE,TRUE),EXACT(metadata!G739,"urban biome"))</f>
        <v>0</v>
      </c>
      <c r="AI739" t="b">
        <f>AND(IF(metadata!H739="",FALSE,TRUE),EXACT(metadata!H739,"human-associated habitat"))</f>
        <v>0</v>
      </c>
      <c r="AJ739" t="b">
        <f>AND(IF(metadata!I739="",FALSE,TRUE),OR(EXACT(metadata!I739,"human-associated"),EXACT(metadata!I739,"human-skin"),EXACT(metadata!I739,"human-oral"),EXACT(metadata!I739,"human-gut"),EXACT(metadata!I739,"human-vaginal")))</f>
        <v>0</v>
      </c>
      <c r="AK739" t="b">
        <f>IF(metadata!J739="",FALSE,ISNUMBER(VALUE(metadata!J739)))</f>
        <v>0</v>
      </c>
      <c r="AL739" t="b">
        <f>AND(IF(metadata!K739="",FALSE,TRUE),EXACT(metadata!K739,"cm"))</f>
        <v>0</v>
      </c>
      <c r="AM739" t="b">
        <f>AND(IF(metadata!L739="",FALSE,TRUE),EXACT(metadata!L739,"human"))</f>
        <v>0</v>
      </c>
      <c r="AN739" t="b">
        <f>AND(IF(metadata!M739="",FALSE,TRUE),EXACT(metadata!M739,"Homo sapiens"))</f>
        <v>0</v>
      </c>
      <c r="AO739" t="b">
        <f>AND(IF(metadata!N739="",FALSE,TRUE),EXACT(metadata!N739,"9606"))</f>
        <v>0</v>
      </c>
      <c r="AP739" t="b">
        <f>IF(metadata!O739="",FALSE,TRUE)</f>
        <v>0</v>
      </c>
      <c r="AQ739" t="b">
        <f>IF(metadata!P739="",FALSE,TRUE)</f>
        <v>0</v>
      </c>
      <c r="AR739" t="b">
        <f>IF(metadata!Q739="",FALSE,ISNUMBER(VALUE(metadata!Q739)))</f>
        <v>0</v>
      </c>
      <c r="AS739" t="b">
        <f>AND(IF(metadata!R739="",FALSE,TRUE),EXACT(metadata!R739,"kg"))</f>
        <v>0</v>
      </c>
    </row>
    <row r="740" spans="1:45" x14ac:dyDescent="0.2">
      <c r="A740" s="5" t="str">
        <f ca="1">IF(B740=" "," ",HYPERLINK(CONCATENATE("#metadata!",ADDRESS(INDEX($X$2:$X$1001,MATCH(ROWS($V$2:V740),$V$2:$V$1001,0),0),1)),INDEX($AA$2:$AA$1001,MATCH(ROWS($V$2:V740),$V$2:$V$1001,0),0)))</f>
        <v xml:space="preserve"> </v>
      </c>
      <c r="B740" s="4" t="str">
        <f ca="1">IF(OR(INDEX($W$2:$W$1001,MATCH(ROWS($V$2:V740),$V$2:$V$1001,0),1)&gt;=100000,INDEX($AC$1005:$AS$1005,1,MATCH(COLUMNS($AC$1006:AC1006),$AC$1006:$AS$1006,0))&gt;=100000), " ",IF(INDEX($AC$2:$AS$1001,MATCH(ROWS($V$2:V740),$V$2:$V$1001,0),MATCH(COLUMNS($AC$1006:AC1006),$AC$1006:$AS$1006,0)), HYPERLINK("#",""), HYPERLINK(CONCATENATE("#metadata!", ADDRESS(INDEX($X$2:$X$1001,MATCH(ROWS($V$2:V740),$V$2:$V$1001,0),0), INDEX($AC$1004:$AS$1004,1,MATCH(COLUMNS($AC$1006:AC1006),$AC$1006:$AS$1006,0)))),"Fix")))</f>
        <v xml:space="preserve"> </v>
      </c>
      <c r="C740" s="4" t="str">
        <f ca="1">IF(OR(INDEX($W$2:$W$1001,MATCH(ROWS($V$2:V740),$V$2:$V$1001,0),1)&gt;=100000,INDEX($AC$1005:$AS$1005,1,MATCH(COLUMNS($AC$1006:AD1006),$AC$1006:$AS$1006,0))&gt;=100000), " ",IF(INDEX($AC$2:$AS$1001,MATCH(ROWS($V$2:V740),$V$2:$V$1001,0),MATCH(COLUMNS($AC$1006:AD1006),$AC$1006:$AS$1006,0)), HYPERLINK("#",""), HYPERLINK(CONCATENATE("#metadata!", ADDRESS(INDEX($X$2:$X$1001,MATCH(ROWS($V$2:V740),$V$2:$V$1001,0),0), INDEX($AC$1004:$AS$1004,1,MATCH(COLUMNS($AC$1006:AD1006),$AC$1006:$AS$1006,0)))),"Fix")))</f>
        <v xml:space="preserve"> </v>
      </c>
      <c r="D740" s="4" t="str">
        <f ca="1">IF(OR(INDEX($W$2:$W$1001,MATCH(ROWS($V$2:V740),$V$2:$V$1001,0),1)&gt;=100000,INDEX($AC$1005:$AS$1005,1,MATCH(COLUMNS($AC$1006:AE1006),$AC$1006:$AS$1006,0))&gt;=100000), " ",IF(INDEX($AC$2:$AS$1001,MATCH(ROWS($V$2:V740),$V$2:$V$1001,0),MATCH(COLUMNS($AC$1006:AE1006),$AC$1006:$AS$1006,0)), HYPERLINK("#",""), HYPERLINK(CONCATENATE("#metadata!", ADDRESS(INDEX($X$2:$X$1001,MATCH(ROWS($V$2:V740),$V$2:$V$1001,0),0), INDEX($AC$1004:$AS$1004,1,MATCH(COLUMNS($AC$1006:AE1006),$AC$1006:$AS$1006,0)))),"Fix")))</f>
        <v xml:space="preserve"> </v>
      </c>
      <c r="E740" s="4" t="str">
        <f ca="1">IF(OR(INDEX($W$2:$W$1001,MATCH(ROWS($V$2:V740),$V$2:$V$1001,0),1)&gt;=100000,INDEX($AC$1005:$AS$1005,1,MATCH(COLUMNS($AC$1006:AF1006),$AC$1006:$AS$1006,0))&gt;=100000), " ",IF(INDEX($AC$2:$AS$1001,MATCH(ROWS($V$2:V740),$V$2:$V$1001,0),MATCH(COLUMNS($AC$1006:AF1006),$AC$1006:$AS$1006,0)), HYPERLINK("#",""), HYPERLINK(CONCATENATE("#metadata!", ADDRESS(INDEX($X$2:$X$1001,MATCH(ROWS($V$2:V740),$V$2:$V$1001,0),0), INDEX($AC$1004:$AS$1004,1,MATCH(COLUMNS($AC$1006:AF1006),$AC$1006:$AS$1006,0)))),"Fix")))</f>
        <v xml:space="preserve"> </v>
      </c>
      <c r="F740" s="4" t="str">
        <f ca="1">IF(OR(INDEX($W$2:$W$1001,MATCH(ROWS($V$2:V740),$V$2:$V$1001,0),1)&gt;=100000,INDEX($AC$1005:$AS$1005,1,MATCH(COLUMNS($AC$1006:AG1006),$AC$1006:$AS$1006,0))&gt;=100000), " ",IF(INDEX($AC$2:$AS$1001,MATCH(ROWS($V$2:V740),$V$2:$V$1001,0),MATCH(COLUMNS($AC$1006:AG1006),$AC$1006:$AS$1006,0)), HYPERLINK("#",""), HYPERLINK(CONCATENATE("#metadata!", ADDRESS(INDEX($X$2:$X$1001,MATCH(ROWS($V$2:V740),$V$2:$V$1001,0),0), INDEX($AC$1004:$AS$1004,1,MATCH(COLUMNS($AC$1006:AG1006),$AC$1006:$AS$1006,0)))),"Fix")))</f>
        <v xml:space="preserve"> </v>
      </c>
      <c r="G740" s="4" t="str">
        <f ca="1">IF(OR(INDEX($W$2:$W$1001,MATCH(ROWS($V$2:V740),$V$2:$V$1001,0),1)&gt;=100000,INDEX($AC$1005:$AS$1005,1,MATCH(COLUMNS($AC$1006:AH1006),$AC$1006:$AS$1006,0))&gt;=100000), " ",IF(INDEX($AC$2:$AS$1001,MATCH(ROWS($V$2:V740),$V$2:$V$1001,0),MATCH(COLUMNS($AC$1006:AH1006),$AC$1006:$AS$1006,0)), HYPERLINK("#",""), HYPERLINK(CONCATENATE("#metadata!", ADDRESS(INDEX($X$2:$X$1001,MATCH(ROWS($V$2:V740),$V$2:$V$1001,0),0), INDEX($AC$1004:$AS$1004,1,MATCH(COLUMNS($AC$1006:AH1006),$AC$1006:$AS$1006,0)))),"Fix")))</f>
        <v xml:space="preserve"> </v>
      </c>
      <c r="H740" s="4" t="str">
        <f ca="1">IF(OR(INDEX($W$2:$W$1001,MATCH(ROWS($V$2:V740),$V$2:$V$1001,0),1)&gt;=100000,INDEX($AC$1005:$AS$1005,1,MATCH(COLUMNS($AC$1006:AI1006),$AC$1006:$AS$1006,0))&gt;=100000), " ",IF(INDEX($AC$2:$AS$1001,MATCH(ROWS($V$2:V740),$V$2:$V$1001,0),MATCH(COLUMNS($AC$1006:AI1006),$AC$1006:$AS$1006,0)), HYPERLINK("#",""), HYPERLINK(CONCATENATE("#metadata!", ADDRESS(INDEX($X$2:$X$1001,MATCH(ROWS($V$2:V740),$V$2:$V$1001,0),0), INDEX($AC$1004:$AS$1004,1,MATCH(COLUMNS($AC$1006:AI1006),$AC$1006:$AS$1006,0)))),"Fix")))</f>
        <v xml:space="preserve"> </v>
      </c>
      <c r="I740" s="4" t="str">
        <f ca="1">IF(OR(INDEX($W$2:$W$1001,MATCH(ROWS($V$2:V740),$V$2:$V$1001,0),1)&gt;=100000,INDEX($AC$1005:$AS$1005,1,MATCH(COLUMNS($AC$1006:AJ1006),$AC$1006:$AS$1006,0))&gt;=100000), " ",IF(INDEX($AC$2:$AS$1001,MATCH(ROWS($V$2:V740),$V$2:$V$1001,0),MATCH(COLUMNS($AC$1006:AJ1006),$AC$1006:$AS$1006,0)), HYPERLINK("#",""), HYPERLINK(CONCATENATE("#metadata!", ADDRESS(INDEX($X$2:$X$1001,MATCH(ROWS($V$2:V740),$V$2:$V$1001,0),0), INDEX($AC$1004:$AS$1004,1,MATCH(COLUMNS($AC$1006:AJ1006),$AC$1006:$AS$1006,0)))),"Fix")))</f>
        <v xml:space="preserve"> </v>
      </c>
      <c r="J740" s="4" t="str">
        <f ca="1">IF(OR(INDEX($W$2:$W$1001,MATCH(ROWS($V$2:V740),$V$2:$V$1001,0),1)&gt;=100000,INDEX($AC$1005:$AS$1005,1,MATCH(COLUMNS($AC$1006:AK1006),$AC$1006:$AS$1006,0))&gt;=100000), " ",IF(INDEX($AC$2:$AS$1001,MATCH(ROWS($V$2:V740),$V$2:$V$1001,0),MATCH(COLUMNS($AC$1006:AK1006),$AC$1006:$AS$1006,0)), HYPERLINK("#",""), HYPERLINK(CONCATENATE("#metadata!", ADDRESS(INDEX($X$2:$X$1001,MATCH(ROWS($V$2:V740),$V$2:$V$1001,0),0), INDEX($AC$1004:$AS$1004,1,MATCH(COLUMNS($AC$1006:AK1006),$AC$1006:$AS$1006,0)))),"Fix")))</f>
        <v xml:space="preserve"> </v>
      </c>
      <c r="K740" s="4" t="str">
        <f ca="1">IF(OR(INDEX($W$2:$W$1001,MATCH(ROWS($V$2:V740),$V$2:$V$1001,0),1)&gt;=100000,INDEX($AC$1005:$AS$1005,1,MATCH(COLUMNS($AC$1006:AL1006),$AC$1006:$AS$1006,0))&gt;=100000), " ",IF(INDEX($AC$2:$AS$1001,MATCH(ROWS($V$2:V740),$V$2:$V$1001,0),MATCH(COLUMNS($AC$1006:AL1006),$AC$1006:$AS$1006,0)), HYPERLINK("#",""), HYPERLINK(CONCATENATE("#metadata!", ADDRESS(INDEX($X$2:$X$1001,MATCH(ROWS($V$2:V740),$V$2:$V$1001,0),0), INDEX($AC$1004:$AS$1004,1,MATCH(COLUMNS($AC$1006:AL1006),$AC$1006:$AS$1006,0)))),"Fix")))</f>
        <v xml:space="preserve"> </v>
      </c>
      <c r="L740" s="4" t="str">
        <f ca="1">IF(OR(INDEX($W$2:$W$1001,MATCH(ROWS($V$2:V740),$V$2:$V$1001,0),1)&gt;=100000,INDEX($AC$1005:$AS$1005,1,MATCH(COLUMNS($AC$1006:AM1006),$AC$1006:$AS$1006,0))&gt;=100000), " ",IF(INDEX($AC$2:$AS$1001,MATCH(ROWS($V$2:V740),$V$2:$V$1001,0),MATCH(COLUMNS($AC$1006:AM1006),$AC$1006:$AS$1006,0)), HYPERLINK("#",""), HYPERLINK(CONCATENATE("#metadata!", ADDRESS(INDEX($X$2:$X$1001,MATCH(ROWS($V$2:V740),$V$2:$V$1001,0),0), INDEX($AC$1004:$AS$1004,1,MATCH(COLUMNS($AC$1006:AM1006),$AC$1006:$AS$1006,0)))),"Fix")))</f>
        <v xml:space="preserve"> </v>
      </c>
      <c r="M740" s="4" t="str">
        <f ca="1">IF(OR(INDEX($W$2:$W$1001,MATCH(ROWS($V$2:V740),$V$2:$V$1001,0),1)&gt;=100000,INDEX($AC$1005:$AS$1005,1,MATCH(COLUMNS($AC$1006:AN1006),$AC$1006:$AS$1006,0))&gt;=100000), " ",IF(INDEX($AC$2:$AS$1001,MATCH(ROWS($V$2:V740),$V$2:$V$1001,0),MATCH(COLUMNS($AC$1006:AN1006),$AC$1006:$AS$1006,0)), HYPERLINK("#",""), HYPERLINK(CONCATENATE("#metadata!", ADDRESS(INDEX($X$2:$X$1001,MATCH(ROWS($V$2:V740),$V$2:$V$1001,0),0), INDEX($AC$1004:$AS$1004,1,MATCH(COLUMNS($AC$1006:AN1006),$AC$1006:$AS$1006,0)))),"Fix")))</f>
        <v xml:space="preserve"> </v>
      </c>
      <c r="N740" s="4" t="str">
        <f ca="1">IF(OR(INDEX($W$2:$W$1001,MATCH(ROWS($V$2:V740),$V$2:$V$1001,0),1)&gt;=100000,INDEX($AC$1005:$AS$1005,1,MATCH(COLUMNS($AC$1006:AO1006),$AC$1006:$AS$1006,0))&gt;=100000), " ",IF(INDEX($AC$2:$AS$1001,MATCH(ROWS($V$2:V740),$V$2:$V$1001,0),MATCH(COLUMNS($AC$1006:AO1006),$AC$1006:$AS$1006,0)), HYPERLINK("#",""), HYPERLINK(CONCATENATE("#metadata!", ADDRESS(INDEX($X$2:$X$1001,MATCH(ROWS($V$2:V740),$V$2:$V$1001,0),0), INDEX($AC$1004:$AS$1004,1,MATCH(COLUMNS($AC$1006:AO1006),$AC$1006:$AS$1006,0)))),"Fix")))</f>
        <v xml:space="preserve"> </v>
      </c>
      <c r="O740" s="4" t="str">
        <f ca="1">IF(OR(INDEX($W$2:$W$1001,MATCH(ROWS($V$2:V740),$V$2:$V$1001,0),1)&gt;=100000,INDEX($AC$1005:$AS$1005,1,MATCH(COLUMNS($AC$1006:AP1006),$AC$1006:$AS$1006,0))&gt;=100000), " ",IF(INDEX($AC$2:$AS$1001,MATCH(ROWS($V$2:V740),$V$2:$V$1001,0),MATCH(COLUMNS($AC$1006:AP1006),$AC$1006:$AS$1006,0)), HYPERLINK("#",""), HYPERLINK(CONCATENATE("#metadata!", ADDRESS(INDEX($X$2:$X$1001,MATCH(ROWS($V$2:V740),$V$2:$V$1001,0),0), INDEX($AC$1004:$AS$1004,1,MATCH(COLUMNS($AC$1006:AP1006),$AC$1006:$AS$1006,0)))),"Fix")))</f>
        <v xml:space="preserve"> </v>
      </c>
      <c r="P740" s="4" t="str">
        <f ca="1">IF(OR(INDEX($W$2:$W$1001,MATCH(ROWS($V$2:V740),$V$2:$V$1001,0),1)&gt;=100000,INDEX($AC$1005:$AS$1005,1,MATCH(COLUMNS($AC$1006:AQ1006),$AC$1006:$AS$1006,0))&gt;=100000), " ",IF(INDEX($AC$2:$AS$1001,MATCH(ROWS($V$2:V740),$V$2:$V$1001,0),MATCH(COLUMNS($AC$1006:AQ1006),$AC$1006:$AS$1006,0)), HYPERLINK("#",""), HYPERLINK(CONCATENATE("#metadata!", ADDRESS(INDEX($X$2:$X$1001,MATCH(ROWS($V$2:V740),$V$2:$V$1001,0),0), INDEX($AC$1004:$AS$1004,1,MATCH(COLUMNS($AC$1006:AQ1006),$AC$1006:$AS$1006,0)))),"Fix")))</f>
        <v xml:space="preserve"> </v>
      </c>
      <c r="Q740" s="4" t="str">
        <f ca="1">IF(OR(INDEX($W$2:$W$1001,MATCH(ROWS($V$2:V740),$V$2:$V$1001,0),1)&gt;=100000,INDEX($AC$1005:$AS$1005,1,MATCH(COLUMNS($AC$1006:AR1006),$AC$1006:$AS$1006,0))&gt;=100000), " ",IF(INDEX($AC$2:$AS$1001,MATCH(ROWS($V$2:V740),$V$2:$V$1001,0),MATCH(COLUMNS($AC$1006:AR1006),$AC$1006:$AS$1006,0)), HYPERLINK("#",""), HYPERLINK(CONCATENATE("#metadata!", ADDRESS(INDEX($X$2:$X$1001,MATCH(ROWS($V$2:V740),$V$2:$V$1001,0),0), INDEX($AC$1004:$AS$1004,1,MATCH(COLUMNS($AC$1006:AR1006),$AC$1006:$AS$1006,0)))),"Fix")))</f>
        <v xml:space="preserve"> </v>
      </c>
      <c r="R740" s="4" t="str">
        <f ca="1">IF(OR(INDEX($W$2:$W$1001,MATCH(ROWS($V$2:V740),$V$2:$V$1001,0),1)&gt;=100000,INDEX($AC$1005:$AS$1005,1,MATCH(COLUMNS($AC$1006:AS1006),$AC$1006:$AS$1006,0))&gt;=100000), " ",IF(INDEX($AC$2:$AS$1001,MATCH(ROWS($V$2:V740),$V$2:$V$1001,0),MATCH(COLUMNS($AC$1006:AS1006),$AC$1006:$AS$1006,0)), HYPERLINK("#",""), HYPERLINK(CONCATENATE("#metadata!", ADDRESS(INDEX($X$2:$X$1001,MATCH(ROWS($V$2:V740),$V$2:$V$1001,0),0), INDEX($AC$1004:$AS$1004,1,MATCH(COLUMNS($AC$1006:AS1006),$AC$1006:$AS$1006,0)))),"Fix")))</f>
        <v xml:space="preserve"> </v>
      </c>
      <c r="V740">
        <v>739</v>
      </c>
      <c r="W740">
        <v>100740</v>
      </c>
      <c r="X740">
        <v>740</v>
      </c>
      <c r="Y740" t="b">
        <f t="shared" si="11"/>
        <v>1</v>
      </c>
      <c r="Z740" t="b">
        <f>COUNTBLANK(metadata!B740:R740)=COLUMNS(metadata!B740:R740)</f>
        <v>1</v>
      </c>
      <c r="AA740" t="str">
        <v/>
      </c>
      <c r="AC740" t="b">
        <f ca="1"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AD740" t="b">
        <f>IF(metadata!C740="",FALSE,ISNUMBER(VALUE(metadata!C740)))</f>
        <v>0</v>
      </c>
      <c r="AE740" t="b">
        <f>AND(IF(metadata!D740="",FALSE,TRUE),EXACT(metadata!D740,"years"))</f>
        <v>0</v>
      </c>
      <c r="AF740" t="b">
        <f>OR(AND(IF(metadata!E740="",FALSE,TRUE),OR(EXACT(metadata!E740,"not applicable"),EXACT(metadata!E740,"missing: not collected"),EXACT(metadata!E740,"missing: not provided"),EXACT(metadata!E740,"missing: restricted access"))),AND(IF(metadata!E740="",FALSE,ISNUMBER(VALUE(metadata!E740))),metadata!E740&gt;0))</f>
        <v>0</v>
      </c>
      <c r="AG740" t="b">
        <f>AND(IF(metadata!F740="",FALSE,TRUE),EXACT(metadata!F740,"Not applicable"))</f>
        <v>0</v>
      </c>
      <c r="AH740" t="b">
        <f>AND(IF(metadata!G740="",FALSE,TRUE),EXACT(metadata!G740,"urban biome"))</f>
        <v>0</v>
      </c>
      <c r="AI740" t="b">
        <f>AND(IF(metadata!H740="",FALSE,TRUE),EXACT(metadata!H740,"human-associated habitat"))</f>
        <v>0</v>
      </c>
      <c r="AJ740" t="b">
        <f>AND(IF(metadata!I740="",FALSE,TRUE),OR(EXACT(metadata!I740,"human-associated"),EXACT(metadata!I740,"human-skin"),EXACT(metadata!I740,"human-oral"),EXACT(metadata!I740,"human-gut"),EXACT(metadata!I740,"human-vaginal")))</f>
        <v>0</v>
      </c>
      <c r="AK740" t="b">
        <f>IF(metadata!J740="",FALSE,ISNUMBER(VALUE(metadata!J740)))</f>
        <v>0</v>
      </c>
      <c r="AL740" t="b">
        <f>AND(IF(metadata!K740="",FALSE,TRUE),EXACT(metadata!K740,"cm"))</f>
        <v>0</v>
      </c>
      <c r="AM740" t="b">
        <f>AND(IF(metadata!L740="",FALSE,TRUE),EXACT(metadata!L740,"human"))</f>
        <v>0</v>
      </c>
      <c r="AN740" t="b">
        <f>AND(IF(metadata!M740="",FALSE,TRUE),EXACT(metadata!M740,"Homo sapiens"))</f>
        <v>0</v>
      </c>
      <c r="AO740" t="b">
        <f>AND(IF(metadata!N740="",FALSE,TRUE),EXACT(metadata!N740,"9606"))</f>
        <v>0</v>
      </c>
      <c r="AP740" t="b">
        <f>IF(metadata!O740="",FALSE,TRUE)</f>
        <v>0</v>
      </c>
      <c r="AQ740" t="b">
        <f>IF(metadata!P740="",FALSE,TRUE)</f>
        <v>0</v>
      </c>
      <c r="AR740" t="b">
        <f>IF(metadata!Q740="",FALSE,ISNUMBER(VALUE(metadata!Q740)))</f>
        <v>0</v>
      </c>
      <c r="AS740" t="b">
        <f>AND(IF(metadata!R740="",FALSE,TRUE),EXACT(metadata!R740,"kg"))</f>
        <v>0</v>
      </c>
    </row>
    <row r="741" spans="1:45" x14ac:dyDescent="0.2">
      <c r="A741" s="5" t="str">
        <f ca="1">IF(B741=" "," ",HYPERLINK(CONCATENATE("#metadata!",ADDRESS(INDEX($X$2:$X$1001,MATCH(ROWS($V$2:V741),$V$2:$V$1001,0),0),1)),INDEX($AA$2:$AA$1001,MATCH(ROWS($V$2:V741),$V$2:$V$1001,0),0)))</f>
        <v xml:space="preserve"> </v>
      </c>
      <c r="B741" s="4" t="str">
        <f ca="1">IF(OR(INDEX($W$2:$W$1001,MATCH(ROWS($V$2:V741),$V$2:$V$1001,0),1)&gt;=100000,INDEX($AC$1005:$AS$1005,1,MATCH(COLUMNS($AC$1006:AC1006),$AC$1006:$AS$1006,0))&gt;=100000), " ",IF(INDEX($AC$2:$AS$1001,MATCH(ROWS($V$2:V741),$V$2:$V$1001,0),MATCH(COLUMNS($AC$1006:AC1006),$AC$1006:$AS$1006,0)), HYPERLINK("#",""), HYPERLINK(CONCATENATE("#metadata!", ADDRESS(INDEX($X$2:$X$1001,MATCH(ROWS($V$2:V741),$V$2:$V$1001,0),0), INDEX($AC$1004:$AS$1004,1,MATCH(COLUMNS($AC$1006:AC1006),$AC$1006:$AS$1006,0)))),"Fix")))</f>
        <v xml:space="preserve"> </v>
      </c>
      <c r="C741" s="4" t="str">
        <f ca="1">IF(OR(INDEX($W$2:$W$1001,MATCH(ROWS($V$2:V741),$V$2:$V$1001,0),1)&gt;=100000,INDEX($AC$1005:$AS$1005,1,MATCH(COLUMNS($AC$1006:AD1006),$AC$1006:$AS$1006,0))&gt;=100000), " ",IF(INDEX($AC$2:$AS$1001,MATCH(ROWS($V$2:V741),$V$2:$V$1001,0),MATCH(COLUMNS($AC$1006:AD1006),$AC$1006:$AS$1006,0)), HYPERLINK("#",""), HYPERLINK(CONCATENATE("#metadata!", ADDRESS(INDEX($X$2:$X$1001,MATCH(ROWS($V$2:V741),$V$2:$V$1001,0),0), INDEX($AC$1004:$AS$1004,1,MATCH(COLUMNS($AC$1006:AD1006),$AC$1006:$AS$1006,0)))),"Fix")))</f>
        <v xml:space="preserve"> </v>
      </c>
      <c r="D741" s="4" t="str">
        <f ca="1">IF(OR(INDEX($W$2:$W$1001,MATCH(ROWS($V$2:V741),$V$2:$V$1001,0),1)&gt;=100000,INDEX($AC$1005:$AS$1005,1,MATCH(COLUMNS($AC$1006:AE1006),$AC$1006:$AS$1006,0))&gt;=100000), " ",IF(INDEX($AC$2:$AS$1001,MATCH(ROWS($V$2:V741),$V$2:$V$1001,0),MATCH(COLUMNS($AC$1006:AE1006),$AC$1006:$AS$1006,0)), HYPERLINK("#",""), HYPERLINK(CONCATENATE("#metadata!", ADDRESS(INDEX($X$2:$X$1001,MATCH(ROWS($V$2:V741),$V$2:$V$1001,0),0), INDEX($AC$1004:$AS$1004,1,MATCH(COLUMNS($AC$1006:AE1006),$AC$1006:$AS$1006,0)))),"Fix")))</f>
        <v xml:space="preserve"> </v>
      </c>
      <c r="E741" s="4" t="str">
        <f ca="1">IF(OR(INDEX($W$2:$W$1001,MATCH(ROWS($V$2:V741),$V$2:$V$1001,0),1)&gt;=100000,INDEX($AC$1005:$AS$1005,1,MATCH(COLUMNS($AC$1006:AF1006),$AC$1006:$AS$1006,0))&gt;=100000), " ",IF(INDEX($AC$2:$AS$1001,MATCH(ROWS($V$2:V741),$V$2:$V$1001,0),MATCH(COLUMNS($AC$1006:AF1006),$AC$1006:$AS$1006,0)), HYPERLINK("#",""), HYPERLINK(CONCATENATE("#metadata!", ADDRESS(INDEX($X$2:$X$1001,MATCH(ROWS($V$2:V741),$V$2:$V$1001,0),0), INDEX($AC$1004:$AS$1004,1,MATCH(COLUMNS($AC$1006:AF1006),$AC$1006:$AS$1006,0)))),"Fix")))</f>
        <v xml:space="preserve"> </v>
      </c>
      <c r="F741" s="4" t="str">
        <f ca="1">IF(OR(INDEX($W$2:$W$1001,MATCH(ROWS($V$2:V741),$V$2:$V$1001,0),1)&gt;=100000,INDEX($AC$1005:$AS$1005,1,MATCH(COLUMNS($AC$1006:AG1006),$AC$1006:$AS$1006,0))&gt;=100000), " ",IF(INDEX($AC$2:$AS$1001,MATCH(ROWS($V$2:V741),$V$2:$V$1001,0),MATCH(COLUMNS($AC$1006:AG1006),$AC$1006:$AS$1006,0)), HYPERLINK("#",""), HYPERLINK(CONCATENATE("#metadata!", ADDRESS(INDEX($X$2:$X$1001,MATCH(ROWS($V$2:V741),$V$2:$V$1001,0),0), INDEX($AC$1004:$AS$1004,1,MATCH(COLUMNS($AC$1006:AG1006),$AC$1006:$AS$1006,0)))),"Fix")))</f>
        <v xml:space="preserve"> </v>
      </c>
      <c r="G741" s="4" t="str">
        <f ca="1">IF(OR(INDEX($W$2:$W$1001,MATCH(ROWS($V$2:V741),$V$2:$V$1001,0),1)&gt;=100000,INDEX($AC$1005:$AS$1005,1,MATCH(COLUMNS($AC$1006:AH1006),$AC$1006:$AS$1006,0))&gt;=100000),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ADDRESS(INDEX($X$2:$X$1001,MATCH(ROWS($V$2:V741),$V$2:$V$1001,0),0), INDEX($AC$1004:$AS$1004,1,MATCH(COLUMNS($AC$1006:AH1006),$AC$1006:$AS$1006,0)))),"Fix")))</f>
        <v xml:space="preserve"> </v>
      </c>
      <c r="H741" s="4" t="str">
        <f ca="1">IF(OR(INDEX($W$2:$W$1001,MATCH(ROWS($V$2:V741),$V$2:$V$1001,0),1)&gt;=100000,INDEX($AC$1005:$AS$1005,1,MATCH(COLUMNS($AC$1006:AI1006),$AC$1006:$AS$1006,0))&gt;=100000), " ",IF(INDEX($AC$2:$AS$1001,MATCH(ROWS($V$2:V741),$V$2:$V$1001,0),MATCH(COLUMNS($AC$1006:AI1006),$AC$1006:$AS$1006,0)), HYPERLINK("#",""), HYPERLINK(CONCATENATE("#metadata!", ADDRESS(INDEX($X$2:$X$1001,MATCH(ROWS($V$2:V741),$V$2:$V$1001,0),0), INDEX($AC$1004:$AS$1004,1,MATCH(COLUMNS($AC$1006:AI1006),$AC$1006:$AS$1006,0)))),"Fix")))</f>
        <v xml:space="preserve"> </v>
      </c>
      <c r="I741" s="4" t="str">
        <f ca="1">IF(OR(INDEX($W$2:$W$1001,MATCH(ROWS($V$2:V741),$V$2:$V$1001,0),1)&gt;=100000,INDEX($AC$1005:$AS$1005,1,MATCH(COLUMNS($AC$1006:AJ1006),$AC$1006:$AS$1006,0))&gt;=100000), " ",IF(INDEX($AC$2:$AS$1001,MATCH(ROWS($V$2:V741),$V$2:$V$1001,0),MATCH(COLUMNS($AC$1006:AJ1006),$AC$1006:$AS$1006,0)), HYPERLINK("#",""), HYPERLINK(CONCATENATE("#metadata!", ADDRESS(INDEX($X$2:$X$1001,MATCH(ROWS($V$2:V741),$V$2:$V$1001,0),0), INDEX($AC$1004:$AS$1004,1,MATCH(COLUMNS($AC$1006:AJ1006),$AC$1006:$AS$1006,0)))),"Fix")))</f>
        <v xml:space="preserve"> </v>
      </c>
      <c r="J741" s="4" t="str">
        <f ca="1">IF(OR(INDEX($W$2:$W$1001,MATCH(ROWS($V$2:V741),$V$2:$V$1001,0),1)&gt;=100000,INDEX($AC$1005:$AS$1005,1,MATCH(COLUMNS($AC$1006:AK1006),$AC$1006:$AS$1006,0))&gt;=100000), " ",IF(INDEX($AC$2:$AS$1001,MATCH(ROWS($V$2:V741),$V$2:$V$1001,0),MATCH(COLUMNS($AC$1006:AK1006),$AC$1006:$AS$1006,0)), HYPERLINK("#",""), HYPERLINK(CONCATENATE("#metadata!", ADDRESS(INDEX($X$2:$X$1001,MATCH(ROWS($V$2:V741),$V$2:$V$1001,0),0), INDEX($AC$1004:$AS$1004,1,MATCH(COLUMNS($AC$1006:AK1006),$AC$1006:$AS$1006,0)))),"Fix")))</f>
        <v xml:space="preserve"> </v>
      </c>
      <c r="K741" s="4" t="str">
        <f ca="1">IF(OR(INDEX($W$2:$W$1001,MATCH(ROWS($V$2:V741),$V$2:$V$1001,0),1)&gt;=100000,INDEX($AC$1005:$AS$1005,1,MATCH(COLUMNS($AC$1006:AL1006),$AC$1006:$AS$1006,0))&gt;=100000), " ",IF(INDEX($AC$2:$AS$1001,MATCH(ROWS($V$2:V741),$V$2:$V$1001,0),MATCH(COLUMNS($AC$1006:AL1006),$AC$1006:$AS$1006,0)), HYPERLINK("#",""), HYPERLINK(CONCATENATE("#metadata!", ADDRESS(INDEX($X$2:$X$1001,MATCH(ROWS($V$2:V741),$V$2:$V$1001,0),0), INDEX($AC$1004:$AS$1004,1,MATCH(COLUMNS($AC$1006:AL1006),$AC$1006:$AS$1006,0)))),"Fix")))</f>
        <v xml:space="preserve"> </v>
      </c>
      <c r="L741" s="4" t="str">
        <f ca="1">IF(OR(INDEX($W$2:$W$1001,MATCH(ROWS($V$2:V741),$V$2:$V$1001,0),1)&gt;=100000,INDEX($AC$1005:$AS$1005,1,MATCH(COLUMNS($AC$1006:AM1006),$AC$1006:$AS$1006,0))&gt;=100000), " ",IF(INDEX($AC$2:$AS$1001,MATCH(ROWS($V$2:V741),$V$2:$V$1001,0),MATCH(COLUMNS($AC$1006:AM1006),$AC$1006:$AS$1006,0)), HYPERLINK("#",""), HYPERLINK(CONCATENATE("#metadata!", ADDRESS(INDEX($X$2:$X$1001,MATCH(ROWS($V$2:V741),$V$2:$V$1001,0),0), INDEX($AC$1004:$AS$1004,1,MATCH(COLUMNS($AC$1006:AM1006),$AC$1006:$AS$1006,0)))),"Fix")))</f>
        <v xml:space="preserve"> </v>
      </c>
      <c r="M741" s="4" t="str">
        <f ca="1">IF(OR(INDEX($W$2:$W$1001,MATCH(ROWS($V$2:V741),$V$2:$V$1001,0),1)&gt;=100000,INDEX($AC$1005:$AS$1005,1,MATCH(COLUMNS($AC$1006:AN1006),$AC$1006:$AS$1006,0))&gt;=100000), " ",IF(INDEX($AC$2:$AS$1001,MATCH(ROWS($V$2:V741),$V$2:$V$1001,0),MATCH(COLUMNS($AC$1006:AN1006),$AC$1006:$AS$1006,0)), HYPERLINK("#",""), HYPERLINK(CONCATENATE("#metadata!", ADDRESS(INDEX($X$2:$X$1001,MATCH(ROWS($V$2:V741),$V$2:$V$1001,0),0), INDEX($AC$1004:$AS$1004,1,MATCH(COLUMNS($AC$1006:AN1006),$AC$1006:$AS$1006,0)))),"Fix")))</f>
        <v xml:space="preserve"> </v>
      </c>
      <c r="N741" s="4" t="str">
        <f ca="1">IF(OR(INDEX($W$2:$W$1001,MATCH(ROWS($V$2:V741),$V$2:$V$1001,0),1)&gt;=100000,INDEX($AC$1005:$AS$1005,1,MATCH(COLUMNS($AC$1006:AO1006),$AC$1006:$AS$1006,0))&gt;=100000), " ",IF(INDEX($AC$2:$AS$1001,MATCH(ROWS($V$2:V741),$V$2:$V$1001,0),MATCH(COLUMNS($AC$1006:AO1006),$AC$1006:$AS$1006,0)), HYPERLINK("#",""), HYPERLINK(CONCATENATE("#metadata!", ADDRESS(INDEX($X$2:$X$1001,MATCH(ROWS($V$2:V741),$V$2:$V$1001,0),0), INDEX($AC$1004:$AS$1004,1,MATCH(COLUMNS($AC$1006:AO1006),$AC$1006:$AS$1006,0)))),"Fix")))</f>
        <v xml:space="preserve"> </v>
      </c>
      <c r="O741" s="4" t="str">
        <f ca="1">IF(OR(INDEX($W$2:$W$1001,MATCH(ROWS($V$2:V741),$V$2:$V$1001,0),1)&gt;=100000,INDEX($AC$1005:$AS$1005,1,MATCH(COLUMNS($AC$1006:AP1006),$AC$1006:$AS$1006,0))&gt;=100000), " ",IF(INDEX($AC$2:$AS$1001,MATCH(ROWS($V$2:V741),$V$2:$V$1001,0),MATCH(COLUMNS($AC$1006:AP1006),$AC$1006:$AS$1006,0)), HYPERLINK("#",""), HYPERLINK(CONCATENATE("#metadata!", ADDRESS(INDEX($X$2:$X$1001,MATCH(ROWS($V$2:V741),$V$2:$V$1001,0),0), INDEX($AC$1004:$AS$1004,1,MATCH(COLUMNS($AC$1006:AP1006),$AC$1006:$AS$1006,0)))),"Fix")))</f>
        <v xml:space="preserve"> </v>
      </c>
      <c r="P741" s="4" t="str">
        <f ca="1">IF(OR(INDEX($W$2:$W$1001,MATCH(ROWS($V$2:V741),$V$2:$V$1001,0),1)&gt;=100000,INDEX($AC$1005:$AS$1005,1,MATCH(COLUMNS($AC$1006:AQ1006),$AC$1006:$AS$1006,0))&gt;=100000), " ",IF(INDEX($AC$2:$AS$1001,MATCH(ROWS($V$2:V741),$V$2:$V$1001,0),MATCH(COLUMNS($AC$1006:AQ1006),$AC$1006:$AS$1006,0)), HYPERLINK("#",""), HYPERLINK(CONCATENATE("#metadata!", ADDRESS(INDEX($X$2:$X$1001,MATCH(ROWS($V$2:V741),$V$2:$V$1001,0),0), INDEX($AC$1004:$AS$1004,1,MATCH(COLUMNS($AC$1006:AQ1006),$AC$1006:$AS$1006,0)))),"Fix")))</f>
        <v xml:space="preserve"> </v>
      </c>
      <c r="Q741" s="4" t="str">
        <f ca="1">IF(OR(INDEX($W$2:$W$1001,MATCH(ROWS($V$2:V741),$V$2:$V$1001,0),1)&gt;=100000,INDEX($AC$1005:$AS$1005,1,MATCH(COLUMNS($AC$1006:AR1006),$AC$1006:$AS$1006,0))&gt;=100000), " ",IF(INDEX($AC$2:$AS$1001,MATCH(ROWS($V$2:V741),$V$2:$V$1001,0),MATCH(COLUMNS($AC$1006:AR1006),$AC$1006:$AS$1006,0)), HYPERLINK("#",""), HYPERLINK(CONCATENATE("#metadata!", ADDRESS(INDEX($X$2:$X$1001,MATCH(ROWS($V$2:V741),$V$2:$V$1001,0),0), INDEX($AC$1004:$AS$1004,1,MATCH(COLUMNS($AC$1006:AR1006),$AC$1006:$AS$1006,0)))),"Fix")))</f>
        <v xml:space="preserve"> </v>
      </c>
      <c r="R741" s="4" t="str">
        <f ca="1">IF(OR(INDEX($W$2:$W$1001,MATCH(ROWS($V$2:V741),$V$2:$V$1001,0),1)&gt;=100000,INDEX($AC$1005:$AS$1005,1,MATCH(COLUMNS($AC$1006:AS1006),$AC$1006:$AS$1006,0))&gt;=100000), " ",IF(INDEX($AC$2:$AS$1001,MATCH(ROWS($V$2:V741),$V$2:$V$1001,0),MATCH(COLUMNS($AC$1006:AS1006),$AC$1006:$AS$1006,0)), HYPERLINK("#",""), HYPERLINK(CONCATENATE("#metadata!", ADDRESS(INDEX($X$2:$X$1001,MATCH(ROWS($V$2:V741),$V$2:$V$1001,0),0), INDEX($AC$1004:$AS$1004,1,MATCH(COLUMNS($AC$1006:AS1006),$AC$1006:$AS$1006,0)))),"Fix")))</f>
        <v xml:space="preserve"> </v>
      </c>
      <c r="V741">
        <v>740</v>
      </c>
      <c r="W741">
        <v>100741</v>
      </c>
      <c r="X741">
        <v>741</v>
      </c>
      <c r="Y741" t="b">
        <f t="shared" si="11"/>
        <v>1</v>
      </c>
      <c r="Z741" t="b">
        <f>COUNTBLANK(metadata!B741:R741)=COLUMNS(metadata!B741:R741)</f>
        <v>1</v>
      </c>
      <c r="AA741" t="str">
        <v/>
      </c>
      <c r="AC741" t="b">
        <f ca="1"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AD741" t="b">
        <f>IF(metadata!C741="",FALSE,ISNUMBER(VALUE(metadata!C741)))</f>
        <v>0</v>
      </c>
      <c r="AE741" t="b">
        <f>AND(IF(metadata!D741="",FALSE,TRUE),EXACT(metadata!D741,"years"))</f>
        <v>0</v>
      </c>
      <c r="AF741" t="b">
        <f>OR(AND(IF(metadata!E741="",FALSE,TRUE),OR(EXACT(metadata!E741,"not applicable"),EXACT(metadata!E741,"missing: not collected"),EXACT(metadata!E741,"missing: not provided"),EXACT(metadata!E741,"missing: restricted access"))),AND(IF(metadata!E741="",FALSE,ISNUMBER(VALUE(metadata!E741))),metadata!E741&gt;0))</f>
        <v>0</v>
      </c>
      <c r="AG741" t="b">
        <f>AND(IF(metadata!F741="",FALSE,TRUE),EXACT(metadata!F741,"Not applicable"))</f>
        <v>0</v>
      </c>
      <c r="AH741" t="b">
        <f>AND(IF(metadata!G741="",FALSE,TRUE),EXACT(metadata!G741,"urban biome"))</f>
        <v>0</v>
      </c>
      <c r="AI741" t="b">
        <f>AND(IF(metadata!H741="",FALSE,TRUE),EXACT(metadata!H741,"human-associated habitat"))</f>
        <v>0</v>
      </c>
      <c r="AJ741" t="b">
        <f>AND(IF(metadata!I741="",FALSE,TRUE),OR(EXACT(metadata!I741,"human-associated"),EXACT(metadata!I741,"human-skin"),EXACT(metadata!I741,"human-oral"),EXACT(metadata!I741,"human-gut"),EXACT(metadata!I741,"human-vaginal")))</f>
        <v>0</v>
      </c>
      <c r="AK741" t="b">
        <f>IF(metadata!J741="",FALSE,ISNUMBER(VALUE(metadata!J741)))</f>
        <v>0</v>
      </c>
      <c r="AL741" t="b">
        <f>AND(IF(metadata!K741="",FALSE,TRUE),EXACT(metadata!K741,"cm"))</f>
        <v>0</v>
      </c>
      <c r="AM741" t="b">
        <f>AND(IF(metadata!L741="",FALSE,TRUE),EXACT(metadata!L741,"human"))</f>
        <v>0</v>
      </c>
      <c r="AN741" t="b">
        <f>AND(IF(metadata!M741="",FALSE,TRUE),EXACT(metadata!M741,"Homo sapiens"))</f>
        <v>0</v>
      </c>
      <c r="AO741" t="b">
        <f>AND(IF(metadata!N741="",FALSE,TRUE),EXACT(metadata!N741,"9606"))</f>
        <v>0</v>
      </c>
      <c r="AP741" t="b">
        <f>IF(metadata!O741="",FALSE,TRUE)</f>
        <v>0</v>
      </c>
      <c r="AQ741" t="b">
        <f>IF(metadata!P741="",FALSE,TRUE)</f>
        <v>0</v>
      </c>
      <c r="AR741" t="b">
        <f>IF(metadata!Q741="",FALSE,ISNUMBER(VALUE(metadata!Q741)))</f>
        <v>0</v>
      </c>
      <c r="AS741" t="b">
        <f>AND(IF(metadata!R741="",FALSE,TRUE),EXACT(metadata!R741,"kg"))</f>
        <v>0</v>
      </c>
    </row>
    <row r="742" spans="1:45" x14ac:dyDescent="0.2">
      <c r="A742" s="5" t="str">
        <f ca="1">IF(B742=" "," ",HYPERLINK(CONCATENATE("#metadata!",ADDRESS(INDEX($X$2:$X$1001,MATCH(ROWS($V$2:V742),$V$2:$V$1001,0),0),1)),INDEX($AA$2:$AA$1001,MATCH(ROWS($V$2:V742),$V$2:$V$1001,0),0)))</f>
        <v xml:space="preserve"> </v>
      </c>
      <c r="B742" s="4" t="str">
        <f ca="1">IF(OR(INDEX($W$2:$W$1001,MATCH(ROWS($V$2:V742),$V$2:$V$1001,0),1)&gt;=100000,INDEX($AC$1005:$AS$1005,1,MATCH(COLUMNS($AC$1006:AC1006),$AC$1006:$AS$1006,0))&gt;=100000), " ",IF(INDEX($AC$2:$AS$1001,MATCH(ROWS($V$2:V742),$V$2:$V$1001,0),MATCH(COLUMNS($AC$1006:AC1006),$AC$1006:$AS$1006,0)), HYPERLINK("#",""), HYPERLINK(CONCATENATE("#metadata!", ADDRESS(INDEX($X$2:$X$1001,MATCH(ROWS($V$2:V742),$V$2:$V$1001,0),0), INDEX($AC$1004:$AS$1004,1,MATCH(COLUMNS($AC$1006:AC1006),$AC$1006:$AS$1006,0)))),"Fix")))</f>
        <v xml:space="preserve"> </v>
      </c>
      <c r="C742" s="4" t="str">
        <f ca="1">IF(OR(INDEX($W$2:$W$1001,MATCH(ROWS($V$2:V742),$V$2:$V$1001,0),1)&gt;=100000,INDEX($AC$1005:$AS$1005,1,MATCH(COLUMNS($AC$1006:AD1006),$AC$1006:$AS$1006,0))&gt;=100000), " ",IF(INDEX($AC$2:$AS$1001,MATCH(ROWS($V$2:V742),$V$2:$V$1001,0),MATCH(COLUMNS($AC$1006:AD1006),$AC$1006:$AS$1006,0)), HYPERLINK("#",""), HYPERLINK(CONCATENATE("#metadata!", ADDRESS(INDEX($X$2:$X$1001,MATCH(ROWS($V$2:V742),$V$2:$V$1001,0),0), INDEX($AC$1004:$AS$1004,1,MATCH(COLUMNS($AC$1006:AD1006),$AC$1006:$AS$1006,0)))),"Fix")))</f>
        <v xml:space="preserve"> </v>
      </c>
      <c r="D742" s="4" t="str">
        <f ca="1">IF(OR(INDEX($W$2:$W$1001,MATCH(ROWS($V$2:V742),$V$2:$V$1001,0),1)&gt;=100000,INDEX($AC$1005:$AS$1005,1,MATCH(COLUMNS($AC$1006:AE1006),$AC$1006:$AS$1006,0))&gt;=100000), " ",IF(INDEX($AC$2:$AS$1001,MATCH(ROWS($V$2:V742),$V$2:$V$1001,0),MATCH(COLUMNS($AC$1006:AE1006),$AC$1006:$AS$1006,0)), HYPERLINK("#",""), HYPERLINK(CONCATENATE("#metadata!", ADDRESS(INDEX($X$2:$X$1001,MATCH(ROWS($V$2:V742),$V$2:$V$1001,0),0), INDEX($AC$1004:$AS$1004,1,MATCH(COLUMNS($AC$1006:AE1006),$AC$1006:$AS$1006,0)))),"Fix")))</f>
        <v xml:space="preserve"> </v>
      </c>
      <c r="E742" s="4" t="str">
        <f ca="1">IF(OR(INDEX($W$2:$W$1001,MATCH(ROWS($V$2:V742),$V$2:$V$1001,0),1)&gt;=100000,INDEX($AC$1005:$AS$1005,1,MATCH(COLUMNS($AC$1006:AF1006),$AC$1006:$AS$1006,0))&gt;=100000), " ",IF(INDEX($AC$2:$AS$1001,MATCH(ROWS($V$2:V742),$V$2:$V$1001,0),MATCH(COLUMNS($AC$1006:AF1006),$AC$1006:$AS$1006,0)), HYPERLINK("#",""), HYPERLINK(CONCATENATE("#metadata!", ADDRESS(INDEX($X$2:$X$1001,MATCH(ROWS($V$2:V742),$V$2:$V$1001,0),0), INDEX($AC$1004:$AS$1004,1,MATCH(COLUMNS($AC$1006:AF1006),$AC$1006:$AS$1006,0)))),"Fix")))</f>
        <v xml:space="preserve"> </v>
      </c>
      <c r="F742" s="4" t="str">
        <f ca="1">IF(OR(INDEX($W$2:$W$1001,MATCH(ROWS($V$2:V742),$V$2:$V$1001,0),1)&gt;=100000,INDEX($AC$1005:$AS$1005,1,MATCH(COLUMNS($AC$1006:AG1006),$AC$1006:$AS$1006,0))&gt;=100000), " ",IF(INDEX($AC$2:$AS$1001,MATCH(ROWS($V$2:V742),$V$2:$V$1001,0),MATCH(COLUMNS($AC$1006:AG1006),$AC$1006:$AS$1006,0)), HYPERLINK("#",""), HYPERLINK(CONCATENATE("#metadata!", ADDRESS(INDEX($X$2:$X$1001,MATCH(ROWS($V$2:V742),$V$2:$V$1001,0),0), INDEX($AC$1004:$AS$1004,1,MATCH(COLUMNS($AC$1006:AG1006),$AC$1006:$AS$1006,0)))),"Fix")))</f>
        <v xml:space="preserve"> </v>
      </c>
      <c r="G742" s="4" t="str">
        <f ca="1">IF(OR(INDEX($W$2:$W$1001,MATCH(ROWS($V$2:V742),$V$2:$V$1001,0),1)&gt;=100000,INDEX($AC$1005:$AS$1005,1,MATCH(COLUMNS($AC$1006:AH1006),$AC$1006:$AS$1006,0))&gt;=100000), " ",IF(INDEX($AC$2:$AS$1001,MATCH(ROWS($V$2:V742),$V$2:$V$1001,0),MATCH(COLUMNS($AC$1006:AH1006),$AC$1006:$AS$1006,0)), HYPERLINK("#",""), HYPERLINK(CONCATENATE("#metadata!", ADDRESS(INDEX($X$2:$X$1001,MATCH(ROWS($V$2:V742),$V$2:$V$1001,0),0), INDEX($AC$1004:$AS$1004,1,MATCH(COLUMNS($AC$1006:AH1006),$AC$1006:$AS$1006,0)))),"Fix")))</f>
        <v xml:space="preserve"> </v>
      </c>
      <c r="H742" s="4" t="str">
        <f ca="1">IF(OR(INDEX($W$2:$W$1001,MATCH(ROWS($V$2:V742),$V$2:$V$1001,0),1)&gt;=100000,INDEX($AC$1005:$AS$1005,1,MATCH(COLUMNS($AC$1006:AI1006),$AC$1006:$AS$1006,0))&gt;=100000), " ",IF(INDEX($AC$2:$AS$1001,MATCH(ROWS($V$2:V742),$V$2:$V$1001,0),MATCH(COLUMNS($AC$1006:AI1006),$AC$1006:$AS$1006,0)), HYPERLINK("#",""), HYPERLINK(CONCATENATE("#metadata!", ADDRESS(INDEX($X$2:$X$1001,MATCH(ROWS($V$2:V742),$V$2:$V$1001,0),0), INDEX($AC$1004:$AS$1004,1,MATCH(COLUMNS($AC$1006:AI1006),$AC$1006:$AS$1006,0)))),"Fix")))</f>
        <v xml:space="preserve"> </v>
      </c>
      <c r="I742" s="4" t="str">
        <f ca="1">IF(OR(INDEX($W$2:$W$1001,MATCH(ROWS($V$2:V742),$V$2:$V$1001,0),1)&gt;=100000,INDEX($AC$1005:$AS$1005,1,MATCH(COLUMNS($AC$1006:AJ1006),$AC$1006:$AS$1006,0))&gt;=100000), " ",IF(INDEX($AC$2:$AS$1001,MATCH(ROWS($V$2:V742),$V$2:$V$1001,0),MATCH(COLUMNS($AC$1006:AJ1006),$AC$1006:$AS$1006,0)), HYPERLINK("#",""), HYPERLINK(CONCATENATE("#metadata!", ADDRESS(INDEX($X$2:$X$1001,MATCH(ROWS($V$2:V742),$V$2:$V$1001,0),0), INDEX($AC$1004:$AS$1004,1,MATCH(COLUMNS($AC$1006:AJ1006),$AC$1006:$AS$1006,0)))),"Fix")))</f>
        <v xml:space="preserve"> </v>
      </c>
      <c r="J742" s="4" t="str">
        <f ca="1">IF(OR(INDEX($W$2:$W$1001,MATCH(ROWS($V$2:V742),$V$2:$V$1001,0),1)&gt;=100000,INDEX($AC$1005:$AS$1005,1,MATCH(COLUMNS($AC$1006:AK1006),$AC$1006:$AS$1006,0))&gt;=100000), " ",IF(INDEX($AC$2:$AS$1001,MATCH(ROWS($V$2:V742),$V$2:$V$1001,0),MATCH(COLUMNS($AC$1006:AK1006),$AC$1006:$AS$1006,0)), HYPERLINK("#",""), HYPERLINK(CONCATENATE("#metadata!", ADDRESS(INDEX($X$2:$X$1001,MATCH(ROWS($V$2:V742),$V$2:$V$1001,0),0), INDEX($AC$1004:$AS$1004,1,MATCH(COLUMNS($AC$1006:AK1006),$AC$1006:$AS$1006,0)))),"Fix")))</f>
        <v xml:space="preserve"> </v>
      </c>
      <c r="K742" s="4" t="str">
        <f ca="1">IF(OR(INDEX($W$2:$W$1001,MATCH(ROWS($V$2:V742),$V$2:$V$1001,0),1)&gt;=100000,INDEX($AC$1005:$AS$1005,1,MATCH(COLUMNS($AC$1006:AL1006),$AC$1006:$AS$1006,0))&gt;=100000), " ",IF(INDEX($AC$2:$AS$1001,MATCH(ROWS($V$2:V742),$V$2:$V$1001,0),MATCH(COLUMNS($AC$1006:AL1006),$AC$1006:$AS$1006,0)), HYPERLINK("#",""), HYPERLINK(CONCATENATE("#metadata!", ADDRESS(INDEX($X$2:$X$1001,MATCH(ROWS($V$2:V742),$V$2:$V$1001,0),0), INDEX($AC$1004:$AS$1004,1,MATCH(COLUMNS($AC$1006:AL1006),$AC$1006:$AS$1006,0)))),"Fix")))</f>
        <v xml:space="preserve"> </v>
      </c>
      <c r="L742" s="4" t="str">
        <f ca="1">IF(OR(INDEX($W$2:$W$1001,MATCH(ROWS($V$2:V742),$V$2:$V$1001,0),1)&gt;=100000,INDEX($AC$1005:$AS$1005,1,MATCH(COLUMNS($AC$1006:AM1006),$AC$1006:$AS$1006,0))&gt;=100000), " ",IF(INDEX($AC$2:$AS$1001,MATCH(ROWS($V$2:V742),$V$2:$V$1001,0),MATCH(COLUMNS($AC$1006:AM1006),$AC$1006:$AS$1006,0)), HYPERLINK("#",""), HYPERLINK(CONCATENATE("#metadata!", ADDRESS(INDEX($X$2:$X$1001,MATCH(ROWS($V$2:V742),$V$2:$V$1001,0),0), INDEX($AC$1004:$AS$1004,1,MATCH(COLUMNS($AC$1006:AM1006),$AC$1006:$AS$1006,0)))),"Fix")))</f>
        <v xml:space="preserve"> </v>
      </c>
      <c r="M742" s="4" t="str">
        <f ca="1">IF(OR(INDEX($W$2:$W$1001,MATCH(ROWS($V$2:V742),$V$2:$V$1001,0),1)&gt;=100000,INDEX($AC$1005:$AS$1005,1,MATCH(COLUMNS($AC$1006:AN1006),$AC$1006:$AS$1006,0))&gt;=100000), " ",IF(INDEX($AC$2:$AS$1001,MATCH(ROWS($V$2:V742),$V$2:$V$1001,0),MATCH(COLUMNS($AC$1006:AN1006),$AC$1006:$AS$1006,0)), HYPERLINK("#",""), HYPERLINK(CONCATENATE("#metadata!", ADDRESS(INDEX($X$2:$X$1001,MATCH(ROWS($V$2:V742),$V$2:$V$1001,0),0), INDEX($AC$1004:$AS$1004,1,MATCH(COLUMNS($AC$1006:AN1006),$AC$1006:$AS$1006,0)))),"Fix")))</f>
        <v xml:space="preserve"> </v>
      </c>
      <c r="N742" s="4" t="str">
        <f ca="1">IF(OR(INDEX($W$2:$W$1001,MATCH(ROWS($V$2:V742),$V$2:$V$1001,0),1)&gt;=100000,INDEX($AC$1005:$AS$1005,1,MATCH(COLUMNS($AC$1006:AO1006),$AC$1006:$AS$1006,0))&gt;=100000), " ",IF(INDEX($AC$2:$AS$1001,MATCH(ROWS($V$2:V742),$V$2:$V$1001,0),MATCH(COLUMNS($AC$1006:AO1006),$AC$1006:$AS$1006,0)), HYPERLINK("#",""), HYPERLINK(CONCATENATE("#metadata!", ADDRESS(INDEX($X$2:$X$1001,MATCH(ROWS($V$2:V742),$V$2:$V$1001,0),0), INDEX($AC$1004:$AS$1004,1,MATCH(COLUMNS($AC$1006:AO1006),$AC$1006:$AS$1006,0)))),"Fix")))</f>
        <v xml:space="preserve"> </v>
      </c>
      <c r="O742" s="4" t="str">
        <f ca="1">IF(OR(INDEX($W$2:$W$1001,MATCH(ROWS($V$2:V742),$V$2:$V$1001,0),1)&gt;=100000,INDEX($AC$1005:$AS$1005,1,MATCH(COLUMNS($AC$1006:AP1006),$AC$1006:$AS$1006,0))&gt;=100000), " ",IF(INDEX($AC$2:$AS$1001,MATCH(ROWS($V$2:V742),$V$2:$V$1001,0),MATCH(COLUMNS($AC$1006:AP1006),$AC$1006:$AS$1006,0)), HYPERLINK("#",""), HYPERLINK(CONCATENATE("#metadata!", ADDRESS(INDEX($X$2:$X$1001,MATCH(ROWS($V$2:V742),$V$2:$V$1001,0),0), INDEX($AC$1004:$AS$1004,1,MATCH(COLUMNS($AC$1006:AP1006),$AC$1006:$AS$1006,0)))),"Fix")))</f>
        <v xml:space="preserve"> </v>
      </c>
      <c r="P742" s="4" t="str">
        <f ca="1">IF(OR(INDEX($W$2:$W$1001,MATCH(ROWS($V$2:V742),$V$2:$V$1001,0),1)&gt;=100000,INDEX($AC$1005:$AS$1005,1,MATCH(COLUMNS($AC$1006:AQ1006),$AC$1006:$AS$1006,0))&gt;=100000), " ",IF(INDEX($AC$2:$AS$1001,MATCH(ROWS($V$2:V742),$V$2:$V$1001,0),MATCH(COLUMNS($AC$1006:AQ1006),$AC$1006:$AS$1006,0)), HYPERLINK("#",""), HYPERLINK(CONCATENATE("#metadata!", ADDRESS(INDEX($X$2:$X$1001,MATCH(ROWS($V$2:V742),$V$2:$V$1001,0),0), INDEX($AC$1004:$AS$1004,1,MATCH(COLUMNS($AC$1006:AQ1006),$AC$1006:$AS$1006,0)))),"Fix")))</f>
        <v xml:space="preserve"> </v>
      </c>
      <c r="Q742" s="4" t="str">
        <f ca="1">IF(OR(INDEX($W$2:$W$1001,MATCH(ROWS($V$2:V742),$V$2:$V$1001,0),1)&gt;=100000,INDEX($AC$1005:$AS$1005,1,MATCH(COLUMNS($AC$1006:AR1006),$AC$1006:$AS$1006,0))&gt;=100000), " ",IF(INDEX($AC$2:$AS$1001,MATCH(ROWS($V$2:V742),$V$2:$V$1001,0),MATCH(COLUMNS($AC$1006:AR1006),$AC$1006:$AS$1006,0)), HYPERLINK("#",""), HYPERLINK(CONCATENATE("#metadata!", ADDRESS(INDEX($X$2:$X$1001,MATCH(ROWS($V$2:V742),$V$2:$V$1001,0),0), INDEX($AC$1004:$AS$1004,1,MATCH(COLUMNS($AC$1006:AR1006),$AC$1006:$AS$1006,0)))),"Fix")))</f>
        <v xml:space="preserve"> </v>
      </c>
      <c r="R742" s="4" t="str">
        <f ca="1">IF(OR(INDEX($W$2:$W$1001,MATCH(ROWS($V$2:V742),$V$2:$V$1001,0),1)&gt;=100000,INDEX($AC$1005:$AS$1005,1,MATCH(COLUMNS($AC$1006:AS1006),$AC$1006:$AS$1006,0))&gt;=100000), " ",IF(INDEX($AC$2:$AS$1001,MATCH(ROWS($V$2:V742),$V$2:$V$1001,0),MATCH(COLUMNS($AC$1006:AS1006),$AC$1006:$AS$1006,0)), HYPERLINK("#",""), HYPERLINK(CONCATENATE("#metadata!", ADDRESS(INDEX($X$2:$X$1001,MATCH(ROWS($V$2:V742),$V$2:$V$1001,0),0), INDEX($AC$1004:$AS$1004,1,MATCH(COLUMNS($AC$1006:AS1006),$AC$1006:$AS$1006,0)))),"Fix")))</f>
        <v xml:space="preserve"> </v>
      </c>
      <c r="V742">
        <v>741</v>
      </c>
      <c r="W742">
        <v>100742</v>
      </c>
      <c r="X742">
        <v>742</v>
      </c>
      <c r="Y742" t="b">
        <f t="shared" si="11"/>
        <v>1</v>
      </c>
      <c r="Z742" t="b">
        <f>COUNTBLANK(metadata!B742:R742)=COLUMNS(metadata!B742:R742)</f>
        <v>1</v>
      </c>
      <c r="AA742" t="str">
        <v/>
      </c>
      <c r="AC742" t="b">
        <f ca="1"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AD742" t="b">
        <f>IF(metadata!C742="",FALSE,ISNUMBER(VALUE(metadata!C742)))</f>
        <v>0</v>
      </c>
      <c r="AE742" t="b">
        <f>AND(IF(metadata!D742="",FALSE,TRUE),EXACT(metadata!D742,"years"))</f>
        <v>0</v>
      </c>
      <c r="AF742" t="b">
        <f>OR(AND(IF(metadata!E742="",FALSE,TRUE),OR(EXACT(metadata!E742,"not applicable"),EXACT(metadata!E742,"missing: not collected"),EXACT(metadata!E742,"missing: not provided"),EXACT(metadata!E742,"missing: restricted access"))),AND(IF(metadata!E742="",FALSE,ISNUMBER(VALUE(metadata!E742))),metadata!E742&gt;0))</f>
        <v>0</v>
      </c>
      <c r="AG742" t="b">
        <f>AND(IF(metadata!F742="",FALSE,TRUE),EXACT(metadata!F742,"Not applicable"))</f>
        <v>0</v>
      </c>
      <c r="AH742" t="b">
        <f>AND(IF(metadata!G742="",FALSE,TRUE),EXACT(metadata!G742,"urban biome"))</f>
        <v>0</v>
      </c>
      <c r="AI742" t="b">
        <f>AND(IF(metadata!H742="",FALSE,TRUE),EXACT(metadata!H742,"human-associated habitat"))</f>
        <v>0</v>
      </c>
      <c r="AJ742" t="b">
        <f>AND(IF(metadata!I742="",FALSE,TRUE),OR(EXACT(metadata!I742,"human-associated"),EXACT(metadata!I742,"human-skin"),EXACT(metadata!I742,"human-oral"),EXACT(metadata!I742,"human-gut"),EXACT(metadata!I742,"human-vaginal")))</f>
        <v>0</v>
      </c>
      <c r="AK742" t="b">
        <f>IF(metadata!J742="",FALSE,ISNUMBER(VALUE(metadata!J742)))</f>
        <v>0</v>
      </c>
      <c r="AL742" t="b">
        <f>AND(IF(metadata!K742="",FALSE,TRUE),EXACT(metadata!K742,"cm"))</f>
        <v>0</v>
      </c>
      <c r="AM742" t="b">
        <f>AND(IF(metadata!L742="",FALSE,TRUE),EXACT(metadata!L742,"human"))</f>
        <v>0</v>
      </c>
      <c r="AN742" t="b">
        <f>AND(IF(metadata!M742="",FALSE,TRUE),EXACT(metadata!M742,"Homo sapiens"))</f>
        <v>0</v>
      </c>
      <c r="AO742" t="b">
        <f>AND(IF(metadata!N742="",FALSE,TRUE),EXACT(metadata!N742,"9606"))</f>
        <v>0</v>
      </c>
      <c r="AP742" t="b">
        <f>IF(metadata!O742="",FALSE,TRUE)</f>
        <v>0</v>
      </c>
      <c r="AQ742" t="b">
        <f>IF(metadata!P742="",FALSE,TRUE)</f>
        <v>0</v>
      </c>
      <c r="AR742" t="b">
        <f>IF(metadata!Q742="",FALSE,ISNUMBER(VALUE(metadata!Q742)))</f>
        <v>0</v>
      </c>
      <c r="AS742" t="b">
        <f>AND(IF(metadata!R742="",FALSE,TRUE),EXACT(metadata!R742,"kg"))</f>
        <v>0</v>
      </c>
    </row>
    <row r="743" spans="1:45" x14ac:dyDescent="0.2">
      <c r="A743" s="5" t="str">
        <f ca="1">IF(B743=" "," ",HYPERLINK(CONCATENATE("#metadata!",ADDRESS(INDEX($X$2:$X$1001,MATCH(ROWS($V$2:V743),$V$2:$V$1001,0),0),1)),INDEX($AA$2:$AA$1001,MATCH(ROWS($V$2:V743),$V$2:$V$1001,0),0)))</f>
        <v xml:space="preserve"> </v>
      </c>
      <c r="B743" s="4" t="str">
        <f ca="1">IF(OR(INDEX($W$2:$W$1001,MATCH(ROWS($V$2:V743),$V$2:$V$1001,0),1)&gt;=100000,INDEX($AC$1005:$AS$1005,1,MATCH(COLUMNS($AC$1006:AC1006),$AC$1006:$AS$1006,0))&gt;=100000), " ",IF(INDEX($AC$2:$AS$1001,MATCH(ROWS($V$2:V743),$V$2:$V$1001,0),MATCH(COLUMNS($AC$1006:AC1006),$AC$1006:$AS$1006,0)), HYPERLINK("#",""), HYPERLINK(CONCATENATE("#metadata!", ADDRESS(INDEX($X$2:$X$1001,MATCH(ROWS($V$2:V743),$V$2:$V$1001,0),0), INDEX($AC$1004:$AS$1004,1,MATCH(COLUMNS($AC$1006:AC1006),$AC$1006:$AS$1006,0)))),"Fix")))</f>
        <v xml:space="preserve"> </v>
      </c>
      <c r="C743" s="4" t="str">
        <f ca="1">IF(OR(INDEX($W$2:$W$1001,MATCH(ROWS($V$2:V743),$V$2:$V$1001,0),1)&gt;=100000,INDEX($AC$1005:$AS$1005,1,MATCH(COLUMNS($AC$1006:AD1006),$AC$1006:$AS$1006,0))&gt;=100000), " ",IF(INDEX($AC$2:$AS$1001,MATCH(ROWS($V$2:V743),$V$2:$V$1001,0),MATCH(COLUMNS($AC$1006:AD1006),$AC$1006:$AS$1006,0)), HYPERLINK("#",""), HYPERLINK(CONCATENATE("#metadata!", ADDRESS(INDEX($X$2:$X$1001,MATCH(ROWS($V$2:V743),$V$2:$V$1001,0),0), INDEX($AC$1004:$AS$1004,1,MATCH(COLUMNS($AC$1006:AD1006),$AC$1006:$AS$1006,0)))),"Fix")))</f>
        <v xml:space="preserve"> </v>
      </c>
      <c r="D743" s="4" t="str">
        <f ca="1">IF(OR(INDEX($W$2:$W$1001,MATCH(ROWS($V$2:V743),$V$2:$V$1001,0),1)&gt;=100000,INDEX($AC$1005:$AS$1005,1,MATCH(COLUMNS($AC$1006:AE1006),$AC$1006:$AS$1006,0))&gt;=100000), " ",IF(INDEX($AC$2:$AS$1001,MATCH(ROWS($V$2:V743),$V$2:$V$1001,0),MATCH(COLUMNS($AC$1006:AE1006),$AC$1006:$AS$1006,0)), HYPERLINK("#",""), HYPERLINK(CONCATENATE("#metadata!", ADDRESS(INDEX($X$2:$X$1001,MATCH(ROWS($V$2:V743),$V$2:$V$1001,0),0), INDEX($AC$1004:$AS$1004,1,MATCH(COLUMNS($AC$1006:AE1006),$AC$1006:$AS$1006,0)))),"Fix")))</f>
        <v xml:space="preserve"> </v>
      </c>
      <c r="E743" s="4" t="str">
        <f ca="1">IF(OR(INDEX($W$2:$W$1001,MATCH(ROWS($V$2:V743),$V$2:$V$1001,0),1)&gt;=100000,INDEX($AC$1005:$AS$1005,1,MATCH(COLUMNS($AC$1006:AF1006),$AC$1006:$AS$1006,0))&gt;=100000), " ",IF(INDEX($AC$2:$AS$1001,MATCH(ROWS($V$2:V743),$V$2:$V$1001,0),MATCH(COLUMNS($AC$1006:AF1006),$AC$1006:$AS$1006,0)), HYPERLINK("#",""), HYPERLINK(CONCATENATE("#metadata!", ADDRESS(INDEX($X$2:$X$1001,MATCH(ROWS($V$2:V743),$V$2:$V$1001,0),0), INDEX($AC$1004:$AS$1004,1,MATCH(COLUMNS($AC$1006:AF1006),$AC$1006:$AS$1006,0)))),"Fix")))</f>
        <v xml:space="preserve"> </v>
      </c>
      <c r="F743" s="4" t="str">
        <f ca="1">IF(OR(INDEX($W$2:$W$1001,MATCH(ROWS($V$2:V743),$V$2:$V$1001,0),1)&gt;=100000,INDEX($AC$1005:$AS$1005,1,MATCH(COLUMNS($AC$1006:AG1006),$AC$1006:$AS$1006,0))&gt;=100000), " ",IF(INDEX($AC$2:$AS$1001,MATCH(ROWS($V$2:V743),$V$2:$V$1001,0),MATCH(COLUMNS($AC$1006:AG1006),$AC$1006:$AS$1006,0)), HYPERLINK("#",""), HYPERLINK(CONCATENATE("#metadata!", ADDRESS(INDEX($X$2:$X$1001,MATCH(ROWS($V$2:V743),$V$2:$V$1001,0),0), INDEX($AC$1004:$AS$1004,1,MATCH(COLUMNS($AC$1006:AG1006),$AC$1006:$AS$1006,0)))),"Fix")))</f>
        <v xml:space="preserve"> </v>
      </c>
      <c r="G743" s="4" t="str">
        <f ca="1">IF(OR(INDEX($W$2:$W$1001,MATCH(ROWS($V$2:V743),$V$2:$V$1001,0),1)&gt;=100000,INDEX($AC$1005:$AS$1005,1,MATCH(COLUMNS($AC$1006:AH1006),$AC$1006:$AS$1006,0))&gt;=100000), " ",IF(INDEX($AC$2:$AS$1001,MATCH(ROWS($V$2:V743),$V$2:$V$1001,0),MATCH(COLUMNS($AC$1006:AH1006),$AC$1006:$AS$1006,0)), HYPERLINK("#",""), HYPERLINK(CONCATENATE("#metadata!", ADDRESS(INDEX($X$2:$X$1001,MATCH(ROWS($V$2:V743),$V$2:$V$1001,0),0), INDEX($AC$1004:$AS$1004,1,MATCH(COLUMNS($AC$1006:AH1006),$AC$1006:$AS$1006,0)))),"Fix")))</f>
        <v xml:space="preserve"> </v>
      </c>
      <c r="H743" s="4" t="str">
        <f ca="1">IF(OR(INDEX($W$2:$W$1001,MATCH(ROWS($V$2:V743),$V$2:$V$1001,0),1)&gt;=100000,INDEX($AC$1005:$AS$1005,1,MATCH(COLUMNS($AC$1006:AI1006),$AC$1006:$AS$1006,0))&gt;=100000), " ",IF(INDEX($AC$2:$AS$1001,MATCH(ROWS($V$2:V743),$V$2:$V$1001,0),MATCH(COLUMNS($AC$1006:AI1006),$AC$1006:$AS$1006,0)), HYPERLINK("#",""), HYPERLINK(CONCATENATE("#metadata!", ADDRESS(INDEX($X$2:$X$1001,MATCH(ROWS($V$2:V743),$V$2:$V$1001,0),0), INDEX($AC$1004:$AS$1004,1,MATCH(COLUMNS($AC$1006:AI1006),$AC$1006:$AS$1006,0)))),"Fix")))</f>
        <v xml:space="preserve"> </v>
      </c>
      <c r="I743" s="4" t="str">
        <f ca="1">IF(OR(INDEX($W$2:$W$1001,MATCH(ROWS($V$2:V743),$V$2:$V$1001,0),1)&gt;=100000,INDEX($AC$1005:$AS$1005,1,MATCH(COLUMNS($AC$1006:AJ1006),$AC$1006:$AS$1006,0))&gt;=100000), " ",IF(INDEX($AC$2:$AS$1001,MATCH(ROWS($V$2:V743),$V$2:$V$1001,0),MATCH(COLUMNS($AC$1006:AJ1006),$AC$1006:$AS$1006,0)), HYPERLINK("#",""), HYPERLINK(CONCATENATE("#metadata!", ADDRESS(INDEX($X$2:$X$1001,MATCH(ROWS($V$2:V743),$V$2:$V$1001,0),0), INDEX($AC$1004:$AS$1004,1,MATCH(COLUMNS($AC$1006:AJ1006),$AC$1006:$AS$1006,0)))),"Fix")))</f>
        <v xml:space="preserve"> </v>
      </c>
      <c r="J743" s="4" t="str">
        <f ca="1">IF(OR(INDEX($W$2:$W$1001,MATCH(ROWS($V$2:V743),$V$2:$V$1001,0),1)&gt;=100000,INDEX($AC$1005:$AS$1005,1,MATCH(COLUMNS($AC$1006:AK1006),$AC$1006:$AS$1006,0))&gt;=100000), " ",IF(INDEX($AC$2:$AS$1001,MATCH(ROWS($V$2:V743),$V$2:$V$1001,0),MATCH(COLUMNS($AC$1006:AK1006),$AC$1006:$AS$1006,0)), HYPERLINK("#",""), HYPERLINK(CONCATENATE("#metadata!", ADDRESS(INDEX($X$2:$X$1001,MATCH(ROWS($V$2:V743),$V$2:$V$1001,0),0), INDEX($AC$1004:$AS$1004,1,MATCH(COLUMNS($AC$1006:AK1006),$AC$1006:$AS$1006,0)))),"Fix")))</f>
        <v xml:space="preserve"> </v>
      </c>
      <c r="K743" s="4" t="str">
        <f ca="1">IF(OR(INDEX($W$2:$W$1001,MATCH(ROWS($V$2:V743),$V$2:$V$1001,0),1)&gt;=100000,INDEX($AC$1005:$AS$1005,1,MATCH(COLUMNS($AC$1006:AL1006),$AC$1006:$AS$1006,0))&gt;=100000), " ",IF(INDEX($AC$2:$AS$1001,MATCH(ROWS($V$2:V743),$V$2:$V$1001,0),MATCH(COLUMNS($AC$1006:AL1006),$AC$1006:$AS$1006,0)), HYPERLINK("#",""), HYPERLINK(CONCATENATE("#metadata!", ADDRESS(INDEX($X$2:$X$1001,MATCH(ROWS($V$2:V743),$V$2:$V$1001,0),0), INDEX($AC$1004:$AS$1004,1,MATCH(COLUMNS($AC$1006:AL1006),$AC$1006:$AS$1006,0)))),"Fix")))</f>
        <v xml:space="preserve"> </v>
      </c>
      <c r="L743" s="4" t="str">
        <f ca="1">IF(OR(INDEX($W$2:$W$1001,MATCH(ROWS($V$2:V743),$V$2:$V$1001,0),1)&gt;=100000,INDEX($AC$1005:$AS$1005,1,MATCH(COLUMNS($AC$1006:AM1006),$AC$1006:$AS$1006,0))&gt;=100000), " ",IF(INDEX($AC$2:$AS$1001,MATCH(ROWS($V$2:V743),$V$2:$V$1001,0),MATCH(COLUMNS($AC$1006:AM1006),$AC$1006:$AS$1006,0)), HYPERLINK("#",""), HYPERLINK(CONCATENATE("#metadata!", ADDRESS(INDEX($X$2:$X$1001,MATCH(ROWS($V$2:V743),$V$2:$V$1001,0),0), INDEX($AC$1004:$AS$1004,1,MATCH(COLUMNS($AC$1006:AM1006),$AC$1006:$AS$1006,0)))),"Fix")))</f>
        <v xml:space="preserve"> </v>
      </c>
      <c r="M743" s="4" t="str">
        <f ca="1">IF(OR(INDEX($W$2:$W$1001,MATCH(ROWS($V$2:V743),$V$2:$V$1001,0),1)&gt;=100000,INDEX($AC$1005:$AS$1005,1,MATCH(COLUMNS($AC$1006:AN1006),$AC$1006:$AS$1006,0))&gt;=100000), " ",IF(INDEX($AC$2:$AS$1001,MATCH(ROWS($V$2:V743),$V$2:$V$1001,0),MATCH(COLUMNS($AC$1006:AN1006),$AC$1006:$AS$1006,0)), HYPERLINK("#",""), HYPERLINK(CONCATENATE("#metadata!", ADDRESS(INDEX($X$2:$X$1001,MATCH(ROWS($V$2:V743),$V$2:$V$1001,0),0), INDEX($AC$1004:$AS$1004,1,MATCH(COLUMNS($AC$1006:AN1006),$AC$1006:$AS$1006,0)))),"Fix")))</f>
        <v xml:space="preserve"> </v>
      </c>
      <c r="N743" s="4" t="str">
        <f ca="1">IF(OR(INDEX($W$2:$W$1001,MATCH(ROWS($V$2:V743),$V$2:$V$1001,0),1)&gt;=100000,INDEX($AC$1005:$AS$1005,1,MATCH(COLUMNS($AC$1006:AO1006),$AC$1006:$AS$1006,0))&gt;=100000), " ",IF(INDEX($AC$2:$AS$1001,MATCH(ROWS($V$2:V743),$V$2:$V$1001,0),MATCH(COLUMNS($AC$1006:AO1006),$AC$1006:$AS$1006,0)), HYPERLINK("#",""), HYPERLINK(CONCATENATE("#metadata!", ADDRESS(INDEX($X$2:$X$1001,MATCH(ROWS($V$2:V743),$V$2:$V$1001,0),0), INDEX($AC$1004:$AS$1004,1,MATCH(COLUMNS($AC$1006:AO1006),$AC$1006:$AS$1006,0)))),"Fix")))</f>
        <v xml:space="preserve"> </v>
      </c>
      <c r="O743" s="4" t="str">
        <f ca="1">IF(OR(INDEX($W$2:$W$1001,MATCH(ROWS($V$2:V743),$V$2:$V$1001,0),1)&gt;=100000,INDEX($AC$1005:$AS$1005,1,MATCH(COLUMNS($AC$1006:AP1006),$AC$1006:$AS$1006,0))&gt;=100000), " ",IF(INDEX($AC$2:$AS$1001,MATCH(ROWS($V$2:V743),$V$2:$V$1001,0),MATCH(COLUMNS($AC$1006:AP1006),$AC$1006:$AS$1006,0)), HYPERLINK("#",""), HYPERLINK(CONCATENATE("#metadata!", ADDRESS(INDEX($X$2:$X$1001,MATCH(ROWS($V$2:V743),$V$2:$V$1001,0),0), INDEX($AC$1004:$AS$1004,1,MATCH(COLUMNS($AC$1006:AP1006),$AC$1006:$AS$1006,0)))),"Fix")))</f>
        <v xml:space="preserve"> </v>
      </c>
      <c r="P743" s="4" t="str">
        <f ca="1">IF(OR(INDEX($W$2:$W$1001,MATCH(ROWS($V$2:V743),$V$2:$V$1001,0),1)&gt;=100000,INDEX($AC$1005:$AS$1005,1,MATCH(COLUMNS($AC$1006:AQ1006),$AC$1006:$AS$1006,0))&gt;=100000), " ",IF(INDEX($AC$2:$AS$1001,MATCH(ROWS($V$2:V743),$V$2:$V$1001,0),MATCH(COLUMNS($AC$1006:AQ1006),$AC$1006:$AS$1006,0)), HYPERLINK("#",""), HYPERLINK(CONCATENATE("#metadata!", ADDRESS(INDEX($X$2:$X$1001,MATCH(ROWS($V$2:V743),$V$2:$V$1001,0),0), INDEX($AC$1004:$AS$1004,1,MATCH(COLUMNS($AC$1006:AQ1006),$AC$1006:$AS$1006,0)))),"Fix")))</f>
        <v xml:space="preserve"> </v>
      </c>
      <c r="Q743" s="4" t="str">
        <f ca="1">IF(OR(INDEX($W$2:$W$1001,MATCH(ROWS($V$2:V743),$V$2:$V$1001,0),1)&gt;=100000,INDEX($AC$1005:$AS$1005,1,MATCH(COLUMNS($AC$1006:AR1006),$AC$1006:$AS$1006,0))&gt;=100000), " ",IF(INDEX($AC$2:$AS$1001,MATCH(ROWS($V$2:V743),$V$2:$V$1001,0),MATCH(COLUMNS($AC$1006:AR1006),$AC$1006:$AS$1006,0)), HYPERLINK("#",""), HYPERLINK(CONCATENATE("#metadata!", ADDRESS(INDEX($X$2:$X$1001,MATCH(ROWS($V$2:V743),$V$2:$V$1001,0),0), INDEX($AC$1004:$AS$1004,1,MATCH(COLUMNS($AC$1006:AR1006),$AC$1006:$AS$1006,0)))),"Fix")))</f>
        <v xml:space="preserve"> </v>
      </c>
      <c r="R743" s="4" t="str">
        <f ca="1">IF(OR(INDEX($W$2:$W$1001,MATCH(ROWS($V$2:V743),$V$2:$V$1001,0),1)&gt;=100000,INDEX($AC$1005:$AS$1005,1,MATCH(COLUMNS($AC$1006:AS1006),$AC$1006:$AS$1006,0))&gt;=100000), " ",IF(INDEX($AC$2:$AS$1001,MATCH(ROWS($V$2:V743),$V$2:$V$1001,0),MATCH(COLUMNS($AC$1006:AS1006),$AC$1006:$AS$1006,0)), HYPERLINK("#",""), HYPERLINK(CONCATENATE("#metadata!", ADDRESS(INDEX($X$2:$X$1001,MATCH(ROWS($V$2:V743),$V$2:$V$1001,0),0), INDEX($AC$1004:$AS$1004,1,MATCH(COLUMNS($AC$1006:AS1006),$AC$1006:$AS$1006,0)))),"Fix")))</f>
        <v xml:space="preserve"> </v>
      </c>
      <c r="V743">
        <v>742</v>
      </c>
      <c r="W743">
        <v>100743</v>
      </c>
      <c r="X743">
        <v>743</v>
      </c>
      <c r="Y743" t="b">
        <f t="shared" si="11"/>
        <v>1</v>
      </c>
      <c r="Z743" t="b">
        <f>COUNTBLANK(metadata!B743:R743)=COLUMNS(metadata!B743:R743)</f>
        <v>1</v>
      </c>
      <c r="AA743" t="str">
        <v/>
      </c>
      <c r="AC743" t="b">
        <f ca="1"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AD743" t="b">
        <f>IF(metadata!C743="",FALSE,ISNUMBER(VALUE(metadata!C743)))</f>
        <v>0</v>
      </c>
      <c r="AE743" t="b">
        <f>AND(IF(metadata!D743="",FALSE,TRUE),EXACT(metadata!D743,"years"))</f>
        <v>0</v>
      </c>
      <c r="AF743" t="b">
        <f>OR(AND(IF(metadata!E743="",FALSE,TRUE),OR(EXACT(metadata!E743,"not applicable"),EXACT(metadata!E743,"missing: not collected"),EXACT(metadata!E743,"missing: not provided"),EXACT(metadata!E743,"missing: restricted access"))),AND(IF(metadata!E743="",FALSE,ISNUMBER(VALUE(metadata!E743))),metadata!E743&gt;0))</f>
        <v>0</v>
      </c>
      <c r="AG743" t="b">
        <f>AND(IF(metadata!F743="",FALSE,TRUE),EXACT(metadata!F743,"Not applicable"))</f>
        <v>0</v>
      </c>
      <c r="AH743" t="b">
        <f>AND(IF(metadata!G743="",FALSE,TRUE),EXACT(metadata!G743,"urban biome"))</f>
        <v>0</v>
      </c>
      <c r="AI743" t="b">
        <f>AND(IF(metadata!H743="",FALSE,TRUE),EXACT(metadata!H743,"human-associated habitat"))</f>
        <v>0</v>
      </c>
      <c r="AJ743" t="b">
        <f>AND(IF(metadata!I743="",FALSE,TRUE),OR(EXACT(metadata!I743,"human-associated"),EXACT(metadata!I743,"human-skin"),EXACT(metadata!I743,"human-oral"),EXACT(metadata!I743,"human-gut"),EXACT(metadata!I743,"human-vaginal")))</f>
        <v>0</v>
      </c>
      <c r="AK743" t="b">
        <f>IF(metadata!J743="",FALSE,ISNUMBER(VALUE(metadata!J743)))</f>
        <v>0</v>
      </c>
      <c r="AL743" t="b">
        <f>AND(IF(metadata!K743="",FALSE,TRUE),EXACT(metadata!K743,"cm"))</f>
        <v>0</v>
      </c>
      <c r="AM743" t="b">
        <f>AND(IF(metadata!L743="",FALSE,TRUE),EXACT(metadata!L743,"human"))</f>
        <v>0</v>
      </c>
      <c r="AN743" t="b">
        <f>AND(IF(metadata!M743="",FALSE,TRUE),EXACT(metadata!M743,"Homo sapiens"))</f>
        <v>0</v>
      </c>
      <c r="AO743" t="b">
        <f>AND(IF(metadata!N743="",FALSE,TRUE),EXACT(metadata!N743,"9606"))</f>
        <v>0</v>
      </c>
      <c r="AP743" t="b">
        <f>IF(metadata!O743="",FALSE,TRUE)</f>
        <v>0</v>
      </c>
      <c r="AQ743" t="b">
        <f>IF(metadata!P743="",FALSE,TRUE)</f>
        <v>0</v>
      </c>
      <c r="AR743" t="b">
        <f>IF(metadata!Q743="",FALSE,ISNUMBER(VALUE(metadata!Q743)))</f>
        <v>0</v>
      </c>
      <c r="AS743" t="b">
        <f>AND(IF(metadata!R743="",FALSE,TRUE),EXACT(metadata!R743,"kg"))</f>
        <v>0</v>
      </c>
    </row>
    <row r="744" spans="1:45" x14ac:dyDescent="0.2">
      <c r="A744" s="5" t="str">
        <f ca="1">IF(B744=" "," ",HYPERLINK(CONCATENATE("#metadata!",ADDRESS(INDEX($X$2:$X$1001,MATCH(ROWS($V$2:V744),$V$2:$V$1001,0),0),1)),INDEX($AA$2:$AA$1001,MATCH(ROWS($V$2:V744),$V$2:$V$1001,0),0)))</f>
        <v xml:space="preserve"> </v>
      </c>
      <c r="B744" s="4" t="str">
        <f ca="1">IF(OR(INDEX($W$2:$W$1001,MATCH(ROWS($V$2:V744),$V$2:$V$1001,0),1)&gt;=100000,INDEX($AC$1005:$AS$1005,1,MATCH(COLUMNS($AC$1006:AC1006),$AC$1006:$AS$1006,0))&gt;=100000), " ",IF(INDEX($AC$2:$AS$1001,MATCH(ROWS($V$2:V744),$V$2:$V$1001,0),MATCH(COLUMNS($AC$1006:AC1006),$AC$1006:$AS$1006,0)), HYPERLINK("#",""), HYPERLINK(CONCATENATE("#metadata!", ADDRESS(INDEX($X$2:$X$1001,MATCH(ROWS($V$2:V744),$V$2:$V$1001,0),0), INDEX($AC$1004:$AS$1004,1,MATCH(COLUMNS($AC$1006:AC1006),$AC$1006:$AS$1006,0)))),"Fix")))</f>
        <v xml:space="preserve"> </v>
      </c>
      <c r="C744" s="4" t="str">
        <f ca="1">IF(OR(INDEX($W$2:$W$1001,MATCH(ROWS($V$2:V744),$V$2:$V$1001,0),1)&gt;=100000,INDEX($AC$1005:$AS$1005,1,MATCH(COLUMNS($AC$1006:AD1006),$AC$1006:$AS$1006,0))&gt;=100000), " ",IF(INDEX($AC$2:$AS$1001,MATCH(ROWS($V$2:V744),$V$2:$V$1001,0),MATCH(COLUMNS($AC$1006:AD1006),$AC$1006:$AS$1006,0)), HYPERLINK("#",""), HYPERLINK(CONCATENATE("#metadata!", ADDRESS(INDEX($X$2:$X$1001,MATCH(ROWS($V$2:V744),$V$2:$V$1001,0),0), INDEX($AC$1004:$AS$1004,1,MATCH(COLUMNS($AC$1006:AD1006),$AC$1006:$AS$1006,0)))),"Fix")))</f>
        <v xml:space="preserve"> </v>
      </c>
      <c r="D744" s="4" t="str">
        <f ca="1">IF(OR(INDEX($W$2:$W$1001,MATCH(ROWS($V$2:V744),$V$2:$V$1001,0),1)&gt;=100000,INDEX($AC$1005:$AS$1005,1,MATCH(COLUMNS($AC$1006:AE1006),$AC$1006:$AS$1006,0))&gt;=100000), " ",IF(INDEX($AC$2:$AS$1001,MATCH(ROWS($V$2:V744),$V$2:$V$1001,0),MATCH(COLUMNS($AC$1006:AE1006),$AC$1006:$AS$1006,0)), HYPERLINK("#",""), HYPERLINK(CONCATENATE("#metadata!", ADDRESS(INDEX($X$2:$X$1001,MATCH(ROWS($V$2:V744),$V$2:$V$1001,0),0), INDEX($AC$1004:$AS$1004,1,MATCH(COLUMNS($AC$1006:AE1006),$AC$1006:$AS$1006,0)))),"Fix")))</f>
        <v xml:space="preserve"> </v>
      </c>
      <c r="E744" s="4" t="str">
        <f ca="1">IF(OR(INDEX($W$2:$W$1001,MATCH(ROWS($V$2:V744),$V$2:$V$1001,0),1)&gt;=100000,INDEX($AC$1005:$AS$1005,1,MATCH(COLUMNS($AC$1006:AF1006),$AC$1006:$AS$1006,0))&gt;=100000), " ",IF(INDEX($AC$2:$AS$1001,MATCH(ROWS($V$2:V744),$V$2:$V$1001,0),MATCH(COLUMNS($AC$1006:AF1006),$AC$1006:$AS$1006,0)), HYPERLINK("#",""), HYPERLINK(CONCATENATE("#metadata!", ADDRESS(INDEX($X$2:$X$1001,MATCH(ROWS($V$2:V744),$V$2:$V$1001,0),0), INDEX($AC$1004:$AS$1004,1,MATCH(COLUMNS($AC$1006:AF1006),$AC$1006:$AS$1006,0)))),"Fix")))</f>
        <v xml:space="preserve"> </v>
      </c>
      <c r="F744" s="4" t="str">
        <f ca="1">IF(OR(INDEX($W$2:$W$1001,MATCH(ROWS($V$2:V744),$V$2:$V$1001,0),1)&gt;=100000,INDEX($AC$1005:$AS$1005,1,MATCH(COLUMNS($AC$1006:AG1006),$AC$1006:$AS$1006,0))&gt;=100000), " ",IF(INDEX($AC$2:$AS$1001,MATCH(ROWS($V$2:V744),$V$2:$V$1001,0),MATCH(COLUMNS($AC$1006:AG1006),$AC$1006:$AS$1006,0)), HYPERLINK("#",""), HYPERLINK(CONCATENATE("#metadata!", ADDRESS(INDEX($X$2:$X$1001,MATCH(ROWS($V$2:V744),$V$2:$V$1001,0),0), INDEX($AC$1004:$AS$1004,1,MATCH(COLUMNS($AC$1006:AG1006),$AC$1006:$AS$1006,0)))),"Fix")))</f>
        <v xml:space="preserve"> </v>
      </c>
      <c r="G744" s="4" t="str">
        <f ca="1">IF(OR(INDEX($W$2:$W$1001,MATCH(ROWS($V$2:V744),$V$2:$V$1001,0),1)&gt;=100000,INDEX($AC$1005:$AS$1005,1,MATCH(COLUMNS($AC$1006:AH1006),$AC$1006:$AS$1006,0))&gt;=100000), " ",IF(INDEX($AC$2:$AS$1001,MATCH(ROWS($V$2:V744),$V$2:$V$1001,0),MATCH(COLUMNS($AC$1006:AH1006),$AC$1006:$AS$1006,0)), HYPERLINK("#",""), HYPERLINK(CONCATENATE("#metadata!", ADDRESS(INDEX($X$2:$X$1001,MATCH(ROWS($V$2:V744),$V$2:$V$1001,0),0), INDEX($AC$1004:$AS$1004,1,MATCH(COLUMNS($AC$1006:AH1006),$AC$1006:$AS$1006,0)))),"Fix")))</f>
        <v xml:space="preserve"> </v>
      </c>
      <c r="H744" s="4" t="str">
        <f ca="1">IF(OR(INDEX($W$2:$W$1001,MATCH(ROWS($V$2:V744),$V$2:$V$1001,0),1)&gt;=100000,INDEX($AC$1005:$AS$1005,1,MATCH(COLUMNS($AC$1006:AI1006),$AC$1006:$AS$1006,0))&gt;=100000), " ",IF(INDEX($AC$2:$AS$1001,MATCH(ROWS($V$2:V744),$V$2:$V$1001,0),MATCH(COLUMNS($AC$1006:AI1006),$AC$1006:$AS$1006,0)), HYPERLINK("#",""), HYPERLINK(CONCATENATE("#metadata!", ADDRESS(INDEX($X$2:$X$1001,MATCH(ROWS($V$2:V744),$V$2:$V$1001,0),0), INDEX($AC$1004:$AS$1004,1,MATCH(COLUMNS($AC$1006:AI1006),$AC$1006:$AS$1006,0)))),"Fix")))</f>
        <v xml:space="preserve"> </v>
      </c>
      <c r="I744" s="4" t="str">
        <f ca="1">IF(OR(INDEX($W$2:$W$1001,MATCH(ROWS($V$2:V744),$V$2:$V$1001,0),1)&gt;=100000,INDEX($AC$1005:$AS$1005,1,MATCH(COLUMNS($AC$1006:AJ1006),$AC$1006:$AS$1006,0))&gt;=100000), " ",IF(INDEX($AC$2:$AS$1001,MATCH(ROWS($V$2:V744),$V$2:$V$1001,0),MATCH(COLUMNS($AC$1006:AJ1006),$AC$1006:$AS$1006,0)), HYPERLINK("#",""), HYPERLINK(CONCATENATE("#metadata!", ADDRESS(INDEX($X$2:$X$1001,MATCH(ROWS($V$2:V744),$V$2:$V$1001,0),0), INDEX($AC$1004:$AS$1004,1,MATCH(COLUMNS($AC$1006:AJ1006),$AC$1006:$AS$1006,0)))),"Fix")))</f>
        <v xml:space="preserve"> </v>
      </c>
      <c r="J744" s="4" t="str">
        <f ca="1">IF(OR(INDEX($W$2:$W$1001,MATCH(ROWS($V$2:V744),$V$2:$V$1001,0),1)&gt;=100000,INDEX($AC$1005:$AS$1005,1,MATCH(COLUMNS($AC$1006:AK1006),$AC$1006:$AS$1006,0))&gt;=100000), " ",IF(INDEX($AC$2:$AS$1001,MATCH(ROWS($V$2:V744),$V$2:$V$1001,0),MATCH(COLUMNS($AC$1006:AK1006),$AC$1006:$AS$1006,0)), HYPERLINK("#",""), HYPERLINK(CONCATENATE("#metadata!", ADDRESS(INDEX($X$2:$X$1001,MATCH(ROWS($V$2:V744),$V$2:$V$1001,0),0), INDEX($AC$1004:$AS$1004,1,MATCH(COLUMNS($AC$1006:AK1006),$AC$1006:$AS$1006,0)))),"Fix")))</f>
        <v xml:space="preserve"> </v>
      </c>
      <c r="K744" s="4" t="str">
        <f ca="1">IF(OR(INDEX($W$2:$W$1001,MATCH(ROWS($V$2:V744),$V$2:$V$1001,0),1)&gt;=100000,INDEX($AC$1005:$AS$1005,1,MATCH(COLUMNS($AC$1006:AL1006),$AC$1006:$AS$1006,0))&gt;=100000), " ",IF(INDEX($AC$2:$AS$1001,MATCH(ROWS($V$2:V744),$V$2:$V$1001,0),MATCH(COLUMNS($AC$1006:AL1006),$AC$1006:$AS$1006,0)), HYPERLINK("#",""), HYPERLINK(CONCATENATE("#metadata!", ADDRESS(INDEX($X$2:$X$1001,MATCH(ROWS($V$2:V744),$V$2:$V$1001,0),0), INDEX($AC$1004:$AS$1004,1,MATCH(COLUMNS($AC$1006:AL1006),$AC$1006:$AS$1006,0)))),"Fix")))</f>
        <v xml:space="preserve"> </v>
      </c>
      <c r="L744" s="4" t="str">
        <f ca="1">IF(OR(INDEX($W$2:$W$1001,MATCH(ROWS($V$2:V744),$V$2:$V$1001,0),1)&gt;=100000,INDEX($AC$1005:$AS$1005,1,MATCH(COLUMNS($AC$1006:AM1006),$AC$1006:$AS$1006,0))&gt;=100000), " ",IF(INDEX($AC$2:$AS$1001,MATCH(ROWS($V$2:V744),$V$2:$V$1001,0),MATCH(COLUMNS($AC$1006:AM1006),$AC$1006:$AS$1006,0)), HYPERLINK("#",""), HYPERLINK(CONCATENATE("#metadata!", ADDRESS(INDEX($X$2:$X$1001,MATCH(ROWS($V$2:V744),$V$2:$V$1001,0),0), INDEX($AC$1004:$AS$1004,1,MATCH(COLUMNS($AC$1006:AM1006),$AC$1006:$AS$1006,0)))),"Fix")))</f>
        <v xml:space="preserve"> </v>
      </c>
      <c r="M744" s="4" t="str">
        <f ca="1">IF(OR(INDEX($W$2:$W$1001,MATCH(ROWS($V$2:V744),$V$2:$V$1001,0),1)&gt;=100000,INDEX($AC$1005:$AS$1005,1,MATCH(COLUMNS($AC$1006:AN1006),$AC$1006:$AS$1006,0))&gt;=100000), " ",IF(INDEX($AC$2:$AS$1001,MATCH(ROWS($V$2:V744),$V$2:$V$1001,0),MATCH(COLUMNS($AC$1006:AN1006),$AC$1006:$AS$1006,0)), HYPERLINK("#",""), HYPERLINK(CONCATENATE("#metadata!", ADDRESS(INDEX($X$2:$X$1001,MATCH(ROWS($V$2:V744),$V$2:$V$1001,0),0), INDEX($AC$1004:$AS$1004,1,MATCH(COLUMNS($AC$1006:AN1006),$AC$1006:$AS$1006,0)))),"Fix")))</f>
        <v xml:space="preserve"> </v>
      </c>
      <c r="N744" s="4" t="str">
        <f ca="1">IF(OR(INDEX($W$2:$W$1001,MATCH(ROWS($V$2:V744),$V$2:$V$1001,0),1)&gt;=100000,INDEX($AC$1005:$AS$1005,1,MATCH(COLUMNS($AC$1006:AO1006),$AC$1006:$AS$1006,0))&gt;=100000), " ",IF(INDEX($AC$2:$AS$1001,MATCH(ROWS($V$2:V744),$V$2:$V$1001,0),MATCH(COLUMNS($AC$1006:AO1006),$AC$1006:$AS$1006,0)), HYPERLINK("#",""), HYPERLINK(CONCATENATE("#metadata!", ADDRESS(INDEX($X$2:$X$1001,MATCH(ROWS($V$2:V744),$V$2:$V$1001,0),0), INDEX($AC$1004:$AS$1004,1,MATCH(COLUMNS($AC$1006:AO1006),$AC$1006:$AS$1006,0)))),"Fix")))</f>
        <v xml:space="preserve"> </v>
      </c>
      <c r="O744" s="4" t="str">
        <f ca="1">IF(OR(INDEX($W$2:$W$1001,MATCH(ROWS($V$2:V744),$V$2:$V$1001,0),1)&gt;=100000,INDEX($AC$1005:$AS$1005,1,MATCH(COLUMNS($AC$1006:AP1006),$AC$1006:$AS$1006,0))&gt;=100000), " ",IF(INDEX($AC$2:$AS$1001,MATCH(ROWS($V$2:V744),$V$2:$V$1001,0),MATCH(COLUMNS($AC$1006:AP1006),$AC$1006:$AS$1006,0)), HYPERLINK("#",""), HYPERLINK(CONCATENATE("#metadata!", ADDRESS(INDEX($X$2:$X$1001,MATCH(ROWS($V$2:V744),$V$2:$V$1001,0),0), INDEX($AC$1004:$AS$1004,1,MATCH(COLUMNS($AC$1006:AP1006),$AC$1006:$AS$1006,0)))),"Fix")))</f>
        <v xml:space="preserve"> </v>
      </c>
      <c r="P744" s="4" t="str">
        <f ca="1">IF(OR(INDEX($W$2:$W$1001,MATCH(ROWS($V$2:V744),$V$2:$V$1001,0),1)&gt;=100000,INDEX($AC$1005:$AS$1005,1,MATCH(COLUMNS($AC$1006:AQ1006),$AC$1006:$AS$1006,0))&gt;=100000), " ",IF(INDEX($AC$2:$AS$1001,MATCH(ROWS($V$2:V744),$V$2:$V$1001,0),MATCH(COLUMNS($AC$1006:AQ1006),$AC$1006:$AS$1006,0)), HYPERLINK("#",""), HYPERLINK(CONCATENATE("#metadata!", ADDRESS(INDEX($X$2:$X$1001,MATCH(ROWS($V$2:V744),$V$2:$V$1001,0),0), INDEX($AC$1004:$AS$1004,1,MATCH(COLUMNS($AC$1006:AQ1006),$AC$1006:$AS$1006,0)))),"Fix")))</f>
        <v xml:space="preserve"> </v>
      </c>
      <c r="Q744" s="4" t="str">
        <f ca="1">IF(OR(INDEX($W$2:$W$1001,MATCH(ROWS($V$2:V744),$V$2:$V$1001,0),1)&gt;=100000,INDEX($AC$1005:$AS$1005,1,MATCH(COLUMNS($AC$1006:AR1006),$AC$1006:$AS$1006,0))&gt;=100000), " ",IF(INDEX($AC$2:$AS$1001,MATCH(ROWS($V$2:V744),$V$2:$V$1001,0),MATCH(COLUMNS($AC$1006:AR1006),$AC$1006:$AS$1006,0)), HYPERLINK("#",""), HYPERLINK(CONCATENATE("#metadata!", ADDRESS(INDEX($X$2:$X$1001,MATCH(ROWS($V$2:V744),$V$2:$V$1001,0),0), INDEX($AC$1004:$AS$1004,1,MATCH(COLUMNS($AC$1006:AR1006),$AC$1006:$AS$1006,0)))),"Fix")))</f>
        <v xml:space="preserve"> </v>
      </c>
      <c r="R744" s="4" t="str">
        <f ca="1">IF(OR(INDEX($W$2:$W$1001,MATCH(ROWS($V$2:V744),$V$2:$V$1001,0),1)&gt;=100000,INDEX($AC$1005:$AS$1005,1,MATCH(COLUMNS($AC$1006:AS1006),$AC$1006:$AS$1006,0))&gt;=100000), " ",IF(INDEX($AC$2:$AS$1001,MATCH(ROWS($V$2:V744),$V$2:$V$1001,0),MATCH(COLUMNS($AC$1006:AS1006),$AC$1006:$AS$1006,0)), HYPERLINK("#",""), HYPERLINK(CONCATENATE("#metadata!", ADDRESS(INDEX($X$2:$X$1001,MATCH(ROWS($V$2:V744),$V$2:$V$1001,0),0), INDEX($AC$1004:$AS$1004,1,MATCH(COLUMNS($AC$1006:AS1006),$AC$1006:$AS$1006,0)))),"Fix")))</f>
        <v xml:space="preserve"> </v>
      </c>
      <c r="V744">
        <v>743</v>
      </c>
      <c r="W744">
        <v>100744</v>
      </c>
      <c r="X744">
        <v>744</v>
      </c>
      <c r="Y744" t="b">
        <f t="shared" si="11"/>
        <v>1</v>
      </c>
      <c r="Z744" t="b">
        <f>COUNTBLANK(metadata!B744:R744)=COLUMNS(metadata!B744:R744)</f>
        <v>1</v>
      </c>
      <c r="AA744" t="str">
        <v/>
      </c>
      <c r="AC744" t="b">
        <f ca="1"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AD744" t="b">
        <f>IF(metadata!C744="",FALSE,ISNUMBER(VALUE(metadata!C744)))</f>
        <v>0</v>
      </c>
      <c r="AE744" t="b">
        <f>AND(IF(metadata!D744="",FALSE,TRUE),EXACT(metadata!D744,"years"))</f>
        <v>0</v>
      </c>
      <c r="AF744" t="b">
        <f>OR(AND(IF(metadata!E744="",FALSE,TRUE),OR(EXACT(metadata!E744,"not applicable"),EXACT(metadata!E744,"missing: not collected"),EXACT(metadata!E744,"missing: not provided"),EXACT(metadata!E744,"missing: restricted access"))),AND(IF(metadata!E744="",FALSE,ISNUMBER(VALUE(metadata!E744))),metadata!E744&gt;0))</f>
        <v>0</v>
      </c>
      <c r="AG744" t="b">
        <f>AND(IF(metadata!F744="",FALSE,TRUE),EXACT(metadata!F744,"Not applicable"))</f>
        <v>0</v>
      </c>
      <c r="AH744" t="b">
        <f>AND(IF(metadata!G744="",FALSE,TRUE),EXACT(metadata!G744,"urban biome"))</f>
        <v>0</v>
      </c>
      <c r="AI744" t="b">
        <f>AND(IF(metadata!H744="",FALSE,TRUE),EXACT(metadata!H744,"human-associated habitat"))</f>
        <v>0</v>
      </c>
      <c r="AJ744" t="b">
        <f>AND(IF(metadata!I744="",FALSE,TRUE),OR(EXACT(metadata!I744,"human-associated"),EXACT(metadata!I744,"human-skin"),EXACT(metadata!I744,"human-oral"),EXACT(metadata!I744,"human-gut"),EXACT(metadata!I744,"human-vaginal")))</f>
        <v>0</v>
      </c>
      <c r="AK744" t="b">
        <f>IF(metadata!J744="",FALSE,ISNUMBER(VALUE(metadata!J744)))</f>
        <v>0</v>
      </c>
      <c r="AL744" t="b">
        <f>AND(IF(metadata!K744="",FALSE,TRUE),EXACT(metadata!K744,"cm"))</f>
        <v>0</v>
      </c>
      <c r="AM744" t="b">
        <f>AND(IF(metadata!L744="",FALSE,TRUE),EXACT(metadata!L744,"human"))</f>
        <v>0</v>
      </c>
      <c r="AN744" t="b">
        <f>AND(IF(metadata!M744="",FALSE,TRUE),EXACT(metadata!M744,"Homo sapiens"))</f>
        <v>0</v>
      </c>
      <c r="AO744" t="b">
        <f>AND(IF(metadata!N744="",FALSE,TRUE),EXACT(metadata!N744,"9606"))</f>
        <v>0</v>
      </c>
      <c r="AP744" t="b">
        <f>IF(metadata!O744="",FALSE,TRUE)</f>
        <v>0</v>
      </c>
      <c r="AQ744" t="b">
        <f>IF(metadata!P744="",FALSE,TRUE)</f>
        <v>0</v>
      </c>
      <c r="AR744" t="b">
        <f>IF(metadata!Q744="",FALSE,ISNUMBER(VALUE(metadata!Q744)))</f>
        <v>0</v>
      </c>
      <c r="AS744" t="b">
        <f>AND(IF(metadata!R744="",FALSE,TRUE),EXACT(metadata!R744,"kg"))</f>
        <v>0</v>
      </c>
    </row>
    <row r="745" spans="1:45" x14ac:dyDescent="0.2">
      <c r="A745" s="5" t="str">
        <f ca="1">IF(B745=" "," ",HYPERLINK(CONCATENATE("#metadata!",ADDRESS(INDEX($X$2:$X$1001,MATCH(ROWS($V$2:V745),$V$2:$V$1001,0),0),1)),INDEX($AA$2:$AA$1001,MATCH(ROWS($V$2:V745),$V$2:$V$1001,0),0)))</f>
        <v xml:space="preserve"> </v>
      </c>
      <c r="B745" s="4" t="str">
        <f ca="1">IF(OR(INDEX($W$2:$W$1001,MATCH(ROWS($V$2:V745),$V$2:$V$1001,0),1)&gt;=100000,INDEX($AC$1005:$AS$1005,1,MATCH(COLUMNS($AC$1006:AC1006),$AC$1006:$AS$1006,0))&gt;=100000), " ",IF(INDEX($AC$2:$AS$1001,MATCH(ROWS($V$2:V745),$V$2:$V$1001,0),MATCH(COLUMNS($AC$1006:AC1006),$AC$1006:$AS$1006,0)), HYPERLINK("#",""), HYPERLINK(CONCATENATE("#metadata!", ADDRESS(INDEX($X$2:$X$1001,MATCH(ROWS($V$2:V745),$V$2:$V$1001,0),0), INDEX($AC$1004:$AS$1004,1,MATCH(COLUMNS($AC$1006:AC1006),$AC$1006:$AS$1006,0)))),"Fix")))</f>
        <v xml:space="preserve"> </v>
      </c>
      <c r="C745" s="4" t="str">
        <f ca="1">IF(OR(INDEX($W$2:$W$1001,MATCH(ROWS($V$2:V745),$V$2:$V$1001,0),1)&gt;=100000,INDEX($AC$1005:$AS$1005,1,MATCH(COLUMNS($AC$1006:AD1006),$AC$1006:$AS$1006,0))&gt;=100000), " ",IF(INDEX($AC$2:$AS$1001,MATCH(ROWS($V$2:V745),$V$2:$V$1001,0),MATCH(COLUMNS($AC$1006:AD1006),$AC$1006:$AS$1006,0)), HYPERLINK("#",""), HYPERLINK(CONCATENATE("#metadata!", ADDRESS(INDEX($X$2:$X$1001,MATCH(ROWS($V$2:V745),$V$2:$V$1001,0),0), INDEX($AC$1004:$AS$1004,1,MATCH(COLUMNS($AC$1006:AD1006),$AC$1006:$AS$1006,0)))),"Fix")))</f>
        <v xml:space="preserve"> </v>
      </c>
      <c r="D745" s="4" t="str">
        <f ca="1">IF(OR(INDEX($W$2:$W$1001,MATCH(ROWS($V$2:V745),$V$2:$V$1001,0),1)&gt;=100000,INDEX($AC$1005:$AS$1005,1,MATCH(COLUMNS($AC$1006:AE1006),$AC$1006:$AS$1006,0))&gt;=100000), " ",IF(INDEX($AC$2:$AS$1001,MATCH(ROWS($V$2:V745),$V$2:$V$1001,0),MATCH(COLUMNS($AC$1006:AE1006),$AC$1006:$AS$1006,0)), HYPERLINK("#",""), HYPERLINK(CONCATENATE("#metadata!", ADDRESS(INDEX($X$2:$X$1001,MATCH(ROWS($V$2:V745),$V$2:$V$1001,0),0), INDEX($AC$1004:$AS$1004,1,MATCH(COLUMNS($AC$1006:AE1006),$AC$1006:$AS$1006,0)))),"Fix")))</f>
        <v xml:space="preserve"> </v>
      </c>
      <c r="E745" s="4" t="str">
        <f ca="1">IF(OR(INDEX($W$2:$W$1001,MATCH(ROWS($V$2:V745),$V$2:$V$1001,0),1)&gt;=100000,INDEX($AC$1005:$AS$1005,1,MATCH(COLUMNS($AC$1006:AF1006),$AC$1006:$AS$1006,0))&gt;=100000), " ",IF(INDEX($AC$2:$AS$1001,MATCH(ROWS($V$2:V745),$V$2:$V$1001,0),MATCH(COLUMNS($AC$1006:AF1006),$AC$1006:$AS$1006,0)), HYPERLINK("#",""), HYPERLINK(CONCATENATE("#metadata!", ADDRESS(INDEX($X$2:$X$1001,MATCH(ROWS($V$2:V745),$V$2:$V$1001,0),0), INDEX($AC$1004:$AS$1004,1,MATCH(COLUMNS($AC$1006:AF1006),$AC$1006:$AS$1006,0)))),"Fix")))</f>
        <v xml:space="preserve"> </v>
      </c>
      <c r="F745" s="4" t="str">
        <f ca="1">IF(OR(INDEX($W$2:$W$1001,MATCH(ROWS($V$2:V745),$V$2:$V$1001,0),1)&gt;=100000,INDEX($AC$1005:$AS$1005,1,MATCH(COLUMNS($AC$1006:AG1006),$AC$1006:$AS$1006,0))&gt;=100000), " ",IF(INDEX($AC$2:$AS$1001,MATCH(ROWS($V$2:V745),$V$2:$V$1001,0),MATCH(COLUMNS($AC$1006:AG1006),$AC$1006:$AS$1006,0)), HYPERLINK("#",""), HYPERLINK(CONCATENATE("#metadata!", ADDRESS(INDEX($X$2:$X$1001,MATCH(ROWS($V$2:V745),$V$2:$V$1001,0),0), INDEX($AC$1004:$AS$1004,1,MATCH(COLUMNS($AC$1006:AG1006),$AC$1006:$AS$1006,0)))),"Fix")))</f>
        <v xml:space="preserve"> </v>
      </c>
      <c r="G745" s="4" t="str">
        <f ca="1">IF(OR(INDEX($W$2:$W$1001,MATCH(ROWS($V$2:V745),$V$2:$V$1001,0),1)&gt;=100000,INDEX($AC$1005:$AS$1005,1,MATCH(COLUMNS($AC$1006:AH1006),$AC$1006:$AS$1006,0))&gt;=100000), " ",IF(INDEX($AC$2:$AS$1001,MATCH(ROWS($V$2:V745),$V$2:$V$1001,0),MATCH(COLUMNS($AC$1006:AH1006),$AC$1006:$AS$1006,0)), HYPERLINK("#",""), HYPERLINK(CONCATENATE("#metadata!", ADDRESS(INDEX($X$2:$X$1001,MATCH(ROWS($V$2:V745),$V$2:$V$1001,0),0), INDEX($AC$1004:$AS$1004,1,MATCH(COLUMNS($AC$1006:AH1006),$AC$1006:$AS$1006,0)))),"Fix")))</f>
        <v xml:space="preserve"> </v>
      </c>
      <c r="H745" s="4" t="str">
        <f ca="1">IF(OR(INDEX($W$2:$W$1001,MATCH(ROWS($V$2:V745),$V$2:$V$1001,0),1)&gt;=100000,INDEX($AC$1005:$AS$1005,1,MATCH(COLUMNS($AC$1006:AI1006),$AC$1006:$AS$1006,0))&gt;=100000), " ",IF(INDEX($AC$2:$AS$1001,MATCH(ROWS($V$2:V745),$V$2:$V$1001,0),MATCH(COLUMNS($AC$1006:AI1006),$AC$1006:$AS$1006,0)), HYPERLINK("#",""), HYPERLINK(CONCATENATE("#metadata!", ADDRESS(INDEX($X$2:$X$1001,MATCH(ROWS($V$2:V745),$V$2:$V$1001,0),0), INDEX($AC$1004:$AS$1004,1,MATCH(COLUMNS($AC$1006:AI1006),$AC$1006:$AS$1006,0)))),"Fix")))</f>
        <v xml:space="preserve"> </v>
      </c>
      <c r="I745" s="4" t="str">
        <f ca="1">IF(OR(INDEX($W$2:$W$1001,MATCH(ROWS($V$2:V745),$V$2:$V$1001,0),1)&gt;=100000,INDEX($AC$1005:$AS$1005,1,MATCH(COLUMNS($AC$1006:AJ1006),$AC$1006:$AS$1006,0))&gt;=100000), " ",IF(INDEX($AC$2:$AS$1001,MATCH(ROWS($V$2:V745),$V$2:$V$1001,0),MATCH(COLUMNS($AC$1006:AJ1006),$AC$1006:$AS$1006,0)), HYPERLINK("#",""), HYPERLINK(CONCATENATE("#metadata!", ADDRESS(INDEX($X$2:$X$1001,MATCH(ROWS($V$2:V745),$V$2:$V$1001,0),0), INDEX($AC$1004:$AS$1004,1,MATCH(COLUMNS($AC$1006:AJ1006),$AC$1006:$AS$1006,0)))),"Fix")))</f>
        <v xml:space="preserve"> </v>
      </c>
      <c r="J745" s="4" t="str">
        <f ca="1">IF(OR(INDEX($W$2:$W$1001,MATCH(ROWS($V$2:V745),$V$2:$V$1001,0),1)&gt;=100000,INDEX($AC$1005:$AS$1005,1,MATCH(COLUMNS($AC$1006:AK1006),$AC$1006:$AS$1006,0))&gt;=100000), " ",IF(INDEX($AC$2:$AS$1001,MATCH(ROWS($V$2:V745),$V$2:$V$1001,0),MATCH(COLUMNS($AC$1006:AK1006),$AC$1006:$AS$1006,0)), HYPERLINK("#",""), HYPERLINK(CONCATENATE("#metadata!", ADDRESS(INDEX($X$2:$X$1001,MATCH(ROWS($V$2:V745),$V$2:$V$1001,0),0), INDEX($AC$1004:$AS$1004,1,MATCH(COLUMNS($AC$1006:AK1006),$AC$1006:$AS$1006,0)))),"Fix")))</f>
        <v xml:space="preserve"> </v>
      </c>
      <c r="K745" s="4" t="str">
        <f ca="1">IF(OR(INDEX($W$2:$W$1001,MATCH(ROWS($V$2:V745),$V$2:$V$1001,0),1)&gt;=100000,INDEX($AC$1005:$AS$1005,1,MATCH(COLUMNS($AC$1006:AL1006),$AC$1006:$AS$1006,0))&gt;=100000), " ",IF(INDEX($AC$2:$AS$1001,MATCH(ROWS($V$2:V745),$V$2:$V$1001,0),MATCH(COLUMNS($AC$1006:AL1006),$AC$1006:$AS$1006,0)), HYPERLINK("#",""), HYPERLINK(CONCATENATE("#metadata!", ADDRESS(INDEX($X$2:$X$1001,MATCH(ROWS($V$2:V745),$V$2:$V$1001,0),0), INDEX($AC$1004:$AS$1004,1,MATCH(COLUMNS($AC$1006:AL1006),$AC$1006:$AS$1006,0)))),"Fix")))</f>
        <v xml:space="preserve"> </v>
      </c>
      <c r="L745" s="4" t="str">
        <f ca="1">IF(OR(INDEX($W$2:$W$1001,MATCH(ROWS($V$2:V745),$V$2:$V$1001,0),1)&gt;=100000,INDEX($AC$1005:$AS$1005,1,MATCH(COLUMNS($AC$1006:AM1006),$AC$1006:$AS$1006,0))&gt;=100000), " ",IF(INDEX($AC$2:$AS$1001,MATCH(ROWS($V$2:V745),$V$2:$V$1001,0),MATCH(COLUMNS($AC$1006:AM1006),$AC$1006:$AS$1006,0)), HYPERLINK("#",""), HYPERLINK(CONCATENATE("#metadata!", ADDRESS(INDEX($X$2:$X$1001,MATCH(ROWS($V$2:V745),$V$2:$V$1001,0),0), INDEX($AC$1004:$AS$1004,1,MATCH(COLUMNS($AC$1006:AM1006),$AC$1006:$AS$1006,0)))),"Fix")))</f>
        <v xml:space="preserve"> </v>
      </c>
      <c r="M745" s="4" t="str">
        <f ca="1">IF(OR(INDEX($W$2:$W$1001,MATCH(ROWS($V$2:V745),$V$2:$V$1001,0),1)&gt;=100000,INDEX($AC$1005:$AS$1005,1,MATCH(COLUMNS($AC$1006:AN1006),$AC$1006:$AS$1006,0))&gt;=100000), " ",IF(INDEX($AC$2:$AS$1001,MATCH(ROWS($V$2:V745),$V$2:$V$1001,0),MATCH(COLUMNS($AC$1006:AN1006),$AC$1006:$AS$1006,0)), HYPERLINK("#",""), HYPERLINK(CONCATENATE("#metadata!", ADDRESS(INDEX($X$2:$X$1001,MATCH(ROWS($V$2:V745),$V$2:$V$1001,0),0), INDEX($AC$1004:$AS$1004,1,MATCH(COLUMNS($AC$1006:AN1006),$AC$1006:$AS$1006,0)))),"Fix")))</f>
        <v xml:space="preserve"> </v>
      </c>
      <c r="N745" s="4" t="str">
        <f ca="1">IF(OR(INDEX($W$2:$W$1001,MATCH(ROWS($V$2:V745),$V$2:$V$1001,0),1)&gt;=100000,INDEX($AC$1005:$AS$1005,1,MATCH(COLUMNS($AC$1006:AO1006),$AC$1006:$AS$1006,0))&gt;=100000), " ",IF(INDEX($AC$2:$AS$1001,MATCH(ROWS($V$2:V745),$V$2:$V$1001,0),MATCH(COLUMNS($AC$1006:AO1006),$AC$1006:$AS$1006,0)), HYPERLINK("#",""), HYPERLINK(CONCATENATE("#metadata!", ADDRESS(INDEX($X$2:$X$1001,MATCH(ROWS($V$2:V745),$V$2:$V$1001,0),0), INDEX($AC$1004:$AS$1004,1,MATCH(COLUMNS($AC$1006:AO1006),$AC$1006:$AS$1006,0)))),"Fix")))</f>
        <v xml:space="preserve"> </v>
      </c>
      <c r="O745" s="4" t="str">
        <f ca="1">IF(OR(INDEX($W$2:$W$1001,MATCH(ROWS($V$2:V745),$V$2:$V$1001,0),1)&gt;=100000,INDEX($AC$1005:$AS$1005,1,MATCH(COLUMNS($AC$1006:AP1006),$AC$1006:$AS$1006,0))&gt;=100000), " ",IF(INDEX($AC$2:$AS$1001,MATCH(ROWS($V$2:V745),$V$2:$V$1001,0),MATCH(COLUMNS($AC$1006:AP1006),$AC$1006:$AS$1006,0)), HYPERLINK("#",""), HYPERLINK(CONCATENATE("#metadata!", ADDRESS(INDEX($X$2:$X$1001,MATCH(ROWS($V$2:V745),$V$2:$V$1001,0),0), INDEX($AC$1004:$AS$1004,1,MATCH(COLUMNS($AC$1006:AP1006),$AC$1006:$AS$1006,0)))),"Fix")))</f>
        <v xml:space="preserve"> </v>
      </c>
      <c r="P745" s="4" t="str">
        <f ca="1">IF(OR(INDEX($W$2:$W$1001,MATCH(ROWS($V$2:V745),$V$2:$V$1001,0),1)&gt;=100000,INDEX($AC$1005:$AS$1005,1,MATCH(COLUMNS($AC$1006:AQ1006),$AC$1006:$AS$1006,0))&gt;=100000), " ",IF(INDEX($AC$2:$AS$1001,MATCH(ROWS($V$2:V745),$V$2:$V$1001,0),MATCH(COLUMNS($AC$1006:AQ1006),$AC$1006:$AS$1006,0)), HYPERLINK("#",""), HYPERLINK(CONCATENATE("#metadata!", ADDRESS(INDEX($X$2:$X$1001,MATCH(ROWS($V$2:V745),$V$2:$V$1001,0),0), INDEX($AC$1004:$AS$1004,1,MATCH(COLUMNS($AC$1006:AQ1006),$AC$1006:$AS$1006,0)))),"Fix")))</f>
        <v xml:space="preserve"> </v>
      </c>
      <c r="Q745" s="4" t="str">
        <f ca="1">IF(OR(INDEX($W$2:$W$1001,MATCH(ROWS($V$2:V745),$V$2:$V$1001,0),1)&gt;=100000,INDEX($AC$1005:$AS$1005,1,MATCH(COLUMNS($AC$1006:AR1006),$AC$1006:$AS$1006,0))&gt;=100000), " ",IF(INDEX($AC$2:$AS$1001,MATCH(ROWS($V$2:V745),$V$2:$V$1001,0),MATCH(COLUMNS($AC$1006:AR1006),$AC$1006:$AS$1006,0)), HYPERLINK("#",""), HYPERLINK(CONCATENATE("#metadata!", ADDRESS(INDEX($X$2:$X$1001,MATCH(ROWS($V$2:V745),$V$2:$V$1001,0),0), INDEX($AC$1004:$AS$1004,1,MATCH(COLUMNS($AC$1006:AR1006),$AC$1006:$AS$1006,0)))),"Fix")))</f>
        <v xml:space="preserve"> </v>
      </c>
      <c r="R745" s="4" t="str">
        <f ca="1">IF(OR(INDEX($W$2:$W$1001,MATCH(ROWS($V$2:V745),$V$2:$V$1001,0),1)&gt;=100000,INDEX($AC$1005:$AS$1005,1,MATCH(COLUMNS($AC$1006:AS1006),$AC$1006:$AS$1006,0))&gt;=100000), " ",IF(INDEX($AC$2:$AS$1001,MATCH(ROWS($V$2:V745),$V$2:$V$1001,0),MATCH(COLUMNS($AC$1006:AS1006),$AC$1006:$AS$1006,0)), HYPERLINK("#",""), HYPERLINK(CONCATENATE("#metadata!", ADDRESS(INDEX($X$2:$X$1001,MATCH(ROWS($V$2:V745),$V$2:$V$1001,0),0), INDEX($AC$1004:$AS$1004,1,MATCH(COLUMNS($AC$1006:AS1006),$AC$1006:$AS$1006,0)))),"Fix")))</f>
        <v xml:space="preserve"> </v>
      </c>
      <c r="V745">
        <v>744</v>
      </c>
      <c r="W745">
        <v>100745</v>
      </c>
      <c r="X745">
        <v>745</v>
      </c>
      <c r="Y745" t="b">
        <f t="shared" si="11"/>
        <v>1</v>
      </c>
      <c r="Z745" t="b">
        <f>COUNTBLANK(metadata!B745:R745)=COLUMNS(metadata!B745:R745)</f>
        <v>1</v>
      </c>
      <c r="AA745" t="str">
        <v/>
      </c>
      <c r="AC745" t="b">
        <f ca="1"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AD745" t="b">
        <f>IF(metadata!C745="",FALSE,ISNUMBER(VALUE(metadata!C745)))</f>
        <v>0</v>
      </c>
      <c r="AE745" t="b">
        <f>AND(IF(metadata!D745="",FALSE,TRUE),EXACT(metadata!D745,"years"))</f>
        <v>0</v>
      </c>
      <c r="AF745" t="b">
        <f>OR(AND(IF(metadata!E745="",FALSE,TRUE),OR(EXACT(metadata!E745,"not applicable"),EXACT(metadata!E745,"missing: not collected"),EXACT(metadata!E745,"missing: not provided"),EXACT(metadata!E745,"missing: restricted access"))),AND(IF(metadata!E745="",FALSE,ISNUMBER(VALUE(metadata!E745))),metadata!E745&gt;0))</f>
        <v>0</v>
      </c>
      <c r="AG745" t="b">
        <f>AND(IF(metadata!F745="",FALSE,TRUE),EXACT(metadata!F745,"Not applicable"))</f>
        <v>0</v>
      </c>
      <c r="AH745" t="b">
        <f>AND(IF(metadata!G745="",FALSE,TRUE),EXACT(metadata!G745,"urban biome"))</f>
        <v>0</v>
      </c>
      <c r="AI745" t="b">
        <f>AND(IF(metadata!H745="",FALSE,TRUE),EXACT(metadata!H745,"human-associated habitat"))</f>
        <v>0</v>
      </c>
      <c r="AJ745" t="b">
        <f>AND(IF(metadata!I745="",FALSE,TRUE),OR(EXACT(metadata!I745,"human-associated"),EXACT(metadata!I745,"human-skin"),EXACT(metadata!I745,"human-oral"),EXACT(metadata!I745,"human-gut"),EXACT(metadata!I745,"human-vaginal")))</f>
        <v>0</v>
      </c>
      <c r="AK745" t="b">
        <f>IF(metadata!J745="",FALSE,ISNUMBER(VALUE(metadata!J745)))</f>
        <v>0</v>
      </c>
      <c r="AL745" t="b">
        <f>AND(IF(metadata!K745="",FALSE,TRUE),EXACT(metadata!K745,"cm"))</f>
        <v>0</v>
      </c>
      <c r="AM745" t="b">
        <f>AND(IF(metadata!L745="",FALSE,TRUE),EXACT(metadata!L745,"human"))</f>
        <v>0</v>
      </c>
      <c r="AN745" t="b">
        <f>AND(IF(metadata!M745="",FALSE,TRUE),EXACT(metadata!M745,"Homo sapiens"))</f>
        <v>0</v>
      </c>
      <c r="AO745" t="b">
        <f>AND(IF(metadata!N745="",FALSE,TRUE),EXACT(metadata!N745,"9606"))</f>
        <v>0</v>
      </c>
      <c r="AP745" t="b">
        <f>IF(metadata!O745="",FALSE,TRUE)</f>
        <v>0</v>
      </c>
      <c r="AQ745" t="b">
        <f>IF(metadata!P745="",FALSE,TRUE)</f>
        <v>0</v>
      </c>
      <c r="AR745" t="b">
        <f>IF(metadata!Q745="",FALSE,ISNUMBER(VALUE(metadata!Q745)))</f>
        <v>0</v>
      </c>
      <c r="AS745" t="b">
        <f>AND(IF(metadata!R745="",FALSE,TRUE),EXACT(metadata!R745,"kg"))</f>
        <v>0</v>
      </c>
    </row>
    <row r="746" spans="1:45" x14ac:dyDescent="0.2">
      <c r="A746" s="5" t="str">
        <f ca="1">IF(B746=" "," ",HYPERLINK(CONCATENATE("#metadata!",ADDRESS(INDEX($X$2:$X$1001,MATCH(ROWS($V$2:V746),$V$2:$V$1001,0),0),1)),INDEX($AA$2:$AA$1001,MATCH(ROWS($V$2:V746),$V$2:$V$1001,0),0)))</f>
        <v xml:space="preserve"> </v>
      </c>
      <c r="B746" s="4" t="str">
        <f ca="1">IF(OR(INDEX($W$2:$W$1001,MATCH(ROWS($V$2:V746),$V$2:$V$1001,0),1)&gt;=100000,INDEX($AC$1005:$AS$1005,1,MATCH(COLUMNS($AC$1006:AC1006),$AC$1006:$AS$1006,0))&gt;=100000), " ",IF(INDEX($AC$2:$AS$1001,MATCH(ROWS($V$2:V746),$V$2:$V$1001,0),MATCH(COLUMNS($AC$1006:AC1006),$AC$1006:$AS$1006,0)), HYPERLINK("#",""), HYPERLINK(CONCATENATE("#metadata!", ADDRESS(INDEX($X$2:$X$1001,MATCH(ROWS($V$2:V746),$V$2:$V$1001,0),0), INDEX($AC$1004:$AS$1004,1,MATCH(COLUMNS($AC$1006:AC1006),$AC$1006:$AS$1006,0)))),"Fix")))</f>
        <v xml:space="preserve"> </v>
      </c>
      <c r="C746" s="4" t="str">
        <f ca="1">IF(OR(INDEX($W$2:$W$1001,MATCH(ROWS($V$2:V746),$V$2:$V$1001,0),1)&gt;=100000,INDEX($AC$1005:$AS$1005,1,MATCH(COLUMNS($AC$1006:AD1006),$AC$1006:$AS$1006,0))&gt;=100000), " ",IF(INDEX($AC$2:$AS$1001,MATCH(ROWS($V$2:V746),$V$2:$V$1001,0),MATCH(COLUMNS($AC$1006:AD1006),$AC$1006:$AS$1006,0)), HYPERLINK("#",""), HYPERLINK(CONCATENATE("#metadata!", ADDRESS(INDEX($X$2:$X$1001,MATCH(ROWS($V$2:V746),$V$2:$V$1001,0),0), INDEX($AC$1004:$AS$1004,1,MATCH(COLUMNS($AC$1006:AD1006),$AC$1006:$AS$1006,0)))),"Fix")))</f>
        <v xml:space="preserve"> </v>
      </c>
      <c r="D746" s="4" t="str">
        <f ca="1">IF(OR(INDEX($W$2:$W$1001,MATCH(ROWS($V$2:V746),$V$2:$V$1001,0),1)&gt;=100000,INDEX($AC$1005:$AS$1005,1,MATCH(COLUMNS($AC$1006:AE1006),$AC$1006:$AS$1006,0))&gt;=100000), " ",IF(INDEX($AC$2:$AS$1001,MATCH(ROWS($V$2:V746),$V$2:$V$1001,0),MATCH(COLUMNS($AC$1006:AE1006),$AC$1006:$AS$1006,0)), HYPERLINK("#",""), HYPERLINK(CONCATENATE("#metadata!", ADDRESS(INDEX($X$2:$X$1001,MATCH(ROWS($V$2:V746),$V$2:$V$1001,0),0), INDEX($AC$1004:$AS$1004,1,MATCH(COLUMNS($AC$1006:AE1006),$AC$1006:$AS$1006,0)))),"Fix")))</f>
        <v xml:space="preserve"> </v>
      </c>
      <c r="E746" s="4" t="str">
        <f ca="1">IF(OR(INDEX($W$2:$W$1001,MATCH(ROWS($V$2:V746),$V$2:$V$1001,0),1)&gt;=100000,INDEX($AC$1005:$AS$1005,1,MATCH(COLUMNS($AC$1006:AF1006),$AC$1006:$AS$1006,0))&gt;=100000), " ",IF(INDEX($AC$2:$AS$1001,MATCH(ROWS($V$2:V746),$V$2:$V$1001,0),MATCH(COLUMNS($AC$1006:AF1006),$AC$1006:$AS$1006,0)), HYPERLINK("#",""), HYPERLINK(CONCATENATE("#metadata!", ADDRESS(INDEX($X$2:$X$1001,MATCH(ROWS($V$2:V746),$V$2:$V$1001,0),0), INDEX($AC$1004:$AS$1004,1,MATCH(COLUMNS($AC$1006:AF1006),$AC$1006:$AS$1006,0)))),"Fix")))</f>
        <v xml:space="preserve"> </v>
      </c>
      <c r="F746" s="4" t="str">
        <f ca="1">IF(OR(INDEX($W$2:$W$1001,MATCH(ROWS($V$2:V746),$V$2:$V$1001,0),1)&gt;=100000,INDEX($AC$1005:$AS$1005,1,MATCH(COLUMNS($AC$1006:AG1006),$AC$1006:$AS$1006,0))&gt;=100000), " ",IF(INDEX($AC$2:$AS$1001,MATCH(ROWS($V$2:V746),$V$2:$V$1001,0),MATCH(COLUMNS($AC$1006:AG1006),$AC$1006:$AS$1006,0)), HYPERLINK("#",""), HYPERLINK(CONCATENATE("#metadata!", ADDRESS(INDEX($X$2:$X$1001,MATCH(ROWS($V$2:V746),$V$2:$V$1001,0),0), INDEX($AC$1004:$AS$1004,1,MATCH(COLUMNS($AC$1006:AG1006),$AC$1006:$AS$1006,0)))),"Fix")))</f>
        <v xml:space="preserve"> </v>
      </c>
      <c r="G746" s="4" t="str">
        <f ca="1">IF(OR(INDEX($W$2:$W$1001,MATCH(ROWS($V$2:V746),$V$2:$V$1001,0),1)&gt;=100000,INDEX($AC$1005:$AS$1005,1,MATCH(COLUMNS($AC$1006:AH1006),$AC$1006:$AS$1006,0))&gt;=100000), " ",IF(INDEX($AC$2:$AS$1001,MATCH(ROWS($V$2:V746),$V$2:$V$1001,0),MATCH(COLUMNS($AC$1006:AH1006),$AC$1006:$AS$1006,0)), HYPERLINK("#",""), HYPERLINK(CONCATENATE("#metadata!", ADDRESS(INDEX($X$2:$X$1001,MATCH(ROWS($V$2:V746),$V$2:$V$1001,0),0), INDEX($AC$1004:$AS$1004,1,MATCH(COLUMNS($AC$1006:AH1006),$AC$1006:$AS$1006,0)))),"Fix")))</f>
        <v xml:space="preserve"> </v>
      </c>
      <c r="H746" s="4" t="str">
        <f ca="1">IF(OR(INDEX($W$2:$W$1001,MATCH(ROWS($V$2:V746),$V$2:$V$1001,0),1)&gt;=100000,INDEX($AC$1005:$AS$1005,1,MATCH(COLUMNS($AC$1006:AI1006),$AC$1006:$AS$1006,0))&gt;=100000), " ",IF(INDEX($AC$2:$AS$1001,MATCH(ROWS($V$2:V746),$V$2:$V$1001,0),MATCH(COLUMNS($AC$1006:AI1006),$AC$1006:$AS$1006,0)), HYPERLINK("#",""), HYPERLINK(CONCATENATE("#metadata!", ADDRESS(INDEX($X$2:$X$1001,MATCH(ROWS($V$2:V746),$V$2:$V$1001,0),0), INDEX($AC$1004:$AS$1004,1,MATCH(COLUMNS($AC$1006:AI1006),$AC$1006:$AS$1006,0)))),"Fix")))</f>
        <v xml:space="preserve"> </v>
      </c>
      <c r="I746" s="4" t="str">
        <f ca="1">IF(OR(INDEX($W$2:$W$1001,MATCH(ROWS($V$2:V746),$V$2:$V$1001,0),1)&gt;=100000,INDEX($AC$1005:$AS$1005,1,MATCH(COLUMNS($AC$1006:AJ1006),$AC$1006:$AS$1006,0))&gt;=100000), " ",IF(INDEX($AC$2:$AS$1001,MATCH(ROWS($V$2:V746),$V$2:$V$1001,0),MATCH(COLUMNS($AC$1006:AJ1006),$AC$1006:$AS$1006,0)), HYPERLINK("#",""), HYPERLINK(CONCATENATE("#metadata!", ADDRESS(INDEX($X$2:$X$1001,MATCH(ROWS($V$2:V746),$V$2:$V$1001,0),0), INDEX($AC$1004:$AS$1004,1,MATCH(COLUMNS($AC$1006:AJ1006),$AC$1006:$AS$1006,0)))),"Fix")))</f>
        <v xml:space="preserve"> </v>
      </c>
      <c r="J746" s="4" t="str">
        <f ca="1">IF(OR(INDEX($W$2:$W$1001,MATCH(ROWS($V$2:V746),$V$2:$V$1001,0),1)&gt;=100000,INDEX($AC$1005:$AS$1005,1,MATCH(COLUMNS($AC$1006:AK1006),$AC$1006:$AS$1006,0))&gt;=100000), " ",IF(INDEX($AC$2:$AS$1001,MATCH(ROWS($V$2:V746),$V$2:$V$1001,0),MATCH(COLUMNS($AC$1006:AK1006),$AC$1006:$AS$1006,0)), HYPERLINK("#",""), HYPERLINK(CONCATENATE("#metadata!", ADDRESS(INDEX($X$2:$X$1001,MATCH(ROWS($V$2:V746),$V$2:$V$1001,0),0), INDEX($AC$1004:$AS$1004,1,MATCH(COLUMNS($AC$1006:AK1006),$AC$1006:$AS$1006,0)))),"Fix")))</f>
        <v xml:space="preserve"> </v>
      </c>
      <c r="K746" s="4" t="str">
        <f ca="1">IF(OR(INDEX($W$2:$W$1001,MATCH(ROWS($V$2:V746),$V$2:$V$1001,0),1)&gt;=100000,INDEX($AC$1005:$AS$1005,1,MATCH(COLUMNS($AC$1006:AL1006),$AC$1006:$AS$1006,0))&gt;=100000), " ",IF(INDEX($AC$2:$AS$1001,MATCH(ROWS($V$2:V746),$V$2:$V$1001,0),MATCH(COLUMNS($AC$1006:AL1006),$AC$1006:$AS$1006,0)), HYPERLINK("#",""), HYPERLINK(CONCATENATE("#metadata!", ADDRESS(INDEX($X$2:$X$1001,MATCH(ROWS($V$2:V746),$V$2:$V$1001,0),0), INDEX($AC$1004:$AS$1004,1,MATCH(COLUMNS($AC$1006:AL1006),$AC$1006:$AS$1006,0)))),"Fix")))</f>
        <v xml:space="preserve"> </v>
      </c>
      <c r="L746" s="4" t="str">
        <f ca="1">IF(OR(INDEX($W$2:$W$1001,MATCH(ROWS($V$2:V746),$V$2:$V$1001,0),1)&gt;=100000,INDEX($AC$1005:$AS$1005,1,MATCH(COLUMNS($AC$1006:AM1006),$AC$1006:$AS$1006,0))&gt;=100000), " ",IF(INDEX($AC$2:$AS$1001,MATCH(ROWS($V$2:V746),$V$2:$V$1001,0),MATCH(COLUMNS($AC$1006:AM1006),$AC$1006:$AS$1006,0)), HYPERLINK("#",""), HYPERLINK(CONCATENATE("#metadata!", ADDRESS(INDEX($X$2:$X$1001,MATCH(ROWS($V$2:V746),$V$2:$V$1001,0),0), INDEX($AC$1004:$AS$1004,1,MATCH(COLUMNS($AC$1006:AM1006),$AC$1006:$AS$1006,0)))),"Fix")))</f>
        <v xml:space="preserve"> </v>
      </c>
      <c r="M746" s="4" t="str">
        <f ca="1">IF(OR(INDEX($W$2:$W$1001,MATCH(ROWS($V$2:V746),$V$2:$V$1001,0),1)&gt;=100000,INDEX($AC$1005:$AS$1005,1,MATCH(COLUMNS($AC$1006:AN1006),$AC$1006:$AS$1006,0))&gt;=100000), " ",IF(INDEX($AC$2:$AS$1001,MATCH(ROWS($V$2:V746),$V$2:$V$1001,0),MATCH(COLUMNS($AC$1006:AN1006),$AC$1006:$AS$1006,0)), HYPERLINK("#",""), HYPERLINK(CONCATENATE("#metadata!", ADDRESS(INDEX($X$2:$X$1001,MATCH(ROWS($V$2:V746),$V$2:$V$1001,0),0), INDEX($AC$1004:$AS$1004,1,MATCH(COLUMNS($AC$1006:AN1006),$AC$1006:$AS$1006,0)))),"Fix")))</f>
        <v xml:space="preserve"> </v>
      </c>
      <c r="N746" s="4" t="str">
        <f ca="1">IF(OR(INDEX($W$2:$W$1001,MATCH(ROWS($V$2:V746),$V$2:$V$1001,0),1)&gt;=100000,INDEX($AC$1005:$AS$1005,1,MATCH(COLUMNS($AC$1006:AO1006),$AC$1006:$AS$1006,0))&gt;=100000), " ",IF(INDEX($AC$2:$AS$1001,MATCH(ROWS($V$2:V746),$V$2:$V$1001,0),MATCH(COLUMNS($AC$1006:AO1006),$AC$1006:$AS$1006,0)), HYPERLINK("#",""), HYPERLINK(CONCATENATE("#metadata!", ADDRESS(INDEX($X$2:$X$1001,MATCH(ROWS($V$2:V746),$V$2:$V$1001,0),0), INDEX($AC$1004:$AS$1004,1,MATCH(COLUMNS($AC$1006:AO1006),$AC$1006:$AS$1006,0)))),"Fix")))</f>
        <v xml:space="preserve"> </v>
      </c>
      <c r="O746" s="4" t="str">
        <f ca="1">IF(OR(INDEX($W$2:$W$1001,MATCH(ROWS($V$2:V746),$V$2:$V$1001,0),1)&gt;=100000,INDEX($AC$1005:$AS$1005,1,MATCH(COLUMNS($AC$1006:AP1006),$AC$1006:$AS$1006,0))&gt;=100000), " ",IF(INDEX($AC$2:$AS$1001,MATCH(ROWS($V$2:V746),$V$2:$V$1001,0),MATCH(COLUMNS($AC$1006:AP1006),$AC$1006:$AS$1006,0)), HYPERLINK("#",""), HYPERLINK(CONCATENATE("#metadata!", ADDRESS(INDEX($X$2:$X$1001,MATCH(ROWS($V$2:V746),$V$2:$V$1001,0),0), INDEX($AC$1004:$AS$1004,1,MATCH(COLUMNS($AC$1006:AP1006),$AC$1006:$AS$1006,0)))),"Fix")))</f>
        <v xml:space="preserve"> </v>
      </c>
      <c r="P746" s="4" t="str">
        <f ca="1">IF(OR(INDEX($W$2:$W$1001,MATCH(ROWS($V$2:V746),$V$2:$V$1001,0),1)&gt;=100000,INDEX($AC$1005:$AS$1005,1,MATCH(COLUMNS($AC$1006:AQ1006),$AC$1006:$AS$1006,0))&gt;=100000), " ",IF(INDEX($AC$2:$AS$1001,MATCH(ROWS($V$2:V746),$V$2:$V$1001,0),MATCH(COLUMNS($AC$1006:AQ1006),$AC$1006:$AS$1006,0)), HYPERLINK("#",""), HYPERLINK(CONCATENATE("#metadata!", ADDRESS(INDEX($X$2:$X$1001,MATCH(ROWS($V$2:V746),$V$2:$V$1001,0),0), INDEX($AC$1004:$AS$1004,1,MATCH(COLUMNS($AC$1006:AQ1006),$AC$1006:$AS$1006,0)))),"Fix")))</f>
        <v xml:space="preserve"> </v>
      </c>
      <c r="Q746" s="4" t="str">
        <f ca="1">IF(OR(INDEX($W$2:$W$1001,MATCH(ROWS($V$2:V746),$V$2:$V$1001,0),1)&gt;=100000,INDEX($AC$1005:$AS$1005,1,MATCH(COLUMNS($AC$1006:AR1006),$AC$1006:$AS$1006,0))&gt;=100000), " ",IF(INDEX($AC$2:$AS$1001,MATCH(ROWS($V$2:V746),$V$2:$V$1001,0),MATCH(COLUMNS($AC$1006:AR1006),$AC$1006:$AS$1006,0)), HYPERLINK("#",""), HYPERLINK(CONCATENATE("#metadata!", ADDRESS(INDEX($X$2:$X$1001,MATCH(ROWS($V$2:V746),$V$2:$V$1001,0),0), INDEX($AC$1004:$AS$1004,1,MATCH(COLUMNS($AC$1006:AR1006),$AC$1006:$AS$1006,0)))),"Fix")))</f>
        <v xml:space="preserve"> </v>
      </c>
      <c r="R746" s="4" t="str">
        <f ca="1">IF(OR(INDEX($W$2:$W$1001,MATCH(ROWS($V$2:V746),$V$2:$V$1001,0),1)&gt;=100000,INDEX($AC$1005:$AS$1005,1,MATCH(COLUMNS($AC$1006:AS1006),$AC$1006:$AS$1006,0))&gt;=100000), " ",IF(INDEX($AC$2:$AS$1001,MATCH(ROWS($V$2:V746),$V$2:$V$1001,0),MATCH(COLUMNS($AC$1006:AS1006),$AC$1006:$AS$1006,0)), HYPERLINK("#",""), HYPERLINK(CONCATENATE("#metadata!", ADDRESS(INDEX($X$2:$X$1001,MATCH(ROWS($V$2:V746),$V$2:$V$1001,0),0), INDEX($AC$1004:$AS$1004,1,MATCH(COLUMNS($AC$1006:AS1006),$AC$1006:$AS$1006,0)))),"Fix")))</f>
        <v xml:space="preserve"> </v>
      </c>
      <c r="V746">
        <v>745</v>
      </c>
      <c r="W746">
        <v>100746</v>
      </c>
      <c r="X746">
        <v>746</v>
      </c>
      <c r="Y746" t="b">
        <f t="shared" si="11"/>
        <v>1</v>
      </c>
      <c r="Z746" t="b">
        <f>COUNTBLANK(metadata!B746:R746)=COLUMNS(metadata!B746:R746)</f>
        <v>1</v>
      </c>
      <c r="AA746" t="str">
        <v/>
      </c>
      <c r="AC746" t="b">
        <f ca="1"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AD746" t="b">
        <f>IF(metadata!C746="",FALSE,ISNUMBER(VALUE(metadata!C746)))</f>
        <v>0</v>
      </c>
      <c r="AE746" t="b">
        <f>AND(IF(metadata!D746="",FALSE,TRUE),EXACT(metadata!D746,"years"))</f>
        <v>0</v>
      </c>
      <c r="AF746" t="b">
        <f>OR(AND(IF(metadata!E746="",FALSE,TRUE),OR(EXACT(metadata!E746,"not applicable"),EXACT(metadata!E746,"missing: not collected"),EXACT(metadata!E746,"missing: not provided"),EXACT(metadata!E746,"missing: restricted access"))),AND(IF(metadata!E746="",FALSE,ISNUMBER(VALUE(metadata!E746))),metadata!E746&gt;0))</f>
        <v>0</v>
      </c>
      <c r="AG746" t="b">
        <f>AND(IF(metadata!F746="",FALSE,TRUE),EXACT(metadata!F746,"Not applicable"))</f>
        <v>0</v>
      </c>
      <c r="AH746" t="b">
        <f>AND(IF(metadata!G746="",FALSE,TRUE),EXACT(metadata!G746,"urban biome"))</f>
        <v>0</v>
      </c>
      <c r="AI746" t="b">
        <f>AND(IF(metadata!H746="",FALSE,TRUE),EXACT(metadata!H746,"human-associated habitat"))</f>
        <v>0</v>
      </c>
      <c r="AJ746" t="b">
        <f>AND(IF(metadata!I746="",FALSE,TRUE),OR(EXACT(metadata!I746,"human-associated"),EXACT(metadata!I746,"human-skin"),EXACT(metadata!I746,"human-oral"),EXACT(metadata!I746,"human-gut"),EXACT(metadata!I746,"human-vaginal")))</f>
        <v>0</v>
      </c>
      <c r="AK746" t="b">
        <f>IF(metadata!J746="",FALSE,ISNUMBER(VALUE(metadata!J746)))</f>
        <v>0</v>
      </c>
      <c r="AL746" t="b">
        <f>AND(IF(metadata!K746="",FALSE,TRUE),EXACT(metadata!K746,"cm"))</f>
        <v>0</v>
      </c>
      <c r="AM746" t="b">
        <f>AND(IF(metadata!L746="",FALSE,TRUE),EXACT(metadata!L746,"human"))</f>
        <v>0</v>
      </c>
      <c r="AN746" t="b">
        <f>AND(IF(metadata!M746="",FALSE,TRUE),EXACT(metadata!M746,"Homo sapiens"))</f>
        <v>0</v>
      </c>
      <c r="AO746" t="b">
        <f>AND(IF(metadata!N746="",FALSE,TRUE),EXACT(metadata!N746,"9606"))</f>
        <v>0</v>
      </c>
      <c r="AP746" t="b">
        <f>IF(metadata!O746="",FALSE,TRUE)</f>
        <v>0</v>
      </c>
      <c r="AQ746" t="b">
        <f>IF(metadata!P746="",FALSE,TRUE)</f>
        <v>0</v>
      </c>
      <c r="AR746" t="b">
        <f>IF(metadata!Q746="",FALSE,ISNUMBER(VALUE(metadata!Q746)))</f>
        <v>0</v>
      </c>
      <c r="AS746" t="b">
        <f>AND(IF(metadata!R746="",FALSE,TRUE),EXACT(metadata!R746,"kg"))</f>
        <v>0</v>
      </c>
    </row>
    <row r="747" spans="1:45" x14ac:dyDescent="0.2">
      <c r="A747" s="5" t="str">
        <f ca="1">IF(B747=" "," ",HYPERLINK(CONCATENATE("#metadata!",ADDRESS(INDEX($X$2:$X$1001,MATCH(ROWS($V$2:V747),$V$2:$V$1001,0),0),1)),INDEX($AA$2:$AA$1001,MATCH(ROWS($V$2:V747),$V$2:$V$1001,0),0)))</f>
        <v xml:space="preserve"> </v>
      </c>
      <c r="B747" s="4" t="str">
        <f ca="1">IF(OR(INDEX($W$2:$W$1001,MATCH(ROWS($V$2:V747),$V$2:$V$1001,0),1)&gt;=100000,INDEX($AC$1005:$AS$1005,1,MATCH(COLUMNS($AC$1006:AC1006),$AC$1006:$AS$1006,0))&gt;=100000), " ",IF(INDEX($AC$2:$AS$1001,MATCH(ROWS($V$2:V747),$V$2:$V$1001,0),MATCH(COLUMNS($AC$1006:AC1006),$AC$1006:$AS$1006,0)), HYPERLINK("#",""), HYPERLINK(CONCATENATE("#metadata!", ADDRESS(INDEX($X$2:$X$1001,MATCH(ROWS($V$2:V747),$V$2:$V$1001,0),0), INDEX($AC$1004:$AS$1004,1,MATCH(COLUMNS($AC$1006:AC1006),$AC$1006:$AS$1006,0)))),"Fix")))</f>
        <v xml:space="preserve"> </v>
      </c>
      <c r="C747" s="4" t="str">
        <f ca="1">IF(OR(INDEX($W$2:$W$1001,MATCH(ROWS($V$2:V747),$V$2:$V$1001,0),1)&gt;=100000,INDEX($AC$1005:$AS$1005,1,MATCH(COLUMNS($AC$1006:AD1006),$AC$1006:$AS$1006,0))&gt;=100000), " ",IF(INDEX($AC$2:$AS$1001,MATCH(ROWS($V$2:V747),$V$2:$V$1001,0),MATCH(COLUMNS($AC$1006:AD1006),$AC$1006:$AS$1006,0)), HYPERLINK("#",""), HYPERLINK(CONCATENATE("#metadata!", ADDRESS(INDEX($X$2:$X$1001,MATCH(ROWS($V$2:V747),$V$2:$V$1001,0),0), INDEX($AC$1004:$AS$1004,1,MATCH(COLUMNS($AC$1006:AD1006),$AC$1006:$AS$1006,0)))),"Fix")))</f>
        <v xml:space="preserve"> </v>
      </c>
      <c r="D747" s="4" t="str">
        <f ca="1">IF(OR(INDEX($W$2:$W$1001,MATCH(ROWS($V$2:V747),$V$2:$V$1001,0),1)&gt;=100000,INDEX($AC$1005:$AS$1005,1,MATCH(COLUMNS($AC$1006:AE1006),$AC$1006:$AS$1006,0))&gt;=100000), " ",IF(INDEX($AC$2:$AS$1001,MATCH(ROWS($V$2:V747),$V$2:$V$1001,0),MATCH(COLUMNS($AC$1006:AE1006),$AC$1006:$AS$1006,0)), HYPERLINK("#",""), HYPERLINK(CONCATENATE("#metadata!", ADDRESS(INDEX($X$2:$X$1001,MATCH(ROWS($V$2:V747),$V$2:$V$1001,0),0), INDEX($AC$1004:$AS$1004,1,MATCH(COLUMNS($AC$1006:AE1006),$AC$1006:$AS$1006,0)))),"Fix")))</f>
        <v xml:space="preserve"> </v>
      </c>
      <c r="E747" s="4" t="str">
        <f ca="1">IF(OR(INDEX($W$2:$W$1001,MATCH(ROWS($V$2:V747),$V$2:$V$1001,0),1)&gt;=100000,INDEX($AC$1005:$AS$1005,1,MATCH(COLUMNS($AC$1006:AF1006),$AC$1006:$AS$1006,0))&gt;=100000), " ",IF(INDEX($AC$2:$AS$1001,MATCH(ROWS($V$2:V747),$V$2:$V$1001,0),MATCH(COLUMNS($AC$1006:AF1006),$AC$1006:$AS$1006,0)), HYPERLINK("#",""), HYPERLINK(CONCATENATE("#metadata!", ADDRESS(INDEX($X$2:$X$1001,MATCH(ROWS($V$2:V747),$V$2:$V$1001,0),0), INDEX($AC$1004:$AS$1004,1,MATCH(COLUMNS($AC$1006:AF1006),$AC$1006:$AS$1006,0)))),"Fix")))</f>
        <v xml:space="preserve"> </v>
      </c>
      <c r="F747" s="4" t="str">
        <f ca="1">IF(OR(INDEX($W$2:$W$1001,MATCH(ROWS($V$2:V747),$V$2:$V$1001,0),1)&gt;=100000,INDEX($AC$1005:$AS$1005,1,MATCH(COLUMNS($AC$1006:AG1006),$AC$1006:$AS$1006,0))&gt;=100000), " ",IF(INDEX($AC$2:$AS$1001,MATCH(ROWS($V$2:V747),$V$2:$V$1001,0),MATCH(COLUMNS($AC$1006:AG1006),$AC$1006:$AS$1006,0)), HYPERLINK("#",""), HYPERLINK(CONCATENATE("#metadata!", ADDRESS(INDEX($X$2:$X$1001,MATCH(ROWS($V$2:V747),$V$2:$V$1001,0),0), INDEX($AC$1004:$AS$1004,1,MATCH(COLUMNS($AC$1006:AG1006),$AC$1006:$AS$1006,0)))),"Fix")))</f>
        <v xml:space="preserve"> </v>
      </c>
      <c r="G747" s="4" t="str">
        <f ca="1">IF(OR(INDEX($W$2:$W$1001,MATCH(ROWS($V$2:V747),$V$2:$V$1001,0),1)&gt;=100000,INDEX($AC$1005:$AS$1005,1,MATCH(COLUMNS($AC$1006:AH1006),$AC$1006:$AS$1006,0))&gt;=100000), " ",IF(INDEX($AC$2:$AS$1001,MATCH(ROWS($V$2:V747),$V$2:$V$1001,0),MATCH(COLUMNS($AC$1006:AH1006),$AC$1006:$AS$1006,0)), HYPERLINK("#",""), HYPERLINK(CONCATENATE("#metadata!", ADDRESS(INDEX($X$2:$X$1001,MATCH(ROWS($V$2:V747),$V$2:$V$1001,0),0), INDEX($AC$1004:$AS$1004,1,MATCH(COLUMNS($AC$1006:AH1006),$AC$1006:$AS$1006,0)))),"Fix")))</f>
        <v xml:space="preserve"> </v>
      </c>
      <c r="H747" s="4" t="str">
        <f ca="1">IF(OR(INDEX($W$2:$W$1001,MATCH(ROWS($V$2:V747),$V$2:$V$1001,0),1)&gt;=100000,INDEX($AC$1005:$AS$1005,1,MATCH(COLUMNS($AC$1006:AI1006),$AC$1006:$AS$1006,0))&gt;=100000), " ",IF(INDEX($AC$2:$AS$1001,MATCH(ROWS($V$2:V747),$V$2:$V$1001,0),MATCH(COLUMNS($AC$1006:AI1006),$AC$1006:$AS$1006,0)), HYPERLINK("#",""), HYPERLINK(CONCATENATE("#metadata!", ADDRESS(INDEX($X$2:$X$1001,MATCH(ROWS($V$2:V747),$V$2:$V$1001,0),0), INDEX($AC$1004:$AS$1004,1,MATCH(COLUMNS($AC$1006:AI1006),$AC$1006:$AS$1006,0)))),"Fix")))</f>
        <v xml:space="preserve"> </v>
      </c>
      <c r="I747" s="4" t="str">
        <f ca="1">IF(OR(INDEX($W$2:$W$1001,MATCH(ROWS($V$2:V747),$V$2:$V$1001,0),1)&gt;=100000,INDEX($AC$1005:$AS$1005,1,MATCH(COLUMNS($AC$1006:AJ1006),$AC$1006:$AS$1006,0))&gt;=100000), " ",IF(INDEX($AC$2:$AS$1001,MATCH(ROWS($V$2:V747),$V$2:$V$1001,0),MATCH(COLUMNS($AC$1006:AJ1006),$AC$1006:$AS$1006,0)), HYPERLINK("#",""), HYPERLINK(CONCATENATE("#metadata!", ADDRESS(INDEX($X$2:$X$1001,MATCH(ROWS($V$2:V747),$V$2:$V$1001,0),0), INDEX($AC$1004:$AS$1004,1,MATCH(COLUMNS($AC$1006:AJ1006),$AC$1006:$AS$1006,0)))),"Fix")))</f>
        <v xml:space="preserve"> </v>
      </c>
      <c r="J747" s="4" t="str">
        <f ca="1">IF(OR(INDEX($W$2:$W$1001,MATCH(ROWS($V$2:V747),$V$2:$V$1001,0),1)&gt;=100000,INDEX($AC$1005:$AS$1005,1,MATCH(COLUMNS($AC$1006:AK1006),$AC$1006:$AS$1006,0))&gt;=100000), " ",IF(INDEX($AC$2:$AS$1001,MATCH(ROWS($V$2:V747),$V$2:$V$1001,0),MATCH(COLUMNS($AC$1006:AK1006),$AC$1006:$AS$1006,0)), HYPERLINK("#",""), HYPERLINK(CONCATENATE("#metadata!", ADDRESS(INDEX($X$2:$X$1001,MATCH(ROWS($V$2:V747),$V$2:$V$1001,0),0), INDEX($AC$1004:$AS$1004,1,MATCH(COLUMNS($AC$1006:AK1006),$AC$1006:$AS$1006,0)))),"Fix")))</f>
        <v xml:space="preserve"> </v>
      </c>
      <c r="K747" s="4" t="str">
        <f ca="1">IF(OR(INDEX($W$2:$W$1001,MATCH(ROWS($V$2:V747),$V$2:$V$1001,0),1)&gt;=100000,INDEX($AC$1005:$AS$1005,1,MATCH(COLUMNS($AC$1006:AL1006),$AC$1006:$AS$1006,0))&gt;=100000), " ",IF(INDEX($AC$2:$AS$1001,MATCH(ROWS($V$2:V747),$V$2:$V$1001,0),MATCH(COLUMNS($AC$1006:AL1006),$AC$1006:$AS$1006,0)), HYPERLINK("#",""), HYPERLINK(CONCATENATE("#metadata!", ADDRESS(INDEX($X$2:$X$1001,MATCH(ROWS($V$2:V747),$V$2:$V$1001,0),0), INDEX($AC$1004:$AS$1004,1,MATCH(COLUMNS($AC$1006:AL1006),$AC$1006:$AS$1006,0)))),"Fix")))</f>
        <v xml:space="preserve"> </v>
      </c>
      <c r="L747" s="4" t="str">
        <f ca="1">IF(OR(INDEX($W$2:$W$1001,MATCH(ROWS($V$2:V747),$V$2:$V$1001,0),1)&gt;=100000,INDEX($AC$1005:$AS$1005,1,MATCH(COLUMNS($AC$1006:AM1006),$AC$1006:$AS$1006,0))&gt;=100000), " ",IF(INDEX($AC$2:$AS$1001,MATCH(ROWS($V$2:V747),$V$2:$V$1001,0),MATCH(COLUMNS($AC$1006:AM1006),$AC$1006:$AS$1006,0)), HYPERLINK("#",""), HYPERLINK(CONCATENATE("#metadata!", ADDRESS(INDEX($X$2:$X$1001,MATCH(ROWS($V$2:V747),$V$2:$V$1001,0),0), INDEX($AC$1004:$AS$1004,1,MATCH(COLUMNS($AC$1006:AM1006),$AC$1006:$AS$1006,0)))),"Fix")))</f>
        <v xml:space="preserve"> </v>
      </c>
      <c r="M747" s="4" t="str">
        <f ca="1">IF(OR(INDEX($W$2:$W$1001,MATCH(ROWS($V$2:V747),$V$2:$V$1001,0),1)&gt;=100000,INDEX($AC$1005:$AS$1005,1,MATCH(COLUMNS($AC$1006:AN1006),$AC$1006:$AS$1006,0))&gt;=100000), " ",IF(INDEX($AC$2:$AS$1001,MATCH(ROWS($V$2:V747),$V$2:$V$1001,0),MATCH(COLUMNS($AC$1006:AN1006),$AC$1006:$AS$1006,0)), HYPERLINK("#",""), HYPERLINK(CONCATENATE("#metadata!", ADDRESS(INDEX($X$2:$X$1001,MATCH(ROWS($V$2:V747),$V$2:$V$1001,0),0), INDEX($AC$1004:$AS$1004,1,MATCH(COLUMNS($AC$1006:AN1006),$AC$1006:$AS$1006,0)))),"Fix")))</f>
        <v xml:space="preserve"> </v>
      </c>
      <c r="N747" s="4" t="str">
        <f ca="1">IF(OR(INDEX($W$2:$W$1001,MATCH(ROWS($V$2:V747),$V$2:$V$1001,0),1)&gt;=100000,INDEX($AC$1005:$AS$1005,1,MATCH(COLUMNS($AC$1006:AO1006),$AC$1006:$AS$1006,0))&gt;=100000), " ",IF(INDEX($AC$2:$AS$1001,MATCH(ROWS($V$2:V747),$V$2:$V$1001,0),MATCH(COLUMNS($AC$1006:AO1006),$AC$1006:$AS$1006,0)), HYPERLINK("#",""), HYPERLINK(CONCATENATE("#metadata!", ADDRESS(INDEX($X$2:$X$1001,MATCH(ROWS($V$2:V747),$V$2:$V$1001,0),0), INDEX($AC$1004:$AS$1004,1,MATCH(COLUMNS($AC$1006:AO1006),$AC$1006:$AS$1006,0)))),"Fix")))</f>
        <v xml:space="preserve"> </v>
      </c>
      <c r="O747" s="4" t="str">
        <f ca="1">IF(OR(INDEX($W$2:$W$1001,MATCH(ROWS($V$2:V747),$V$2:$V$1001,0),1)&gt;=100000,INDEX($AC$1005:$AS$1005,1,MATCH(COLUMNS($AC$1006:AP1006),$AC$1006:$AS$1006,0))&gt;=100000), " ",IF(INDEX($AC$2:$AS$1001,MATCH(ROWS($V$2:V747),$V$2:$V$1001,0),MATCH(COLUMNS($AC$1006:AP1006),$AC$1006:$AS$1006,0)), HYPERLINK("#",""), HYPERLINK(CONCATENATE("#metadata!", ADDRESS(INDEX($X$2:$X$1001,MATCH(ROWS($V$2:V747),$V$2:$V$1001,0),0), INDEX($AC$1004:$AS$1004,1,MATCH(COLUMNS($AC$1006:AP1006),$AC$1006:$AS$1006,0)))),"Fix")))</f>
        <v xml:space="preserve"> </v>
      </c>
      <c r="P747" s="4" t="str">
        <f ca="1">IF(OR(INDEX($W$2:$W$1001,MATCH(ROWS($V$2:V747),$V$2:$V$1001,0),1)&gt;=100000,INDEX($AC$1005:$AS$1005,1,MATCH(COLUMNS($AC$1006:AQ1006),$AC$1006:$AS$1006,0))&gt;=100000), " ",IF(INDEX($AC$2:$AS$1001,MATCH(ROWS($V$2:V747),$V$2:$V$1001,0),MATCH(COLUMNS($AC$1006:AQ1006),$AC$1006:$AS$1006,0)), HYPERLINK("#",""), HYPERLINK(CONCATENATE("#metadata!", ADDRESS(INDEX($X$2:$X$1001,MATCH(ROWS($V$2:V747),$V$2:$V$1001,0),0), INDEX($AC$1004:$AS$1004,1,MATCH(COLUMNS($AC$1006:AQ1006),$AC$1006:$AS$1006,0)))),"Fix")))</f>
        <v xml:space="preserve"> </v>
      </c>
      <c r="Q747" s="4" t="str">
        <f ca="1">IF(OR(INDEX($W$2:$W$1001,MATCH(ROWS($V$2:V747),$V$2:$V$1001,0),1)&gt;=100000,INDEX($AC$1005:$AS$1005,1,MATCH(COLUMNS($AC$1006:AR1006),$AC$1006:$AS$1006,0))&gt;=100000), " ",IF(INDEX($AC$2:$AS$1001,MATCH(ROWS($V$2:V747),$V$2:$V$1001,0),MATCH(COLUMNS($AC$1006:AR1006),$AC$1006:$AS$1006,0)), HYPERLINK("#",""), HYPERLINK(CONCATENATE("#metadata!", ADDRESS(INDEX($X$2:$X$1001,MATCH(ROWS($V$2:V747),$V$2:$V$1001,0),0), INDEX($AC$1004:$AS$1004,1,MATCH(COLUMNS($AC$1006:AR1006),$AC$1006:$AS$1006,0)))),"Fix")))</f>
        <v xml:space="preserve"> </v>
      </c>
      <c r="R747" s="4" t="str">
        <f ca="1">IF(OR(INDEX($W$2:$W$1001,MATCH(ROWS($V$2:V747),$V$2:$V$1001,0),1)&gt;=100000,INDEX($AC$1005:$AS$1005,1,MATCH(COLUMNS($AC$1006:AS1006),$AC$1006:$AS$1006,0))&gt;=100000), " ",IF(INDEX($AC$2:$AS$1001,MATCH(ROWS($V$2:V747),$V$2:$V$1001,0),MATCH(COLUMNS($AC$1006:AS1006),$AC$1006:$AS$1006,0)), HYPERLINK("#",""), HYPERLINK(CONCATENATE("#metadata!", ADDRESS(INDEX($X$2:$X$1001,MATCH(ROWS($V$2:V747),$V$2:$V$1001,0),0), INDEX($AC$1004:$AS$1004,1,MATCH(COLUMNS($AC$1006:AS1006),$AC$1006:$AS$1006,0)))),"Fix")))</f>
        <v xml:space="preserve"> </v>
      </c>
      <c r="V747">
        <v>746</v>
      </c>
      <c r="W747">
        <v>100747</v>
      </c>
      <c r="X747">
        <v>747</v>
      </c>
      <c r="Y747" t="b">
        <f t="shared" si="11"/>
        <v>1</v>
      </c>
      <c r="Z747" t="b">
        <f>COUNTBLANK(metadata!B747:R747)=COLUMNS(metadata!B747:R747)</f>
        <v>1</v>
      </c>
      <c r="AA747" t="str">
        <v/>
      </c>
      <c r="AC747" t="b">
        <f ca="1"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AD747" t="b">
        <f>IF(metadata!C747="",FALSE,ISNUMBER(VALUE(metadata!C747)))</f>
        <v>0</v>
      </c>
      <c r="AE747" t="b">
        <f>AND(IF(metadata!D747="",FALSE,TRUE),EXACT(metadata!D747,"years"))</f>
        <v>0</v>
      </c>
      <c r="AF747" t="b">
        <f>OR(AND(IF(metadata!E747="",FALSE,TRUE),OR(EXACT(metadata!E747,"not applicable"),EXACT(metadata!E747,"missing: not collected"),EXACT(metadata!E747,"missing: not provided"),EXACT(metadata!E747,"missing: restricted access"))),AND(IF(metadata!E747="",FALSE,ISNUMBER(VALUE(metadata!E747))),metadata!E747&gt;0))</f>
        <v>0</v>
      </c>
      <c r="AG747" t="b">
        <f>AND(IF(metadata!F747="",FALSE,TRUE),EXACT(metadata!F747,"Not applicable"))</f>
        <v>0</v>
      </c>
      <c r="AH747" t="b">
        <f>AND(IF(metadata!G747="",FALSE,TRUE),EXACT(metadata!G747,"urban biome"))</f>
        <v>0</v>
      </c>
      <c r="AI747" t="b">
        <f>AND(IF(metadata!H747="",FALSE,TRUE),EXACT(metadata!H747,"human-associated habitat"))</f>
        <v>0</v>
      </c>
      <c r="AJ747" t="b">
        <f>AND(IF(metadata!I747="",FALSE,TRUE),OR(EXACT(metadata!I747,"human-associated"),EXACT(metadata!I747,"human-skin"),EXACT(metadata!I747,"human-oral"),EXACT(metadata!I747,"human-gut"),EXACT(metadata!I747,"human-vaginal")))</f>
        <v>0</v>
      </c>
      <c r="AK747" t="b">
        <f>IF(metadata!J747="",FALSE,ISNUMBER(VALUE(metadata!J747)))</f>
        <v>0</v>
      </c>
      <c r="AL747" t="b">
        <f>AND(IF(metadata!K747="",FALSE,TRUE),EXACT(metadata!K747,"cm"))</f>
        <v>0</v>
      </c>
      <c r="AM747" t="b">
        <f>AND(IF(metadata!L747="",FALSE,TRUE),EXACT(metadata!L747,"human"))</f>
        <v>0</v>
      </c>
      <c r="AN747" t="b">
        <f>AND(IF(metadata!M747="",FALSE,TRUE),EXACT(metadata!M747,"Homo sapiens"))</f>
        <v>0</v>
      </c>
      <c r="AO747" t="b">
        <f>AND(IF(metadata!N747="",FALSE,TRUE),EXACT(metadata!N747,"9606"))</f>
        <v>0</v>
      </c>
      <c r="AP747" t="b">
        <f>IF(metadata!O747="",FALSE,TRUE)</f>
        <v>0</v>
      </c>
      <c r="AQ747" t="b">
        <f>IF(metadata!P747="",FALSE,TRUE)</f>
        <v>0</v>
      </c>
      <c r="AR747" t="b">
        <f>IF(metadata!Q747="",FALSE,ISNUMBER(VALUE(metadata!Q747)))</f>
        <v>0</v>
      </c>
      <c r="AS747" t="b">
        <f>AND(IF(metadata!R747="",FALSE,TRUE),EXACT(metadata!R747,"kg"))</f>
        <v>0</v>
      </c>
    </row>
    <row r="748" spans="1:45" x14ac:dyDescent="0.2">
      <c r="A748" s="5" t="str">
        <f ca="1">IF(B748=" "," ",HYPERLINK(CONCATENATE("#metadata!",ADDRESS(INDEX($X$2:$X$1001,MATCH(ROWS($V$2:V748),$V$2:$V$1001,0),0),1)),INDEX($AA$2:$AA$1001,MATCH(ROWS($V$2:V748),$V$2:$V$1001,0),0)))</f>
        <v xml:space="preserve"> </v>
      </c>
      <c r="B748" s="4" t="str">
        <f ca="1">IF(OR(INDEX($W$2:$W$1001,MATCH(ROWS($V$2:V748),$V$2:$V$1001,0),1)&gt;=100000,INDEX($AC$1005:$AS$1005,1,MATCH(COLUMNS($AC$1006:AC1006),$AC$1006:$AS$1006,0))&gt;=100000), " ",IF(INDEX($AC$2:$AS$1001,MATCH(ROWS($V$2:V748),$V$2:$V$1001,0),MATCH(COLUMNS($AC$1006:AC1006),$AC$1006:$AS$1006,0)), HYPERLINK("#",""), HYPERLINK(CONCATENATE("#metadata!", ADDRESS(INDEX($X$2:$X$1001,MATCH(ROWS($V$2:V748),$V$2:$V$1001,0),0), INDEX($AC$1004:$AS$1004,1,MATCH(COLUMNS($AC$1006:AC1006),$AC$1006:$AS$1006,0)))),"Fix")))</f>
        <v xml:space="preserve"> </v>
      </c>
      <c r="C748" s="4" t="str">
        <f ca="1">IF(OR(INDEX($W$2:$W$1001,MATCH(ROWS($V$2:V748),$V$2:$V$1001,0),1)&gt;=100000,INDEX($AC$1005:$AS$1005,1,MATCH(COLUMNS($AC$1006:AD1006),$AC$1006:$AS$1006,0))&gt;=100000), " ",IF(INDEX($AC$2:$AS$1001,MATCH(ROWS($V$2:V748),$V$2:$V$1001,0),MATCH(COLUMNS($AC$1006:AD1006),$AC$1006:$AS$1006,0)), HYPERLINK("#",""), HYPERLINK(CONCATENATE("#metadata!", ADDRESS(INDEX($X$2:$X$1001,MATCH(ROWS($V$2:V748),$V$2:$V$1001,0),0), INDEX($AC$1004:$AS$1004,1,MATCH(COLUMNS($AC$1006:AD1006),$AC$1006:$AS$1006,0)))),"Fix")))</f>
        <v xml:space="preserve"> </v>
      </c>
      <c r="D748" s="4" t="str">
        <f ca="1">IF(OR(INDEX($W$2:$W$1001,MATCH(ROWS($V$2:V748),$V$2:$V$1001,0),1)&gt;=100000,INDEX($AC$1005:$AS$1005,1,MATCH(COLUMNS($AC$1006:AE1006),$AC$1006:$AS$1006,0))&gt;=100000), " ",IF(INDEX($AC$2:$AS$1001,MATCH(ROWS($V$2:V748),$V$2:$V$1001,0),MATCH(COLUMNS($AC$1006:AE1006),$AC$1006:$AS$1006,0)), HYPERLINK("#",""), HYPERLINK(CONCATENATE("#metadata!", ADDRESS(INDEX($X$2:$X$1001,MATCH(ROWS($V$2:V748),$V$2:$V$1001,0),0), INDEX($AC$1004:$AS$1004,1,MATCH(COLUMNS($AC$1006:AE1006),$AC$1006:$AS$1006,0)))),"Fix")))</f>
        <v xml:space="preserve"> </v>
      </c>
      <c r="E748" s="4" t="str">
        <f ca="1">IF(OR(INDEX($W$2:$W$1001,MATCH(ROWS($V$2:V748),$V$2:$V$1001,0),1)&gt;=100000,INDEX($AC$1005:$AS$1005,1,MATCH(COLUMNS($AC$1006:AF1006),$AC$1006:$AS$1006,0))&gt;=100000), " ",IF(INDEX($AC$2:$AS$1001,MATCH(ROWS($V$2:V748),$V$2:$V$1001,0),MATCH(COLUMNS($AC$1006:AF1006),$AC$1006:$AS$1006,0)), HYPERLINK("#",""), HYPERLINK(CONCATENATE("#metadata!", ADDRESS(INDEX($X$2:$X$1001,MATCH(ROWS($V$2:V748),$V$2:$V$1001,0),0), INDEX($AC$1004:$AS$1004,1,MATCH(COLUMNS($AC$1006:AF1006),$AC$1006:$AS$1006,0)))),"Fix")))</f>
        <v xml:space="preserve"> </v>
      </c>
      <c r="F748" s="4" t="str">
        <f ca="1">IF(OR(INDEX($W$2:$W$1001,MATCH(ROWS($V$2:V748),$V$2:$V$1001,0),1)&gt;=100000,INDEX($AC$1005:$AS$1005,1,MATCH(COLUMNS($AC$1006:AG1006),$AC$1006:$AS$1006,0))&gt;=100000), " ",IF(INDEX($AC$2:$AS$1001,MATCH(ROWS($V$2:V748),$V$2:$V$1001,0),MATCH(COLUMNS($AC$1006:AG1006),$AC$1006:$AS$1006,0)), HYPERLINK("#",""), HYPERLINK(CONCATENATE("#metadata!", ADDRESS(INDEX($X$2:$X$1001,MATCH(ROWS($V$2:V748),$V$2:$V$1001,0),0), INDEX($AC$1004:$AS$1004,1,MATCH(COLUMNS($AC$1006:AG1006),$AC$1006:$AS$1006,0)))),"Fix")))</f>
        <v xml:space="preserve"> </v>
      </c>
      <c r="G748" s="4" t="str">
        <f ca="1">IF(OR(INDEX($W$2:$W$1001,MATCH(ROWS($V$2:V748),$V$2:$V$1001,0),1)&gt;=100000,INDEX($AC$1005:$AS$1005,1,MATCH(COLUMNS($AC$1006:AH1006),$AC$1006:$AS$1006,0))&gt;=100000), " ",IF(INDEX($AC$2:$AS$1001,MATCH(ROWS($V$2:V748),$V$2:$V$1001,0),MATCH(COLUMNS($AC$1006:AH1006),$AC$1006:$AS$1006,0)), HYPERLINK("#",""), HYPERLINK(CONCATENATE("#metadata!", ADDRESS(INDEX($X$2:$X$1001,MATCH(ROWS($V$2:V748),$V$2:$V$1001,0),0), INDEX($AC$1004:$AS$1004,1,MATCH(COLUMNS($AC$1006:AH1006),$AC$1006:$AS$1006,0)))),"Fix")))</f>
        <v xml:space="preserve"> </v>
      </c>
      <c r="H748" s="4" t="str">
        <f ca="1">IF(OR(INDEX($W$2:$W$1001,MATCH(ROWS($V$2:V748),$V$2:$V$1001,0),1)&gt;=100000,INDEX($AC$1005:$AS$1005,1,MATCH(COLUMNS($AC$1006:AI1006),$AC$1006:$AS$1006,0))&gt;=100000), " ",IF(INDEX($AC$2:$AS$1001,MATCH(ROWS($V$2:V748),$V$2:$V$1001,0),MATCH(COLUMNS($AC$1006:AI1006),$AC$1006:$AS$1006,0)), HYPERLINK("#",""), HYPERLINK(CONCATENATE("#metadata!", ADDRESS(INDEX($X$2:$X$1001,MATCH(ROWS($V$2:V748),$V$2:$V$1001,0),0), INDEX($AC$1004:$AS$1004,1,MATCH(COLUMNS($AC$1006:AI1006),$AC$1006:$AS$1006,0)))),"Fix")))</f>
        <v xml:space="preserve"> </v>
      </c>
      <c r="I748" s="4" t="str">
        <f ca="1">IF(OR(INDEX($W$2:$W$1001,MATCH(ROWS($V$2:V748),$V$2:$V$1001,0),1)&gt;=100000,INDEX($AC$1005:$AS$1005,1,MATCH(COLUMNS($AC$1006:AJ1006),$AC$1006:$AS$1006,0))&gt;=100000), " ",IF(INDEX($AC$2:$AS$1001,MATCH(ROWS($V$2:V748),$V$2:$V$1001,0),MATCH(COLUMNS($AC$1006:AJ1006),$AC$1006:$AS$1006,0)), HYPERLINK("#",""), HYPERLINK(CONCATENATE("#metadata!", ADDRESS(INDEX($X$2:$X$1001,MATCH(ROWS($V$2:V748),$V$2:$V$1001,0),0), INDEX($AC$1004:$AS$1004,1,MATCH(COLUMNS($AC$1006:AJ1006),$AC$1006:$AS$1006,0)))),"Fix")))</f>
        <v xml:space="preserve"> </v>
      </c>
      <c r="J748" s="4" t="str">
        <f ca="1">IF(OR(INDEX($W$2:$W$1001,MATCH(ROWS($V$2:V748),$V$2:$V$1001,0),1)&gt;=100000,INDEX($AC$1005:$AS$1005,1,MATCH(COLUMNS($AC$1006:AK1006),$AC$1006:$AS$1006,0))&gt;=100000), " ",IF(INDEX($AC$2:$AS$1001,MATCH(ROWS($V$2:V748),$V$2:$V$1001,0),MATCH(COLUMNS($AC$1006:AK1006),$AC$1006:$AS$1006,0)), HYPERLINK("#",""), HYPERLINK(CONCATENATE("#metadata!", ADDRESS(INDEX($X$2:$X$1001,MATCH(ROWS($V$2:V748),$V$2:$V$1001,0),0), INDEX($AC$1004:$AS$1004,1,MATCH(COLUMNS($AC$1006:AK1006),$AC$1006:$AS$1006,0)))),"Fix")))</f>
        <v xml:space="preserve"> </v>
      </c>
      <c r="K748" s="4" t="str">
        <f ca="1">IF(OR(INDEX($W$2:$W$1001,MATCH(ROWS($V$2:V748),$V$2:$V$1001,0),1)&gt;=100000,INDEX($AC$1005:$AS$1005,1,MATCH(COLUMNS($AC$1006:AL1006),$AC$1006:$AS$1006,0))&gt;=100000), " ",IF(INDEX($AC$2:$AS$1001,MATCH(ROWS($V$2:V748),$V$2:$V$1001,0),MATCH(COLUMNS($AC$1006:AL1006),$AC$1006:$AS$1006,0)), HYPERLINK("#",""), HYPERLINK(CONCATENATE("#metadata!", ADDRESS(INDEX($X$2:$X$1001,MATCH(ROWS($V$2:V748),$V$2:$V$1001,0),0), INDEX($AC$1004:$AS$1004,1,MATCH(COLUMNS($AC$1006:AL1006),$AC$1006:$AS$1006,0)))),"Fix")))</f>
        <v xml:space="preserve"> </v>
      </c>
      <c r="L748" s="4" t="str">
        <f ca="1">IF(OR(INDEX($W$2:$W$1001,MATCH(ROWS($V$2:V748),$V$2:$V$1001,0),1)&gt;=100000,INDEX($AC$1005:$AS$1005,1,MATCH(COLUMNS($AC$1006:AM1006),$AC$1006:$AS$1006,0))&gt;=100000), " ",IF(INDEX($AC$2:$AS$1001,MATCH(ROWS($V$2:V748),$V$2:$V$1001,0),MATCH(COLUMNS($AC$1006:AM1006),$AC$1006:$AS$1006,0)), HYPERLINK("#",""), HYPERLINK(CONCATENATE("#metadata!", ADDRESS(INDEX($X$2:$X$1001,MATCH(ROWS($V$2:V748),$V$2:$V$1001,0),0), INDEX($AC$1004:$AS$1004,1,MATCH(COLUMNS($AC$1006:AM1006),$AC$1006:$AS$1006,0)))),"Fix")))</f>
        <v xml:space="preserve"> </v>
      </c>
      <c r="M748" s="4" t="str">
        <f ca="1">IF(OR(INDEX($W$2:$W$1001,MATCH(ROWS($V$2:V748),$V$2:$V$1001,0),1)&gt;=100000,INDEX($AC$1005:$AS$1005,1,MATCH(COLUMNS($AC$1006:AN1006),$AC$1006:$AS$1006,0))&gt;=100000), " ",IF(INDEX($AC$2:$AS$1001,MATCH(ROWS($V$2:V748),$V$2:$V$1001,0),MATCH(COLUMNS($AC$1006:AN1006),$AC$1006:$AS$1006,0)), HYPERLINK("#",""), HYPERLINK(CONCATENATE("#metadata!", ADDRESS(INDEX($X$2:$X$1001,MATCH(ROWS($V$2:V748),$V$2:$V$1001,0),0), INDEX($AC$1004:$AS$1004,1,MATCH(COLUMNS($AC$1006:AN1006),$AC$1006:$AS$1006,0)))),"Fix")))</f>
        <v xml:space="preserve"> </v>
      </c>
      <c r="N748" s="4" t="str">
        <f ca="1">IF(OR(INDEX($W$2:$W$1001,MATCH(ROWS($V$2:V748),$V$2:$V$1001,0),1)&gt;=100000,INDEX($AC$1005:$AS$1005,1,MATCH(COLUMNS($AC$1006:AO1006),$AC$1006:$AS$1006,0))&gt;=100000), " ",IF(INDEX($AC$2:$AS$1001,MATCH(ROWS($V$2:V748),$V$2:$V$1001,0),MATCH(COLUMNS($AC$1006:AO1006),$AC$1006:$AS$1006,0)), HYPERLINK("#",""), HYPERLINK(CONCATENATE("#metadata!", ADDRESS(INDEX($X$2:$X$1001,MATCH(ROWS($V$2:V748),$V$2:$V$1001,0),0), INDEX($AC$1004:$AS$1004,1,MATCH(COLUMNS($AC$1006:AO1006),$AC$1006:$AS$1006,0)))),"Fix")))</f>
        <v xml:space="preserve"> </v>
      </c>
      <c r="O748" s="4" t="str">
        <f ca="1">IF(OR(INDEX($W$2:$W$1001,MATCH(ROWS($V$2:V748),$V$2:$V$1001,0),1)&gt;=100000,INDEX($AC$1005:$AS$1005,1,MATCH(COLUMNS($AC$1006:AP1006),$AC$1006:$AS$1006,0))&gt;=100000), " ",IF(INDEX($AC$2:$AS$1001,MATCH(ROWS($V$2:V748),$V$2:$V$1001,0),MATCH(COLUMNS($AC$1006:AP1006),$AC$1006:$AS$1006,0)), HYPERLINK("#",""), HYPERLINK(CONCATENATE("#metadata!", ADDRESS(INDEX($X$2:$X$1001,MATCH(ROWS($V$2:V748),$V$2:$V$1001,0),0), INDEX($AC$1004:$AS$1004,1,MATCH(COLUMNS($AC$1006:AP1006),$AC$1006:$AS$1006,0)))),"Fix")))</f>
        <v xml:space="preserve"> </v>
      </c>
      <c r="P748" s="4" t="str">
        <f ca="1">IF(OR(INDEX($W$2:$W$1001,MATCH(ROWS($V$2:V748),$V$2:$V$1001,0),1)&gt;=100000,INDEX($AC$1005:$AS$1005,1,MATCH(COLUMNS($AC$1006:AQ1006),$AC$1006:$AS$1006,0))&gt;=100000), " ",IF(INDEX($AC$2:$AS$1001,MATCH(ROWS($V$2:V748),$V$2:$V$1001,0),MATCH(COLUMNS($AC$1006:AQ1006),$AC$1006:$AS$1006,0)), HYPERLINK("#",""), HYPERLINK(CONCATENATE("#metadata!", ADDRESS(INDEX($X$2:$X$1001,MATCH(ROWS($V$2:V748),$V$2:$V$1001,0),0), INDEX($AC$1004:$AS$1004,1,MATCH(COLUMNS($AC$1006:AQ1006),$AC$1006:$AS$1006,0)))),"Fix")))</f>
        <v xml:space="preserve"> </v>
      </c>
      <c r="Q748" s="4" t="str">
        <f ca="1">IF(OR(INDEX($W$2:$W$1001,MATCH(ROWS($V$2:V748),$V$2:$V$1001,0),1)&gt;=100000,INDEX($AC$1005:$AS$1005,1,MATCH(COLUMNS($AC$1006:AR1006),$AC$1006:$AS$1006,0))&gt;=100000), " ",IF(INDEX($AC$2:$AS$1001,MATCH(ROWS($V$2:V748),$V$2:$V$1001,0),MATCH(COLUMNS($AC$1006:AR1006),$AC$1006:$AS$1006,0)), HYPERLINK("#",""), HYPERLINK(CONCATENATE("#metadata!", ADDRESS(INDEX($X$2:$X$1001,MATCH(ROWS($V$2:V748),$V$2:$V$1001,0),0), INDEX($AC$1004:$AS$1004,1,MATCH(COLUMNS($AC$1006:AR1006),$AC$1006:$AS$1006,0)))),"Fix")))</f>
        <v xml:space="preserve"> </v>
      </c>
      <c r="R748" s="4" t="str">
        <f ca="1">IF(OR(INDEX($W$2:$W$1001,MATCH(ROWS($V$2:V748),$V$2:$V$1001,0),1)&gt;=100000,INDEX($AC$1005:$AS$1005,1,MATCH(COLUMNS($AC$1006:AS1006),$AC$1006:$AS$1006,0))&gt;=100000), " ",IF(INDEX($AC$2:$AS$1001,MATCH(ROWS($V$2:V748),$V$2:$V$1001,0),MATCH(COLUMNS($AC$1006:AS1006),$AC$1006:$AS$1006,0)), HYPERLINK("#",""), HYPERLINK(CONCATENATE("#metadata!", ADDRESS(INDEX($X$2:$X$1001,MATCH(ROWS($V$2:V748),$V$2:$V$1001,0),0), INDEX($AC$1004:$AS$1004,1,MATCH(COLUMNS($AC$1006:AS1006),$AC$1006:$AS$1006,0)))),"Fix")))</f>
        <v xml:space="preserve"> </v>
      </c>
      <c r="V748">
        <v>747</v>
      </c>
      <c r="W748">
        <v>100748</v>
      </c>
      <c r="X748">
        <v>748</v>
      </c>
      <c r="Y748" t="b">
        <f t="shared" si="11"/>
        <v>1</v>
      </c>
      <c r="Z748" t="b">
        <f>COUNTBLANK(metadata!B748:R748)=COLUMNS(metadata!B748:R748)</f>
        <v>1</v>
      </c>
      <c r="AA748" t="str">
        <v/>
      </c>
      <c r="AC748" t="b">
        <f ca="1"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AD748" t="b">
        <f>IF(metadata!C748="",FALSE,ISNUMBER(VALUE(metadata!C748)))</f>
        <v>0</v>
      </c>
      <c r="AE748" t="b">
        <f>AND(IF(metadata!D748="",FALSE,TRUE),EXACT(metadata!D748,"years"))</f>
        <v>0</v>
      </c>
      <c r="AF748" t="b">
        <f>OR(AND(IF(metadata!E748="",FALSE,TRUE),OR(EXACT(metadata!E748,"not applicable"),EXACT(metadata!E748,"missing: not collected"),EXACT(metadata!E748,"missing: not provided"),EXACT(metadata!E748,"missing: restricted access"))),AND(IF(metadata!E748="",FALSE,ISNUMBER(VALUE(metadata!E748))),metadata!E748&gt;0))</f>
        <v>0</v>
      </c>
      <c r="AG748" t="b">
        <f>AND(IF(metadata!F748="",FALSE,TRUE),EXACT(metadata!F748,"Not applicable"))</f>
        <v>0</v>
      </c>
      <c r="AH748" t="b">
        <f>AND(IF(metadata!G748="",FALSE,TRUE),EXACT(metadata!G748,"urban biome"))</f>
        <v>0</v>
      </c>
      <c r="AI748" t="b">
        <f>AND(IF(metadata!H748="",FALSE,TRUE),EXACT(metadata!H748,"human-associated habitat"))</f>
        <v>0</v>
      </c>
      <c r="AJ748" t="b">
        <f>AND(IF(metadata!I748="",FALSE,TRUE),OR(EXACT(metadata!I748,"human-associated"),EXACT(metadata!I748,"human-skin"),EXACT(metadata!I748,"human-oral"),EXACT(metadata!I748,"human-gut"),EXACT(metadata!I748,"human-vaginal")))</f>
        <v>0</v>
      </c>
      <c r="AK748" t="b">
        <f>IF(metadata!J748="",FALSE,ISNUMBER(VALUE(metadata!J748)))</f>
        <v>0</v>
      </c>
      <c r="AL748" t="b">
        <f>AND(IF(metadata!K748="",FALSE,TRUE),EXACT(metadata!K748,"cm"))</f>
        <v>0</v>
      </c>
      <c r="AM748" t="b">
        <f>AND(IF(metadata!L748="",FALSE,TRUE),EXACT(metadata!L748,"human"))</f>
        <v>0</v>
      </c>
      <c r="AN748" t="b">
        <f>AND(IF(metadata!M748="",FALSE,TRUE),EXACT(metadata!M748,"Homo sapiens"))</f>
        <v>0</v>
      </c>
      <c r="AO748" t="b">
        <f>AND(IF(metadata!N748="",FALSE,TRUE),EXACT(metadata!N748,"9606"))</f>
        <v>0</v>
      </c>
      <c r="AP748" t="b">
        <f>IF(metadata!O748="",FALSE,TRUE)</f>
        <v>0</v>
      </c>
      <c r="AQ748" t="b">
        <f>IF(metadata!P748="",FALSE,TRUE)</f>
        <v>0</v>
      </c>
      <c r="AR748" t="b">
        <f>IF(metadata!Q748="",FALSE,ISNUMBER(VALUE(metadata!Q748)))</f>
        <v>0</v>
      </c>
      <c r="AS748" t="b">
        <f>AND(IF(metadata!R748="",FALSE,TRUE),EXACT(metadata!R748,"kg"))</f>
        <v>0</v>
      </c>
    </row>
    <row r="749" spans="1:45" x14ac:dyDescent="0.2">
      <c r="A749" s="5" t="str">
        <f ca="1">IF(B749=" "," ",HYPERLINK(CONCATENATE("#metadata!",ADDRESS(INDEX($X$2:$X$1001,MATCH(ROWS($V$2:V749),$V$2:$V$1001,0),0),1)),INDEX($AA$2:$AA$1001,MATCH(ROWS($V$2:V749),$V$2:$V$1001,0),0)))</f>
        <v xml:space="preserve"> </v>
      </c>
      <c r="B749" s="4" t="str">
        <f ca="1">IF(OR(INDEX($W$2:$W$1001,MATCH(ROWS($V$2:V749),$V$2:$V$1001,0),1)&gt;=100000,INDEX($AC$1005:$AS$1005,1,MATCH(COLUMNS($AC$1006:AC1006),$AC$1006:$AS$1006,0))&gt;=100000), " ",IF(INDEX($AC$2:$AS$1001,MATCH(ROWS($V$2:V749),$V$2:$V$1001,0),MATCH(COLUMNS($AC$1006:AC1006),$AC$1006:$AS$1006,0)), HYPERLINK("#",""), HYPERLINK(CONCATENATE("#metadata!", ADDRESS(INDEX($X$2:$X$1001,MATCH(ROWS($V$2:V749),$V$2:$V$1001,0),0), INDEX($AC$1004:$AS$1004,1,MATCH(COLUMNS($AC$1006:AC1006),$AC$1006:$AS$1006,0)))),"Fix")))</f>
        <v xml:space="preserve"> </v>
      </c>
      <c r="C749" s="4" t="str">
        <f ca="1">IF(OR(INDEX($W$2:$W$1001,MATCH(ROWS($V$2:V749),$V$2:$V$1001,0),1)&gt;=100000,INDEX($AC$1005:$AS$1005,1,MATCH(COLUMNS($AC$1006:AD1006),$AC$1006:$AS$1006,0))&gt;=100000), " ",IF(INDEX($AC$2:$AS$1001,MATCH(ROWS($V$2:V749),$V$2:$V$1001,0),MATCH(COLUMNS($AC$1006:AD1006),$AC$1006:$AS$1006,0)), HYPERLINK("#",""), HYPERLINK(CONCATENATE("#metadata!", ADDRESS(INDEX($X$2:$X$1001,MATCH(ROWS($V$2:V749),$V$2:$V$1001,0),0), INDEX($AC$1004:$AS$1004,1,MATCH(COLUMNS($AC$1006:AD1006),$AC$1006:$AS$1006,0)))),"Fix")))</f>
        <v xml:space="preserve"> </v>
      </c>
      <c r="D749" s="4" t="str">
        <f ca="1">IF(OR(INDEX($W$2:$W$1001,MATCH(ROWS($V$2:V749),$V$2:$V$1001,0),1)&gt;=100000,INDEX($AC$1005:$AS$1005,1,MATCH(COLUMNS($AC$1006:AE1006),$AC$1006:$AS$1006,0))&gt;=100000), " ",IF(INDEX($AC$2:$AS$1001,MATCH(ROWS($V$2:V749),$V$2:$V$1001,0),MATCH(COLUMNS($AC$1006:AE1006),$AC$1006:$AS$1006,0)), HYPERLINK("#",""), HYPERLINK(CONCATENATE("#metadata!", ADDRESS(INDEX($X$2:$X$1001,MATCH(ROWS($V$2:V749),$V$2:$V$1001,0),0), INDEX($AC$1004:$AS$1004,1,MATCH(COLUMNS($AC$1006:AE1006),$AC$1006:$AS$1006,0)))),"Fix")))</f>
        <v xml:space="preserve"> </v>
      </c>
      <c r="E749" s="4" t="str">
        <f ca="1">IF(OR(INDEX($W$2:$W$1001,MATCH(ROWS($V$2:V749),$V$2:$V$1001,0),1)&gt;=100000,INDEX($AC$1005:$AS$1005,1,MATCH(COLUMNS($AC$1006:AF1006),$AC$1006:$AS$1006,0))&gt;=100000), " ",IF(INDEX($AC$2:$AS$1001,MATCH(ROWS($V$2:V749),$V$2:$V$1001,0),MATCH(COLUMNS($AC$1006:AF1006),$AC$1006:$AS$1006,0)), HYPERLINK("#",""), HYPERLINK(CONCATENATE("#metadata!", ADDRESS(INDEX($X$2:$X$1001,MATCH(ROWS($V$2:V749),$V$2:$V$1001,0),0), INDEX($AC$1004:$AS$1004,1,MATCH(COLUMNS($AC$1006:AF1006),$AC$1006:$AS$1006,0)))),"Fix")))</f>
        <v xml:space="preserve"> </v>
      </c>
      <c r="F749" s="4" t="str">
        <f ca="1">IF(OR(INDEX($W$2:$W$1001,MATCH(ROWS($V$2:V749),$V$2:$V$1001,0),1)&gt;=100000,INDEX($AC$1005:$AS$1005,1,MATCH(COLUMNS($AC$1006:AG1006),$AC$1006:$AS$1006,0))&gt;=100000), " ",IF(INDEX($AC$2:$AS$1001,MATCH(ROWS($V$2:V749),$V$2:$V$1001,0),MATCH(COLUMNS($AC$1006:AG1006),$AC$1006:$AS$1006,0)), HYPERLINK("#",""), HYPERLINK(CONCATENATE("#metadata!", ADDRESS(INDEX($X$2:$X$1001,MATCH(ROWS($V$2:V749),$V$2:$V$1001,0),0), INDEX($AC$1004:$AS$1004,1,MATCH(COLUMNS($AC$1006:AG1006),$AC$1006:$AS$1006,0)))),"Fix")))</f>
        <v xml:space="preserve"> </v>
      </c>
      <c r="G749" s="4" t="str">
        <f ca="1">IF(OR(INDEX($W$2:$W$1001,MATCH(ROWS($V$2:V749),$V$2:$V$1001,0),1)&gt;=100000,INDEX($AC$1005:$AS$1005,1,MATCH(COLUMNS($AC$1006:AH1006),$AC$1006:$AS$1006,0))&gt;=100000), " ",IF(INDEX($AC$2:$AS$1001,MATCH(ROWS($V$2:V749),$V$2:$V$1001,0),MATCH(COLUMNS($AC$1006:AH1006),$AC$1006:$AS$1006,0)), HYPERLINK("#",""), HYPERLINK(CONCATENATE("#metadata!", ADDRESS(INDEX($X$2:$X$1001,MATCH(ROWS($V$2:V749),$V$2:$V$1001,0),0), INDEX($AC$1004:$AS$1004,1,MATCH(COLUMNS($AC$1006:AH1006),$AC$1006:$AS$1006,0)))),"Fix")))</f>
        <v xml:space="preserve"> </v>
      </c>
      <c r="H749" s="4" t="str">
        <f ca="1">IF(OR(INDEX($W$2:$W$1001,MATCH(ROWS($V$2:V749),$V$2:$V$1001,0),1)&gt;=100000,INDEX($AC$1005:$AS$1005,1,MATCH(COLUMNS($AC$1006:AI1006),$AC$1006:$AS$1006,0))&gt;=100000), " ",IF(INDEX($AC$2:$AS$1001,MATCH(ROWS($V$2:V749),$V$2:$V$1001,0),MATCH(COLUMNS($AC$1006:AI1006),$AC$1006:$AS$1006,0)), HYPERLINK("#",""), HYPERLINK(CONCATENATE("#metadata!", ADDRESS(INDEX($X$2:$X$1001,MATCH(ROWS($V$2:V749),$V$2:$V$1001,0),0), INDEX($AC$1004:$AS$1004,1,MATCH(COLUMNS($AC$1006:AI1006),$AC$1006:$AS$1006,0)))),"Fix")))</f>
        <v xml:space="preserve"> </v>
      </c>
      <c r="I749" s="4" t="str">
        <f ca="1">IF(OR(INDEX($W$2:$W$1001,MATCH(ROWS($V$2:V749),$V$2:$V$1001,0),1)&gt;=100000,INDEX($AC$1005:$AS$1005,1,MATCH(COLUMNS($AC$1006:AJ1006),$AC$1006:$AS$1006,0))&gt;=100000), " ",IF(INDEX($AC$2:$AS$1001,MATCH(ROWS($V$2:V749),$V$2:$V$1001,0),MATCH(COLUMNS($AC$1006:AJ1006),$AC$1006:$AS$1006,0)), HYPERLINK("#",""), HYPERLINK(CONCATENATE("#metadata!", ADDRESS(INDEX($X$2:$X$1001,MATCH(ROWS($V$2:V749),$V$2:$V$1001,0),0), INDEX($AC$1004:$AS$1004,1,MATCH(COLUMNS($AC$1006:AJ1006),$AC$1006:$AS$1006,0)))),"Fix")))</f>
        <v xml:space="preserve"> </v>
      </c>
      <c r="J749" s="4" t="str">
        <f ca="1">IF(OR(INDEX($W$2:$W$1001,MATCH(ROWS($V$2:V749),$V$2:$V$1001,0),1)&gt;=100000,INDEX($AC$1005:$AS$1005,1,MATCH(COLUMNS($AC$1006:AK1006),$AC$1006:$AS$1006,0))&gt;=100000), " ",IF(INDEX($AC$2:$AS$1001,MATCH(ROWS($V$2:V749),$V$2:$V$1001,0),MATCH(COLUMNS($AC$1006:AK1006),$AC$1006:$AS$1006,0)), HYPERLINK("#",""), HYPERLINK(CONCATENATE("#metadata!", ADDRESS(INDEX($X$2:$X$1001,MATCH(ROWS($V$2:V749),$V$2:$V$1001,0),0), INDEX($AC$1004:$AS$1004,1,MATCH(COLUMNS($AC$1006:AK1006),$AC$1006:$AS$1006,0)))),"Fix")))</f>
        <v xml:space="preserve"> </v>
      </c>
      <c r="K749" s="4" t="str">
        <f ca="1">IF(OR(INDEX($W$2:$W$1001,MATCH(ROWS($V$2:V749),$V$2:$V$1001,0),1)&gt;=100000,INDEX($AC$1005:$AS$1005,1,MATCH(COLUMNS($AC$1006:AL1006),$AC$1006:$AS$1006,0))&gt;=100000), " ",IF(INDEX($AC$2:$AS$1001,MATCH(ROWS($V$2:V749),$V$2:$V$1001,0),MATCH(COLUMNS($AC$1006:AL1006),$AC$1006:$AS$1006,0)), HYPERLINK("#",""), HYPERLINK(CONCATENATE("#metadata!", ADDRESS(INDEX($X$2:$X$1001,MATCH(ROWS($V$2:V749),$V$2:$V$1001,0),0), INDEX($AC$1004:$AS$1004,1,MATCH(COLUMNS($AC$1006:AL1006),$AC$1006:$AS$1006,0)))),"Fix")))</f>
        <v xml:space="preserve"> </v>
      </c>
      <c r="L749" s="4" t="str">
        <f ca="1">IF(OR(INDEX($W$2:$W$1001,MATCH(ROWS($V$2:V749),$V$2:$V$1001,0),1)&gt;=100000,INDEX($AC$1005:$AS$1005,1,MATCH(COLUMNS($AC$1006:AM1006),$AC$1006:$AS$1006,0))&gt;=100000), " ",IF(INDEX($AC$2:$AS$1001,MATCH(ROWS($V$2:V749),$V$2:$V$1001,0),MATCH(COLUMNS($AC$1006:AM1006),$AC$1006:$AS$1006,0)), HYPERLINK("#",""), HYPERLINK(CONCATENATE("#metadata!", ADDRESS(INDEX($X$2:$X$1001,MATCH(ROWS($V$2:V749),$V$2:$V$1001,0),0), INDEX($AC$1004:$AS$1004,1,MATCH(COLUMNS($AC$1006:AM1006),$AC$1006:$AS$1006,0)))),"Fix")))</f>
        <v xml:space="preserve"> </v>
      </c>
      <c r="M749" s="4" t="str">
        <f ca="1">IF(OR(INDEX($W$2:$W$1001,MATCH(ROWS($V$2:V749),$V$2:$V$1001,0),1)&gt;=100000,INDEX($AC$1005:$AS$1005,1,MATCH(COLUMNS($AC$1006:AN1006),$AC$1006:$AS$1006,0))&gt;=100000), " ",IF(INDEX($AC$2:$AS$1001,MATCH(ROWS($V$2:V749),$V$2:$V$1001,0),MATCH(COLUMNS($AC$1006:AN1006),$AC$1006:$AS$1006,0)), HYPERLINK("#",""), HYPERLINK(CONCATENATE("#metadata!", ADDRESS(INDEX($X$2:$X$1001,MATCH(ROWS($V$2:V749),$V$2:$V$1001,0),0), INDEX($AC$1004:$AS$1004,1,MATCH(COLUMNS($AC$1006:AN1006),$AC$1006:$AS$1006,0)))),"Fix")))</f>
        <v xml:space="preserve"> </v>
      </c>
      <c r="N749" s="4" t="str">
        <f ca="1">IF(OR(INDEX($W$2:$W$1001,MATCH(ROWS($V$2:V749),$V$2:$V$1001,0),1)&gt;=100000,INDEX($AC$1005:$AS$1005,1,MATCH(COLUMNS($AC$1006:AO1006),$AC$1006:$AS$1006,0))&gt;=100000), " ",IF(INDEX($AC$2:$AS$1001,MATCH(ROWS($V$2:V749),$V$2:$V$1001,0),MATCH(COLUMNS($AC$1006:AO1006),$AC$1006:$AS$1006,0)), HYPERLINK("#",""), HYPERLINK(CONCATENATE("#metadata!", ADDRESS(INDEX($X$2:$X$1001,MATCH(ROWS($V$2:V749),$V$2:$V$1001,0),0), INDEX($AC$1004:$AS$1004,1,MATCH(COLUMNS($AC$1006:AO1006),$AC$1006:$AS$1006,0)))),"Fix")))</f>
        <v xml:space="preserve"> </v>
      </c>
      <c r="O749" s="4" t="str">
        <f ca="1">IF(OR(INDEX($W$2:$W$1001,MATCH(ROWS($V$2:V749),$V$2:$V$1001,0),1)&gt;=100000,INDEX($AC$1005:$AS$1005,1,MATCH(COLUMNS($AC$1006:AP1006),$AC$1006:$AS$1006,0))&gt;=100000), " ",IF(INDEX($AC$2:$AS$1001,MATCH(ROWS($V$2:V749),$V$2:$V$1001,0),MATCH(COLUMNS($AC$1006:AP1006),$AC$1006:$AS$1006,0)), HYPERLINK("#",""), HYPERLINK(CONCATENATE("#metadata!", ADDRESS(INDEX($X$2:$X$1001,MATCH(ROWS($V$2:V749),$V$2:$V$1001,0),0), INDEX($AC$1004:$AS$1004,1,MATCH(COLUMNS($AC$1006:AP1006),$AC$1006:$AS$1006,0)))),"Fix")))</f>
        <v xml:space="preserve"> </v>
      </c>
      <c r="P749" s="4" t="str">
        <f ca="1">IF(OR(INDEX($W$2:$W$1001,MATCH(ROWS($V$2:V749),$V$2:$V$1001,0),1)&gt;=100000,INDEX($AC$1005:$AS$1005,1,MATCH(COLUMNS($AC$1006:AQ1006),$AC$1006:$AS$1006,0))&gt;=100000), " ",IF(INDEX($AC$2:$AS$1001,MATCH(ROWS($V$2:V749),$V$2:$V$1001,0),MATCH(COLUMNS($AC$1006:AQ1006),$AC$1006:$AS$1006,0)), HYPERLINK("#",""), HYPERLINK(CONCATENATE("#metadata!", ADDRESS(INDEX($X$2:$X$1001,MATCH(ROWS($V$2:V749),$V$2:$V$1001,0),0), INDEX($AC$1004:$AS$1004,1,MATCH(COLUMNS($AC$1006:AQ1006),$AC$1006:$AS$1006,0)))),"Fix")))</f>
        <v xml:space="preserve"> </v>
      </c>
      <c r="Q749" s="4" t="str">
        <f ca="1">IF(OR(INDEX($W$2:$W$1001,MATCH(ROWS($V$2:V749),$V$2:$V$1001,0),1)&gt;=100000,INDEX($AC$1005:$AS$1005,1,MATCH(COLUMNS($AC$1006:AR1006),$AC$1006:$AS$1006,0))&gt;=100000), " ",IF(INDEX($AC$2:$AS$1001,MATCH(ROWS($V$2:V749),$V$2:$V$1001,0),MATCH(COLUMNS($AC$1006:AR1006),$AC$1006:$AS$1006,0)), HYPERLINK("#",""), HYPERLINK(CONCATENATE("#metadata!", ADDRESS(INDEX($X$2:$X$1001,MATCH(ROWS($V$2:V749),$V$2:$V$1001,0),0), INDEX($AC$1004:$AS$1004,1,MATCH(COLUMNS($AC$1006:AR1006),$AC$1006:$AS$1006,0)))),"Fix")))</f>
        <v xml:space="preserve"> </v>
      </c>
      <c r="R749" s="4" t="str">
        <f ca="1">IF(OR(INDEX($W$2:$W$1001,MATCH(ROWS($V$2:V749),$V$2:$V$1001,0),1)&gt;=100000,INDEX($AC$1005:$AS$1005,1,MATCH(COLUMNS($AC$1006:AS1006),$AC$1006:$AS$1006,0))&gt;=100000), " ",IF(INDEX($AC$2:$AS$1001,MATCH(ROWS($V$2:V749),$V$2:$V$1001,0),MATCH(COLUMNS($AC$1006:AS1006),$AC$1006:$AS$1006,0)), HYPERLINK("#",""), HYPERLINK(CONCATENATE("#metadata!", ADDRESS(INDEX($X$2:$X$1001,MATCH(ROWS($V$2:V749),$V$2:$V$1001,0),0), INDEX($AC$1004:$AS$1004,1,MATCH(COLUMNS($AC$1006:AS1006),$AC$1006:$AS$1006,0)))),"Fix")))</f>
        <v xml:space="preserve"> </v>
      </c>
      <c r="V749">
        <v>748</v>
      </c>
      <c r="W749">
        <v>100749</v>
      </c>
      <c r="X749">
        <v>749</v>
      </c>
      <c r="Y749" t="b">
        <f t="shared" si="11"/>
        <v>1</v>
      </c>
      <c r="Z749" t="b">
        <f>COUNTBLANK(metadata!B749:R749)=COLUMNS(metadata!B749:R749)</f>
        <v>1</v>
      </c>
      <c r="AA749" t="str">
        <v/>
      </c>
      <c r="AC749" t="b">
        <f ca="1"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AD749" t="b">
        <f>IF(metadata!C749="",FALSE,ISNUMBER(VALUE(metadata!C749)))</f>
        <v>0</v>
      </c>
      <c r="AE749" t="b">
        <f>AND(IF(metadata!D749="",FALSE,TRUE),EXACT(metadata!D749,"years"))</f>
        <v>0</v>
      </c>
      <c r="AF749" t="b">
        <f>OR(AND(IF(metadata!E749="",FALSE,TRUE),OR(EXACT(metadata!E749,"not applicable"),EXACT(metadata!E749,"missing: not collected"),EXACT(metadata!E749,"missing: not provided"),EXACT(metadata!E749,"missing: restricted access"))),AND(IF(metadata!E749="",FALSE,ISNUMBER(VALUE(metadata!E749))),metadata!E749&gt;0))</f>
        <v>0</v>
      </c>
      <c r="AG749" t="b">
        <f>AND(IF(metadata!F749="",FALSE,TRUE),EXACT(metadata!F749,"Not applicable"))</f>
        <v>0</v>
      </c>
      <c r="AH749" t="b">
        <f>AND(IF(metadata!G749="",FALSE,TRUE),EXACT(metadata!G749,"urban biome"))</f>
        <v>0</v>
      </c>
      <c r="AI749" t="b">
        <f>AND(IF(metadata!H749="",FALSE,TRUE),EXACT(metadata!H749,"human-associated habitat"))</f>
        <v>0</v>
      </c>
      <c r="AJ749" t="b">
        <f>AND(IF(metadata!I749="",FALSE,TRUE),OR(EXACT(metadata!I749,"human-associated"),EXACT(metadata!I749,"human-skin"),EXACT(metadata!I749,"human-oral"),EXACT(metadata!I749,"human-gut"),EXACT(metadata!I749,"human-vaginal")))</f>
        <v>0</v>
      </c>
      <c r="AK749" t="b">
        <f>IF(metadata!J749="",FALSE,ISNUMBER(VALUE(metadata!J749)))</f>
        <v>0</v>
      </c>
      <c r="AL749" t="b">
        <f>AND(IF(metadata!K749="",FALSE,TRUE),EXACT(metadata!K749,"cm"))</f>
        <v>0</v>
      </c>
      <c r="AM749" t="b">
        <f>AND(IF(metadata!L749="",FALSE,TRUE),EXACT(metadata!L749,"human"))</f>
        <v>0</v>
      </c>
      <c r="AN749" t="b">
        <f>AND(IF(metadata!M749="",FALSE,TRUE),EXACT(metadata!M749,"Homo sapiens"))</f>
        <v>0</v>
      </c>
      <c r="AO749" t="b">
        <f>AND(IF(metadata!N749="",FALSE,TRUE),EXACT(metadata!N749,"9606"))</f>
        <v>0</v>
      </c>
      <c r="AP749" t="b">
        <f>IF(metadata!O749="",FALSE,TRUE)</f>
        <v>0</v>
      </c>
      <c r="AQ749" t="b">
        <f>IF(metadata!P749="",FALSE,TRUE)</f>
        <v>0</v>
      </c>
      <c r="AR749" t="b">
        <f>IF(metadata!Q749="",FALSE,ISNUMBER(VALUE(metadata!Q749)))</f>
        <v>0</v>
      </c>
      <c r="AS749" t="b">
        <f>AND(IF(metadata!R749="",FALSE,TRUE),EXACT(metadata!R749,"kg"))</f>
        <v>0</v>
      </c>
    </row>
    <row r="750" spans="1:45" x14ac:dyDescent="0.2">
      <c r="A750" s="5" t="str">
        <f ca="1">IF(B750=" "," ",HYPERLINK(CONCATENATE("#metadata!",ADDRESS(INDEX($X$2:$X$1001,MATCH(ROWS($V$2:V750),$V$2:$V$1001,0),0),1)),INDEX($AA$2:$AA$1001,MATCH(ROWS($V$2:V750),$V$2:$V$1001,0),0)))</f>
        <v xml:space="preserve"> </v>
      </c>
      <c r="B750" s="4" t="str">
        <f ca="1">IF(OR(INDEX($W$2:$W$1001,MATCH(ROWS($V$2:V750),$V$2:$V$1001,0),1)&gt;=100000,INDEX($AC$1005:$AS$1005,1,MATCH(COLUMNS($AC$1006:AC1006),$AC$1006:$AS$1006,0))&gt;=100000), " ",IF(INDEX($AC$2:$AS$1001,MATCH(ROWS($V$2:V750),$V$2:$V$1001,0),MATCH(COLUMNS($AC$1006:AC1006),$AC$1006:$AS$1006,0)), HYPERLINK("#",""), HYPERLINK(CONCATENATE("#metadata!", ADDRESS(INDEX($X$2:$X$1001,MATCH(ROWS($V$2:V750),$V$2:$V$1001,0),0), INDEX($AC$1004:$AS$1004,1,MATCH(COLUMNS($AC$1006:AC1006),$AC$1006:$AS$1006,0)))),"Fix")))</f>
        <v xml:space="preserve"> </v>
      </c>
      <c r="C750" s="4" t="str">
        <f ca="1">IF(OR(INDEX($W$2:$W$1001,MATCH(ROWS($V$2:V750),$V$2:$V$1001,0),1)&gt;=100000,INDEX($AC$1005:$AS$1005,1,MATCH(COLUMNS($AC$1006:AD1006),$AC$1006:$AS$1006,0))&gt;=100000), " ",IF(INDEX($AC$2:$AS$1001,MATCH(ROWS($V$2:V750),$V$2:$V$1001,0),MATCH(COLUMNS($AC$1006:AD1006),$AC$1006:$AS$1006,0)), HYPERLINK("#",""), HYPERLINK(CONCATENATE("#metadata!", ADDRESS(INDEX($X$2:$X$1001,MATCH(ROWS($V$2:V750),$V$2:$V$1001,0),0), INDEX($AC$1004:$AS$1004,1,MATCH(COLUMNS($AC$1006:AD1006),$AC$1006:$AS$1006,0)))),"Fix")))</f>
        <v xml:space="preserve"> </v>
      </c>
      <c r="D750" s="4" t="str">
        <f ca="1">IF(OR(INDEX($W$2:$W$1001,MATCH(ROWS($V$2:V750),$V$2:$V$1001,0),1)&gt;=100000,INDEX($AC$1005:$AS$1005,1,MATCH(COLUMNS($AC$1006:AE1006),$AC$1006:$AS$1006,0))&gt;=100000), " ",IF(INDEX($AC$2:$AS$1001,MATCH(ROWS($V$2:V750),$V$2:$V$1001,0),MATCH(COLUMNS($AC$1006:AE1006),$AC$1006:$AS$1006,0)), HYPERLINK("#",""), HYPERLINK(CONCATENATE("#metadata!", ADDRESS(INDEX($X$2:$X$1001,MATCH(ROWS($V$2:V750),$V$2:$V$1001,0),0), INDEX($AC$1004:$AS$1004,1,MATCH(COLUMNS($AC$1006:AE1006),$AC$1006:$AS$1006,0)))),"Fix")))</f>
        <v xml:space="preserve"> </v>
      </c>
      <c r="E750" s="4" t="str">
        <f ca="1">IF(OR(INDEX($W$2:$W$1001,MATCH(ROWS($V$2:V750),$V$2:$V$1001,0),1)&gt;=100000,INDEX($AC$1005:$AS$1005,1,MATCH(COLUMNS($AC$1006:AF1006),$AC$1006:$AS$1006,0))&gt;=100000), " ",IF(INDEX($AC$2:$AS$1001,MATCH(ROWS($V$2:V750),$V$2:$V$1001,0),MATCH(COLUMNS($AC$1006:AF1006),$AC$1006:$AS$1006,0)), HYPERLINK("#",""), HYPERLINK(CONCATENATE("#metadata!", ADDRESS(INDEX($X$2:$X$1001,MATCH(ROWS($V$2:V750),$V$2:$V$1001,0),0), INDEX($AC$1004:$AS$1004,1,MATCH(COLUMNS($AC$1006:AF1006),$AC$1006:$AS$1006,0)))),"Fix")))</f>
        <v xml:space="preserve"> </v>
      </c>
      <c r="F750" s="4" t="str">
        <f ca="1">IF(OR(INDEX($W$2:$W$1001,MATCH(ROWS($V$2:V750),$V$2:$V$1001,0),1)&gt;=100000,INDEX($AC$1005:$AS$1005,1,MATCH(COLUMNS($AC$1006:AG1006),$AC$1006:$AS$1006,0))&gt;=100000), " ",IF(INDEX($AC$2:$AS$1001,MATCH(ROWS($V$2:V750),$V$2:$V$1001,0),MATCH(COLUMNS($AC$1006:AG1006),$AC$1006:$AS$1006,0)), HYPERLINK("#",""), HYPERLINK(CONCATENATE("#metadata!", ADDRESS(INDEX($X$2:$X$1001,MATCH(ROWS($V$2:V750),$V$2:$V$1001,0),0), INDEX($AC$1004:$AS$1004,1,MATCH(COLUMNS($AC$1006:AG1006),$AC$1006:$AS$1006,0)))),"Fix")))</f>
        <v xml:space="preserve"> </v>
      </c>
      <c r="G750" s="4" t="str">
        <f ca="1">IF(OR(INDEX($W$2:$W$1001,MATCH(ROWS($V$2:V750),$V$2:$V$1001,0),1)&gt;=100000,INDEX($AC$1005:$AS$1005,1,MATCH(COLUMNS($AC$1006:AH1006),$AC$1006:$AS$1006,0))&gt;=100000), " ",IF(INDEX($AC$2:$AS$1001,MATCH(ROWS($V$2:V750),$V$2:$V$1001,0),MATCH(COLUMNS($AC$1006:AH1006),$AC$1006:$AS$1006,0)), HYPERLINK("#",""), HYPERLINK(CONCATENATE("#metadata!", ADDRESS(INDEX($X$2:$X$1001,MATCH(ROWS($V$2:V750),$V$2:$V$1001,0),0), INDEX($AC$1004:$AS$1004,1,MATCH(COLUMNS($AC$1006:AH1006),$AC$1006:$AS$1006,0)))),"Fix")))</f>
        <v xml:space="preserve"> </v>
      </c>
      <c r="H750" s="4" t="str">
        <f ca="1">IF(OR(INDEX($W$2:$W$1001,MATCH(ROWS($V$2:V750),$V$2:$V$1001,0),1)&gt;=100000,INDEX($AC$1005:$AS$1005,1,MATCH(COLUMNS($AC$1006:AI1006),$AC$1006:$AS$1006,0))&gt;=100000), " ",IF(INDEX($AC$2:$AS$1001,MATCH(ROWS($V$2:V750),$V$2:$V$1001,0),MATCH(COLUMNS($AC$1006:AI1006),$AC$1006:$AS$1006,0)), HYPERLINK("#",""), HYPERLINK(CONCATENATE("#metadata!", ADDRESS(INDEX($X$2:$X$1001,MATCH(ROWS($V$2:V750),$V$2:$V$1001,0),0), INDEX($AC$1004:$AS$1004,1,MATCH(COLUMNS($AC$1006:AI1006),$AC$1006:$AS$1006,0)))),"Fix")))</f>
        <v xml:space="preserve"> </v>
      </c>
      <c r="I750" s="4" t="str">
        <f ca="1">IF(OR(INDEX($W$2:$W$1001,MATCH(ROWS($V$2:V750),$V$2:$V$1001,0),1)&gt;=100000,INDEX($AC$1005:$AS$1005,1,MATCH(COLUMNS($AC$1006:AJ1006),$AC$1006:$AS$1006,0))&gt;=100000), " ",IF(INDEX($AC$2:$AS$1001,MATCH(ROWS($V$2:V750),$V$2:$V$1001,0),MATCH(COLUMNS($AC$1006:AJ1006),$AC$1006:$AS$1006,0)), HYPERLINK("#",""), HYPERLINK(CONCATENATE("#metadata!", ADDRESS(INDEX($X$2:$X$1001,MATCH(ROWS($V$2:V750),$V$2:$V$1001,0),0), INDEX($AC$1004:$AS$1004,1,MATCH(COLUMNS($AC$1006:AJ1006),$AC$1006:$AS$1006,0)))),"Fix")))</f>
        <v xml:space="preserve"> </v>
      </c>
      <c r="J750" s="4" t="str">
        <f ca="1">IF(OR(INDEX($W$2:$W$1001,MATCH(ROWS($V$2:V750),$V$2:$V$1001,0),1)&gt;=100000,INDEX($AC$1005:$AS$1005,1,MATCH(COLUMNS($AC$1006:AK1006),$AC$1006:$AS$1006,0))&gt;=100000), " ",IF(INDEX($AC$2:$AS$1001,MATCH(ROWS($V$2:V750),$V$2:$V$1001,0),MATCH(COLUMNS($AC$1006:AK1006),$AC$1006:$AS$1006,0)), HYPERLINK("#",""), HYPERLINK(CONCATENATE("#metadata!", ADDRESS(INDEX($X$2:$X$1001,MATCH(ROWS($V$2:V750),$V$2:$V$1001,0),0), INDEX($AC$1004:$AS$1004,1,MATCH(COLUMNS($AC$1006:AK1006),$AC$1006:$AS$1006,0)))),"Fix")))</f>
        <v xml:space="preserve"> </v>
      </c>
      <c r="K750" s="4" t="str">
        <f ca="1">IF(OR(INDEX($W$2:$W$1001,MATCH(ROWS($V$2:V750),$V$2:$V$1001,0),1)&gt;=100000,INDEX($AC$1005:$AS$1005,1,MATCH(COLUMNS($AC$1006:AL1006),$AC$1006:$AS$1006,0))&gt;=100000), " ",IF(INDEX($AC$2:$AS$1001,MATCH(ROWS($V$2:V750),$V$2:$V$1001,0),MATCH(COLUMNS($AC$1006:AL1006),$AC$1006:$AS$1006,0)), HYPERLINK("#",""), HYPERLINK(CONCATENATE("#metadata!", ADDRESS(INDEX($X$2:$X$1001,MATCH(ROWS($V$2:V750),$V$2:$V$1001,0),0), INDEX($AC$1004:$AS$1004,1,MATCH(COLUMNS($AC$1006:AL1006),$AC$1006:$AS$1006,0)))),"Fix")))</f>
        <v xml:space="preserve"> </v>
      </c>
      <c r="L750" s="4" t="str">
        <f ca="1">IF(OR(INDEX($W$2:$W$1001,MATCH(ROWS($V$2:V750),$V$2:$V$1001,0),1)&gt;=100000,INDEX($AC$1005:$AS$1005,1,MATCH(COLUMNS($AC$1006:AM1006),$AC$1006:$AS$1006,0))&gt;=100000), " ",IF(INDEX($AC$2:$AS$1001,MATCH(ROWS($V$2:V750),$V$2:$V$1001,0),MATCH(COLUMNS($AC$1006:AM1006),$AC$1006:$AS$1006,0)), HYPERLINK("#",""), HYPERLINK(CONCATENATE("#metadata!", ADDRESS(INDEX($X$2:$X$1001,MATCH(ROWS($V$2:V750),$V$2:$V$1001,0),0), INDEX($AC$1004:$AS$1004,1,MATCH(COLUMNS($AC$1006:AM1006),$AC$1006:$AS$1006,0)))),"Fix")))</f>
        <v xml:space="preserve"> </v>
      </c>
      <c r="M750" s="4" t="str">
        <f ca="1">IF(OR(INDEX($W$2:$W$1001,MATCH(ROWS($V$2:V750),$V$2:$V$1001,0),1)&gt;=100000,INDEX($AC$1005:$AS$1005,1,MATCH(COLUMNS($AC$1006:AN1006),$AC$1006:$AS$1006,0))&gt;=100000), " ",IF(INDEX($AC$2:$AS$1001,MATCH(ROWS($V$2:V750),$V$2:$V$1001,0),MATCH(COLUMNS($AC$1006:AN1006),$AC$1006:$AS$1006,0)), HYPERLINK("#",""), HYPERLINK(CONCATENATE("#metadata!", ADDRESS(INDEX($X$2:$X$1001,MATCH(ROWS($V$2:V750),$V$2:$V$1001,0),0), INDEX($AC$1004:$AS$1004,1,MATCH(COLUMNS($AC$1006:AN1006),$AC$1006:$AS$1006,0)))),"Fix")))</f>
        <v xml:space="preserve"> </v>
      </c>
      <c r="N750" s="4" t="str">
        <f ca="1">IF(OR(INDEX($W$2:$W$1001,MATCH(ROWS($V$2:V750),$V$2:$V$1001,0),1)&gt;=100000,INDEX($AC$1005:$AS$1005,1,MATCH(COLUMNS($AC$1006:AO1006),$AC$1006:$AS$1006,0))&gt;=100000), " ",IF(INDEX($AC$2:$AS$1001,MATCH(ROWS($V$2:V750),$V$2:$V$1001,0),MATCH(COLUMNS($AC$1006:AO1006),$AC$1006:$AS$1006,0)), HYPERLINK("#",""), HYPERLINK(CONCATENATE("#metadata!", ADDRESS(INDEX($X$2:$X$1001,MATCH(ROWS($V$2:V750),$V$2:$V$1001,0),0), INDEX($AC$1004:$AS$1004,1,MATCH(COLUMNS($AC$1006:AO1006),$AC$1006:$AS$1006,0)))),"Fix")))</f>
        <v xml:space="preserve"> </v>
      </c>
      <c r="O750" s="4" t="str">
        <f ca="1">IF(OR(INDEX($W$2:$W$1001,MATCH(ROWS($V$2:V750),$V$2:$V$1001,0),1)&gt;=100000,INDEX($AC$1005:$AS$1005,1,MATCH(COLUMNS($AC$1006:AP1006),$AC$1006:$AS$1006,0))&gt;=100000), " ",IF(INDEX($AC$2:$AS$1001,MATCH(ROWS($V$2:V750),$V$2:$V$1001,0),MATCH(COLUMNS($AC$1006:AP1006),$AC$1006:$AS$1006,0)), HYPERLINK("#",""), HYPERLINK(CONCATENATE("#metadata!", ADDRESS(INDEX($X$2:$X$1001,MATCH(ROWS($V$2:V750),$V$2:$V$1001,0),0), INDEX($AC$1004:$AS$1004,1,MATCH(COLUMNS($AC$1006:AP1006),$AC$1006:$AS$1006,0)))),"Fix")))</f>
        <v xml:space="preserve"> </v>
      </c>
      <c r="P750" s="4" t="str">
        <f ca="1">IF(OR(INDEX($W$2:$W$1001,MATCH(ROWS($V$2:V750),$V$2:$V$1001,0),1)&gt;=100000,INDEX($AC$1005:$AS$1005,1,MATCH(COLUMNS($AC$1006:AQ1006),$AC$1006:$AS$1006,0))&gt;=100000), " ",IF(INDEX($AC$2:$AS$1001,MATCH(ROWS($V$2:V750),$V$2:$V$1001,0),MATCH(COLUMNS($AC$1006:AQ1006),$AC$1006:$AS$1006,0)), HYPERLINK("#",""), HYPERLINK(CONCATENATE("#metadata!", ADDRESS(INDEX($X$2:$X$1001,MATCH(ROWS($V$2:V750),$V$2:$V$1001,0),0), INDEX($AC$1004:$AS$1004,1,MATCH(COLUMNS($AC$1006:AQ1006),$AC$1006:$AS$1006,0)))),"Fix")))</f>
        <v xml:space="preserve"> </v>
      </c>
      <c r="Q750" s="4" t="str">
        <f ca="1">IF(OR(INDEX($W$2:$W$1001,MATCH(ROWS($V$2:V750),$V$2:$V$1001,0),1)&gt;=100000,INDEX($AC$1005:$AS$1005,1,MATCH(COLUMNS($AC$1006:AR1006),$AC$1006:$AS$1006,0))&gt;=100000), " ",IF(INDEX($AC$2:$AS$1001,MATCH(ROWS($V$2:V750),$V$2:$V$1001,0),MATCH(COLUMNS($AC$1006:AR1006),$AC$1006:$AS$1006,0)), HYPERLINK("#",""), HYPERLINK(CONCATENATE("#metadata!", ADDRESS(INDEX($X$2:$X$1001,MATCH(ROWS($V$2:V750),$V$2:$V$1001,0),0), INDEX($AC$1004:$AS$1004,1,MATCH(COLUMNS($AC$1006:AR1006),$AC$1006:$AS$1006,0)))),"Fix")))</f>
        <v xml:space="preserve"> </v>
      </c>
      <c r="R750" s="4" t="str">
        <f ca="1">IF(OR(INDEX($W$2:$W$1001,MATCH(ROWS($V$2:V750),$V$2:$V$1001,0),1)&gt;=100000,INDEX($AC$1005:$AS$1005,1,MATCH(COLUMNS($AC$1006:AS1006),$AC$1006:$AS$1006,0))&gt;=100000), " ",IF(INDEX($AC$2:$AS$1001,MATCH(ROWS($V$2:V750),$V$2:$V$1001,0),MATCH(COLUMNS($AC$1006:AS1006),$AC$1006:$AS$1006,0)), HYPERLINK("#",""), HYPERLINK(CONCATENATE("#metadata!", ADDRESS(INDEX($X$2:$X$1001,MATCH(ROWS($V$2:V750),$V$2:$V$1001,0),0), INDEX($AC$1004:$AS$1004,1,MATCH(COLUMNS($AC$1006:AS1006),$AC$1006:$AS$1006,0)))),"Fix")))</f>
        <v xml:space="preserve"> </v>
      </c>
      <c r="V750">
        <v>749</v>
      </c>
      <c r="W750">
        <v>100750</v>
      </c>
      <c r="X750">
        <v>750</v>
      </c>
      <c r="Y750" t="b">
        <f t="shared" si="11"/>
        <v>1</v>
      </c>
      <c r="Z750" t="b">
        <f>COUNTBLANK(metadata!B750:R750)=COLUMNS(metadata!B750:R750)</f>
        <v>1</v>
      </c>
      <c r="AA750" t="str">
        <v/>
      </c>
      <c r="AC750" t="b">
        <f ca="1"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AD750" t="b">
        <f>IF(metadata!C750="",FALSE,ISNUMBER(VALUE(metadata!C750)))</f>
        <v>0</v>
      </c>
      <c r="AE750" t="b">
        <f>AND(IF(metadata!D750="",FALSE,TRUE),EXACT(metadata!D750,"years"))</f>
        <v>0</v>
      </c>
      <c r="AF750" t="b">
        <f>OR(AND(IF(metadata!E750="",FALSE,TRUE),OR(EXACT(metadata!E750,"not applicable"),EXACT(metadata!E750,"missing: not collected"),EXACT(metadata!E750,"missing: not provided"),EXACT(metadata!E750,"missing: restricted access"))),AND(IF(metadata!E750="",FALSE,ISNUMBER(VALUE(metadata!E750))),metadata!E750&gt;0))</f>
        <v>0</v>
      </c>
      <c r="AG750" t="b">
        <f>AND(IF(metadata!F750="",FALSE,TRUE),EXACT(metadata!F750,"Not applicable"))</f>
        <v>0</v>
      </c>
      <c r="AH750" t="b">
        <f>AND(IF(metadata!G750="",FALSE,TRUE),EXACT(metadata!G750,"urban biome"))</f>
        <v>0</v>
      </c>
      <c r="AI750" t="b">
        <f>AND(IF(metadata!H750="",FALSE,TRUE),EXACT(metadata!H750,"human-associated habitat"))</f>
        <v>0</v>
      </c>
      <c r="AJ750" t="b">
        <f>AND(IF(metadata!I750="",FALSE,TRUE),OR(EXACT(metadata!I750,"human-associated"),EXACT(metadata!I750,"human-skin"),EXACT(metadata!I750,"human-oral"),EXACT(metadata!I750,"human-gut"),EXACT(metadata!I750,"human-vaginal")))</f>
        <v>0</v>
      </c>
      <c r="AK750" t="b">
        <f>IF(metadata!J750="",FALSE,ISNUMBER(VALUE(metadata!J750)))</f>
        <v>0</v>
      </c>
      <c r="AL750" t="b">
        <f>AND(IF(metadata!K750="",FALSE,TRUE),EXACT(metadata!K750,"cm"))</f>
        <v>0</v>
      </c>
      <c r="AM750" t="b">
        <f>AND(IF(metadata!L750="",FALSE,TRUE),EXACT(metadata!L750,"human"))</f>
        <v>0</v>
      </c>
      <c r="AN750" t="b">
        <f>AND(IF(metadata!M750="",FALSE,TRUE),EXACT(metadata!M750,"Homo sapiens"))</f>
        <v>0</v>
      </c>
      <c r="AO750" t="b">
        <f>AND(IF(metadata!N750="",FALSE,TRUE),EXACT(metadata!N750,"9606"))</f>
        <v>0</v>
      </c>
      <c r="AP750" t="b">
        <f>IF(metadata!O750="",FALSE,TRUE)</f>
        <v>0</v>
      </c>
      <c r="AQ750" t="b">
        <f>IF(metadata!P750="",FALSE,TRUE)</f>
        <v>0</v>
      </c>
      <c r="AR750" t="b">
        <f>IF(metadata!Q750="",FALSE,ISNUMBER(VALUE(metadata!Q750)))</f>
        <v>0</v>
      </c>
      <c r="AS750" t="b">
        <f>AND(IF(metadata!R750="",FALSE,TRUE),EXACT(metadata!R750,"kg"))</f>
        <v>0</v>
      </c>
    </row>
    <row r="751" spans="1:45" x14ac:dyDescent="0.2">
      <c r="A751" s="5" t="str">
        <f ca="1">IF(B751=" "," ",HYPERLINK(CONCATENATE("#metadata!",ADDRESS(INDEX($X$2:$X$1001,MATCH(ROWS($V$2:V751),$V$2:$V$1001,0),0),1)),INDEX($AA$2:$AA$1001,MATCH(ROWS($V$2:V751),$V$2:$V$1001,0),0)))</f>
        <v xml:space="preserve"> </v>
      </c>
      <c r="B751" s="4" t="str">
        <f ca="1">IF(OR(INDEX($W$2:$W$1001,MATCH(ROWS($V$2:V751),$V$2:$V$1001,0),1)&gt;=100000,INDEX($AC$1005:$AS$1005,1,MATCH(COLUMNS($AC$1006:AC1006),$AC$1006:$AS$1006,0))&gt;=100000), " ",IF(INDEX($AC$2:$AS$1001,MATCH(ROWS($V$2:V751),$V$2:$V$1001,0),MATCH(COLUMNS($AC$1006:AC1006),$AC$1006:$AS$1006,0)), HYPERLINK("#",""), HYPERLINK(CONCATENATE("#metadata!", ADDRESS(INDEX($X$2:$X$1001,MATCH(ROWS($V$2:V751),$V$2:$V$1001,0),0), INDEX($AC$1004:$AS$1004,1,MATCH(COLUMNS($AC$1006:AC1006),$AC$1006:$AS$1006,0)))),"Fix")))</f>
        <v xml:space="preserve"> </v>
      </c>
      <c r="C751" s="4" t="str">
        <f ca="1">IF(OR(INDEX($W$2:$W$1001,MATCH(ROWS($V$2:V751),$V$2:$V$1001,0),1)&gt;=100000,INDEX($AC$1005:$AS$1005,1,MATCH(COLUMNS($AC$1006:AD1006),$AC$1006:$AS$1006,0))&gt;=100000), " ",IF(INDEX($AC$2:$AS$1001,MATCH(ROWS($V$2:V751),$V$2:$V$1001,0),MATCH(COLUMNS($AC$1006:AD1006),$AC$1006:$AS$1006,0)), HYPERLINK("#",""), HYPERLINK(CONCATENATE("#metadata!", ADDRESS(INDEX($X$2:$X$1001,MATCH(ROWS($V$2:V751),$V$2:$V$1001,0),0), INDEX($AC$1004:$AS$1004,1,MATCH(COLUMNS($AC$1006:AD1006),$AC$1006:$AS$1006,0)))),"Fix")))</f>
        <v xml:space="preserve"> </v>
      </c>
      <c r="D751" s="4" t="str">
        <f ca="1">IF(OR(INDEX($W$2:$W$1001,MATCH(ROWS($V$2:V751),$V$2:$V$1001,0),1)&gt;=100000,INDEX($AC$1005:$AS$1005,1,MATCH(COLUMNS($AC$1006:AE1006),$AC$1006:$AS$1006,0))&gt;=100000), " ",IF(INDEX($AC$2:$AS$1001,MATCH(ROWS($V$2:V751),$V$2:$V$1001,0),MATCH(COLUMNS($AC$1006:AE1006),$AC$1006:$AS$1006,0)), HYPERLINK("#",""), HYPERLINK(CONCATENATE("#metadata!", ADDRESS(INDEX($X$2:$X$1001,MATCH(ROWS($V$2:V751),$V$2:$V$1001,0),0), INDEX($AC$1004:$AS$1004,1,MATCH(COLUMNS($AC$1006:AE1006),$AC$1006:$AS$1006,0)))),"Fix")))</f>
        <v xml:space="preserve"> </v>
      </c>
      <c r="E751" s="4" t="str">
        <f ca="1">IF(OR(INDEX($W$2:$W$1001,MATCH(ROWS($V$2:V751),$V$2:$V$1001,0),1)&gt;=100000,INDEX($AC$1005:$AS$1005,1,MATCH(COLUMNS($AC$1006:AF1006),$AC$1006:$AS$1006,0))&gt;=100000), " ",IF(INDEX($AC$2:$AS$1001,MATCH(ROWS($V$2:V751),$V$2:$V$1001,0),MATCH(COLUMNS($AC$1006:AF1006),$AC$1006:$AS$1006,0)), HYPERLINK("#",""), HYPERLINK(CONCATENATE("#metadata!", ADDRESS(INDEX($X$2:$X$1001,MATCH(ROWS($V$2:V751),$V$2:$V$1001,0),0), INDEX($AC$1004:$AS$1004,1,MATCH(COLUMNS($AC$1006:AF1006),$AC$1006:$AS$1006,0)))),"Fix")))</f>
        <v xml:space="preserve"> </v>
      </c>
      <c r="F751" s="4" t="str">
        <f ca="1">IF(OR(INDEX($W$2:$W$1001,MATCH(ROWS($V$2:V751),$V$2:$V$1001,0),1)&gt;=100000,INDEX($AC$1005:$AS$1005,1,MATCH(COLUMNS($AC$1006:AG1006),$AC$1006:$AS$1006,0))&gt;=100000), " ",IF(INDEX($AC$2:$AS$1001,MATCH(ROWS($V$2:V751),$V$2:$V$1001,0),MATCH(COLUMNS($AC$1006:AG1006),$AC$1006:$AS$1006,0)), HYPERLINK("#",""), HYPERLINK(CONCATENATE("#metadata!", ADDRESS(INDEX($X$2:$X$1001,MATCH(ROWS($V$2:V751),$V$2:$V$1001,0),0), INDEX($AC$1004:$AS$1004,1,MATCH(COLUMNS($AC$1006:AG1006),$AC$1006:$AS$1006,0)))),"Fix")))</f>
        <v xml:space="preserve"> </v>
      </c>
      <c r="G751" s="4" t="str">
        <f ca="1">IF(OR(INDEX($W$2:$W$1001,MATCH(ROWS($V$2:V751),$V$2:$V$1001,0),1)&gt;=100000,INDEX($AC$1005:$AS$1005,1,MATCH(COLUMNS($AC$1006:AH1006),$AC$1006:$AS$1006,0))&gt;=100000), " ",IF(INDEX($AC$2:$AS$1001,MATCH(ROWS($V$2:V751),$V$2:$V$1001,0),MATCH(COLUMNS($AC$1006:AH1006),$AC$1006:$AS$1006,0)), HYPERLINK("#",""), HYPERLINK(CONCATENATE("#metadata!", ADDRESS(INDEX($X$2:$X$1001,MATCH(ROWS($V$2:V751),$V$2:$V$1001,0),0), INDEX($AC$1004:$AS$1004,1,MATCH(COLUMNS($AC$1006:AH1006),$AC$1006:$AS$1006,0)))),"Fix")))</f>
        <v xml:space="preserve"> </v>
      </c>
      <c r="H751" s="4" t="str">
        <f ca="1">IF(OR(INDEX($W$2:$W$1001,MATCH(ROWS($V$2:V751),$V$2:$V$1001,0),1)&gt;=100000,INDEX($AC$1005:$AS$1005,1,MATCH(COLUMNS($AC$1006:AI1006),$AC$1006:$AS$1006,0))&gt;=100000), " ",IF(INDEX($AC$2:$AS$1001,MATCH(ROWS($V$2:V751),$V$2:$V$1001,0),MATCH(COLUMNS($AC$1006:AI1006),$AC$1006:$AS$1006,0)), HYPERLINK("#",""), HYPERLINK(CONCATENATE("#metadata!", ADDRESS(INDEX($X$2:$X$1001,MATCH(ROWS($V$2:V751),$V$2:$V$1001,0),0), INDEX($AC$1004:$AS$1004,1,MATCH(COLUMNS($AC$1006:AI1006),$AC$1006:$AS$1006,0)))),"Fix")))</f>
        <v xml:space="preserve"> </v>
      </c>
      <c r="I751" s="4" t="str">
        <f ca="1">IF(OR(INDEX($W$2:$W$1001,MATCH(ROWS($V$2:V751),$V$2:$V$1001,0),1)&gt;=100000,INDEX($AC$1005:$AS$1005,1,MATCH(COLUMNS($AC$1006:AJ1006),$AC$1006:$AS$1006,0))&gt;=100000), " ",IF(INDEX($AC$2:$AS$1001,MATCH(ROWS($V$2:V751),$V$2:$V$1001,0),MATCH(COLUMNS($AC$1006:AJ1006),$AC$1006:$AS$1006,0)), HYPERLINK("#",""), HYPERLINK(CONCATENATE("#metadata!", ADDRESS(INDEX($X$2:$X$1001,MATCH(ROWS($V$2:V751),$V$2:$V$1001,0),0), INDEX($AC$1004:$AS$1004,1,MATCH(COLUMNS($AC$1006:AJ1006),$AC$1006:$AS$1006,0)))),"Fix")))</f>
        <v xml:space="preserve"> </v>
      </c>
      <c r="J751" s="4" t="str">
        <f ca="1">IF(OR(INDEX($W$2:$W$1001,MATCH(ROWS($V$2:V751),$V$2:$V$1001,0),1)&gt;=100000,INDEX($AC$1005:$AS$1005,1,MATCH(COLUMNS($AC$1006:AK1006),$AC$1006:$AS$1006,0))&gt;=100000), " ",IF(INDEX($AC$2:$AS$1001,MATCH(ROWS($V$2:V751),$V$2:$V$1001,0),MATCH(COLUMNS($AC$1006:AK1006),$AC$1006:$AS$1006,0)), HYPERLINK("#",""), HYPERLINK(CONCATENATE("#metadata!", ADDRESS(INDEX($X$2:$X$1001,MATCH(ROWS($V$2:V751),$V$2:$V$1001,0),0), INDEX($AC$1004:$AS$1004,1,MATCH(COLUMNS($AC$1006:AK1006),$AC$1006:$AS$1006,0)))),"Fix")))</f>
        <v xml:space="preserve"> </v>
      </c>
      <c r="K751" s="4" t="str">
        <f ca="1">IF(OR(INDEX($W$2:$W$1001,MATCH(ROWS($V$2:V751),$V$2:$V$1001,0),1)&gt;=100000,INDEX($AC$1005:$AS$1005,1,MATCH(COLUMNS($AC$1006:AL1006),$AC$1006:$AS$1006,0))&gt;=100000), " ",IF(INDEX($AC$2:$AS$1001,MATCH(ROWS($V$2:V751),$V$2:$V$1001,0),MATCH(COLUMNS($AC$1006:AL1006),$AC$1006:$AS$1006,0)), HYPERLINK("#",""), HYPERLINK(CONCATENATE("#metadata!", ADDRESS(INDEX($X$2:$X$1001,MATCH(ROWS($V$2:V751),$V$2:$V$1001,0),0), INDEX($AC$1004:$AS$1004,1,MATCH(COLUMNS($AC$1006:AL1006),$AC$1006:$AS$1006,0)))),"Fix")))</f>
        <v xml:space="preserve"> </v>
      </c>
      <c r="L751" s="4" t="str">
        <f ca="1">IF(OR(INDEX($W$2:$W$1001,MATCH(ROWS($V$2:V751),$V$2:$V$1001,0),1)&gt;=100000,INDEX($AC$1005:$AS$1005,1,MATCH(COLUMNS($AC$1006:AM1006),$AC$1006:$AS$1006,0))&gt;=100000), " ",IF(INDEX($AC$2:$AS$1001,MATCH(ROWS($V$2:V751),$V$2:$V$1001,0),MATCH(COLUMNS($AC$1006:AM1006),$AC$1006:$AS$1006,0)), HYPERLINK("#",""), HYPERLINK(CONCATENATE("#metadata!", ADDRESS(INDEX($X$2:$X$1001,MATCH(ROWS($V$2:V751),$V$2:$V$1001,0),0), INDEX($AC$1004:$AS$1004,1,MATCH(COLUMNS($AC$1006:AM1006),$AC$1006:$AS$1006,0)))),"Fix")))</f>
        <v xml:space="preserve"> </v>
      </c>
      <c r="M751" s="4" t="str">
        <f ca="1">IF(OR(INDEX($W$2:$W$1001,MATCH(ROWS($V$2:V751),$V$2:$V$1001,0),1)&gt;=100000,INDEX($AC$1005:$AS$1005,1,MATCH(COLUMNS($AC$1006:AN1006),$AC$1006:$AS$1006,0))&gt;=100000), " ",IF(INDEX($AC$2:$AS$1001,MATCH(ROWS($V$2:V751),$V$2:$V$1001,0),MATCH(COLUMNS($AC$1006:AN1006),$AC$1006:$AS$1006,0)), HYPERLINK("#",""), HYPERLINK(CONCATENATE("#metadata!", ADDRESS(INDEX($X$2:$X$1001,MATCH(ROWS($V$2:V751),$V$2:$V$1001,0),0), INDEX($AC$1004:$AS$1004,1,MATCH(COLUMNS($AC$1006:AN1006),$AC$1006:$AS$1006,0)))),"Fix")))</f>
        <v xml:space="preserve"> </v>
      </c>
      <c r="N751" s="4" t="str">
        <f ca="1">IF(OR(INDEX($W$2:$W$1001,MATCH(ROWS($V$2:V751),$V$2:$V$1001,0),1)&gt;=100000,INDEX($AC$1005:$AS$1005,1,MATCH(COLUMNS($AC$1006:AO1006),$AC$1006:$AS$1006,0))&gt;=100000), " ",IF(INDEX($AC$2:$AS$1001,MATCH(ROWS($V$2:V751),$V$2:$V$1001,0),MATCH(COLUMNS($AC$1006:AO1006),$AC$1006:$AS$1006,0)), HYPERLINK("#",""), HYPERLINK(CONCATENATE("#metadata!", ADDRESS(INDEX($X$2:$X$1001,MATCH(ROWS($V$2:V751),$V$2:$V$1001,0),0), INDEX($AC$1004:$AS$1004,1,MATCH(COLUMNS($AC$1006:AO1006),$AC$1006:$AS$1006,0)))),"Fix")))</f>
        <v xml:space="preserve"> </v>
      </c>
      <c r="O751" s="4" t="str">
        <f ca="1">IF(OR(INDEX($W$2:$W$1001,MATCH(ROWS($V$2:V751),$V$2:$V$1001,0),1)&gt;=100000,INDEX($AC$1005:$AS$1005,1,MATCH(COLUMNS($AC$1006:AP1006),$AC$1006:$AS$1006,0))&gt;=100000), " ",IF(INDEX($AC$2:$AS$1001,MATCH(ROWS($V$2:V751),$V$2:$V$1001,0),MATCH(COLUMNS($AC$1006:AP1006),$AC$1006:$AS$1006,0)), HYPERLINK("#",""), HYPERLINK(CONCATENATE("#metadata!", ADDRESS(INDEX($X$2:$X$1001,MATCH(ROWS($V$2:V751),$V$2:$V$1001,0),0), INDEX($AC$1004:$AS$1004,1,MATCH(COLUMNS($AC$1006:AP1006),$AC$1006:$AS$1006,0)))),"Fix")))</f>
        <v xml:space="preserve"> </v>
      </c>
      <c r="P751" s="4" t="str">
        <f ca="1">IF(OR(INDEX($W$2:$W$1001,MATCH(ROWS($V$2:V751),$V$2:$V$1001,0),1)&gt;=100000,INDEX($AC$1005:$AS$1005,1,MATCH(COLUMNS($AC$1006:AQ1006),$AC$1006:$AS$1006,0))&gt;=100000), " ",IF(INDEX($AC$2:$AS$1001,MATCH(ROWS($V$2:V751),$V$2:$V$1001,0),MATCH(COLUMNS($AC$1006:AQ1006),$AC$1006:$AS$1006,0)), HYPERLINK("#",""), HYPERLINK(CONCATENATE("#metadata!", ADDRESS(INDEX($X$2:$X$1001,MATCH(ROWS($V$2:V751),$V$2:$V$1001,0),0), INDEX($AC$1004:$AS$1004,1,MATCH(COLUMNS($AC$1006:AQ1006),$AC$1006:$AS$1006,0)))),"Fix")))</f>
        <v xml:space="preserve"> </v>
      </c>
      <c r="Q751" s="4" t="str">
        <f ca="1">IF(OR(INDEX($W$2:$W$1001,MATCH(ROWS($V$2:V751),$V$2:$V$1001,0),1)&gt;=100000,INDEX($AC$1005:$AS$1005,1,MATCH(COLUMNS($AC$1006:AR1006),$AC$1006:$AS$1006,0))&gt;=100000), " ",IF(INDEX($AC$2:$AS$1001,MATCH(ROWS($V$2:V751),$V$2:$V$1001,0),MATCH(COLUMNS($AC$1006:AR1006),$AC$1006:$AS$1006,0)), HYPERLINK("#",""), HYPERLINK(CONCATENATE("#metadata!", ADDRESS(INDEX($X$2:$X$1001,MATCH(ROWS($V$2:V751),$V$2:$V$1001,0),0), INDEX($AC$1004:$AS$1004,1,MATCH(COLUMNS($AC$1006:AR1006),$AC$1006:$AS$1006,0)))),"Fix")))</f>
        <v xml:space="preserve"> </v>
      </c>
      <c r="R751" s="4" t="str">
        <f ca="1">IF(OR(INDEX($W$2:$W$1001,MATCH(ROWS($V$2:V751),$V$2:$V$1001,0),1)&gt;=100000,INDEX($AC$1005:$AS$1005,1,MATCH(COLUMNS($AC$1006:AS1006),$AC$1006:$AS$1006,0))&gt;=100000), " ",IF(INDEX($AC$2:$AS$1001,MATCH(ROWS($V$2:V751),$V$2:$V$1001,0),MATCH(COLUMNS($AC$1006:AS1006),$AC$1006:$AS$1006,0)), HYPERLINK("#",""), HYPERLINK(CONCATENATE("#metadata!", ADDRESS(INDEX($X$2:$X$1001,MATCH(ROWS($V$2:V751),$V$2:$V$1001,0),0), INDEX($AC$1004:$AS$1004,1,MATCH(COLUMNS($AC$1006:AS1006),$AC$1006:$AS$1006,0)))),"Fix")))</f>
        <v xml:space="preserve"> </v>
      </c>
      <c r="V751">
        <v>750</v>
      </c>
      <c r="W751">
        <v>100751</v>
      </c>
      <c r="X751">
        <v>751</v>
      </c>
      <c r="Y751" t="b">
        <f t="shared" si="11"/>
        <v>1</v>
      </c>
      <c r="Z751" t="b">
        <f>COUNTBLANK(metadata!B751:R751)=COLUMNS(metadata!B751:R751)</f>
        <v>1</v>
      </c>
      <c r="AA751" t="str">
        <v/>
      </c>
      <c r="AC751" t="b">
        <f ca="1"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AD751" t="b">
        <f>IF(metadata!C751="",FALSE,ISNUMBER(VALUE(metadata!C751)))</f>
        <v>0</v>
      </c>
      <c r="AE751" t="b">
        <f>AND(IF(metadata!D751="",FALSE,TRUE),EXACT(metadata!D751,"years"))</f>
        <v>0</v>
      </c>
      <c r="AF751" t="b">
        <f>OR(AND(IF(metadata!E751="",FALSE,TRUE),OR(EXACT(metadata!E751,"not applicable"),EXACT(metadata!E751,"missing: not collected"),EXACT(metadata!E751,"missing: not provided"),EXACT(metadata!E751,"missing: restricted access"))),AND(IF(metadata!E751="",FALSE,ISNUMBER(VALUE(metadata!E751))),metadata!E751&gt;0))</f>
        <v>0</v>
      </c>
      <c r="AG751" t="b">
        <f>AND(IF(metadata!F751="",FALSE,TRUE),EXACT(metadata!F751,"Not applicable"))</f>
        <v>0</v>
      </c>
      <c r="AH751" t="b">
        <f>AND(IF(metadata!G751="",FALSE,TRUE),EXACT(metadata!G751,"urban biome"))</f>
        <v>0</v>
      </c>
      <c r="AI751" t="b">
        <f>AND(IF(metadata!H751="",FALSE,TRUE),EXACT(metadata!H751,"human-associated habitat"))</f>
        <v>0</v>
      </c>
      <c r="AJ751" t="b">
        <f>AND(IF(metadata!I751="",FALSE,TRUE),OR(EXACT(metadata!I751,"human-associated"),EXACT(metadata!I751,"human-skin"),EXACT(metadata!I751,"human-oral"),EXACT(metadata!I751,"human-gut"),EXACT(metadata!I751,"human-vaginal")))</f>
        <v>0</v>
      </c>
      <c r="AK751" t="b">
        <f>IF(metadata!J751="",FALSE,ISNUMBER(VALUE(metadata!J751)))</f>
        <v>0</v>
      </c>
      <c r="AL751" t="b">
        <f>AND(IF(metadata!K751="",FALSE,TRUE),EXACT(metadata!K751,"cm"))</f>
        <v>0</v>
      </c>
      <c r="AM751" t="b">
        <f>AND(IF(metadata!L751="",FALSE,TRUE),EXACT(metadata!L751,"human"))</f>
        <v>0</v>
      </c>
      <c r="AN751" t="b">
        <f>AND(IF(metadata!M751="",FALSE,TRUE),EXACT(metadata!M751,"Homo sapiens"))</f>
        <v>0</v>
      </c>
      <c r="AO751" t="b">
        <f>AND(IF(metadata!N751="",FALSE,TRUE),EXACT(metadata!N751,"9606"))</f>
        <v>0</v>
      </c>
      <c r="AP751" t="b">
        <f>IF(metadata!O751="",FALSE,TRUE)</f>
        <v>0</v>
      </c>
      <c r="AQ751" t="b">
        <f>IF(metadata!P751="",FALSE,TRUE)</f>
        <v>0</v>
      </c>
      <c r="AR751" t="b">
        <f>IF(metadata!Q751="",FALSE,ISNUMBER(VALUE(metadata!Q751)))</f>
        <v>0</v>
      </c>
      <c r="AS751" t="b">
        <f>AND(IF(metadata!R751="",FALSE,TRUE),EXACT(metadata!R751,"kg"))</f>
        <v>0</v>
      </c>
    </row>
    <row r="752" spans="1:45" x14ac:dyDescent="0.2">
      <c r="A752" s="5" t="str">
        <f ca="1">IF(B752=" "," ",HYPERLINK(CONCATENATE("#metadata!",ADDRESS(INDEX($X$2:$X$1001,MATCH(ROWS($V$2:V752),$V$2:$V$1001,0),0),1)),INDEX($AA$2:$AA$1001,MATCH(ROWS($V$2:V752),$V$2:$V$1001,0),0)))</f>
        <v xml:space="preserve"> </v>
      </c>
      <c r="B752" s="4" t="str">
        <f ca="1">IF(OR(INDEX($W$2:$W$1001,MATCH(ROWS($V$2:V752),$V$2:$V$1001,0),1)&gt;=100000,INDEX($AC$1005:$AS$1005,1,MATCH(COLUMNS($AC$1006:AC1006),$AC$1006:$AS$1006,0))&gt;=100000), " ",IF(INDEX($AC$2:$AS$1001,MATCH(ROWS($V$2:V752),$V$2:$V$1001,0),MATCH(COLUMNS($AC$1006:AC1006),$AC$1006:$AS$1006,0)), HYPERLINK("#",""), HYPERLINK(CONCATENATE("#metadata!", ADDRESS(INDEX($X$2:$X$1001,MATCH(ROWS($V$2:V752),$V$2:$V$1001,0),0), INDEX($AC$1004:$AS$1004,1,MATCH(COLUMNS($AC$1006:AC1006),$AC$1006:$AS$1006,0)))),"Fix")))</f>
        <v xml:space="preserve"> </v>
      </c>
      <c r="C752" s="4" t="str">
        <f ca="1">IF(OR(INDEX($W$2:$W$1001,MATCH(ROWS($V$2:V752),$V$2:$V$1001,0),1)&gt;=100000,INDEX($AC$1005:$AS$1005,1,MATCH(COLUMNS($AC$1006:AD1006),$AC$1006:$AS$1006,0))&gt;=100000), " ",IF(INDEX($AC$2:$AS$1001,MATCH(ROWS($V$2:V752),$V$2:$V$1001,0),MATCH(COLUMNS($AC$1006:AD1006),$AC$1006:$AS$1006,0)), HYPERLINK("#",""), HYPERLINK(CONCATENATE("#metadata!", ADDRESS(INDEX($X$2:$X$1001,MATCH(ROWS($V$2:V752),$V$2:$V$1001,0),0), INDEX($AC$1004:$AS$1004,1,MATCH(COLUMNS($AC$1006:AD1006),$AC$1006:$AS$1006,0)))),"Fix")))</f>
        <v xml:space="preserve"> </v>
      </c>
      <c r="D752" s="4" t="str">
        <f ca="1">IF(OR(INDEX($W$2:$W$1001,MATCH(ROWS($V$2:V752),$V$2:$V$1001,0),1)&gt;=100000,INDEX($AC$1005:$AS$1005,1,MATCH(COLUMNS($AC$1006:AE1006),$AC$1006:$AS$1006,0))&gt;=100000), " ",IF(INDEX($AC$2:$AS$1001,MATCH(ROWS($V$2:V752),$V$2:$V$1001,0),MATCH(COLUMNS($AC$1006:AE1006),$AC$1006:$AS$1006,0)), HYPERLINK("#",""), HYPERLINK(CONCATENATE("#metadata!", ADDRESS(INDEX($X$2:$X$1001,MATCH(ROWS($V$2:V752),$V$2:$V$1001,0),0), INDEX($AC$1004:$AS$1004,1,MATCH(COLUMNS($AC$1006:AE1006),$AC$1006:$AS$1006,0)))),"Fix")))</f>
        <v xml:space="preserve"> </v>
      </c>
      <c r="E752" s="4" t="str">
        <f ca="1">IF(OR(INDEX($W$2:$W$1001,MATCH(ROWS($V$2:V752),$V$2:$V$1001,0),1)&gt;=100000,INDEX($AC$1005:$AS$1005,1,MATCH(COLUMNS($AC$1006:AF1006),$AC$1006:$AS$1006,0))&gt;=100000), " ",IF(INDEX($AC$2:$AS$1001,MATCH(ROWS($V$2:V752),$V$2:$V$1001,0),MATCH(COLUMNS($AC$1006:AF1006),$AC$1006:$AS$1006,0)), HYPERLINK("#",""), HYPERLINK(CONCATENATE("#metadata!", ADDRESS(INDEX($X$2:$X$1001,MATCH(ROWS($V$2:V752),$V$2:$V$1001,0),0), INDEX($AC$1004:$AS$1004,1,MATCH(COLUMNS($AC$1006:AF1006),$AC$1006:$AS$1006,0)))),"Fix")))</f>
        <v xml:space="preserve"> </v>
      </c>
      <c r="F752" s="4" t="str">
        <f ca="1">IF(OR(INDEX($W$2:$W$1001,MATCH(ROWS($V$2:V752),$V$2:$V$1001,0),1)&gt;=100000,INDEX($AC$1005:$AS$1005,1,MATCH(COLUMNS($AC$1006:AG1006),$AC$1006:$AS$1006,0))&gt;=100000), " ",IF(INDEX($AC$2:$AS$1001,MATCH(ROWS($V$2:V752),$V$2:$V$1001,0),MATCH(COLUMNS($AC$1006:AG1006),$AC$1006:$AS$1006,0)), HYPERLINK("#",""), HYPERLINK(CONCATENATE("#metadata!", ADDRESS(INDEX($X$2:$X$1001,MATCH(ROWS($V$2:V752),$V$2:$V$1001,0),0), INDEX($AC$1004:$AS$1004,1,MATCH(COLUMNS($AC$1006:AG1006),$AC$1006:$AS$1006,0)))),"Fix")))</f>
        <v xml:space="preserve"> </v>
      </c>
      <c r="G752" s="4" t="str">
        <f ca="1">IF(OR(INDEX($W$2:$W$1001,MATCH(ROWS($V$2:V752),$V$2:$V$1001,0),1)&gt;=100000,INDEX($AC$1005:$AS$1005,1,MATCH(COLUMNS($AC$1006:AH1006),$AC$1006:$AS$1006,0))&gt;=100000), " ",IF(INDEX($AC$2:$AS$1001,MATCH(ROWS($V$2:V752),$V$2:$V$1001,0),MATCH(COLUMNS($AC$1006:AH1006),$AC$1006:$AS$1006,0)), HYPERLINK("#",""), HYPERLINK(CONCATENATE("#metadata!", ADDRESS(INDEX($X$2:$X$1001,MATCH(ROWS($V$2:V752),$V$2:$V$1001,0),0), INDEX($AC$1004:$AS$1004,1,MATCH(COLUMNS($AC$1006:AH1006),$AC$1006:$AS$1006,0)))),"Fix")))</f>
        <v xml:space="preserve"> </v>
      </c>
      <c r="H752" s="4" t="str">
        <f ca="1">IF(OR(INDEX($W$2:$W$1001,MATCH(ROWS($V$2:V752),$V$2:$V$1001,0),1)&gt;=100000,INDEX($AC$1005:$AS$1005,1,MATCH(COLUMNS($AC$1006:AI1006),$AC$1006:$AS$1006,0))&gt;=100000), " ",IF(INDEX($AC$2:$AS$1001,MATCH(ROWS($V$2:V752),$V$2:$V$1001,0),MATCH(COLUMNS($AC$1006:AI1006),$AC$1006:$AS$1006,0)), HYPERLINK("#",""), HYPERLINK(CONCATENATE("#metadata!", ADDRESS(INDEX($X$2:$X$1001,MATCH(ROWS($V$2:V752),$V$2:$V$1001,0),0), INDEX($AC$1004:$AS$1004,1,MATCH(COLUMNS($AC$1006:AI1006),$AC$1006:$AS$1006,0)))),"Fix")))</f>
        <v xml:space="preserve"> </v>
      </c>
      <c r="I752" s="4" t="str">
        <f ca="1">IF(OR(INDEX($W$2:$W$1001,MATCH(ROWS($V$2:V752),$V$2:$V$1001,0),1)&gt;=100000,INDEX($AC$1005:$AS$1005,1,MATCH(COLUMNS($AC$1006:AJ1006),$AC$1006:$AS$1006,0))&gt;=100000), " ",IF(INDEX($AC$2:$AS$1001,MATCH(ROWS($V$2:V752),$V$2:$V$1001,0),MATCH(COLUMNS($AC$1006:AJ1006),$AC$1006:$AS$1006,0)), HYPERLINK("#",""), HYPERLINK(CONCATENATE("#metadata!", ADDRESS(INDEX($X$2:$X$1001,MATCH(ROWS($V$2:V752),$V$2:$V$1001,0),0), INDEX($AC$1004:$AS$1004,1,MATCH(COLUMNS($AC$1006:AJ1006),$AC$1006:$AS$1006,0)))),"Fix")))</f>
        <v xml:space="preserve"> </v>
      </c>
      <c r="J752" s="4" t="str">
        <f ca="1">IF(OR(INDEX($W$2:$W$1001,MATCH(ROWS($V$2:V752),$V$2:$V$1001,0),1)&gt;=100000,INDEX($AC$1005:$AS$1005,1,MATCH(COLUMNS($AC$1006:AK1006),$AC$1006:$AS$1006,0))&gt;=100000), " ",IF(INDEX($AC$2:$AS$1001,MATCH(ROWS($V$2:V752),$V$2:$V$1001,0),MATCH(COLUMNS($AC$1006:AK1006),$AC$1006:$AS$1006,0)), HYPERLINK("#",""), HYPERLINK(CONCATENATE("#metadata!", ADDRESS(INDEX($X$2:$X$1001,MATCH(ROWS($V$2:V752),$V$2:$V$1001,0),0), INDEX($AC$1004:$AS$1004,1,MATCH(COLUMNS($AC$1006:AK1006),$AC$1006:$AS$1006,0)))),"Fix")))</f>
        <v xml:space="preserve"> </v>
      </c>
      <c r="K752" s="4" t="str">
        <f ca="1">IF(OR(INDEX($W$2:$W$1001,MATCH(ROWS($V$2:V752),$V$2:$V$1001,0),1)&gt;=100000,INDEX($AC$1005:$AS$1005,1,MATCH(COLUMNS($AC$1006:AL1006),$AC$1006:$AS$1006,0))&gt;=100000), " ",IF(INDEX($AC$2:$AS$1001,MATCH(ROWS($V$2:V752),$V$2:$V$1001,0),MATCH(COLUMNS($AC$1006:AL1006),$AC$1006:$AS$1006,0)), HYPERLINK("#",""), HYPERLINK(CONCATENATE("#metadata!", ADDRESS(INDEX($X$2:$X$1001,MATCH(ROWS($V$2:V752),$V$2:$V$1001,0),0), INDEX($AC$1004:$AS$1004,1,MATCH(COLUMNS($AC$1006:AL1006),$AC$1006:$AS$1006,0)))),"Fix")))</f>
        <v xml:space="preserve"> </v>
      </c>
      <c r="L752" s="4" t="str">
        <f ca="1">IF(OR(INDEX($W$2:$W$1001,MATCH(ROWS($V$2:V752),$V$2:$V$1001,0),1)&gt;=100000,INDEX($AC$1005:$AS$1005,1,MATCH(COLUMNS($AC$1006:AM1006),$AC$1006:$AS$1006,0))&gt;=100000), " ",IF(INDEX($AC$2:$AS$1001,MATCH(ROWS($V$2:V752),$V$2:$V$1001,0),MATCH(COLUMNS($AC$1006:AM1006),$AC$1006:$AS$1006,0)), HYPERLINK("#",""), HYPERLINK(CONCATENATE("#metadata!", ADDRESS(INDEX($X$2:$X$1001,MATCH(ROWS($V$2:V752),$V$2:$V$1001,0),0), INDEX($AC$1004:$AS$1004,1,MATCH(COLUMNS($AC$1006:AM1006),$AC$1006:$AS$1006,0)))),"Fix")))</f>
        <v xml:space="preserve"> </v>
      </c>
      <c r="M752" s="4" t="str">
        <f ca="1">IF(OR(INDEX($W$2:$W$1001,MATCH(ROWS($V$2:V752),$V$2:$V$1001,0),1)&gt;=100000,INDEX($AC$1005:$AS$1005,1,MATCH(COLUMNS($AC$1006:AN1006),$AC$1006:$AS$1006,0))&gt;=100000), " ",IF(INDEX($AC$2:$AS$1001,MATCH(ROWS($V$2:V752),$V$2:$V$1001,0),MATCH(COLUMNS($AC$1006:AN1006),$AC$1006:$AS$1006,0)), HYPERLINK("#",""), HYPERLINK(CONCATENATE("#metadata!", ADDRESS(INDEX($X$2:$X$1001,MATCH(ROWS($V$2:V752),$V$2:$V$1001,0),0), INDEX($AC$1004:$AS$1004,1,MATCH(COLUMNS($AC$1006:AN1006),$AC$1006:$AS$1006,0)))),"Fix")))</f>
        <v xml:space="preserve"> </v>
      </c>
      <c r="N752" s="4" t="str">
        <f ca="1">IF(OR(INDEX($W$2:$W$1001,MATCH(ROWS($V$2:V752),$V$2:$V$1001,0),1)&gt;=100000,INDEX($AC$1005:$AS$1005,1,MATCH(COLUMNS($AC$1006:AO1006),$AC$1006:$AS$1006,0))&gt;=100000), " ",IF(INDEX($AC$2:$AS$1001,MATCH(ROWS($V$2:V752),$V$2:$V$1001,0),MATCH(COLUMNS($AC$1006:AO1006),$AC$1006:$AS$1006,0)), HYPERLINK("#",""), HYPERLINK(CONCATENATE("#metadata!", ADDRESS(INDEX($X$2:$X$1001,MATCH(ROWS($V$2:V752),$V$2:$V$1001,0),0), INDEX($AC$1004:$AS$1004,1,MATCH(COLUMNS($AC$1006:AO1006),$AC$1006:$AS$1006,0)))),"Fix")))</f>
        <v xml:space="preserve"> </v>
      </c>
      <c r="O752" s="4" t="str">
        <f ca="1">IF(OR(INDEX($W$2:$W$1001,MATCH(ROWS($V$2:V752),$V$2:$V$1001,0),1)&gt;=100000,INDEX($AC$1005:$AS$1005,1,MATCH(COLUMNS($AC$1006:AP1006),$AC$1006:$AS$1006,0))&gt;=100000), " ",IF(INDEX($AC$2:$AS$1001,MATCH(ROWS($V$2:V752),$V$2:$V$1001,0),MATCH(COLUMNS($AC$1006:AP1006),$AC$1006:$AS$1006,0)), HYPERLINK("#",""), HYPERLINK(CONCATENATE("#metadata!", ADDRESS(INDEX($X$2:$X$1001,MATCH(ROWS($V$2:V752),$V$2:$V$1001,0),0), INDEX($AC$1004:$AS$1004,1,MATCH(COLUMNS($AC$1006:AP1006),$AC$1006:$AS$1006,0)))),"Fix")))</f>
        <v xml:space="preserve"> </v>
      </c>
      <c r="P752" s="4" t="str">
        <f ca="1">IF(OR(INDEX($W$2:$W$1001,MATCH(ROWS($V$2:V752),$V$2:$V$1001,0),1)&gt;=100000,INDEX($AC$1005:$AS$1005,1,MATCH(COLUMNS($AC$1006:AQ1006),$AC$1006:$AS$1006,0))&gt;=100000), " ",IF(INDEX($AC$2:$AS$1001,MATCH(ROWS($V$2:V752),$V$2:$V$1001,0),MATCH(COLUMNS($AC$1006:AQ1006),$AC$1006:$AS$1006,0)), HYPERLINK("#",""), HYPERLINK(CONCATENATE("#metadata!", ADDRESS(INDEX($X$2:$X$1001,MATCH(ROWS($V$2:V752),$V$2:$V$1001,0),0), INDEX($AC$1004:$AS$1004,1,MATCH(COLUMNS($AC$1006:AQ1006),$AC$1006:$AS$1006,0)))),"Fix")))</f>
        <v xml:space="preserve"> </v>
      </c>
      <c r="Q752" s="4" t="str">
        <f ca="1">IF(OR(INDEX($W$2:$W$1001,MATCH(ROWS($V$2:V752),$V$2:$V$1001,0),1)&gt;=100000,INDEX($AC$1005:$AS$1005,1,MATCH(COLUMNS($AC$1006:AR1006),$AC$1006:$AS$1006,0))&gt;=100000), " ",IF(INDEX($AC$2:$AS$1001,MATCH(ROWS($V$2:V752),$V$2:$V$1001,0),MATCH(COLUMNS($AC$1006:AR1006),$AC$1006:$AS$1006,0)), HYPERLINK("#",""), HYPERLINK(CONCATENATE("#metadata!", ADDRESS(INDEX($X$2:$X$1001,MATCH(ROWS($V$2:V752),$V$2:$V$1001,0),0), INDEX($AC$1004:$AS$1004,1,MATCH(COLUMNS($AC$1006:AR1006),$AC$1006:$AS$1006,0)))),"Fix")))</f>
        <v xml:space="preserve"> </v>
      </c>
      <c r="R752" s="4" t="str">
        <f ca="1">IF(OR(INDEX($W$2:$W$1001,MATCH(ROWS($V$2:V752),$V$2:$V$1001,0),1)&gt;=100000,INDEX($AC$1005:$AS$1005,1,MATCH(COLUMNS($AC$1006:AS1006),$AC$1006:$AS$1006,0))&gt;=100000), " ",IF(INDEX($AC$2:$AS$1001,MATCH(ROWS($V$2:V752),$V$2:$V$1001,0),MATCH(COLUMNS($AC$1006:AS1006),$AC$1006:$AS$1006,0)), HYPERLINK("#",""), HYPERLINK(CONCATENATE("#metadata!", ADDRESS(INDEX($X$2:$X$1001,MATCH(ROWS($V$2:V752),$V$2:$V$1001,0),0), INDEX($AC$1004:$AS$1004,1,MATCH(COLUMNS($AC$1006:AS1006),$AC$1006:$AS$1006,0)))),"Fix")))</f>
        <v xml:space="preserve"> </v>
      </c>
      <c r="V752">
        <v>751</v>
      </c>
      <c r="W752">
        <v>100752</v>
      </c>
      <c r="X752">
        <v>752</v>
      </c>
      <c r="Y752" t="b">
        <f t="shared" si="11"/>
        <v>1</v>
      </c>
      <c r="Z752" t="b">
        <f>COUNTBLANK(metadata!B752:R752)=COLUMNS(metadata!B752:R752)</f>
        <v>1</v>
      </c>
      <c r="AA752" t="str">
        <v/>
      </c>
      <c r="AC752" t="b">
        <f ca="1"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AD752" t="b">
        <f>IF(metadata!C752="",FALSE,ISNUMBER(VALUE(metadata!C752)))</f>
        <v>0</v>
      </c>
      <c r="AE752" t="b">
        <f>AND(IF(metadata!D752="",FALSE,TRUE),EXACT(metadata!D752,"years"))</f>
        <v>0</v>
      </c>
      <c r="AF752" t="b">
        <f>OR(AND(IF(metadata!E752="",FALSE,TRUE),OR(EXACT(metadata!E752,"not applicable"),EXACT(metadata!E752,"missing: not collected"),EXACT(metadata!E752,"missing: not provided"),EXACT(metadata!E752,"missing: restricted access"))),AND(IF(metadata!E752="",FALSE,ISNUMBER(VALUE(metadata!E752))),metadata!E752&gt;0))</f>
        <v>0</v>
      </c>
      <c r="AG752" t="b">
        <f>AND(IF(metadata!F752="",FALSE,TRUE),EXACT(metadata!F752,"Not applicable"))</f>
        <v>0</v>
      </c>
      <c r="AH752" t="b">
        <f>AND(IF(metadata!G752="",FALSE,TRUE),EXACT(metadata!G752,"urban biome"))</f>
        <v>0</v>
      </c>
      <c r="AI752" t="b">
        <f>AND(IF(metadata!H752="",FALSE,TRUE),EXACT(metadata!H752,"human-associated habitat"))</f>
        <v>0</v>
      </c>
      <c r="AJ752" t="b">
        <f>AND(IF(metadata!I752="",FALSE,TRUE),OR(EXACT(metadata!I752,"human-associated"),EXACT(metadata!I752,"human-skin"),EXACT(metadata!I752,"human-oral"),EXACT(metadata!I752,"human-gut"),EXACT(metadata!I752,"human-vaginal")))</f>
        <v>0</v>
      </c>
      <c r="AK752" t="b">
        <f>IF(metadata!J752="",FALSE,ISNUMBER(VALUE(metadata!J752)))</f>
        <v>0</v>
      </c>
      <c r="AL752" t="b">
        <f>AND(IF(metadata!K752="",FALSE,TRUE),EXACT(metadata!K752,"cm"))</f>
        <v>0</v>
      </c>
      <c r="AM752" t="b">
        <f>AND(IF(metadata!L752="",FALSE,TRUE),EXACT(metadata!L752,"human"))</f>
        <v>0</v>
      </c>
      <c r="AN752" t="b">
        <f>AND(IF(metadata!M752="",FALSE,TRUE),EXACT(metadata!M752,"Homo sapiens"))</f>
        <v>0</v>
      </c>
      <c r="AO752" t="b">
        <f>AND(IF(metadata!N752="",FALSE,TRUE),EXACT(metadata!N752,"9606"))</f>
        <v>0</v>
      </c>
      <c r="AP752" t="b">
        <f>IF(metadata!O752="",FALSE,TRUE)</f>
        <v>0</v>
      </c>
      <c r="AQ752" t="b">
        <f>IF(metadata!P752="",FALSE,TRUE)</f>
        <v>0</v>
      </c>
      <c r="AR752" t="b">
        <f>IF(metadata!Q752="",FALSE,ISNUMBER(VALUE(metadata!Q752)))</f>
        <v>0</v>
      </c>
      <c r="AS752" t="b">
        <f>AND(IF(metadata!R752="",FALSE,TRUE),EXACT(metadata!R752,"kg"))</f>
        <v>0</v>
      </c>
    </row>
    <row r="753" spans="1:45" x14ac:dyDescent="0.2">
      <c r="A753" s="5" t="str">
        <f ca="1">IF(B753=" "," ",HYPERLINK(CONCATENATE("#metadata!",ADDRESS(INDEX($X$2:$X$1001,MATCH(ROWS($V$2:V753),$V$2:$V$1001,0),0),1)),INDEX($AA$2:$AA$1001,MATCH(ROWS($V$2:V753),$V$2:$V$1001,0),0)))</f>
        <v xml:space="preserve"> </v>
      </c>
      <c r="B753" s="4" t="str">
        <f ca="1">IF(OR(INDEX($W$2:$W$1001,MATCH(ROWS($V$2:V753),$V$2:$V$1001,0),1)&gt;=100000,INDEX($AC$1005:$AS$1005,1,MATCH(COLUMNS($AC$1006:AC1006),$AC$1006:$AS$1006,0))&gt;=100000), " ",IF(INDEX($AC$2:$AS$1001,MATCH(ROWS($V$2:V753),$V$2:$V$1001,0),MATCH(COLUMNS($AC$1006:AC1006),$AC$1006:$AS$1006,0)), HYPERLINK("#",""), HYPERLINK(CONCATENATE("#metadata!", ADDRESS(INDEX($X$2:$X$1001,MATCH(ROWS($V$2:V753),$V$2:$V$1001,0),0), INDEX($AC$1004:$AS$1004,1,MATCH(COLUMNS($AC$1006:AC1006),$AC$1006:$AS$1006,0)))),"Fix")))</f>
        <v xml:space="preserve"> </v>
      </c>
      <c r="C753" s="4" t="str">
        <f ca="1">IF(OR(INDEX($W$2:$W$1001,MATCH(ROWS($V$2:V753),$V$2:$V$1001,0),1)&gt;=100000,INDEX($AC$1005:$AS$1005,1,MATCH(COLUMNS($AC$1006:AD1006),$AC$1006:$AS$1006,0))&gt;=100000), " ",IF(INDEX($AC$2:$AS$1001,MATCH(ROWS($V$2:V753),$V$2:$V$1001,0),MATCH(COLUMNS($AC$1006:AD1006),$AC$1006:$AS$1006,0)), HYPERLINK("#",""), HYPERLINK(CONCATENATE("#metadata!", ADDRESS(INDEX($X$2:$X$1001,MATCH(ROWS($V$2:V753),$V$2:$V$1001,0),0), INDEX($AC$1004:$AS$1004,1,MATCH(COLUMNS($AC$1006:AD1006),$AC$1006:$AS$1006,0)))),"Fix")))</f>
        <v xml:space="preserve"> </v>
      </c>
      <c r="D753" s="4" t="str">
        <f ca="1">IF(OR(INDEX($W$2:$W$1001,MATCH(ROWS($V$2:V753),$V$2:$V$1001,0),1)&gt;=100000,INDEX($AC$1005:$AS$1005,1,MATCH(COLUMNS($AC$1006:AE1006),$AC$1006:$AS$1006,0))&gt;=100000), " ",IF(INDEX($AC$2:$AS$1001,MATCH(ROWS($V$2:V753),$V$2:$V$1001,0),MATCH(COLUMNS($AC$1006:AE1006),$AC$1006:$AS$1006,0)), HYPERLINK("#",""), HYPERLINK(CONCATENATE("#metadata!", ADDRESS(INDEX($X$2:$X$1001,MATCH(ROWS($V$2:V753),$V$2:$V$1001,0),0), INDEX($AC$1004:$AS$1004,1,MATCH(COLUMNS($AC$1006:AE1006),$AC$1006:$AS$1006,0)))),"Fix")))</f>
        <v xml:space="preserve"> </v>
      </c>
      <c r="E753" s="4" t="str">
        <f ca="1">IF(OR(INDEX($W$2:$W$1001,MATCH(ROWS($V$2:V753),$V$2:$V$1001,0),1)&gt;=100000,INDEX($AC$1005:$AS$1005,1,MATCH(COLUMNS($AC$1006:AF1006),$AC$1006:$AS$1006,0))&gt;=100000), " ",IF(INDEX($AC$2:$AS$1001,MATCH(ROWS($V$2:V753),$V$2:$V$1001,0),MATCH(COLUMNS($AC$1006:AF1006),$AC$1006:$AS$1006,0)), HYPERLINK("#",""), HYPERLINK(CONCATENATE("#metadata!", ADDRESS(INDEX($X$2:$X$1001,MATCH(ROWS($V$2:V753),$V$2:$V$1001,0),0), INDEX($AC$1004:$AS$1004,1,MATCH(COLUMNS($AC$1006:AF1006),$AC$1006:$AS$1006,0)))),"Fix")))</f>
        <v xml:space="preserve"> </v>
      </c>
      <c r="F753" s="4" t="str">
        <f ca="1">IF(OR(INDEX($W$2:$W$1001,MATCH(ROWS($V$2:V753),$V$2:$V$1001,0),1)&gt;=100000,INDEX($AC$1005:$AS$1005,1,MATCH(COLUMNS($AC$1006:AG1006),$AC$1006:$AS$1006,0))&gt;=100000), " ",IF(INDEX($AC$2:$AS$1001,MATCH(ROWS($V$2:V753),$V$2:$V$1001,0),MATCH(COLUMNS($AC$1006:AG1006),$AC$1006:$AS$1006,0)), HYPERLINK("#",""), HYPERLINK(CONCATENATE("#metadata!", ADDRESS(INDEX($X$2:$X$1001,MATCH(ROWS($V$2:V753),$V$2:$V$1001,0),0), INDEX($AC$1004:$AS$1004,1,MATCH(COLUMNS($AC$1006:AG1006),$AC$1006:$AS$1006,0)))),"Fix")))</f>
        <v xml:space="preserve"> </v>
      </c>
      <c r="G753" s="4" t="str">
        <f ca="1">IF(OR(INDEX($W$2:$W$1001,MATCH(ROWS($V$2:V753),$V$2:$V$1001,0),1)&gt;=100000,INDEX($AC$1005:$AS$1005,1,MATCH(COLUMNS($AC$1006:AH1006),$AC$1006:$AS$1006,0))&gt;=100000), " ",IF(INDEX($AC$2:$AS$1001,MATCH(ROWS($V$2:V753),$V$2:$V$1001,0),MATCH(COLUMNS($AC$1006:AH1006),$AC$1006:$AS$1006,0)), HYPERLINK("#",""), HYPERLINK(CONCATENATE("#metadata!", ADDRESS(INDEX($X$2:$X$1001,MATCH(ROWS($V$2:V753),$V$2:$V$1001,0),0), INDEX($AC$1004:$AS$1004,1,MATCH(COLUMNS($AC$1006:AH1006),$AC$1006:$AS$1006,0)))),"Fix")))</f>
        <v xml:space="preserve"> </v>
      </c>
      <c r="H753" s="4" t="str">
        <f ca="1">IF(OR(INDEX($W$2:$W$1001,MATCH(ROWS($V$2:V753),$V$2:$V$1001,0),1)&gt;=100000,INDEX($AC$1005:$AS$1005,1,MATCH(COLUMNS($AC$1006:AI1006),$AC$1006:$AS$1006,0))&gt;=100000), " ",IF(INDEX($AC$2:$AS$1001,MATCH(ROWS($V$2:V753),$V$2:$V$1001,0),MATCH(COLUMNS($AC$1006:AI1006),$AC$1006:$AS$1006,0)), HYPERLINK("#",""), HYPERLINK(CONCATENATE("#metadata!", ADDRESS(INDEX($X$2:$X$1001,MATCH(ROWS($V$2:V753),$V$2:$V$1001,0),0), INDEX($AC$1004:$AS$1004,1,MATCH(COLUMNS($AC$1006:AI1006),$AC$1006:$AS$1006,0)))),"Fix")))</f>
        <v xml:space="preserve"> </v>
      </c>
      <c r="I753" s="4" t="str">
        <f ca="1">IF(OR(INDEX($W$2:$W$1001,MATCH(ROWS($V$2:V753),$V$2:$V$1001,0),1)&gt;=100000,INDEX($AC$1005:$AS$1005,1,MATCH(COLUMNS($AC$1006:AJ1006),$AC$1006:$AS$1006,0))&gt;=100000), " ",IF(INDEX($AC$2:$AS$1001,MATCH(ROWS($V$2:V753),$V$2:$V$1001,0),MATCH(COLUMNS($AC$1006:AJ1006),$AC$1006:$AS$1006,0)), HYPERLINK("#",""), HYPERLINK(CONCATENATE("#metadata!", ADDRESS(INDEX($X$2:$X$1001,MATCH(ROWS($V$2:V753),$V$2:$V$1001,0),0), INDEX($AC$1004:$AS$1004,1,MATCH(COLUMNS($AC$1006:AJ1006),$AC$1006:$AS$1006,0)))),"Fix")))</f>
        <v xml:space="preserve"> </v>
      </c>
      <c r="J753" s="4" t="str">
        <f ca="1">IF(OR(INDEX($W$2:$W$1001,MATCH(ROWS($V$2:V753),$V$2:$V$1001,0),1)&gt;=100000,INDEX($AC$1005:$AS$1005,1,MATCH(COLUMNS($AC$1006:AK1006),$AC$1006:$AS$1006,0))&gt;=100000), " ",IF(INDEX($AC$2:$AS$1001,MATCH(ROWS($V$2:V753),$V$2:$V$1001,0),MATCH(COLUMNS($AC$1006:AK1006),$AC$1006:$AS$1006,0)), HYPERLINK("#",""), HYPERLINK(CONCATENATE("#metadata!", ADDRESS(INDEX($X$2:$X$1001,MATCH(ROWS($V$2:V753),$V$2:$V$1001,0),0), INDEX($AC$1004:$AS$1004,1,MATCH(COLUMNS($AC$1006:AK1006),$AC$1006:$AS$1006,0)))),"Fix")))</f>
        <v xml:space="preserve"> </v>
      </c>
      <c r="K753" s="4" t="str">
        <f ca="1">IF(OR(INDEX($W$2:$W$1001,MATCH(ROWS($V$2:V753),$V$2:$V$1001,0),1)&gt;=100000,INDEX($AC$1005:$AS$1005,1,MATCH(COLUMNS($AC$1006:AL1006),$AC$1006:$AS$1006,0))&gt;=100000), " ",IF(INDEX($AC$2:$AS$1001,MATCH(ROWS($V$2:V753),$V$2:$V$1001,0),MATCH(COLUMNS($AC$1006:AL1006),$AC$1006:$AS$1006,0)), HYPERLINK("#",""), HYPERLINK(CONCATENATE("#metadata!", ADDRESS(INDEX($X$2:$X$1001,MATCH(ROWS($V$2:V753),$V$2:$V$1001,0),0), INDEX($AC$1004:$AS$1004,1,MATCH(COLUMNS($AC$1006:AL1006),$AC$1006:$AS$1006,0)))),"Fix")))</f>
        <v xml:space="preserve"> </v>
      </c>
      <c r="L753" s="4" t="str">
        <f ca="1">IF(OR(INDEX($W$2:$W$1001,MATCH(ROWS($V$2:V753),$V$2:$V$1001,0),1)&gt;=100000,INDEX($AC$1005:$AS$1005,1,MATCH(COLUMNS($AC$1006:AM1006),$AC$1006:$AS$1006,0))&gt;=100000), " ",IF(INDEX($AC$2:$AS$1001,MATCH(ROWS($V$2:V753),$V$2:$V$1001,0),MATCH(COLUMNS($AC$1006:AM1006),$AC$1006:$AS$1006,0)), HYPERLINK("#",""), HYPERLINK(CONCATENATE("#metadata!", ADDRESS(INDEX($X$2:$X$1001,MATCH(ROWS($V$2:V753),$V$2:$V$1001,0),0), INDEX($AC$1004:$AS$1004,1,MATCH(COLUMNS($AC$1006:AM1006),$AC$1006:$AS$1006,0)))),"Fix")))</f>
        <v xml:space="preserve"> </v>
      </c>
      <c r="M753" s="4" t="str">
        <f ca="1">IF(OR(INDEX($W$2:$W$1001,MATCH(ROWS($V$2:V753),$V$2:$V$1001,0),1)&gt;=100000,INDEX($AC$1005:$AS$1005,1,MATCH(COLUMNS($AC$1006:AN1006),$AC$1006:$AS$1006,0))&gt;=100000), " ",IF(INDEX($AC$2:$AS$1001,MATCH(ROWS($V$2:V753),$V$2:$V$1001,0),MATCH(COLUMNS($AC$1006:AN1006),$AC$1006:$AS$1006,0)), HYPERLINK("#",""), HYPERLINK(CONCATENATE("#metadata!", ADDRESS(INDEX($X$2:$X$1001,MATCH(ROWS($V$2:V753),$V$2:$V$1001,0),0), INDEX($AC$1004:$AS$1004,1,MATCH(COLUMNS($AC$1006:AN1006),$AC$1006:$AS$1006,0)))),"Fix")))</f>
        <v xml:space="preserve"> </v>
      </c>
      <c r="N753" s="4" t="str">
        <f ca="1">IF(OR(INDEX($W$2:$W$1001,MATCH(ROWS($V$2:V753),$V$2:$V$1001,0),1)&gt;=100000,INDEX($AC$1005:$AS$1005,1,MATCH(COLUMNS($AC$1006:AO1006),$AC$1006:$AS$1006,0))&gt;=100000), " ",IF(INDEX($AC$2:$AS$1001,MATCH(ROWS($V$2:V753),$V$2:$V$1001,0),MATCH(COLUMNS($AC$1006:AO1006),$AC$1006:$AS$1006,0)), HYPERLINK("#",""), HYPERLINK(CONCATENATE("#metadata!", ADDRESS(INDEX($X$2:$X$1001,MATCH(ROWS($V$2:V753),$V$2:$V$1001,0),0), INDEX($AC$1004:$AS$1004,1,MATCH(COLUMNS($AC$1006:AO1006),$AC$1006:$AS$1006,0)))),"Fix")))</f>
        <v xml:space="preserve"> </v>
      </c>
      <c r="O753" s="4" t="str">
        <f ca="1">IF(OR(INDEX($W$2:$W$1001,MATCH(ROWS($V$2:V753),$V$2:$V$1001,0),1)&gt;=100000,INDEX($AC$1005:$AS$1005,1,MATCH(COLUMNS($AC$1006:AP1006),$AC$1006:$AS$1006,0))&gt;=100000), " ",IF(INDEX($AC$2:$AS$1001,MATCH(ROWS($V$2:V753),$V$2:$V$1001,0),MATCH(COLUMNS($AC$1006:AP1006),$AC$1006:$AS$1006,0)), HYPERLINK("#",""), HYPERLINK(CONCATENATE("#metadata!", ADDRESS(INDEX($X$2:$X$1001,MATCH(ROWS($V$2:V753),$V$2:$V$1001,0),0), INDEX($AC$1004:$AS$1004,1,MATCH(COLUMNS($AC$1006:AP1006),$AC$1006:$AS$1006,0)))),"Fix")))</f>
        <v xml:space="preserve"> </v>
      </c>
      <c r="P753" s="4" t="str">
        <f ca="1">IF(OR(INDEX($W$2:$W$1001,MATCH(ROWS($V$2:V753),$V$2:$V$1001,0),1)&gt;=100000,INDEX($AC$1005:$AS$1005,1,MATCH(COLUMNS($AC$1006:AQ1006),$AC$1006:$AS$1006,0))&gt;=100000), " ",IF(INDEX($AC$2:$AS$1001,MATCH(ROWS($V$2:V753),$V$2:$V$1001,0),MATCH(COLUMNS($AC$1006:AQ1006),$AC$1006:$AS$1006,0)), HYPERLINK("#",""), HYPERLINK(CONCATENATE("#metadata!", ADDRESS(INDEX($X$2:$X$1001,MATCH(ROWS($V$2:V753),$V$2:$V$1001,0),0), INDEX($AC$1004:$AS$1004,1,MATCH(COLUMNS($AC$1006:AQ1006),$AC$1006:$AS$1006,0)))),"Fix")))</f>
        <v xml:space="preserve"> </v>
      </c>
      <c r="Q753" s="4" t="str">
        <f ca="1">IF(OR(INDEX($W$2:$W$1001,MATCH(ROWS($V$2:V753),$V$2:$V$1001,0),1)&gt;=100000,INDEX($AC$1005:$AS$1005,1,MATCH(COLUMNS($AC$1006:AR1006),$AC$1006:$AS$1006,0))&gt;=100000), " ",IF(INDEX($AC$2:$AS$1001,MATCH(ROWS($V$2:V753),$V$2:$V$1001,0),MATCH(COLUMNS($AC$1006:AR1006),$AC$1006:$AS$1006,0)), HYPERLINK("#",""), HYPERLINK(CONCATENATE("#metadata!", ADDRESS(INDEX($X$2:$X$1001,MATCH(ROWS($V$2:V753),$V$2:$V$1001,0),0), INDEX($AC$1004:$AS$1004,1,MATCH(COLUMNS($AC$1006:AR1006),$AC$1006:$AS$1006,0)))),"Fix")))</f>
        <v xml:space="preserve"> </v>
      </c>
      <c r="R753" s="4" t="str">
        <f ca="1">IF(OR(INDEX($W$2:$W$1001,MATCH(ROWS($V$2:V753),$V$2:$V$1001,0),1)&gt;=100000,INDEX($AC$1005:$AS$1005,1,MATCH(COLUMNS($AC$1006:AS1006),$AC$1006:$AS$1006,0))&gt;=100000), " ",IF(INDEX($AC$2:$AS$1001,MATCH(ROWS($V$2:V753),$V$2:$V$1001,0),MATCH(COLUMNS($AC$1006:AS1006),$AC$1006:$AS$1006,0)), HYPERLINK("#",""), HYPERLINK(CONCATENATE("#metadata!", ADDRESS(INDEX($X$2:$X$1001,MATCH(ROWS($V$2:V753),$V$2:$V$1001,0),0), INDEX($AC$1004:$AS$1004,1,MATCH(COLUMNS($AC$1006:AS1006),$AC$1006:$AS$1006,0)))),"Fix")))</f>
        <v xml:space="preserve"> </v>
      </c>
      <c r="V753">
        <v>752</v>
      </c>
      <c r="W753">
        <v>100753</v>
      </c>
      <c r="X753">
        <v>753</v>
      </c>
      <c r="Y753" t="b">
        <f t="shared" si="11"/>
        <v>1</v>
      </c>
      <c r="Z753" t="b">
        <f>COUNTBLANK(metadata!B753:R753)=COLUMNS(metadata!B753:R753)</f>
        <v>1</v>
      </c>
      <c r="AA753" t="str">
        <v/>
      </c>
      <c r="AC753" t="b">
        <f ca="1"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AD753" t="b">
        <f>IF(metadata!C753="",FALSE,ISNUMBER(VALUE(metadata!C753)))</f>
        <v>0</v>
      </c>
      <c r="AE753" t="b">
        <f>AND(IF(metadata!D753="",FALSE,TRUE),EXACT(metadata!D753,"years"))</f>
        <v>0</v>
      </c>
      <c r="AF753" t="b">
        <f>OR(AND(IF(metadata!E753="",FALSE,TRUE),OR(EXACT(metadata!E753,"not applicable"),EXACT(metadata!E753,"missing: not collected"),EXACT(metadata!E753,"missing: not provided"),EXACT(metadata!E753,"missing: restricted access"))),AND(IF(metadata!E753="",FALSE,ISNUMBER(VALUE(metadata!E753))),metadata!E753&gt;0))</f>
        <v>0</v>
      </c>
      <c r="AG753" t="b">
        <f>AND(IF(metadata!F753="",FALSE,TRUE),EXACT(metadata!F753,"Not applicable"))</f>
        <v>0</v>
      </c>
      <c r="AH753" t="b">
        <f>AND(IF(metadata!G753="",FALSE,TRUE),EXACT(metadata!G753,"urban biome"))</f>
        <v>0</v>
      </c>
      <c r="AI753" t="b">
        <f>AND(IF(metadata!H753="",FALSE,TRUE),EXACT(metadata!H753,"human-associated habitat"))</f>
        <v>0</v>
      </c>
      <c r="AJ753" t="b">
        <f>AND(IF(metadata!I753="",FALSE,TRUE),OR(EXACT(metadata!I753,"human-associated"),EXACT(metadata!I753,"human-skin"),EXACT(metadata!I753,"human-oral"),EXACT(metadata!I753,"human-gut"),EXACT(metadata!I753,"human-vaginal")))</f>
        <v>0</v>
      </c>
      <c r="AK753" t="b">
        <f>IF(metadata!J753="",FALSE,ISNUMBER(VALUE(metadata!J753)))</f>
        <v>0</v>
      </c>
      <c r="AL753" t="b">
        <f>AND(IF(metadata!K753="",FALSE,TRUE),EXACT(metadata!K753,"cm"))</f>
        <v>0</v>
      </c>
      <c r="AM753" t="b">
        <f>AND(IF(metadata!L753="",FALSE,TRUE),EXACT(metadata!L753,"human"))</f>
        <v>0</v>
      </c>
      <c r="AN753" t="b">
        <f>AND(IF(metadata!M753="",FALSE,TRUE),EXACT(metadata!M753,"Homo sapiens"))</f>
        <v>0</v>
      </c>
      <c r="AO753" t="b">
        <f>AND(IF(metadata!N753="",FALSE,TRUE),EXACT(metadata!N753,"9606"))</f>
        <v>0</v>
      </c>
      <c r="AP753" t="b">
        <f>IF(metadata!O753="",FALSE,TRUE)</f>
        <v>0</v>
      </c>
      <c r="AQ753" t="b">
        <f>IF(metadata!P753="",FALSE,TRUE)</f>
        <v>0</v>
      </c>
      <c r="AR753" t="b">
        <f>IF(metadata!Q753="",FALSE,ISNUMBER(VALUE(metadata!Q753)))</f>
        <v>0</v>
      </c>
      <c r="AS753" t="b">
        <f>AND(IF(metadata!R753="",FALSE,TRUE),EXACT(metadata!R753,"kg"))</f>
        <v>0</v>
      </c>
    </row>
    <row r="754" spans="1:45" x14ac:dyDescent="0.2">
      <c r="A754" s="5" t="str">
        <f ca="1">IF(B754=" "," ",HYPERLINK(CONCATENATE("#metadata!",ADDRESS(INDEX($X$2:$X$1001,MATCH(ROWS($V$2:V754),$V$2:$V$1001,0),0),1)),INDEX($AA$2:$AA$1001,MATCH(ROWS($V$2:V754),$V$2:$V$1001,0),0)))</f>
        <v xml:space="preserve"> </v>
      </c>
      <c r="B754" s="4" t="str">
        <f ca="1">IF(OR(INDEX($W$2:$W$1001,MATCH(ROWS($V$2:V754),$V$2:$V$1001,0),1)&gt;=100000,INDEX($AC$1005:$AS$1005,1,MATCH(COLUMNS($AC$1006:AC1006),$AC$1006:$AS$1006,0))&gt;=100000), " ",IF(INDEX($AC$2:$AS$1001,MATCH(ROWS($V$2:V754),$V$2:$V$1001,0),MATCH(COLUMNS($AC$1006:AC1006),$AC$1006:$AS$1006,0)), HYPERLINK("#",""), HYPERLINK(CONCATENATE("#metadata!", ADDRESS(INDEX($X$2:$X$1001,MATCH(ROWS($V$2:V754),$V$2:$V$1001,0),0), INDEX($AC$1004:$AS$1004,1,MATCH(COLUMNS($AC$1006:AC1006),$AC$1006:$AS$1006,0)))),"Fix")))</f>
        <v xml:space="preserve"> </v>
      </c>
      <c r="C754" s="4" t="str">
        <f ca="1">IF(OR(INDEX($W$2:$W$1001,MATCH(ROWS($V$2:V754),$V$2:$V$1001,0),1)&gt;=100000,INDEX($AC$1005:$AS$1005,1,MATCH(COLUMNS($AC$1006:AD1006),$AC$1006:$AS$1006,0))&gt;=100000), " ",IF(INDEX($AC$2:$AS$1001,MATCH(ROWS($V$2:V754),$V$2:$V$1001,0),MATCH(COLUMNS($AC$1006:AD1006),$AC$1006:$AS$1006,0)), HYPERLINK("#",""), HYPERLINK(CONCATENATE("#metadata!", ADDRESS(INDEX($X$2:$X$1001,MATCH(ROWS($V$2:V754),$V$2:$V$1001,0),0), INDEX($AC$1004:$AS$1004,1,MATCH(COLUMNS($AC$1006:AD1006),$AC$1006:$AS$1006,0)))),"Fix")))</f>
        <v xml:space="preserve"> </v>
      </c>
      <c r="D754" s="4" t="str">
        <f ca="1">IF(OR(INDEX($W$2:$W$1001,MATCH(ROWS($V$2:V754),$V$2:$V$1001,0),1)&gt;=100000,INDEX($AC$1005:$AS$1005,1,MATCH(COLUMNS($AC$1006:AE1006),$AC$1006:$AS$1006,0))&gt;=100000), " ",IF(INDEX($AC$2:$AS$1001,MATCH(ROWS($V$2:V754),$V$2:$V$1001,0),MATCH(COLUMNS($AC$1006:AE1006),$AC$1006:$AS$1006,0)), HYPERLINK("#",""), HYPERLINK(CONCATENATE("#metadata!", ADDRESS(INDEX($X$2:$X$1001,MATCH(ROWS($V$2:V754),$V$2:$V$1001,0),0), INDEX($AC$1004:$AS$1004,1,MATCH(COLUMNS($AC$1006:AE1006),$AC$1006:$AS$1006,0)))),"Fix")))</f>
        <v xml:space="preserve"> </v>
      </c>
      <c r="E754" s="4" t="str">
        <f ca="1">IF(OR(INDEX($W$2:$W$1001,MATCH(ROWS($V$2:V754),$V$2:$V$1001,0),1)&gt;=100000,INDEX($AC$1005:$AS$1005,1,MATCH(COLUMNS($AC$1006:AF1006),$AC$1006:$AS$1006,0))&gt;=100000), " ",IF(INDEX($AC$2:$AS$1001,MATCH(ROWS($V$2:V754),$V$2:$V$1001,0),MATCH(COLUMNS($AC$1006:AF1006),$AC$1006:$AS$1006,0)), HYPERLINK("#",""), HYPERLINK(CONCATENATE("#metadata!", ADDRESS(INDEX($X$2:$X$1001,MATCH(ROWS($V$2:V754),$V$2:$V$1001,0),0), INDEX($AC$1004:$AS$1004,1,MATCH(COLUMNS($AC$1006:AF1006),$AC$1006:$AS$1006,0)))),"Fix")))</f>
        <v xml:space="preserve"> </v>
      </c>
      <c r="F754" s="4" t="str">
        <f ca="1">IF(OR(INDEX($W$2:$W$1001,MATCH(ROWS($V$2:V754),$V$2:$V$1001,0),1)&gt;=100000,INDEX($AC$1005:$AS$1005,1,MATCH(COLUMNS($AC$1006:AG1006),$AC$1006:$AS$1006,0))&gt;=100000), " ",IF(INDEX($AC$2:$AS$1001,MATCH(ROWS($V$2:V754),$V$2:$V$1001,0),MATCH(COLUMNS($AC$1006:AG1006),$AC$1006:$AS$1006,0)), HYPERLINK("#",""), HYPERLINK(CONCATENATE("#metadata!", ADDRESS(INDEX($X$2:$X$1001,MATCH(ROWS($V$2:V754),$V$2:$V$1001,0),0), INDEX($AC$1004:$AS$1004,1,MATCH(COLUMNS($AC$1006:AG1006),$AC$1006:$AS$1006,0)))),"Fix")))</f>
        <v xml:space="preserve"> </v>
      </c>
      <c r="G754" s="4" t="str">
        <f ca="1">IF(OR(INDEX($W$2:$W$1001,MATCH(ROWS($V$2:V754),$V$2:$V$1001,0),1)&gt;=100000,INDEX($AC$1005:$AS$1005,1,MATCH(COLUMNS($AC$1006:AH1006),$AC$1006:$AS$1006,0))&gt;=100000), " ",IF(INDEX($AC$2:$AS$1001,MATCH(ROWS($V$2:V754),$V$2:$V$1001,0),MATCH(COLUMNS($AC$1006:AH1006),$AC$1006:$AS$1006,0)), HYPERLINK("#",""), HYPERLINK(CONCATENATE("#metadata!", ADDRESS(INDEX($X$2:$X$1001,MATCH(ROWS($V$2:V754),$V$2:$V$1001,0),0), INDEX($AC$1004:$AS$1004,1,MATCH(COLUMNS($AC$1006:AH1006),$AC$1006:$AS$1006,0)))),"Fix")))</f>
        <v xml:space="preserve"> </v>
      </c>
      <c r="H754" s="4" t="str">
        <f ca="1">IF(OR(INDEX($W$2:$W$1001,MATCH(ROWS($V$2:V754),$V$2:$V$1001,0),1)&gt;=100000,INDEX($AC$1005:$AS$1005,1,MATCH(COLUMNS($AC$1006:AI1006),$AC$1006:$AS$1006,0))&gt;=100000), " ",IF(INDEX($AC$2:$AS$1001,MATCH(ROWS($V$2:V754),$V$2:$V$1001,0),MATCH(COLUMNS($AC$1006:AI1006),$AC$1006:$AS$1006,0)), HYPERLINK("#",""), HYPERLINK(CONCATENATE("#metadata!", ADDRESS(INDEX($X$2:$X$1001,MATCH(ROWS($V$2:V754),$V$2:$V$1001,0),0), INDEX($AC$1004:$AS$1004,1,MATCH(COLUMNS($AC$1006:AI1006),$AC$1006:$AS$1006,0)))),"Fix")))</f>
        <v xml:space="preserve"> </v>
      </c>
      <c r="I754" s="4" t="str">
        <f ca="1">IF(OR(INDEX($W$2:$W$1001,MATCH(ROWS($V$2:V754),$V$2:$V$1001,0),1)&gt;=100000,INDEX($AC$1005:$AS$1005,1,MATCH(COLUMNS($AC$1006:AJ1006),$AC$1006:$AS$1006,0))&gt;=100000), " ",IF(INDEX($AC$2:$AS$1001,MATCH(ROWS($V$2:V754),$V$2:$V$1001,0),MATCH(COLUMNS($AC$1006:AJ1006),$AC$1006:$AS$1006,0)), HYPERLINK("#",""), HYPERLINK(CONCATENATE("#metadata!", ADDRESS(INDEX($X$2:$X$1001,MATCH(ROWS($V$2:V754),$V$2:$V$1001,0),0), INDEX($AC$1004:$AS$1004,1,MATCH(COLUMNS($AC$1006:AJ1006),$AC$1006:$AS$1006,0)))),"Fix")))</f>
        <v xml:space="preserve"> </v>
      </c>
      <c r="J754" s="4" t="str">
        <f ca="1">IF(OR(INDEX($W$2:$W$1001,MATCH(ROWS($V$2:V754),$V$2:$V$1001,0),1)&gt;=100000,INDEX($AC$1005:$AS$1005,1,MATCH(COLUMNS($AC$1006:AK1006),$AC$1006:$AS$1006,0))&gt;=100000), " ",IF(INDEX($AC$2:$AS$1001,MATCH(ROWS($V$2:V754),$V$2:$V$1001,0),MATCH(COLUMNS($AC$1006:AK1006),$AC$1006:$AS$1006,0)), HYPERLINK("#",""), HYPERLINK(CONCATENATE("#metadata!", ADDRESS(INDEX($X$2:$X$1001,MATCH(ROWS($V$2:V754),$V$2:$V$1001,0),0), INDEX($AC$1004:$AS$1004,1,MATCH(COLUMNS($AC$1006:AK1006),$AC$1006:$AS$1006,0)))),"Fix")))</f>
        <v xml:space="preserve"> </v>
      </c>
      <c r="K754" s="4" t="str">
        <f ca="1">IF(OR(INDEX($W$2:$W$1001,MATCH(ROWS($V$2:V754),$V$2:$V$1001,0),1)&gt;=100000,INDEX($AC$1005:$AS$1005,1,MATCH(COLUMNS($AC$1006:AL1006),$AC$1006:$AS$1006,0))&gt;=100000), " ",IF(INDEX($AC$2:$AS$1001,MATCH(ROWS($V$2:V754),$V$2:$V$1001,0),MATCH(COLUMNS($AC$1006:AL1006),$AC$1006:$AS$1006,0)), HYPERLINK("#",""), HYPERLINK(CONCATENATE("#metadata!", ADDRESS(INDEX($X$2:$X$1001,MATCH(ROWS($V$2:V754),$V$2:$V$1001,0),0), INDEX($AC$1004:$AS$1004,1,MATCH(COLUMNS($AC$1006:AL1006),$AC$1006:$AS$1006,0)))),"Fix")))</f>
        <v xml:space="preserve"> </v>
      </c>
      <c r="L754" s="4" t="str">
        <f ca="1">IF(OR(INDEX($W$2:$W$1001,MATCH(ROWS($V$2:V754),$V$2:$V$1001,0),1)&gt;=100000,INDEX($AC$1005:$AS$1005,1,MATCH(COLUMNS($AC$1006:AM1006),$AC$1006:$AS$1006,0))&gt;=100000), " ",IF(INDEX($AC$2:$AS$1001,MATCH(ROWS($V$2:V754),$V$2:$V$1001,0),MATCH(COLUMNS($AC$1006:AM1006),$AC$1006:$AS$1006,0)), HYPERLINK("#",""), HYPERLINK(CONCATENATE("#metadata!", ADDRESS(INDEX($X$2:$X$1001,MATCH(ROWS($V$2:V754),$V$2:$V$1001,0),0), INDEX($AC$1004:$AS$1004,1,MATCH(COLUMNS($AC$1006:AM1006),$AC$1006:$AS$1006,0)))),"Fix")))</f>
        <v xml:space="preserve"> </v>
      </c>
      <c r="M754" s="4" t="str">
        <f ca="1">IF(OR(INDEX($W$2:$W$1001,MATCH(ROWS($V$2:V754),$V$2:$V$1001,0),1)&gt;=100000,INDEX($AC$1005:$AS$1005,1,MATCH(COLUMNS($AC$1006:AN1006),$AC$1006:$AS$1006,0))&gt;=100000), " ",IF(INDEX($AC$2:$AS$1001,MATCH(ROWS($V$2:V754),$V$2:$V$1001,0),MATCH(COLUMNS($AC$1006:AN1006),$AC$1006:$AS$1006,0)), HYPERLINK("#",""), HYPERLINK(CONCATENATE("#metadata!", ADDRESS(INDEX($X$2:$X$1001,MATCH(ROWS($V$2:V754),$V$2:$V$1001,0),0), INDEX($AC$1004:$AS$1004,1,MATCH(COLUMNS($AC$1006:AN1006),$AC$1006:$AS$1006,0)))),"Fix")))</f>
        <v xml:space="preserve"> </v>
      </c>
      <c r="N754" s="4" t="str">
        <f ca="1">IF(OR(INDEX($W$2:$W$1001,MATCH(ROWS($V$2:V754),$V$2:$V$1001,0),1)&gt;=100000,INDEX($AC$1005:$AS$1005,1,MATCH(COLUMNS($AC$1006:AO1006),$AC$1006:$AS$1006,0))&gt;=100000), " ",IF(INDEX($AC$2:$AS$1001,MATCH(ROWS($V$2:V754),$V$2:$V$1001,0),MATCH(COLUMNS($AC$1006:AO1006),$AC$1006:$AS$1006,0)), HYPERLINK("#",""), HYPERLINK(CONCATENATE("#metadata!", ADDRESS(INDEX($X$2:$X$1001,MATCH(ROWS($V$2:V754),$V$2:$V$1001,0),0), INDEX($AC$1004:$AS$1004,1,MATCH(COLUMNS($AC$1006:AO1006),$AC$1006:$AS$1006,0)))),"Fix")))</f>
        <v xml:space="preserve"> </v>
      </c>
      <c r="O754" s="4" t="str">
        <f ca="1">IF(OR(INDEX($W$2:$W$1001,MATCH(ROWS($V$2:V754),$V$2:$V$1001,0),1)&gt;=100000,INDEX($AC$1005:$AS$1005,1,MATCH(COLUMNS($AC$1006:AP1006),$AC$1006:$AS$1006,0))&gt;=100000), " ",IF(INDEX($AC$2:$AS$1001,MATCH(ROWS($V$2:V754),$V$2:$V$1001,0),MATCH(COLUMNS($AC$1006:AP1006),$AC$1006:$AS$1006,0)), HYPERLINK("#",""), HYPERLINK(CONCATENATE("#metadata!", ADDRESS(INDEX($X$2:$X$1001,MATCH(ROWS($V$2:V754),$V$2:$V$1001,0),0), INDEX($AC$1004:$AS$1004,1,MATCH(COLUMNS($AC$1006:AP1006),$AC$1006:$AS$1006,0)))),"Fix")))</f>
        <v xml:space="preserve"> </v>
      </c>
      <c r="P754" s="4" t="str">
        <f ca="1">IF(OR(INDEX($W$2:$W$1001,MATCH(ROWS($V$2:V754),$V$2:$V$1001,0),1)&gt;=100000,INDEX($AC$1005:$AS$1005,1,MATCH(COLUMNS($AC$1006:AQ1006),$AC$1006:$AS$1006,0))&gt;=100000), " ",IF(INDEX($AC$2:$AS$1001,MATCH(ROWS($V$2:V754),$V$2:$V$1001,0),MATCH(COLUMNS($AC$1006:AQ1006),$AC$1006:$AS$1006,0)), HYPERLINK("#",""), HYPERLINK(CONCATENATE("#metadata!", ADDRESS(INDEX($X$2:$X$1001,MATCH(ROWS($V$2:V754),$V$2:$V$1001,0),0), INDEX($AC$1004:$AS$1004,1,MATCH(COLUMNS($AC$1006:AQ1006),$AC$1006:$AS$1006,0)))),"Fix")))</f>
        <v xml:space="preserve"> </v>
      </c>
      <c r="Q754" s="4" t="str">
        <f ca="1">IF(OR(INDEX($W$2:$W$1001,MATCH(ROWS($V$2:V754),$V$2:$V$1001,0),1)&gt;=100000,INDEX($AC$1005:$AS$1005,1,MATCH(COLUMNS($AC$1006:AR1006),$AC$1006:$AS$1006,0))&gt;=100000), " ",IF(INDEX($AC$2:$AS$1001,MATCH(ROWS($V$2:V754),$V$2:$V$1001,0),MATCH(COLUMNS($AC$1006:AR1006),$AC$1006:$AS$1006,0)), HYPERLINK("#",""), HYPERLINK(CONCATENATE("#metadata!", ADDRESS(INDEX($X$2:$X$1001,MATCH(ROWS($V$2:V754),$V$2:$V$1001,0),0), INDEX($AC$1004:$AS$1004,1,MATCH(COLUMNS($AC$1006:AR1006),$AC$1006:$AS$1006,0)))),"Fix")))</f>
        <v xml:space="preserve"> </v>
      </c>
      <c r="R754" s="4" t="str">
        <f ca="1">IF(OR(INDEX($W$2:$W$1001,MATCH(ROWS($V$2:V754),$V$2:$V$1001,0),1)&gt;=100000,INDEX($AC$1005:$AS$1005,1,MATCH(COLUMNS($AC$1006:AS1006),$AC$1006:$AS$1006,0))&gt;=100000), " ",IF(INDEX($AC$2:$AS$1001,MATCH(ROWS($V$2:V754),$V$2:$V$1001,0),MATCH(COLUMNS($AC$1006:AS1006),$AC$1006:$AS$1006,0)), HYPERLINK("#",""), HYPERLINK(CONCATENATE("#metadata!", ADDRESS(INDEX($X$2:$X$1001,MATCH(ROWS($V$2:V754),$V$2:$V$1001,0),0), INDEX($AC$1004:$AS$1004,1,MATCH(COLUMNS($AC$1006:AS1006),$AC$1006:$AS$1006,0)))),"Fix")))</f>
        <v xml:space="preserve"> </v>
      </c>
      <c r="V754">
        <v>753</v>
      </c>
      <c r="W754">
        <v>100754</v>
      </c>
      <c r="X754">
        <v>754</v>
      </c>
      <c r="Y754" t="b">
        <f t="shared" si="11"/>
        <v>1</v>
      </c>
      <c r="Z754" t="b">
        <f>COUNTBLANK(metadata!B754:R754)=COLUMNS(metadata!B754:R754)</f>
        <v>1</v>
      </c>
      <c r="AA754" t="str">
        <v/>
      </c>
      <c r="AC754" t="b">
        <f ca="1"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AD754" t="b">
        <f>IF(metadata!C754="",FALSE,ISNUMBER(VALUE(metadata!C754)))</f>
        <v>0</v>
      </c>
      <c r="AE754" t="b">
        <f>AND(IF(metadata!D754="",FALSE,TRUE),EXACT(metadata!D754,"years"))</f>
        <v>0</v>
      </c>
      <c r="AF754" t="b">
        <f>OR(AND(IF(metadata!E754="",FALSE,TRUE),OR(EXACT(metadata!E754,"not applicable"),EXACT(metadata!E754,"missing: not collected"),EXACT(metadata!E754,"missing: not provided"),EXACT(metadata!E754,"missing: restricted access"))),AND(IF(metadata!E754="",FALSE,ISNUMBER(VALUE(metadata!E754))),metadata!E754&gt;0))</f>
        <v>0</v>
      </c>
      <c r="AG754" t="b">
        <f>AND(IF(metadata!F754="",FALSE,TRUE),EXACT(metadata!F754,"Not applicable"))</f>
        <v>0</v>
      </c>
      <c r="AH754" t="b">
        <f>AND(IF(metadata!G754="",FALSE,TRUE),EXACT(metadata!G754,"urban biome"))</f>
        <v>0</v>
      </c>
      <c r="AI754" t="b">
        <f>AND(IF(metadata!H754="",FALSE,TRUE),EXACT(metadata!H754,"human-associated habitat"))</f>
        <v>0</v>
      </c>
      <c r="AJ754" t="b">
        <f>AND(IF(metadata!I754="",FALSE,TRUE),OR(EXACT(metadata!I754,"human-associated"),EXACT(metadata!I754,"human-skin"),EXACT(metadata!I754,"human-oral"),EXACT(metadata!I754,"human-gut"),EXACT(metadata!I754,"human-vaginal")))</f>
        <v>0</v>
      </c>
      <c r="AK754" t="b">
        <f>IF(metadata!J754="",FALSE,ISNUMBER(VALUE(metadata!J754)))</f>
        <v>0</v>
      </c>
      <c r="AL754" t="b">
        <f>AND(IF(metadata!K754="",FALSE,TRUE),EXACT(metadata!K754,"cm"))</f>
        <v>0</v>
      </c>
      <c r="AM754" t="b">
        <f>AND(IF(metadata!L754="",FALSE,TRUE),EXACT(metadata!L754,"human"))</f>
        <v>0</v>
      </c>
      <c r="AN754" t="b">
        <f>AND(IF(metadata!M754="",FALSE,TRUE),EXACT(metadata!M754,"Homo sapiens"))</f>
        <v>0</v>
      </c>
      <c r="AO754" t="b">
        <f>AND(IF(metadata!N754="",FALSE,TRUE),EXACT(metadata!N754,"9606"))</f>
        <v>0</v>
      </c>
      <c r="AP754" t="b">
        <f>IF(metadata!O754="",FALSE,TRUE)</f>
        <v>0</v>
      </c>
      <c r="AQ754" t="b">
        <f>IF(metadata!P754="",FALSE,TRUE)</f>
        <v>0</v>
      </c>
      <c r="AR754" t="b">
        <f>IF(metadata!Q754="",FALSE,ISNUMBER(VALUE(metadata!Q754)))</f>
        <v>0</v>
      </c>
      <c r="AS754" t="b">
        <f>AND(IF(metadata!R754="",FALSE,TRUE),EXACT(metadata!R754,"kg"))</f>
        <v>0</v>
      </c>
    </row>
    <row r="755" spans="1:45" x14ac:dyDescent="0.2">
      <c r="A755" s="5" t="str">
        <f ca="1">IF(B755=" "," ",HYPERLINK(CONCATENATE("#metadata!",ADDRESS(INDEX($X$2:$X$1001,MATCH(ROWS($V$2:V755),$V$2:$V$1001,0),0),1)),INDEX($AA$2:$AA$1001,MATCH(ROWS($V$2:V755),$V$2:$V$1001,0),0)))</f>
        <v xml:space="preserve"> </v>
      </c>
      <c r="B755" s="4" t="str">
        <f ca="1">IF(OR(INDEX($W$2:$W$1001,MATCH(ROWS($V$2:V755),$V$2:$V$1001,0),1)&gt;=100000,INDEX($AC$1005:$AS$1005,1,MATCH(COLUMNS($AC$1006:AC1006),$AC$1006:$AS$1006,0))&gt;=100000), " ",IF(INDEX($AC$2:$AS$1001,MATCH(ROWS($V$2:V755),$V$2:$V$1001,0),MATCH(COLUMNS($AC$1006:AC1006),$AC$1006:$AS$1006,0)), HYPERLINK("#",""), HYPERLINK(CONCATENATE("#metadata!", ADDRESS(INDEX($X$2:$X$1001,MATCH(ROWS($V$2:V755),$V$2:$V$1001,0),0), INDEX($AC$1004:$AS$1004,1,MATCH(COLUMNS($AC$1006:AC1006),$AC$1006:$AS$1006,0)))),"Fix")))</f>
        <v xml:space="preserve"> </v>
      </c>
      <c r="C755" s="4" t="str">
        <f ca="1">IF(OR(INDEX($W$2:$W$1001,MATCH(ROWS($V$2:V755),$V$2:$V$1001,0),1)&gt;=100000,INDEX($AC$1005:$AS$1005,1,MATCH(COLUMNS($AC$1006:AD1006),$AC$1006:$AS$1006,0))&gt;=100000), " ",IF(INDEX($AC$2:$AS$1001,MATCH(ROWS($V$2:V755),$V$2:$V$1001,0),MATCH(COLUMNS($AC$1006:AD1006),$AC$1006:$AS$1006,0)), HYPERLINK("#",""), HYPERLINK(CONCATENATE("#metadata!", ADDRESS(INDEX($X$2:$X$1001,MATCH(ROWS($V$2:V755),$V$2:$V$1001,0),0), INDEX($AC$1004:$AS$1004,1,MATCH(COLUMNS($AC$1006:AD1006),$AC$1006:$AS$1006,0)))),"Fix")))</f>
        <v xml:space="preserve"> </v>
      </c>
      <c r="D755" s="4" t="str">
        <f ca="1">IF(OR(INDEX($W$2:$W$1001,MATCH(ROWS($V$2:V755),$V$2:$V$1001,0),1)&gt;=100000,INDEX($AC$1005:$AS$1005,1,MATCH(COLUMNS($AC$1006:AE1006),$AC$1006:$AS$1006,0))&gt;=100000), " ",IF(INDEX($AC$2:$AS$1001,MATCH(ROWS($V$2:V755),$V$2:$V$1001,0),MATCH(COLUMNS($AC$1006:AE1006),$AC$1006:$AS$1006,0)), HYPERLINK("#",""), HYPERLINK(CONCATENATE("#metadata!", ADDRESS(INDEX($X$2:$X$1001,MATCH(ROWS($V$2:V755),$V$2:$V$1001,0),0), INDEX($AC$1004:$AS$1004,1,MATCH(COLUMNS($AC$1006:AE1006),$AC$1006:$AS$1006,0)))),"Fix")))</f>
        <v xml:space="preserve"> </v>
      </c>
      <c r="E755" s="4" t="str">
        <f ca="1">IF(OR(INDEX($W$2:$W$1001,MATCH(ROWS($V$2:V755),$V$2:$V$1001,0),1)&gt;=100000,INDEX($AC$1005:$AS$1005,1,MATCH(COLUMNS($AC$1006:AF1006),$AC$1006:$AS$1006,0))&gt;=100000), " ",IF(INDEX($AC$2:$AS$1001,MATCH(ROWS($V$2:V755),$V$2:$V$1001,0),MATCH(COLUMNS($AC$1006:AF1006),$AC$1006:$AS$1006,0)), HYPERLINK("#",""), HYPERLINK(CONCATENATE("#metadata!", ADDRESS(INDEX($X$2:$X$1001,MATCH(ROWS($V$2:V755),$V$2:$V$1001,0),0), INDEX($AC$1004:$AS$1004,1,MATCH(COLUMNS($AC$1006:AF1006),$AC$1006:$AS$1006,0)))),"Fix")))</f>
        <v xml:space="preserve"> </v>
      </c>
      <c r="F755" s="4" t="str">
        <f ca="1">IF(OR(INDEX($W$2:$W$1001,MATCH(ROWS($V$2:V755),$V$2:$V$1001,0),1)&gt;=100000,INDEX($AC$1005:$AS$1005,1,MATCH(COLUMNS($AC$1006:AG1006),$AC$1006:$AS$1006,0))&gt;=100000), " ",IF(INDEX($AC$2:$AS$1001,MATCH(ROWS($V$2:V755),$V$2:$V$1001,0),MATCH(COLUMNS($AC$1006:AG1006),$AC$1006:$AS$1006,0)), HYPERLINK("#",""), HYPERLINK(CONCATENATE("#metadata!", ADDRESS(INDEX($X$2:$X$1001,MATCH(ROWS($V$2:V755),$V$2:$V$1001,0),0), INDEX($AC$1004:$AS$1004,1,MATCH(COLUMNS($AC$1006:AG1006),$AC$1006:$AS$1006,0)))),"Fix")))</f>
        <v xml:space="preserve"> </v>
      </c>
      <c r="G755" s="4" t="str">
        <f ca="1">IF(OR(INDEX($W$2:$W$1001,MATCH(ROWS($V$2:V755),$V$2:$V$1001,0),1)&gt;=100000,INDEX($AC$1005:$AS$1005,1,MATCH(COLUMNS($AC$1006:AH1006),$AC$1006:$AS$1006,0))&gt;=100000), " ",IF(INDEX($AC$2:$AS$1001,MATCH(ROWS($V$2:V755),$V$2:$V$1001,0),MATCH(COLUMNS($AC$1006:AH1006),$AC$1006:$AS$1006,0)), HYPERLINK("#",""), HYPERLINK(CONCATENATE("#metadata!", ADDRESS(INDEX($X$2:$X$1001,MATCH(ROWS($V$2:V755),$V$2:$V$1001,0),0), INDEX($AC$1004:$AS$1004,1,MATCH(COLUMNS($AC$1006:AH1006),$AC$1006:$AS$1006,0)))),"Fix")))</f>
        <v xml:space="preserve"> </v>
      </c>
      <c r="H755" s="4" t="str">
        <f ca="1">IF(OR(INDEX($W$2:$W$1001,MATCH(ROWS($V$2:V755),$V$2:$V$1001,0),1)&gt;=100000,INDEX($AC$1005:$AS$1005,1,MATCH(COLUMNS($AC$1006:AI1006),$AC$1006:$AS$1006,0))&gt;=100000), " ",IF(INDEX($AC$2:$AS$1001,MATCH(ROWS($V$2:V755),$V$2:$V$1001,0),MATCH(COLUMNS($AC$1006:AI1006),$AC$1006:$AS$1006,0)), HYPERLINK("#",""), HYPERLINK(CONCATENATE("#metadata!", ADDRESS(INDEX($X$2:$X$1001,MATCH(ROWS($V$2:V755),$V$2:$V$1001,0),0), INDEX($AC$1004:$AS$1004,1,MATCH(COLUMNS($AC$1006:AI1006),$AC$1006:$AS$1006,0)))),"Fix")))</f>
        <v xml:space="preserve"> </v>
      </c>
      <c r="I755" s="4" t="str">
        <f ca="1">IF(OR(INDEX($W$2:$W$1001,MATCH(ROWS($V$2:V755),$V$2:$V$1001,0),1)&gt;=100000,INDEX($AC$1005:$AS$1005,1,MATCH(COLUMNS($AC$1006:AJ1006),$AC$1006:$AS$1006,0))&gt;=100000), " ",IF(INDEX($AC$2:$AS$1001,MATCH(ROWS($V$2:V755),$V$2:$V$1001,0),MATCH(COLUMNS($AC$1006:AJ1006),$AC$1006:$AS$1006,0)), HYPERLINK("#",""), HYPERLINK(CONCATENATE("#metadata!", ADDRESS(INDEX($X$2:$X$1001,MATCH(ROWS($V$2:V755),$V$2:$V$1001,0),0), INDEX($AC$1004:$AS$1004,1,MATCH(COLUMNS($AC$1006:AJ1006),$AC$1006:$AS$1006,0)))),"Fix")))</f>
        <v xml:space="preserve"> </v>
      </c>
      <c r="J755" s="4" t="str">
        <f ca="1">IF(OR(INDEX($W$2:$W$1001,MATCH(ROWS($V$2:V755),$V$2:$V$1001,0),1)&gt;=100000,INDEX($AC$1005:$AS$1005,1,MATCH(COLUMNS($AC$1006:AK1006),$AC$1006:$AS$1006,0))&gt;=100000), " ",IF(INDEX($AC$2:$AS$1001,MATCH(ROWS($V$2:V755),$V$2:$V$1001,0),MATCH(COLUMNS($AC$1006:AK1006),$AC$1006:$AS$1006,0)), HYPERLINK("#",""), HYPERLINK(CONCATENATE("#metadata!", ADDRESS(INDEX($X$2:$X$1001,MATCH(ROWS($V$2:V755),$V$2:$V$1001,0),0), INDEX($AC$1004:$AS$1004,1,MATCH(COLUMNS($AC$1006:AK1006),$AC$1006:$AS$1006,0)))),"Fix")))</f>
        <v xml:space="preserve"> </v>
      </c>
      <c r="K755" s="4" t="str">
        <f ca="1">IF(OR(INDEX($W$2:$W$1001,MATCH(ROWS($V$2:V755),$V$2:$V$1001,0),1)&gt;=100000,INDEX($AC$1005:$AS$1005,1,MATCH(COLUMNS($AC$1006:AL1006),$AC$1006:$AS$1006,0))&gt;=100000), " ",IF(INDEX($AC$2:$AS$1001,MATCH(ROWS($V$2:V755),$V$2:$V$1001,0),MATCH(COLUMNS($AC$1006:AL1006),$AC$1006:$AS$1006,0)), HYPERLINK("#",""), HYPERLINK(CONCATENATE("#metadata!", ADDRESS(INDEX($X$2:$X$1001,MATCH(ROWS($V$2:V755),$V$2:$V$1001,0),0), INDEX($AC$1004:$AS$1004,1,MATCH(COLUMNS($AC$1006:AL1006),$AC$1006:$AS$1006,0)))),"Fix")))</f>
        <v xml:space="preserve"> </v>
      </c>
      <c r="L755" s="4" t="str">
        <f ca="1">IF(OR(INDEX($W$2:$W$1001,MATCH(ROWS($V$2:V755),$V$2:$V$1001,0),1)&gt;=100000,INDEX($AC$1005:$AS$1005,1,MATCH(COLUMNS($AC$1006:AM1006),$AC$1006:$AS$1006,0))&gt;=100000), " ",IF(INDEX($AC$2:$AS$1001,MATCH(ROWS($V$2:V755),$V$2:$V$1001,0),MATCH(COLUMNS($AC$1006:AM1006),$AC$1006:$AS$1006,0)), HYPERLINK("#",""), HYPERLINK(CONCATENATE("#metadata!", ADDRESS(INDEX($X$2:$X$1001,MATCH(ROWS($V$2:V755),$V$2:$V$1001,0),0), INDEX($AC$1004:$AS$1004,1,MATCH(COLUMNS($AC$1006:AM1006),$AC$1006:$AS$1006,0)))),"Fix")))</f>
        <v xml:space="preserve"> </v>
      </c>
      <c r="M755" s="4" t="str">
        <f ca="1">IF(OR(INDEX($W$2:$W$1001,MATCH(ROWS($V$2:V755),$V$2:$V$1001,0),1)&gt;=100000,INDEX($AC$1005:$AS$1005,1,MATCH(COLUMNS($AC$1006:AN1006),$AC$1006:$AS$1006,0))&gt;=100000), " ",IF(INDEX($AC$2:$AS$1001,MATCH(ROWS($V$2:V755),$V$2:$V$1001,0),MATCH(COLUMNS($AC$1006:AN1006),$AC$1006:$AS$1006,0)), HYPERLINK("#",""), HYPERLINK(CONCATENATE("#metadata!", ADDRESS(INDEX($X$2:$X$1001,MATCH(ROWS($V$2:V755),$V$2:$V$1001,0),0), INDEX($AC$1004:$AS$1004,1,MATCH(COLUMNS($AC$1006:AN1006),$AC$1006:$AS$1006,0)))),"Fix")))</f>
        <v xml:space="preserve"> </v>
      </c>
      <c r="N755" s="4" t="str">
        <f ca="1">IF(OR(INDEX($W$2:$W$1001,MATCH(ROWS($V$2:V755),$V$2:$V$1001,0),1)&gt;=100000,INDEX($AC$1005:$AS$1005,1,MATCH(COLUMNS($AC$1006:AO1006),$AC$1006:$AS$1006,0))&gt;=100000), " ",IF(INDEX($AC$2:$AS$1001,MATCH(ROWS($V$2:V755),$V$2:$V$1001,0),MATCH(COLUMNS($AC$1006:AO1006),$AC$1006:$AS$1006,0)), HYPERLINK("#",""), HYPERLINK(CONCATENATE("#metadata!", ADDRESS(INDEX($X$2:$X$1001,MATCH(ROWS($V$2:V755),$V$2:$V$1001,0),0), INDEX($AC$1004:$AS$1004,1,MATCH(COLUMNS($AC$1006:AO1006),$AC$1006:$AS$1006,0)))),"Fix")))</f>
        <v xml:space="preserve"> </v>
      </c>
      <c r="O755" s="4" t="str">
        <f ca="1">IF(OR(INDEX($W$2:$W$1001,MATCH(ROWS($V$2:V755),$V$2:$V$1001,0),1)&gt;=100000,INDEX($AC$1005:$AS$1005,1,MATCH(COLUMNS($AC$1006:AP1006),$AC$1006:$AS$1006,0))&gt;=100000), " ",IF(INDEX($AC$2:$AS$1001,MATCH(ROWS($V$2:V755),$V$2:$V$1001,0),MATCH(COLUMNS($AC$1006:AP1006),$AC$1006:$AS$1006,0)), HYPERLINK("#",""), HYPERLINK(CONCATENATE("#metadata!", ADDRESS(INDEX($X$2:$X$1001,MATCH(ROWS($V$2:V755),$V$2:$V$1001,0),0), INDEX($AC$1004:$AS$1004,1,MATCH(COLUMNS($AC$1006:AP1006),$AC$1006:$AS$1006,0)))),"Fix")))</f>
        <v xml:space="preserve"> </v>
      </c>
      <c r="P755" s="4" t="str">
        <f ca="1">IF(OR(INDEX($W$2:$W$1001,MATCH(ROWS($V$2:V755),$V$2:$V$1001,0),1)&gt;=100000,INDEX($AC$1005:$AS$1005,1,MATCH(COLUMNS($AC$1006:AQ1006),$AC$1006:$AS$1006,0))&gt;=100000), " ",IF(INDEX($AC$2:$AS$1001,MATCH(ROWS($V$2:V755),$V$2:$V$1001,0),MATCH(COLUMNS($AC$1006:AQ1006),$AC$1006:$AS$1006,0)), HYPERLINK("#",""), HYPERLINK(CONCATENATE("#metadata!", ADDRESS(INDEX($X$2:$X$1001,MATCH(ROWS($V$2:V755),$V$2:$V$1001,0),0), INDEX($AC$1004:$AS$1004,1,MATCH(COLUMNS($AC$1006:AQ1006),$AC$1006:$AS$1006,0)))),"Fix")))</f>
        <v xml:space="preserve"> </v>
      </c>
      <c r="Q755" s="4" t="str">
        <f ca="1">IF(OR(INDEX($W$2:$W$1001,MATCH(ROWS($V$2:V755),$V$2:$V$1001,0),1)&gt;=100000,INDEX($AC$1005:$AS$1005,1,MATCH(COLUMNS($AC$1006:AR1006),$AC$1006:$AS$1006,0))&gt;=100000), " ",IF(INDEX($AC$2:$AS$1001,MATCH(ROWS($V$2:V755),$V$2:$V$1001,0),MATCH(COLUMNS($AC$1006:AR1006),$AC$1006:$AS$1006,0)), HYPERLINK("#",""), HYPERLINK(CONCATENATE("#metadata!", ADDRESS(INDEX($X$2:$X$1001,MATCH(ROWS($V$2:V755),$V$2:$V$1001,0),0), INDEX($AC$1004:$AS$1004,1,MATCH(COLUMNS($AC$1006:AR1006),$AC$1006:$AS$1006,0)))),"Fix")))</f>
        <v xml:space="preserve"> </v>
      </c>
      <c r="R755" s="4" t="str">
        <f ca="1">IF(OR(INDEX($W$2:$W$1001,MATCH(ROWS($V$2:V755),$V$2:$V$1001,0),1)&gt;=100000,INDEX($AC$1005:$AS$1005,1,MATCH(COLUMNS($AC$1006:AS1006),$AC$1006:$AS$1006,0))&gt;=100000), " ",IF(INDEX($AC$2:$AS$1001,MATCH(ROWS($V$2:V755),$V$2:$V$1001,0),MATCH(COLUMNS($AC$1006:AS1006),$AC$1006:$AS$1006,0)), HYPERLINK("#",""), HYPERLINK(CONCATENATE("#metadata!", ADDRESS(INDEX($X$2:$X$1001,MATCH(ROWS($V$2:V755),$V$2:$V$1001,0),0), INDEX($AC$1004:$AS$1004,1,MATCH(COLUMNS($AC$1006:AS1006),$AC$1006:$AS$1006,0)))),"Fix")))</f>
        <v xml:space="preserve"> </v>
      </c>
      <c r="V755">
        <v>754</v>
      </c>
      <c r="W755">
        <v>100755</v>
      </c>
      <c r="X755">
        <v>755</v>
      </c>
      <c r="Y755" t="b">
        <f t="shared" si="11"/>
        <v>1</v>
      </c>
      <c r="Z755" t="b">
        <f>COUNTBLANK(metadata!B755:R755)=COLUMNS(metadata!B755:R755)</f>
        <v>1</v>
      </c>
      <c r="AA755" t="str">
        <v/>
      </c>
      <c r="AC755" t="b">
        <f ca="1"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AD755" t="b">
        <f>IF(metadata!C755="",FALSE,ISNUMBER(VALUE(metadata!C755)))</f>
        <v>0</v>
      </c>
      <c r="AE755" t="b">
        <f>AND(IF(metadata!D755="",FALSE,TRUE),EXACT(metadata!D755,"years"))</f>
        <v>0</v>
      </c>
      <c r="AF755" t="b">
        <f>OR(AND(IF(metadata!E755="",FALSE,TRUE),OR(EXACT(metadata!E755,"not applicable"),EXACT(metadata!E755,"missing: not collected"),EXACT(metadata!E755,"missing: not provided"),EXACT(metadata!E755,"missing: restricted access"))),AND(IF(metadata!E755="",FALSE,ISNUMBER(VALUE(metadata!E755))),metadata!E755&gt;0))</f>
        <v>0</v>
      </c>
      <c r="AG755" t="b">
        <f>AND(IF(metadata!F755="",FALSE,TRUE),EXACT(metadata!F755,"Not applicable"))</f>
        <v>0</v>
      </c>
      <c r="AH755" t="b">
        <f>AND(IF(metadata!G755="",FALSE,TRUE),EXACT(metadata!G755,"urban biome"))</f>
        <v>0</v>
      </c>
      <c r="AI755" t="b">
        <f>AND(IF(metadata!H755="",FALSE,TRUE),EXACT(metadata!H755,"human-associated habitat"))</f>
        <v>0</v>
      </c>
      <c r="AJ755" t="b">
        <f>AND(IF(metadata!I755="",FALSE,TRUE),OR(EXACT(metadata!I755,"human-associated"),EXACT(metadata!I755,"human-skin"),EXACT(metadata!I755,"human-oral"),EXACT(metadata!I755,"human-gut"),EXACT(metadata!I755,"human-vaginal")))</f>
        <v>0</v>
      </c>
      <c r="AK755" t="b">
        <f>IF(metadata!J755="",FALSE,ISNUMBER(VALUE(metadata!J755)))</f>
        <v>0</v>
      </c>
      <c r="AL755" t="b">
        <f>AND(IF(metadata!K755="",FALSE,TRUE),EXACT(metadata!K755,"cm"))</f>
        <v>0</v>
      </c>
      <c r="AM755" t="b">
        <f>AND(IF(metadata!L755="",FALSE,TRUE),EXACT(metadata!L755,"human"))</f>
        <v>0</v>
      </c>
      <c r="AN755" t="b">
        <f>AND(IF(metadata!M755="",FALSE,TRUE),EXACT(metadata!M755,"Homo sapiens"))</f>
        <v>0</v>
      </c>
      <c r="AO755" t="b">
        <f>AND(IF(metadata!N755="",FALSE,TRUE),EXACT(metadata!N755,"9606"))</f>
        <v>0</v>
      </c>
      <c r="AP755" t="b">
        <f>IF(metadata!O755="",FALSE,TRUE)</f>
        <v>0</v>
      </c>
      <c r="AQ755" t="b">
        <f>IF(metadata!P755="",FALSE,TRUE)</f>
        <v>0</v>
      </c>
      <c r="AR755" t="b">
        <f>IF(metadata!Q755="",FALSE,ISNUMBER(VALUE(metadata!Q755)))</f>
        <v>0</v>
      </c>
      <c r="AS755" t="b">
        <f>AND(IF(metadata!R755="",FALSE,TRUE),EXACT(metadata!R755,"kg"))</f>
        <v>0</v>
      </c>
    </row>
    <row r="756" spans="1:45" x14ac:dyDescent="0.2">
      <c r="A756" s="5" t="str">
        <f ca="1">IF(B756=" "," ",HYPERLINK(CONCATENATE("#metadata!",ADDRESS(INDEX($X$2:$X$1001,MATCH(ROWS($V$2:V756),$V$2:$V$1001,0),0),1)),INDEX($AA$2:$AA$1001,MATCH(ROWS($V$2:V756),$V$2:$V$1001,0),0)))</f>
        <v xml:space="preserve"> </v>
      </c>
      <c r="B756" s="4" t="str">
        <f ca="1">IF(OR(INDEX($W$2:$W$1001,MATCH(ROWS($V$2:V756),$V$2:$V$1001,0),1)&gt;=100000,INDEX($AC$1005:$AS$1005,1,MATCH(COLUMNS($AC$1006:AC1006),$AC$1006:$AS$1006,0))&gt;=100000), " ",IF(INDEX($AC$2:$AS$1001,MATCH(ROWS($V$2:V756),$V$2:$V$1001,0),MATCH(COLUMNS($AC$1006:AC1006),$AC$1006:$AS$1006,0)), HYPERLINK("#",""), HYPERLINK(CONCATENATE("#metadata!", ADDRESS(INDEX($X$2:$X$1001,MATCH(ROWS($V$2:V756),$V$2:$V$1001,0),0), INDEX($AC$1004:$AS$1004,1,MATCH(COLUMNS($AC$1006:AC1006),$AC$1006:$AS$1006,0)))),"Fix")))</f>
        <v xml:space="preserve"> </v>
      </c>
      <c r="C756" s="4" t="str">
        <f ca="1">IF(OR(INDEX($W$2:$W$1001,MATCH(ROWS($V$2:V756),$V$2:$V$1001,0),1)&gt;=100000,INDEX($AC$1005:$AS$1005,1,MATCH(COLUMNS($AC$1006:AD1006),$AC$1006:$AS$1006,0))&gt;=100000), " ",IF(INDEX($AC$2:$AS$1001,MATCH(ROWS($V$2:V756),$V$2:$V$1001,0),MATCH(COLUMNS($AC$1006:AD1006),$AC$1006:$AS$1006,0)), HYPERLINK("#",""), HYPERLINK(CONCATENATE("#metadata!", ADDRESS(INDEX($X$2:$X$1001,MATCH(ROWS($V$2:V756),$V$2:$V$1001,0),0), INDEX($AC$1004:$AS$1004,1,MATCH(COLUMNS($AC$1006:AD1006),$AC$1006:$AS$1006,0)))),"Fix")))</f>
        <v xml:space="preserve"> </v>
      </c>
      <c r="D756" s="4" t="str">
        <f ca="1">IF(OR(INDEX($W$2:$W$1001,MATCH(ROWS($V$2:V756),$V$2:$V$1001,0),1)&gt;=100000,INDEX($AC$1005:$AS$1005,1,MATCH(COLUMNS($AC$1006:AE1006),$AC$1006:$AS$1006,0))&gt;=100000), " ",IF(INDEX($AC$2:$AS$1001,MATCH(ROWS($V$2:V756),$V$2:$V$1001,0),MATCH(COLUMNS($AC$1006:AE1006),$AC$1006:$AS$1006,0)), HYPERLINK("#",""), HYPERLINK(CONCATENATE("#metadata!", ADDRESS(INDEX($X$2:$X$1001,MATCH(ROWS($V$2:V756),$V$2:$V$1001,0),0), INDEX($AC$1004:$AS$1004,1,MATCH(COLUMNS($AC$1006:AE1006),$AC$1006:$AS$1006,0)))),"Fix")))</f>
        <v xml:space="preserve"> </v>
      </c>
      <c r="E756" s="4" t="str">
        <f ca="1">IF(OR(INDEX($W$2:$W$1001,MATCH(ROWS($V$2:V756),$V$2:$V$1001,0),1)&gt;=100000,INDEX($AC$1005:$AS$1005,1,MATCH(COLUMNS($AC$1006:AF1006),$AC$1006:$AS$1006,0))&gt;=100000), " ",IF(INDEX($AC$2:$AS$1001,MATCH(ROWS($V$2:V756),$V$2:$V$1001,0),MATCH(COLUMNS($AC$1006:AF1006),$AC$1006:$AS$1006,0)), HYPERLINK("#",""), HYPERLINK(CONCATENATE("#metadata!", ADDRESS(INDEX($X$2:$X$1001,MATCH(ROWS($V$2:V756),$V$2:$V$1001,0),0), INDEX($AC$1004:$AS$1004,1,MATCH(COLUMNS($AC$1006:AF1006),$AC$1006:$AS$1006,0)))),"Fix")))</f>
        <v xml:space="preserve"> </v>
      </c>
      <c r="F756" s="4" t="str">
        <f ca="1">IF(OR(INDEX($W$2:$W$1001,MATCH(ROWS($V$2:V756),$V$2:$V$1001,0),1)&gt;=100000,INDEX($AC$1005:$AS$1005,1,MATCH(COLUMNS($AC$1006:AG1006),$AC$1006:$AS$1006,0))&gt;=100000), " ",IF(INDEX($AC$2:$AS$1001,MATCH(ROWS($V$2:V756),$V$2:$V$1001,0),MATCH(COLUMNS($AC$1006:AG1006),$AC$1006:$AS$1006,0)), HYPERLINK("#",""), HYPERLINK(CONCATENATE("#metadata!", ADDRESS(INDEX($X$2:$X$1001,MATCH(ROWS($V$2:V756),$V$2:$V$1001,0),0), INDEX($AC$1004:$AS$1004,1,MATCH(COLUMNS($AC$1006:AG1006),$AC$1006:$AS$1006,0)))),"Fix")))</f>
        <v xml:space="preserve"> </v>
      </c>
      <c r="G756" s="4" t="str">
        <f ca="1">IF(OR(INDEX($W$2:$W$1001,MATCH(ROWS($V$2:V756),$V$2:$V$1001,0),1)&gt;=100000,INDEX($AC$1005:$AS$1005,1,MATCH(COLUMNS($AC$1006:AH1006),$AC$1006:$AS$1006,0))&gt;=100000), " ",IF(INDEX($AC$2:$AS$1001,MATCH(ROWS($V$2:V756),$V$2:$V$1001,0),MATCH(COLUMNS($AC$1006:AH1006),$AC$1006:$AS$1006,0)), HYPERLINK("#",""), HYPERLINK(CONCATENATE("#metadata!", ADDRESS(INDEX($X$2:$X$1001,MATCH(ROWS($V$2:V756),$V$2:$V$1001,0),0), INDEX($AC$1004:$AS$1004,1,MATCH(COLUMNS($AC$1006:AH1006),$AC$1006:$AS$1006,0)))),"Fix")))</f>
        <v xml:space="preserve"> </v>
      </c>
      <c r="H756" s="4" t="str">
        <f ca="1">IF(OR(INDEX($W$2:$W$1001,MATCH(ROWS($V$2:V756),$V$2:$V$1001,0),1)&gt;=100000,INDEX($AC$1005:$AS$1005,1,MATCH(COLUMNS($AC$1006:AI1006),$AC$1006:$AS$1006,0))&gt;=100000), " ",IF(INDEX($AC$2:$AS$1001,MATCH(ROWS($V$2:V756),$V$2:$V$1001,0),MATCH(COLUMNS($AC$1006:AI1006),$AC$1006:$AS$1006,0)), HYPERLINK("#",""), HYPERLINK(CONCATENATE("#metadata!", ADDRESS(INDEX($X$2:$X$1001,MATCH(ROWS($V$2:V756),$V$2:$V$1001,0),0), INDEX($AC$1004:$AS$1004,1,MATCH(COLUMNS($AC$1006:AI1006),$AC$1006:$AS$1006,0)))),"Fix")))</f>
        <v xml:space="preserve"> </v>
      </c>
      <c r="I756" s="4" t="str">
        <f ca="1">IF(OR(INDEX($W$2:$W$1001,MATCH(ROWS($V$2:V756),$V$2:$V$1001,0),1)&gt;=100000,INDEX($AC$1005:$AS$1005,1,MATCH(COLUMNS($AC$1006:AJ1006),$AC$1006:$AS$1006,0))&gt;=100000), " ",IF(INDEX($AC$2:$AS$1001,MATCH(ROWS($V$2:V756),$V$2:$V$1001,0),MATCH(COLUMNS($AC$1006:AJ1006),$AC$1006:$AS$1006,0)), HYPERLINK("#",""), HYPERLINK(CONCATENATE("#metadata!", ADDRESS(INDEX($X$2:$X$1001,MATCH(ROWS($V$2:V756),$V$2:$V$1001,0),0), INDEX($AC$1004:$AS$1004,1,MATCH(COLUMNS($AC$1006:AJ1006),$AC$1006:$AS$1006,0)))),"Fix")))</f>
        <v xml:space="preserve"> </v>
      </c>
      <c r="J756" s="4" t="str">
        <f ca="1">IF(OR(INDEX($W$2:$W$1001,MATCH(ROWS($V$2:V756),$V$2:$V$1001,0),1)&gt;=100000,INDEX($AC$1005:$AS$1005,1,MATCH(COLUMNS($AC$1006:AK1006),$AC$1006:$AS$1006,0))&gt;=100000), " ",IF(INDEX($AC$2:$AS$1001,MATCH(ROWS($V$2:V756),$V$2:$V$1001,0),MATCH(COLUMNS($AC$1006:AK1006),$AC$1006:$AS$1006,0)), HYPERLINK("#",""), HYPERLINK(CONCATENATE("#metadata!", ADDRESS(INDEX($X$2:$X$1001,MATCH(ROWS($V$2:V756),$V$2:$V$1001,0),0), INDEX($AC$1004:$AS$1004,1,MATCH(COLUMNS($AC$1006:AK1006),$AC$1006:$AS$1006,0)))),"Fix")))</f>
        <v xml:space="preserve"> </v>
      </c>
      <c r="K756" s="4" t="str">
        <f ca="1">IF(OR(INDEX($W$2:$W$1001,MATCH(ROWS($V$2:V756),$V$2:$V$1001,0),1)&gt;=100000,INDEX($AC$1005:$AS$1005,1,MATCH(COLUMNS($AC$1006:AL1006),$AC$1006:$AS$1006,0))&gt;=100000), " ",IF(INDEX($AC$2:$AS$1001,MATCH(ROWS($V$2:V756),$V$2:$V$1001,0),MATCH(COLUMNS($AC$1006:AL1006),$AC$1006:$AS$1006,0)), HYPERLINK("#",""), HYPERLINK(CONCATENATE("#metadata!", ADDRESS(INDEX($X$2:$X$1001,MATCH(ROWS($V$2:V756),$V$2:$V$1001,0),0), INDEX($AC$1004:$AS$1004,1,MATCH(COLUMNS($AC$1006:AL1006),$AC$1006:$AS$1006,0)))),"Fix")))</f>
        <v xml:space="preserve"> </v>
      </c>
      <c r="L756" s="4" t="str">
        <f ca="1">IF(OR(INDEX($W$2:$W$1001,MATCH(ROWS($V$2:V756),$V$2:$V$1001,0),1)&gt;=100000,INDEX($AC$1005:$AS$1005,1,MATCH(COLUMNS($AC$1006:AM1006),$AC$1006:$AS$1006,0))&gt;=100000), " ",IF(INDEX($AC$2:$AS$1001,MATCH(ROWS($V$2:V756),$V$2:$V$1001,0),MATCH(COLUMNS($AC$1006:AM1006),$AC$1006:$AS$1006,0)), HYPERLINK("#",""), HYPERLINK(CONCATENATE("#metadata!", ADDRESS(INDEX($X$2:$X$1001,MATCH(ROWS($V$2:V756),$V$2:$V$1001,0),0), INDEX($AC$1004:$AS$1004,1,MATCH(COLUMNS($AC$1006:AM1006),$AC$1006:$AS$1006,0)))),"Fix")))</f>
        <v xml:space="preserve"> </v>
      </c>
      <c r="M756" s="4" t="str">
        <f ca="1">IF(OR(INDEX($W$2:$W$1001,MATCH(ROWS($V$2:V756),$V$2:$V$1001,0),1)&gt;=100000,INDEX($AC$1005:$AS$1005,1,MATCH(COLUMNS($AC$1006:AN1006),$AC$1006:$AS$1006,0))&gt;=100000), " ",IF(INDEX($AC$2:$AS$1001,MATCH(ROWS($V$2:V756),$V$2:$V$1001,0),MATCH(COLUMNS($AC$1006:AN1006),$AC$1006:$AS$1006,0)), HYPERLINK("#",""), HYPERLINK(CONCATENATE("#metadata!", ADDRESS(INDEX($X$2:$X$1001,MATCH(ROWS($V$2:V756),$V$2:$V$1001,0),0), INDEX($AC$1004:$AS$1004,1,MATCH(COLUMNS($AC$1006:AN1006),$AC$1006:$AS$1006,0)))),"Fix")))</f>
        <v xml:space="preserve"> </v>
      </c>
      <c r="N756" s="4" t="str">
        <f ca="1">IF(OR(INDEX($W$2:$W$1001,MATCH(ROWS($V$2:V756),$V$2:$V$1001,0),1)&gt;=100000,INDEX($AC$1005:$AS$1005,1,MATCH(COLUMNS($AC$1006:AO1006),$AC$1006:$AS$1006,0))&gt;=100000), " ",IF(INDEX($AC$2:$AS$1001,MATCH(ROWS($V$2:V756),$V$2:$V$1001,0),MATCH(COLUMNS($AC$1006:AO1006),$AC$1006:$AS$1006,0)), HYPERLINK("#",""), HYPERLINK(CONCATENATE("#metadata!", ADDRESS(INDEX($X$2:$X$1001,MATCH(ROWS($V$2:V756),$V$2:$V$1001,0),0), INDEX($AC$1004:$AS$1004,1,MATCH(COLUMNS($AC$1006:AO1006),$AC$1006:$AS$1006,0)))),"Fix")))</f>
        <v xml:space="preserve"> </v>
      </c>
      <c r="O756" s="4" t="str">
        <f ca="1">IF(OR(INDEX($W$2:$W$1001,MATCH(ROWS($V$2:V756),$V$2:$V$1001,0),1)&gt;=100000,INDEX($AC$1005:$AS$1005,1,MATCH(COLUMNS($AC$1006:AP1006),$AC$1006:$AS$1006,0))&gt;=100000), " ",IF(INDEX($AC$2:$AS$1001,MATCH(ROWS($V$2:V756),$V$2:$V$1001,0),MATCH(COLUMNS($AC$1006:AP1006),$AC$1006:$AS$1006,0)), HYPERLINK("#",""), HYPERLINK(CONCATENATE("#metadata!", ADDRESS(INDEX($X$2:$X$1001,MATCH(ROWS($V$2:V756),$V$2:$V$1001,0),0), INDEX($AC$1004:$AS$1004,1,MATCH(COLUMNS($AC$1006:AP1006),$AC$1006:$AS$1006,0)))),"Fix")))</f>
        <v xml:space="preserve"> </v>
      </c>
      <c r="P756" s="4" t="str">
        <f ca="1">IF(OR(INDEX($W$2:$W$1001,MATCH(ROWS($V$2:V756),$V$2:$V$1001,0),1)&gt;=100000,INDEX($AC$1005:$AS$1005,1,MATCH(COLUMNS($AC$1006:AQ1006),$AC$1006:$AS$1006,0))&gt;=100000), " ",IF(INDEX($AC$2:$AS$1001,MATCH(ROWS($V$2:V756),$V$2:$V$1001,0),MATCH(COLUMNS($AC$1006:AQ1006),$AC$1006:$AS$1006,0)), HYPERLINK("#",""), HYPERLINK(CONCATENATE("#metadata!", ADDRESS(INDEX($X$2:$X$1001,MATCH(ROWS($V$2:V756),$V$2:$V$1001,0),0), INDEX($AC$1004:$AS$1004,1,MATCH(COLUMNS($AC$1006:AQ1006),$AC$1006:$AS$1006,0)))),"Fix")))</f>
        <v xml:space="preserve"> </v>
      </c>
      <c r="Q756" s="4" t="str">
        <f ca="1">IF(OR(INDEX($W$2:$W$1001,MATCH(ROWS($V$2:V756),$V$2:$V$1001,0),1)&gt;=100000,INDEX($AC$1005:$AS$1005,1,MATCH(COLUMNS($AC$1006:AR1006),$AC$1006:$AS$1006,0))&gt;=100000), " ",IF(INDEX($AC$2:$AS$1001,MATCH(ROWS($V$2:V756),$V$2:$V$1001,0),MATCH(COLUMNS($AC$1006:AR1006),$AC$1006:$AS$1006,0)), HYPERLINK("#",""), HYPERLINK(CONCATENATE("#metadata!", ADDRESS(INDEX($X$2:$X$1001,MATCH(ROWS($V$2:V756),$V$2:$V$1001,0),0), INDEX($AC$1004:$AS$1004,1,MATCH(COLUMNS($AC$1006:AR1006),$AC$1006:$AS$1006,0)))),"Fix")))</f>
        <v xml:space="preserve"> </v>
      </c>
      <c r="R756" s="4" t="str">
        <f ca="1">IF(OR(INDEX($W$2:$W$1001,MATCH(ROWS($V$2:V756),$V$2:$V$1001,0),1)&gt;=100000,INDEX($AC$1005:$AS$1005,1,MATCH(COLUMNS($AC$1006:AS1006),$AC$1006:$AS$1006,0))&gt;=100000), " ",IF(INDEX($AC$2:$AS$1001,MATCH(ROWS($V$2:V756),$V$2:$V$1001,0),MATCH(COLUMNS($AC$1006:AS1006),$AC$1006:$AS$1006,0)), HYPERLINK("#",""), HYPERLINK(CONCATENATE("#metadata!", ADDRESS(INDEX($X$2:$X$1001,MATCH(ROWS($V$2:V756),$V$2:$V$1001,0),0), INDEX($AC$1004:$AS$1004,1,MATCH(COLUMNS($AC$1006:AS1006),$AC$1006:$AS$1006,0)))),"Fix")))</f>
        <v xml:space="preserve"> </v>
      </c>
      <c r="V756">
        <v>755</v>
      </c>
      <c r="W756">
        <v>100756</v>
      </c>
      <c r="X756">
        <v>756</v>
      </c>
      <c r="Y756" t="b">
        <f t="shared" si="11"/>
        <v>1</v>
      </c>
      <c r="Z756" t="b">
        <f>COUNTBLANK(metadata!B756:R756)=COLUMNS(metadata!B756:R756)</f>
        <v>1</v>
      </c>
      <c r="AA756" t="str">
        <v/>
      </c>
      <c r="AC756" t="b">
        <f ca="1"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AD756" t="b">
        <f>IF(metadata!C756="",FALSE,ISNUMBER(VALUE(metadata!C756)))</f>
        <v>0</v>
      </c>
      <c r="AE756" t="b">
        <f>AND(IF(metadata!D756="",FALSE,TRUE),EXACT(metadata!D756,"years"))</f>
        <v>0</v>
      </c>
      <c r="AF756" t="b">
        <f>OR(AND(IF(metadata!E756="",FALSE,TRUE),OR(EXACT(metadata!E756,"not applicable"),EXACT(metadata!E756,"missing: not collected"),EXACT(metadata!E756,"missing: not provided"),EXACT(metadata!E756,"missing: restricted access"))),AND(IF(metadata!E756="",FALSE,ISNUMBER(VALUE(metadata!E756))),metadata!E756&gt;0))</f>
        <v>0</v>
      </c>
      <c r="AG756" t="b">
        <f>AND(IF(metadata!F756="",FALSE,TRUE),EXACT(metadata!F756,"Not applicable"))</f>
        <v>0</v>
      </c>
      <c r="AH756" t="b">
        <f>AND(IF(metadata!G756="",FALSE,TRUE),EXACT(metadata!G756,"urban biome"))</f>
        <v>0</v>
      </c>
      <c r="AI756" t="b">
        <f>AND(IF(metadata!H756="",FALSE,TRUE),EXACT(metadata!H756,"human-associated habitat"))</f>
        <v>0</v>
      </c>
      <c r="AJ756" t="b">
        <f>AND(IF(metadata!I756="",FALSE,TRUE),OR(EXACT(metadata!I756,"human-associated"),EXACT(metadata!I756,"human-skin"),EXACT(metadata!I756,"human-oral"),EXACT(metadata!I756,"human-gut"),EXACT(metadata!I756,"human-vaginal")))</f>
        <v>0</v>
      </c>
      <c r="AK756" t="b">
        <f>IF(metadata!J756="",FALSE,ISNUMBER(VALUE(metadata!J756)))</f>
        <v>0</v>
      </c>
      <c r="AL756" t="b">
        <f>AND(IF(metadata!K756="",FALSE,TRUE),EXACT(metadata!K756,"cm"))</f>
        <v>0</v>
      </c>
      <c r="AM756" t="b">
        <f>AND(IF(metadata!L756="",FALSE,TRUE),EXACT(metadata!L756,"human"))</f>
        <v>0</v>
      </c>
      <c r="AN756" t="b">
        <f>AND(IF(metadata!M756="",FALSE,TRUE),EXACT(metadata!M756,"Homo sapiens"))</f>
        <v>0</v>
      </c>
      <c r="AO756" t="b">
        <f>AND(IF(metadata!N756="",FALSE,TRUE),EXACT(metadata!N756,"9606"))</f>
        <v>0</v>
      </c>
      <c r="AP756" t="b">
        <f>IF(metadata!O756="",FALSE,TRUE)</f>
        <v>0</v>
      </c>
      <c r="AQ756" t="b">
        <f>IF(metadata!P756="",FALSE,TRUE)</f>
        <v>0</v>
      </c>
      <c r="AR756" t="b">
        <f>IF(metadata!Q756="",FALSE,ISNUMBER(VALUE(metadata!Q756)))</f>
        <v>0</v>
      </c>
      <c r="AS756" t="b">
        <f>AND(IF(metadata!R756="",FALSE,TRUE),EXACT(metadata!R756,"kg"))</f>
        <v>0</v>
      </c>
    </row>
    <row r="757" spans="1:45" x14ac:dyDescent="0.2">
      <c r="A757" s="5" t="str">
        <f ca="1">IF(B757=" "," ",HYPERLINK(CONCATENATE("#metadata!",ADDRESS(INDEX($X$2:$X$1001,MATCH(ROWS($V$2:V757),$V$2:$V$1001,0),0),1)),INDEX($AA$2:$AA$1001,MATCH(ROWS($V$2:V757),$V$2:$V$1001,0),0)))</f>
        <v xml:space="preserve"> </v>
      </c>
      <c r="B757" s="4" t="str">
        <f ca="1">IF(OR(INDEX($W$2:$W$1001,MATCH(ROWS($V$2:V757),$V$2:$V$1001,0),1)&gt;=100000,INDEX($AC$1005:$AS$1005,1,MATCH(COLUMNS($AC$1006:AC1006),$AC$1006:$AS$1006,0))&gt;=100000), " ",IF(INDEX($AC$2:$AS$1001,MATCH(ROWS($V$2:V757),$V$2:$V$1001,0),MATCH(COLUMNS($AC$1006:AC1006),$AC$1006:$AS$1006,0)), HYPERLINK("#",""), HYPERLINK(CONCATENATE("#metadata!", ADDRESS(INDEX($X$2:$X$1001,MATCH(ROWS($V$2:V757),$V$2:$V$1001,0),0), INDEX($AC$1004:$AS$1004,1,MATCH(COLUMNS($AC$1006:AC1006),$AC$1006:$AS$1006,0)))),"Fix")))</f>
        <v xml:space="preserve"> </v>
      </c>
      <c r="C757" s="4" t="str">
        <f ca="1">IF(OR(INDEX($W$2:$W$1001,MATCH(ROWS($V$2:V757),$V$2:$V$1001,0),1)&gt;=100000,INDEX($AC$1005:$AS$1005,1,MATCH(COLUMNS($AC$1006:AD1006),$AC$1006:$AS$1006,0))&gt;=100000), " ",IF(INDEX($AC$2:$AS$1001,MATCH(ROWS($V$2:V757),$V$2:$V$1001,0),MATCH(COLUMNS($AC$1006:AD1006),$AC$1006:$AS$1006,0)), HYPERLINK("#",""), HYPERLINK(CONCATENATE("#metadata!", ADDRESS(INDEX($X$2:$X$1001,MATCH(ROWS($V$2:V757),$V$2:$V$1001,0),0), INDEX($AC$1004:$AS$1004,1,MATCH(COLUMNS($AC$1006:AD1006),$AC$1006:$AS$1006,0)))),"Fix")))</f>
        <v xml:space="preserve"> </v>
      </c>
      <c r="D757" s="4" t="str">
        <f ca="1">IF(OR(INDEX($W$2:$W$1001,MATCH(ROWS($V$2:V757),$V$2:$V$1001,0),1)&gt;=100000,INDEX($AC$1005:$AS$1005,1,MATCH(COLUMNS($AC$1006:AE1006),$AC$1006:$AS$1006,0))&gt;=100000), " ",IF(INDEX($AC$2:$AS$1001,MATCH(ROWS($V$2:V757),$V$2:$V$1001,0),MATCH(COLUMNS($AC$1006:AE1006),$AC$1006:$AS$1006,0)), HYPERLINK("#",""), HYPERLINK(CONCATENATE("#metadata!", ADDRESS(INDEX($X$2:$X$1001,MATCH(ROWS($V$2:V757),$V$2:$V$1001,0),0), INDEX($AC$1004:$AS$1004,1,MATCH(COLUMNS($AC$1006:AE1006),$AC$1006:$AS$1006,0)))),"Fix")))</f>
        <v xml:space="preserve"> </v>
      </c>
      <c r="E757" s="4" t="str">
        <f ca="1">IF(OR(INDEX($W$2:$W$1001,MATCH(ROWS($V$2:V757),$V$2:$V$1001,0),1)&gt;=100000,INDEX($AC$1005:$AS$1005,1,MATCH(COLUMNS($AC$1006:AF1006),$AC$1006:$AS$1006,0))&gt;=100000), " ",IF(INDEX($AC$2:$AS$1001,MATCH(ROWS($V$2:V757),$V$2:$V$1001,0),MATCH(COLUMNS($AC$1006:AF1006),$AC$1006:$AS$1006,0)), HYPERLINK("#",""), HYPERLINK(CONCATENATE("#metadata!", ADDRESS(INDEX($X$2:$X$1001,MATCH(ROWS($V$2:V757),$V$2:$V$1001,0),0), INDEX($AC$1004:$AS$1004,1,MATCH(COLUMNS($AC$1006:AF1006),$AC$1006:$AS$1006,0)))),"Fix")))</f>
        <v xml:space="preserve"> </v>
      </c>
      <c r="F757" s="4" t="str">
        <f ca="1">IF(OR(INDEX($W$2:$W$1001,MATCH(ROWS($V$2:V757),$V$2:$V$1001,0),1)&gt;=100000,INDEX($AC$1005:$AS$1005,1,MATCH(COLUMNS($AC$1006:AG1006),$AC$1006:$AS$1006,0))&gt;=100000), " ",IF(INDEX($AC$2:$AS$1001,MATCH(ROWS($V$2:V757),$V$2:$V$1001,0),MATCH(COLUMNS($AC$1006:AG1006),$AC$1006:$AS$1006,0)), HYPERLINK("#",""), HYPERLINK(CONCATENATE("#metadata!", ADDRESS(INDEX($X$2:$X$1001,MATCH(ROWS($V$2:V757),$V$2:$V$1001,0),0), INDEX($AC$1004:$AS$1004,1,MATCH(COLUMNS($AC$1006:AG1006),$AC$1006:$AS$1006,0)))),"Fix")))</f>
        <v xml:space="preserve"> </v>
      </c>
      <c r="G757" s="4" t="str">
        <f ca="1">IF(OR(INDEX($W$2:$W$1001,MATCH(ROWS($V$2:V757),$V$2:$V$1001,0),1)&gt;=100000,INDEX($AC$1005:$AS$1005,1,MATCH(COLUMNS($AC$1006:AH1006),$AC$1006:$AS$1006,0))&gt;=100000), " ",IF(INDEX($AC$2:$AS$1001,MATCH(ROWS($V$2:V757),$V$2:$V$1001,0),MATCH(COLUMNS($AC$1006:AH1006),$AC$1006:$AS$1006,0)), HYPERLINK("#",""), HYPERLINK(CONCATENATE("#metadata!", ADDRESS(INDEX($X$2:$X$1001,MATCH(ROWS($V$2:V757),$V$2:$V$1001,0),0), INDEX($AC$1004:$AS$1004,1,MATCH(COLUMNS($AC$1006:AH1006),$AC$1006:$AS$1006,0)))),"Fix")))</f>
        <v xml:space="preserve"> </v>
      </c>
      <c r="H757" s="4" t="str">
        <f ca="1">IF(OR(INDEX($W$2:$W$1001,MATCH(ROWS($V$2:V757),$V$2:$V$1001,0),1)&gt;=100000,INDEX($AC$1005:$AS$1005,1,MATCH(COLUMNS($AC$1006:AI1006),$AC$1006:$AS$1006,0))&gt;=100000), " ",IF(INDEX($AC$2:$AS$1001,MATCH(ROWS($V$2:V757),$V$2:$V$1001,0),MATCH(COLUMNS($AC$1006:AI1006),$AC$1006:$AS$1006,0)), HYPERLINK("#",""), HYPERLINK(CONCATENATE("#metadata!", ADDRESS(INDEX($X$2:$X$1001,MATCH(ROWS($V$2:V757),$V$2:$V$1001,0),0), INDEX($AC$1004:$AS$1004,1,MATCH(COLUMNS($AC$1006:AI1006),$AC$1006:$AS$1006,0)))),"Fix")))</f>
        <v xml:space="preserve"> </v>
      </c>
      <c r="I757" s="4" t="str">
        <f ca="1">IF(OR(INDEX($W$2:$W$1001,MATCH(ROWS($V$2:V757),$V$2:$V$1001,0),1)&gt;=100000,INDEX($AC$1005:$AS$1005,1,MATCH(COLUMNS($AC$1006:AJ1006),$AC$1006:$AS$1006,0))&gt;=100000), " ",IF(INDEX($AC$2:$AS$1001,MATCH(ROWS($V$2:V757),$V$2:$V$1001,0),MATCH(COLUMNS($AC$1006:AJ1006),$AC$1006:$AS$1006,0)), HYPERLINK("#",""), HYPERLINK(CONCATENATE("#metadata!", ADDRESS(INDEX($X$2:$X$1001,MATCH(ROWS($V$2:V757),$V$2:$V$1001,0),0), INDEX($AC$1004:$AS$1004,1,MATCH(COLUMNS($AC$1006:AJ1006),$AC$1006:$AS$1006,0)))),"Fix")))</f>
        <v xml:space="preserve"> </v>
      </c>
      <c r="J757" s="4" t="str">
        <f ca="1">IF(OR(INDEX($W$2:$W$1001,MATCH(ROWS($V$2:V757),$V$2:$V$1001,0),1)&gt;=100000,INDEX($AC$1005:$AS$1005,1,MATCH(COLUMNS($AC$1006:AK1006),$AC$1006:$AS$1006,0))&gt;=100000), " ",IF(INDEX($AC$2:$AS$1001,MATCH(ROWS($V$2:V757),$V$2:$V$1001,0),MATCH(COLUMNS($AC$1006:AK1006),$AC$1006:$AS$1006,0)), HYPERLINK("#",""), HYPERLINK(CONCATENATE("#metadata!", ADDRESS(INDEX($X$2:$X$1001,MATCH(ROWS($V$2:V757),$V$2:$V$1001,0),0), INDEX($AC$1004:$AS$1004,1,MATCH(COLUMNS($AC$1006:AK1006),$AC$1006:$AS$1006,0)))),"Fix")))</f>
        <v xml:space="preserve"> </v>
      </c>
      <c r="K757" s="4" t="str">
        <f ca="1">IF(OR(INDEX($W$2:$W$1001,MATCH(ROWS($V$2:V757),$V$2:$V$1001,0),1)&gt;=100000,INDEX($AC$1005:$AS$1005,1,MATCH(COLUMNS($AC$1006:AL1006),$AC$1006:$AS$1006,0))&gt;=100000), " ",IF(INDEX($AC$2:$AS$1001,MATCH(ROWS($V$2:V757),$V$2:$V$1001,0),MATCH(COLUMNS($AC$1006:AL1006),$AC$1006:$AS$1006,0)), HYPERLINK("#",""), HYPERLINK(CONCATENATE("#metadata!", ADDRESS(INDEX($X$2:$X$1001,MATCH(ROWS($V$2:V757),$V$2:$V$1001,0),0), INDEX($AC$1004:$AS$1004,1,MATCH(COLUMNS($AC$1006:AL1006),$AC$1006:$AS$1006,0)))),"Fix")))</f>
        <v xml:space="preserve"> </v>
      </c>
      <c r="L757" s="4" t="str">
        <f ca="1">IF(OR(INDEX($W$2:$W$1001,MATCH(ROWS($V$2:V757),$V$2:$V$1001,0),1)&gt;=100000,INDEX($AC$1005:$AS$1005,1,MATCH(COLUMNS($AC$1006:AM1006),$AC$1006:$AS$1006,0))&gt;=100000), " ",IF(INDEX($AC$2:$AS$1001,MATCH(ROWS($V$2:V757),$V$2:$V$1001,0),MATCH(COLUMNS($AC$1006:AM1006),$AC$1006:$AS$1006,0)), HYPERLINK("#",""), HYPERLINK(CONCATENATE("#metadata!", ADDRESS(INDEX($X$2:$X$1001,MATCH(ROWS($V$2:V757),$V$2:$V$1001,0),0), INDEX($AC$1004:$AS$1004,1,MATCH(COLUMNS($AC$1006:AM1006),$AC$1006:$AS$1006,0)))),"Fix")))</f>
        <v xml:space="preserve"> </v>
      </c>
      <c r="M757" s="4" t="str">
        <f ca="1">IF(OR(INDEX($W$2:$W$1001,MATCH(ROWS($V$2:V757),$V$2:$V$1001,0),1)&gt;=100000,INDEX($AC$1005:$AS$1005,1,MATCH(COLUMNS($AC$1006:AN1006),$AC$1006:$AS$1006,0))&gt;=100000), " ",IF(INDEX($AC$2:$AS$1001,MATCH(ROWS($V$2:V757),$V$2:$V$1001,0),MATCH(COLUMNS($AC$1006:AN1006),$AC$1006:$AS$1006,0)), HYPERLINK("#",""), HYPERLINK(CONCATENATE("#metadata!", ADDRESS(INDEX($X$2:$X$1001,MATCH(ROWS($V$2:V757),$V$2:$V$1001,0),0), INDEX($AC$1004:$AS$1004,1,MATCH(COLUMNS($AC$1006:AN1006),$AC$1006:$AS$1006,0)))),"Fix")))</f>
        <v xml:space="preserve"> </v>
      </c>
      <c r="N757" s="4" t="str">
        <f ca="1">IF(OR(INDEX($W$2:$W$1001,MATCH(ROWS($V$2:V757),$V$2:$V$1001,0),1)&gt;=100000,INDEX($AC$1005:$AS$1005,1,MATCH(COLUMNS($AC$1006:AO1006),$AC$1006:$AS$1006,0))&gt;=100000), " ",IF(INDEX($AC$2:$AS$1001,MATCH(ROWS($V$2:V757),$V$2:$V$1001,0),MATCH(COLUMNS($AC$1006:AO1006),$AC$1006:$AS$1006,0)), HYPERLINK("#",""), HYPERLINK(CONCATENATE("#metadata!", ADDRESS(INDEX($X$2:$X$1001,MATCH(ROWS($V$2:V757),$V$2:$V$1001,0),0), INDEX($AC$1004:$AS$1004,1,MATCH(COLUMNS($AC$1006:AO1006),$AC$1006:$AS$1006,0)))),"Fix")))</f>
        <v xml:space="preserve"> </v>
      </c>
      <c r="O757" s="4" t="str">
        <f ca="1">IF(OR(INDEX($W$2:$W$1001,MATCH(ROWS($V$2:V757),$V$2:$V$1001,0),1)&gt;=100000,INDEX($AC$1005:$AS$1005,1,MATCH(COLUMNS($AC$1006:AP1006),$AC$1006:$AS$1006,0))&gt;=100000), " ",IF(INDEX($AC$2:$AS$1001,MATCH(ROWS($V$2:V757),$V$2:$V$1001,0),MATCH(COLUMNS($AC$1006:AP1006),$AC$1006:$AS$1006,0)), HYPERLINK("#",""), HYPERLINK(CONCATENATE("#metadata!", ADDRESS(INDEX($X$2:$X$1001,MATCH(ROWS($V$2:V757),$V$2:$V$1001,0),0), INDEX($AC$1004:$AS$1004,1,MATCH(COLUMNS($AC$1006:AP1006),$AC$1006:$AS$1006,0)))),"Fix")))</f>
        <v xml:space="preserve"> </v>
      </c>
      <c r="P757" s="4" t="str">
        <f ca="1">IF(OR(INDEX($W$2:$W$1001,MATCH(ROWS($V$2:V757),$V$2:$V$1001,0),1)&gt;=100000,INDEX($AC$1005:$AS$1005,1,MATCH(COLUMNS($AC$1006:AQ1006),$AC$1006:$AS$1006,0))&gt;=100000), " ",IF(INDEX($AC$2:$AS$1001,MATCH(ROWS($V$2:V757),$V$2:$V$1001,0),MATCH(COLUMNS($AC$1006:AQ1006),$AC$1006:$AS$1006,0)), HYPERLINK("#",""), HYPERLINK(CONCATENATE("#metadata!", ADDRESS(INDEX($X$2:$X$1001,MATCH(ROWS($V$2:V757),$V$2:$V$1001,0),0), INDEX($AC$1004:$AS$1004,1,MATCH(COLUMNS($AC$1006:AQ1006),$AC$1006:$AS$1006,0)))),"Fix")))</f>
        <v xml:space="preserve"> </v>
      </c>
      <c r="Q757" s="4" t="str">
        <f ca="1">IF(OR(INDEX($W$2:$W$1001,MATCH(ROWS($V$2:V757),$V$2:$V$1001,0),1)&gt;=100000,INDEX($AC$1005:$AS$1005,1,MATCH(COLUMNS($AC$1006:AR1006),$AC$1006:$AS$1006,0))&gt;=100000), " ",IF(INDEX($AC$2:$AS$1001,MATCH(ROWS($V$2:V757),$V$2:$V$1001,0),MATCH(COLUMNS($AC$1006:AR1006),$AC$1006:$AS$1006,0)), HYPERLINK("#",""), HYPERLINK(CONCATENATE("#metadata!", ADDRESS(INDEX($X$2:$X$1001,MATCH(ROWS($V$2:V757),$V$2:$V$1001,0),0), INDEX($AC$1004:$AS$1004,1,MATCH(COLUMNS($AC$1006:AR1006),$AC$1006:$AS$1006,0)))),"Fix")))</f>
        <v xml:space="preserve"> </v>
      </c>
      <c r="R757" s="4" t="str">
        <f ca="1">IF(OR(INDEX($W$2:$W$1001,MATCH(ROWS($V$2:V757),$V$2:$V$1001,0),1)&gt;=100000,INDEX($AC$1005:$AS$1005,1,MATCH(COLUMNS($AC$1006:AS1006),$AC$1006:$AS$1006,0))&gt;=100000), " ",IF(INDEX($AC$2:$AS$1001,MATCH(ROWS($V$2:V757),$V$2:$V$1001,0),MATCH(COLUMNS($AC$1006:AS1006),$AC$1006:$AS$1006,0)), HYPERLINK("#",""), HYPERLINK(CONCATENATE("#metadata!", ADDRESS(INDEX($X$2:$X$1001,MATCH(ROWS($V$2:V757),$V$2:$V$1001,0),0), INDEX($AC$1004:$AS$1004,1,MATCH(COLUMNS($AC$1006:AS1006),$AC$1006:$AS$1006,0)))),"Fix")))</f>
        <v xml:space="preserve"> </v>
      </c>
      <c r="V757">
        <v>756</v>
      </c>
      <c r="W757">
        <v>100757</v>
      </c>
      <c r="X757">
        <v>757</v>
      </c>
      <c r="Y757" t="b">
        <f t="shared" si="11"/>
        <v>1</v>
      </c>
      <c r="Z757" t="b">
        <f>COUNTBLANK(metadata!B757:R757)=COLUMNS(metadata!B757:R757)</f>
        <v>1</v>
      </c>
      <c r="AA757" t="str">
        <v/>
      </c>
      <c r="AC757" t="b">
        <f ca="1"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AD757" t="b">
        <f>IF(metadata!C757="",FALSE,ISNUMBER(VALUE(metadata!C757)))</f>
        <v>0</v>
      </c>
      <c r="AE757" t="b">
        <f>AND(IF(metadata!D757="",FALSE,TRUE),EXACT(metadata!D757,"years"))</f>
        <v>0</v>
      </c>
      <c r="AF757" t="b">
        <f>OR(AND(IF(metadata!E757="",FALSE,TRUE),OR(EXACT(metadata!E757,"not applicable"),EXACT(metadata!E757,"missing: not collected"),EXACT(metadata!E757,"missing: not provided"),EXACT(metadata!E757,"missing: restricted access"))),AND(IF(metadata!E757="",FALSE,ISNUMBER(VALUE(metadata!E757))),metadata!E757&gt;0))</f>
        <v>0</v>
      </c>
      <c r="AG757" t="b">
        <f>AND(IF(metadata!F757="",FALSE,TRUE),EXACT(metadata!F757,"Not applicable"))</f>
        <v>0</v>
      </c>
      <c r="AH757" t="b">
        <f>AND(IF(metadata!G757="",FALSE,TRUE),EXACT(metadata!G757,"urban biome"))</f>
        <v>0</v>
      </c>
      <c r="AI757" t="b">
        <f>AND(IF(metadata!H757="",FALSE,TRUE),EXACT(metadata!H757,"human-associated habitat"))</f>
        <v>0</v>
      </c>
      <c r="AJ757" t="b">
        <f>AND(IF(metadata!I757="",FALSE,TRUE),OR(EXACT(metadata!I757,"human-associated"),EXACT(metadata!I757,"human-skin"),EXACT(metadata!I757,"human-oral"),EXACT(metadata!I757,"human-gut"),EXACT(metadata!I757,"human-vaginal")))</f>
        <v>0</v>
      </c>
      <c r="AK757" t="b">
        <f>IF(metadata!J757="",FALSE,ISNUMBER(VALUE(metadata!J757)))</f>
        <v>0</v>
      </c>
      <c r="AL757" t="b">
        <f>AND(IF(metadata!K757="",FALSE,TRUE),EXACT(metadata!K757,"cm"))</f>
        <v>0</v>
      </c>
      <c r="AM757" t="b">
        <f>AND(IF(metadata!L757="",FALSE,TRUE),EXACT(metadata!L757,"human"))</f>
        <v>0</v>
      </c>
      <c r="AN757" t="b">
        <f>AND(IF(metadata!M757="",FALSE,TRUE),EXACT(metadata!M757,"Homo sapiens"))</f>
        <v>0</v>
      </c>
      <c r="AO757" t="b">
        <f>AND(IF(metadata!N757="",FALSE,TRUE),EXACT(metadata!N757,"9606"))</f>
        <v>0</v>
      </c>
      <c r="AP757" t="b">
        <f>IF(metadata!O757="",FALSE,TRUE)</f>
        <v>0</v>
      </c>
      <c r="AQ757" t="b">
        <f>IF(metadata!P757="",FALSE,TRUE)</f>
        <v>0</v>
      </c>
      <c r="AR757" t="b">
        <f>IF(metadata!Q757="",FALSE,ISNUMBER(VALUE(metadata!Q757)))</f>
        <v>0</v>
      </c>
      <c r="AS757" t="b">
        <f>AND(IF(metadata!R757="",FALSE,TRUE),EXACT(metadata!R757,"kg"))</f>
        <v>0</v>
      </c>
    </row>
    <row r="758" spans="1:45" x14ac:dyDescent="0.2">
      <c r="A758" s="5" t="str">
        <f ca="1">IF(B758=" "," ",HYPERLINK(CONCATENATE("#metadata!",ADDRESS(INDEX($X$2:$X$1001,MATCH(ROWS($V$2:V758),$V$2:$V$1001,0),0),1)),INDEX($AA$2:$AA$1001,MATCH(ROWS($V$2:V758),$V$2:$V$1001,0),0)))</f>
        <v xml:space="preserve"> </v>
      </c>
      <c r="B758" s="4" t="str">
        <f ca="1">IF(OR(INDEX($W$2:$W$1001,MATCH(ROWS($V$2:V758),$V$2:$V$1001,0),1)&gt;=100000,INDEX($AC$1005:$AS$1005,1,MATCH(COLUMNS($AC$1006:AC1006),$AC$1006:$AS$1006,0))&gt;=100000), " ",IF(INDEX($AC$2:$AS$1001,MATCH(ROWS($V$2:V758),$V$2:$V$1001,0),MATCH(COLUMNS($AC$1006:AC1006),$AC$1006:$AS$1006,0)), HYPERLINK("#",""), HYPERLINK(CONCATENATE("#metadata!", ADDRESS(INDEX($X$2:$X$1001,MATCH(ROWS($V$2:V758),$V$2:$V$1001,0),0), INDEX($AC$1004:$AS$1004,1,MATCH(COLUMNS($AC$1006:AC1006),$AC$1006:$AS$1006,0)))),"Fix")))</f>
        <v xml:space="preserve"> </v>
      </c>
      <c r="C758" s="4" t="str">
        <f ca="1">IF(OR(INDEX($W$2:$W$1001,MATCH(ROWS($V$2:V758),$V$2:$V$1001,0),1)&gt;=100000,INDEX($AC$1005:$AS$1005,1,MATCH(COLUMNS($AC$1006:AD1006),$AC$1006:$AS$1006,0))&gt;=100000), " ",IF(INDEX($AC$2:$AS$1001,MATCH(ROWS($V$2:V758),$V$2:$V$1001,0),MATCH(COLUMNS($AC$1006:AD1006),$AC$1006:$AS$1006,0)), HYPERLINK("#",""), HYPERLINK(CONCATENATE("#metadata!", ADDRESS(INDEX($X$2:$X$1001,MATCH(ROWS($V$2:V758),$V$2:$V$1001,0),0), INDEX($AC$1004:$AS$1004,1,MATCH(COLUMNS($AC$1006:AD1006),$AC$1006:$AS$1006,0)))),"Fix")))</f>
        <v xml:space="preserve"> </v>
      </c>
      <c r="D758" s="4" t="str">
        <f ca="1">IF(OR(INDEX($W$2:$W$1001,MATCH(ROWS($V$2:V758),$V$2:$V$1001,0),1)&gt;=100000,INDEX($AC$1005:$AS$1005,1,MATCH(COLUMNS($AC$1006:AE1006),$AC$1006:$AS$1006,0))&gt;=100000), " ",IF(INDEX($AC$2:$AS$1001,MATCH(ROWS($V$2:V758),$V$2:$V$1001,0),MATCH(COLUMNS($AC$1006:AE1006),$AC$1006:$AS$1006,0)), HYPERLINK("#",""), HYPERLINK(CONCATENATE("#metadata!", ADDRESS(INDEX($X$2:$X$1001,MATCH(ROWS($V$2:V758),$V$2:$V$1001,0),0), INDEX($AC$1004:$AS$1004,1,MATCH(COLUMNS($AC$1006:AE1006),$AC$1006:$AS$1006,0)))),"Fix")))</f>
        <v xml:space="preserve"> </v>
      </c>
      <c r="E758" s="4" t="str">
        <f ca="1">IF(OR(INDEX($W$2:$W$1001,MATCH(ROWS($V$2:V758),$V$2:$V$1001,0),1)&gt;=100000,INDEX($AC$1005:$AS$1005,1,MATCH(COLUMNS($AC$1006:AF1006),$AC$1006:$AS$1006,0))&gt;=100000), " ",IF(INDEX($AC$2:$AS$1001,MATCH(ROWS($V$2:V758),$V$2:$V$1001,0),MATCH(COLUMNS($AC$1006:AF1006),$AC$1006:$AS$1006,0)), HYPERLINK("#",""), HYPERLINK(CONCATENATE("#metadata!", ADDRESS(INDEX($X$2:$X$1001,MATCH(ROWS($V$2:V758),$V$2:$V$1001,0),0), INDEX($AC$1004:$AS$1004,1,MATCH(COLUMNS($AC$1006:AF1006),$AC$1006:$AS$1006,0)))),"Fix")))</f>
        <v xml:space="preserve"> </v>
      </c>
      <c r="F758" s="4" t="str">
        <f ca="1">IF(OR(INDEX($W$2:$W$1001,MATCH(ROWS($V$2:V758),$V$2:$V$1001,0),1)&gt;=100000,INDEX($AC$1005:$AS$1005,1,MATCH(COLUMNS($AC$1006:AG1006),$AC$1006:$AS$1006,0))&gt;=100000), " ",IF(INDEX($AC$2:$AS$1001,MATCH(ROWS($V$2:V758),$V$2:$V$1001,0),MATCH(COLUMNS($AC$1006:AG1006),$AC$1006:$AS$1006,0)), HYPERLINK("#",""), HYPERLINK(CONCATENATE("#metadata!", ADDRESS(INDEX($X$2:$X$1001,MATCH(ROWS($V$2:V758),$V$2:$V$1001,0),0), INDEX($AC$1004:$AS$1004,1,MATCH(COLUMNS($AC$1006:AG1006),$AC$1006:$AS$1006,0)))),"Fix")))</f>
        <v xml:space="preserve"> </v>
      </c>
      <c r="G758" s="4" t="str">
        <f ca="1">IF(OR(INDEX($W$2:$W$1001,MATCH(ROWS($V$2:V758),$V$2:$V$1001,0),1)&gt;=100000,INDEX($AC$1005:$AS$1005,1,MATCH(COLUMNS($AC$1006:AH1006),$AC$1006:$AS$1006,0))&gt;=100000), " ",IF(INDEX($AC$2:$AS$1001,MATCH(ROWS($V$2:V758),$V$2:$V$1001,0),MATCH(COLUMNS($AC$1006:AH1006),$AC$1006:$AS$1006,0)), HYPERLINK("#",""), HYPERLINK(CONCATENATE("#metadata!", ADDRESS(INDEX($X$2:$X$1001,MATCH(ROWS($V$2:V758),$V$2:$V$1001,0),0), INDEX($AC$1004:$AS$1004,1,MATCH(COLUMNS($AC$1006:AH1006),$AC$1006:$AS$1006,0)))),"Fix")))</f>
        <v xml:space="preserve"> </v>
      </c>
      <c r="H758" s="4" t="str">
        <f ca="1">IF(OR(INDEX($W$2:$W$1001,MATCH(ROWS($V$2:V758),$V$2:$V$1001,0),1)&gt;=100000,INDEX($AC$1005:$AS$1005,1,MATCH(COLUMNS($AC$1006:AI1006),$AC$1006:$AS$1006,0))&gt;=100000), " ",IF(INDEX($AC$2:$AS$1001,MATCH(ROWS($V$2:V758),$V$2:$V$1001,0),MATCH(COLUMNS($AC$1006:AI1006),$AC$1006:$AS$1006,0)), HYPERLINK("#",""), HYPERLINK(CONCATENATE("#metadata!", ADDRESS(INDEX($X$2:$X$1001,MATCH(ROWS($V$2:V758),$V$2:$V$1001,0),0), INDEX($AC$1004:$AS$1004,1,MATCH(COLUMNS($AC$1006:AI1006),$AC$1006:$AS$1006,0)))),"Fix")))</f>
        <v xml:space="preserve"> </v>
      </c>
      <c r="I758" s="4" t="str">
        <f ca="1">IF(OR(INDEX($W$2:$W$1001,MATCH(ROWS($V$2:V758),$V$2:$V$1001,0),1)&gt;=100000,INDEX($AC$1005:$AS$1005,1,MATCH(COLUMNS($AC$1006:AJ1006),$AC$1006:$AS$1006,0))&gt;=100000), " ",IF(INDEX($AC$2:$AS$1001,MATCH(ROWS($V$2:V758),$V$2:$V$1001,0),MATCH(COLUMNS($AC$1006:AJ1006),$AC$1006:$AS$1006,0)), HYPERLINK("#",""), HYPERLINK(CONCATENATE("#metadata!", ADDRESS(INDEX($X$2:$X$1001,MATCH(ROWS($V$2:V758),$V$2:$V$1001,0),0), INDEX($AC$1004:$AS$1004,1,MATCH(COLUMNS($AC$1006:AJ1006),$AC$1006:$AS$1006,0)))),"Fix")))</f>
        <v xml:space="preserve"> </v>
      </c>
      <c r="J758" s="4" t="str">
        <f ca="1">IF(OR(INDEX($W$2:$W$1001,MATCH(ROWS($V$2:V758),$V$2:$V$1001,0),1)&gt;=100000,INDEX($AC$1005:$AS$1005,1,MATCH(COLUMNS($AC$1006:AK1006),$AC$1006:$AS$1006,0))&gt;=100000), " ",IF(INDEX($AC$2:$AS$1001,MATCH(ROWS($V$2:V758),$V$2:$V$1001,0),MATCH(COLUMNS($AC$1006:AK1006),$AC$1006:$AS$1006,0)), HYPERLINK("#",""), HYPERLINK(CONCATENATE("#metadata!", ADDRESS(INDEX($X$2:$X$1001,MATCH(ROWS($V$2:V758),$V$2:$V$1001,0),0), INDEX($AC$1004:$AS$1004,1,MATCH(COLUMNS($AC$1006:AK1006),$AC$1006:$AS$1006,0)))),"Fix")))</f>
        <v xml:space="preserve"> </v>
      </c>
      <c r="K758" s="4" t="str">
        <f ca="1">IF(OR(INDEX($W$2:$W$1001,MATCH(ROWS($V$2:V758),$V$2:$V$1001,0),1)&gt;=100000,INDEX($AC$1005:$AS$1005,1,MATCH(COLUMNS($AC$1006:AL1006),$AC$1006:$AS$1006,0))&gt;=100000), " ",IF(INDEX($AC$2:$AS$1001,MATCH(ROWS($V$2:V758),$V$2:$V$1001,0),MATCH(COLUMNS($AC$1006:AL1006),$AC$1006:$AS$1006,0)), HYPERLINK("#",""), HYPERLINK(CONCATENATE("#metadata!", ADDRESS(INDEX($X$2:$X$1001,MATCH(ROWS($V$2:V758),$V$2:$V$1001,0),0), INDEX($AC$1004:$AS$1004,1,MATCH(COLUMNS($AC$1006:AL1006),$AC$1006:$AS$1006,0)))),"Fix")))</f>
        <v xml:space="preserve"> </v>
      </c>
      <c r="L758" s="4" t="str">
        <f ca="1">IF(OR(INDEX($W$2:$W$1001,MATCH(ROWS($V$2:V758),$V$2:$V$1001,0),1)&gt;=100000,INDEX($AC$1005:$AS$1005,1,MATCH(COLUMNS($AC$1006:AM1006),$AC$1006:$AS$1006,0))&gt;=100000), " ",IF(INDEX($AC$2:$AS$1001,MATCH(ROWS($V$2:V758),$V$2:$V$1001,0),MATCH(COLUMNS($AC$1006:AM1006),$AC$1006:$AS$1006,0)), HYPERLINK("#",""), HYPERLINK(CONCATENATE("#metadata!", ADDRESS(INDEX($X$2:$X$1001,MATCH(ROWS($V$2:V758),$V$2:$V$1001,0),0), INDEX($AC$1004:$AS$1004,1,MATCH(COLUMNS($AC$1006:AM1006),$AC$1006:$AS$1006,0)))),"Fix")))</f>
        <v xml:space="preserve"> </v>
      </c>
      <c r="M758" s="4" t="str">
        <f ca="1">IF(OR(INDEX($W$2:$W$1001,MATCH(ROWS($V$2:V758),$V$2:$V$1001,0),1)&gt;=100000,INDEX($AC$1005:$AS$1005,1,MATCH(COLUMNS($AC$1006:AN1006),$AC$1006:$AS$1006,0))&gt;=100000), " ",IF(INDEX($AC$2:$AS$1001,MATCH(ROWS($V$2:V758),$V$2:$V$1001,0),MATCH(COLUMNS($AC$1006:AN1006),$AC$1006:$AS$1006,0)), HYPERLINK("#",""), HYPERLINK(CONCATENATE("#metadata!", ADDRESS(INDEX($X$2:$X$1001,MATCH(ROWS($V$2:V758),$V$2:$V$1001,0),0), INDEX($AC$1004:$AS$1004,1,MATCH(COLUMNS($AC$1006:AN1006),$AC$1006:$AS$1006,0)))),"Fix")))</f>
        <v xml:space="preserve"> </v>
      </c>
      <c r="N758" s="4" t="str">
        <f ca="1">IF(OR(INDEX($W$2:$W$1001,MATCH(ROWS($V$2:V758),$V$2:$V$1001,0),1)&gt;=100000,INDEX($AC$1005:$AS$1005,1,MATCH(COLUMNS($AC$1006:AO1006),$AC$1006:$AS$1006,0))&gt;=100000), " ",IF(INDEX($AC$2:$AS$1001,MATCH(ROWS($V$2:V758),$V$2:$V$1001,0),MATCH(COLUMNS($AC$1006:AO1006),$AC$1006:$AS$1006,0)), HYPERLINK("#",""), HYPERLINK(CONCATENATE("#metadata!", ADDRESS(INDEX($X$2:$X$1001,MATCH(ROWS($V$2:V758),$V$2:$V$1001,0),0), INDEX($AC$1004:$AS$1004,1,MATCH(COLUMNS($AC$1006:AO1006),$AC$1006:$AS$1006,0)))),"Fix")))</f>
        <v xml:space="preserve"> </v>
      </c>
      <c r="O758" s="4" t="str">
        <f ca="1">IF(OR(INDEX($W$2:$W$1001,MATCH(ROWS($V$2:V758),$V$2:$V$1001,0),1)&gt;=100000,INDEX($AC$1005:$AS$1005,1,MATCH(COLUMNS($AC$1006:AP1006),$AC$1006:$AS$1006,0))&gt;=100000), " ",IF(INDEX($AC$2:$AS$1001,MATCH(ROWS($V$2:V758),$V$2:$V$1001,0),MATCH(COLUMNS($AC$1006:AP1006),$AC$1006:$AS$1006,0)), HYPERLINK("#",""), HYPERLINK(CONCATENATE("#metadata!", ADDRESS(INDEX($X$2:$X$1001,MATCH(ROWS($V$2:V758),$V$2:$V$1001,0),0), INDEX($AC$1004:$AS$1004,1,MATCH(COLUMNS($AC$1006:AP1006),$AC$1006:$AS$1006,0)))),"Fix")))</f>
        <v xml:space="preserve"> </v>
      </c>
      <c r="P758" s="4" t="str">
        <f ca="1">IF(OR(INDEX($W$2:$W$1001,MATCH(ROWS($V$2:V758),$V$2:$V$1001,0),1)&gt;=100000,INDEX($AC$1005:$AS$1005,1,MATCH(COLUMNS($AC$1006:AQ1006),$AC$1006:$AS$1006,0))&gt;=100000), " ",IF(INDEX($AC$2:$AS$1001,MATCH(ROWS($V$2:V758),$V$2:$V$1001,0),MATCH(COLUMNS($AC$1006:AQ1006),$AC$1006:$AS$1006,0)), HYPERLINK("#",""), HYPERLINK(CONCATENATE("#metadata!", ADDRESS(INDEX($X$2:$X$1001,MATCH(ROWS($V$2:V758),$V$2:$V$1001,0),0), INDEX($AC$1004:$AS$1004,1,MATCH(COLUMNS($AC$1006:AQ1006),$AC$1006:$AS$1006,0)))),"Fix")))</f>
        <v xml:space="preserve"> </v>
      </c>
      <c r="Q758" s="4" t="str">
        <f ca="1">IF(OR(INDEX($W$2:$W$1001,MATCH(ROWS($V$2:V758),$V$2:$V$1001,0),1)&gt;=100000,INDEX($AC$1005:$AS$1005,1,MATCH(COLUMNS($AC$1006:AR1006),$AC$1006:$AS$1006,0))&gt;=100000), " ",IF(INDEX($AC$2:$AS$1001,MATCH(ROWS($V$2:V758),$V$2:$V$1001,0),MATCH(COLUMNS($AC$1006:AR1006),$AC$1006:$AS$1006,0)), HYPERLINK("#",""), HYPERLINK(CONCATENATE("#metadata!", ADDRESS(INDEX($X$2:$X$1001,MATCH(ROWS($V$2:V758),$V$2:$V$1001,0),0), INDEX($AC$1004:$AS$1004,1,MATCH(COLUMNS($AC$1006:AR1006),$AC$1006:$AS$1006,0)))),"Fix")))</f>
        <v xml:space="preserve"> </v>
      </c>
      <c r="R758" s="4" t="str">
        <f ca="1">IF(OR(INDEX($W$2:$W$1001,MATCH(ROWS($V$2:V758),$V$2:$V$1001,0),1)&gt;=100000,INDEX($AC$1005:$AS$1005,1,MATCH(COLUMNS($AC$1006:AS1006),$AC$1006:$AS$1006,0))&gt;=100000), " ",IF(INDEX($AC$2:$AS$1001,MATCH(ROWS($V$2:V758),$V$2:$V$1001,0),MATCH(COLUMNS($AC$1006:AS1006),$AC$1006:$AS$1006,0)), HYPERLINK("#",""), HYPERLINK(CONCATENATE("#metadata!", ADDRESS(INDEX($X$2:$X$1001,MATCH(ROWS($V$2:V758),$V$2:$V$1001,0),0), INDEX($AC$1004:$AS$1004,1,MATCH(COLUMNS($AC$1006:AS1006),$AC$1006:$AS$1006,0)))),"Fix")))</f>
        <v xml:space="preserve"> </v>
      </c>
      <c r="V758">
        <v>757</v>
      </c>
      <c r="W758">
        <v>100758</v>
      </c>
      <c r="X758">
        <v>758</v>
      </c>
      <c r="Y758" t="b">
        <f t="shared" si="11"/>
        <v>1</v>
      </c>
      <c r="Z758" t="b">
        <f>COUNTBLANK(metadata!B758:R758)=COLUMNS(metadata!B758:R758)</f>
        <v>1</v>
      </c>
      <c r="AA758" t="str">
        <v/>
      </c>
      <c r="AC758" t="b">
        <f ca="1"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AD758" t="b">
        <f>IF(metadata!C758="",FALSE,ISNUMBER(VALUE(metadata!C758)))</f>
        <v>0</v>
      </c>
      <c r="AE758" t="b">
        <f>AND(IF(metadata!D758="",FALSE,TRUE),EXACT(metadata!D758,"years"))</f>
        <v>0</v>
      </c>
      <c r="AF758" t="b">
        <f>OR(AND(IF(metadata!E758="",FALSE,TRUE),OR(EXACT(metadata!E758,"not applicable"),EXACT(metadata!E758,"missing: not collected"),EXACT(metadata!E758,"missing: not provided"),EXACT(metadata!E758,"missing: restricted access"))),AND(IF(metadata!E758="",FALSE,ISNUMBER(VALUE(metadata!E758))),metadata!E758&gt;0))</f>
        <v>0</v>
      </c>
      <c r="AG758" t="b">
        <f>AND(IF(metadata!F758="",FALSE,TRUE),EXACT(metadata!F758,"Not applicable"))</f>
        <v>0</v>
      </c>
      <c r="AH758" t="b">
        <f>AND(IF(metadata!G758="",FALSE,TRUE),EXACT(metadata!G758,"urban biome"))</f>
        <v>0</v>
      </c>
      <c r="AI758" t="b">
        <f>AND(IF(metadata!H758="",FALSE,TRUE),EXACT(metadata!H758,"human-associated habitat"))</f>
        <v>0</v>
      </c>
      <c r="AJ758" t="b">
        <f>AND(IF(metadata!I758="",FALSE,TRUE),OR(EXACT(metadata!I758,"human-associated"),EXACT(metadata!I758,"human-skin"),EXACT(metadata!I758,"human-oral"),EXACT(metadata!I758,"human-gut"),EXACT(metadata!I758,"human-vaginal")))</f>
        <v>0</v>
      </c>
      <c r="AK758" t="b">
        <f>IF(metadata!J758="",FALSE,ISNUMBER(VALUE(metadata!J758)))</f>
        <v>0</v>
      </c>
      <c r="AL758" t="b">
        <f>AND(IF(metadata!K758="",FALSE,TRUE),EXACT(metadata!K758,"cm"))</f>
        <v>0</v>
      </c>
      <c r="AM758" t="b">
        <f>AND(IF(metadata!L758="",FALSE,TRUE),EXACT(metadata!L758,"human"))</f>
        <v>0</v>
      </c>
      <c r="AN758" t="b">
        <f>AND(IF(metadata!M758="",FALSE,TRUE),EXACT(metadata!M758,"Homo sapiens"))</f>
        <v>0</v>
      </c>
      <c r="AO758" t="b">
        <f>AND(IF(metadata!N758="",FALSE,TRUE),EXACT(metadata!N758,"9606"))</f>
        <v>0</v>
      </c>
      <c r="AP758" t="b">
        <f>IF(metadata!O758="",FALSE,TRUE)</f>
        <v>0</v>
      </c>
      <c r="AQ758" t="b">
        <f>IF(metadata!P758="",FALSE,TRUE)</f>
        <v>0</v>
      </c>
      <c r="AR758" t="b">
        <f>IF(metadata!Q758="",FALSE,ISNUMBER(VALUE(metadata!Q758)))</f>
        <v>0</v>
      </c>
      <c r="AS758" t="b">
        <f>AND(IF(metadata!R758="",FALSE,TRUE),EXACT(metadata!R758,"kg"))</f>
        <v>0</v>
      </c>
    </row>
    <row r="759" spans="1:45" x14ac:dyDescent="0.2">
      <c r="A759" s="5" t="str">
        <f ca="1">IF(B759=" "," ",HYPERLINK(CONCATENATE("#metadata!",ADDRESS(INDEX($X$2:$X$1001,MATCH(ROWS($V$2:V759),$V$2:$V$1001,0),0),1)),INDEX($AA$2:$AA$1001,MATCH(ROWS($V$2:V759),$V$2:$V$1001,0),0)))</f>
        <v xml:space="preserve"> </v>
      </c>
      <c r="B759" s="4" t="str">
        <f ca="1">IF(OR(INDEX($W$2:$W$1001,MATCH(ROWS($V$2:V759),$V$2:$V$1001,0),1)&gt;=100000,INDEX($AC$1005:$AS$1005,1,MATCH(COLUMNS($AC$1006:AC1006),$AC$1006:$AS$1006,0))&gt;=100000), " ",IF(INDEX($AC$2:$AS$1001,MATCH(ROWS($V$2:V759),$V$2:$V$1001,0),MATCH(COLUMNS($AC$1006:AC1006),$AC$1006:$AS$1006,0)), HYPERLINK("#",""), HYPERLINK(CONCATENATE("#metadata!", ADDRESS(INDEX($X$2:$X$1001,MATCH(ROWS($V$2:V759),$V$2:$V$1001,0),0), INDEX($AC$1004:$AS$1004,1,MATCH(COLUMNS($AC$1006:AC1006),$AC$1006:$AS$1006,0)))),"Fix")))</f>
        <v xml:space="preserve"> </v>
      </c>
      <c r="C759" s="4" t="str">
        <f ca="1">IF(OR(INDEX($W$2:$W$1001,MATCH(ROWS($V$2:V759),$V$2:$V$1001,0),1)&gt;=100000,INDEX($AC$1005:$AS$1005,1,MATCH(COLUMNS($AC$1006:AD1006),$AC$1006:$AS$1006,0))&gt;=100000), " ",IF(INDEX($AC$2:$AS$1001,MATCH(ROWS($V$2:V759),$V$2:$V$1001,0),MATCH(COLUMNS($AC$1006:AD1006),$AC$1006:$AS$1006,0)), HYPERLINK("#",""), HYPERLINK(CONCATENATE("#metadata!", ADDRESS(INDEX($X$2:$X$1001,MATCH(ROWS($V$2:V759),$V$2:$V$1001,0),0), INDEX($AC$1004:$AS$1004,1,MATCH(COLUMNS($AC$1006:AD1006),$AC$1006:$AS$1006,0)))),"Fix")))</f>
        <v xml:space="preserve"> </v>
      </c>
      <c r="D759" s="4" t="str">
        <f ca="1">IF(OR(INDEX($W$2:$W$1001,MATCH(ROWS($V$2:V759),$V$2:$V$1001,0),1)&gt;=100000,INDEX($AC$1005:$AS$1005,1,MATCH(COLUMNS($AC$1006:AE1006),$AC$1006:$AS$1006,0))&gt;=100000), " ",IF(INDEX($AC$2:$AS$1001,MATCH(ROWS($V$2:V759),$V$2:$V$1001,0),MATCH(COLUMNS($AC$1006:AE1006),$AC$1006:$AS$1006,0)), HYPERLINK("#",""), HYPERLINK(CONCATENATE("#metadata!", ADDRESS(INDEX($X$2:$X$1001,MATCH(ROWS($V$2:V759),$V$2:$V$1001,0),0), INDEX($AC$1004:$AS$1004,1,MATCH(COLUMNS($AC$1006:AE1006),$AC$1006:$AS$1006,0)))),"Fix")))</f>
        <v xml:space="preserve"> </v>
      </c>
      <c r="E759" s="4" t="str">
        <f ca="1">IF(OR(INDEX($W$2:$W$1001,MATCH(ROWS($V$2:V759),$V$2:$V$1001,0),1)&gt;=100000,INDEX($AC$1005:$AS$1005,1,MATCH(COLUMNS($AC$1006:AF1006),$AC$1006:$AS$1006,0))&gt;=100000), " ",IF(INDEX($AC$2:$AS$1001,MATCH(ROWS($V$2:V759),$V$2:$V$1001,0),MATCH(COLUMNS($AC$1006:AF1006),$AC$1006:$AS$1006,0)), HYPERLINK("#",""), HYPERLINK(CONCATENATE("#metadata!", ADDRESS(INDEX($X$2:$X$1001,MATCH(ROWS($V$2:V759),$V$2:$V$1001,0),0), INDEX($AC$1004:$AS$1004,1,MATCH(COLUMNS($AC$1006:AF1006),$AC$1006:$AS$1006,0)))),"Fix")))</f>
        <v xml:space="preserve"> </v>
      </c>
      <c r="F759" s="4" t="str">
        <f ca="1">IF(OR(INDEX($W$2:$W$1001,MATCH(ROWS($V$2:V759),$V$2:$V$1001,0),1)&gt;=100000,INDEX($AC$1005:$AS$1005,1,MATCH(COLUMNS($AC$1006:AG1006),$AC$1006:$AS$1006,0))&gt;=100000), " ",IF(INDEX($AC$2:$AS$1001,MATCH(ROWS($V$2:V759),$V$2:$V$1001,0),MATCH(COLUMNS($AC$1006:AG1006),$AC$1006:$AS$1006,0)), HYPERLINK("#",""), HYPERLINK(CONCATENATE("#metadata!", ADDRESS(INDEX($X$2:$X$1001,MATCH(ROWS($V$2:V759),$V$2:$V$1001,0),0), INDEX($AC$1004:$AS$1004,1,MATCH(COLUMNS($AC$1006:AG1006),$AC$1006:$AS$1006,0)))),"Fix")))</f>
        <v xml:space="preserve"> </v>
      </c>
      <c r="G759" s="4" t="str">
        <f ca="1">IF(OR(INDEX($W$2:$W$1001,MATCH(ROWS($V$2:V759),$V$2:$V$1001,0),1)&gt;=100000,INDEX($AC$1005:$AS$1005,1,MATCH(COLUMNS($AC$1006:AH1006),$AC$1006:$AS$1006,0))&gt;=100000), " ",IF(INDEX($AC$2:$AS$1001,MATCH(ROWS($V$2:V759),$V$2:$V$1001,0),MATCH(COLUMNS($AC$1006:AH1006),$AC$1006:$AS$1006,0)), HYPERLINK("#",""), HYPERLINK(CONCATENATE("#metadata!", ADDRESS(INDEX($X$2:$X$1001,MATCH(ROWS($V$2:V759),$V$2:$V$1001,0),0), INDEX($AC$1004:$AS$1004,1,MATCH(COLUMNS($AC$1006:AH1006),$AC$1006:$AS$1006,0)))),"Fix")))</f>
        <v xml:space="preserve"> </v>
      </c>
      <c r="H759" s="4" t="str">
        <f ca="1">IF(OR(INDEX($W$2:$W$1001,MATCH(ROWS($V$2:V759),$V$2:$V$1001,0),1)&gt;=100000,INDEX($AC$1005:$AS$1005,1,MATCH(COLUMNS($AC$1006:AI1006),$AC$1006:$AS$1006,0))&gt;=100000), " ",IF(INDEX($AC$2:$AS$1001,MATCH(ROWS($V$2:V759),$V$2:$V$1001,0),MATCH(COLUMNS($AC$1006:AI1006),$AC$1006:$AS$1006,0)), HYPERLINK("#",""), HYPERLINK(CONCATENATE("#metadata!", ADDRESS(INDEX($X$2:$X$1001,MATCH(ROWS($V$2:V759),$V$2:$V$1001,0),0), INDEX($AC$1004:$AS$1004,1,MATCH(COLUMNS($AC$1006:AI1006),$AC$1006:$AS$1006,0)))),"Fix")))</f>
        <v xml:space="preserve"> </v>
      </c>
      <c r="I759" s="4" t="str">
        <f ca="1">IF(OR(INDEX($W$2:$W$1001,MATCH(ROWS($V$2:V759),$V$2:$V$1001,0),1)&gt;=100000,INDEX($AC$1005:$AS$1005,1,MATCH(COLUMNS($AC$1006:AJ1006),$AC$1006:$AS$1006,0))&gt;=100000), " ",IF(INDEX($AC$2:$AS$1001,MATCH(ROWS($V$2:V759),$V$2:$V$1001,0),MATCH(COLUMNS($AC$1006:AJ1006),$AC$1006:$AS$1006,0)), HYPERLINK("#",""), HYPERLINK(CONCATENATE("#metadata!", ADDRESS(INDEX($X$2:$X$1001,MATCH(ROWS($V$2:V759),$V$2:$V$1001,0),0), INDEX($AC$1004:$AS$1004,1,MATCH(COLUMNS($AC$1006:AJ1006),$AC$1006:$AS$1006,0)))),"Fix")))</f>
        <v xml:space="preserve"> </v>
      </c>
      <c r="J759" s="4" t="str">
        <f ca="1">IF(OR(INDEX($W$2:$W$1001,MATCH(ROWS($V$2:V759),$V$2:$V$1001,0),1)&gt;=100000,INDEX($AC$1005:$AS$1005,1,MATCH(COLUMNS($AC$1006:AK1006),$AC$1006:$AS$1006,0))&gt;=100000), " ",IF(INDEX($AC$2:$AS$1001,MATCH(ROWS($V$2:V759),$V$2:$V$1001,0),MATCH(COLUMNS($AC$1006:AK1006),$AC$1006:$AS$1006,0)), HYPERLINK("#",""), HYPERLINK(CONCATENATE("#metadata!", ADDRESS(INDEX($X$2:$X$1001,MATCH(ROWS($V$2:V759),$V$2:$V$1001,0),0), INDEX($AC$1004:$AS$1004,1,MATCH(COLUMNS($AC$1006:AK1006),$AC$1006:$AS$1006,0)))),"Fix")))</f>
        <v xml:space="preserve"> </v>
      </c>
      <c r="K759" s="4" t="str">
        <f ca="1">IF(OR(INDEX($W$2:$W$1001,MATCH(ROWS($V$2:V759),$V$2:$V$1001,0),1)&gt;=100000,INDEX($AC$1005:$AS$1005,1,MATCH(COLUMNS($AC$1006:AL1006),$AC$1006:$AS$1006,0))&gt;=100000), " ",IF(INDEX($AC$2:$AS$1001,MATCH(ROWS($V$2:V759),$V$2:$V$1001,0),MATCH(COLUMNS($AC$1006:AL1006),$AC$1006:$AS$1006,0)), HYPERLINK("#",""), HYPERLINK(CONCATENATE("#metadata!", ADDRESS(INDEX($X$2:$X$1001,MATCH(ROWS($V$2:V759),$V$2:$V$1001,0),0), INDEX($AC$1004:$AS$1004,1,MATCH(COLUMNS($AC$1006:AL1006),$AC$1006:$AS$1006,0)))),"Fix")))</f>
        <v xml:space="preserve"> </v>
      </c>
      <c r="L759" s="4" t="str">
        <f ca="1">IF(OR(INDEX($W$2:$W$1001,MATCH(ROWS($V$2:V759),$V$2:$V$1001,0),1)&gt;=100000,INDEX($AC$1005:$AS$1005,1,MATCH(COLUMNS($AC$1006:AM1006),$AC$1006:$AS$1006,0))&gt;=100000), " ",IF(INDEX($AC$2:$AS$1001,MATCH(ROWS($V$2:V759),$V$2:$V$1001,0),MATCH(COLUMNS($AC$1006:AM1006),$AC$1006:$AS$1006,0)), HYPERLINK("#",""), HYPERLINK(CONCATENATE("#metadata!", ADDRESS(INDEX($X$2:$X$1001,MATCH(ROWS($V$2:V759),$V$2:$V$1001,0),0), INDEX($AC$1004:$AS$1004,1,MATCH(COLUMNS($AC$1006:AM1006),$AC$1006:$AS$1006,0)))),"Fix")))</f>
        <v xml:space="preserve"> </v>
      </c>
      <c r="M759" s="4" t="str">
        <f ca="1">IF(OR(INDEX($W$2:$W$1001,MATCH(ROWS($V$2:V759),$V$2:$V$1001,0),1)&gt;=100000,INDEX($AC$1005:$AS$1005,1,MATCH(COLUMNS($AC$1006:AN1006),$AC$1006:$AS$1006,0))&gt;=100000), " ",IF(INDEX($AC$2:$AS$1001,MATCH(ROWS($V$2:V759),$V$2:$V$1001,0),MATCH(COLUMNS($AC$1006:AN1006),$AC$1006:$AS$1006,0)), HYPERLINK("#",""), HYPERLINK(CONCATENATE("#metadata!", ADDRESS(INDEX($X$2:$X$1001,MATCH(ROWS($V$2:V759),$V$2:$V$1001,0),0), INDEX($AC$1004:$AS$1004,1,MATCH(COLUMNS($AC$1006:AN1006),$AC$1006:$AS$1006,0)))),"Fix")))</f>
        <v xml:space="preserve"> </v>
      </c>
      <c r="N759" s="4" t="str">
        <f ca="1">IF(OR(INDEX($W$2:$W$1001,MATCH(ROWS($V$2:V759),$V$2:$V$1001,0),1)&gt;=100000,INDEX($AC$1005:$AS$1005,1,MATCH(COLUMNS($AC$1006:AO1006),$AC$1006:$AS$1006,0))&gt;=100000), " ",IF(INDEX($AC$2:$AS$1001,MATCH(ROWS($V$2:V759),$V$2:$V$1001,0),MATCH(COLUMNS($AC$1006:AO1006),$AC$1006:$AS$1006,0)), HYPERLINK("#",""), HYPERLINK(CONCATENATE("#metadata!", ADDRESS(INDEX($X$2:$X$1001,MATCH(ROWS($V$2:V759),$V$2:$V$1001,0),0), INDEX($AC$1004:$AS$1004,1,MATCH(COLUMNS($AC$1006:AO1006),$AC$1006:$AS$1006,0)))),"Fix")))</f>
        <v xml:space="preserve"> </v>
      </c>
      <c r="O759" s="4" t="str">
        <f ca="1">IF(OR(INDEX($W$2:$W$1001,MATCH(ROWS($V$2:V759),$V$2:$V$1001,0),1)&gt;=100000,INDEX($AC$1005:$AS$1005,1,MATCH(COLUMNS($AC$1006:AP1006),$AC$1006:$AS$1006,0))&gt;=100000), " ",IF(INDEX($AC$2:$AS$1001,MATCH(ROWS($V$2:V759),$V$2:$V$1001,0),MATCH(COLUMNS($AC$1006:AP1006),$AC$1006:$AS$1006,0)), HYPERLINK("#",""), HYPERLINK(CONCATENATE("#metadata!", ADDRESS(INDEX($X$2:$X$1001,MATCH(ROWS($V$2:V759),$V$2:$V$1001,0),0), INDEX($AC$1004:$AS$1004,1,MATCH(COLUMNS($AC$1006:AP1006),$AC$1006:$AS$1006,0)))),"Fix")))</f>
        <v xml:space="preserve"> </v>
      </c>
      <c r="P759" s="4" t="str">
        <f ca="1">IF(OR(INDEX($W$2:$W$1001,MATCH(ROWS($V$2:V759),$V$2:$V$1001,0),1)&gt;=100000,INDEX($AC$1005:$AS$1005,1,MATCH(COLUMNS($AC$1006:AQ1006),$AC$1006:$AS$1006,0))&gt;=100000), " ",IF(INDEX($AC$2:$AS$1001,MATCH(ROWS($V$2:V759),$V$2:$V$1001,0),MATCH(COLUMNS($AC$1006:AQ1006),$AC$1006:$AS$1006,0)), HYPERLINK("#",""), HYPERLINK(CONCATENATE("#metadata!", ADDRESS(INDEX($X$2:$X$1001,MATCH(ROWS($V$2:V759),$V$2:$V$1001,0),0), INDEX($AC$1004:$AS$1004,1,MATCH(COLUMNS($AC$1006:AQ1006),$AC$1006:$AS$1006,0)))),"Fix")))</f>
        <v xml:space="preserve"> </v>
      </c>
      <c r="Q759" s="4" t="str">
        <f ca="1">IF(OR(INDEX($W$2:$W$1001,MATCH(ROWS($V$2:V759),$V$2:$V$1001,0),1)&gt;=100000,INDEX($AC$1005:$AS$1005,1,MATCH(COLUMNS($AC$1006:AR1006),$AC$1006:$AS$1006,0))&gt;=100000), " ",IF(INDEX($AC$2:$AS$1001,MATCH(ROWS($V$2:V759),$V$2:$V$1001,0),MATCH(COLUMNS($AC$1006:AR1006),$AC$1006:$AS$1006,0)), HYPERLINK("#",""), HYPERLINK(CONCATENATE("#metadata!", ADDRESS(INDEX($X$2:$X$1001,MATCH(ROWS($V$2:V759),$V$2:$V$1001,0),0), INDEX($AC$1004:$AS$1004,1,MATCH(COLUMNS($AC$1006:AR1006),$AC$1006:$AS$1006,0)))),"Fix")))</f>
        <v xml:space="preserve"> </v>
      </c>
      <c r="R759" s="4" t="str">
        <f ca="1">IF(OR(INDEX($W$2:$W$1001,MATCH(ROWS($V$2:V759),$V$2:$V$1001,0),1)&gt;=100000,INDEX($AC$1005:$AS$1005,1,MATCH(COLUMNS($AC$1006:AS1006),$AC$1006:$AS$1006,0))&gt;=100000), " ",IF(INDEX($AC$2:$AS$1001,MATCH(ROWS($V$2:V759),$V$2:$V$1001,0),MATCH(COLUMNS($AC$1006:AS1006),$AC$1006:$AS$1006,0)), HYPERLINK("#",""), HYPERLINK(CONCATENATE("#metadata!", ADDRESS(INDEX($X$2:$X$1001,MATCH(ROWS($V$2:V759),$V$2:$V$1001,0),0), INDEX($AC$1004:$AS$1004,1,MATCH(COLUMNS($AC$1006:AS1006),$AC$1006:$AS$1006,0)))),"Fix")))</f>
        <v xml:space="preserve"> </v>
      </c>
      <c r="V759">
        <v>758</v>
      </c>
      <c r="W759">
        <v>100759</v>
      </c>
      <c r="X759">
        <v>759</v>
      </c>
      <c r="Y759" t="b">
        <f t="shared" si="11"/>
        <v>1</v>
      </c>
      <c r="Z759" t="b">
        <f>COUNTBLANK(metadata!B759:R759)=COLUMNS(metadata!B759:R759)</f>
        <v>1</v>
      </c>
      <c r="AA759" t="str">
        <v/>
      </c>
      <c r="AC759" t="b">
        <f ca="1"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AD759" t="b">
        <f>IF(metadata!C759="",FALSE,ISNUMBER(VALUE(metadata!C759)))</f>
        <v>0</v>
      </c>
      <c r="AE759" t="b">
        <f>AND(IF(metadata!D759="",FALSE,TRUE),EXACT(metadata!D759,"years"))</f>
        <v>0</v>
      </c>
      <c r="AF759" t="b">
        <f>OR(AND(IF(metadata!E759="",FALSE,TRUE),OR(EXACT(metadata!E759,"not applicable"),EXACT(metadata!E759,"missing: not collected"),EXACT(metadata!E759,"missing: not provided"),EXACT(metadata!E759,"missing: restricted access"))),AND(IF(metadata!E759="",FALSE,ISNUMBER(VALUE(metadata!E759))),metadata!E759&gt;0))</f>
        <v>0</v>
      </c>
      <c r="AG759" t="b">
        <f>AND(IF(metadata!F759="",FALSE,TRUE),EXACT(metadata!F759,"Not applicable"))</f>
        <v>0</v>
      </c>
      <c r="AH759" t="b">
        <f>AND(IF(metadata!G759="",FALSE,TRUE),EXACT(metadata!G759,"urban biome"))</f>
        <v>0</v>
      </c>
      <c r="AI759" t="b">
        <f>AND(IF(metadata!H759="",FALSE,TRUE),EXACT(metadata!H759,"human-associated habitat"))</f>
        <v>0</v>
      </c>
      <c r="AJ759" t="b">
        <f>AND(IF(metadata!I759="",FALSE,TRUE),OR(EXACT(metadata!I759,"human-associated"),EXACT(metadata!I759,"human-skin"),EXACT(metadata!I759,"human-oral"),EXACT(metadata!I759,"human-gut"),EXACT(metadata!I759,"human-vaginal")))</f>
        <v>0</v>
      </c>
      <c r="AK759" t="b">
        <f>IF(metadata!J759="",FALSE,ISNUMBER(VALUE(metadata!J759)))</f>
        <v>0</v>
      </c>
      <c r="AL759" t="b">
        <f>AND(IF(metadata!K759="",FALSE,TRUE),EXACT(metadata!K759,"cm"))</f>
        <v>0</v>
      </c>
      <c r="AM759" t="b">
        <f>AND(IF(metadata!L759="",FALSE,TRUE),EXACT(metadata!L759,"human"))</f>
        <v>0</v>
      </c>
      <c r="AN759" t="b">
        <f>AND(IF(metadata!M759="",FALSE,TRUE),EXACT(metadata!M759,"Homo sapiens"))</f>
        <v>0</v>
      </c>
      <c r="AO759" t="b">
        <f>AND(IF(metadata!N759="",FALSE,TRUE),EXACT(metadata!N759,"9606"))</f>
        <v>0</v>
      </c>
      <c r="AP759" t="b">
        <f>IF(metadata!O759="",FALSE,TRUE)</f>
        <v>0</v>
      </c>
      <c r="AQ759" t="b">
        <f>IF(metadata!P759="",FALSE,TRUE)</f>
        <v>0</v>
      </c>
      <c r="AR759" t="b">
        <f>IF(metadata!Q759="",FALSE,ISNUMBER(VALUE(metadata!Q759)))</f>
        <v>0</v>
      </c>
      <c r="AS759" t="b">
        <f>AND(IF(metadata!R759="",FALSE,TRUE),EXACT(metadata!R759,"kg"))</f>
        <v>0</v>
      </c>
    </row>
    <row r="760" spans="1:45" x14ac:dyDescent="0.2">
      <c r="A760" s="5" t="str">
        <f ca="1">IF(B760=" "," ",HYPERLINK(CONCATENATE("#metadata!",ADDRESS(INDEX($X$2:$X$1001,MATCH(ROWS($V$2:V760),$V$2:$V$1001,0),0),1)),INDEX($AA$2:$AA$1001,MATCH(ROWS($V$2:V760),$V$2:$V$1001,0),0)))</f>
        <v xml:space="preserve"> </v>
      </c>
      <c r="B760" s="4" t="str">
        <f ca="1">IF(OR(INDEX($W$2:$W$1001,MATCH(ROWS($V$2:V760),$V$2:$V$1001,0),1)&gt;=100000,INDEX($AC$1005:$AS$1005,1,MATCH(COLUMNS($AC$1006:AC1006),$AC$1006:$AS$1006,0))&gt;=100000), " ",IF(INDEX($AC$2:$AS$1001,MATCH(ROWS($V$2:V760),$V$2:$V$1001,0),MATCH(COLUMNS($AC$1006:AC1006),$AC$1006:$AS$1006,0)), HYPERLINK("#",""), HYPERLINK(CONCATENATE("#metadata!", ADDRESS(INDEX($X$2:$X$1001,MATCH(ROWS($V$2:V760),$V$2:$V$1001,0),0), INDEX($AC$1004:$AS$1004,1,MATCH(COLUMNS($AC$1006:AC1006),$AC$1006:$AS$1006,0)))),"Fix")))</f>
        <v xml:space="preserve"> </v>
      </c>
      <c r="C760" s="4" t="str">
        <f ca="1">IF(OR(INDEX($W$2:$W$1001,MATCH(ROWS($V$2:V760),$V$2:$V$1001,0),1)&gt;=100000,INDEX($AC$1005:$AS$1005,1,MATCH(COLUMNS($AC$1006:AD1006),$AC$1006:$AS$1006,0))&gt;=100000), " ",IF(INDEX($AC$2:$AS$1001,MATCH(ROWS($V$2:V760),$V$2:$V$1001,0),MATCH(COLUMNS($AC$1006:AD1006),$AC$1006:$AS$1006,0)), HYPERLINK("#",""), HYPERLINK(CONCATENATE("#metadata!", ADDRESS(INDEX($X$2:$X$1001,MATCH(ROWS($V$2:V760),$V$2:$V$1001,0),0), INDEX($AC$1004:$AS$1004,1,MATCH(COLUMNS($AC$1006:AD1006),$AC$1006:$AS$1006,0)))),"Fix")))</f>
        <v xml:space="preserve"> </v>
      </c>
      <c r="D760" s="4" t="str">
        <f ca="1">IF(OR(INDEX($W$2:$W$1001,MATCH(ROWS($V$2:V760),$V$2:$V$1001,0),1)&gt;=100000,INDEX($AC$1005:$AS$1005,1,MATCH(COLUMNS($AC$1006:AE1006),$AC$1006:$AS$1006,0))&gt;=100000), " ",IF(INDEX($AC$2:$AS$1001,MATCH(ROWS($V$2:V760),$V$2:$V$1001,0),MATCH(COLUMNS($AC$1006:AE1006),$AC$1006:$AS$1006,0)), HYPERLINK("#",""), HYPERLINK(CONCATENATE("#metadata!", ADDRESS(INDEX($X$2:$X$1001,MATCH(ROWS($V$2:V760),$V$2:$V$1001,0),0), INDEX($AC$1004:$AS$1004,1,MATCH(COLUMNS($AC$1006:AE1006),$AC$1006:$AS$1006,0)))),"Fix")))</f>
        <v xml:space="preserve"> </v>
      </c>
      <c r="E760" s="4" t="str">
        <f ca="1">IF(OR(INDEX($W$2:$W$1001,MATCH(ROWS($V$2:V760),$V$2:$V$1001,0),1)&gt;=100000,INDEX($AC$1005:$AS$1005,1,MATCH(COLUMNS($AC$1006:AF1006),$AC$1006:$AS$1006,0))&gt;=100000), " ",IF(INDEX($AC$2:$AS$1001,MATCH(ROWS($V$2:V760),$V$2:$V$1001,0),MATCH(COLUMNS($AC$1006:AF1006),$AC$1006:$AS$1006,0)), HYPERLINK("#",""), HYPERLINK(CONCATENATE("#metadata!", ADDRESS(INDEX($X$2:$X$1001,MATCH(ROWS($V$2:V760),$V$2:$V$1001,0),0), INDEX($AC$1004:$AS$1004,1,MATCH(COLUMNS($AC$1006:AF1006),$AC$1006:$AS$1006,0)))),"Fix")))</f>
        <v xml:space="preserve"> </v>
      </c>
      <c r="F760" s="4" t="str">
        <f ca="1">IF(OR(INDEX($W$2:$W$1001,MATCH(ROWS($V$2:V760),$V$2:$V$1001,0),1)&gt;=100000,INDEX($AC$1005:$AS$1005,1,MATCH(COLUMNS($AC$1006:AG1006),$AC$1006:$AS$1006,0))&gt;=100000), " ",IF(INDEX($AC$2:$AS$1001,MATCH(ROWS($V$2:V760),$V$2:$V$1001,0),MATCH(COLUMNS($AC$1006:AG1006),$AC$1006:$AS$1006,0)), HYPERLINK("#",""), HYPERLINK(CONCATENATE("#metadata!", ADDRESS(INDEX($X$2:$X$1001,MATCH(ROWS($V$2:V760),$V$2:$V$1001,0),0), INDEX($AC$1004:$AS$1004,1,MATCH(COLUMNS($AC$1006:AG1006),$AC$1006:$AS$1006,0)))),"Fix")))</f>
        <v xml:space="preserve"> </v>
      </c>
      <c r="G760" s="4" t="str">
        <f ca="1">IF(OR(INDEX($W$2:$W$1001,MATCH(ROWS($V$2:V760),$V$2:$V$1001,0),1)&gt;=100000,INDEX($AC$1005:$AS$1005,1,MATCH(COLUMNS($AC$1006:AH1006),$AC$1006:$AS$1006,0))&gt;=100000), " ",IF(INDEX($AC$2:$AS$1001,MATCH(ROWS($V$2:V760),$V$2:$V$1001,0),MATCH(COLUMNS($AC$1006:AH1006),$AC$1006:$AS$1006,0)), HYPERLINK("#",""), HYPERLINK(CONCATENATE("#metadata!", ADDRESS(INDEX($X$2:$X$1001,MATCH(ROWS($V$2:V760),$V$2:$V$1001,0),0), INDEX($AC$1004:$AS$1004,1,MATCH(COLUMNS($AC$1006:AH1006),$AC$1006:$AS$1006,0)))),"Fix")))</f>
        <v xml:space="preserve"> </v>
      </c>
      <c r="H760" s="4" t="str">
        <f ca="1">IF(OR(INDEX($W$2:$W$1001,MATCH(ROWS($V$2:V760),$V$2:$V$1001,0),1)&gt;=100000,INDEX($AC$1005:$AS$1005,1,MATCH(COLUMNS($AC$1006:AI1006),$AC$1006:$AS$1006,0))&gt;=100000), " ",IF(INDEX($AC$2:$AS$1001,MATCH(ROWS($V$2:V760),$V$2:$V$1001,0),MATCH(COLUMNS($AC$1006:AI1006),$AC$1006:$AS$1006,0)), HYPERLINK("#",""), HYPERLINK(CONCATENATE("#metadata!", ADDRESS(INDEX($X$2:$X$1001,MATCH(ROWS($V$2:V760),$V$2:$V$1001,0),0), INDEX($AC$1004:$AS$1004,1,MATCH(COLUMNS($AC$1006:AI1006),$AC$1006:$AS$1006,0)))),"Fix")))</f>
        <v xml:space="preserve"> </v>
      </c>
      <c r="I760" s="4" t="str">
        <f ca="1">IF(OR(INDEX($W$2:$W$1001,MATCH(ROWS($V$2:V760),$V$2:$V$1001,0),1)&gt;=100000,INDEX($AC$1005:$AS$1005,1,MATCH(COLUMNS($AC$1006:AJ1006),$AC$1006:$AS$1006,0))&gt;=100000), " ",IF(INDEX($AC$2:$AS$1001,MATCH(ROWS($V$2:V760),$V$2:$V$1001,0),MATCH(COLUMNS($AC$1006:AJ1006),$AC$1006:$AS$1006,0)), HYPERLINK("#",""), HYPERLINK(CONCATENATE("#metadata!", ADDRESS(INDEX($X$2:$X$1001,MATCH(ROWS($V$2:V760),$V$2:$V$1001,0),0), INDEX($AC$1004:$AS$1004,1,MATCH(COLUMNS($AC$1006:AJ1006),$AC$1006:$AS$1006,0)))),"Fix")))</f>
        <v xml:space="preserve"> </v>
      </c>
      <c r="J760" s="4" t="str">
        <f ca="1">IF(OR(INDEX($W$2:$W$1001,MATCH(ROWS($V$2:V760),$V$2:$V$1001,0),1)&gt;=100000,INDEX($AC$1005:$AS$1005,1,MATCH(COLUMNS($AC$1006:AK1006),$AC$1006:$AS$1006,0))&gt;=100000), " ",IF(INDEX($AC$2:$AS$1001,MATCH(ROWS($V$2:V760),$V$2:$V$1001,0),MATCH(COLUMNS($AC$1006:AK1006),$AC$1006:$AS$1006,0)), HYPERLINK("#",""), HYPERLINK(CONCATENATE("#metadata!", ADDRESS(INDEX($X$2:$X$1001,MATCH(ROWS($V$2:V760),$V$2:$V$1001,0),0), INDEX($AC$1004:$AS$1004,1,MATCH(COLUMNS($AC$1006:AK1006),$AC$1006:$AS$1006,0)))),"Fix")))</f>
        <v xml:space="preserve"> </v>
      </c>
      <c r="K760" s="4" t="str">
        <f ca="1">IF(OR(INDEX($W$2:$W$1001,MATCH(ROWS($V$2:V760),$V$2:$V$1001,0),1)&gt;=100000,INDEX($AC$1005:$AS$1005,1,MATCH(COLUMNS($AC$1006:AL1006),$AC$1006:$AS$1006,0))&gt;=100000), " ",IF(INDEX($AC$2:$AS$1001,MATCH(ROWS($V$2:V760),$V$2:$V$1001,0),MATCH(COLUMNS($AC$1006:AL1006),$AC$1006:$AS$1006,0)), HYPERLINK("#",""), HYPERLINK(CONCATENATE("#metadata!", ADDRESS(INDEX($X$2:$X$1001,MATCH(ROWS($V$2:V760),$V$2:$V$1001,0),0), INDEX($AC$1004:$AS$1004,1,MATCH(COLUMNS($AC$1006:AL1006),$AC$1006:$AS$1006,0)))),"Fix")))</f>
        <v xml:space="preserve"> </v>
      </c>
      <c r="L760" s="4" t="str">
        <f ca="1">IF(OR(INDEX($W$2:$W$1001,MATCH(ROWS($V$2:V760),$V$2:$V$1001,0),1)&gt;=100000,INDEX($AC$1005:$AS$1005,1,MATCH(COLUMNS($AC$1006:AM1006),$AC$1006:$AS$1006,0))&gt;=100000), " ",IF(INDEX($AC$2:$AS$1001,MATCH(ROWS($V$2:V760),$V$2:$V$1001,0),MATCH(COLUMNS($AC$1006:AM1006),$AC$1006:$AS$1006,0)), HYPERLINK("#",""), HYPERLINK(CONCATENATE("#metadata!", ADDRESS(INDEX($X$2:$X$1001,MATCH(ROWS($V$2:V760),$V$2:$V$1001,0),0), INDEX($AC$1004:$AS$1004,1,MATCH(COLUMNS($AC$1006:AM1006),$AC$1006:$AS$1006,0)))),"Fix")))</f>
        <v xml:space="preserve"> </v>
      </c>
      <c r="M760" s="4" t="str">
        <f ca="1">IF(OR(INDEX($W$2:$W$1001,MATCH(ROWS($V$2:V760),$V$2:$V$1001,0),1)&gt;=100000,INDEX($AC$1005:$AS$1005,1,MATCH(COLUMNS($AC$1006:AN1006),$AC$1006:$AS$1006,0))&gt;=100000), " ",IF(INDEX($AC$2:$AS$1001,MATCH(ROWS($V$2:V760),$V$2:$V$1001,0),MATCH(COLUMNS($AC$1006:AN1006),$AC$1006:$AS$1006,0)), HYPERLINK("#",""), HYPERLINK(CONCATENATE("#metadata!", ADDRESS(INDEX($X$2:$X$1001,MATCH(ROWS($V$2:V760),$V$2:$V$1001,0),0), INDEX($AC$1004:$AS$1004,1,MATCH(COLUMNS($AC$1006:AN1006),$AC$1006:$AS$1006,0)))),"Fix")))</f>
        <v xml:space="preserve"> </v>
      </c>
      <c r="N760" s="4" t="str">
        <f ca="1">IF(OR(INDEX($W$2:$W$1001,MATCH(ROWS($V$2:V760),$V$2:$V$1001,0),1)&gt;=100000,INDEX($AC$1005:$AS$1005,1,MATCH(COLUMNS($AC$1006:AO1006),$AC$1006:$AS$1006,0))&gt;=100000), " ",IF(INDEX($AC$2:$AS$1001,MATCH(ROWS($V$2:V760),$V$2:$V$1001,0),MATCH(COLUMNS($AC$1006:AO1006),$AC$1006:$AS$1006,0)), HYPERLINK("#",""), HYPERLINK(CONCATENATE("#metadata!", ADDRESS(INDEX($X$2:$X$1001,MATCH(ROWS($V$2:V760),$V$2:$V$1001,0),0), INDEX($AC$1004:$AS$1004,1,MATCH(COLUMNS($AC$1006:AO1006),$AC$1006:$AS$1006,0)))),"Fix")))</f>
        <v xml:space="preserve"> </v>
      </c>
      <c r="O760" s="4" t="str">
        <f ca="1">IF(OR(INDEX($W$2:$W$1001,MATCH(ROWS($V$2:V760),$V$2:$V$1001,0),1)&gt;=100000,INDEX($AC$1005:$AS$1005,1,MATCH(COLUMNS($AC$1006:AP1006),$AC$1006:$AS$1006,0))&gt;=100000), " ",IF(INDEX($AC$2:$AS$1001,MATCH(ROWS($V$2:V760),$V$2:$V$1001,0),MATCH(COLUMNS($AC$1006:AP1006),$AC$1006:$AS$1006,0)), HYPERLINK("#",""), HYPERLINK(CONCATENATE("#metadata!", ADDRESS(INDEX($X$2:$X$1001,MATCH(ROWS($V$2:V760),$V$2:$V$1001,0),0), INDEX($AC$1004:$AS$1004,1,MATCH(COLUMNS($AC$1006:AP1006),$AC$1006:$AS$1006,0)))),"Fix")))</f>
        <v xml:space="preserve"> </v>
      </c>
      <c r="P760" s="4" t="str">
        <f ca="1">IF(OR(INDEX($W$2:$W$1001,MATCH(ROWS($V$2:V760),$V$2:$V$1001,0),1)&gt;=100000,INDEX($AC$1005:$AS$1005,1,MATCH(COLUMNS($AC$1006:AQ1006),$AC$1006:$AS$1006,0))&gt;=100000), " ",IF(INDEX($AC$2:$AS$1001,MATCH(ROWS($V$2:V760),$V$2:$V$1001,0),MATCH(COLUMNS($AC$1006:AQ1006),$AC$1006:$AS$1006,0)), HYPERLINK("#",""), HYPERLINK(CONCATENATE("#metadata!", ADDRESS(INDEX($X$2:$X$1001,MATCH(ROWS($V$2:V760),$V$2:$V$1001,0),0), INDEX($AC$1004:$AS$1004,1,MATCH(COLUMNS($AC$1006:AQ1006),$AC$1006:$AS$1006,0)))),"Fix")))</f>
        <v xml:space="preserve"> </v>
      </c>
      <c r="Q760" s="4" t="str">
        <f ca="1">IF(OR(INDEX($W$2:$W$1001,MATCH(ROWS($V$2:V760),$V$2:$V$1001,0),1)&gt;=100000,INDEX($AC$1005:$AS$1005,1,MATCH(COLUMNS($AC$1006:AR1006),$AC$1006:$AS$1006,0))&gt;=100000), " ",IF(INDEX($AC$2:$AS$1001,MATCH(ROWS($V$2:V760),$V$2:$V$1001,0),MATCH(COLUMNS($AC$1006:AR1006),$AC$1006:$AS$1006,0)), HYPERLINK("#",""), HYPERLINK(CONCATENATE("#metadata!", ADDRESS(INDEX($X$2:$X$1001,MATCH(ROWS($V$2:V760),$V$2:$V$1001,0),0), INDEX($AC$1004:$AS$1004,1,MATCH(COLUMNS($AC$1006:AR1006),$AC$1006:$AS$1006,0)))),"Fix")))</f>
        <v xml:space="preserve"> </v>
      </c>
      <c r="R760" s="4" t="str">
        <f ca="1">IF(OR(INDEX($W$2:$W$1001,MATCH(ROWS($V$2:V760),$V$2:$V$1001,0),1)&gt;=100000,INDEX($AC$1005:$AS$1005,1,MATCH(COLUMNS($AC$1006:AS1006),$AC$1006:$AS$1006,0))&gt;=100000), " ",IF(INDEX($AC$2:$AS$1001,MATCH(ROWS($V$2:V760),$V$2:$V$1001,0),MATCH(COLUMNS($AC$1006:AS1006),$AC$1006:$AS$1006,0)), HYPERLINK("#",""), HYPERLINK(CONCATENATE("#metadata!", ADDRESS(INDEX($X$2:$X$1001,MATCH(ROWS($V$2:V760),$V$2:$V$1001,0),0), INDEX($AC$1004:$AS$1004,1,MATCH(COLUMNS($AC$1006:AS1006),$AC$1006:$AS$1006,0)))),"Fix")))</f>
        <v xml:space="preserve"> </v>
      </c>
      <c r="V760">
        <v>759</v>
      </c>
      <c r="W760">
        <v>100760</v>
      </c>
      <c r="X760">
        <v>760</v>
      </c>
      <c r="Y760" t="b">
        <f t="shared" si="11"/>
        <v>1</v>
      </c>
      <c r="Z760" t="b">
        <f>COUNTBLANK(metadata!B760:R760)=COLUMNS(metadata!B760:R760)</f>
        <v>1</v>
      </c>
      <c r="AA760" t="str">
        <v/>
      </c>
      <c r="AC760" t="b">
        <f ca="1"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AD760" t="b">
        <f>IF(metadata!C760="",FALSE,ISNUMBER(VALUE(metadata!C760)))</f>
        <v>0</v>
      </c>
      <c r="AE760" t="b">
        <f>AND(IF(metadata!D760="",FALSE,TRUE),EXACT(metadata!D760,"years"))</f>
        <v>0</v>
      </c>
      <c r="AF760" t="b">
        <f>OR(AND(IF(metadata!E760="",FALSE,TRUE),OR(EXACT(metadata!E760,"not applicable"),EXACT(metadata!E760,"missing: not collected"),EXACT(metadata!E760,"missing: not provided"),EXACT(metadata!E760,"missing: restricted access"))),AND(IF(metadata!E760="",FALSE,ISNUMBER(VALUE(metadata!E760))),metadata!E760&gt;0))</f>
        <v>0</v>
      </c>
      <c r="AG760" t="b">
        <f>AND(IF(metadata!F760="",FALSE,TRUE),EXACT(metadata!F760,"Not applicable"))</f>
        <v>0</v>
      </c>
      <c r="AH760" t="b">
        <f>AND(IF(metadata!G760="",FALSE,TRUE),EXACT(metadata!G760,"urban biome"))</f>
        <v>0</v>
      </c>
      <c r="AI760" t="b">
        <f>AND(IF(metadata!H760="",FALSE,TRUE),EXACT(metadata!H760,"human-associated habitat"))</f>
        <v>0</v>
      </c>
      <c r="AJ760" t="b">
        <f>AND(IF(metadata!I760="",FALSE,TRUE),OR(EXACT(metadata!I760,"human-associated"),EXACT(metadata!I760,"human-skin"),EXACT(metadata!I760,"human-oral"),EXACT(metadata!I760,"human-gut"),EXACT(metadata!I760,"human-vaginal")))</f>
        <v>0</v>
      </c>
      <c r="AK760" t="b">
        <f>IF(metadata!J760="",FALSE,ISNUMBER(VALUE(metadata!J760)))</f>
        <v>0</v>
      </c>
      <c r="AL760" t="b">
        <f>AND(IF(metadata!K760="",FALSE,TRUE),EXACT(metadata!K760,"cm"))</f>
        <v>0</v>
      </c>
      <c r="AM760" t="b">
        <f>AND(IF(metadata!L760="",FALSE,TRUE),EXACT(metadata!L760,"human"))</f>
        <v>0</v>
      </c>
      <c r="AN760" t="b">
        <f>AND(IF(metadata!M760="",FALSE,TRUE),EXACT(metadata!M760,"Homo sapiens"))</f>
        <v>0</v>
      </c>
      <c r="AO760" t="b">
        <f>AND(IF(metadata!N760="",FALSE,TRUE),EXACT(metadata!N760,"9606"))</f>
        <v>0</v>
      </c>
      <c r="AP760" t="b">
        <f>IF(metadata!O760="",FALSE,TRUE)</f>
        <v>0</v>
      </c>
      <c r="AQ760" t="b">
        <f>IF(metadata!P760="",FALSE,TRUE)</f>
        <v>0</v>
      </c>
      <c r="AR760" t="b">
        <f>IF(metadata!Q760="",FALSE,ISNUMBER(VALUE(metadata!Q760)))</f>
        <v>0</v>
      </c>
      <c r="AS760" t="b">
        <f>AND(IF(metadata!R760="",FALSE,TRUE),EXACT(metadata!R760,"kg"))</f>
        <v>0</v>
      </c>
    </row>
    <row r="761" spans="1:45" x14ac:dyDescent="0.2">
      <c r="A761" s="5" t="str">
        <f ca="1">IF(B761=" "," ",HYPERLINK(CONCATENATE("#metadata!",ADDRESS(INDEX($X$2:$X$1001,MATCH(ROWS($V$2:V761),$V$2:$V$1001,0),0),1)),INDEX($AA$2:$AA$1001,MATCH(ROWS($V$2:V761),$V$2:$V$1001,0),0)))</f>
        <v xml:space="preserve"> </v>
      </c>
      <c r="B761" s="4" t="str">
        <f ca="1">IF(OR(INDEX($W$2:$W$1001,MATCH(ROWS($V$2:V761),$V$2:$V$1001,0),1)&gt;=100000,INDEX($AC$1005:$AS$1005,1,MATCH(COLUMNS($AC$1006:AC1006),$AC$1006:$AS$1006,0))&gt;=100000), " ",IF(INDEX($AC$2:$AS$1001,MATCH(ROWS($V$2:V761),$V$2:$V$1001,0),MATCH(COLUMNS($AC$1006:AC1006),$AC$1006:$AS$1006,0)), HYPERLINK("#",""), HYPERLINK(CONCATENATE("#metadata!", ADDRESS(INDEX($X$2:$X$1001,MATCH(ROWS($V$2:V761),$V$2:$V$1001,0),0), INDEX($AC$1004:$AS$1004,1,MATCH(COLUMNS($AC$1006:AC1006),$AC$1006:$AS$1006,0)))),"Fix")))</f>
        <v xml:space="preserve"> </v>
      </c>
      <c r="C761" s="4" t="str">
        <f ca="1">IF(OR(INDEX($W$2:$W$1001,MATCH(ROWS($V$2:V761),$V$2:$V$1001,0),1)&gt;=100000,INDEX($AC$1005:$AS$1005,1,MATCH(COLUMNS($AC$1006:AD1006),$AC$1006:$AS$1006,0))&gt;=100000), " ",IF(INDEX($AC$2:$AS$1001,MATCH(ROWS($V$2:V761),$V$2:$V$1001,0),MATCH(COLUMNS($AC$1006:AD1006),$AC$1006:$AS$1006,0)), HYPERLINK("#",""), HYPERLINK(CONCATENATE("#metadata!", ADDRESS(INDEX($X$2:$X$1001,MATCH(ROWS($V$2:V761),$V$2:$V$1001,0),0), INDEX($AC$1004:$AS$1004,1,MATCH(COLUMNS($AC$1006:AD1006),$AC$1006:$AS$1006,0)))),"Fix")))</f>
        <v xml:space="preserve"> </v>
      </c>
      <c r="D761" s="4" t="str">
        <f ca="1">IF(OR(INDEX($W$2:$W$1001,MATCH(ROWS($V$2:V761),$V$2:$V$1001,0),1)&gt;=100000,INDEX($AC$1005:$AS$1005,1,MATCH(COLUMNS($AC$1006:AE1006),$AC$1006:$AS$1006,0))&gt;=100000), " ",IF(INDEX($AC$2:$AS$1001,MATCH(ROWS($V$2:V761),$V$2:$V$1001,0),MATCH(COLUMNS($AC$1006:AE1006),$AC$1006:$AS$1006,0)), HYPERLINK("#",""), HYPERLINK(CONCATENATE("#metadata!", ADDRESS(INDEX($X$2:$X$1001,MATCH(ROWS($V$2:V761),$V$2:$V$1001,0),0), INDEX($AC$1004:$AS$1004,1,MATCH(COLUMNS($AC$1006:AE1006),$AC$1006:$AS$1006,0)))),"Fix")))</f>
        <v xml:space="preserve"> </v>
      </c>
      <c r="E761" s="4" t="str">
        <f ca="1">IF(OR(INDEX($W$2:$W$1001,MATCH(ROWS($V$2:V761),$V$2:$V$1001,0),1)&gt;=100000,INDEX($AC$1005:$AS$1005,1,MATCH(COLUMNS($AC$1006:AF1006),$AC$1006:$AS$1006,0))&gt;=100000), " ",IF(INDEX($AC$2:$AS$1001,MATCH(ROWS($V$2:V761),$V$2:$V$1001,0),MATCH(COLUMNS($AC$1006:AF1006),$AC$1006:$AS$1006,0)), HYPERLINK("#",""), HYPERLINK(CONCATENATE("#metadata!", ADDRESS(INDEX($X$2:$X$1001,MATCH(ROWS($V$2:V761),$V$2:$V$1001,0),0), INDEX($AC$1004:$AS$1004,1,MATCH(COLUMNS($AC$1006:AF1006),$AC$1006:$AS$1006,0)))),"Fix")))</f>
        <v xml:space="preserve"> </v>
      </c>
      <c r="F761" s="4" t="str">
        <f ca="1">IF(OR(INDEX($W$2:$W$1001,MATCH(ROWS($V$2:V761),$V$2:$V$1001,0),1)&gt;=100000,INDEX($AC$1005:$AS$1005,1,MATCH(COLUMNS($AC$1006:AG1006),$AC$1006:$AS$1006,0))&gt;=100000), " ",IF(INDEX($AC$2:$AS$1001,MATCH(ROWS($V$2:V761),$V$2:$V$1001,0),MATCH(COLUMNS($AC$1006:AG1006),$AC$1006:$AS$1006,0)), HYPERLINK("#",""), HYPERLINK(CONCATENATE("#metadata!", ADDRESS(INDEX($X$2:$X$1001,MATCH(ROWS($V$2:V761),$V$2:$V$1001,0),0), INDEX($AC$1004:$AS$1004,1,MATCH(COLUMNS($AC$1006:AG1006),$AC$1006:$AS$1006,0)))),"Fix")))</f>
        <v xml:space="preserve"> </v>
      </c>
      <c r="G761" s="4" t="str">
        <f ca="1">IF(OR(INDEX($W$2:$W$1001,MATCH(ROWS($V$2:V761),$V$2:$V$1001,0),1)&gt;=100000,INDEX($AC$1005:$AS$1005,1,MATCH(COLUMNS($AC$1006:AH1006),$AC$1006:$AS$1006,0))&gt;=100000), " ",IF(INDEX($AC$2:$AS$1001,MATCH(ROWS($V$2:V761),$V$2:$V$1001,0),MATCH(COLUMNS($AC$1006:AH1006),$AC$1006:$AS$1006,0)), HYPERLINK("#",""), HYPERLINK(CONCATENATE("#metadata!", ADDRESS(INDEX($X$2:$X$1001,MATCH(ROWS($V$2:V761),$V$2:$V$1001,0),0), INDEX($AC$1004:$AS$1004,1,MATCH(COLUMNS($AC$1006:AH1006),$AC$1006:$AS$1006,0)))),"Fix")))</f>
        <v xml:space="preserve"> </v>
      </c>
      <c r="H761" s="4" t="str">
        <f ca="1">IF(OR(INDEX($W$2:$W$1001,MATCH(ROWS($V$2:V761),$V$2:$V$1001,0),1)&gt;=100000,INDEX($AC$1005:$AS$1005,1,MATCH(COLUMNS($AC$1006:AI1006),$AC$1006:$AS$1006,0))&gt;=100000), " ",IF(INDEX($AC$2:$AS$1001,MATCH(ROWS($V$2:V761),$V$2:$V$1001,0),MATCH(COLUMNS($AC$1006:AI1006),$AC$1006:$AS$1006,0)), HYPERLINK("#",""), HYPERLINK(CONCATENATE("#metadata!", ADDRESS(INDEX($X$2:$X$1001,MATCH(ROWS($V$2:V761),$V$2:$V$1001,0),0), INDEX($AC$1004:$AS$1004,1,MATCH(COLUMNS($AC$1006:AI1006),$AC$1006:$AS$1006,0)))),"Fix")))</f>
        <v xml:space="preserve"> </v>
      </c>
      <c r="I761" s="4" t="str">
        <f ca="1">IF(OR(INDEX($W$2:$W$1001,MATCH(ROWS($V$2:V761),$V$2:$V$1001,0),1)&gt;=100000,INDEX($AC$1005:$AS$1005,1,MATCH(COLUMNS($AC$1006:AJ1006),$AC$1006:$AS$1006,0))&gt;=100000), " ",IF(INDEX($AC$2:$AS$1001,MATCH(ROWS($V$2:V761),$V$2:$V$1001,0),MATCH(COLUMNS($AC$1006:AJ1006),$AC$1006:$AS$1006,0)), HYPERLINK("#",""), HYPERLINK(CONCATENATE("#metadata!", ADDRESS(INDEX($X$2:$X$1001,MATCH(ROWS($V$2:V761),$V$2:$V$1001,0),0), INDEX($AC$1004:$AS$1004,1,MATCH(COLUMNS($AC$1006:AJ1006),$AC$1006:$AS$1006,0)))),"Fix")))</f>
        <v xml:space="preserve"> </v>
      </c>
      <c r="J761" s="4" t="str">
        <f ca="1">IF(OR(INDEX($W$2:$W$1001,MATCH(ROWS($V$2:V761),$V$2:$V$1001,0),1)&gt;=100000,INDEX($AC$1005:$AS$1005,1,MATCH(COLUMNS($AC$1006:AK1006),$AC$1006:$AS$1006,0))&gt;=100000), " ",IF(INDEX($AC$2:$AS$1001,MATCH(ROWS($V$2:V761),$V$2:$V$1001,0),MATCH(COLUMNS($AC$1006:AK1006),$AC$1006:$AS$1006,0)), HYPERLINK("#",""), HYPERLINK(CONCATENATE("#metadata!", ADDRESS(INDEX($X$2:$X$1001,MATCH(ROWS($V$2:V761),$V$2:$V$1001,0),0), INDEX($AC$1004:$AS$1004,1,MATCH(COLUMNS($AC$1006:AK1006),$AC$1006:$AS$1006,0)))),"Fix")))</f>
        <v xml:space="preserve"> </v>
      </c>
      <c r="K761" s="4" t="str">
        <f ca="1">IF(OR(INDEX($W$2:$W$1001,MATCH(ROWS($V$2:V761),$V$2:$V$1001,0),1)&gt;=100000,INDEX($AC$1005:$AS$1005,1,MATCH(COLUMNS($AC$1006:AL1006),$AC$1006:$AS$1006,0))&gt;=100000), " ",IF(INDEX($AC$2:$AS$1001,MATCH(ROWS($V$2:V761),$V$2:$V$1001,0),MATCH(COLUMNS($AC$1006:AL1006),$AC$1006:$AS$1006,0)), HYPERLINK("#",""), HYPERLINK(CONCATENATE("#metadata!", ADDRESS(INDEX($X$2:$X$1001,MATCH(ROWS($V$2:V761),$V$2:$V$1001,0),0), INDEX($AC$1004:$AS$1004,1,MATCH(COLUMNS($AC$1006:AL1006),$AC$1006:$AS$1006,0)))),"Fix")))</f>
        <v xml:space="preserve"> </v>
      </c>
      <c r="L761" s="4" t="str">
        <f ca="1">IF(OR(INDEX($W$2:$W$1001,MATCH(ROWS($V$2:V761),$V$2:$V$1001,0),1)&gt;=100000,INDEX($AC$1005:$AS$1005,1,MATCH(COLUMNS($AC$1006:AM1006),$AC$1006:$AS$1006,0))&gt;=100000), " ",IF(INDEX($AC$2:$AS$1001,MATCH(ROWS($V$2:V761),$V$2:$V$1001,0),MATCH(COLUMNS($AC$1006:AM1006),$AC$1006:$AS$1006,0)), HYPERLINK("#",""), HYPERLINK(CONCATENATE("#metadata!", ADDRESS(INDEX($X$2:$X$1001,MATCH(ROWS($V$2:V761),$V$2:$V$1001,0),0), INDEX($AC$1004:$AS$1004,1,MATCH(COLUMNS($AC$1006:AM1006),$AC$1006:$AS$1006,0)))),"Fix")))</f>
        <v xml:space="preserve"> </v>
      </c>
      <c r="M761" s="4" t="str">
        <f ca="1">IF(OR(INDEX($W$2:$W$1001,MATCH(ROWS($V$2:V761),$V$2:$V$1001,0),1)&gt;=100000,INDEX($AC$1005:$AS$1005,1,MATCH(COLUMNS($AC$1006:AN1006),$AC$1006:$AS$1006,0))&gt;=100000), " ",IF(INDEX($AC$2:$AS$1001,MATCH(ROWS($V$2:V761),$V$2:$V$1001,0),MATCH(COLUMNS($AC$1006:AN1006),$AC$1006:$AS$1006,0)), HYPERLINK("#",""), HYPERLINK(CONCATENATE("#metadata!", ADDRESS(INDEX($X$2:$X$1001,MATCH(ROWS($V$2:V761),$V$2:$V$1001,0),0), INDEX($AC$1004:$AS$1004,1,MATCH(COLUMNS($AC$1006:AN1006),$AC$1006:$AS$1006,0)))),"Fix")))</f>
        <v xml:space="preserve"> </v>
      </c>
      <c r="N761" s="4" t="str">
        <f ca="1">IF(OR(INDEX($W$2:$W$1001,MATCH(ROWS($V$2:V761),$V$2:$V$1001,0),1)&gt;=100000,INDEX($AC$1005:$AS$1005,1,MATCH(COLUMNS($AC$1006:AO1006),$AC$1006:$AS$1006,0))&gt;=100000), " ",IF(INDEX($AC$2:$AS$1001,MATCH(ROWS($V$2:V761),$V$2:$V$1001,0),MATCH(COLUMNS($AC$1006:AO1006),$AC$1006:$AS$1006,0)), HYPERLINK("#",""), HYPERLINK(CONCATENATE("#metadata!", ADDRESS(INDEX($X$2:$X$1001,MATCH(ROWS($V$2:V761),$V$2:$V$1001,0),0), INDEX($AC$1004:$AS$1004,1,MATCH(COLUMNS($AC$1006:AO1006),$AC$1006:$AS$1006,0)))),"Fix")))</f>
        <v xml:space="preserve"> </v>
      </c>
      <c r="O761" s="4" t="str">
        <f ca="1">IF(OR(INDEX($W$2:$W$1001,MATCH(ROWS($V$2:V761),$V$2:$V$1001,0),1)&gt;=100000,INDEX($AC$1005:$AS$1005,1,MATCH(COLUMNS($AC$1006:AP1006),$AC$1006:$AS$1006,0))&gt;=100000), " ",IF(INDEX($AC$2:$AS$1001,MATCH(ROWS($V$2:V761),$V$2:$V$1001,0),MATCH(COLUMNS($AC$1006:AP1006),$AC$1006:$AS$1006,0)), HYPERLINK("#",""), HYPERLINK(CONCATENATE("#metadata!", ADDRESS(INDEX($X$2:$X$1001,MATCH(ROWS($V$2:V761),$V$2:$V$1001,0),0), INDEX($AC$1004:$AS$1004,1,MATCH(COLUMNS($AC$1006:AP1006),$AC$1006:$AS$1006,0)))),"Fix")))</f>
        <v xml:space="preserve"> </v>
      </c>
      <c r="P761" s="4" t="str">
        <f ca="1">IF(OR(INDEX($W$2:$W$1001,MATCH(ROWS($V$2:V761),$V$2:$V$1001,0),1)&gt;=100000,INDEX($AC$1005:$AS$1005,1,MATCH(COLUMNS($AC$1006:AQ1006),$AC$1006:$AS$1006,0))&gt;=100000), " ",IF(INDEX($AC$2:$AS$1001,MATCH(ROWS($V$2:V761),$V$2:$V$1001,0),MATCH(COLUMNS($AC$1006:AQ1006),$AC$1006:$AS$1006,0)), HYPERLINK("#",""), HYPERLINK(CONCATENATE("#metadata!", ADDRESS(INDEX($X$2:$X$1001,MATCH(ROWS($V$2:V761),$V$2:$V$1001,0),0), INDEX($AC$1004:$AS$1004,1,MATCH(COLUMNS($AC$1006:AQ1006),$AC$1006:$AS$1006,0)))),"Fix")))</f>
        <v xml:space="preserve"> </v>
      </c>
      <c r="Q761" s="4" t="str">
        <f ca="1">IF(OR(INDEX($W$2:$W$1001,MATCH(ROWS($V$2:V761),$V$2:$V$1001,0),1)&gt;=100000,INDEX($AC$1005:$AS$1005,1,MATCH(COLUMNS($AC$1006:AR1006),$AC$1006:$AS$1006,0))&gt;=100000), " ",IF(INDEX($AC$2:$AS$1001,MATCH(ROWS($V$2:V761),$V$2:$V$1001,0),MATCH(COLUMNS($AC$1006:AR1006),$AC$1006:$AS$1006,0)), HYPERLINK("#",""), HYPERLINK(CONCATENATE("#metadata!", ADDRESS(INDEX($X$2:$X$1001,MATCH(ROWS($V$2:V761),$V$2:$V$1001,0),0), INDEX($AC$1004:$AS$1004,1,MATCH(COLUMNS($AC$1006:AR1006),$AC$1006:$AS$1006,0)))),"Fix")))</f>
        <v xml:space="preserve"> </v>
      </c>
      <c r="R761" s="4" t="str">
        <f ca="1">IF(OR(INDEX($W$2:$W$1001,MATCH(ROWS($V$2:V761),$V$2:$V$1001,0),1)&gt;=100000,INDEX($AC$1005:$AS$1005,1,MATCH(COLUMNS($AC$1006:AS1006),$AC$1006:$AS$1006,0))&gt;=100000), " ",IF(INDEX($AC$2:$AS$1001,MATCH(ROWS($V$2:V761),$V$2:$V$1001,0),MATCH(COLUMNS($AC$1006:AS1006),$AC$1006:$AS$1006,0)), HYPERLINK("#",""), HYPERLINK(CONCATENATE("#metadata!", ADDRESS(INDEX($X$2:$X$1001,MATCH(ROWS($V$2:V761),$V$2:$V$1001,0),0), INDEX($AC$1004:$AS$1004,1,MATCH(COLUMNS($AC$1006:AS1006),$AC$1006:$AS$1006,0)))),"Fix")))</f>
        <v xml:space="preserve"> </v>
      </c>
      <c r="V761">
        <v>760</v>
      </c>
      <c r="W761">
        <v>100761</v>
      </c>
      <c r="X761">
        <v>761</v>
      </c>
      <c r="Y761" t="b">
        <f t="shared" si="11"/>
        <v>1</v>
      </c>
      <c r="Z761" t="b">
        <f>COUNTBLANK(metadata!B761:R761)=COLUMNS(metadata!B761:R761)</f>
        <v>1</v>
      </c>
      <c r="AA761" t="str">
        <v/>
      </c>
      <c r="AC761" t="b">
        <f ca="1"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AD761" t="b">
        <f>IF(metadata!C761="",FALSE,ISNUMBER(VALUE(metadata!C761)))</f>
        <v>0</v>
      </c>
      <c r="AE761" t="b">
        <f>AND(IF(metadata!D761="",FALSE,TRUE),EXACT(metadata!D761,"years"))</f>
        <v>0</v>
      </c>
      <c r="AF761" t="b">
        <f>OR(AND(IF(metadata!E761="",FALSE,TRUE),OR(EXACT(metadata!E761,"not applicable"),EXACT(metadata!E761,"missing: not collected"),EXACT(metadata!E761,"missing: not provided"),EXACT(metadata!E761,"missing: restricted access"))),AND(IF(metadata!E761="",FALSE,ISNUMBER(VALUE(metadata!E761))),metadata!E761&gt;0))</f>
        <v>0</v>
      </c>
      <c r="AG761" t="b">
        <f>AND(IF(metadata!F761="",FALSE,TRUE),EXACT(metadata!F761,"Not applicable"))</f>
        <v>0</v>
      </c>
      <c r="AH761" t="b">
        <f>AND(IF(metadata!G761="",FALSE,TRUE),EXACT(metadata!G761,"urban biome"))</f>
        <v>0</v>
      </c>
      <c r="AI761" t="b">
        <f>AND(IF(metadata!H761="",FALSE,TRUE),EXACT(metadata!H761,"human-associated habitat"))</f>
        <v>0</v>
      </c>
      <c r="AJ761" t="b">
        <f>AND(IF(metadata!I761="",FALSE,TRUE),OR(EXACT(metadata!I761,"human-associated"),EXACT(metadata!I761,"human-skin"),EXACT(metadata!I761,"human-oral"),EXACT(metadata!I761,"human-gut"),EXACT(metadata!I761,"human-vaginal")))</f>
        <v>0</v>
      </c>
      <c r="AK761" t="b">
        <f>IF(metadata!J761="",FALSE,ISNUMBER(VALUE(metadata!J761)))</f>
        <v>0</v>
      </c>
      <c r="AL761" t="b">
        <f>AND(IF(metadata!K761="",FALSE,TRUE),EXACT(metadata!K761,"cm"))</f>
        <v>0</v>
      </c>
      <c r="AM761" t="b">
        <f>AND(IF(metadata!L761="",FALSE,TRUE),EXACT(metadata!L761,"human"))</f>
        <v>0</v>
      </c>
      <c r="AN761" t="b">
        <f>AND(IF(metadata!M761="",FALSE,TRUE),EXACT(metadata!M761,"Homo sapiens"))</f>
        <v>0</v>
      </c>
      <c r="AO761" t="b">
        <f>AND(IF(metadata!N761="",FALSE,TRUE),EXACT(metadata!N761,"9606"))</f>
        <v>0</v>
      </c>
      <c r="AP761" t="b">
        <f>IF(metadata!O761="",FALSE,TRUE)</f>
        <v>0</v>
      </c>
      <c r="AQ761" t="b">
        <f>IF(metadata!P761="",FALSE,TRUE)</f>
        <v>0</v>
      </c>
      <c r="AR761" t="b">
        <f>IF(metadata!Q761="",FALSE,ISNUMBER(VALUE(metadata!Q761)))</f>
        <v>0</v>
      </c>
      <c r="AS761" t="b">
        <f>AND(IF(metadata!R761="",FALSE,TRUE),EXACT(metadata!R761,"kg"))</f>
        <v>0</v>
      </c>
    </row>
    <row r="762" spans="1:45" x14ac:dyDescent="0.2">
      <c r="A762" s="5" t="str">
        <f ca="1">IF(B762=" "," ",HYPERLINK(CONCATENATE("#metadata!",ADDRESS(INDEX($X$2:$X$1001,MATCH(ROWS($V$2:V762),$V$2:$V$1001,0),0),1)),INDEX($AA$2:$AA$1001,MATCH(ROWS($V$2:V762),$V$2:$V$1001,0),0)))</f>
        <v xml:space="preserve"> </v>
      </c>
      <c r="B762" s="4" t="str">
        <f ca="1">IF(OR(INDEX($W$2:$W$1001,MATCH(ROWS($V$2:V762),$V$2:$V$1001,0),1)&gt;=100000,INDEX($AC$1005:$AS$1005,1,MATCH(COLUMNS($AC$1006:AC1006),$AC$1006:$AS$1006,0))&gt;=100000), " ",IF(INDEX($AC$2:$AS$1001,MATCH(ROWS($V$2:V762),$V$2:$V$1001,0),MATCH(COLUMNS($AC$1006:AC1006),$AC$1006:$AS$1006,0)), HYPERLINK("#",""), HYPERLINK(CONCATENATE("#metadata!", ADDRESS(INDEX($X$2:$X$1001,MATCH(ROWS($V$2:V762),$V$2:$V$1001,0),0), INDEX($AC$1004:$AS$1004,1,MATCH(COLUMNS($AC$1006:AC1006),$AC$1006:$AS$1006,0)))),"Fix")))</f>
        <v xml:space="preserve"> </v>
      </c>
      <c r="C762" s="4" t="str">
        <f ca="1">IF(OR(INDEX($W$2:$W$1001,MATCH(ROWS($V$2:V762),$V$2:$V$1001,0),1)&gt;=100000,INDEX($AC$1005:$AS$1005,1,MATCH(COLUMNS($AC$1006:AD1006),$AC$1006:$AS$1006,0))&gt;=100000), " ",IF(INDEX($AC$2:$AS$1001,MATCH(ROWS($V$2:V762),$V$2:$V$1001,0),MATCH(COLUMNS($AC$1006:AD1006),$AC$1006:$AS$1006,0)), HYPERLINK("#",""), HYPERLINK(CONCATENATE("#metadata!", ADDRESS(INDEX($X$2:$X$1001,MATCH(ROWS($V$2:V762),$V$2:$V$1001,0),0), INDEX($AC$1004:$AS$1004,1,MATCH(COLUMNS($AC$1006:AD1006),$AC$1006:$AS$1006,0)))),"Fix")))</f>
        <v xml:space="preserve"> </v>
      </c>
      <c r="D762" s="4" t="str">
        <f ca="1">IF(OR(INDEX($W$2:$W$1001,MATCH(ROWS($V$2:V762),$V$2:$V$1001,0),1)&gt;=100000,INDEX($AC$1005:$AS$1005,1,MATCH(COLUMNS($AC$1006:AE1006),$AC$1006:$AS$1006,0))&gt;=100000), " ",IF(INDEX($AC$2:$AS$1001,MATCH(ROWS($V$2:V762),$V$2:$V$1001,0),MATCH(COLUMNS($AC$1006:AE1006),$AC$1006:$AS$1006,0)), HYPERLINK("#",""), HYPERLINK(CONCATENATE("#metadata!", ADDRESS(INDEX($X$2:$X$1001,MATCH(ROWS($V$2:V762),$V$2:$V$1001,0),0), INDEX($AC$1004:$AS$1004,1,MATCH(COLUMNS($AC$1006:AE1006),$AC$1006:$AS$1006,0)))),"Fix")))</f>
        <v xml:space="preserve"> </v>
      </c>
      <c r="E762" s="4" t="str">
        <f ca="1">IF(OR(INDEX($W$2:$W$1001,MATCH(ROWS($V$2:V762),$V$2:$V$1001,0),1)&gt;=100000,INDEX($AC$1005:$AS$1005,1,MATCH(COLUMNS($AC$1006:AF1006),$AC$1006:$AS$1006,0))&gt;=100000), " ",IF(INDEX($AC$2:$AS$1001,MATCH(ROWS($V$2:V762),$V$2:$V$1001,0),MATCH(COLUMNS($AC$1006:AF1006),$AC$1006:$AS$1006,0)), HYPERLINK("#",""), HYPERLINK(CONCATENATE("#metadata!", ADDRESS(INDEX($X$2:$X$1001,MATCH(ROWS($V$2:V762),$V$2:$V$1001,0),0), INDEX($AC$1004:$AS$1004,1,MATCH(COLUMNS($AC$1006:AF1006),$AC$1006:$AS$1006,0)))),"Fix")))</f>
        <v xml:space="preserve"> </v>
      </c>
      <c r="F762" s="4" t="str">
        <f ca="1">IF(OR(INDEX($W$2:$W$1001,MATCH(ROWS($V$2:V762),$V$2:$V$1001,0),1)&gt;=100000,INDEX($AC$1005:$AS$1005,1,MATCH(COLUMNS($AC$1006:AG1006),$AC$1006:$AS$1006,0))&gt;=100000), " ",IF(INDEX($AC$2:$AS$1001,MATCH(ROWS($V$2:V762),$V$2:$V$1001,0),MATCH(COLUMNS($AC$1006:AG1006),$AC$1006:$AS$1006,0)), HYPERLINK("#",""), HYPERLINK(CONCATENATE("#metadata!", ADDRESS(INDEX($X$2:$X$1001,MATCH(ROWS($V$2:V762),$V$2:$V$1001,0),0), INDEX($AC$1004:$AS$1004,1,MATCH(COLUMNS($AC$1006:AG1006),$AC$1006:$AS$1006,0)))),"Fix")))</f>
        <v xml:space="preserve"> </v>
      </c>
      <c r="G762" s="4" t="str">
        <f ca="1">IF(OR(INDEX($W$2:$W$1001,MATCH(ROWS($V$2:V762),$V$2:$V$1001,0),1)&gt;=100000,INDEX($AC$1005:$AS$1005,1,MATCH(COLUMNS($AC$1006:AH1006),$AC$1006:$AS$1006,0))&gt;=100000), " ",IF(INDEX($AC$2:$AS$1001,MATCH(ROWS($V$2:V762),$V$2:$V$1001,0),MATCH(COLUMNS($AC$1006:AH1006),$AC$1006:$AS$1006,0)), HYPERLINK("#",""), HYPERLINK(CONCATENATE("#metadata!", ADDRESS(INDEX($X$2:$X$1001,MATCH(ROWS($V$2:V762),$V$2:$V$1001,0),0), INDEX($AC$1004:$AS$1004,1,MATCH(COLUMNS($AC$1006:AH1006),$AC$1006:$AS$1006,0)))),"Fix")))</f>
        <v xml:space="preserve"> </v>
      </c>
      <c r="H762" s="4" t="str">
        <f ca="1">IF(OR(INDEX($W$2:$W$1001,MATCH(ROWS($V$2:V762),$V$2:$V$1001,0),1)&gt;=100000,INDEX($AC$1005:$AS$1005,1,MATCH(COLUMNS($AC$1006:AI1006),$AC$1006:$AS$1006,0))&gt;=100000), " ",IF(INDEX($AC$2:$AS$1001,MATCH(ROWS($V$2:V762),$V$2:$V$1001,0),MATCH(COLUMNS($AC$1006:AI1006),$AC$1006:$AS$1006,0)), HYPERLINK("#",""), HYPERLINK(CONCATENATE("#metadata!", ADDRESS(INDEX($X$2:$X$1001,MATCH(ROWS($V$2:V762),$V$2:$V$1001,0),0), INDEX($AC$1004:$AS$1004,1,MATCH(COLUMNS($AC$1006:AI1006),$AC$1006:$AS$1006,0)))),"Fix")))</f>
        <v xml:space="preserve"> </v>
      </c>
      <c r="I762" s="4" t="str">
        <f ca="1">IF(OR(INDEX($W$2:$W$1001,MATCH(ROWS($V$2:V762),$V$2:$V$1001,0),1)&gt;=100000,INDEX($AC$1005:$AS$1005,1,MATCH(COLUMNS($AC$1006:AJ1006),$AC$1006:$AS$1006,0))&gt;=100000), " ",IF(INDEX($AC$2:$AS$1001,MATCH(ROWS($V$2:V762),$V$2:$V$1001,0),MATCH(COLUMNS($AC$1006:AJ1006),$AC$1006:$AS$1006,0)), HYPERLINK("#",""), HYPERLINK(CONCATENATE("#metadata!", ADDRESS(INDEX($X$2:$X$1001,MATCH(ROWS($V$2:V762),$V$2:$V$1001,0),0), INDEX($AC$1004:$AS$1004,1,MATCH(COLUMNS($AC$1006:AJ1006),$AC$1006:$AS$1006,0)))),"Fix")))</f>
        <v xml:space="preserve"> </v>
      </c>
      <c r="J762" s="4" t="str">
        <f ca="1">IF(OR(INDEX($W$2:$W$1001,MATCH(ROWS($V$2:V762),$V$2:$V$1001,0),1)&gt;=100000,INDEX($AC$1005:$AS$1005,1,MATCH(COLUMNS($AC$1006:AK1006),$AC$1006:$AS$1006,0))&gt;=100000), " ",IF(INDEX($AC$2:$AS$1001,MATCH(ROWS($V$2:V762),$V$2:$V$1001,0),MATCH(COLUMNS($AC$1006:AK1006),$AC$1006:$AS$1006,0)), HYPERLINK("#",""), HYPERLINK(CONCATENATE("#metadata!", ADDRESS(INDEX($X$2:$X$1001,MATCH(ROWS($V$2:V762),$V$2:$V$1001,0),0), INDEX($AC$1004:$AS$1004,1,MATCH(COLUMNS($AC$1006:AK1006),$AC$1006:$AS$1006,0)))),"Fix")))</f>
        <v xml:space="preserve"> </v>
      </c>
      <c r="K762" s="4" t="str">
        <f ca="1">IF(OR(INDEX($W$2:$W$1001,MATCH(ROWS($V$2:V762),$V$2:$V$1001,0),1)&gt;=100000,INDEX($AC$1005:$AS$1005,1,MATCH(COLUMNS($AC$1006:AL1006),$AC$1006:$AS$1006,0))&gt;=100000), " ",IF(INDEX($AC$2:$AS$1001,MATCH(ROWS($V$2:V762),$V$2:$V$1001,0),MATCH(COLUMNS($AC$1006:AL1006),$AC$1006:$AS$1006,0)), HYPERLINK("#",""), HYPERLINK(CONCATENATE("#metadata!", ADDRESS(INDEX($X$2:$X$1001,MATCH(ROWS($V$2:V762),$V$2:$V$1001,0),0), INDEX($AC$1004:$AS$1004,1,MATCH(COLUMNS($AC$1006:AL1006),$AC$1006:$AS$1006,0)))),"Fix")))</f>
        <v xml:space="preserve"> </v>
      </c>
      <c r="L762" s="4" t="str">
        <f ca="1">IF(OR(INDEX($W$2:$W$1001,MATCH(ROWS($V$2:V762),$V$2:$V$1001,0),1)&gt;=100000,INDEX($AC$1005:$AS$1005,1,MATCH(COLUMNS($AC$1006:AM1006),$AC$1006:$AS$1006,0))&gt;=100000), " ",IF(INDEX($AC$2:$AS$1001,MATCH(ROWS($V$2:V762),$V$2:$V$1001,0),MATCH(COLUMNS($AC$1006:AM1006),$AC$1006:$AS$1006,0)), HYPERLINK("#",""), HYPERLINK(CONCATENATE("#metadata!", ADDRESS(INDEX($X$2:$X$1001,MATCH(ROWS($V$2:V762),$V$2:$V$1001,0),0), INDEX($AC$1004:$AS$1004,1,MATCH(COLUMNS($AC$1006:AM1006),$AC$1006:$AS$1006,0)))),"Fix")))</f>
        <v xml:space="preserve"> </v>
      </c>
      <c r="M762" s="4" t="str">
        <f ca="1">IF(OR(INDEX($W$2:$W$1001,MATCH(ROWS($V$2:V762),$V$2:$V$1001,0),1)&gt;=100000,INDEX($AC$1005:$AS$1005,1,MATCH(COLUMNS($AC$1006:AN1006),$AC$1006:$AS$1006,0))&gt;=100000), " ",IF(INDEX($AC$2:$AS$1001,MATCH(ROWS($V$2:V762),$V$2:$V$1001,0),MATCH(COLUMNS($AC$1006:AN1006),$AC$1006:$AS$1006,0)), HYPERLINK("#",""), HYPERLINK(CONCATENATE("#metadata!", ADDRESS(INDEX($X$2:$X$1001,MATCH(ROWS($V$2:V762),$V$2:$V$1001,0),0), INDEX($AC$1004:$AS$1004,1,MATCH(COLUMNS($AC$1006:AN1006),$AC$1006:$AS$1006,0)))),"Fix")))</f>
        <v xml:space="preserve"> </v>
      </c>
      <c r="N762" s="4" t="str">
        <f ca="1">IF(OR(INDEX($W$2:$W$1001,MATCH(ROWS($V$2:V762),$V$2:$V$1001,0),1)&gt;=100000,INDEX($AC$1005:$AS$1005,1,MATCH(COLUMNS($AC$1006:AO1006),$AC$1006:$AS$1006,0))&gt;=100000), " ",IF(INDEX($AC$2:$AS$1001,MATCH(ROWS($V$2:V762),$V$2:$V$1001,0),MATCH(COLUMNS($AC$1006:AO1006),$AC$1006:$AS$1006,0)), HYPERLINK("#",""), HYPERLINK(CONCATENATE("#metadata!", ADDRESS(INDEX($X$2:$X$1001,MATCH(ROWS($V$2:V762),$V$2:$V$1001,0),0), INDEX($AC$1004:$AS$1004,1,MATCH(COLUMNS($AC$1006:AO1006),$AC$1006:$AS$1006,0)))),"Fix")))</f>
        <v xml:space="preserve"> </v>
      </c>
      <c r="O762" s="4" t="str">
        <f ca="1">IF(OR(INDEX($W$2:$W$1001,MATCH(ROWS($V$2:V762),$V$2:$V$1001,0),1)&gt;=100000,INDEX($AC$1005:$AS$1005,1,MATCH(COLUMNS($AC$1006:AP1006),$AC$1006:$AS$1006,0))&gt;=100000), " ",IF(INDEX($AC$2:$AS$1001,MATCH(ROWS($V$2:V762),$V$2:$V$1001,0),MATCH(COLUMNS($AC$1006:AP1006),$AC$1006:$AS$1006,0)), HYPERLINK("#",""), HYPERLINK(CONCATENATE("#metadata!", ADDRESS(INDEX($X$2:$X$1001,MATCH(ROWS($V$2:V762),$V$2:$V$1001,0),0), INDEX($AC$1004:$AS$1004,1,MATCH(COLUMNS($AC$1006:AP1006),$AC$1006:$AS$1006,0)))),"Fix")))</f>
        <v xml:space="preserve"> </v>
      </c>
      <c r="P762" s="4" t="str">
        <f ca="1">IF(OR(INDEX($W$2:$W$1001,MATCH(ROWS($V$2:V762),$V$2:$V$1001,0),1)&gt;=100000,INDEX($AC$1005:$AS$1005,1,MATCH(COLUMNS($AC$1006:AQ1006),$AC$1006:$AS$1006,0))&gt;=100000), " ",IF(INDEX($AC$2:$AS$1001,MATCH(ROWS($V$2:V762),$V$2:$V$1001,0),MATCH(COLUMNS($AC$1006:AQ1006),$AC$1006:$AS$1006,0)), HYPERLINK("#",""), HYPERLINK(CONCATENATE("#metadata!", ADDRESS(INDEX($X$2:$X$1001,MATCH(ROWS($V$2:V762),$V$2:$V$1001,0),0), INDEX($AC$1004:$AS$1004,1,MATCH(COLUMNS($AC$1006:AQ1006),$AC$1006:$AS$1006,0)))),"Fix")))</f>
        <v xml:space="preserve"> </v>
      </c>
      <c r="Q762" s="4" t="str">
        <f ca="1">IF(OR(INDEX($W$2:$W$1001,MATCH(ROWS($V$2:V762),$V$2:$V$1001,0),1)&gt;=100000,INDEX($AC$1005:$AS$1005,1,MATCH(COLUMNS($AC$1006:AR1006),$AC$1006:$AS$1006,0))&gt;=100000), " ",IF(INDEX($AC$2:$AS$1001,MATCH(ROWS($V$2:V762),$V$2:$V$1001,0),MATCH(COLUMNS($AC$1006:AR1006),$AC$1006:$AS$1006,0)), HYPERLINK("#",""), HYPERLINK(CONCATENATE("#metadata!", ADDRESS(INDEX($X$2:$X$1001,MATCH(ROWS($V$2:V762),$V$2:$V$1001,0),0), INDEX($AC$1004:$AS$1004,1,MATCH(COLUMNS($AC$1006:AR1006),$AC$1006:$AS$1006,0)))),"Fix")))</f>
        <v xml:space="preserve"> </v>
      </c>
      <c r="R762" s="4" t="str">
        <f ca="1">IF(OR(INDEX($W$2:$W$1001,MATCH(ROWS($V$2:V762),$V$2:$V$1001,0),1)&gt;=100000,INDEX($AC$1005:$AS$1005,1,MATCH(COLUMNS($AC$1006:AS1006),$AC$1006:$AS$1006,0))&gt;=100000), " ",IF(INDEX($AC$2:$AS$1001,MATCH(ROWS($V$2:V762),$V$2:$V$1001,0),MATCH(COLUMNS($AC$1006:AS1006),$AC$1006:$AS$1006,0)), HYPERLINK("#",""), HYPERLINK(CONCATENATE("#metadata!", ADDRESS(INDEX($X$2:$X$1001,MATCH(ROWS($V$2:V762),$V$2:$V$1001,0),0), INDEX($AC$1004:$AS$1004,1,MATCH(COLUMNS($AC$1006:AS1006),$AC$1006:$AS$1006,0)))),"Fix")))</f>
        <v xml:space="preserve"> </v>
      </c>
      <c r="V762">
        <v>761</v>
      </c>
      <c r="W762">
        <v>100762</v>
      </c>
      <c r="X762">
        <v>762</v>
      </c>
      <c r="Y762" t="b">
        <f t="shared" si="11"/>
        <v>1</v>
      </c>
      <c r="Z762" t="b">
        <f>COUNTBLANK(metadata!B762:R762)=COLUMNS(metadata!B762:R762)</f>
        <v>1</v>
      </c>
      <c r="AA762" t="str">
        <v/>
      </c>
      <c r="AC762" t="b">
        <f ca="1"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AD762" t="b">
        <f>IF(metadata!C762="",FALSE,ISNUMBER(VALUE(metadata!C762)))</f>
        <v>0</v>
      </c>
      <c r="AE762" t="b">
        <f>AND(IF(metadata!D762="",FALSE,TRUE),EXACT(metadata!D762,"years"))</f>
        <v>0</v>
      </c>
      <c r="AF762" t="b">
        <f>OR(AND(IF(metadata!E762="",FALSE,TRUE),OR(EXACT(metadata!E762,"not applicable"),EXACT(metadata!E762,"missing: not collected"),EXACT(metadata!E762,"missing: not provided"),EXACT(metadata!E762,"missing: restricted access"))),AND(IF(metadata!E762="",FALSE,ISNUMBER(VALUE(metadata!E762))),metadata!E762&gt;0))</f>
        <v>0</v>
      </c>
      <c r="AG762" t="b">
        <f>AND(IF(metadata!F762="",FALSE,TRUE),EXACT(metadata!F762,"Not applicable"))</f>
        <v>0</v>
      </c>
      <c r="AH762" t="b">
        <f>AND(IF(metadata!G762="",FALSE,TRUE),EXACT(metadata!G762,"urban biome"))</f>
        <v>0</v>
      </c>
      <c r="AI762" t="b">
        <f>AND(IF(metadata!H762="",FALSE,TRUE),EXACT(metadata!H762,"human-associated habitat"))</f>
        <v>0</v>
      </c>
      <c r="AJ762" t="b">
        <f>AND(IF(metadata!I762="",FALSE,TRUE),OR(EXACT(metadata!I762,"human-associated"),EXACT(metadata!I762,"human-skin"),EXACT(metadata!I762,"human-oral"),EXACT(metadata!I762,"human-gut"),EXACT(metadata!I762,"human-vaginal")))</f>
        <v>0</v>
      </c>
      <c r="AK762" t="b">
        <f>IF(metadata!J762="",FALSE,ISNUMBER(VALUE(metadata!J762)))</f>
        <v>0</v>
      </c>
      <c r="AL762" t="b">
        <f>AND(IF(metadata!K762="",FALSE,TRUE),EXACT(metadata!K762,"cm"))</f>
        <v>0</v>
      </c>
      <c r="AM762" t="b">
        <f>AND(IF(metadata!L762="",FALSE,TRUE),EXACT(metadata!L762,"human"))</f>
        <v>0</v>
      </c>
      <c r="AN762" t="b">
        <f>AND(IF(metadata!M762="",FALSE,TRUE),EXACT(metadata!M762,"Homo sapiens"))</f>
        <v>0</v>
      </c>
      <c r="AO762" t="b">
        <f>AND(IF(metadata!N762="",FALSE,TRUE),EXACT(metadata!N762,"9606"))</f>
        <v>0</v>
      </c>
      <c r="AP762" t="b">
        <f>IF(metadata!O762="",FALSE,TRUE)</f>
        <v>0</v>
      </c>
      <c r="AQ762" t="b">
        <f>IF(metadata!P762="",FALSE,TRUE)</f>
        <v>0</v>
      </c>
      <c r="AR762" t="b">
        <f>IF(metadata!Q762="",FALSE,ISNUMBER(VALUE(metadata!Q762)))</f>
        <v>0</v>
      </c>
      <c r="AS762" t="b">
        <f>AND(IF(metadata!R762="",FALSE,TRUE),EXACT(metadata!R762,"kg"))</f>
        <v>0</v>
      </c>
    </row>
    <row r="763" spans="1:45" x14ac:dyDescent="0.2">
      <c r="A763" s="5" t="str">
        <f ca="1">IF(B763=" "," ",HYPERLINK(CONCATENATE("#metadata!",ADDRESS(INDEX($X$2:$X$1001,MATCH(ROWS($V$2:V763),$V$2:$V$1001,0),0),1)),INDEX($AA$2:$AA$1001,MATCH(ROWS($V$2:V763),$V$2:$V$1001,0),0)))</f>
        <v xml:space="preserve"> </v>
      </c>
      <c r="B763" s="4" t="str">
        <f ca="1">IF(OR(INDEX($W$2:$W$1001,MATCH(ROWS($V$2:V763),$V$2:$V$1001,0),1)&gt;=100000,INDEX($AC$1005:$AS$1005,1,MATCH(COLUMNS($AC$1006:AC1006),$AC$1006:$AS$1006,0))&gt;=100000), " ",IF(INDEX($AC$2:$AS$1001,MATCH(ROWS($V$2:V763),$V$2:$V$1001,0),MATCH(COLUMNS($AC$1006:AC1006),$AC$1006:$AS$1006,0)), HYPERLINK("#",""), HYPERLINK(CONCATENATE("#metadata!", ADDRESS(INDEX($X$2:$X$1001,MATCH(ROWS($V$2:V763),$V$2:$V$1001,0),0), INDEX($AC$1004:$AS$1004,1,MATCH(COLUMNS($AC$1006:AC1006),$AC$1006:$AS$1006,0)))),"Fix")))</f>
        <v xml:space="preserve"> </v>
      </c>
      <c r="C763" s="4" t="str">
        <f ca="1">IF(OR(INDEX($W$2:$W$1001,MATCH(ROWS($V$2:V763),$V$2:$V$1001,0),1)&gt;=100000,INDEX($AC$1005:$AS$1005,1,MATCH(COLUMNS($AC$1006:AD1006),$AC$1006:$AS$1006,0))&gt;=100000), " ",IF(INDEX($AC$2:$AS$1001,MATCH(ROWS($V$2:V763),$V$2:$V$1001,0),MATCH(COLUMNS($AC$1006:AD1006),$AC$1006:$AS$1006,0)), HYPERLINK("#",""), HYPERLINK(CONCATENATE("#metadata!", ADDRESS(INDEX($X$2:$X$1001,MATCH(ROWS($V$2:V763),$V$2:$V$1001,0),0), INDEX($AC$1004:$AS$1004,1,MATCH(COLUMNS($AC$1006:AD1006),$AC$1006:$AS$1006,0)))),"Fix")))</f>
        <v xml:space="preserve"> </v>
      </c>
      <c r="D763" s="4" t="str">
        <f ca="1">IF(OR(INDEX($W$2:$W$1001,MATCH(ROWS($V$2:V763),$V$2:$V$1001,0),1)&gt;=100000,INDEX($AC$1005:$AS$1005,1,MATCH(COLUMNS($AC$1006:AE1006),$AC$1006:$AS$1006,0))&gt;=100000), " ",IF(INDEX($AC$2:$AS$1001,MATCH(ROWS($V$2:V763),$V$2:$V$1001,0),MATCH(COLUMNS($AC$1006:AE1006),$AC$1006:$AS$1006,0)), HYPERLINK("#",""), HYPERLINK(CONCATENATE("#metadata!", ADDRESS(INDEX($X$2:$X$1001,MATCH(ROWS($V$2:V763),$V$2:$V$1001,0),0), INDEX($AC$1004:$AS$1004,1,MATCH(COLUMNS($AC$1006:AE1006),$AC$1006:$AS$1006,0)))),"Fix")))</f>
        <v xml:space="preserve"> </v>
      </c>
      <c r="E763" s="4" t="str">
        <f ca="1">IF(OR(INDEX($W$2:$W$1001,MATCH(ROWS($V$2:V763),$V$2:$V$1001,0),1)&gt;=100000,INDEX($AC$1005:$AS$1005,1,MATCH(COLUMNS($AC$1006:AF1006),$AC$1006:$AS$1006,0))&gt;=100000), " ",IF(INDEX($AC$2:$AS$1001,MATCH(ROWS($V$2:V763),$V$2:$V$1001,0),MATCH(COLUMNS($AC$1006:AF1006),$AC$1006:$AS$1006,0)), HYPERLINK("#",""), HYPERLINK(CONCATENATE("#metadata!", ADDRESS(INDEX($X$2:$X$1001,MATCH(ROWS($V$2:V763),$V$2:$V$1001,0),0), INDEX($AC$1004:$AS$1004,1,MATCH(COLUMNS($AC$1006:AF1006),$AC$1006:$AS$1006,0)))),"Fix")))</f>
        <v xml:space="preserve"> </v>
      </c>
      <c r="F763" s="4" t="str">
        <f ca="1">IF(OR(INDEX($W$2:$W$1001,MATCH(ROWS($V$2:V763),$V$2:$V$1001,0),1)&gt;=100000,INDEX($AC$1005:$AS$1005,1,MATCH(COLUMNS($AC$1006:AG1006),$AC$1006:$AS$1006,0))&gt;=100000), " ",IF(INDEX($AC$2:$AS$1001,MATCH(ROWS($V$2:V763),$V$2:$V$1001,0),MATCH(COLUMNS($AC$1006:AG1006),$AC$1006:$AS$1006,0)), HYPERLINK("#",""), HYPERLINK(CONCATENATE("#metadata!", ADDRESS(INDEX($X$2:$X$1001,MATCH(ROWS($V$2:V763),$V$2:$V$1001,0),0), INDEX($AC$1004:$AS$1004,1,MATCH(COLUMNS($AC$1006:AG1006),$AC$1006:$AS$1006,0)))),"Fix")))</f>
        <v xml:space="preserve"> </v>
      </c>
      <c r="G763" s="4" t="str">
        <f ca="1">IF(OR(INDEX($W$2:$W$1001,MATCH(ROWS($V$2:V763),$V$2:$V$1001,0),1)&gt;=100000,INDEX($AC$1005:$AS$1005,1,MATCH(COLUMNS($AC$1006:AH1006),$AC$1006:$AS$1006,0))&gt;=100000), " ",IF(INDEX($AC$2:$AS$1001,MATCH(ROWS($V$2:V763),$V$2:$V$1001,0),MATCH(COLUMNS($AC$1006:AH1006),$AC$1006:$AS$1006,0)), HYPERLINK("#",""), HYPERLINK(CONCATENATE("#metadata!", ADDRESS(INDEX($X$2:$X$1001,MATCH(ROWS($V$2:V763),$V$2:$V$1001,0),0), INDEX($AC$1004:$AS$1004,1,MATCH(COLUMNS($AC$1006:AH1006),$AC$1006:$AS$1006,0)))),"Fix")))</f>
        <v xml:space="preserve"> </v>
      </c>
      <c r="H763" s="4" t="str">
        <f ca="1">IF(OR(INDEX($W$2:$W$1001,MATCH(ROWS($V$2:V763),$V$2:$V$1001,0),1)&gt;=100000,INDEX($AC$1005:$AS$1005,1,MATCH(COLUMNS($AC$1006:AI1006),$AC$1006:$AS$1006,0))&gt;=100000), " ",IF(INDEX($AC$2:$AS$1001,MATCH(ROWS($V$2:V763),$V$2:$V$1001,0),MATCH(COLUMNS($AC$1006:AI1006),$AC$1006:$AS$1006,0)), HYPERLINK("#",""), HYPERLINK(CONCATENATE("#metadata!", ADDRESS(INDEX($X$2:$X$1001,MATCH(ROWS($V$2:V763),$V$2:$V$1001,0),0), INDEX($AC$1004:$AS$1004,1,MATCH(COLUMNS($AC$1006:AI1006),$AC$1006:$AS$1006,0)))),"Fix")))</f>
        <v xml:space="preserve"> </v>
      </c>
      <c r="I763" s="4" t="str">
        <f ca="1">IF(OR(INDEX($W$2:$W$1001,MATCH(ROWS($V$2:V763),$V$2:$V$1001,0),1)&gt;=100000,INDEX($AC$1005:$AS$1005,1,MATCH(COLUMNS($AC$1006:AJ1006),$AC$1006:$AS$1006,0))&gt;=100000), " ",IF(INDEX($AC$2:$AS$1001,MATCH(ROWS($V$2:V763),$V$2:$V$1001,0),MATCH(COLUMNS($AC$1006:AJ1006),$AC$1006:$AS$1006,0)), HYPERLINK("#",""), HYPERLINK(CONCATENATE("#metadata!", ADDRESS(INDEX($X$2:$X$1001,MATCH(ROWS($V$2:V763),$V$2:$V$1001,0),0), INDEX($AC$1004:$AS$1004,1,MATCH(COLUMNS($AC$1006:AJ1006),$AC$1006:$AS$1006,0)))),"Fix")))</f>
        <v xml:space="preserve"> </v>
      </c>
      <c r="J763" s="4" t="str">
        <f ca="1">IF(OR(INDEX($W$2:$W$1001,MATCH(ROWS($V$2:V763),$V$2:$V$1001,0),1)&gt;=100000,INDEX($AC$1005:$AS$1005,1,MATCH(COLUMNS($AC$1006:AK1006),$AC$1006:$AS$1006,0))&gt;=100000), " ",IF(INDEX($AC$2:$AS$1001,MATCH(ROWS($V$2:V763),$V$2:$V$1001,0),MATCH(COLUMNS($AC$1006:AK1006),$AC$1006:$AS$1006,0)), HYPERLINK("#",""), HYPERLINK(CONCATENATE("#metadata!", ADDRESS(INDEX($X$2:$X$1001,MATCH(ROWS($V$2:V763),$V$2:$V$1001,0),0), INDEX($AC$1004:$AS$1004,1,MATCH(COLUMNS($AC$1006:AK1006),$AC$1006:$AS$1006,0)))),"Fix")))</f>
        <v xml:space="preserve"> </v>
      </c>
      <c r="K763" s="4" t="str">
        <f ca="1">IF(OR(INDEX($W$2:$W$1001,MATCH(ROWS($V$2:V763),$V$2:$V$1001,0),1)&gt;=100000,INDEX($AC$1005:$AS$1005,1,MATCH(COLUMNS($AC$1006:AL1006),$AC$1006:$AS$1006,0))&gt;=100000), " ",IF(INDEX($AC$2:$AS$1001,MATCH(ROWS($V$2:V763),$V$2:$V$1001,0),MATCH(COLUMNS($AC$1006:AL1006),$AC$1006:$AS$1006,0)), HYPERLINK("#",""), HYPERLINK(CONCATENATE("#metadata!", ADDRESS(INDEX($X$2:$X$1001,MATCH(ROWS($V$2:V763),$V$2:$V$1001,0),0), INDEX($AC$1004:$AS$1004,1,MATCH(COLUMNS($AC$1006:AL1006),$AC$1006:$AS$1006,0)))),"Fix")))</f>
        <v xml:space="preserve"> </v>
      </c>
      <c r="L763" s="4" t="str">
        <f ca="1">IF(OR(INDEX($W$2:$W$1001,MATCH(ROWS($V$2:V763),$V$2:$V$1001,0),1)&gt;=100000,INDEX($AC$1005:$AS$1005,1,MATCH(COLUMNS($AC$1006:AM1006),$AC$1006:$AS$1006,0))&gt;=100000), " ",IF(INDEX($AC$2:$AS$1001,MATCH(ROWS($V$2:V763),$V$2:$V$1001,0),MATCH(COLUMNS($AC$1006:AM1006),$AC$1006:$AS$1006,0)), HYPERLINK("#",""), HYPERLINK(CONCATENATE("#metadata!", ADDRESS(INDEX($X$2:$X$1001,MATCH(ROWS($V$2:V763),$V$2:$V$1001,0),0), INDEX($AC$1004:$AS$1004,1,MATCH(COLUMNS($AC$1006:AM1006),$AC$1006:$AS$1006,0)))),"Fix")))</f>
        <v xml:space="preserve"> </v>
      </c>
      <c r="M763" s="4" t="str">
        <f ca="1">IF(OR(INDEX($W$2:$W$1001,MATCH(ROWS($V$2:V763),$V$2:$V$1001,0),1)&gt;=100000,INDEX($AC$1005:$AS$1005,1,MATCH(COLUMNS($AC$1006:AN1006),$AC$1006:$AS$1006,0))&gt;=100000), " ",IF(INDEX($AC$2:$AS$1001,MATCH(ROWS($V$2:V763),$V$2:$V$1001,0),MATCH(COLUMNS($AC$1006:AN1006),$AC$1006:$AS$1006,0)), HYPERLINK("#",""), HYPERLINK(CONCATENATE("#metadata!", ADDRESS(INDEX($X$2:$X$1001,MATCH(ROWS($V$2:V763),$V$2:$V$1001,0),0), INDEX($AC$1004:$AS$1004,1,MATCH(COLUMNS($AC$1006:AN1006),$AC$1006:$AS$1006,0)))),"Fix")))</f>
        <v xml:space="preserve"> </v>
      </c>
      <c r="N763" s="4" t="str">
        <f ca="1">IF(OR(INDEX($W$2:$W$1001,MATCH(ROWS($V$2:V763),$V$2:$V$1001,0),1)&gt;=100000,INDEX($AC$1005:$AS$1005,1,MATCH(COLUMNS($AC$1006:AO1006),$AC$1006:$AS$1006,0))&gt;=100000), " ",IF(INDEX($AC$2:$AS$1001,MATCH(ROWS($V$2:V763),$V$2:$V$1001,0),MATCH(COLUMNS($AC$1006:AO1006),$AC$1006:$AS$1006,0)), HYPERLINK("#",""), HYPERLINK(CONCATENATE("#metadata!", ADDRESS(INDEX($X$2:$X$1001,MATCH(ROWS($V$2:V763),$V$2:$V$1001,0),0), INDEX($AC$1004:$AS$1004,1,MATCH(COLUMNS($AC$1006:AO1006),$AC$1006:$AS$1006,0)))),"Fix")))</f>
        <v xml:space="preserve"> </v>
      </c>
      <c r="O763" s="4" t="str">
        <f ca="1">IF(OR(INDEX($W$2:$W$1001,MATCH(ROWS($V$2:V763),$V$2:$V$1001,0),1)&gt;=100000,INDEX($AC$1005:$AS$1005,1,MATCH(COLUMNS($AC$1006:AP1006),$AC$1006:$AS$1006,0))&gt;=100000), " ",IF(INDEX($AC$2:$AS$1001,MATCH(ROWS($V$2:V763),$V$2:$V$1001,0),MATCH(COLUMNS($AC$1006:AP1006),$AC$1006:$AS$1006,0)), HYPERLINK("#",""), HYPERLINK(CONCATENATE("#metadata!", ADDRESS(INDEX($X$2:$X$1001,MATCH(ROWS($V$2:V763),$V$2:$V$1001,0),0), INDEX($AC$1004:$AS$1004,1,MATCH(COLUMNS($AC$1006:AP1006),$AC$1006:$AS$1006,0)))),"Fix")))</f>
        <v xml:space="preserve"> </v>
      </c>
      <c r="P763" s="4" t="str">
        <f ca="1">IF(OR(INDEX($W$2:$W$1001,MATCH(ROWS($V$2:V763),$V$2:$V$1001,0),1)&gt;=100000,INDEX($AC$1005:$AS$1005,1,MATCH(COLUMNS($AC$1006:AQ1006),$AC$1006:$AS$1006,0))&gt;=100000), " ",IF(INDEX($AC$2:$AS$1001,MATCH(ROWS($V$2:V763),$V$2:$V$1001,0),MATCH(COLUMNS($AC$1006:AQ1006),$AC$1006:$AS$1006,0)), HYPERLINK("#",""), HYPERLINK(CONCATENATE("#metadata!", ADDRESS(INDEX($X$2:$X$1001,MATCH(ROWS($V$2:V763),$V$2:$V$1001,0),0), INDEX($AC$1004:$AS$1004,1,MATCH(COLUMNS($AC$1006:AQ1006),$AC$1006:$AS$1006,0)))),"Fix")))</f>
        <v xml:space="preserve"> </v>
      </c>
      <c r="Q763" s="4" t="str">
        <f ca="1">IF(OR(INDEX($W$2:$W$1001,MATCH(ROWS($V$2:V763),$V$2:$V$1001,0),1)&gt;=100000,INDEX($AC$1005:$AS$1005,1,MATCH(COLUMNS($AC$1006:AR1006),$AC$1006:$AS$1006,0))&gt;=100000), " ",IF(INDEX($AC$2:$AS$1001,MATCH(ROWS($V$2:V763),$V$2:$V$1001,0),MATCH(COLUMNS($AC$1006:AR1006),$AC$1006:$AS$1006,0)), HYPERLINK("#",""), HYPERLINK(CONCATENATE("#metadata!", ADDRESS(INDEX($X$2:$X$1001,MATCH(ROWS($V$2:V763),$V$2:$V$1001,0),0), INDEX($AC$1004:$AS$1004,1,MATCH(COLUMNS($AC$1006:AR1006),$AC$1006:$AS$1006,0)))),"Fix")))</f>
        <v xml:space="preserve"> </v>
      </c>
      <c r="R763" s="4" t="str">
        <f ca="1">IF(OR(INDEX($W$2:$W$1001,MATCH(ROWS($V$2:V763),$V$2:$V$1001,0),1)&gt;=100000,INDEX($AC$1005:$AS$1005,1,MATCH(COLUMNS($AC$1006:AS1006),$AC$1006:$AS$1006,0))&gt;=100000), " ",IF(INDEX($AC$2:$AS$1001,MATCH(ROWS($V$2:V763),$V$2:$V$1001,0),MATCH(COLUMNS($AC$1006:AS1006),$AC$1006:$AS$1006,0)), HYPERLINK("#",""), HYPERLINK(CONCATENATE("#metadata!", ADDRESS(INDEX($X$2:$X$1001,MATCH(ROWS($V$2:V763),$V$2:$V$1001,0),0), INDEX($AC$1004:$AS$1004,1,MATCH(COLUMNS($AC$1006:AS1006),$AC$1006:$AS$1006,0)))),"Fix")))</f>
        <v xml:space="preserve"> </v>
      </c>
      <c r="V763">
        <v>762</v>
      </c>
      <c r="W763">
        <v>100763</v>
      </c>
      <c r="X763">
        <v>763</v>
      </c>
      <c r="Y763" t="b">
        <f t="shared" si="11"/>
        <v>1</v>
      </c>
      <c r="Z763" t="b">
        <f>COUNTBLANK(metadata!B763:R763)=COLUMNS(metadata!B763:R763)</f>
        <v>1</v>
      </c>
      <c r="AA763" t="str">
        <v/>
      </c>
      <c r="AC763" t="b">
        <f ca="1"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AD763" t="b">
        <f>IF(metadata!C763="",FALSE,ISNUMBER(VALUE(metadata!C763)))</f>
        <v>0</v>
      </c>
      <c r="AE763" t="b">
        <f>AND(IF(metadata!D763="",FALSE,TRUE),EXACT(metadata!D763,"years"))</f>
        <v>0</v>
      </c>
      <c r="AF763" t="b">
        <f>OR(AND(IF(metadata!E763="",FALSE,TRUE),OR(EXACT(metadata!E763,"not applicable"),EXACT(metadata!E763,"missing: not collected"),EXACT(metadata!E763,"missing: not provided"),EXACT(metadata!E763,"missing: restricted access"))),AND(IF(metadata!E763="",FALSE,ISNUMBER(VALUE(metadata!E763))),metadata!E763&gt;0))</f>
        <v>0</v>
      </c>
      <c r="AG763" t="b">
        <f>AND(IF(metadata!F763="",FALSE,TRUE),EXACT(metadata!F763,"Not applicable"))</f>
        <v>0</v>
      </c>
      <c r="AH763" t="b">
        <f>AND(IF(metadata!G763="",FALSE,TRUE),EXACT(metadata!G763,"urban biome"))</f>
        <v>0</v>
      </c>
      <c r="AI763" t="b">
        <f>AND(IF(metadata!H763="",FALSE,TRUE),EXACT(metadata!H763,"human-associated habitat"))</f>
        <v>0</v>
      </c>
      <c r="AJ763" t="b">
        <f>AND(IF(metadata!I763="",FALSE,TRUE),OR(EXACT(metadata!I763,"human-associated"),EXACT(metadata!I763,"human-skin"),EXACT(metadata!I763,"human-oral"),EXACT(metadata!I763,"human-gut"),EXACT(metadata!I763,"human-vaginal")))</f>
        <v>0</v>
      </c>
      <c r="AK763" t="b">
        <f>IF(metadata!J763="",FALSE,ISNUMBER(VALUE(metadata!J763)))</f>
        <v>0</v>
      </c>
      <c r="AL763" t="b">
        <f>AND(IF(metadata!K763="",FALSE,TRUE),EXACT(metadata!K763,"cm"))</f>
        <v>0</v>
      </c>
      <c r="AM763" t="b">
        <f>AND(IF(metadata!L763="",FALSE,TRUE),EXACT(metadata!L763,"human"))</f>
        <v>0</v>
      </c>
      <c r="AN763" t="b">
        <f>AND(IF(metadata!M763="",FALSE,TRUE),EXACT(metadata!M763,"Homo sapiens"))</f>
        <v>0</v>
      </c>
      <c r="AO763" t="b">
        <f>AND(IF(metadata!N763="",FALSE,TRUE),EXACT(metadata!N763,"9606"))</f>
        <v>0</v>
      </c>
      <c r="AP763" t="b">
        <f>IF(metadata!O763="",FALSE,TRUE)</f>
        <v>0</v>
      </c>
      <c r="AQ763" t="b">
        <f>IF(metadata!P763="",FALSE,TRUE)</f>
        <v>0</v>
      </c>
      <c r="AR763" t="b">
        <f>IF(metadata!Q763="",FALSE,ISNUMBER(VALUE(metadata!Q763)))</f>
        <v>0</v>
      </c>
      <c r="AS763" t="b">
        <f>AND(IF(metadata!R763="",FALSE,TRUE),EXACT(metadata!R763,"kg"))</f>
        <v>0</v>
      </c>
    </row>
    <row r="764" spans="1:45" x14ac:dyDescent="0.2">
      <c r="A764" s="5" t="str">
        <f ca="1">IF(B764=" "," ",HYPERLINK(CONCATENATE("#metadata!",ADDRESS(INDEX($X$2:$X$1001,MATCH(ROWS($V$2:V764),$V$2:$V$1001,0),0),1)),INDEX($AA$2:$AA$1001,MATCH(ROWS($V$2:V764),$V$2:$V$1001,0),0)))</f>
        <v xml:space="preserve"> </v>
      </c>
      <c r="B764" s="4" t="str">
        <f ca="1">IF(OR(INDEX($W$2:$W$1001,MATCH(ROWS($V$2:V764),$V$2:$V$1001,0),1)&gt;=100000,INDEX($AC$1005:$AS$1005,1,MATCH(COLUMNS($AC$1006:AC1006),$AC$1006:$AS$1006,0))&gt;=100000), " ",IF(INDEX($AC$2:$AS$1001,MATCH(ROWS($V$2:V764),$V$2:$V$1001,0),MATCH(COLUMNS($AC$1006:AC1006),$AC$1006:$AS$1006,0)), HYPERLINK("#",""), HYPERLINK(CONCATENATE("#metadata!", ADDRESS(INDEX($X$2:$X$1001,MATCH(ROWS($V$2:V764),$V$2:$V$1001,0),0), INDEX($AC$1004:$AS$1004,1,MATCH(COLUMNS($AC$1006:AC1006),$AC$1006:$AS$1006,0)))),"Fix")))</f>
        <v xml:space="preserve"> </v>
      </c>
      <c r="C764" s="4" t="str">
        <f ca="1">IF(OR(INDEX($W$2:$W$1001,MATCH(ROWS($V$2:V764),$V$2:$V$1001,0),1)&gt;=100000,INDEX($AC$1005:$AS$1005,1,MATCH(COLUMNS($AC$1006:AD1006),$AC$1006:$AS$1006,0))&gt;=100000), " ",IF(INDEX($AC$2:$AS$1001,MATCH(ROWS($V$2:V764),$V$2:$V$1001,0),MATCH(COLUMNS($AC$1006:AD1006),$AC$1006:$AS$1006,0)), HYPERLINK("#",""), HYPERLINK(CONCATENATE("#metadata!", ADDRESS(INDEX($X$2:$X$1001,MATCH(ROWS($V$2:V764),$V$2:$V$1001,0),0), INDEX($AC$1004:$AS$1004,1,MATCH(COLUMNS($AC$1006:AD1006),$AC$1006:$AS$1006,0)))),"Fix")))</f>
        <v xml:space="preserve"> </v>
      </c>
      <c r="D764" s="4" t="str">
        <f ca="1">IF(OR(INDEX($W$2:$W$1001,MATCH(ROWS($V$2:V764),$V$2:$V$1001,0),1)&gt;=100000,INDEX($AC$1005:$AS$1005,1,MATCH(COLUMNS($AC$1006:AE1006),$AC$1006:$AS$1006,0))&gt;=100000), " ",IF(INDEX($AC$2:$AS$1001,MATCH(ROWS($V$2:V764),$V$2:$V$1001,0),MATCH(COLUMNS($AC$1006:AE1006),$AC$1006:$AS$1006,0)), HYPERLINK("#",""), HYPERLINK(CONCATENATE("#metadata!", ADDRESS(INDEX($X$2:$X$1001,MATCH(ROWS($V$2:V764),$V$2:$V$1001,0),0), INDEX($AC$1004:$AS$1004,1,MATCH(COLUMNS($AC$1006:AE1006),$AC$1006:$AS$1006,0)))),"Fix")))</f>
        <v xml:space="preserve"> </v>
      </c>
      <c r="E764" s="4" t="str">
        <f ca="1">IF(OR(INDEX($W$2:$W$1001,MATCH(ROWS($V$2:V764),$V$2:$V$1001,0),1)&gt;=100000,INDEX($AC$1005:$AS$1005,1,MATCH(COLUMNS($AC$1006:AF1006),$AC$1006:$AS$1006,0))&gt;=100000), " ",IF(INDEX($AC$2:$AS$1001,MATCH(ROWS($V$2:V764),$V$2:$V$1001,0),MATCH(COLUMNS($AC$1006:AF1006),$AC$1006:$AS$1006,0)), HYPERLINK("#",""), HYPERLINK(CONCATENATE("#metadata!", ADDRESS(INDEX($X$2:$X$1001,MATCH(ROWS($V$2:V764),$V$2:$V$1001,0),0), INDEX($AC$1004:$AS$1004,1,MATCH(COLUMNS($AC$1006:AF1006),$AC$1006:$AS$1006,0)))),"Fix")))</f>
        <v xml:space="preserve"> </v>
      </c>
      <c r="F764" s="4" t="str">
        <f ca="1">IF(OR(INDEX($W$2:$W$1001,MATCH(ROWS($V$2:V764),$V$2:$V$1001,0),1)&gt;=100000,INDEX($AC$1005:$AS$1005,1,MATCH(COLUMNS($AC$1006:AG1006),$AC$1006:$AS$1006,0))&gt;=100000), " ",IF(INDEX($AC$2:$AS$1001,MATCH(ROWS($V$2:V764),$V$2:$V$1001,0),MATCH(COLUMNS($AC$1006:AG1006),$AC$1006:$AS$1006,0)), HYPERLINK("#",""), HYPERLINK(CONCATENATE("#metadata!", ADDRESS(INDEX($X$2:$X$1001,MATCH(ROWS($V$2:V764),$V$2:$V$1001,0),0), INDEX($AC$1004:$AS$1004,1,MATCH(COLUMNS($AC$1006:AG1006),$AC$1006:$AS$1006,0)))),"Fix")))</f>
        <v xml:space="preserve"> </v>
      </c>
      <c r="G764" s="4" t="str">
        <f ca="1">IF(OR(INDEX($W$2:$W$1001,MATCH(ROWS($V$2:V764),$V$2:$V$1001,0),1)&gt;=100000,INDEX($AC$1005:$AS$1005,1,MATCH(COLUMNS($AC$1006:AH1006),$AC$1006:$AS$1006,0))&gt;=100000), " ",IF(INDEX($AC$2:$AS$1001,MATCH(ROWS($V$2:V764),$V$2:$V$1001,0),MATCH(COLUMNS($AC$1006:AH1006),$AC$1006:$AS$1006,0)), HYPERLINK("#",""), HYPERLINK(CONCATENATE("#metadata!", ADDRESS(INDEX($X$2:$X$1001,MATCH(ROWS($V$2:V764),$V$2:$V$1001,0),0), INDEX($AC$1004:$AS$1004,1,MATCH(COLUMNS($AC$1006:AH1006),$AC$1006:$AS$1006,0)))),"Fix")))</f>
        <v xml:space="preserve"> </v>
      </c>
      <c r="H764" s="4" t="str">
        <f ca="1">IF(OR(INDEX($W$2:$W$1001,MATCH(ROWS($V$2:V764),$V$2:$V$1001,0),1)&gt;=100000,INDEX($AC$1005:$AS$1005,1,MATCH(COLUMNS($AC$1006:AI1006),$AC$1006:$AS$1006,0))&gt;=100000), " ",IF(INDEX($AC$2:$AS$1001,MATCH(ROWS($V$2:V764),$V$2:$V$1001,0),MATCH(COLUMNS($AC$1006:AI1006),$AC$1006:$AS$1006,0)), HYPERLINK("#",""), HYPERLINK(CONCATENATE("#metadata!", ADDRESS(INDEX($X$2:$X$1001,MATCH(ROWS($V$2:V764),$V$2:$V$1001,0),0), INDEX($AC$1004:$AS$1004,1,MATCH(COLUMNS($AC$1006:AI1006),$AC$1006:$AS$1006,0)))),"Fix")))</f>
        <v xml:space="preserve"> </v>
      </c>
      <c r="I764" s="4" t="str">
        <f ca="1">IF(OR(INDEX($W$2:$W$1001,MATCH(ROWS($V$2:V764),$V$2:$V$1001,0),1)&gt;=100000,INDEX($AC$1005:$AS$1005,1,MATCH(COLUMNS($AC$1006:AJ1006),$AC$1006:$AS$1006,0))&gt;=100000), " ",IF(INDEX($AC$2:$AS$1001,MATCH(ROWS($V$2:V764),$V$2:$V$1001,0),MATCH(COLUMNS($AC$1006:AJ1006),$AC$1006:$AS$1006,0)), HYPERLINK("#",""), HYPERLINK(CONCATENATE("#metadata!", ADDRESS(INDEX($X$2:$X$1001,MATCH(ROWS($V$2:V764),$V$2:$V$1001,0),0), INDEX($AC$1004:$AS$1004,1,MATCH(COLUMNS($AC$1006:AJ1006),$AC$1006:$AS$1006,0)))),"Fix")))</f>
        <v xml:space="preserve"> </v>
      </c>
      <c r="J764" s="4" t="str">
        <f ca="1">IF(OR(INDEX($W$2:$W$1001,MATCH(ROWS($V$2:V764),$V$2:$V$1001,0),1)&gt;=100000,INDEX($AC$1005:$AS$1005,1,MATCH(COLUMNS($AC$1006:AK1006),$AC$1006:$AS$1006,0))&gt;=100000), " ",IF(INDEX($AC$2:$AS$1001,MATCH(ROWS($V$2:V764),$V$2:$V$1001,0),MATCH(COLUMNS($AC$1006:AK1006),$AC$1006:$AS$1006,0)), HYPERLINK("#",""), HYPERLINK(CONCATENATE("#metadata!", ADDRESS(INDEX($X$2:$X$1001,MATCH(ROWS($V$2:V764),$V$2:$V$1001,0),0), INDEX($AC$1004:$AS$1004,1,MATCH(COLUMNS($AC$1006:AK1006),$AC$1006:$AS$1006,0)))),"Fix")))</f>
        <v xml:space="preserve"> </v>
      </c>
      <c r="K764" s="4" t="str">
        <f ca="1">IF(OR(INDEX($W$2:$W$1001,MATCH(ROWS($V$2:V764),$V$2:$V$1001,0),1)&gt;=100000,INDEX($AC$1005:$AS$1005,1,MATCH(COLUMNS($AC$1006:AL1006),$AC$1006:$AS$1006,0))&gt;=100000), " ",IF(INDEX($AC$2:$AS$1001,MATCH(ROWS($V$2:V764),$V$2:$V$1001,0),MATCH(COLUMNS($AC$1006:AL1006),$AC$1006:$AS$1006,0)), HYPERLINK("#",""), HYPERLINK(CONCATENATE("#metadata!", ADDRESS(INDEX($X$2:$X$1001,MATCH(ROWS($V$2:V764),$V$2:$V$1001,0),0), INDEX($AC$1004:$AS$1004,1,MATCH(COLUMNS($AC$1006:AL1006),$AC$1006:$AS$1006,0)))),"Fix")))</f>
        <v xml:space="preserve"> </v>
      </c>
      <c r="L764" s="4" t="str">
        <f ca="1">IF(OR(INDEX($W$2:$W$1001,MATCH(ROWS($V$2:V764),$V$2:$V$1001,0),1)&gt;=100000,INDEX($AC$1005:$AS$1005,1,MATCH(COLUMNS($AC$1006:AM1006),$AC$1006:$AS$1006,0))&gt;=100000), " ",IF(INDEX($AC$2:$AS$1001,MATCH(ROWS($V$2:V764),$V$2:$V$1001,0),MATCH(COLUMNS($AC$1006:AM1006),$AC$1006:$AS$1006,0)), HYPERLINK("#",""), HYPERLINK(CONCATENATE("#metadata!", ADDRESS(INDEX($X$2:$X$1001,MATCH(ROWS($V$2:V764),$V$2:$V$1001,0),0), INDEX($AC$1004:$AS$1004,1,MATCH(COLUMNS($AC$1006:AM1006),$AC$1006:$AS$1006,0)))),"Fix")))</f>
        <v xml:space="preserve"> </v>
      </c>
      <c r="M764" s="4" t="str">
        <f ca="1">IF(OR(INDEX($W$2:$W$1001,MATCH(ROWS($V$2:V764),$V$2:$V$1001,0),1)&gt;=100000,INDEX($AC$1005:$AS$1005,1,MATCH(COLUMNS($AC$1006:AN1006),$AC$1006:$AS$1006,0))&gt;=100000), " ",IF(INDEX($AC$2:$AS$1001,MATCH(ROWS($V$2:V764),$V$2:$V$1001,0),MATCH(COLUMNS($AC$1006:AN1006),$AC$1006:$AS$1006,0)), HYPERLINK("#",""), HYPERLINK(CONCATENATE("#metadata!", ADDRESS(INDEX($X$2:$X$1001,MATCH(ROWS($V$2:V764),$V$2:$V$1001,0),0), INDEX($AC$1004:$AS$1004,1,MATCH(COLUMNS($AC$1006:AN1006),$AC$1006:$AS$1006,0)))),"Fix")))</f>
        <v xml:space="preserve"> </v>
      </c>
      <c r="N764" s="4" t="str">
        <f ca="1">IF(OR(INDEX($W$2:$W$1001,MATCH(ROWS($V$2:V764),$V$2:$V$1001,0),1)&gt;=100000,INDEX($AC$1005:$AS$1005,1,MATCH(COLUMNS($AC$1006:AO1006),$AC$1006:$AS$1006,0))&gt;=100000), " ",IF(INDEX($AC$2:$AS$1001,MATCH(ROWS($V$2:V764),$V$2:$V$1001,0),MATCH(COLUMNS($AC$1006:AO1006),$AC$1006:$AS$1006,0)), HYPERLINK("#",""), HYPERLINK(CONCATENATE("#metadata!", ADDRESS(INDEX($X$2:$X$1001,MATCH(ROWS($V$2:V764),$V$2:$V$1001,0),0), INDEX($AC$1004:$AS$1004,1,MATCH(COLUMNS($AC$1006:AO1006),$AC$1006:$AS$1006,0)))),"Fix")))</f>
        <v xml:space="preserve"> </v>
      </c>
      <c r="O764" s="4" t="str">
        <f ca="1">IF(OR(INDEX($W$2:$W$1001,MATCH(ROWS($V$2:V764),$V$2:$V$1001,0),1)&gt;=100000,INDEX($AC$1005:$AS$1005,1,MATCH(COLUMNS($AC$1006:AP1006),$AC$1006:$AS$1006,0))&gt;=100000), " ",IF(INDEX($AC$2:$AS$1001,MATCH(ROWS($V$2:V764),$V$2:$V$1001,0),MATCH(COLUMNS($AC$1006:AP1006),$AC$1006:$AS$1006,0)), HYPERLINK("#",""), HYPERLINK(CONCATENATE("#metadata!", ADDRESS(INDEX($X$2:$X$1001,MATCH(ROWS($V$2:V764),$V$2:$V$1001,0),0), INDEX($AC$1004:$AS$1004,1,MATCH(COLUMNS($AC$1006:AP1006),$AC$1006:$AS$1006,0)))),"Fix")))</f>
        <v xml:space="preserve"> </v>
      </c>
      <c r="P764" s="4" t="str">
        <f ca="1">IF(OR(INDEX($W$2:$W$1001,MATCH(ROWS($V$2:V764),$V$2:$V$1001,0),1)&gt;=100000,INDEX($AC$1005:$AS$1005,1,MATCH(COLUMNS($AC$1006:AQ1006),$AC$1006:$AS$1006,0))&gt;=100000), " ",IF(INDEX($AC$2:$AS$1001,MATCH(ROWS($V$2:V764),$V$2:$V$1001,0),MATCH(COLUMNS($AC$1006:AQ1006),$AC$1006:$AS$1006,0)), HYPERLINK("#",""), HYPERLINK(CONCATENATE("#metadata!", ADDRESS(INDEX($X$2:$X$1001,MATCH(ROWS($V$2:V764),$V$2:$V$1001,0),0), INDEX($AC$1004:$AS$1004,1,MATCH(COLUMNS($AC$1006:AQ1006),$AC$1006:$AS$1006,0)))),"Fix")))</f>
        <v xml:space="preserve"> </v>
      </c>
      <c r="Q764" s="4" t="str">
        <f ca="1">IF(OR(INDEX($W$2:$W$1001,MATCH(ROWS($V$2:V764),$V$2:$V$1001,0),1)&gt;=100000,INDEX($AC$1005:$AS$1005,1,MATCH(COLUMNS($AC$1006:AR1006),$AC$1006:$AS$1006,0))&gt;=100000), " ",IF(INDEX($AC$2:$AS$1001,MATCH(ROWS($V$2:V764),$V$2:$V$1001,0),MATCH(COLUMNS($AC$1006:AR1006),$AC$1006:$AS$1006,0)), HYPERLINK("#",""), HYPERLINK(CONCATENATE("#metadata!", ADDRESS(INDEX($X$2:$X$1001,MATCH(ROWS($V$2:V764),$V$2:$V$1001,0),0), INDEX($AC$1004:$AS$1004,1,MATCH(COLUMNS($AC$1006:AR1006),$AC$1006:$AS$1006,0)))),"Fix")))</f>
        <v xml:space="preserve"> </v>
      </c>
      <c r="R764" s="4" t="str">
        <f ca="1">IF(OR(INDEX($W$2:$W$1001,MATCH(ROWS($V$2:V764),$V$2:$V$1001,0),1)&gt;=100000,INDEX($AC$1005:$AS$1005,1,MATCH(COLUMNS($AC$1006:AS1006),$AC$1006:$AS$1006,0))&gt;=100000), " ",IF(INDEX($AC$2:$AS$1001,MATCH(ROWS($V$2:V764),$V$2:$V$1001,0),MATCH(COLUMNS($AC$1006:AS1006),$AC$1006:$AS$1006,0)), HYPERLINK("#",""), HYPERLINK(CONCATENATE("#metadata!", ADDRESS(INDEX($X$2:$X$1001,MATCH(ROWS($V$2:V764),$V$2:$V$1001,0),0), INDEX($AC$1004:$AS$1004,1,MATCH(COLUMNS($AC$1006:AS1006),$AC$1006:$AS$1006,0)))),"Fix")))</f>
        <v xml:space="preserve"> </v>
      </c>
      <c r="V764">
        <v>763</v>
      </c>
      <c r="W764">
        <v>100764</v>
      </c>
      <c r="X764">
        <v>764</v>
      </c>
      <c r="Y764" t="b">
        <f t="shared" si="11"/>
        <v>1</v>
      </c>
      <c r="Z764" t="b">
        <f>COUNTBLANK(metadata!B764:R764)=COLUMNS(metadata!B764:R764)</f>
        <v>1</v>
      </c>
      <c r="AA764" t="str">
        <v/>
      </c>
      <c r="AC764" t="b">
        <f ca="1"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AD764" t="b">
        <f>IF(metadata!C764="",FALSE,ISNUMBER(VALUE(metadata!C764)))</f>
        <v>0</v>
      </c>
      <c r="AE764" t="b">
        <f>AND(IF(metadata!D764="",FALSE,TRUE),EXACT(metadata!D764,"years"))</f>
        <v>0</v>
      </c>
      <c r="AF764" t="b">
        <f>OR(AND(IF(metadata!E764="",FALSE,TRUE),OR(EXACT(metadata!E764,"not applicable"),EXACT(metadata!E764,"missing: not collected"),EXACT(metadata!E764,"missing: not provided"),EXACT(metadata!E764,"missing: restricted access"))),AND(IF(metadata!E764="",FALSE,ISNUMBER(VALUE(metadata!E764))),metadata!E764&gt;0))</f>
        <v>0</v>
      </c>
      <c r="AG764" t="b">
        <f>AND(IF(metadata!F764="",FALSE,TRUE),EXACT(metadata!F764,"Not applicable"))</f>
        <v>0</v>
      </c>
      <c r="AH764" t="b">
        <f>AND(IF(metadata!G764="",FALSE,TRUE),EXACT(metadata!G764,"urban biome"))</f>
        <v>0</v>
      </c>
      <c r="AI764" t="b">
        <f>AND(IF(metadata!H764="",FALSE,TRUE),EXACT(metadata!H764,"human-associated habitat"))</f>
        <v>0</v>
      </c>
      <c r="AJ764" t="b">
        <f>AND(IF(metadata!I764="",FALSE,TRUE),OR(EXACT(metadata!I764,"human-associated"),EXACT(metadata!I764,"human-skin"),EXACT(metadata!I764,"human-oral"),EXACT(metadata!I764,"human-gut"),EXACT(metadata!I764,"human-vaginal")))</f>
        <v>0</v>
      </c>
      <c r="AK764" t="b">
        <f>IF(metadata!J764="",FALSE,ISNUMBER(VALUE(metadata!J764)))</f>
        <v>0</v>
      </c>
      <c r="AL764" t="b">
        <f>AND(IF(metadata!K764="",FALSE,TRUE),EXACT(metadata!K764,"cm"))</f>
        <v>0</v>
      </c>
      <c r="AM764" t="b">
        <f>AND(IF(metadata!L764="",FALSE,TRUE),EXACT(metadata!L764,"human"))</f>
        <v>0</v>
      </c>
      <c r="AN764" t="b">
        <f>AND(IF(metadata!M764="",FALSE,TRUE),EXACT(metadata!M764,"Homo sapiens"))</f>
        <v>0</v>
      </c>
      <c r="AO764" t="b">
        <f>AND(IF(metadata!N764="",FALSE,TRUE),EXACT(metadata!N764,"9606"))</f>
        <v>0</v>
      </c>
      <c r="AP764" t="b">
        <f>IF(metadata!O764="",FALSE,TRUE)</f>
        <v>0</v>
      </c>
      <c r="AQ764" t="b">
        <f>IF(metadata!P764="",FALSE,TRUE)</f>
        <v>0</v>
      </c>
      <c r="AR764" t="b">
        <f>IF(metadata!Q764="",FALSE,ISNUMBER(VALUE(metadata!Q764)))</f>
        <v>0</v>
      </c>
      <c r="AS764" t="b">
        <f>AND(IF(metadata!R764="",FALSE,TRUE),EXACT(metadata!R764,"kg"))</f>
        <v>0</v>
      </c>
    </row>
    <row r="765" spans="1:45" x14ac:dyDescent="0.2">
      <c r="A765" s="5" t="str">
        <f ca="1">IF(B765=" "," ",HYPERLINK(CONCATENATE("#metadata!",ADDRESS(INDEX($X$2:$X$1001,MATCH(ROWS($V$2:V765),$V$2:$V$1001,0),0),1)),INDEX($AA$2:$AA$1001,MATCH(ROWS($V$2:V765),$V$2:$V$1001,0),0)))</f>
        <v xml:space="preserve"> </v>
      </c>
      <c r="B765" s="4" t="str">
        <f ca="1">IF(OR(INDEX($W$2:$W$1001,MATCH(ROWS($V$2:V765),$V$2:$V$1001,0),1)&gt;=100000,INDEX($AC$1005:$AS$1005,1,MATCH(COLUMNS($AC$1006:AC1006),$AC$1006:$AS$1006,0))&gt;=100000), " ",IF(INDEX($AC$2:$AS$1001,MATCH(ROWS($V$2:V765),$V$2:$V$1001,0),MATCH(COLUMNS($AC$1006:AC1006),$AC$1006:$AS$1006,0)), HYPERLINK("#",""), HYPERLINK(CONCATENATE("#metadata!", ADDRESS(INDEX($X$2:$X$1001,MATCH(ROWS($V$2:V765),$V$2:$V$1001,0),0), INDEX($AC$1004:$AS$1004,1,MATCH(COLUMNS($AC$1006:AC1006),$AC$1006:$AS$1006,0)))),"Fix")))</f>
        <v xml:space="preserve"> </v>
      </c>
      <c r="C765" s="4" t="str">
        <f ca="1">IF(OR(INDEX($W$2:$W$1001,MATCH(ROWS($V$2:V765),$V$2:$V$1001,0),1)&gt;=100000,INDEX($AC$1005:$AS$1005,1,MATCH(COLUMNS($AC$1006:AD1006),$AC$1006:$AS$1006,0))&gt;=100000), " ",IF(INDEX($AC$2:$AS$1001,MATCH(ROWS($V$2:V765),$V$2:$V$1001,0),MATCH(COLUMNS($AC$1006:AD1006),$AC$1006:$AS$1006,0)), HYPERLINK("#",""), HYPERLINK(CONCATENATE("#metadata!", ADDRESS(INDEX($X$2:$X$1001,MATCH(ROWS($V$2:V765),$V$2:$V$1001,0),0), INDEX($AC$1004:$AS$1004,1,MATCH(COLUMNS($AC$1006:AD1006),$AC$1006:$AS$1006,0)))),"Fix")))</f>
        <v xml:space="preserve"> </v>
      </c>
      <c r="D765" s="4" t="str">
        <f ca="1">IF(OR(INDEX($W$2:$W$1001,MATCH(ROWS($V$2:V765),$V$2:$V$1001,0),1)&gt;=100000,INDEX($AC$1005:$AS$1005,1,MATCH(COLUMNS($AC$1006:AE1006),$AC$1006:$AS$1006,0))&gt;=100000), " ",IF(INDEX($AC$2:$AS$1001,MATCH(ROWS($V$2:V765),$V$2:$V$1001,0),MATCH(COLUMNS($AC$1006:AE1006),$AC$1006:$AS$1006,0)), HYPERLINK("#",""), HYPERLINK(CONCATENATE("#metadata!", ADDRESS(INDEX($X$2:$X$1001,MATCH(ROWS($V$2:V765),$V$2:$V$1001,0),0), INDEX($AC$1004:$AS$1004,1,MATCH(COLUMNS($AC$1006:AE1006),$AC$1006:$AS$1006,0)))),"Fix")))</f>
        <v xml:space="preserve"> </v>
      </c>
      <c r="E765" s="4" t="str">
        <f ca="1">IF(OR(INDEX($W$2:$W$1001,MATCH(ROWS($V$2:V765),$V$2:$V$1001,0),1)&gt;=100000,INDEX($AC$1005:$AS$1005,1,MATCH(COLUMNS($AC$1006:AF1006),$AC$1006:$AS$1006,0))&gt;=100000), " ",IF(INDEX($AC$2:$AS$1001,MATCH(ROWS($V$2:V765),$V$2:$V$1001,0),MATCH(COLUMNS($AC$1006:AF1006),$AC$1006:$AS$1006,0)), HYPERLINK("#",""), HYPERLINK(CONCATENATE("#metadata!", ADDRESS(INDEX($X$2:$X$1001,MATCH(ROWS($V$2:V765),$V$2:$V$1001,0),0), INDEX($AC$1004:$AS$1004,1,MATCH(COLUMNS($AC$1006:AF1006),$AC$1006:$AS$1006,0)))),"Fix")))</f>
        <v xml:space="preserve"> </v>
      </c>
      <c r="F765" s="4" t="str">
        <f ca="1">IF(OR(INDEX($W$2:$W$1001,MATCH(ROWS($V$2:V765),$V$2:$V$1001,0),1)&gt;=100000,INDEX($AC$1005:$AS$1005,1,MATCH(COLUMNS($AC$1006:AG1006),$AC$1006:$AS$1006,0))&gt;=100000), " ",IF(INDEX($AC$2:$AS$1001,MATCH(ROWS($V$2:V765),$V$2:$V$1001,0),MATCH(COLUMNS($AC$1006:AG1006),$AC$1006:$AS$1006,0)), HYPERLINK("#",""), HYPERLINK(CONCATENATE("#metadata!", ADDRESS(INDEX($X$2:$X$1001,MATCH(ROWS($V$2:V765),$V$2:$V$1001,0),0), INDEX($AC$1004:$AS$1004,1,MATCH(COLUMNS($AC$1006:AG1006),$AC$1006:$AS$1006,0)))),"Fix")))</f>
        <v xml:space="preserve"> </v>
      </c>
      <c r="G765" s="4" t="str">
        <f ca="1">IF(OR(INDEX($W$2:$W$1001,MATCH(ROWS($V$2:V765),$V$2:$V$1001,0),1)&gt;=100000,INDEX($AC$1005:$AS$1005,1,MATCH(COLUMNS($AC$1006:AH1006),$AC$1006:$AS$1006,0))&gt;=100000), " ",IF(INDEX($AC$2:$AS$1001,MATCH(ROWS($V$2:V765),$V$2:$V$1001,0),MATCH(COLUMNS($AC$1006:AH1006),$AC$1006:$AS$1006,0)), HYPERLINK("#",""), HYPERLINK(CONCATENATE("#metadata!", ADDRESS(INDEX($X$2:$X$1001,MATCH(ROWS($V$2:V765),$V$2:$V$1001,0),0), INDEX($AC$1004:$AS$1004,1,MATCH(COLUMNS($AC$1006:AH1006),$AC$1006:$AS$1006,0)))),"Fix")))</f>
        <v xml:space="preserve"> </v>
      </c>
      <c r="H765" s="4" t="str">
        <f ca="1">IF(OR(INDEX($W$2:$W$1001,MATCH(ROWS($V$2:V765),$V$2:$V$1001,0),1)&gt;=100000,INDEX($AC$1005:$AS$1005,1,MATCH(COLUMNS($AC$1006:AI1006),$AC$1006:$AS$1006,0))&gt;=100000), " ",IF(INDEX($AC$2:$AS$1001,MATCH(ROWS($V$2:V765),$V$2:$V$1001,0),MATCH(COLUMNS($AC$1006:AI1006),$AC$1006:$AS$1006,0)), HYPERLINK("#",""), HYPERLINK(CONCATENATE("#metadata!", ADDRESS(INDEX($X$2:$X$1001,MATCH(ROWS($V$2:V765),$V$2:$V$1001,0),0), INDEX($AC$1004:$AS$1004,1,MATCH(COLUMNS($AC$1006:AI1006),$AC$1006:$AS$1006,0)))),"Fix")))</f>
        <v xml:space="preserve"> </v>
      </c>
      <c r="I765" s="4" t="str">
        <f ca="1">IF(OR(INDEX($W$2:$W$1001,MATCH(ROWS($V$2:V765),$V$2:$V$1001,0),1)&gt;=100000,INDEX($AC$1005:$AS$1005,1,MATCH(COLUMNS($AC$1006:AJ1006),$AC$1006:$AS$1006,0))&gt;=100000), " ",IF(INDEX($AC$2:$AS$1001,MATCH(ROWS($V$2:V765),$V$2:$V$1001,0),MATCH(COLUMNS($AC$1006:AJ1006),$AC$1006:$AS$1006,0)), HYPERLINK("#",""), HYPERLINK(CONCATENATE("#metadata!", ADDRESS(INDEX($X$2:$X$1001,MATCH(ROWS($V$2:V765),$V$2:$V$1001,0),0), INDEX($AC$1004:$AS$1004,1,MATCH(COLUMNS($AC$1006:AJ1006),$AC$1006:$AS$1006,0)))),"Fix")))</f>
        <v xml:space="preserve"> </v>
      </c>
      <c r="J765" s="4" t="str">
        <f ca="1">IF(OR(INDEX($W$2:$W$1001,MATCH(ROWS($V$2:V765),$V$2:$V$1001,0),1)&gt;=100000,INDEX($AC$1005:$AS$1005,1,MATCH(COLUMNS($AC$1006:AK1006),$AC$1006:$AS$1006,0))&gt;=100000), " ",IF(INDEX($AC$2:$AS$1001,MATCH(ROWS($V$2:V765),$V$2:$V$1001,0),MATCH(COLUMNS($AC$1006:AK1006),$AC$1006:$AS$1006,0)), HYPERLINK("#",""), HYPERLINK(CONCATENATE("#metadata!", ADDRESS(INDEX($X$2:$X$1001,MATCH(ROWS($V$2:V765),$V$2:$V$1001,0),0), INDEX($AC$1004:$AS$1004,1,MATCH(COLUMNS($AC$1006:AK1006),$AC$1006:$AS$1006,0)))),"Fix")))</f>
        <v xml:space="preserve"> </v>
      </c>
      <c r="K765" s="4" t="str">
        <f ca="1">IF(OR(INDEX($W$2:$W$1001,MATCH(ROWS($V$2:V765),$V$2:$V$1001,0),1)&gt;=100000,INDEX($AC$1005:$AS$1005,1,MATCH(COLUMNS($AC$1006:AL1006),$AC$1006:$AS$1006,0))&gt;=100000), " ",IF(INDEX($AC$2:$AS$1001,MATCH(ROWS($V$2:V765),$V$2:$V$1001,0),MATCH(COLUMNS($AC$1006:AL1006),$AC$1006:$AS$1006,0)), HYPERLINK("#",""), HYPERLINK(CONCATENATE("#metadata!", ADDRESS(INDEX($X$2:$X$1001,MATCH(ROWS($V$2:V765),$V$2:$V$1001,0),0), INDEX($AC$1004:$AS$1004,1,MATCH(COLUMNS($AC$1006:AL1006),$AC$1006:$AS$1006,0)))),"Fix")))</f>
        <v xml:space="preserve"> </v>
      </c>
      <c r="L765" s="4" t="str">
        <f ca="1">IF(OR(INDEX($W$2:$W$1001,MATCH(ROWS($V$2:V765),$V$2:$V$1001,0),1)&gt;=100000,INDEX($AC$1005:$AS$1005,1,MATCH(COLUMNS($AC$1006:AM1006),$AC$1006:$AS$1006,0))&gt;=100000), " ",IF(INDEX($AC$2:$AS$1001,MATCH(ROWS($V$2:V765),$V$2:$V$1001,0),MATCH(COLUMNS($AC$1006:AM1006),$AC$1006:$AS$1006,0)), HYPERLINK("#",""), HYPERLINK(CONCATENATE("#metadata!", ADDRESS(INDEX($X$2:$X$1001,MATCH(ROWS($V$2:V765),$V$2:$V$1001,0),0), INDEX($AC$1004:$AS$1004,1,MATCH(COLUMNS($AC$1006:AM1006),$AC$1006:$AS$1006,0)))),"Fix")))</f>
        <v xml:space="preserve"> </v>
      </c>
      <c r="M765" s="4" t="str">
        <f ca="1">IF(OR(INDEX($W$2:$W$1001,MATCH(ROWS($V$2:V765),$V$2:$V$1001,0),1)&gt;=100000,INDEX($AC$1005:$AS$1005,1,MATCH(COLUMNS($AC$1006:AN1006),$AC$1006:$AS$1006,0))&gt;=100000), " ",IF(INDEX($AC$2:$AS$1001,MATCH(ROWS($V$2:V765),$V$2:$V$1001,0),MATCH(COLUMNS($AC$1006:AN1006),$AC$1006:$AS$1006,0)), HYPERLINK("#",""), HYPERLINK(CONCATENATE("#metadata!", ADDRESS(INDEX($X$2:$X$1001,MATCH(ROWS($V$2:V765),$V$2:$V$1001,0),0), INDEX($AC$1004:$AS$1004,1,MATCH(COLUMNS($AC$1006:AN1006),$AC$1006:$AS$1006,0)))),"Fix")))</f>
        <v xml:space="preserve"> </v>
      </c>
      <c r="N765" s="4" t="str">
        <f ca="1">IF(OR(INDEX($W$2:$W$1001,MATCH(ROWS($V$2:V765),$V$2:$V$1001,0),1)&gt;=100000,INDEX($AC$1005:$AS$1005,1,MATCH(COLUMNS($AC$1006:AO1006),$AC$1006:$AS$1006,0))&gt;=100000), " ",IF(INDEX($AC$2:$AS$1001,MATCH(ROWS($V$2:V765),$V$2:$V$1001,0),MATCH(COLUMNS($AC$1006:AO1006),$AC$1006:$AS$1006,0)), HYPERLINK("#",""), HYPERLINK(CONCATENATE("#metadata!", ADDRESS(INDEX($X$2:$X$1001,MATCH(ROWS($V$2:V765),$V$2:$V$1001,0),0), INDEX($AC$1004:$AS$1004,1,MATCH(COLUMNS($AC$1006:AO1006),$AC$1006:$AS$1006,0)))),"Fix")))</f>
        <v xml:space="preserve"> </v>
      </c>
      <c r="O765" s="4" t="str">
        <f ca="1">IF(OR(INDEX($W$2:$W$1001,MATCH(ROWS($V$2:V765),$V$2:$V$1001,0),1)&gt;=100000,INDEX($AC$1005:$AS$1005,1,MATCH(COLUMNS($AC$1006:AP1006),$AC$1006:$AS$1006,0))&gt;=100000), " ",IF(INDEX($AC$2:$AS$1001,MATCH(ROWS($V$2:V765),$V$2:$V$1001,0),MATCH(COLUMNS($AC$1006:AP1006),$AC$1006:$AS$1006,0)), HYPERLINK("#",""), HYPERLINK(CONCATENATE("#metadata!", ADDRESS(INDEX($X$2:$X$1001,MATCH(ROWS($V$2:V765),$V$2:$V$1001,0),0), INDEX($AC$1004:$AS$1004,1,MATCH(COLUMNS($AC$1006:AP1006),$AC$1006:$AS$1006,0)))),"Fix")))</f>
        <v xml:space="preserve"> </v>
      </c>
      <c r="P765" s="4" t="str">
        <f ca="1">IF(OR(INDEX($W$2:$W$1001,MATCH(ROWS($V$2:V765),$V$2:$V$1001,0),1)&gt;=100000,INDEX($AC$1005:$AS$1005,1,MATCH(COLUMNS($AC$1006:AQ1006),$AC$1006:$AS$1006,0))&gt;=100000), " ",IF(INDEX($AC$2:$AS$1001,MATCH(ROWS($V$2:V765),$V$2:$V$1001,0),MATCH(COLUMNS($AC$1006:AQ1006),$AC$1006:$AS$1006,0)), HYPERLINK("#",""), HYPERLINK(CONCATENATE("#metadata!", ADDRESS(INDEX($X$2:$X$1001,MATCH(ROWS($V$2:V765),$V$2:$V$1001,0),0), INDEX($AC$1004:$AS$1004,1,MATCH(COLUMNS($AC$1006:AQ1006),$AC$1006:$AS$1006,0)))),"Fix")))</f>
        <v xml:space="preserve"> </v>
      </c>
      <c r="Q765" s="4" t="str">
        <f ca="1">IF(OR(INDEX($W$2:$W$1001,MATCH(ROWS($V$2:V765),$V$2:$V$1001,0),1)&gt;=100000,INDEX($AC$1005:$AS$1005,1,MATCH(COLUMNS($AC$1006:AR1006),$AC$1006:$AS$1006,0))&gt;=100000), " ",IF(INDEX($AC$2:$AS$1001,MATCH(ROWS($V$2:V765),$V$2:$V$1001,0),MATCH(COLUMNS($AC$1006:AR1006),$AC$1006:$AS$1006,0)), HYPERLINK("#",""), HYPERLINK(CONCATENATE("#metadata!", ADDRESS(INDEX($X$2:$X$1001,MATCH(ROWS($V$2:V765),$V$2:$V$1001,0),0), INDEX($AC$1004:$AS$1004,1,MATCH(COLUMNS($AC$1006:AR1006),$AC$1006:$AS$1006,0)))),"Fix")))</f>
        <v xml:space="preserve"> </v>
      </c>
      <c r="R765" s="4" t="str">
        <f ca="1">IF(OR(INDEX($W$2:$W$1001,MATCH(ROWS($V$2:V765),$V$2:$V$1001,0),1)&gt;=100000,INDEX($AC$1005:$AS$1005,1,MATCH(COLUMNS($AC$1006:AS1006),$AC$1006:$AS$1006,0))&gt;=100000), " ",IF(INDEX($AC$2:$AS$1001,MATCH(ROWS($V$2:V765),$V$2:$V$1001,0),MATCH(COLUMNS($AC$1006:AS1006),$AC$1006:$AS$1006,0)), HYPERLINK("#",""), HYPERLINK(CONCATENATE("#metadata!", ADDRESS(INDEX($X$2:$X$1001,MATCH(ROWS($V$2:V765),$V$2:$V$1001,0),0), INDEX($AC$1004:$AS$1004,1,MATCH(COLUMNS($AC$1006:AS1006),$AC$1006:$AS$1006,0)))),"Fix")))</f>
        <v xml:space="preserve"> </v>
      </c>
      <c r="V765">
        <v>764</v>
      </c>
      <c r="W765">
        <v>100765</v>
      </c>
      <c r="X765">
        <v>765</v>
      </c>
      <c r="Y765" t="b">
        <f t="shared" si="11"/>
        <v>1</v>
      </c>
      <c r="Z765" t="b">
        <f>COUNTBLANK(metadata!B765:R765)=COLUMNS(metadata!B765:R765)</f>
        <v>1</v>
      </c>
      <c r="AA765" t="str">
        <v/>
      </c>
      <c r="AC765" t="b">
        <f ca="1"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AD765" t="b">
        <f>IF(metadata!C765="",FALSE,ISNUMBER(VALUE(metadata!C765)))</f>
        <v>0</v>
      </c>
      <c r="AE765" t="b">
        <f>AND(IF(metadata!D765="",FALSE,TRUE),EXACT(metadata!D765,"years"))</f>
        <v>0</v>
      </c>
      <c r="AF765" t="b">
        <f>OR(AND(IF(metadata!E765="",FALSE,TRUE),OR(EXACT(metadata!E765,"not applicable"),EXACT(metadata!E765,"missing: not collected"),EXACT(metadata!E765,"missing: not provided"),EXACT(metadata!E765,"missing: restricted access"))),AND(IF(metadata!E765="",FALSE,ISNUMBER(VALUE(metadata!E765))),metadata!E765&gt;0))</f>
        <v>0</v>
      </c>
      <c r="AG765" t="b">
        <f>AND(IF(metadata!F765="",FALSE,TRUE),EXACT(metadata!F765,"Not applicable"))</f>
        <v>0</v>
      </c>
      <c r="AH765" t="b">
        <f>AND(IF(metadata!G765="",FALSE,TRUE),EXACT(metadata!G765,"urban biome"))</f>
        <v>0</v>
      </c>
      <c r="AI765" t="b">
        <f>AND(IF(metadata!H765="",FALSE,TRUE),EXACT(metadata!H765,"human-associated habitat"))</f>
        <v>0</v>
      </c>
      <c r="AJ765" t="b">
        <f>AND(IF(metadata!I765="",FALSE,TRUE),OR(EXACT(metadata!I765,"human-associated"),EXACT(metadata!I765,"human-skin"),EXACT(metadata!I765,"human-oral"),EXACT(metadata!I765,"human-gut"),EXACT(metadata!I765,"human-vaginal")))</f>
        <v>0</v>
      </c>
      <c r="AK765" t="b">
        <f>IF(metadata!J765="",FALSE,ISNUMBER(VALUE(metadata!J765)))</f>
        <v>0</v>
      </c>
      <c r="AL765" t="b">
        <f>AND(IF(metadata!K765="",FALSE,TRUE),EXACT(metadata!K765,"cm"))</f>
        <v>0</v>
      </c>
      <c r="AM765" t="b">
        <f>AND(IF(metadata!L765="",FALSE,TRUE),EXACT(metadata!L765,"human"))</f>
        <v>0</v>
      </c>
      <c r="AN765" t="b">
        <f>AND(IF(metadata!M765="",FALSE,TRUE),EXACT(metadata!M765,"Homo sapiens"))</f>
        <v>0</v>
      </c>
      <c r="AO765" t="b">
        <f>AND(IF(metadata!N765="",FALSE,TRUE),EXACT(metadata!N765,"9606"))</f>
        <v>0</v>
      </c>
      <c r="AP765" t="b">
        <f>IF(metadata!O765="",FALSE,TRUE)</f>
        <v>0</v>
      </c>
      <c r="AQ765" t="b">
        <f>IF(metadata!P765="",FALSE,TRUE)</f>
        <v>0</v>
      </c>
      <c r="AR765" t="b">
        <f>IF(metadata!Q765="",FALSE,ISNUMBER(VALUE(metadata!Q765)))</f>
        <v>0</v>
      </c>
      <c r="AS765" t="b">
        <f>AND(IF(metadata!R765="",FALSE,TRUE),EXACT(metadata!R765,"kg"))</f>
        <v>0</v>
      </c>
    </row>
    <row r="766" spans="1:45" x14ac:dyDescent="0.2">
      <c r="A766" s="5" t="str">
        <f ca="1">IF(B766=" "," ",HYPERLINK(CONCATENATE("#metadata!",ADDRESS(INDEX($X$2:$X$1001,MATCH(ROWS($V$2:V766),$V$2:$V$1001,0),0),1)),INDEX($AA$2:$AA$1001,MATCH(ROWS($V$2:V766),$V$2:$V$1001,0),0)))</f>
        <v xml:space="preserve"> </v>
      </c>
      <c r="B766" s="4" t="str">
        <f ca="1">IF(OR(INDEX($W$2:$W$1001,MATCH(ROWS($V$2:V766),$V$2:$V$1001,0),1)&gt;=100000,INDEX($AC$1005:$AS$1005,1,MATCH(COLUMNS($AC$1006:AC1006),$AC$1006:$AS$1006,0))&gt;=100000), " ",IF(INDEX($AC$2:$AS$1001,MATCH(ROWS($V$2:V766),$V$2:$V$1001,0),MATCH(COLUMNS($AC$1006:AC1006),$AC$1006:$AS$1006,0)), HYPERLINK("#",""), HYPERLINK(CONCATENATE("#metadata!", ADDRESS(INDEX($X$2:$X$1001,MATCH(ROWS($V$2:V766),$V$2:$V$1001,0),0), INDEX($AC$1004:$AS$1004,1,MATCH(COLUMNS($AC$1006:AC1006),$AC$1006:$AS$1006,0)))),"Fix")))</f>
        <v xml:space="preserve"> </v>
      </c>
      <c r="C766" s="4" t="str">
        <f ca="1">IF(OR(INDEX($W$2:$W$1001,MATCH(ROWS($V$2:V766),$V$2:$V$1001,0),1)&gt;=100000,INDEX($AC$1005:$AS$1005,1,MATCH(COLUMNS($AC$1006:AD1006),$AC$1006:$AS$1006,0))&gt;=100000), " ",IF(INDEX($AC$2:$AS$1001,MATCH(ROWS($V$2:V766),$V$2:$V$1001,0),MATCH(COLUMNS($AC$1006:AD1006),$AC$1006:$AS$1006,0)), HYPERLINK("#",""), HYPERLINK(CONCATENATE("#metadata!", ADDRESS(INDEX($X$2:$X$1001,MATCH(ROWS($V$2:V766),$V$2:$V$1001,0),0), INDEX($AC$1004:$AS$1004,1,MATCH(COLUMNS($AC$1006:AD1006),$AC$1006:$AS$1006,0)))),"Fix")))</f>
        <v xml:space="preserve"> </v>
      </c>
      <c r="D766" s="4" t="str">
        <f ca="1">IF(OR(INDEX($W$2:$W$1001,MATCH(ROWS($V$2:V766),$V$2:$V$1001,0),1)&gt;=100000,INDEX($AC$1005:$AS$1005,1,MATCH(COLUMNS($AC$1006:AE1006),$AC$1006:$AS$1006,0))&gt;=100000), " ",IF(INDEX($AC$2:$AS$1001,MATCH(ROWS($V$2:V766),$V$2:$V$1001,0),MATCH(COLUMNS($AC$1006:AE1006),$AC$1006:$AS$1006,0)), HYPERLINK("#",""), HYPERLINK(CONCATENATE("#metadata!", ADDRESS(INDEX($X$2:$X$1001,MATCH(ROWS($V$2:V766),$V$2:$V$1001,0),0), INDEX($AC$1004:$AS$1004,1,MATCH(COLUMNS($AC$1006:AE1006),$AC$1006:$AS$1006,0)))),"Fix")))</f>
        <v xml:space="preserve"> </v>
      </c>
      <c r="E766" s="4" t="str">
        <f ca="1">IF(OR(INDEX($W$2:$W$1001,MATCH(ROWS($V$2:V766),$V$2:$V$1001,0),1)&gt;=100000,INDEX($AC$1005:$AS$1005,1,MATCH(COLUMNS($AC$1006:AF1006),$AC$1006:$AS$1006,0))&gt;=100000), " ",IF(INDEX($AC$2:$AS$1001,MATCH(ROWS($V$2:V766),$V$2:$V$1001,0),MATCH(COLUMNS($AC$1006:AF1006),$AC$1006:$AS$1006,0)), HYPERLINK("#",""), HYPERLINK(CONCATENATE("#metadata!", ADDRESS(INDEX($X$2:$X$1001,MATCH(ROWS($V$2:V766),$V$2:$V$1001,0),0), INDEX($AC$1004:$AS$1004,1,MATCH(COLUMNS($AC$1006:AF1006),$AC$1006:$AS$1006,0)))),"Fix")))</f>
        <v xml:space="preserve"> </v>
      </c>
      <c r="F766" s="4" t="str">
        <f ca="1">IF(OR(INDEX($W$2:$W$1001,MATCH(ROWS($V$2:V766),$V$2:$V$1001,0),1)&gt;=100000,INDEX($AC$1005:$AS$1005,1,MATCH(COLUMNS($AC$1006:AG1006),$AC$1006:$AS$1006,0))&gt;=100000), " ",IF(INDEX($AC$2:$AS$1001,MATCH(ROWS($V$2:V766),$V$2:$V$1001,0),MATCH(COLUMNS($AC$1006:AG1006),$AC$1006:$AS$1006,0)), HYPERLINK("#",""), HYPERLINK(CONCATENATE("#metadata!", ADDRESS(INDEX($X$2:$X$1001,MATCH(ROWS($V$2:V766),$V$2:$V$1001,0),0), INDEX($AC$1004:$AS$1004,1,MATCH(COLUMNS($AC$1006:AG1006),$AC$1006:$AS$1006,0)))),"Fix")))</f>
        <v xml:space="preserve"> </v>
      </c>
      <c r="G766" s="4" t="str">
        <f ca="1">IF(OR(INDEX($W$2:$W$1001,MATCH(ROWS($V$2:V766),$V$2:$V$1001,0),1)&gt;=100000,INDEX($AC$1005:$AS$1005,1,MATCH(COLUMNS($AC$1006:AH1006),$AC$1006:$AS$1006,0))&gt;=100000), " ",IF(INDEX($AC$2:$AS$1001,MATCH(ROWS($V$2:V766),$V$2:$V$1001,0),MATCH(COLUMNS($AC$1006:AH1006),$AC$1006:$AS$1006,0)), HYPERLINK("#",""), HYPERLINK(CONCATENATE("#metadata!", ADDRESS(INDEX($X$2:$X$1001,MATCH(ROWS($V$2:V766),$V$2:$V$1001,0),0), INDEX($AC$1004:$AS$1004,1,MATCH(COLUMNS($AC$1006:AH1006),$AC$1006:$AS$1006,0)))),"Fix")))</f>
        <v xml:space="preserve"> </v>
      </c>
      <c r="H766" s="4" t="str">
        <f ca="1">IF(OR(INDEX($W$2:$W$1001,MATCH(ROWS($V$2:V766),$V$2:$V$1001,0),1)&gt;=100000,INDEX($AC$1005:$AS$1005,1,MATCH(COLUMNS($AC$1006:AI1006),$AC$1006:$AS$1006,0))&gt;=100000), " ",IF(INDEX($AC$2:$AS$1001,MATCH(ROWS($V$2:V766),$V$2:$V$1001,0),MATCH(COLUMNS($AC$1006:AI1006),$AC$1006:$AS$1006,0)), HYPERLINK("#",""), HYPERLINK(CONCATENATE("#metadata!", ADDRESS(INDEX($X$2:$X$1001,MATCH(ROWS($V$2:V766),$V$2:$V$1001,0),0), INDEX($AC$1004:$AS$1004,1,MATCH(COLUMNS($AC$1006:AI1006),$AC$1006:$AS$1006,0)))),"Fix")))</f>
        <v xml:space="preserve"> </v>
      </c>
      <c r="I766" s="4" t="str">
        <f ca="1">IF(OR(INDEX($W$2:$W$1001,MATCH(ROWS($V$2:V766),$V$2:$V$1001,0),1)&gt;=100000,INDEX($AC$1005:$AS$1005,1,MATCH(COLUMNS($AC$1006:AJ1006),$AC$1006:$AS$1006,0))&gt;=100000), " ",IF(INDEX($AC$2:$AS$1001,MATCH(ROWS($V$2:V766),$V$2:$V$1001,0),MATCH(COLUMNS($AC$1006:AJ1006),$AC$1006:$AS$1006,0)), HYPERLINK("#",""), HYPERLINK(CONCATENATE("#metadata!", ADDRESS(INDEX($X$2:$X$1001,MATCH(ROWS($V$2:V766),$V$2:$V$1001,0),0), INDEX($AC$1004:$AS$1004,1,MATCH(COLUMNS($AC$1006:AJ1006),$AC$1006:$AS$1006,0)))),"Fix")))</f>
        <v xml:space="preserve"> </v>
      </c>
      <c r="J766" s="4" t="str">
        <f ca="1">IF(OR(INDEX($W$2:$W$1001,MATCH(ROWS($V$2:V766),$V$2:$V$1001,0),1)&gt;=100000,INDEX($AC$1005:$AS$1005,1,MATCH(COLUMNS($AC$1006:AK1006),$AC$1006:$AS$1006,0))&gt;=100000), " ",IF(INDEX($AC$2:$AS$1001,MATCH(ROWS($V$2:V766),$V$2:$V$1001,0),MATCH(COLUMNS($AC$1006:AK1006),$AC$1006:$AS$1006,0)), HYPERLINK("#",""), HYPERLINK(CONCATENATE("#metadata!", ADDRESS(INDEX($X$2:$X$1001,MATCH(ROWS($V$2:V766),$V$2:$V$1001,0),0), INDEX($AC$1004:$AS$1004,1,MATCH(COLUMNS($AC$1006:AK1006),$AC$1006:$AS$1006,0)))),"Fix")))</f>
        <v xml:space="preserve"> </v>
      </c>
      <c r="K766" s="4" t="str">
        <f ca="1">IF(OR(INDEX($W$2:$W$1001,MATCH(ROWS($V$2:V766),$V$2:$V$1001,0),1)&gt;=100000,INDEX($AC$1005:$AS$1005,1,MATCH(COLUMNS($AC$1006:AL1006),$AC$1006:$AS$1006,0))&gt;=100000), " ",IF(INDEX($AC$2:$AS$1001,MATCH(ROWS($V$2:V766),$V$2:$V$1001,0),MATCH(COLUMNS($AC$1006:AL1006),$AC$1006:$AS$1006,0)), HYPERLINK("#",""), HYPERLINK(CONCATENATE("#metadata!", ADDRESS(INDEX($X$2:$X$1001,MATCH(ROWS($V$2:V766),$V$2:$V$1001,0),0), INDEX($AC$1004:$AS$1004,1,MATCH(COLUMNS($AC$1006:AL1006),$AC$1006:$AS$1006,0)))),"Fix")))</f>
        <v xml:space="preserve"> </v>
      </c>
      <c r="L766" s="4" t="str">
        <f ca="1">IF(OR(INDEX($W$2:$W$1001,MATCH(ROWS($V$2:V766),$V$2:$V$1001,0),1)&gt;=100000,INDEX($AC$1005:$AS$1005,1,MATCH(COLUMNS($AC$1006:AM1006),$AC$1006:$AS$1006,0))&gt;=100000), " ",IF(INDEX($AC$2:$AS$1001,MATCH(ROWS($V$2:V766),$V$2:$V$1001,0),MATCH(COLUMNS($AC$1006:AM1006),$AC$1006:$AS$1006,0)), HYPERLINK("#",""), HYPERLINK(CONCATENATE("#metadata!", ADDRESS(INDEX($X$2:$X$1001,MATCH(ROWS($V$2:V766),$V$2:$V$1001,0),0), INDEX($AC$1004:$AS$1004,1,MATCH(COLUMNS($AC$1006:AM1006),$AC$1006:$AS$1006,0)))),"Fix")))</f>
        <v xml:space="preserve"> </v>
      </c>
      <c r="M766" s="4" t="str">
        <f ca="1">IF(OR(INDEX($W$2:$W$1001,MATCH(ROWS($V$2:V766),$V$2:$V$1001,0),1)&gt;=100000,INDEX($AC$1005:$AS$1005,1,MATCH(COLUMNS($AC$1006:AN1006),$AC$1006:$AS$1006,0))&gt;=100000), " ",IF(INDEX($AC$2:$AS$1001,MATCH(ROWS($V$2:V766),$V$2:$V$1001,0),MATCH(COLUMNS($AC$1006:AN1006),$AC$1006:$AS$1006,0)), HYPERLINK("#",""), HYPERLINK(CONCATENATE("#metadata!", ADDRESS(INDEX($X$2:$X$1001,MATCH(ROWS($V$2:V766),$V$2:$V$1001,0),0), INDEX($AC$1004:$AS$1004,1,MATCH(COLUMNS($AC$1006:AN1006),$AC$1006:$AS$1006,0)))),"Fix")))</f>
        <v xml:space="preserve"> </v>
      </c>
      <c r="N766" s="4" t="str">
        <f ca="1">IF(OR(INDEX($W$2:$W$1001,MATCH(ROWS($V$2:V766),$V$2:$V$1001,0),1)&gt;=100000,INDEX($AC$1005:$AS$1005,1,MATCH(COLUMNS($AC$1006:AO1006),$AC$1006:$AS$1006,0))&gt;=100000), " ",IF(INDEX($AC$2:$AS$1001,MATCH(ROWS($V$2:V766),$V$2:$V$1001,0),MATCH(COLUMNS($AC$1006:AO1006),$AC$1006:$AS$1006,0)), HYPERLINK("#",""), HYPERLINK(CONCATENATE("#metadata!", ADDRESS(INDEX($X$2:$X$1001,MATCH(ROWS($V$2:V766),$V$2:$V$1001,0),0), INDEX($AC$1004:$AS$1004,1,MATCH(COLUMNS($AC$1006:AO1006),$AC$1006:$AS$1006,0)))),"Fix")))</f>
        <v xml:space="preserve"> </v>
      </c>
      <c r="O766" s="4" t="str">
        <f ca="1">IF(OR(INDEX($W$2:$W$1001,MATCH(ROWS($V$2:V766),$V$2:$V$1001,0),1)&gt;=100000,INDEX($AC$1005:$AS$1005,1,MATCH(COLUMNS($AC$1006:AP1006),$AC$1006:$AS$1006,0))&gt;=100000), " ",IF(INDEX($AC$2:$AS$1001,MATCH(ROWS($V$2:V766),$V$2:$V$1001,0),MATCH(COLUMNS($AC$1006:AP1006),$AC$1006:$AS$1006,0)), HYPERLINK("#",""), HYPERLINK(CONCATENATE("#metadata!", ADDRESS(INDEX($X$2:$X$1001,MATCH(ROWS($V$2:V766),$V$2:$V$1001,0),0), INDEX($AC$1004:$AS$1004,1,MATCH(COLUMNS($AC$1006:AP1006),$AC$1006:$AS$1006,0)))),"Fix")))</f>
        <v xml:space="preserve"> </v>
      </c>
      <c r="P766" s="4" t="str">
        <f ca="1">IF(OR(INDEX($W$2:$W$1001,MATCH(ROWS($V$2:V766),$V$2:$V$1001,0),1)&gt;=100000,INDEX($AC$1005:$AS$1005,1,MATCH(COLUMNS($AC$1006:AQ1006),$AC$1006:$AS$1006,0))&gt;=100000), " ",IF(INDEX($AC$2:$AS$1001,MATCH(ROWS($V$2:V766),$V$2:$V$1001,0),MATCH(COLUMNS($AC$1006:AQ1006),$AC$1006:$AS$1006,0)), HYPERLINK("#",""), HYPERLINK(CONCATENATE("#metadata!", ADDRESS(INDEX($X$2:$X$1001,MATCH(ROWS($V$2:V766),$V$2:$V$1001,0),0), INDEX($AC$1004:$AS$1004,1,MATCH(COLUMNS($AC$1006:AQ1006),$AC$1006:$AS$1006,0)))),"Fix")))</f>
        <v xml:space="preserve"> </v>
      </c>
      <c r="Q766" s="4" t="str">
        <f ca="1">IF(OR(INDEX($W$2:$W$1001,MATCH(ROWS($V$2:V766),$V$2:$V$1001,0),1)&gt;=100000,INDEX($AC$1005:$AS$1005,1,MATCH(COLUMNS($AC$1006:AR1006),$AC$1006:$AS$1006,0))&gt;=100000), " ",IF(INDEX($AC$2:$AS$1001,MATCH(ROWS($V$2:V766),$V$2:$V$1001,0),MATCH(COLUMNS($AC$1006:AR1006),$AC$1006:$AS$1006,0)), HYPERLINK("#",""), HYPERLINK(CONCATENATE("#metadata!", ADDRESS(INDEX($X$2:$X$1001,MATCH(ROWS($V$2:V766),$V$2:$V$1001,0),0), INDEX($AC$1004:$AS$1004,1,MATCH(COLUMNS($AC$1006:AR1006),$AC$1006:$AS$1006,0)))),"Fix")))</f>
        <v xml:space="preserve"> </v>
      </c>
      <c r="R766" s="4" t="str">
        <f ca="1">IF(OR(INDEX($W$2:$W$1001,MATCH(ROWS($V$2:V766),$V$2:$V$1001,0),1)&gt;=100000,INDEX($AC$1005:$AS$1005,1,MATCH(COLUMNS($AC$1006:AS1006),$AC$1006:$AS$1006,0))&gt;=100000), " ",IF(INDEX($AC$2:$AS$1001,MATCH(ROWS($V$2:V766),$V$2:$V$1001,0),MATCH(COLUMNS($AC$1006:AS1006),$AC$1006:$AS$1006,0)), HYPERLINK("#",""), HYPERLINK(CONCATENATE("#metadata!", ADDRESS(INDEX($X$2:$X$1001,MATCH(ROWS($V$2:V766),$V$2:$V$1001,0),0), INDEX($AC$1004:$AS$1004,1,MATCH(COLUMNS($AC$1006:AS1006),$AC$1006:$AS$1006,0)))),"Fix")))</f>
        <v xml:space="preserve"> </v>
      </c>
      <c r="V766">
        <v>765</v>
      </c>
      <c r="W766">
        <v>100766</v>
      </c>
      <c r="X766">
        <v>766</v>
      </c>
      <c r="Y766" t="b">
        <f t="shared" si="11"/>
        <v>1</v>
      </c>
      <c r="Z766" t="b">
        <f>COUNTBLANK(metadata!B766:R766)=COLUMNS(metadata!B766:R766)</f>
        <v>1</v>
      </c>
      <c r="AA766" t="str">
        <v/>
      </c>
      <c r="AC766" t="b">
        <f ca="1"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AD766" t="b">
        <f>IF(metadata!C766="",FALSE,ISNUMBER(VALUE(metadata!C766)))</f>
        <v>0</v>
      </c>
      <c r="AE766" t="b">
        <f>AND(IF(metadata!D766="",FALSE,TRUE),EXACT(metadata!D766,"years"))</f>
        <v>0</v>
      </c>
      <c r="AF766" t="b">
        <f>OR(AND(IF(metadata!E766="",FALSE,TRUE),OR(EXACT(metadata!E766,"not applicable"),EXACT(metadata!E766,"missing: not collected"),EXACT(metadata!E766,"missing: not provided"),EXACT(metadata!E766,"missing: restricted access"))),AND(IF(metadata!E766="",FALSE,ISNUMBER(VALUE(metadata!E766))),metadata!E766&gt;0))</f>
        <v>0</v>
      </c>
      <c r="AG766" t="b">
        <f>AND(IF(metadata!F766="",FALSE,TRUE),EXACT(metadata!F766,"Not applicable"))</f>
        <v>0</v>
      </c>
      <c r="AH766" t="b">
        <f>AND(IF(metadata!G766="",FALSE,TRUE),EXACT(metadata!G766,"urban biome"))</f>
        <v>0</v>
      </c>
      <c r="AI766" t="b">
        <f>AND(IF(metadata!H766="",FALSE,TRUE),EXACT(metadata!H766,"human-associated habitat"))</f>
        <v>0</v>
      </c>
      <c r="AJ766" t="b">
        <f>AND(IF(metadata!I766="",FALSE,TRUE),OR(EXACT(metadata!I766,"human-associated"),EXACT(metadata!I766,"human-skin"),EXACT(metadata!I766,"human-oral"),EXACT(metadata!I766,"human-gut"),EXACT(metadata!I766,"human-vaginal")))</f>
        <v>0</v>
      </c>
      <c r="AK766" t="b">
        <f>IF(metadata!J766="",FALSE,ISNUMBER(VALUE(metadata!J766)))</f>
        <v>0</v>
      </c>
      <c r="AL766" t="b">
        <f>AND(IF(metadata!K766="",FALSE,TRUE),EXACT(metadata!K766,"cm"))</f>
        <v>0</v>
      </c>
      <c r="AM766" t="b">
        <f>AND(IF(metadata!L766="",FALSE,TRUE),EXACT(metadata!L766,"human"))</f>
        <v>0</v>
      </c>
      <c r="AN766" t="b">
        <f>AND(IF(metadata!M766="",FALSE,TRUE),EXACT(metadata!M766,"Homo sapiens"))</f>
        <v>0</v>
      </c>
      <c r="AO766" t="b">
        <f>AND(IF(metadata!N766="",FALSE,TRUE),EXACT(metadata!N766,"9606"))</f>
        <v>0</v>
      </c>
      <c r="AP766" t="b">
        <f>IF(metadata!O766="",FALSE,TRUE)</f>
        <v>0</v>
      </c>
      <c r="AQ766" t="b">
        <f>IF(metadata!P766="",FALSE,TRUE)</f>
        <v>0</v>
      </c>
      <c r="AR766" t="b">
        <f>IF(metadata!Q766="",FALSE,ISNUMBER(VALUE(metadata!Q766)))</f>
        <v>0</v>
      </c>
      <c r="AS766" t="b">
        <f>AND(IF(metadata!R766="",FALSE,TRUE),EXACT(metadata!R766,"kg"))</f>
        <v>0</v>
      </c>
    </row>
    <row r="767" spans="1:45" x14ac:dyDescent="0.2">
      <c r="A767" s="5" t="str">
        <f ca="1">IF(B767=" "," ",HYPERLINK(CONCATENATE("#metadata!",ADDRESS(INDEX($X$2:$X$1001,MATCH(ROWS($V$2:V767),$V$2:$V$1001,0),0),1)),INDEX($AA$2:$AA$1001,MATCH(ROWS($V$2:V767),$V$2:$V$1001,0),0)))</f>
        <v xml:space="preserve"> </v>
      </c>
      <c r="B767" s="4" t="str">
        <f ca="1">IF(OR(INDEX($W$2:$W$1001,MATCH(ROWS($V$2:V767),$V$2:$V$1001,0),1)&gt;=100000,INDEX($AC$1005:$AS$1005,1,MATCH(COLUMNS($AC$1006:AC1006),$AC$1006:$AS$1006,0))&gt;=100000), " ",IF(INDEX($AC$2:$AS$1001,MATCH(ROWS($V$2:V767),$V$2:$V$1001,0),MATCH(COLUMNS($AC$1006:AC1006),$AC$1006:$AS$1006,0)), HYPERLINK("#",""), HYPERLINK(CONCATENATE("#metadata!", ADDRESS(INDEX($X$2:$X$1001,MATCH(ROWS($V$2:V767),$V$2:$V$1001,0),0), INDEX($AC$1004:$AS$1004,1,MATCH(COLUMNS($AC$1006:AC1006),$AC$1006:$AS$1006,0)))),"Fix")))</f>
        <v xml:space="preserve"> </v>
      </c>
      <c r="C767" s="4" t="str">
        <f ca="1">IF(OR(INDEX($W$2:$W$1001,MATCH(ROWS($V$2:V767),$V$2:$V$1001,0),1)&gt;=100000,INDEX($AC$1005:$AS$1005,1,MATCH(COLUMNS($AC$1006:AD1006),$AC$1006:$AS$1006,0))&gt;=100000), " ",IF(INDEX($AC$2:$AS$1001,MATCH(ROWS($V$2:V767),$V$2:$V$1001,0),MATCH(COLUMNS($AC$1006:AD1006),$AC$1006:$AS$1006,0)), HYPERLINK("#",""), HYPERLINK(CONCATENATE("#metadata!", ADDRESS(INDEX($X$2:$X$1001,MATCH(ROWS($V$2:V767),$V$2:$V$1001,0),0), INDEX($AC$1004:$AS$1004,1,MATCH(COLUMNS($AC$1006:AD1006),$AC$1006:$AS$1006,0)))),"Fix")))</f>
        <v xml:space="preserve"> </v>
      </c>
      <c r="D767" s="4" t="str">
        <f ca="1">IF(OR(INDEX($W$2:$W$1001,MATCH(ROWS($V$2:V767),$V$2:$V$1001,0),1)&gt;=100000,INDEX($AC$1005:$AS$1005,1,MATCH(COLUMNS($AC$1006:AE1006),$AC$1006:$AS$1006,0))&gt;=100000), " ",IF(INDEX($AC$2:$AS$1001,MATCH(ROWS($V$2:V767),$V$2:$V$1001,0),MATCH(COLUMNS($AC$1006:AE1006),$AC$1006:$AS$1006,0)), HYPERLINK("#",""), HYPERLINK(CONCATENATE("#metadata!", ADDRESS(INDEX($X$2:$X$1001,MATCH(ROWS($V$2:V767),$V$2:$V$1001,0),0), INDEX($AC$1004:$AS$1004,1,MATCH(COLUMNS($AC$1006:AE1006),$AC$1006:$AS$1006,0)))),"Fix")))</f>
        <v xml:space="preserve"> </v>
      </c>
      <c r="E767" s="4" t="str">
        <f ca="1">IF(OR(INDEX($W$2:$W$1001,MATCH(ROWS($V$2:V767),$V$2:$V$1001,0),1)&gt;=100000,INDEX($AC$1005:$AS$1005,1,MATCH(COLUMNS($AC$1006:AF1006),$AC$1006:$AS$1006,0))&gt;=100000), " ",IF(INDEX($AC$2:$AS$1001,MATCH(ROWS($V$2:V767),$V$2:$V$1001,0),MATCH(COLUMNS($AC$1006:AF1006),$AC$1006:$AS$1006,0)), HYPERLINK("#",""), HYPERLINK(CONCATENATE("#metadata!", ADDRESS(INDEX($X$2:$X$1001,MATCH(ROWS($V$2:V767),$V$2:$V$1001,0),0), INDEX($AC$1004:$AS$1004,1,MATCH(COLUMNS($AC$1006:AF1006),$AC$1006:$AS$1006,0)))),"Fix")))</f>
        <v xml:space="preserve"> </v>
      </c>
      <c r="F767" s="4" t="str">
        <f ca="1">IF(OR(INDEX($W$2:$W$1001,MATCH(ROWS($V$2:V767),$V$2:$V$1001,0),1)&gt;=100000,INDEX($AC$1005:$AS$1005,1,MATCH(COLUMNS($AC$1006:AG1006),$AC$1006:$AS$1006,0))&gt;=100000), " ",IF(INDEX($AC$2:$AS$1001,MATCH(ROWS($V$2:V767),$V$2:$V$1001,0),MATCH(COLUMNS($AC$1006:AG1006),$AC$1006:$AS$1006,0)), HYPERLINK("#",""), HYPERLINK(CONCATENATE("#metadata!", ADDRESS(INDEX($X$2:$X$1001,MATCH(ROWS($V$2:V767),$V$2:$V$1001,0),0), INDEX($AC$1004:$AS$1004,1,MATCH(COLUMNS($AC$1006:AG1006),$AC$1006:$AS$1006,0)))),"Fix")))</f>
        <v xml:space="preserve"> </v>
      </c>
      <c r="G767" s="4" t="str">
        <f ca="1">IF(OR(INDEX($W$2:$W$1001,MATCH(ROWS($V$2:V767),$V$2:$V$1001,0),1)&gt;=100000,INDEX($AC$1005:$AS$1005,1,MATCH(COLUMNS($AC$1006:AH1006),$AC$1006:$AS$1006,0))&gt;=100000), " ",IF(INDEX($AC$2:$AS$1001,MATCH(ROWS($V$2:V767),$V$2:$V$1001,0),MATCH(COLUMNS($AC$1006:AH1006),$AC$1006:$AS$1006,0)), HYPERLINK("#",""), HYPERLINK(CONCATENATE("#metadata!", ADDRESS(INDEX($X$2:$X$1001,MATCH(ROWS($V$2:V767),$V$2:$V$1001,0),0), INDEX($AC$1004:$AS$1004,1,MATCH(COLUMNS($AC$1006:AH1006),$AC$1006:$AS$1006,0)))),"Fix")))</f>
        <v xml:space="preserve"> </v>
      </c>
      <c r="H767" s="4" t="str">
        <f ca="1">IF(OR(INDEX($W$2:$W$1001,MATCH(ROWS($V$2:V767),$V$2:$V$1001,0),1)&gt;=100000,INDEX($AC$1005:$AS$1005,1,MATCH(COLUMNS($AC$1006:AI1006),$AC$1006:$AS$1006,0))&gt;=100000), " ",IF(INDEX($AC$2:$AS$1001,MATCH(ROWS($V$2:V767),$V$2:$V$1001,0),MATCH(COLUMNS($AC$1006:AI1006),$AC$1006:$AS$1006,0)), HYPERLINK("#",""), HYPERLINK(CONCATENATE("#metadata!", ADDRESS(INDEX($X$2:$X$1001,MATCH(ROWS($V$2:V767),$V$2:$V$1001,0),0), INDEX($AC$1004:$AS$1004,1,MATCH(COLUMNS($AC$1006:AI1006),$AC$1006:$AS$1006,0)))),"Fix")))</f>
        <v xml:space="preserve"> </v>
      </c>
      <c r="I767" s="4" t="str">
        <f ca="1">IF(OR(INDEX($W$2:$W$1001,MATCH(ROWS($V$2:V767),$V$2:$V$1001,0),1)&gt;=100000,INDEX($AC$1005:$AS$1005,1,MATCH(COLUMNS($AC$1006:AJ1006),$AC$1006:$AS$1006,0))&gt;=100000), " ",IF(INDEX($AC$2:$AS$1001,MATCH(ROWS($V$2:V767),$V$2:$V$1001,0),MATCH(COLUMNS($AC$1006:AJ1006),$AC$1006:$AS$1006,0)), HYPERLINK("#",""), HYPERLINK(CONCATENATE("#metadata!", ADDRESS(INDEX($X$2:$X$1001,MATCH(ROWS($V$2:V767),$V$2:$V$1001,0),0), INDEX($AC$1004:$AS$1004,1,MATCH(COLUMNS($AC$1006:AJ1006),$AC$1006:$AS$1006,0)))),"Fix")))</f>
        <v xml:space="preserve"> </v>
      </c>
      <c r="J767" s="4" t="str">
        <f ca="1">IF(OR(INDEX($W$2:$W$1001,MATCH(ROWS($V$2:V767),$V$2:$V$1001,0),1)&gt;=100000,INDEX($AC$1005:$AS$1005,1,MATCH(COLUMNS($AC$1006:AK1006),$AC$1006:$AS$1006,0))&gt;=100000), " ",IF(INDEX($AC$2:$AS$1001,MATCH(ROWS($V$2:V767),$V$2:$V$1001,0),MATCH(COLUMNS($AC$1006:AK1006),$AC$1006:$AS$1006,0)), HYPERLINK("#",""), HYPERLINK(CONCATENATE("#metadata!", ADDRESS(INDEX($X$2:$X$1001,MATCH(ROWS($V$2:V767),$V$2:$V$1001,0),0), INDEX($AC$1004:$AS$1004,1,MATCH(COLUMNS($AC$1006:AK1006),$AC$1006:$AS$1006,0)))),"Fix")))</f>
        <v xml:space="preserve"> </v>
      </c>
      <c r="K767" s="4" t="str">
        <f ca="1">IF(OR(INDEX($W$2:$W$1001,MATCH(ROWS($V$2:V767),$V$2:$V$1001,0),1)&gt;=100000,INDEX($AC$1005:$AS$1005,1,MATCH(COLUMNS($AC$1006:AL1006),$AC$1006:$AS$1006,0))&gt;=100000), " ",IF(INDEX($AC$2:$AS$1001,MATCH(ROWS($V$2:V767),$V$2:$V$1001,0),MATCH(COLUMNS($AC$1006:AL1006),$AC$1006:$AS$1006,0)), HYPERLINK("#",""), HYPERLINK(CONCATENATE("#metadata!", ADDRESS(INDEX($X$2:$X$1001,MATCH(ROWS($V$2:V767),$V$2:$V$1001,0),0), INDEX($AC$1004:$AS$1004,1,MATCH(COLUMNS($AC$1006:AL1006),$AC$1006:$AS$1006,0)))),"Fix")))</f>
        <v xml:space="preserve"> </v>
      </c>
      <c r="L767" s="4" t="str">
        <f ca="1">IF(OR(INDEX($W$2:$W$1001,MATCH(ROWS($V$2:V767),$V$2:$V$1001,0),1)&gt;=100000,INDEX($AC$1005:$AS$1005,1,MATCH(COLUMNS($AC$1006:AM1006),$AC$1006:$AS$1006,0))&gt;=100000), " ",IF(INDEX($AC$2:$AS$1001,MATCH(ROWS($V$2:V767),$V$2:$V$1001,0),MATCH(COLUMNS($AC$1006:AM1006),$AC$1006:$AS$1006,0)), HYPERLINK("#",""), HYPERLINK(CONCATENATE("#metadata!", ADDRESS(INDEX($X$2:$X$1001,MATCH(ROWS($V$2:V767),$V$2:$V$1001,0),0), INDEX($AC$1004:$AS$1004,1,MATCH(COLUMNS($AC$1006:AM1006),$AC$1006:$AS$1006,0)))),"Fix")))</f>
        <v xml:space="preserve"> </v>
      </c>
      <c r="M767" s="4" t="str">
        <f ca="1">IF(OR(INDEX($W$2:$W$1001,MATCH(ROWS($V$2:V767),$V$2:$V$1001,0),1)&gt;=100000,INDEX($AC$1005:$AS$1005,1,MATCH(COLUMNS($AC$1006:AN1006),$AC$1006:$AS$1006,0))&gt;=100000), " ",IF(INDEX($AC$2:$AS$1001,MATCH(ROWS($V$2:V767),$V$2:$V$1001,0),MATCH(COLUMNS($AC$1006:AN1006),$AC$1006:$AS$1006,0)), HYPERLINK("#",""), HYPERLINK(CONCATENATE("#metadata!", ADDRESS(INDEX($X$2:$X$1001,MATCH(ROWS($V$2:V767),$V$2:$V$1001,0),0), INDEX($AC$1004:$AS$1004,1,MATCH(COLUMNS($AC$1006:AN1006),$AC$1006:$AS$1006,0)))),"Fix")))</f>
        <v xml:space="preserve"> </v>
      </c>
      <c r="N767" s="4" t="str">
        <f ca="1">IF(OR(INDEX($W$2:$W$1001,MATCH(ROWS($V$2:V767),$V$2:$V$1001,0),1)&gt;=100000,INDEX($AC$1005:$AS$1005,1,MATCH(COLUMNS($AC$1006:AO1006),$AC$1006:$AS$1006,0))&gt;=100000), " ",IF(INDEX($AC$2:$AS$1001,MATCH(ROWS($V$2:V767),$V$2:$V$1001,0),MATCH(COLUMNS($AC$1006:AO1006),$AC$1006:$AS$1006,0)), HYPERLINK("#",""), HYPERLINK(CONCATENATE("#metadata!", ADDRESS(INDEX($X$2:$X$1001,MATCH(ROWS($V$2:V767),$V$2:$V$1001,0),0), INDEX($AC$1004:$AS$1004,1,MATCH(COLUMNS($AC$1006:AO1006),$AC$1006:$AS$1006,0)))),"Fix")))</f>
        <v xml:space="preserve"> </v>
      </c>
      <c r="O767" s="4" t="str">
        <f ca="1">IF(OR(INDEX($W$2:$W$1001,MATCH(ROWS($V$2:V767),$V$2:$V$1001,0),1)&gt;=100000,INDEX($AC$1005:$AS$1005,1,MATCH(COLUMNS($AC$1006:AP1006),$AC$1006:$AS$1006,0))&gt;=100000), " ",IF(INDEX($AC$2:$AS$1001,MATCH(ROWS($V$2:V767),$V$2:$V$1001,0),MATCH(COLUMNS($AC$1006:AP1006),$AC$1006:$AS$1006,0)), HYPERLINK("#",""), HYPERLINK(CONCATENATE("#metadata!", ADDRESS(INDEX($X$2:$X$1001,MATCH(ROWS($V$2:V767),$V$2:$V$1001,0),0), INDEX($AC$1004:$AS$1004,1,MATCH(COLUMNS($AC$1006:AP1006),$AC$1006:$AS$1006,0)))),"Fix")))</f>
        <v xml:space="preserve"> </v>
      </c>
      <c r="P767" s="4" t="str">
        <f ca="1">IF(OR(INDEX($W$2:$W$1001,MATCH(ROWS($V$2:V767),$V$2:$V$1001,0),1)&gt;=100000,INDEX($AC$1005:$AS$1005,1,MATCH(COLUMNS($AC$1006:AQ1006),$AC$1006:$AS$1006,0))&gt;=100000), " ",IF(INDEX($AC$2:$AS$1001,MATCH(ROWS($V$2:V767),$V$2:$V$1001,0),MATCH(COLUMNS($AC$1006:AQ1006),$AC$1006:$AS$1006,0)), HYPERLINK("#",""), HYPERLINK(CONCATENATE("#metadata!", ADDRESS(INDEX($X$2:$X$1001,MATCH(ROWS($V$2:V767),$V$2:$V$1001,0),0), INDEX($AC$1004:$AS$1004,1,MATCH(COLUMNS($AC$1006:AQ1006),$AC$1006:$AS$1006,0)))),"Fix")))</f>
        <v xml:space="preserve"> </v>
      </c>
      <c r="Q767" s="4" t="str">
        <f ca="1">IF(OR(INDEX($W$2:$W$1001,MATCH(ROWS($V$2:V767),$V$2:$V$1001,0),1)&gt;=100000,INDEX($AC$1005:$AS$1005,1,MATCH(COLUMNS($AC$1006:AR1006),$AC$1006:$AS$1006,0))&gt;=100000), " ",IF(INDEX($AC$2:$AS$1001,MATCH(ROWS($V$2:V767),$V$2:$V$1001,0),MATCH(COLUMNS($AC$1006:AR1006),$AC$1006:$AS$1006,0)), HYPERLINK("#",""), HYPERLINK(CONCATENATE("#metadata!", ADDRESS(INDEX($X$2:$X$1001,MATCH(ROWS($V$2:V767),$V$2:$V$1001,0),0), INDEX($AC$1004:$AS$1004,1,MATCH(COLUMNS($AC$1006:AR1006),$AC$1006:$AS$1006,0)))),"Fix")))</f>
        <v xml:space="preserve"> </v>
      </c>
      <c r="R767" s="4" t="str">
        <f ca="1">IF(OR(INDEX($W$2:$W$1001,MATCH(ROWS($V$2:V767),$V$2:$V$1001,0),1)&gt;=100000,INDEX($AC$1005:$AS$1005,1,MATCH(COLUMNS($AC$1006:AS1006),$AC$1006:$AS$1006,0))&gt;=100000), " ",IF(INDEX($AC$2:$AS$1001,MATCH(ROWS($V$2:V767),$V$2:$V$1001,0),MATCH(COLUMNS($AC$1006:AS1006),$AC$1006:$AS$1006,0)), HYPERLINK("#",""), HYPERLINK(CONCATENATE("#metadata!", ADDRESS(INDEX($X$2:$X$1001,MATCH(ROWS($V$2:V767),$V$2:$V$1001,0),0), INDEX($AC$1004:$AS$1004,1,MATCH(COLUMNS($AC$1006:AS1006),$AC$1006:$AS$1006,0)))),"Fix")))</f>
        <v xml:space="preserve"> </v>
      </c>
      <c r="V767">
        <v>766</v>
      </c>
      <c r="W767">
        <v>100767</v>
      </c>
      <c r="X767">
        <v>767</v>
      </c>
      <c r="Y767" t="b">
        <f t="shared" si="11"/>
        <v>1</v>
      </c>
      <c r="Z767" t="b">
        <f>COUNTBLANK(metadata!B767:R767)=COLUMNS(metadata!B767:R767)</f>
        <v>1</v>
      </c>
      <c r="AA767" t="str">
        <v/>
      </c>
      <c r="AC767" t="b">
        <f ca="1"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AD767" t="b">
        <f>IF(metadata!C767="",FALSE,ISNUMBER(VALUE(metadata!C767)))</f>
        <v>0</v>
      </c>
      <c r="AE767" t="b">
        <f>AND(IF(metadata!D767="",FALSE,TRUE),EXACT(metadata!D767,"years"))</f>
        <v>0</v>
      </c>
      <c r="AF767" t="b">
        <f>OR(AND(IF(metadata!E767="",FALSE,TRUE),OR(EXACT(metadata!E767,"not applicable"),EXACT(metadata!E767,"missing: not collected"),EXACT(metadata!E767,"missing: not provided"),EXACT(metadata!E767,"missing: restricted access"))),AND(IF(metadata!E767="",FALSE,ISNUMBER(VALUE(metadata!E767))),metadata!E767&gt;0))</f>
        <v>0</v>
      </c>
      <c r="AG767" t="b">
        <f>AND(IF(metadata!F767="",FALSE,TRUE),EXACT(metadata!F767,"Not applicable"))</f>
        <v>0</v>
      </c>
      <c r="AH767" t="b">
        <f>AND(IF(metadata!G767="",FALSE,TRUE),EXACT(metadata!G767,"urban biome"))</f>
        <v>0</v>
      </c>
      <c r="AI767" t="b">
        <f>AND(IF(metadata!H767="",FALSE,TRUE),EXACT(metadata!H767,"human-associated habitat"))</f>
        <v>0</v>
      </c>
      <c r="AJ767" t="b">
        <f>AND(IF(metadata!I767="",FALSE,TRUE),OR(EXACT(metadata!I767,"human-associated"),EXACT(metadata!I767,"human-skin"),EXACT(metadata!I767,"human-oral"),EXACT(metadata!I767,"human-gut"),EXACT(metadata!I767,"human-vaginal")))</f>
        <v>0</v>
      </c>
      <c r="AK767" t="b">
        <f>IF(metadata!J767="",FALSE,ISNUMBER(VALUE(metadata!J767)))</f>
        <v>0</v>
      </c>
      <c r="AL767" t="b">
        <f>AND(IF(metadata!K767="",FALSE,TRUE),EXACT(metadata!K767,"cm"))</f>
        <v>0</v>
      </c>
      <c r="AM767" t="b">
        <f>AND(IF(metadata!L767="",FALSE,TRUE),EXACT(metadata!L767,"human"))</f>
        <v>0</v>
      </c>
      <c r="AN767" t="b">
        <f>AND(IF(metadata!M767="",FALSE,TRUE),EXACT(metadata!M767,"Homo sapiens"))</f>
        <v>0</v>
      </c>
      <c r="AO767" t="b">
        <f>AND(IF(metadata!N767="",FALSE,TRUE),EXACT(metadata!N767,"9606"))</f>
        <v>0</v>
      </c>
      <c r="AP767" t="b">
        <f>IF(metadata!O767="",FALSE,TRUE)</f>
        <v>0</v>
      </c>
      <c r="AQ767" t="b">
        <f>IF(metadata!P767="",FALSE,TRUE)</f>
        <v>0</v>
      </c>
      <c r="AR767" t="b">
        <f>IF(metadata!Q767="",FALSE,ISNUMBER(VALUE(metadata!Q767)))</f>
        <v>0</v>
      </c>
      <c r="AS767" t="b">
        <f>AND(IF(metadata!R767="",FALSE,TRUE),EXACT(metadata!R767,"kg"))</f>
        <v>0</v>
      </c>
    </row>
    <row r="768" spans="1:45" x14ac:dyDescent="0.2">
      <c r="A768" s="5" t="str">
        <f ca="1">IF(B768=" "," ",HYPERLINK(CONCATENATE("#metadata!",ADDRESS(INDEX($X$2:$X$1001,MATCH(ROWS($V$2:V768),$V$2:$V$1001,0),0),1)),INDEX($AA$2:$AA$1001,MATCH(ROWS($V$2:V768),$V$2:$V$1001,0),0)))</f>
        <v xml:space="preserve"> </v>
      </c>
      <c r="B768" s="4" t="str">
        <f ca="1">IF(OR(INDEX($W$2:$W$1001,MATCH(ROWS($V$2:V768),$V$2:$V$1001,0),1)&gt;=100000,INDEX($AC$1005:$AS$1005,1,MATCH(COLUMNS($AC$1006:AC1006),$AC$1006:$AS$1006,0))&gt;=100000), " ",IF(INDEX($AC$2:$AS$1001,MATCH(ROWS($V$2:V768),$V$2:$V$1001,0),MATCH(COLUMNS($AC$1006:AC1006),$AC$1006:$AS$1006,0)), HYPERLINK("#",""), HYPERLINK(CONCATENATE("#metadata!", ADDRESS(INDEX($X$2:$X$1001,MATCH(ROWS($V$2:V768),$V$2:$V$1001,0),0), INDEX($AC$1004:$AS$1004,1,MATCH(COLUMNS($AC$1006:AC1006),$AC$1006:$AS$1006,0)))),"Fix")))</f>
        <v xml:space="preserve"> </v>
      </c>
      <c r="C768" s="4" t="str">
        <f ca="1">IF(OR(INDEX($W$2:$W$1001,MATCH(ROWS($V$2:V768),$V$2:$V$1001,0),1)&gt;=100000,INDEX($AC$1005:$AS$1005,1,MATCH(COLUMNS($AC$1006:AD1006),$AC$1006:$AS$1006,0))&gt;=100000), " ",IF(INDEX($AC$2:$AS$1001,MATCH(ROWS($V$2:V768),$V$2:$V$1001,0),MATCH(COLUMNS($AC$1006:AD1006),$AC$1006:$AS$1006,0)), HYPERLINK("#",""), HYPERLINK(CONCATENATE("#metadata!", ADDRESS(INDEX($X$2:$X$1001,MATCH(ROWS($V$2:V768),$V$2:$V$1001,0),0), INDEX($AC$1004:$AS$1004,1,MATCH(COLUMNS($AC$1006:AD1006),$AC$1006:$AS$1006,0)))),"Fix")))</f>
        <v xml:space="preserve"> </v>
      </c>
      <c r="D768" s="4" t="str">
        <f ca="1">IF(OR(INDEX($W$2:$W$1001,MATCH(ROWS($V$2:V768),$V$2:$V$1001,0),1)&gt;=100000,INDEX($AC$1005:$AS$1005,1,MATCH(COLUMNS($AC$1006:AE1006),$AC$1006:$AS$1006,0))&gt;=100000), " ",IF(INDEX($AC$2:$AS$1001,MATCH(ROWS($V$2:V768),$V$2:$V$1001,0),MATCH(COLUMNS($AC$1006:AE1006),$AC$1006:$AS$1006,0)), HYPERLINK("#",""), HYPERLINK(CONCATENATE("#metadata!", ADDRESS(INDEX($X$2:$X$1001,MATCH(ROWS($V$2:V768),$V$2:$V$1001,0),0), INDEX($AC$1004:$AS$1004,1,MATCH(COLUMNS($AC$1006:AE1006),$AC$1006:$AS$1006,0)))),"Fix")))</f>
        <v xml:space="preserve"> </v>
      </c>
      <c r="E768" s="4" t="str">
        <f ca="1">IF(OR(INDEX($W$2:$W$1001,MATCH(ROWS($V$2:V768),$V$2:$V$1001,0),1)&gt;=100000,INDEX($AC$1005:$AS$1005,1,MATCH(COLUMNS($AC$1006:AF1006),$AC$1006:$AS$1006,0))&gt;=100000), " ",IF(INDEX($AC$2:$AS$1001,MATCH(ROWS($V$2:V768),$V$2:$V$1001,0),MATCH(COLUMNS($AC$1006:AF1006),$AC$1006:$AS$1006,0)), HYPERLINK("#",""), HYPERLINK(CONCATENATE("#metadata!", ADDRESS(INDEX($X$2:$X$1001,MATCH(ROWS($V$2:V768),$V$2:$V$1001,0),0), INDEX($AC$1004:$AS$1004,1,MATCH(COLUMNS($AC$1006:AF1006),$AC$1006:$AS$1006,0)))),"Fix")))</f>
        <v xml:space="preserve"> </v>
      </c>
      <c r="F768" s="4" t="str">
        <f ca="1">IF(OR(INDEX($W$2:$W$1001,MATCH(ROWS($V$2:V768),$V$2:$V$1001,0),1)&gt;=100000,INDEX($AC$1005:$AS$1005,1,MATCH(COLUMNS($AC$1006:AG1006),$AC$1006:$AS$1006,0))&gt;=100000), " ",IF(INDEX($AC$2:$AS$1001,MATCH(ROWS($V$2:V768),$V$2:$V$1001,0),MATCH(COLUMNS($AC$1006:AG1006),$AC$1006:$AS$1006,0)), HYPERLINK("#",""), HYPERLINK(CONCATENATE("#metadata!", ADDRESS(INDEX($X$2:$X$1001,MATCH(ROWS($V$2:V768),$V$2:$V$1001,0),0), INDEX($AC$1004:$AS$1004,1,MATCH(COLUMNS($AC$1006:AG1006),$AC$1006:$AS$1006,0)))),"Fix")))</f>
        <v xml:space="preserve"> </v>
      </c>
      <c r="G768" s="4" t="str">
        <f ca="1">IF(OR(INDEX($W$2:$W$1001,MATCH(ROWS($V$2:V768),$V$2:$V$1001,0),1)&gt;=100000,INDEX($AC$1005:$AS$1005,1,MATCH(COLUMNS($AC$1006:AH1006),$AC$1006:$AS$1006,0))&gt;=100000), " ",IF(INDEX($AC$2:$AS$1001,MATCH(ROWS($V$2:V768),$V$2:$V$1001,0),MATCH(COLUMNS($AC$1006:AH1006),$AC$1006:$AS$1006,0)), HYPERLINK("#",""), HYPERLINK(CONCATENATE("#metadata!", ADDRESS(INDEX($X$2:$X$1001,MATCH(ROWS($V$2:V768),$V$2:$V$1001,0),0), INDEX($AC$1004:$AS$1004,1,MATCH(COLUMNS($AC$1006:AH1006),$AC$1006:$AS$1006,0)))),"Fix")))</f>
        <v xml:space="preserve"> </v>
      </c>
      <c r="H768" s="4" t="str">
        <f ca="1">IF(OR(INDEX($W$2:$W$1001,MATCH(ROWS($V$2:V768),$V$2:$V$1001,0),1)&gt;=100000,INDEX($AC$1005:$AS$1005,1,MATCH(COLUMNS($AC$1006:AI1006),$AC$1006:$AS$1006,0))&gt;=100000), " ",IF(INDEX($AC$2:$AS$1001,MATCH(ROWS($V$2:V768),$V$2:$V$1001,0),MATCH(COLUMNS($AC$1006:AI1006),$AC$1006:$AS$1006,0)), HYPERLINK("#",""), HYPERLINK(CONCATENATE("#metadata!", ADDRESS(INDEX($X$2:$X$1001,MATCH(ROWS($V$2:V768),$V$2:$V$1001,0),0), INDEX($AC$1004:$AS$1004,1,MATCH(COLUMNS($AC$1006:AI1006),$AC$1006:$AS$1006,0)))),"Fix")))</f>
        <v xml:space="preserve"> </v>
      </c>
      <c r="I768" s="4" t="str">
        <f ca="1">IF(OR(INDEX($W$2:$W$1001,MATCH(ROWS($V$2:V768),$V$2:$V$1001,0),1)&gt;=100000,INDEX($AC$1005:$AS$1005,1,MATCH(COLUMNS($AC$1006:AJ1006),$AC$1006:$AS$1006,0))&gt;=100000), " ",IF(INDEX($AC$2:$AS$1001,MATCH(ROWS($V$2:V768),$V$2:$V$1001,0),MATCH(COLUMNS($AC$1006:AJ1006),$AC$1006:$AS$1006,0)), HYPERLINK("#",""), HYPERLINK(CONCATENATE("#metadata!", ADDRESS(INDEX($X$2:$X$1001,MATCH(ROWS($V$2:V768),$V$2:$V$1001,0),0), INDEX($AC$1004:$AS$1004,1,MATCH(COLUMNS($AC$1006:AJ1006),$AC$1006:$AS$1006,0)))),"Fix")))</f>
        <v xml:space="preserve"> </v>
      </c>
      <c r="J768" s="4" t="str">
        <f ca="1">IF(OR(INDEX($W$2:$W$1001,MATCH(ROWS($V$2:V768),$V$2:$V$1001,0),1)&gt;=100000,INDEX($AC$1005:$AS$1005,1,MATCH(COLUMNS($AC$1006:AK1006),$AC$1006:$AS$1006,0))&gt;=100000), " ",IF(INDEX($AC$2:$AS$1001,MATCH(ROWS($V$2:V768),$V$2:$V$1001,0),MATCH(COLUMNS($AC$1006:AK1006),$AC$1006:$AS$1006,0)), HYPERLINK("#",""), HYPERLINK(CONCATENATE("#metadata!", ADDRESS(INDEX($X$2:$X$1001,MATCH(ROWS($V$2:V768),$V$2:$V$1001,0),0), INDEX($AC$1004:$AS$1004,1,MATCH(COLUMNS($AC$1006:AK1006),$AC$1006:$AS$1006,0)))),"Fix")))</f>
        <v xml:space="preserve"> </v>
      </c>
      <c r="K768" s="4" t="str">
        <f ca="1">IF(OR(INDEX($W$2:$W$1001,MATCH(ROWS($V$2:V768),$V$2:$V$1001,0),1)&gt;=100000,INDEX($AC$1005:$AS$1005,1,MATCH(COLUMNS($AC$1006:AL1006),$AC$1006:$AS$1006,0))&gt;=100000), " ",IF(INDEX($AC$2:$AS$1001,MATCH(ROWS($V$2:V768),$V$2:$V$1001,0),MATCH(COLUMNS($AC$1006:AL1006),$AC$1006:$AS$1006,0)), HYPERLINK("#",""), HYPERLINK(CONCATENATE("#metadata!", ADDRESS(INDEX($X$2:$X$1001,MATCH(ROWS($V$2:V768),$V$2:$V$1001,0),0), INDEX($AC$1004:$AS$1004,1,MATCH(COLUMNS($AC$1006:AL1006),$AC$1006:$AS$1006,0)))),"Fix")))</f>
        <v xml:space="preserve"> </v>
      </c>
      <c r="L768" s="4" t="str">
        <f ca="1">IF(OR(INDEX($W$2:$W$1001,MATCH(ROWS($V$2:V768),$V$2:$V$1001,0),1)&gt;=100000,INDEX($AC$1005:$AS$1005,1,MATCH(COLUMNS($AC$1006:AM1006),$AC$1006:$AS$1006,0))&gt;=100000), " ",IF(INDEX($AC$2:$AS$1001,MATCH(ROWS($V$2:V768),$V$2:$V$1001,0),MATCH(COLUMNS($AC$1006:AM1006),$AC$1006:$AS$1006,0)), HYPERLINK("#",""), HYPERLINK(CONCATENATE("#metadata!", ADDRESS(INDEX($X$2:$X$1001,MATCH(ROWS($V$2:V768),$V$2:$V$1001,0),0), INDEX($AC$1004:$AS$1004,1,MATCH(COLUMNS($AC$1006:AM1006),$AC$1006:$AS$1006,0)))),"Fix")))</f>
        <v xml:space="preserve"> </v>
      </c>
      <c r="M768" s="4" t="str">
        <f ca="1">IF(OR(INDEX($W$2:$W$1001,MATCH(ROWS($V$2:V768),$V$2:$V$1001,0),1)&gt;=100000,INDEX($AC$1005:$AS$1005,1,MATCH(COLUMNS($AC$1006:AN1006),$AC$1006:$AS$1006,0))&gt;=100000), " ",IF(INDEX($AC$2:$AS$1001,MATCH(ROWS($V$2:V768),$V$2:$V$1001,0),MATCH(COLUMNS($AC$1006:AN1006),$AC$1006:$AS$1006,0)), HYPERLINK("#",""), HYPERLINK(CONCATENATE("#metadata!", ADDRESS(INDEX($X$2:$X$1001,MATCH(ROWS($V$2:V768),$V$2:$V$1001,0),0), INDEX($AC$1004:$AS$1004,1,MATCH(COLUMNS($AC$1006:AN1006),$AC$1006:$AS$1006,0)))),"Fix")))</f>
        <v xml:space="preserve"> </v>
      </c>
      <c r="N768" s="4" t="str">
        <f ca="1">IF(OR(INDEX($W$2:$W$1001,MATCH(ROWS($V$2:V768),$V$2:$V$1001,0),1)&gt;=100000,INDEX($AC$1005:$AS$1005,1,MATCH(COLUMNS($AC$1006:AO1006),$AC$1006:$AS$1006,0))&gt;=100000), " ",IF(INDEX($AC$2:$AS$1001,MATCH(ROWS($V$2:V768),$V$2:$V$1001,0),MATCH(COLUMNS($AC$1006:AO1006),$AC$1006:$AS$1006,0)), HYPERLINK("#",""), HYPERLINK(CONCATENATE("#metadata!", ADDRESS(INDEX($X$2:$X$1001,MATCH(ROWS($V$2:V768),$V$2:$V$1001,0),0), INDEX($AC$1004:$AS$1004,1,MATCH(COLUMNS($AC$1006:AO1006),$AC$1006:$AS$1006,0)))),"Fix")))</f>
        <v xml:space="preserve"> </v>
      </c>
      <c r="O768" s="4" t="str">
        <f ca="1">IF(OR(INDEX($W$2:$W$1001,MATCH(ROWS($V$2:V768),$V$2:$V$1001,0),1)&gt;=100000,INDEX($AC$1005:$AS$1005,1,MATCH(COLUMNS($AC$1006:AP1006),$AC$1006:$AS$1006,0))&gt;=100000), " ",IF(INDEX($AC$2:$AS$1001,MATCH(ROWS($V$2:V768),$V$2:$V$1001,0),MATCH(COLUMNS($AC$1006:AP1006),$AC$1006:$AS$1006,0)), HYPERLINK("#",""), HYPERLINK(CONCATENATE("#metadata!", ADDRESS(INDEX($X$2:$X$1001,MATCH(ROWS($V$2:V768),$V$2:$V$1001,0),0), INDEX($AC$1004:$AS$1004,1,MATCH(COLUMNS($AC$1006:AP1006),$AC$1006:$AS$1006,0)))),"Fix")))</f>
        <v xml:space="preserve"> </v>
      </c>
      <c r="P768" s="4" t="str">
        <f ca="1">IF(OR(INDEX($W$2:$W$1001,MATCH(ROWS($V$2:V768),$V$2:$V$1001,0),1)&gt;=100000,INDEX($AC$1005:$AS$1005,1,MATCH(COLUMNS($AC$1006:AQ1006),$AC$1006:$AS$1006,0))&gt;=100000), " ",IF(INDEX($AC$2:$AS$1001,MATCH(ROWS($V$2:V768),$V$2:$V$1001,0),MATCH(COLUMNS($AC$1006:AQ1006),$AC$1006:$AS$1006,0)), HYPERLINK("#",""), HYPERLINK(CONCATENATE("#metadata!", ADDRESS(INDEX($X$2:$X$1001,MATCH(ROWS($V$2:V768),$V$2:$V$1001,0),0), INDEX($AC$1004:$AS$1004,1,MATCH(COLUMNS($AC$1006:AQ1006),$AC$1006:$AS$1006,0)))),"Fix")))</f>
        <v xml:space="preserve"> </v>
      </c>
      <c r="Q768" s="4" t="str">
        <f ca="1">IF(OR(INDEX($W$2:$W$1001,MATCH(ROWS($V$2:V768),$V$2:$V$1001,0),1)&gt;=100000,INDEX($AC$1005:$AS$1005,1,MATCH(COLUMNS($AC$1006:AR1006),$AC$1006:$AS$1006,0))&gt;=100000), " ",IF(INDEX($AC$2:$AS$1001,MATCH(ROWS($V$2:V768),$V$2:$V$1001,0),MATCH(COLUMNS($AC$1006:AR1006),$AC$1006:$AS$1006,0)), HYPERLINK("#",""), HYPERLINK(CONCATENATE("#metadata!", ADDRESS(INDEX($X$2:$X$1001,MATCH(ROWS($V$2:V768),$V$2:$V$1001,0),0), INDEX($AC$1004:$AS$1004,1,MATCH(COLUMNS($AC$1006:AR1006),$AC$1006:$AS$1006,0)))),"Fix")))</f>
        <v xml:space="preserve"> </v>
      </c>
      <c r="R768" s="4" t="str">
        <f ca="1">IF(OR(INDEX($W$2:$W$1001,MATCH(ROWS($V$2:V768),$V$2:$V$1001,0),1)&gt;=100000,INDEX($AC$1005:$AS$1005,1,MATCH(COLUMNS($AC$1006:AS1006),$AC$1006:$AS$1006,0))&gt;=100000), " ",IF(INDEX($AC$2:$AS$1001,MATCH(ROWS($V$2:V768),$V$2:$V$1001,0),MATCH(COLUMNS($AC$1006:AS1006),$AC$1006:$AS$1006,0)), HYPERLINK("#",""), HYPERLINK(CONCATENATE("#metadata!", ADDRESS(INDEX($X$2:$X$1001,MATCH(ROWS($V$2:V768),$V$2:$V$1001,0),0), INDEX($AC$1004:$AS$1004,1,MATCH(COLUMNS($AC$1006:AS1006),$AC$1006:$AS$1006,0)))),"Fix")))</f>
        <v xml:space="preserve"> </v>
      </c>
      <c r="V768">
        <v>767</v>
      </c>
      <c r="W768">
        <v>100768</v>
      </c>
      <c r="X768">
        <v>768</v>
      </c>
      <c r="Y768" t="b">
        <f t="shared" si="11"/>
        <v>1</v>
      </c>
      <c r="Z768" t="b">
        <f>COUNTBLANK(metadata!B768:R768)=COLUMNS(metadata!B768:R768)</f>
        <v>1</v>
      </c>
      <c r="AA768" t="str">
        <v/>
      </c>
      <c r="AC768" t="b">
        <f ca="1"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AD768" t="b">
        <f>IF(metadata!C768="",FALSE,ISNUMBER(VALUE(metadata!C768)))</f>
        <v>0</v>
      </c>
      <c r="AE768" t="b">
        <f>AND(IF(metadata!D768="",FALSE,TRUE),EXACT(metadata!D768,"years"))</f>
        <v>0</v>
      </c>
      <c r="AF768" t="b">
        <f>OR(AND(IF(metadata!E768="",FALSE,TRUE),OR(EXACT(metadata!E768,"not applicable"),EXACT(metadata!E768,"missing: not collected"),EXACT(metadata!E768,"missing: not provided"),EXACT(metadata!E768,"missing: restricted access"))),AND(IF(metadata!E768="",FALSE,ISNUMBER(VALUE(metadata!E768))),metadata!E768&gt;0))</f>
        <v>0</v>
      </c>
      <c r="AG768" t="b">
        <f>AND(IF(metadata!F768="",FALSE,TRUE),EXACT(metadata!F768,"Not applicable"))</f>
        <v>0</v>
      </c>
      <c r="AH768" t="b">
        <f>AND(IF(metadata!G768="",FALSE,TRUE),EXACT(metadata!G768,"urban biome"))</f>
        <v>0</v>
      </c>
      <c r="AI768" t="b">
        <f>AND(IF(metadata!H768="",FALSE,TRUE),EXACT(metadata!H768,"human-associated habitat"))</f>
        <v>0</v>
      </c>
      <c r="AJ768" t="b">
        <f>AND(IF(metadata!I768="",FALSE,TRUE),OR(EXACT(metadata!I768,"human-associated"),EXACT(metadata!I768,"human-skin"),EXACT(metadata!I768,"human-oral"),EXACT(metadata!I768,"human-gut"),EXACT(metadata!I768,"human-vaginal")))</f>
        <v>0</v>
      </c>
      <c r="AK768" t="b">
        <f>IF(metadata!J768="",FALSE,ISNUMBER(VALUE(metadata!J768)))</f>
        <v>0</v>
      </c>
      <c r="AL768" t="b">
        <f>AND(IF(metadata!K768="",FALSE,TRUE),EXACT(metadata!K768,"cm"))</f>
        <v>0</v>
      </c>
      <c r="AM768" t="b">
        <f>AND(IF(metadata!L768="",FALSE,TRUE),EXACT(metadata!L768,"human"))</f>
        <v>0</v>
      </c>
      <c r="AN768" t="b">
        <f>AND(IF(metadata!M768="",FALSE,TRUE),EXACT(metadata!M768,"Homo sapiens"))</f>
        <v>0</v>
      </c>
      <c r="AO768" t="b">
        <f>AND(IF(metadata!N768="",FALSE,TRUE),EXACT(metadata!N768,"9606"))</f>
        <v>0</v>
      </c>
      <c r="AP768" t="b">
        <f>IF(metadata!O768="",FALSE,TRUE)</f>
        <v>0</v>
      </c>
      <c r="AQ768" t="b">
        <f>IF(metadata!P768="",FALSE,TRUE)</f>
        <v>0</v>
      </c>
      <c r="AR768" t="b">
        <f>IF(metadata!Q768="",FALSE,ISNUMBER(VALUE(metadata!Q768)))</f>
        <v>0</v>
      </c>
      <c r="AS768" t="b">
        <f>AND(IF(metadata!R768="",FALSE,TRUE),EXACT(metadata!R768,"kg"))</f>
        <v>0</v>
      </c>
    </row>
    <row r="769" spans="1:45" x14ac:dyDescent="0.2">
      <c r="A769" s="5" t="str">
        <f ca="1">IF(B769=" "," ",HYPERLINK(CONCATENATE("#metadata!",ADDRESS(INDEX($X$2:$X$1001,MATCH(ROWS($V$2:V769),$V$2:$V$1001,0),0),1)),INDEX($AA$2:$AA$1001,MATCH(ROWS($V$2:V769),$V$2:$V$1001,0),0)))</f>
        <v xml:space="preserve"> </v>
      </c>
      <c r="B769" s="4" t="str">
        <f ca="1">IF(OR(INDEX($W$2:$W$1001,MATCH(ROWS($V$2:V769),$V$2:$V$1001,0),1)&gt;=100000,INDEX($AC$1005:$AS$1005,1,MATCH(COLUMNS($AC$1006:AC1006),$AC$1006:$AS$1006,0))&gt;=100000), " ",IF(INDEX($AC$2:$AS$1001,MATCH(ROWS($V$2:V769),$V$2:$V$1001,0),MATCH(COLUMNS($AC$1006:AC1006),$AC$1006:$AS$1006,0)), HYPERLINK("#",""), HYPERLINK(CONCATENATE("#metadata!", ADDRESS(INDEX($X$2:$X$1001,MATCH(ROWS($V$2:V769),$V$2:$V$1001,0),0), INDEX($AC$1004:$AS$1004,1,MATCH(COLUMNS($AC$1006:AC1006),$AC$1006:$AS$1006,0)))),"Fix")))</f>
        <v xml:space="preserve"> </v>
      </c>
      <c r="C769" s="4" t="str">
        <f ca="1">IF(OR(INDEX($W$2:$W$1001,MATCH(ROWS($V$2:V769),$V$2:$V$1001,0),1)&gt;=100000,INDEX($AC$1005:$AS$1005,1,MATCH(COLUMNS($AC$1006:AD1006),$AC$1006:$AS$1006,0))&gt;=100000), " ",IF(INDEX($AC$2:$AS$1001,MATCH(ROWS($V$2:V769),$V$2:$V$1001,0),MATCH(COLUMNS($AC$1006:AD1006),$AC$1006:$AS$1006,0)), HYPERLINK("#",""), HYPERLINK(CONCATENATE("#metadata!", ADDRESS(INDEX($X$2:$X$1001,MATCH(ROWS($V$2:V769),$V$2:$V$1001,0),0), INDEX($AC$1004:$AS$1004,1,MATCH(COLUMNS($AC$1006:AD1006),$AC$1006:$AS$1006,0)))),"Fix")))</f>
        <v xml:space="preserve"> </v>
      </c>
      <c r="D769" s="4" t="str">
        <f ca="1">IF(OR(INDEX($W$2:$W$1001,MATCH(ROWS($V$2:V769),$V$2:$V$1001,0),1)&gt;=100000,INDEX($AC$1005:$AS$1005,1,MATCH(COLUMNS($AC$1006:AE1006),$AC$1006:$AS$1006,0))&gt;=100000), " ",IF(INDEX($AC$2:$AS$1001,MATCH(ROWS($V$2:V769),$V$2:$V$1001,0),MATCH(COLUMNS($AC$1006:AE1006),$AC$1006:$AS$1006,0)), HYPERLINK("#",""), HYPERLINK(CONCATENATE("#metadata!", ADDRESS(INDEX($X$2:$X$1001,MATCH(ROWS($V$2:V769),$V$2:$V$1001,0),0), INDEX($AC$1004:$AS$1004,1,MATCH(COLUMNS($AC$1006:AE1006),$AC$1006:$AS$1006,0)))),"Fix")))</f>
        <v xml:space="preserve"> </v>
      </c>
      <c r="E769" s="4" t="str">
        <f ca="1">IF(OR(INDEX($W$2:$W$1001,MATCH(ROWS($V$2:V769),$V$2:$V$1001,0),1)&gt;=100000,INDEX($AC$1005:$AS$1005,1,MATCH(COLUMNS($AC$1006:AF1006),$AC$1006:$AS$1006,0))&gt;=100000), " ",IF(INDEX($AC$2:$AS$1001,MATCH(ROWS($V$2:V769),$V$2:$V$1001,0),MATCH(COLUMNS($AC$1006:AF1006),$AC$1006:$AS$1006,0)), HYPERLINK("#",""), HYPERLINK(CONCATENATE("#metadata!", ADDRESS(INDEX($X$2:$X$1001,MATCH(ROWS($V$2:V769),$V$2:$V$1001,0),0), INDEX($AC$1004:$AS$1004,1,MATCH(COLUMNS($AC$1006:AF1006),$AC$1006:$AS$1006,0)))),"Fix")))</f>
        <v xml:space="preserve"> </v>
      </c>
      <c r="F769" s="4" t="str">
        <f ca="1">IF(OR(INDEX($W$2:$W$1001,MATCH(ROWS($V$2:V769),$V$2:$V$1001,0),1)&gt;=100000,INDEX($AC$1005:$AS$1005,1,MATCH(COLUMNS($AC$1006:AG1006),$AC$1006:$AS$1006,0))&gt;=100000), " ",IF(INDEX($AC$2:$AS$1001,MATCH(ROWS($V$2:V769),$V$2:$V$1001,0),MATCH(COLUMNS($AC$1006:AG1006),$AC$1006:$AS$1006,0)), HYPERLINK("#",""), HYPERLINK(CONCATENATE("#metadata!", ADDRESS(INDEX($X$2:$X$1001,MATCH(ROWS($V$2:V769),$V$2:$V$1001,0),0), INDEX($AC$1004:$AS$1004,1,MATCH(COLUMNS($AC$1006:AG1006),$AC$1006:$AS$1006,0)))),"Fix")))</f>
        <v xml:space="preserve"> </v>
      </c>
      <c r="G769" s="4" t="str">
        <f ca="1">IF(OR(INDEX($W$2:$W$1001,MATCH(ROWS($V$2:V769),$V$2:$V$1001,0),1)&gt;=100000,INDEX($AC$1005:$AS$1005,1,MATCH(COLUMNS($AC$1006:AH1006),$AC$1006:$AS$1006,0))&gt;=100000), " ",IF(INDEX($AC$2:$AS$1001,MATCH(ROWS($V$2:V769),$V$2:$V$1001,0),MATCH(COLUMNS($AC$1006:AH1006),$AC$1006:$AS$1006,0)), HYPERLINK("#",""), HYPERLINK(CONCATENATE("#metadata!", ADDRESS(INDEX($X$2:$X$1001,MATCH(ROWS($V$2:V769),$V$2:$V$1001,0),0), INDEX($AC$1004:$AS$1004,1,MATCH(COLUMNS($AC$1006:AH1006),$AC$1006:$AS$1006,0)))),"Fix")))</f>
        <v xml:space="preserve"> </v>
      </c>
      <c r="H769" s="4" t="str">
        <f ca="1">IF(OR(INDEX($W$2:$W$1001,MATCH(ROWS($V$2:V769),$V$2:$V$1001,0),1)&gt;=100000,INDEX($AC$1005:$AS$1005,1,MATCH(COLUMNS($AC$1006:AI1006),$AC$1006:$AS$1006,0))&gt;=100000), " ",IF(INDEX($AC$2:$AS$1001,MATCH(ROWS($V$2:V769),$V$2:$V$1001,0),MATCH(COLUMNS($AC$1006:AI1006),$AC$1006:$AS$1006,0)), HYPERLINK("#",""), HYPERLINK(CONCATENATE("#metadata!", ADDRESS(INDEX($X$2:$X$1001,MATCH(ROWS($V$2:V769),$V$2:$V$1001,0),0), INDEX($AC$1004:$AS$1004,1,MATCH(COLUMNS($AC$1006:AI1006),$AC$1006:$AS$1006,0)))),"Fix")))</f>
        <v xml:space="preserve"> </v>
      </c>
      <c r="I769" s="4" t="str">
        <f ca="1">IF(OR(INDEX($W$2:$W$1001,MATCH(ROWS($V$2:V769),$V$2:$V$1001,0),1)&gt;=100000,INDEX($AC$1005:$AS$1005,1,MATCH(COLUMNS($AC$1006:AJ1006),$AC$1006:$AS$1006,0))&gt;=100000), " ",IF(INDEX($AC$2:$AS$1001,MATCH(ROWS($V$2:V769),$V$2:$V$1001,0),MATCH(COLUMNS($AC$1006:AJ1006),$AC$1006:$AS$1006,0)), HYPERLINK("#",""), HYPERLINK(CONCATENATE("#metadata!", ADDRESS(INDEX($X$2:$X$1001,MATCH(ROWS($V$2:V769),$V$2:$V$1001,0),0), INDEX($AC$1004:$AS$1004,1,MATCH(COLUMNS($AC$1006:AJ1006),$AC$1006:$AS$1006,0)))),"Fix")))</f>
        <v xml:space="preserve"> </v>
      </c>
      <c r="J769" s="4" t="str">
        <f ca="1">IF(OR(INDEX($W$2:$W$1001,MATCH(ROWS($V$2:V769),$V$2:$V$1001,0),1)&gt;=100000,INDEX($AC$1005:$AS$1005,1,MATCH(COLUMNS($AC$1006:AK1006),$AC$1006:$AS$1006,0))&gt;=100000), " ",IF(INDEX($AC$2:$AS$1001,MATCH(ROWS($V$2:V769),$V$2:$V$1001,0),MATCH(COLUMNS($AC$1006:AK1006),$AC$1006:$AS$1006,0)), HYPERLINK("#",""), HYPERLINK(CONCATENATE("#metadata!", ADDRESS(INDEX($X$2:$X$1001,MATCH(ROWS($V$2:V769),$V$2:$V$1001,0),0), INDEX($AC$1004:$AS$1004,1,MATCH(COLUMNS($AC$1006:AK1006),$AC$1006:$AS$1006,0)))),"Fix")))</f>
        <v xml:space="preserve"> </v>
      </c>
      <c r="K769" s="4" t="str">
        <f ca="1">IF(OR(INDEX($W$2:$W$1001,MATCH(ROWS($V$2:V769),$V$2:$V$1001,0),1)&gt;=100000,INDEX($AC$1005:$AS$1005,1,MATCH(COLUMNS($AC$1006:AL1006),$AC$1006:$AS$1006,0))&gt;=100000), " ",IF(INDEX($AC$2:$AS$1001,MATCH(ROWS($V$2:V769),$V$2:$V$1001,0),MATCH(COLUMNS($AC$1006:AL1006),$AC$1006:$AS$1006,0)), HYPERLINK("#",""), HYPERLINK(CONCATENATE("#metadata!", ADDRESS(INDEX($X$2:$X$1001,MATCH(ROWS($V$2:V769),$V$2:$V$1001,0),0), INDEX($AC$1004:$AS$1004,1,MATCH(COLUMNS($AC$1006:AL1006),$AC$1006:$AS$1006,0)))),"Fix")))</f>
        <v xml:space="preserve"> </v>
      </c>
      <c r="L769" s="4" t="str">
        <f ca="1">IF(OR(INDEX($W$2:$W$1001,MATCH(ROWS($V$2:V769),$V$2:$V$1001,0),1)&gt;=100000,INDEX($AC$1005:$AS$1005,1,MATCH(COLUMNS($AC$1006:AM1006),$AC$1006:$AS$1006,0))&gt;=100000), " ",IF(INDEX($AC$2:$AS$1001,MATCH(ROWS($V$2:V769),$V$2:$V$1001,0),MATCH(COLUMNS($AC$1006:AM1006),$AC$1006:$AS$1006,0)), HYPERLINK("#",""), HYPERLINK(CONCATENATE("#metadata!", ADDRESS(INDEX($X$2:$X$1001,MATCH(ROWS($V$2:V769),$V$2:$V$1001,0),0), INDEX($AC$1004:$AS$1004,1,MATCH(COLUMNS($AC$1006:AM1006),$AC$1006:$AS$1006,0)))),"Fix")))</f>
        <v xml:space="preserve"> </v>
      </c>
      <c r="M769" s="4" t="str">
        <f ca="1">IF(OR(INDEX($W$2:$W$1001,MATCH(ROWS($V$2:V769),$V$2:$V$1001,0),1)&gt;=100000,INDEX($AC$1005:$AS$1005,1,MATCH(COLUMNS($AC$1006:AN1006),$AC$1006:$AS$1006,0))&gt;=100000), " ",IF(INDEX($AC$2:$AS$1001,MATCH(ROWS($V$2:V769),$V$2:$V$1001,0),MATCH(COLUMNS($AC$1006:AN1006),$AC$1006:$AS$1006,0)), HYPERLINK("#",""), HYPERLINK(CONCATENATE("#metadata!", ADDRESS(INDEX($X$2:$X$1001,MATCH(ROWS($V$2:V769),$V$2:$V$1001,0),0), INDEX($AC$1004:$AS$1004,1,MATCH(COLUMNS($AC$1006:AN1006),$AC$1006:$AS$1006,0)))),"Fix")))</f>
        <v xml:space="preserve"> </v>
      </c>
      <c r="N769" s="4" t="str">
        <f ca="1">IF(OR(INDEX($W$2:$W$1001,MATCH(ROWS($V$2:V769),$V$2:$V$1001,0),1)&gt;=100000,INDEX($AC$1005:$AS$1005,1,MATCH(COLUMNS($AC$1006:AO1006),$AC$1006:$AS$1006,0))&gt;=100000), " ",IF(INDEX($AC$2:$AS$1001,MATCH(ROWS($V$2:V769),$V$2:$V$1001,0),MATCH(COLUMNS($AC$1006:AO1006),$AC$1006:$AS$1006,0)), HYPERLINK("#",""), HYPERLINK(CONCATENATE("#metadata!", ADDRESS(INDEX($X$2:$X$1001,MATCH(ROWS($V$2:V769),$V$2:$V$1001,0),0), INDEX($AC$1004:$AS$1004,1,MATCH(COLUMNS($AC$1006:AO1006),$AC$1006:$AS$1006,0)))),"Fix")))</f>
        <v xml:space="preserve"> </v>
      </c>
      <c r="O769" s="4" t="str">
        <f ca="1">IF(OR(INDEX($W$2:$W$1001,MATCH(ROWS($V$2:V769),$V$2:$V$1001,0),1)&gt;=100000,INDEX($AC$1005:$AS$1005,1,MATCH(COLUMNS($AC$1006:AP1006),$AC$1006:$AS$1006,0))&gt;=100000), " ",IF(INDEX($AC$2:$AS$1001,MATCH(ROWS($V$2:V769),$V$2:$V$1001,0),MATCH(COLUMNS($AC$1006:AP1006),$AC$1006:$AS$1006,0)), HYPERLINK("#",""), HYPERLINK(CONCATENATE("#metadata!", ADDRESS(INDEX($X$2:$X$1001,MATCH(ROWS($V$2:V769),$V$2:$V$1001,0),0), INDEX($AC$1004:$AS$1004,1,MATCH(COLUMNS($AC$1006:AP1006),$AC$1006:$AS$1006,0)))),"Fix")))</f>
        <v xml:space="preserve"> </v>
      </c>
      <c r="P769" s="4" t="str">
        <f ca="1">IF(OR(INDEX($W$2:$W$1001,MATCH(ROWS($V$2:V769),$V$2:$V$1001,0),1)&gt;=100000,INDEX($AC$1005:$AS$1005,1,MATCH(COLUMNS($AC$1006:AQ1006),$AC$1006:$AS$1006,0))&gt;=100000), " ",IF(INDEX($AC$2:$AS$1001,MATCH(ROWS($V$2:V769),$V$2:$V$1001,0),MATCH(COLUMNS($AC$1006:AQ1006),$AC$1006:$AS$1006,0)), HYPERLINK("#",""), HYPERLINK(CONCATENATE("#metadata!", ADDRESS(INDEX($X$2:$X$1001,MATCH(ROWS($V$2:V769),$V$2:$V$1001,0),0), INDEX($AC$1004:$AS$1004,1,MATCH(COLUMNS($AC$1006:AQ1006),$AC$1006:$AS$1006,0)))),"Fix")))</f>
        <v xml:space="preserve"> </v>
      </c>
      <c r="Q769" s="4" t="str">
        <f ca="1">IF(OR(INDEX($W$2:$W$1001,MATCH(ROWS($V$2:V769),$V$2:$V$1001,0),1)&gt;=100000,INDEX($AC$1005:$AS$1005,1,MATCH(COLUMNS($AC$1006:AR1006),$AC$1006:$AS$1006,0))&gt;=100000), " ",IF(INDEX($AC$2:$AS$1001,MATCH(ROWS($V$2:V769),$V$2:$V$1001,0),MATCH(COLUMNS($AC$1006:AR1006),$AC$1006:$AS$1006,0)), HYPERLINK("#",""), HYPERLINK(CONCATENATE("#metadata!", ADDRESS(INDEX($X$2:$X$1001,MATCH(ROWS($V$2:V769),$V$2:$V$1001,0),0), INDEX($AC$1004:$AS$1004,1,MATCH(COLUMNS($AC$1006:AR1006),$AC$1006:$AS$1006,0)))),"Fix")))</f>
        <v xml:space="preserve"> </v>
      </c>
      <c r="R769" s="4" t="str">
        <f ca="1">IF(OR(INDEX($W$2:$W$1001,MATCH(ROWS($V$2:V769),$V$2:$V$1001,0),1)&gt;=100000,INDEX($AC$1005:$AS$1005,1,MATCH(COLUMNS($AC$1006:AS1006),$AC$1006:$AS$1006,0))&gt;=100000), " ",IF(INDEX($AC$2:$AS$1001,MATCH(ROWS($V$2:V769),$V$2:$V$1001,0),MATCH(COLUMNS($AC$1006:AS1006),$AC$1006:$AS$1006,0)), HYPERLINK("#",""), HYPERLINK(CONCATENATE("#metadata!", ADDRESS(INDEX($X$2:$X$1001,MATCH(ROWS($V$2:V769),$V$2:$V$1001,0),0), INDEX($AC$1004:$AS$1004,1,MATCH(COLUMNS($AC$1006:AS1006),$AC$1006:$AS$1006,0)))),"Fix")))</f>
        <v xml:space="preserve"> </v>
      </c>
      <c r="V769">
        <v>768</v>
      </c>
      <c r="W769">
        <v>100769</v>
      </c>
      <c r="X769">
        <v>769</v>
      </c>
      <c r="Y769" t="b">
        <f t="shared" si="11"/>
        <v>1</v>
      </c>
      <c r="Z769" t="b">
        <f>COUNTBLANK(metadata!B769:R769)=COLUMNS(metadata!B769:R769)</f>
        <v>1</v>
      </c>
      <c r="AA769" t="str">
        <v/>
      </c>
      <c r="AC769" t="b">
        <f ca="1"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AD769" t="b">
        <f>IF(metadata!C769="",FALSE,ISNUMBER(VALUE(metadata!C769)))</f>
        <v>0</v>
      </c>
      <c r="AE769" t="b">
        <f>AND(IF(metadata!D769="",FALSE,TRUE),EXACT(metadata!D769,"years"))</f>
        <v>0</v>
      </c>
      <c r="AF769" t="b">
        <f>OR(AND(IF(metadata!E769="",FALSE,TRUE),OR(EXACT(metadata!E769,"not applicable"),EXACT(metadata!E769,"missing: not collected"),EXACT(metadata!E769,"missing: not provided"),EXACT(metadata!E769,"missing: restricted access"))),AND(IF(metadata!E769="",FALSE,ISNUMBER(VALUE(metadata!E769))),metadata!E769&gt;0))</f>
        <v>0</v>
      </c>
      <c r="AG769" t="b">
        <f>AND(IF(metadata!F769="",FALSE,TRUE),EXACT(metadata!F769,"Not applicable"))</f>
        <v>0</v>
      </c>
      <c r="AH769" t="b">
        <f>AND(IF(metadata!G769="",FALSE,TRUE),EXACT(metadata!G769,"urban biome"))</f>
        <v>0</v>
      </c>
      <c r="AI769" t="b">
        <f>AND(IF(metadata!H769="",FALSE,TRUE),EXACT(metadata!H769,"human-associated habitat"))</f>
        <v>0</v>
      </c>
      <c r="AJ769" t="b">
        <f>AND(IF(metadata!I769="",FALSE,TRUE),OR(EXACT(metadata!I769,"human-associated"),EXACT(metadata!I769,"human-skin"),EXACT(metadata!I769,"human-oral"),EXACT(metadata!I769,"human-gut"),EXACT(metadata!I769,"human-vaginal")))</f>
        <v>0</v>
      </c>
      <c r="AK769" t="b">
        <f>IF(metadata!J769="",FALSE,ISNUMBER(VALUE(metadata!J769)))</f>
        <v>0</v>
      </c>
      <c r="AL769" t="b">
        <f>AND(IF(metadata!K769="",FALSE,TRUE),EXACT(metadata!K769,"cm"))</f>
        <v>0</v>
      </c>
      <c r="AM769" t="b">
        <f>AND(IF(metadata!L769="",FALSE,TRUE),EXACT(metadata!L769,"human"))</f>
        <v>0</v>
      </c>
      <c r="AN769" t="b">
        <f>AND(IF(metadata!M769="",FALSE,TRUE),EXACT(metadata!M769,"Homo sapiens"))</f>
        <v>0</v>
      </c>
      <c r="AO769" t="b">
        <f>AND(IF(metadata!N769="",FALSE,TRUE),EXACT(metadata!N769,"9606"))</f>
        <v>0</v>
      </c>
      <c r="AP769" t="b">
        <f>IF(metadata!O769="",FALSE,TRUE)</f>
        <v>0</v>
      </c>
      <c r="AQ769" t="b">
        <f>IF(metadata!P769="",FALSE,TRUE)</f>
        <v>0</v>
      </c>
      <c r="AR769" t="b">
        <f>IF(metadata!Q769="",FALSE,ISNUMBER(VALUE(metadata!Q769)))</f>
        <v>0</v>
      </c>
      <c r="AS769" t="b">
        <f>AND(IF(metadata!R769="",FALSE,TRUE),EXACT(metadata!R769,"kg"))</f>
        <v>0</v>
      </c>
    </row>
    <row r="770" spans="1:45" x14ac:dyDescent="0.2">
      <c r="A770" s="5" t="str">
        <f ca="1">IF(B770=" "," ",HYPERLINK(CONCATENATE("#metadata!",ADDRESS(INDEX($X$2:$X$1001,MATCH(ROWS($V$2:V770),$V$2:$V$1001,0),0),1)),INDEX($AA$2:$AA$1001,MATCH(ROWS($V$2:V770),$V$2:$V$1001,0),0)))</f>
        <v xml:space="preserve"> </v>
      </c>
      <c r="B770" s="4" t="str">
        <f ca="1">IF(OR(INDEX($W$2:$W$1001,MATCH(ROWS($V$2:V770),$V$2:$V$1001,0),1)&gt;=100000,INDEX($AC$1005:$AS$1005,1,MATCH(COLUMNS($AC$1006:AC1006),$AC$1006:$AS$1006,0))&gt;=100000), " ",IF(INDEX($AC$2:$AS$1001,MATCH(ROWS($V$2:V770),$V$2:$V$1001,0),MATCH(COLUMNS($AC$1006:AC1006),$AC$1006:$AS$1006,0)), HYPERLINK("#",""), HYPERLINK(CONCATENATE("#metadata!", ADDRESS(INDEX($X$2:$X$1001,MATCH(ROWS($V$2:V770),$V$2:$V$1001,0),0), INDEX($AC$1004:$AS$1004,1,MATCH(COLUMNS($AC$1006:AC1006),$AC$1006:$AS$1006,0)))),"Fix")))</f>
        <v xml:space="preserve"> </v>
      </c>
      <c r="C770" s="4" t="str">
        <f ca="1">IF(OR(INDEX($W$2:$W$1001,MATCH(ROWS($V$2:V770),$V$2:$V$1001,0),1)&gt;=100000,INDEX($AC$1005:$AS$1005,1,MATCH(COLUMNS($AC$1006:AD1006),$AC$1006:$AS$1006,0))&gt;=100000), " ",IF(INDEX($AC$2:$AS$1001,MATCH(ROWS($V$2:V770),$V$2:$V$1001,0),MATCH(COLUMNS($AC$1006:AD1006),$AC$1006:$AS$1006,0)), HYPERLINK("#",""), HYPERLINK(CONCATENATE("#metadata!", ADDRESS(INDEX($X$2:$X$1001,MATCH(ROWS($V$2:V770),$V$2:$V$1001,0),0), INDEX($AC$1004:$AS$1004,1,MATCH(COLUMNS($AC$1006:AD1006),$AC$1006:$AS$1006,0)))),"Fix")))</f>
        <v xml:space="preserve"> </v>
      </c>
      <c r="D770" s="4" t="str">
        <f ca="1">IF(OR(INDEX($W$2:$W$1001,MATCH(ROWS($V$2:V770),$V$2:$V$1001,0),1)&gt;=100000,INDEX($AC$1005:$AS$1005,1,MATCH(COLUMNS($AC$1006:AE1006),$AC$1006:$AS$1006,0))&gt;=100000), " ",IF(INDEX($AC$2:$AS$1001,MATCH(ROWS($V$2:V770),$V$2:$V$1001,0),MATCH(COLUMNS($AC$1006:AE1006),$AC$1006:$AS$1006,0)), HYPERLINK("#",""), HYPERLINK(CONCATENATE("#metadata!", ADDRESS(INDEX($X$2:$X$1001,MATCH(ROWS($V$2:V770),$V$2:$V$1001,0),0), INDEX($AC$1004:$AS$1004,1,MATCH(COLUMNS($AC$1006:AE1006),$AC$1006:$AS$1006,0)))),"Fix")))</f>
        <v xml:space="preserve"> </v>
      </c>
      <c r="E770" s="4" t="str">
        <f ca="1">IF(OR(INDEX($W$2:$W$1001,MATCH(ROWS($V$2:V770),$V$2:$V$1001,0),1)&gt;=100000,INDEX($AC$1005:$AS$1005,1,MATCH(COLUMNS($AC$1006:AF1006),$AC$1006:$AS$1006,0))&gt;=100000), " ",IF(INDEX($AC$2:$AS$1001,MATCH(ROWS($V$2:V770),$V$2:$V$1001,0),MATCH(COLUMNS($AC$1006:AF1006),$AC$1006:$AS$1006,0)), HYPERLINK("#",""), HYPERLINK(CONCATENATE("#metadata!", ADDRESS(INDEX($X$2:$X$1001,MATCH(ROWS($V$2:V770),$V$2:$V$1001,0),0), INDEX($AC$1004:$AS$1004,1,MATCH(COLUMNS($AC$1006:AF1006),$AC$1006:$AS$1006,0)))),"Fix")))</f>
        <v xml:space="preserve"> </v>
      </c>
      <c r="F770" s="4" t="str">
        <f ca="1">IF(OR(INDEX($W$2:$W$1001,MATCH(ROWS($V$2:V770),$V$2:$V$1001,0),1)&gt;=100000,INDEX($AC$1005:$AS$1005,1,MATCH(COLUMNS($AC$1006:AG1006),$AC$1006:$AS$1006,0))&gt;=100000), " ",IF(INDEX($AC$2:$AS$1001,MATCH(ROWS($V$2:V770),$V$2:$V$1001,0),MATCH(COLUMNS($AC$1006:AG1006),$AC$1006:$AS$1006,0)), HYPERLINK("#",""), HYPERLINK(CONCATENATE("#metadata!", ADDRESS(INDEX($X$2:$X$1001,MATCH(ROWS($V$2:V770),$V$2:$V$1001,0),0), INDEX($AC$1004:$AS$1004,1,MATCH(COLUMNS($AC$1006:AG1006),$AC$1006:$AS$1006,0)))),"Fix")))</f>
        <v xml:space="preserve"> </v>
      </c>
      <c r="G770" s="4" t="str">
        <f ca="1">IF(OR(INDEX($W$2:$W$1001,MATCH(ROWS($V$2:V770),$V$2:$V$1001,0),1)&gt;=100000,INDEX($AC$1005:$AS$1005,1,MATCH(COLUMNS($AC$1006:AH1006),$AC$1006:$AS$1006,0))&gt;=100000), " ",IF(INDEX($AC$2:$AS$1001,MATCH(ROWS($V$2:V770),$V$2:$V$1001,0),MATCH(COLUMNS($AC$1006:AH1006),$AC$1006:$AS$1006,0)), HYPERLINK("#",""), HYPERLINK(CONCATENATE("#metadata!", ADDRESS(INDEX($X$2:$X$1001,MATCH(ROWS($V$2:V770),$V$2:$V$1001,0),0), INDEX($AC$1004:$AS$1004,1,MATCH(COLUMNS($AC$1006:AH1006),$AC$1006:$AS$1006,0)))),"Fix")))</f>
        <v xml:space="preserve"> </v>
      </c>
      <c r="H770" s="4" t="str">
        <f ca="1">IF(OR(INDEX($W$2:$W$1001,MATCH(ROWS($V$2:V770),$V$2:$V$1001,0),1)&gt;=100000,INDEX($AC$1005:$AS$1005,1,MATCH(COLUMNS($AC$1006:AI1006),$AC$1006:$AS$1006,0))&gt;=100000), " ",IF(INDEX($AC$2:$AS$1001,MATCH(ROWS($V$2:V770),$V$2:$V$1001,0),MATCH(COLUMNS($AC$1006:AI1006),$AC$1006:$AS$1006,0)), HYPERLINK("#",""), HYPERLINK(CONCATENATE("#metadata!", ADDRESS(INDEX($X$2:$X$1001,MATCH(ROWS($V$2:V770),$V$2:$V$1001,0),0), INDEX($AC$1004:$AS$1004,1,MATCH(COLUMNS($AC$1006:AI1006),$AC$1006:$AS$1006,0)))),"Fix")))</f>
        <v xml:space="preserve"> </v>
      </c>
      <c r="I770" s="4" t="str">
        <f ca="1">IF(OR(INDEX($W$2:$W$1001,MATCH(ROWS($V$2:V770),$V$2:$V$1001,0),1)&gt;=100000,INDEX($AC$1005:$AS$1005,1,MATCH(COLUMNS($AC$1006:AJ1006),$AC$1006:$AS$1006,0))&gt;=100000), " ",IF(INDEX($AC$2:$AS$1001,MATCH(ROWS($V$2:V770),$V$2:$V$1001,0),MATCH(COLUMNS($AC$1006:AJ1006),$AC$1006:$AS$1006,0)), HYPERLINK("#",""), HYPERLINK(CONCATENATE("#metadata!", ADDRESS(INDEX($X$2:$X$1001,MATCH(ROWS($V$2:V770),$V$2:$V$1001,0),0), INDEX($AC$1004:$AS$1004,1,MATCH(COLUMNS($AC$1006:AJ1006),$AC$1006:$AS$1006,0)))),"Fix")))</f>
        <v xml:space="preserve"> </v>
      </c>
      <c r="J770" s="4" t="str">
        <f ca="1">IF(OR(INDEX($W$2:$W$1001,MATCH(ROWS($V$2:V770),$V$2:$V$1001,0),1)&gt;=100000,INDEX($AC$1005:$AS$1005,1,MATCH(COLUMNS($AC$1006:AK1006),$AC$1006:$AS$1006,0))&gt;=100000), " ",IF(INDEX($AC$2:$AS$1001,MATCH(ROWS($V$2:V770),$V$2:$V$1001,0),MATCH(COLUMNS($AC$1006:AK1006),$AC$1006:$AS$1006,0)), HYPERLINK("#",""), HYPERLINK(CONCATENATE("#metadata!", ADDRESS(INDEX($X$2:$X$1001,MATCH(ROWS($V$2:V770),$V$2:$V$1001,0),0), INDEX($AC$1004:$AS$1004,1,MATCH(COLUMNS($AC$1006:AK1006),$AC$1006:$AS$1006,0)))),"Fix")))</f>
        <v xml:space="preserve"> </v>
      </c>
      <c r="K770" s="4" t="str">
        <f ca="1">IF(OR(INDEX($W$2:$W$1001,MATCH(ROWS($V$2:V770),$V$2:$V$1001,0),1)&gt;=100000,INDEX($AC$1005:$AS$1005,1,MATCH(COLUMNS($AC$1006:AL1006),$AC$1006:$AS$1006,0))&gt;=100000), " ",IF(INDEX($AC$2:$AS$1001,MATCH(ROWS($V$2:V770),$V$2:$V$1001,0),MATCH(COLUMNS($AC$1006:AL1006),$AC$1006:$AS$1006,0)), HYPERLINK("#",""), HYPERLINK(CONCATENATE("#metadata!", ADDRESS(INDEX($X$2:$X$1001,MATCH(ROWS($V$2:V770),$V$2:$V$1001,0),0), INDEX($AC$1004:$AS$1004,1,MATCH(COLUMNS($AC$1006:AL1006),$AC$1006:$AS$1006,0)))),"Fix")))</f>
        <v xml:space="preserve"> </v>
      </c>
      <c r="L770" s="4" t="str">
        <f ca="1">IF(OR(INDEX($W$2:$W$1001,MATCH(ROWS($V$2:V770),$V$2:$V$1001,0),1)&gt;=100000,INDEX($AC$1005:$AS$1005,1,MATCH(COLUMNS($AC$1006:AM1006),$AC$1006:$AS$1006,0))&gt;=100000), " ",IF(INDEX($AC$2:$AS$1001,MATCH(ROWS($V$2:V770),$V$2:$V$1001,0),MATCH(COLUMNS($AC$1006:AM1006),$AC$1006:$AS$1006,0)), HYPERLINK("#",""), HYPERLINK(CONCATENATE("#metadata!", ADDRESS(INDEX($X$2:$X$1001,MATCH(ROWS($V$2:V770),$V$2:$V$1001,0),0), INDEX($AC$1004:$AS$1004,1,MATCH(COLUMNS($AC$1006:AM1006),$AC$1006:$AS$1006,0)))),"Fix")))</f>
        <v xml:space="preserve"> </v>
      </c>
      <c r="M770" s="4" t="str">
        <f ca="1">IF(OR(INDEX($W$2:$W$1001,MATCH(ROWS($V$2:V770),$V$2:$V$1001,0),1)&gt;=100000,INDEX($AC$1005:$AS$1005,1,MATCH(COLUMNS($AC$1006:AN1006),$AC$1006:$AS$1006,0))&gt;=100000), " ",IF(INDEX($AC$2:$AS$1001,MATCH(ROWS($V$2:V770),$V$2:$V$1001,0),MATCH(COLUMNS($AC$1006:AN1006),$AC$1006:$AS$1006,0)), HYPERLINK("#",""), HYPERLINK(CONCATENATE("#metadata!", ADDRESS(INDEX($X$2:$X$1001,MATCH(ROWS($V$2:V770),$V$2:$V$1001,0),0), INDEX($AC$1004:$AS$1004,1,MATCH(COLUMNS($AC$1006:AN1006),$AC$1006:$AS$1006,0)))),"Fix")))</f>
        <v xml:space="preserve"> </v>
      </c>
      <c r="N770" s="4" t="str">
        <f ca="1">IF(OR(INDEX($W$2:$W$1001,MATCH(ROWS($V$2:V770),$V$2:$V$1001,0),1)&gt;=100000,INDEX($AC$1005:$AS$1005,1,MATCH(COLUMNS($AC$1006:AO1006),$AC$1006:$AS$1006,0))&gt;=100000), " ",IF(INDEX($AC$2:$AS$1001,MATCH(ROWS($V$2:V770),$V$2:$V$1001,0),MATCH(COLUMNS($AC$1006:AO1006),$AC$1006:$AS$1006,0)), HYPERLINK("#",""), HYPERLINK(CONCATENATE("#metadata!", ADDRESS(INDEX($X$2:$X$1001,MATCH(ROWS($V$2:V770),$V$2:$V$1001,0),0), INDEX($AC$1004:$AS$1004,1,MATCH(COLUMNS($AC$1006:AO1006),$AC$1006:$AS$1006,0)))),"Fix")))</f>
        <v xml:space="preserve"> </v>
      </c>
      <c r="O770" s="4" t="str">
        <f ca="1">IF(OR(INDEX($W$2:$W$1001,MATCH(ROWS($V$2:V770),$V$2:$V$1001,0),1)&gt;=100000,INDEX($AC$1005:$AS$1005,1,MATCH(COLUMNS($AC$1006:AP1006),$AC$1006:$AS$1006,0))&gt;=100000), " ",IF(INDEX($AC$2:$AS$1001,MATCH(ROWS($V$2:V770),$V$2:$V$1001,0),MATCH(COLUMNS($AC$1006:AP1006),$AC$1006:$AS$1006,0)), HYPERLINK("#",""), HYPERLINK(CONCATENATE("#metadata!", ADDRESS(INDEX($X$2:$X$1001,MATCH(ROWS($V$2:V770),$V$2:$V$1001,0),0), INDEX($AC$1004:$AS$1004,1,MATCH(COLUMNS($AC$1006:AP1006),$AC$1006:$AS$1006,0)))),"Fix")))</f>
        <v xml:space="preserve"> </v>
      </c>
      <c r="P770" s="4" t="str">
        <f ca="1">IF(OR(INDEX($W$2:$W$1001,MATCH(ROWS($V$2:V770),$V$2:$V$1001,0),1)&gt;=100000,INDEX($AC$1005:$AS$1005,1,MATCH(COLUMNS($AC$1006:AQ1006),$AC$1006:$AS$1006,0))&gt;=100000), " ",IF(INDEX($AC$2:$AS$1001,MATCH(ROWS($V$2:V770),$V$2:$V$1001,0),MATCH(COLUMNS($AC$1006:AQ1006),$AC$1006:$AS$1006,0)), HYPERLINK("#",""), HYPERLINK(CONCATENATE("#metadata!", ADDRESS(INDEX($X$2:$X$1001,MATCH(ROWS($V$2:V770),$V$2:$V$1001,0),0), INDEX($AC$1004:$AS$1004,1,MATCH(COLUMNS($AC$1006:AQ1006),$AC$1006:$AS$1006,0)))),"Fix")))</f>
        <v xml:space="preserve"> </v>
      </c>
      <c r="Q770" s="4" t="str">
        <f ca="1">IF(OR(INDEX($W$2:$W$1001,MATCH(ROWS($V$2:V770),$V$2:$V$1001,0),1)&gt;=100000,INDEX($AC$1005:$AS$1005,1,MATCH(COLUMNS($AC$1006:AR1006),$AC$1006:$AS$1006,0))&gt;=100000), " ",IF(INDEX($AC$2:$AS$1001,MATCH(ROWS($V$2:V770),$V$2:$V$1001,0),MATCH(COLUMNS($AC$1006:AR1006),$AC$1006:$AS$1006,0)), HYPERLINK("#",""), HYPERLINK(CONCATENATE("#metadata!", ADDRESS(INDEX($X$2:$X$1001,MATCH(ROWS($V$2:V770),$V$2:$V$1001,0),0), INDEX($AC$1004:$AS$1004,1,MATCH(COLUMNS($AC$1006:AR1006),$AC$1006:$AS$1006,0)))),"Fix")))</f>
        <v xml:space="preserve"> </v>
      </c>
      <c r="R770" s="4" t="str">
        <f ca="1">IF(OR(INDEX($W$2:$W$1001,MATCH(ROWS($V$2:V770),$V$2:$V$1001,0),1)&gt;=100000,INDEX($AC$1005:$AS$1005,1,MATCH(COLUMNS($AC$1006:AS1006),$AC$1006:$AS$1006,0))&gt;=100000), " ",IF(INDEX($AC$2:$AS$1001,MATCH(ROWS($V$2:V770),$V$2:$V$1001,0),MATCH(COLUMNS($AC$1006:AS1006),$AC$1006:$AS$1006,0)), HYPERLINK("#",""), HYPERLINK(CONCATENATE("#metadata!", ADDRESS(INDEX($X$2:$X$1001,MATCH(ROWS($V$2:V770),$V$2:$V$1001,0),0), INDEX($AC$1004:$AS$1004,1,MATCH(COLUMNS($AC$1006:AS1006),$AC$1006:$AS$1006,0)))),"Fix")))</f>
        <v xml:space="preserve"> </v>
      </c>
      <c r="V770">
        <v>769</v>
      </c>
      <c r="W770">
        <v>100770</v>
      </c>
      <c r="X770">
        <v>770</v>
      </c>
      <c r="Y770" t="b">
        <f t="shared" ref="Y770:Y833" si="12">IF(Z770,TRUE,AND(AC770:AS770))</f>
        <v>1</v>
      </c>
      <c r="Z770" t="b">
        <f>COUNTBLANK(metadata!B770:R770)=COLUMNS(metadata!B770:R770)</f>
        <v>1</v>
      </c>
      <c r="AA770" t="str">
        <v/>
      </c>
      <c r="AC770" t="b">
        <f ca="1"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AD770" t="b">
        <f>IF(metadata!C770="",FALSE,ISNUMBER(VALUE(metadata!C770)))</f>
        <v>0</v>
      </c>
      <c r="AE770" t="b">
        <f>AND(IF(metadata!D770="",FALSE,TRUE),EXACT(metadata!D770,"years"))</f>
        <v>0</v>
      </c>
      <c r="AF770" t="b">
        <f>OR(AND(IF(metadata!E770="",FALSE,TRUE),OR(EXACT(metadata!E770,"not applicable"),EXACT(metadata!E770,"missing: not collected"),EXACT(metadata!E770,"missing: not provided"),EXACT(metadata!E770,"missing: restricted access"))),AND(IF(metadata!E770="",FALSE,ISNUMBER(VALUE(metadata!E770))),metadata!E770&gt;0))</f>
        <v>0</v>
      </c>
      <c r="AG770" t="b">
        <f>AND(IF(metadata!F770="",FALSE,TRUE),EXACT(metadata!F770,"Not applicable"))</f>
        <v>0</v>
      </c>
      <c r="AH770" t="b">
        <f>AND(IF(metadata!G770="",FALSE,TRUE),EXACT(metadata!G770,"urban biome"))</f>
        <v>0</v>
      </c>
      <c r="AI770" t="b">
        <f>AND(IF(metadata!H770="",FALSE,TRUE),EXACT(metadata!H770,"human-associated habitat"))</f>
        <v>0</v>
      </c>
      <c r="AJ770" t="b">
        <f>AND(IF(metadata!I770="",FALSE,TRUE),OR(EXACT(metadata!I770,"human-associated"),EXACT(metadata!I770,"human-skin"),EXACT(metadata!I770,"human-oral"),EXACT(metadata!I770,"human-gut"),EXACT(metadata!I770,"human-vaginal")))</f>
        <v>0</v>
      </c>
      <c r="AK770" t="b">
        <f>IF(metadata!J770="",FALSE,ISNUMBER(VALUE(metadata!J770)))</f>
        <v>0</v>
      </c>
      <c r="AL770" t="b">
        <f>AND(IF(metadata!K770="",FALSE,TRUE),EXACT(metadata!K770,"cm"))</f>
        <v>0</v>
      </c>
      <c r="AM770" t="b">
        <f>AND(IF(metadata!L770="",FALSE,TRUE),EXACT(metadata!L770,"human"))</f>
        <v>0</v>
      </c>
      <c r="AN770" t="b">
        <f>AND(IF(metadata!M770="",FALSE,TRUE),EXACT(metadata!M770,"Homo sapiens"))</f>
        <v>0</v>
      </c>
      <c r="AO770" t="b">
        <f>AND(IF(metadata!N770="",FALSE,TRUE),EXACT(metadata!N770,"9606"))</f>
        <v>0</v>
      </c>
      <c r="AP770" t="b">
        <f>IF(metadata!O770="",FALSE,TRUE)</f>
        <v>0</v>
      </c>
      <c r="AQ770" t="b">
        <f>IF(metadata!P770="",FALSE,TRUE)</f>
        <v>0</v>
      </c>
      <c r="AR770" t="b">
        <f>IF(metadata!Q770="",FALSE,ISNUMBER(VALUE(metadata!Q770)))</f>
        <v>0</v>
      </c>
      <c r="AS770" t="b">
        <f>AND(IF(metadata!R770="",FALSE,TRUE),EXACT(metadata!R770,"kg"))</f>
        <v>0</v>
      </c>
    </row>
    <row r="771" spans="1:45" x14ac:dyDescent="0.2">
      <c r="A771" s="5" t="str">
        <f ca="1">IF(B771=" "," ",HYPERLINK(CONCATENATE("#metadata!",ADDRESS(INDEX($X$2:$X$1001,MATCH(ROWS($V$2:V771),$V$2:$V$1001,0),0),1)),INDEX($AA$2:$AA$1001,MATCH(ROWS($V$2:V771),$V$2:$V$1001,0),0)))</f>
        <v xml:space="preserve"> </v>
      </c>
      <c r="B771" s="4" t="str">
        <f ca="1">IF(OR(INDEX($W$2:$W$1001,MATCH(ROWS($V$2:V771),$V$2:$V$1001,0),1)&gt;=100000,INDEX($AC$1005:$AS$1005,1,MATCH(COLUMNS($AC$1006:AC1006),$AC$1006:$AS$1006,0))&gt;=100000), " ",IF(INDEX($AC$2:$AS$1001,MATCH(ROWS($V$2:V771),$V$2:$V$1001,0),MATCH(COLUMNS($AC$1006:AC1006),$AC$1006:$AS$1006,0)), HYPERLINK("#",""), HYPERLINK(CONCATENATE("#metadata!", ADDRESS(INDEX($X$2:$X$1001,MATCH(ROWS($V$2:V771),$V$2:$V$1001,0),0), INDEX($AC$1004:$AS$1004,1,MATCH(COLUMNS($AC$1006:AC1006),$AC$1006:$AS$1006,0)))),"Fix")))</f>
        <v xml:space="preserve"> </v>
      </c>
      <c r="C771" s="4" t="str">
        <f ca="1">IF(OR(INDEX($W$2:$W$1001,MATCH(ROWS($V$2:V771),$V$2:$V$1001,0),1)&gt;=100000,INDEX($AC$1005:$AS$1005,1,MATCH(COLUMNS($AC$1006:AD1006),$AC$1006:$AS$1006,0))&gt;=100000), " ",IF(INDEX($AC$2:$AS$1001,MATCH(ROWS($V$2:V771),$V$2:$V$1001,0),MATCH(COLUMNS($AC$1006:AD1006),$AC$1006:$AS$1006,0)), HYPERLINK("#",""), HYPERLINK(CONCATENATE("#metadata!", ADDRESS(INDEX($X$2:$X$1001,MATCH(ROWS($V$2:V771),$V$2:$V$1001,0),0), INDEX($AC$1004:$AS$1004,1,MATCH(COLUMNS($AC$1006:AD1006),$AC$1006:$AS$1006,0)))),"Fix")))</f>
        <v xml:space="preserve"> </v>
      </c>
      <c r="D771" s="4" t="str">
        <f ca="1">IF(OR(INDEX($W$2:$W$1001,MATCH(ROWS($V$2:V771),$V$2:$V$1001,0),1)&gt;=100000,INDEX($AC$1005:$AS$1005,1,MATCH(COLUMNS($AC$1006:AE1006),$AC$1006:$AS$1006,0))&gt;=100000), " ",IF(INDEX($AC$2:$AS$1001,MATCH(ROWS($V$2:V771),$V$2:$V$1001,0),MATCH(COLUMNS($AC$1006:AE1006),$AC$1006:$AS$1006,0)), HYPERLINK("#",""), HYPERLINK(CONCATENATE("#metadata!", ADDRESS(INDEX($X$2:$X$1001,MATCH(ROWS($V$2:V771),$V$2:$V$1001,0),0), INDEX($AC$1004:$AS$1004,1,MATCH(COLUMNS($AC$1006:AE1006),$AC$1006:$AS$1006,0)))),"Fix")))</f>
        <v xml:space="preserve"> </v>
      </c>
      <c r="E771" s="4" t="str">
        <f ca="1">IF(OR(INDEX($W$2:$W$1001,MATCH(ROWS($V$2:V771),$V$2:$V$1001,0),1)&gt;=100000,INDEX($AC$1005:$AS$1005,1,MATCH(COLUMNS($AC$1006:AF1006),$AC$1006:$AS$1006,0))&gt;=100000), " ",IF(INDEX($AC$2:$AS$1001,MATCH(ROWS($V$2:V771),$V$2:$V$1001,0),MATCH(COLUMNS($AC$1006:AF1006),$AC$1006:$AS$1006,0)), HYPERLINK("#",""), HYPERLINK(CONCATENATE("#metadata!", ADDRESS(INDEX($X$2:$X$1001,MATCH(ROWS($V$2:V771),$V$2:$V$1001,0),0), INDEX($AC$1004:$AS$1004,1,MATCH(COLUMNS($AC$1006:AF1006),$AC$1006:$AS$1006,0)))),"Fix")))</f>
        <v xml:space="preserve"> </v>
      </c>
      <c r="F771" s="4" t="str">
        <f ca="1">IF(OR(INDEX($W$2:$W$1001,MATCH(ROWS($V$2:V771),$V$2:$V$1001,0),1)&gt;=100000,INDEX($AC$1005:$AS$1005,1,MATCH(COLUMNS($AC$1006:AG1006),$AC$1006:$AS$1006,0))&gt;=100000), " ",IF(INDEX($AC$2:$AS$1001,MATCH(ROWS($V$2:V771),$V$2:$V$1001,0),MATCH(COLUMNS($AC$1006:AG1006),$AC$1006:$AS$1006,0)), HYPERLINK("#",""), HYPERLINK(CONCATENATE("#metadata!", ADDRESS(INDEX($X$2:$X$1001,MATCH(ROWS($V$2:V771),$V$2:$V$1001,0),0), INDEX($AC$1004:$AS$1004,1,MATCH(COLUMNS($AC$1006:AG1006),$AC$1006:$AS$1006,0)))),"Fix")))</f>
        <v xml:space="preserve"> </v>
      </c>
      <c r="G771" s="4" t="str">
        <f ca="1">IF(OR(INDEX($W$2:$W$1001,MATCH(ROWS($V$2:V771),$V$2:$V$1001,0),1)&gt;=100000,INDEX($AC$1005:$AS$1005,1,MATCH(COLUMNS($AC$1006:AH1006),$AC$1006:$AS$1006,0))&gt;=100000), " ",IF(INDEX($AC$2:$AS$1001,MATCH(ROWS($V$2:V771),$V$2:$V$1001,0),MATCH(COLUMNS($AC$1006:AH1006),$AC$1006:$AS$1006,0)), HYPERLINK("#",""), HYPERLINK(CONCATENATE("#metadata!", ADDRESS(INDEX($X$2:$X$1001,MATCH(ROWS($V$2:V771),$V$2:$V$1001,0),0), INDEX($AC$1004:$AS$1004,1,MATCH(COLUMNS($AC$1006:AH1006),$AC$1006:$AS$1006,0)))),"Fix")))</f>
        <v xml:space="preserve"> </v>
      </c>
      <c r="H771" s="4" t="str">
        <f ca="1">IF(OR(INDEX($W$2:$W$1001,MATCH(ROWS($V$2:V771),$V$2:$V$1001,0),1)&gt;=100000,INDEX($AC$1005:$AS$1005,1,MATCH(COLUMNS($AC$1006:AI1006),$AC$1006:$AS$1006,0))&gt;=100000), " ",IF(INDEX($AC$2:$AS$1001,MATCH(ROWS($V$2:V771),$V$2:$V$1001,0),MATCH(COLUMNS($AC$1006:AI1006),$AC$1006:$AS$1006,0)), HYPERLINK("#",""), HYPERLINK(CONCATENATE("#metadata!", ADDRESS(INDEX($X$2:$X$1001,MATCH(ROWS($V$2:V771),$V$2:$V$1001,0),0), INDEX($AC$1004:$AS$1004,1,MATCH(COLUMNS($AC$1006:AI1006),$AC$1006:$AS$1006,0)))),"Fix")))</f>
        <v xml:space="preserve"> </v>
      </c>
      <c r="I771" s="4" t="str">
        <f ca="1">IF(OR(INDEX($W$2:$W$1001,MATCH(ROWS($V$2:V771),$V$2:$V$1001,0),1)&gt;=100000,INDEX($AC$1005:$AS$1005,1,MATCH(COLUMNS($AC$1006:AJ1006),$AC$1006:$AS$1006,0))&gt;=100000), " ",IF(INDEX($AC$2:$AS$1001,MATCH(ROWS($V$2:V771),$V$2:$V$1001,0),MATCH(COLUMNS($AC$1006:AJ1006),$AC$1006:$AS$1006,0)), HYPERLINK("#",""), HYPERLINK(CONCATENATE("#metadata!", ADDRESS(INDEX($X$2:$X$1001,MATCH(ROWS($V$2:V771),$V$2:$V$1001,0),0), INDEX($AC$1004:$AS$1004,1,MATCH(COLUMNS($AC$1006:AJ1006),$AC$1006:$AS$1006,0)))),"Fix")))</f>
        <v xml:space="preserve"> </v>
      </c>
      <c r="J771" s="4" t="str">
        <f ca="1">IF(OR(INDEX($W$2:$W$1001,MATCH(ROWS($V$2:V771),$V$2:$V$1001,0),1)&gt;=100000,INDEX($AC$1005:$AS$1005,1,MATCH(COLUMNS($AC$1006:AK1006),$AC$1006:$AS$1006,0))&gt;=100000), " ",IF(INDEX($AC$2:$AS$1001,MATCH(ROWS($V$2:V771),$V$2:$V$1001,0),MATCH(COLUMNS($AC$1006:AK1006),$AC$1006:$AS$1006,0)), HYPERLINK("#",""), HYPERLINK(CONCATENATE("#metadata!", ADDRESS(INDEX($X$2:$X$1001,MATCH(ROWS($V$2:V771),$V$2:$V$1001,0),0), INDEX($AC$1004:$AS$1004,1,MATCH(COLUMNS($AC$1006:AK1006),$AC$1006:$AS$1006,0)))),"Fix")))</f>
        <v xml:space="preserve"> </v>
      </c>
      <c r="K771" s="4" t="str">
        <f ca="1">IF(OR(INDEX($W$2:$W$1001,MATCH(ROWS($V$2:V771),$V$2:$V$1001,0),1)&gt;=100000,INDEX($AC$1005:$AS$1005,1,MATCH(COLUMNS($AC$1006:AL1006),$AC$1006:$AS$1006,0))&gt;=100000), " ",IF(INDEX($AC$2:$AS$1001,MATCH(ROWS($V$2:V771),$V$2:$V$1001,0),MATCH(COLUMNS($AC$1006:AL1006),$AC$1006:$AS$1006,0)), HYPERLINK("#",""), HYPERLINK(CONCATENATE("#metadata!", ADDRESS(INDEX($X$2:$X$1001,MATCH(ROWS($V$2:V771),$V$2:$V$1001,0),0), INDEX($AC$1004:$AS$1004,1,MATCH(COLUMNS($AC$1006:AL1006),$AC$1006:$AS$1006,0)))),"Fix")))</f>
        <v xml:space="preserve"> </v>
      </c>
      <c r="L771" s="4" t="str">
        <f ca="1">IF(OR(INDEX($W$2:$W$1001,MATCH(ROWS($V$2:V771),$V$2:$V$1001,0),1)&gt;=100000,INDEX($AC$1005:$AS$1005,1,MATCH(COLUMNS($AC$1006:AM1006),$AC$1006:$AS$1006,0))&gt;=100000), " ",IF(INDEX($AC$2:$AS$1001,MATCH(ROWS($V$2:V771),$V$2:$V$1001,0),MATCH(COLUMNS($AC$1006:AM1006),$AC$1006:$AS$1006,0)), HYPERLINK("#",""), HYPERLINK(CONCATENATE("#metadata!", ADDRESS(INDEX($X$2:$X$1001,MATCH(ROWS($V$2:V771),$V$2:$V$1001,0),0), INDEX($AC$1004:$AS$1004,1,MATCH(COLUMNS($AC$1006:AM1006),$AC$1006:$AS$1006,0)))),"Fix")))</f>
        <v xml:space="preserve"> </v>
      </c>
      <c r="M771" s="4" t="str">
        <f ca="1">IF(OR(INDEX($W$2:$W$1001,MATCH(ROWS($V$2:V771),$V$2:$V$1001,0),1)&gt;=100000,INDEX($AC$1005:$AS$1005,1,MATCH(COLUMNS($AC$1006:AN1006),$AC$1006:$AS$1006,0))&gt;=100000), " ",IF(INDEX($AC$2:$AS$1001,MATCH(ROWS($V$2:V771),$V$2:$V$1001,0),MATCH(COLUMNS($AC$1006:AN1006),$AC$1006:$AS$1006,0)), HYPERLINK("#",""), HYPERLINK(CONCATENATE("#metadata!", ADDRESS(INDEX($X$2:$X$1001,MATCH(ROWS($V$2:V771),$V$2:$V$1001,0),0), INDEX($AC$1004:$AS$1004,1,MATCH(COLUMNS($AC$1006:AN1006),$AC$1006:$AS$1006,0)))),"Fix")))</f>
        <v xml:space="preserve"> </v>
      </c>
      <c r="N771" s="4" t="str">
        <f ca="1">IF(OR(INDEX($W$2:$W$1001,MATCH(ROWS($V$2:V771),$V$2:$V$1001,0),1)&gt;=100000,INDEX($AC$1005:$AS$1005,1,MATCH(COLUMNS($AC$1006:AO1006),$AC$1006:$AS$1006,0))&gt;=100000), " ",IF(INDEX($AC$2:$AS$1001,MATCH(ROWS($V$2:V771),$V$2:$V$1001,0),MATCH(COLUMNS($AC$1006:AO1006),$AC$1006:$AS$1006,0)), HYPERLINK("#",""), HYPERLINK(CONCATENATE("#metadata!", ADDRESS(INDEX($X$2:$X$1001,MATCH(ROWS($V$2:V771),$V$2:$V$1001,0),0), INDEX($AC$1004:$AS$1004,1,MATCH(COLUMNS($AC$1006:AO1006),$AC$1006:$AS$1006,0)))),"Fix")))</f>
        <v xml:space="preserve"> </v>
      </c>
      <c r="O771" s="4" t="str">
        <f ca="1">IF(OR(INDEX($W$2:$W$1001,MATCH(ROWS($V$2:V771),$V$2:$V$1001,0),1)&gt;=100000,INDEX($AC$1005:$AS$1005,1,MATCH(COLUMNS($AC$1006:AP1006),$AC$1006:$AS$1006,0))&gt;=100000), " ",IF(INDEX($AC$2:$AS$1001,MATCH(ROWS($V$2:V771),$V$2:$V$1001,0),MATCH(COLUMNS($AC$1006:AP1006),$AC$1006:$AS$1006,0)), HYPERLINK("#",""), HYPERLINK(CONCATENATE("#metadata!", ADDRESS(INDEX($X$2:$X$1001,MATCH(ROWS($V$2:V771),$V$2:$V$1001,0),0), INDEX($AC$1004:$AS$1004,1,MATCH(COLUMNS($AC$1006:AP1006),$AC$1006:$AS$1006,0)))),"Fix")))</f>
        <v xml:space="preserve"> </v>
      </c>
      <c r="P771" s="4" t="str">
        <f ca="1">IF(OR(INDEX($W$2:$W$1001,MATCH(ROWS($V$2:V771),$V$2:$V$1001,0),1)&gt;=100000,INDEX($AC$1005:$AS$1005,1,MATCH(COLUMNS($AC$1006:AQ1006),$AC$1006:$AS$1006,0))&gt;=100000), " ",IF(INDEX($AC$2:$AS$1001,MATCH(ROWS($V$2:V771),$V$2:$V$1001,0),MATCH(COLUMNS($AC$1006:AQ1006),$AC$1006:$AS$1006,0)), HYPERLINK("#",""), HYPERLINK(CONCATENATE("#metadata!", ADDRESS(INDEX($X$2:$X$1001,MATCH(ROWS($V$2:V771),$V$2:$V$1001,0),0), INDEX($AC$1004:$AS$1004,1,MATCH(COLUMNS($AC$1006:AQ1006),$AC$1006:$AS$1006,0)))),"Fix")))</f>
        <v xml:space="preserve"> </v>
      </c>
      <c r="Q771" s="4" t="str">
        <f ca="1">IF(OR(INDEX($W$2:$W$1001,MATCH(ROWS($V$2:V771),$V$2:$V$1001,0),1)&gt;=100000,INDEX($AC$1005:$AS$1005,1,MATCH(COLUMNS($AC$1006:AR1006),$AC$1006:$AS$1006,0))&gt;=100000), " ",IF(INDEX($AC$2:$AS$1001,MATCH(ROWS($V$2:V771),$V$2:$V$1001,0),MATCH(COLUMNS($AC$1006:AR1006),$AC$1006:$AS$1006,0)), HYPERLINK("#",""), HYPERLINK(CONCATENATE("#metadata!", ADDRESS(INDEX($X$2:$X$1001,MATCH(ROWS($V$2:V771),$V$2:$V$1001,0),0), INDEX($AC$1004:$AS$1004,1,MATCH(COLUMNS($AC$1006:AR1006),$AC$1006:$AS$1006,0)))),"Fix")))</f>
        <v xml:space="preserve"> </v>
      </c>
      <c r="R771" s="4" t="str">
        <f ca="1">IF(OR(INDEX($W$2:$W$1001,MATCH(ROWS($V$2:V771),$V$2:$V$1001,0),1)&gt;=100000,INDEX($AC$1005:$AS$1005,1,MATCH(COLUMNS($AC$1006:AS1006),$AC$1006:$AS$1006,0))&gt;=100000), " ",IF(INDEX($AC$2:$AS$1001,MATCH(ROWS($V$2:V771),$V$2:$V$1001,0),MATCH(COLUMNS($AC$1006:AS1006),$AC$1006:$AS$1006,0)), HYPERLINK("#",""), HYPERLINK(CONCATENATE("#metadata!", ADDRESS(INDEX($X$2:$X$1001,MATCH(ROWS($V$2:V771),$V$2:$V$1001,0),0), INDEX($AC$1004:$AS$1004,1,MATCH(COLUMNS($AC$1006:AS1006),$AC$1006:$AS$1006,0)))),"Fix")))</f>
        <v xml:space="preserve"> </v>
      </c>
      <c r="V771">
        <v>770</v>
      </c>
      <c r="W771">
        <v>100771</v>
      </c>
      <c r="X771">
        <v>771</v>
      </c>
      <c r="Y771" t="b">
        <f t="shared" si="12"/>
        <v>1</v>
      </c>
      <c r="Z771" t="b">
        <f>COUNTBLANK(metadata!B771:R771)=COLUMNS(metadata!B771:R771)</f>
        <v>1</v>
      </c>
      <c r="AA771" t="str">
        <v/>
      </c>
      <c r="AC771" t="b">
        <f ca="1"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AD771" t="b">
        <f>IF(metadata!C771="",FALSE,ISNUMBER(VALUE(metadata!C771)))</f>
        <v>0</v>
      </c>
      <c r="AE771" t="b">
        <f>AND(IF(metadata!D771="",FALSE,TRUE),EXACT(metadata!D771,"years"))</f>
        <v>0</v>
      </c>
      <c r="AF771" t="b">
        <f>OR(AND(IF(metadata!E771="",FALSE,TRUE),OR(EXACT(metadata!E771,"not applicable"),EXACT(metadata!E771,"missing: not collected"),EXACT(metadata!E771,"missing: not provided"),EXACT(metadata!E771,"missing: restricted access"))),AND(IF(metadata!E771="",FALSE,ISNUMBER(VALUE(metadata!E771))),metadata!E771&gt;0))</f>
        <v>0</v>
      </c>
      <c r="AG771" t="b">
        <f>AND(IF(metadata!F771="",FALSE,TRUE),EXACT(metadata!F771,"Not applicable"))</f>
        <v>0</v>
      </c>
      <c r="AH771" t="b">
        <f>AND(IF(metadata!G771="",FALSE,TRUE),EXACT(metadata!G771,"urban biome"))</f>
        <v>0</v>
      </c>
      <c r="AI771" t="b">
        <f>AND(IF(metadata!H771="",FALSE,TRUE),EXACT(metadata!H771,"human-associated habitat"))</f>
        <v>0</v>
      </c>
      <c r="AJ771" t="b">
        <f>AND(IF(metadata!I771="",FALSE,TRUE),OR(EXACT(metadata!I771,"human-associated"),EXACT(metadata!I771,"human-skin"),EXACT(metadata!I771,"human-oral"),EXACT(metadata!I771,"human-gut"),EXACT(metadata!I771,"human-vaginal")))</f>
        <v>0</v>
      </c>
      <c r="AK771" t="b">
        <f>IF(metadata!J771="",FALSE,ISNUMBER(VALUE(metadata!J771)))</f>
        <v>0</v>
      </c>
      <c r="AL771" t="b">
        <f>AND(IF(metadata!K771="",FALSE,TRUE),EXACT(metadata!K771,"cm"))</f>
        <v>0</v>
      </c>
      <c r="AM771" t="b">
        <f>AND(IF(metadata!L771="",FALSE,TRUE),EXACT(metadata!L771,"human"))</f>
        <v>0</v>
      </c>
      <c r="AN771" t="b">
        <f>AND(IF(metadata!M771="",FALSE,TRUE),EXACT(metadata!M771,"Homo sapiens"))</f>
        <v>0</v>
      </c>
      <c r="AO771" t="b">
        <f>AND(IF(metadata!N771="",FALSE,TRUE),EXACT(metadata!N771,"9606"))</f>
        <v>0</v>
      </c>
      <c r="AP771" t="b">
        <f>IF(metadata!O771="",FALSE,TRUE)</f>
        <v>0</v>
      </c>
      <c r="AQ771" t="b">
        <f>IF(metadata!P771="",FALSE,TRUE)</f>
        <v>0</v>
      </c>
      <c r="AR771" t="b">
        <f>IF(metadata!Q771="",FALSE,ISNUMBER(VALUE(metadata!Q771)))</f>
        <v>0</v>
      </c>
      <c r="AS771" t="b">
        <f>AND(IF(metadata!R771="",FALSE,TRUE),EXACT(metadata!R771,"kg"))</f>
        <v>0</v>
      </c>
    </row>
    <row r="772" spans="1:45" x14ac:dyDescent="0.2">
      <c r="A772" s="5" t="str">
        <f ca="1">IF(B772=" "," ",HYPERLINK(CONCATENATE("#metadata!",ADDRESS(INDEX($X$2:$X$1001,MATCH(ROWS($V$2:V772),$V$2:$V$1001,0),0),1)),INDEX($AA$2:$AA$1001,MATCH(ROWS($V$2:V772),$V$2:$V$1001,0),0)))</f>
        <v xml:space="preserve"> </v>
      </c>
      <c r="B772" s="4" t="str">
        <f ca="1">IF(OR(INDEX($W$2:$W$1001,MATCH(ROWS($V$2:V772),$V$2:$V$1001,0),1)&gt;=100000,INDEX($AC$1005:$AS$1005,1,MATCH(COLUMNS($AC$1006:AC1006),$AC$1006:$AS$1006,0))&gt;=100000), " ",IF(INDEX($AC$2:$AS$1001,MATCH(ROWS($V$2:V772),$V$2:$V$1001,0),MATCH(COLUMNS($AC$1006:AC1006),$AC$1006:$AS$1006,0)), HYPERLINK("#",""), HYPERLINK(CONCATENATE("#metadata!", ADDRESS(INDEX($X$2:$X$1001,MATCH(ROWS($V$2:V772),$V$2:$V$1001,0),0), INDEX($AC$1004:$AS$1004,1,MATCH(COLUMNS($AC$1006:AC1006),$AC$1006:$AS$1006,0)))),"Fix")))</f>
        <v xml:space="preserve"> </v>
      </c>
      <c r="C772" s="4" t="str">
        <f ca="1">IF(OR(INDEX($W$2:$W$1001,MATCH(ROWS($V$2:V772),$V$2:$V$1001,0),1)&gt;=100000,INDEX($AC$1005:$AS$1005,1,MATCH(COLUMNS($AC$1006:AD1006),$AC$1006:$AS$1006,0))&gt;=100000), " ",IF(INDEX($AC$2:$AS$1001,MATCH(ROWS($V$2:V772),$V$2:$V$1001,0),MATCH(COLUMNS($AC$1006:AD1006),$AC$1006:$AS$1006,0)), HYPERLINK("#",""), HYPERLINK(CONCATENATE("#metadata!", ADDRESS(INDEX($X$2:$X$1001,MATCH(ROWS($V$2:V772),$V$2:$V$1001,0),0), INDEX($AC$1004:$AS$1004,1,MATCH(COLUMNS($AC$1006:AD1006),$AC$1006:$AS$1006,0)))),"Fix")))</f>
        <v xml:space="preserve"> </v>
      </c>
      <c r="D772" s="4" t="str">
        <f ca="1">IF(OR(INDEX($W$2:$W$1001,MATCH(ROWS($V$2:V772),$V$2:$V$1001,0),1)&gt;=100000,INDEX($AC$1005:$AS$1005,1,MATCH(COLUMNS($AC$1006:AE1006),$AC$1006:$AS$1006,0))&gt;=100000), " ",IF(INDEX($AC$2:$AS$1001,MATCH(ROWS($V$2:V772),$V$2:$V$1001,0),MATCH(COLUMNS($AC$1006:AE1006),$AC$1006:$AS$1006,0)), HYPERLINK("#",""), HYPERLINK(CONCATENATE("#metadata!", ADDRESS(INDEX($X$2:$X$1001,MATCH(ROWS($V$2:V772),$V$2:$V$1001,0),0), INDEX($AC$1004:$AS$1004,1,MATCH(COLUMNS($AC$1006:AE1006),$AC$1006:$AS$1006,0)))),"Fix")))</f>
        <v xml:space="preserve"> </v>
      </c>
      <c r="E772" s="4" t="str">
        <f ca="1">IF(OR(INDEX($W$2:$W$1001,MATCH(ROWS($V$2:V772),$V$2:$V$1001,0),1)&gt;=100000,INDEX($AC$1005:$AS$1005,1,MATCH(COLUMNS($AC$1006:AF1006),$AC$1006:$AS$1006,0))&gt;=100000), " ",IF(INDEX($AC$2:$AS$1001,MATCH(ROWS($V$2:V772),$V$2:$V$1001,0),MATCH(COLUMNS($AC$1006:AF1006),$AC$1006:$AS$1006,0)), HYPERLINK("#",""), HYPERLINK(CONCATENATE("#metadata!", ADDRESS(INDEX($X$2:$X$1001,MATCH(ROWS($V$2:V772),$V$2:$V$1001,0),0), INDEX($AC$1004:$AS$1004,1,MATCH(COLUMNS($AC$1006:AF1006),$AC$1006:$AS$1006,0)))),"Fix")))</f>
        <v xml:space="preserve"> </v>
      </c>
      <c r="F772" s="4" t="str">
        <f ca="1">IF(OR(INDEX($W$2:$W$1001,MATCH(ROWS($V$2:V772),$V$2:$V$1001,0),1)&gt;=100000,INDEX($AC$1005:$AS$1005,1,MATCH(COLUMNS($AC$1006:AG1006),$AC$1006:$AS$1006,0))&gt;=100000), " ",IF(INDEX($AC$2:$AS$1001,MATCH(ROWS($V$2:V772),$V$2:$V$1001,0),MATCH(COLUMNS($AC$1006:AG1006),$AC$1006:$AS$1006,0)), HYPERLINK("#",""), HYPERLINK(CONCATENATE("#metadata!", ADDRESS(INDEX($X$2:$X$1001,MATCH(ROWS($V$2:V772),$V$2:$V$1001,0),0), INDEX($AC$1004:$AS$1004,1,MATCH(COLUMNS($AC$1006:AG1006),$AC$1006:$AS$1006,0)))),"Fix")))</f>
        <v xml:space="preserve"> </v>
      </c>
      <c r="G772" s="4" t="str">
        <f ca="1">IF(OR(INDEX($W$2:$W$1001,MATCH(ROWS($V$2:V772),$V$2:$V$1001,0),1)&gt;=100000,INDEX($AC$1005:$AS$1005,1,MATCH(COLUMNS($AC$1006:AH1006),$AC$1006:$AS$1006,0))&gt;=100000), " ",IF(INDEX($AC$2:$AS$1001,MATCH(ROWS($V$2:V772),$V$2:$V$1001,0),MATCH(COLUMNS($AC$1006:AH1006),$AC$1006:$AS$1006,0)), HYPERLINK("#",""), HYPERLINK(CONCATENATE("#metadata!", ADDRESS(INDEX($X$2:$X$1001,MATCH(ROWS($V$2:V772),$V$2:$V$1001,0),0), INDEX($AC$1004:$AS$1004,1,MATCH(COLUMNS($AC$1006:AH1006),$AC$1006:$AS$1006,0)))),"Fix")))</f>
        <v xml:space="preserve"> </v>
      </c>
      <c r="H772" s="4" t="str">
        <f ca="1">IF(OR(INDEX($W$2:$W$1001,MATCH(ROWS($V$2:V772),$V$2:$V$1001,0),1)&gt;=100000,INDEX($AC$1005:$AS$1005,1,MATCH(COLUMNS($AC$1006:AI1006),$AC$1006:$AS$1006,0))&gt;=100000), " ",IF(INDEX($AC$2:$AS$1001,MATCH(ROWS($V$2:V772),$V$2:$V$1001,0),MATCH(COLUMNS($AC$1006:AI1006),$AC$1006:$AS$1006,0)), HYPERLINK("#",""), HYPERLINK(CONCATENATE("#metadata!", ADDRESS(INDEX($X$2:$X$1001,MATCH(ROWS($V$2:V772),$V$2:$V$1001,0),0), INDEX($AC$1004:$AS$1004,1,MATCH(COLUMNS($AC$1006:AI1006),$AC$1006:$AS$1006,0)))),"Fix")))</f>
        <v xml:space="preserve"> </v>
      </c>
      <c r="I772" s="4" t="str">
        <f ca="1">IF(OR(INDEX($W$2:$W$1001,MATCH(ROWS($V$2:V772),$V$2:$V$1001,0),1)&gt;=100000,INDEX($AC$1005:$AS$1005,1,MATCH(COLUMNS($AC$1006:AJ1006),$AC$1006:$AS$1006,0))&gt;=100000), " ",IF(INDEX($AC$2:$AS$1001,MATCH(ROWS($V$2:V772),$V$2:$V$1001,0),MATCH(COLUMNS($AC$1006:AJ1006),$AC$1006:$AS$1006,0)), HYPERLINK("#",""), HYPERLINK(CONCATENATE("#metadata!", ADDRESS(INDEX($X$2:$X$1001,MATCH(ROWS($V$2:V772),$V$2:$V$1001,0),0), INDEX($AC$1004:$AS$1004,1,MATCH(COLUMNS($AC$1006:AJ1006),$AC$1006:$AS$1006,0)))),"Fix")))</f>
        <v xml:space="preserve"> </v>
      </c>
      <c r="J772" s="4" t="str">
        <f ca="1">IF(OR(INDEX($W$2:$W$1001,MATCH(ROWS($V$2:V772),$V$2:$V$1001,0),1)&gt;=100000,INDEX($AC$1005:$AS$1005,1,MATCH(COLUMNS($AC$1006:AK1006),$AC$1006:$AS$1006,0))&gt;=100000), " ",IF(INDEX($AC$2:$AS$1001,MATCH(ROWS($V$2:V772),$V$2:$V$1001,0),MATCH(COLUMNS($AC$1006:AK1006),$AC$1006:$AS$1006,0)), HYPERLINK("#",""), HYPERLINK(CONCATENATE("#metadata!", ADDRESS(INDEX($X$2:$X$1001,MATCH(ROWS($V$2:V772),$V$2:$V$1001,0),0), INDEX($AC$1004:$AS$1004,1,MATCH(COLUMNS($AC$1006:AK1006),$AC$1006:$AS$1006,0)))),"Fix")))</f>
        <v xml:space="preserve"> </v>
      </c>
      <c r="K772" s="4" t="str">
        <f ca="1">IF(OR(INDEX($W$2:$W$1001,MATCH(ROWS($V$2:V772),$V$2:$V$1001,0),1)&gt;=100000,INDEX($AC$1005:$AS$1005,1,MATCH(COLUMNS($AC$1006:AL1006),$AC$1006:$AS$1006,0))&gt;=100000), " ",IF(INDEX($AC$2:$AS$1001,MATCH(ROWS($V$2:V772),$V$2:$V$1001,0),MATCH(COLUMNS($AC$1006:AL1006),$AC$1006:$AS$1006,0)), HYPERLINK("#",""), HYPERLINK(CONCATENATE("#metadata!", ADDRESS(INDEX($X$2:$X$1001,MATCH(ROWS($V$2:V772),$V$2:$V$1001,0),0), INDEX($AC$1004:$AS$1004,1,MATCH(COLUMNS($AC$1006:AL1006),$AC$1006:$AS$1006,0)))),"Fix")))</f>
        <v xml:space="preserve"> </v>
      </c>
      <c r="L772" s="4" t="str">
        <f ca="1">IF(OR(INDEX($W$2:$W$1001,MATCH(ROWS($V$2:V772),$V$2:$V$1001,0),1)&gt;=100000,INDEX($AC$1005:$AS$1005,1,MATCH(COLUMNS($AC$1006:AM1006),$AC$1006:$AS$1006,0))&gt;=100000), " ",IF(INDEX($AC$2:$AS$1001,MATCH(ROWS($V$2:V772),$V$2:$V$1001,0),MATCH(COLUMNS($AC$1006:AM1006),$AC$1006:$AS$1006,0)), HYPERLINK("#",""), HYPERLINK(CONCATENATE("#metadata!", ADDRESS(INDEX($X$2:$X$1001,MATCH(ROWS($V$2:V772),$V$2:$V$1001,0),0), INDEX($AC$1004:$AS$1004,1,MATCH(COLUMNS($AC$1006:AM1006),$AC$1006:$AS$1006,0)))),"Fix")))</f>
        <v xml:space="preserve"> </v>
      </c>
      <c r="M772" s="4" t="str">
        <f ca="1">IF(OR(INDEX($W$2:$W$1001,MATCH(ROWS($V$2:V772),$V$2:$V$1001,0),1)&gt;=100000,INDEX($AC$1005:$AS$1005,1,MATCH(COLUMNS($AC$1006:AN1006),$AC$1006:$AS$1006,0))&gt;=100000), " ",IF(INDEX($AC$2:$AS$1001,MATCH(ROWS($V$2:V772),$V$2:$V$1001,0),MATCH(COLUMNS($AC$1006:AN1006),$AC$1006:$AS$1006,0)), HYPERLINK("#",""), HYPERLINK(CONCATENATE("#metadata!", ADDRESS(INDEX($X$2:$X$1001,MATCH(ROWS($V$2:V772),$V$2:$V$1001,0),0), INDEX($AC$1004:$AS$1004,1,MATCH(COLUMNS($AC$1006:AN1006),$AC$1006:$AS$1006,0)))),"Fix")))</f>
        <v xml:space="preserve"> </v>
      </c>
      <c r="N772" s="4" t="str">
        <f ca="1">IF(OR(INDEX($W$2:$W$1001,MATCH(ROWS($V$2:V772),$V$2:$V$1001,0),1)&gt;=100000,INDEX($AC$1005:$AS$1005,1,MATCH(COLUMNS($AC$1006:AO1006),$AC$1006:$AS$1006,0))&gt;=100000), " ",IF(INDEX($AC$2:$AS$1001,MATCH(ROWS($V$2:V772),$V$2:$V$1001,0),MATCH(COLUMNS($AC$1006:AO1006),$AC$1006:$AS$1006,0)), HYPERLINK("#",""), HYPERLINK(CONCATENATE("#metadata!", ADDRESS(INDEX($X$2:$X$1001,MATCH(ROWS($V$2:V772),$V$2:$V$1001,0),0), INDEX($AC$1004:$AS$1004,1,MATCH(COLUMNS($AC$1006:AO1006),$AC$1006:$AS$1006,0)))),"Fix")))</f>
        <v xml:space="preserve"> </v>
      </c>
      <c r="O772" s="4" t="str">
        <f ca="1">IF(OR(INDEX($W$2:$W$1001,MATCH(ROWS($V$2:V772),$V$2:$V$1001,0),1)&gt;=100000,INDEX($AC$1005:$AS$1005,1,MATCH(COLUMNS($AC$1006:AP1006),$AC$1006:$AS$1006,0))&gt;=100000), " ",IF(INDEX($AC$2:$AS$1001,MATCH(ROWS($V$2:V772),$V$2:$V$1001,0),MATCH(COLUMNS($AC$1006:AP1006),$AC$1006:$AS$1006,0)), HYPERLINK("#",""), HYPERLINK(CONCATENATE("#metadata!", ADDRESS(INDEX($X$2:$X$1001,MATCH(ROWS($V$2:V772),$V$2:$V$1001,0),0), INDEX($AC$1004:$AS$1004,1,MATCH(COLUMNS($AC$1006:AP1006),$AC$1006:$AS$1006,0)))),"Fix")))</f>
        <v xml:space="preserve"> </v>
      </c>
      <c r="P772" s="4" t="str">
        <f ca="1">IF(OR(INDEX($W$2:$W$1001,MATCH(ROWS($V$2:V772),$V$2:$V$1001,0),1)&gt;=100000,INDEX($AC$1005:$AS$1005,1,MATCH(COLUMNS($AC$1006:AQ1006),$AC$1006:$AS$1006,0))&gt;=100000), " ",IF(INDEX($AC$2:$AS$1001,MATCH(ROWS($V$2:V772),$V$2:$V$1001,0),MATCH(COLUMNS($AC$1006:AQ1006),$AC$1006:$AS$1006,0)), HYPERLINK("#",""), HYPERLINK(CONCATENATE("#metadata!", ADDRESS(INDEX($X$2:$X$1001,MATCH(ROWS($V$2:V772),$V$2:$V$1001,0),0), INDEX($AC$1004:$AS$1004,1,MATCH(COLUMNS($AC$1006:AQ1006),$AC$1006:$AS$1006,0)))),"Fix")))</f>
        <v xml:space="preserve"> </v>
      </c>
      <c r="Q772" s="4" t="str">
        <f ca="1">IF(OR(INDEX($W$2:$W$1001,MATCH(ROWS($V$2:V772),$V$2:$V$1001,0),1)&gt;=100000,INDEX($AC$1005:$AS$1005,1,MATCH(COLUMNS($AC$1006:AR1006),$AC$1006:$AS$1006,0))&gt;=100000), " ",IF(INDEX($AC$2:$AS$1001,MATCH(ROWS($V$2:V772),$V$2:$V$1001,0),MATCH(COLUMNS($AC$1006:AR1006),$AC$1006:$AS$1006,0)), HYPERLINK("#",""), HYPERLINK(CONCATENATE("#metadata!", ADDRESS(INDEX($X$2:$X$1001,MATCH(ROWS($V$2:V772),$V$2:$V$1001,0),0), INDEX($AC$1004:$AS$1004,1,MATCH(COLUMNS($AC$1006:AR1006),$AC$1006:$AS$1006,0)))),"Fix")))</f>
        <v xml:space="preserve"> </v>
      </c>
      <c r="R772" s="4" t="str">
        <f ca="1">IF(OR(INDEX($W$2:$W$1001,MATCH(ROWS($V$2:V772),$V$2:$V$1001,0),1)&gt;=100000,INDEX($AC$1005:$AS$1005,1,MATCH(COLUMNS($AC$1006:AS1006),$AC$1006:$AS$1006,0))&gt;=100000), " ",IF(INDEX($AC$2:$AS$1001,MATCH(ROWS($V$2:V772),$V$2:$V$1001,0),MATCH(COLUMNS($AC$1006:AS1006),$AC$1006:$AS$1006,0)), HYPERLINK("#",""), HYPERLINK(CONCATENATE("#metadata!", ADDRESS(INDEX($X$2:$X$1001,MATCH(ROWS($V$2:V772),$V$2:$V$1001,0),0), INDEX($AC$1004:$AS$1004,1,MATCH(COLUMNS($AC$1006:AS1006),$AC$1006:$AS$1006,0)))),"Fix")))</f>
        <v xml:space="preserve"> </v>
      </c>
      <c r="V772">
        <v>771</v>
      </c>
      <c r="W772">
        <v>100772</v>
      </c>
      <c r="X772">
        <v>772</v>
      </c>
      <c r="Y772" t="b">
        <f t="shared" si="12"/>
        <v>1</v>
      </c>
      <c r="Z772" t="b">
        <f>COUNTBLANK(metadata!B772:R772)=COLUMNS(metadata!B772:R772)</f>
        <v>1</v>
      </c>
      <c r="AA772" t="str">
        <v/>
      </c>
      <c r="AC772" t="b">
        <f ca="1"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AD772" t="b">
        <f>IF(metadata!C772="",FALSE,ISNUMBER(VALUE(metadata!C772)))</f>
        <v>0</v>
      </c>
      <c r="AE772" t="b">
        <f>AND(IF(metadata!D772="",FALSE,TRUE),EXACT(metadata!D772,"years"))</f>
        <v>0</v>
      </c>
      <c r="AF772" t="b">
        <f>OR(AND(IF(metadata!E772="",FALSE,TRUE),OR(EXACT(metadata!E772,"not applicable"),EXACT(metadata!E772,"missing: not collected"),EXACT(metadata!E772,"missing: not provided"),EXACT(metadata!E772,"missing: restricted access"))),AND(IF(metadata!E772="",FALSE,ISNUMBER(VALUE(metadata!E772))),metadata!E772&gt;0))</f>
        <v>0</v>
      </c>
      <c r="AG772" t="b">
        <f>AND(IF(metadata!F772="",FALSE,TRUE),EXACT(metadata!F772,"Not applicable"))</f>
        <v>0</v>
      </c>
      <c r="AH772" t="b">
        <f>AND(IF(metadata!G772="",FALSE,TRUE),EXACT(metadata!G772,"urban biome"))</f>
        <v>0</v>
      </c>
      <c r="AI772" t="b">
        <f>AND(IF(metadata!H772="",FALSE,TRUE),EXACT(metadata!H772,"human-associated habitat"))</f>
        <v>0</v>
      </c>
      <c r="AJ772" t="b">
        <f>AND(IF(metadata!I772="",FALSE,TRUE),OR(EXACT(metadata!I772,"human-associated"),EXACT(metadata!I772,"human-skin"),EXACT(metadata!I772,"human-oral"),EXACT(metadata!I772,"human-gut"),EXACT(metadata!I772,"human-vaginal")))</f>
        <v>0</v>
      </c>
      <c r="AK772" t="b">
        <f>IF(metadata!J772="",FALSE,ISNUMBER(VALUE(metadata!J772)))</f>
        <v>0</v>
      </c>
      <c r="AL772" t="b">
        <f>AND(IF(metadata!K772="",FALSE,TRUE),EXACT(metadata!K772,"cm"))</f>
        <v>0</v>
      </c>
      <c r="AM772" t="b">
        <f>AND(IF(metadata!L772="",FALSE,TRUE),EXACT(metadata!L772,"human"))</f>
        <v>0</v>
      </c>
      <c r="AN772" t="b">
        <f>AND(IF(metadata!M772="",FALSE,TRUE),EXACT(metadata!M772,"Homo sapiens"))</f>
        <v>0</v>
      </c>
      <c r="AO772" t="b">
        <f>AND(IF(metadata!N772="",FALSE,TRUE),EXACT(metadata!N772,"9606"))</f>
        <v>0</v>
      </c>
      <c r="AP772" t="b">
        <f>IF(metadata!O772="",FALSE,TRUE)</f>
        <v>0</v>
      </c>
      <c r="AQ772" t="b">
        <f>IF(metadata!P772="",FALSE,TRUE)</f>
        <v>0</v>
      </c>
      <c r="AR772" t="b">
        <f>IF(metadata!Q772="",FALSE,ISNUMBER(VALUE(metadata!Q772)))</f>
        <v>0</v>
      </c>
      <c r="AS772" t="b">
        <f>AND(IF(metadata!R772="",FALSE,TRUE),EXACT(metadata!R772,"kg"))</f>
        <v>0</v>
      </c>
    </row>
    <row r="773" spans="1:45" x14ac:dyDescent="0.2">
      <c r="A773" s="5" t="str">
        <f ca="1">IF(B773=" "," ",HYPERLINK(CONCATENATE("#metadata!",ADDRESS(INDEX($X$2:$X$1001,MATCH(ROWS($V$2:V773),$V$2:$V$1001,0),0),1)),INDEX($AA$2:$AA$1001,MATCH(ROWS($V$2:V773),$V$2:$V$1001,0),0)))</f>
        <v xml:space="preserve"> </v>
      </c>
      <c r="B773" s="4" t="str">
        <f ca="1">IF(OR(INDEX($W$2:$W$1001,MATCH(ROWS($V$2:V773),$V$2:$V$1001,0),1)&gt;=100000,INDEX($AC$1005:$AS$1005,1,MATCH(COLUMNS($AC$1006:AC1006),$AC$1006:$AS$1006,0))&gt;=100000), " ",IF(INDEX($AC$2:$AS$1001,MATCH(ROWS($V$2:V773),$V$2:$V$1001,0),MATCH(COLUMNS($AC$1006:AC1006),$AC$1006:$AS$1006,0)), HYPERLINK("#",""), HYPERLINK(CONCATENATE("#metadata!", ADDRESS(INDEX($X$2:$X$1001,MATCH(ROWS($V$2:V773),$V$2:$V$1001,0),0), INDEX($AC$1004:$AS$1004,1,MATCH(COLUMNS($AC$1006:AC1006),$AC$1006:$AS$1006,0)))),"Fix")))</f>
        <v xml:space="preserve"> </v>
      </c>
      <c r="C773" s="4" t="str">
        <f ca="1">IF(OR(INDEX($W$2:$W$1001,MATCH(ROWS($V$2:V773),$V$2:$V$1001,0),1)&gt;=100000,INDEX($AC$1005:$AS$1005,1,MATCH(COLUMNS($AC$1006:AD1006),$AC$1006:$AS$1006,0))&gt;=100000), " ",IF(INDEX($AC$2:$AS$1001,MATCH(ROWS($V$2:V773),$V$2:$V$1001,0),MATCH(COLUMNS($AC$1006:AD1006),$AC$1006:$AS$1006,0)), HYPERLINK("#",""), HYPERLINK(CONCATENATE("#metadata!", ADDRESS(INDEX($X$2:$X$1001,MATCH(ROWS($V$2:V773),$V$2:$V$1001,0),0), INDEX($AC$1004:$AS$1004,1,MATCH(COLUMNS($AC$1006:AD1006),$AC$1006:$AS$1006,0)))),"Fix")))</f>
        <v xml:space="preserve"> </v>
      </c>
      <c r="D773" s="4" t="str">
        <f ca="1">IF(OR(INDEX($W$2:$W$1001,MATCH(ROWS($V$2:V773),$V$2:$V$1001,0),1)&gt;=100000,INDEX($AC$1005:$AS$1005,1,MATCH(COLUMNS($AC$1006:AE1006),$AC$1006:$AS$1006,0))&gt;=100000), " ",IF(INDEX($AC$2:$AS$1001,MATCH(ROWS($V$2:V773),$V$2:$V$1001,0),MATCH(COLUMNS($AC$1006:AE1006),$AC$1006:$AS$1006,0)), HYPERLINK("#",""), HYPERLINK(CONCATENATE("#metadata!", ADDRESS(INDEX($X$2:$X$1001,MATCH(ROWS($V$2:V773),$V$2:$V$1001,0),0), INDEX($AC$1004:$AS$1004,1,MATCH(COLUMNS($AC$1006:AE1006),$AC$1006:$AS$1006,0)))),"Fix")))</f>
        <v xml:space="preserve"> </v>
      </c>
      <c r="E773" s="4" t="str">
        <f ca="1">IF(OR(INDEX($W$2:$W$1001,MATCH(ROWS($V$2:V773),$V$2:$V$1001,0),1)&gt;=100000,INDEX($AC$1005:$AS$1005,1,MATCH(COLUMNS($AC$1006:AF1006),$AC$1006:$AS$1006,0))&gt;=100000), " ",IF(INDEX($AC$2:$AS$1001,MATCH(ROWS($V$2:V773),$V$2:$V$1001,0),MATCH(COLUMNS($AC$1006:AF1006),$AC$1006:$AS$1006,0)), HYPERLINK("#",""), HYPERLINK(CONCATENATE("#metadata!", ADDRESS(INDEX($X$2:$X$1001,MATCH(ROWS($V$2:V773),$V$2:$V$1001,0),0), INDEX($AC$1004:$AS$1004,1,MATCH(COLUMNS($AC$1006:AF1006),$AC$1006:$AS$1006,0)))),"Fix")))</f>
        <v xml:space="preserve"> </v>
      </c>
      <c r="F773" s="4" t="str">
        <f ca="1">IF(OR(INDEX($W$2:$W$1001,MATCH(ROWS($V$2:V773),$V$2:$V$1001,0),1)&gt;=100000,INDEX($AC$1005:$AS$1005,1,MATCH(COLUMNS($AC$1006:AG1006),$AC$1006:$AS$1006,0))&gt;=100000), " ",IF(INDEX($AC$2:$AS$1001,MATCH(ROWS($V$2:V773),$V$2:$V$1001,0),MATCH(COLUMNS($AC$1006:AG1006),$AC$1006:$AS$1006,0)), HYPERLINK("#",""), HYPERLINK(CONCATENATE("#metadata!", ADDRESS(INDEX($X$2:$X$1001,MATCH(ROWS($V$2:V773),$V$2:$V$1001,0),0), INDEX($AC$1004:$AS$1004,1,MATCH(COLUMNS($AC$1006:AG1006),$AC$1006:$AS$1006,0)))),"Fix")))</f>
        <v xml:space="preserve"> </v>
      </c>
      <c r="G773" s="4" t="str">
        <f ca="1">IF(OR(INDEX($W$2:$W$1001,MATCH(ROWS($V$2:V773),$V$2:$V$1001,0),1)&gt;=100000,INDEX($AC$1005:$AS$1005,1,MATCH(COLUMNS($AC$1006:AH1006),$AC$1006:$AS$1006,0))&gt;=100000), " ",IF(INDEX($AC$2:$AS$1001,MATCH(ROWS($V$2:V773),$V$2:$V$1001,0),MATCH(COLUMNS($AC$1006:AH1006),$AC$1006:$AS$1006,0)), HYPERLINK("#",""), HYPERLINK(CONCATENATE("#metadata!", ADDRESS(INDEX($X$2:$X$1001,MATCH(ROWS($V$2:V773),$V$2:$V$1001,0),0), INDEX($AC$1004:$AS$1004,1,MATCH(COLUMNS($AC$1006:AH1006),$AC$1006:$AS$1006,0)))),"Fix")))</f>
        <v xml:space="preserve"> </v>
      </c>
      <c r="H773" s="4" t="str">
        <f ca="1">IF(OR(INDEX($W$2:$W$1001,MATCH(ROWS($V$2:V773),$V$2:$V$1001,0),1)&gt;=100000,INDEX($AC$1005:$AS$1005,1,MATCH(COLUMNS($AC$1006:AI1006),$AC$1006:$AS$1006,0))&gt;=100000), " ",IF(INDEX($AC$2:$AS$1001,MATCH(ROWS($V$2:V773),$V$2:$V$1001,0),MATCH(COLUMNS($AC$1006:AI1006),$AC$1006:$AS$1006,0)), HYPERLINK("#",""), HYPERLINK(CONCATENATE("#metadata!", ADDRESS(INDEX($X$2:$X$1001,MATCH(ROWS($V$2:V773),$V$2:$V$1001,0),0), INDEX($AC$1004:$AS$1004,1,MATCH(COLUMNS($AC$1006:AI1006),$AC$1006:$AS$1006,0)))),"Fix")))</f>
        <v xml:space="preserve"> </v>
      </c>
      <c r="I773" s="4" t="str">
        <f ca="1">IF(OR(INDEX($W$2:$W$1001,MATCH(ROWS($V$2:V773),$V$2:$V$1001,0),1)&gt;=100000,INDEX($AC$1005:$AS$1005,1,MATCH(COLUMNS($AC$1006:AJ1006),$AC$1006:$AS$1006,0))&gt;=100000), " ",IF(INDEX($AC$2:$AS$1001,MATCH(ROWS($V$2:V773),$V$2:$V$1001,0),MATCH(COLUMNS($AC$1006:AJ1006),$AC$1006:$AS$1006,0)), HYPERLINK("#",""), HYPERLINK(CONCATENATE("#metadata!", ADDRESS(INDEX($X$2:$X$1001,MATCH(ROWS($V$2:V773),$V$2:$V$1001,0),0), INDEX($AC$1004:$AS$1004,1,MATCH(COLUMNS($AC$1006:AJ1006),$AC$1006:$AS$1006,0)))),"Fix")))</f>
        <v xml:space="preserve"> </v>
      </c>
      <c r="J773" s="4" t="str">
        <f ca="1">IF(OR(INDEX($W$2:$W$1001,MATCH(ROWS($V$2:V773),$V$2:$V$1001,0),1)&gt;=100000,INDEX($AC$1005:$AS$1005,1,MATCH(COLUMNS($AC$1006:AK1006),$AC$1006:$AS$1006,0))&gt;=100000), " ",IF(INDEX($AC$2:$AS$1001,MATCH(ROWS($V$2:V773),$V$2:$V$1001,0),MATCH(COLUMNS($AC$1006:AK1006),$AC$1006:$AS$1006,0)), HYPERLINK("#",""), HYPERLINK(CONCATENATE("#metadata!", ADDRESS(INDEX($X$2:$X$1001,MATCH(ROWS($V$2:V773),$V$2:$V$1001,0),0), INDEX($AC$1004:$AS$1004,1,MATCH(COLUMNS($AC$1006:AK1006),$AC$1006:$AS$1006,0)))),"Fix")))</f>
        <v xml:space="preserve"> </v>
      </c>
      <c r="K773" s="4" t="str">
        <f ca="1">IF(OR(INDEX($W$2:$W$1001,MATCH(ROWS($V$2:V773),$V$2:$V$1001,0),1)&gt;=100000,INDEX($AC$1005:$AS$1005,1,MATCH(COLUMNS($AC$1006:AL1006),$AC$1006:$AS$1006,0))&gt;=100000), " ",IF(INDEX($AC$2:$AS$1001,MATCH(ROWS($V$2:V773),$V$2:$V$1001,0),MATCH(COLUMNS($AC$1006:AL1006),$AC$1006:$AS$1006,0)), HYPERLINK("#",""), HYPERLINK(CONCATENATE("#metadata!", ADDRESS(INDEX($X$2:$X$1001,MATCH(ROWS($V$2:V773),$V$2:$V$1001,0),0), INDEX($AC$1004:$AS$1004,1,MATCH(COLUMNS($AC$1006:AL1006),$AC$1006:$AS$1006,0)))),"Fix")))</f>
        <v xml:space="preserve"> </v>
      </c>
      <c r="L773" s="4" t="str">
        <f ca="1">IF(OR(INDEX($W$2:$W$1001,MATCH(ROWS($V$2:V773),$V$2:$V$1001,0),1)&gt;=100000,INDEX($AC$1005:$AS$1005,1,MATCH(COLUMNS($AC$1006:AM1006),$AC$1006:$AS$1006,0))&gt;=100000), " ",IF(INDEX($AC$2:$AS$1001,MATCH(ROWS($V$2:V773),$V$2:$V$1001,0),MATCH(COLUMNS($AC$1006:AM1006),$AC$1006:$AS$1006,0)), HYPERLINK("#",""), HYPERLINK(CONCATENATE("#metadata!", ADDRESS(INDEX($X$2:$X$1001,MATCH(ROWS($V$2:V773),$V$2:$V$1001,0),0), INDEX($AC$1004:$AS$1004,1,MATCH(COLUMNS($AC$1006:AM1006),$AC$1006:$AS$1006,0)))),"Fix")))</f>
        <v xml:space="preserve"> </v>
      </c>
      <c r="M773" s="4" t="str">
        <f ca="1">IF(OR(INDEX($W$2:$W$1001,MATCH(ROWS($V$2:V773),$V$2:$V$1001,0),1)&gt;=100000,INDEX($AC$1005:$AS$1005,1,MATCH(COLUMNS($AC$1006:AN1006),$AC$1006:$AS$1006,0))&gt;=100000), " ",IF(INDEX($AC$2:$AS$1001,MATCH(ROWS($V$2:V773),$V$2:$V$1001,0),MATCH(COLUMNS($AC$1006:AN1006),$AC$1006:$AS$1006,0)), HYPERLINK("#",""), HYPERLINK(CONCATENATE("#metadata!", ADDRESS(INDEX($X$2:$X$1001,MATCH(ROWS($V$2:V773),$V$2:$V$1001,0),0), INDEX($AC$1004:$AS$1004,1,MATCH(COLUMNS($AC$1006:AN1006),$AC$1006:$AS$1006,0)))),"Fix")))</f>
        <v xml:space="preserve"> </v>
      </c>
      <c r="N773" s="4" t="str">
        <f ca="1">IF(OR(INDEX($W$2:$W$1001,MATCH(ROWS($V$2:V773),$V$2:$V$1001,0),1)&gt;=100000,INDEX($AC$1005:$AS$1005,1,MATCH(COLUMNS($AC$1006:AO1006),$AC$1006:$AS$1006,0))&gt;=100000), " ",IF(INDEX($AC$2:$AS$1001,MATCH(ROWS($V$2:V773),$V$2:$V$1001,0),MATCH(COLUMNS($AC$1006:AO1006),$AC$1006:$AS$1006,0)), HYPERLINK("#",""), HYPERLINK(CONCATENATE("#metadata!", ADDRESS(INDEX($X$2:$X$1001,MATCH(ROWS($V$2:V773),$V$2:$V$1001,0),0), INDEX($AC$1004:$AS$1004,1,MATCH(COLUMNS($AC$1006:AO1006),$AC$1006:$AS$1006,0)))),"Fix")))</f>
        <v xml:space="preserve"> </v>
      </c>
      <c r="O773" s="4" t="str">
        <f ca="1">IF(OR(INDEX($W$2:$W$1001,MATCH(ROWS($V$2:V773),$V$2:$V$1001,0),1)&gt;=100000,INDEX($AC$1005:$AS$1005,1,MATCH(COLUMNS($AC$1006:AP1006),$AC$1006:$AS$1006,0))&gt;=100000), " ",IF(INDEX($AC$2:$AS$1001,MATCH(ROWS($V$2:V773),$V$2:$V$1001,0),MATCH(COLUMNS($AC$1006:AP1006),$AC$1006:$AS$1006,0)), HYPERLINK("#",""), HYPERLINK(CONCATENATE("#metadata!", ADDRESS(INDEX($X$2:$X$1001,MATCH(ROWS($V$2:V773),$V$2:$V$1001,0),0), INDEX($AC$1004:$AS$1004,1,MATCH(COLUMNS($AC$1006:AP1006),$AC$1006:$AS$1006,0)))),"Fix")))</f>
        <v xml:space="preserve"> </v>
      </c>
      <c r="P773" s="4" t="str">
        <f ca="1">IF(OR(INDEX($W$2:$W$1001,MATCH(ROWS($V$2:V773),$V$2:$V$1001,0),1)&gt;=100000,INDEX($AC$1005:$AS$1005,1,MATCH(COLUMNS($AC$1006:AQ1006),$AC$1006:$AS$1006,0))&gt;=100000), " ",IF(INDEX($AC$2:$AS$1001,MATCH(ROWS($V$2:V773),$V$2:$V$1001,0),MATCH(COLUMNS($AC$1006:AQ1006),$AC$1006:$AS$1006,0)), HYPERLINK("#",""), HYPERLINK(CONCATENATE("#metadata!", ADDRESS(INDEX($X$2:$X$1001,MATCH(ROWS($V$2:V773),$V$2:$V$1001,0),0), INDEX($AC$1004:$AS$1004,1,MATCH(COLUMNS($AC$1006:AQ1006),$AC$1006:$AS$1006,0)))),"Fix")))</f>
        <v xml:space="preserve"> </v>
      </c>
      <c r="Q773" s="4" t="str">
        <f ca="1">IF(OR(INDEX($W$2:$W$1001,MATCH(ROWS($V$2:V773),$V$2:$V$1001,0),1)&gt;=100000,INDEX($AC$1005:$AS$1005,1,MATCH(COLUMNS($AC$1006:AR1006),$AC$1006:$AS$1006,0))&gt;=100000), " ",IF(INDEX($AC$2:$AS$1001,MATCH(ROWS($V$2:V773),$V$2:$V$1001,0),MATCH(COLUMNS($AC$1006:AR1006),$AC$1006:$AS$1006,0)), HYPERLINK("#",""), HYPERLINK(CONCATENATE("#metadata!", ADDRESS(INDEX($X$2:$X$1001,MATCH(ROWS($V$2:V773),$V$2:$V$1001,0),0), INDEX($AC$1004:$AS$1004,1,MATCH(COLUMNS($AC$1006:AR1006),$AC$1006:$AS$1006,0)))),"Fix")))</f>
        <v xml:space="preserve"> </v>
      </c>
      <c r="R773" s="4" t="str">
        <f ca="1">IF(OR(INDEX($W$2:$W$1001,MATCH(ROWS($V$2:V773),$V$2:$V$1001,0),1)&gt;=100000,INDEX($AC$1005:$AS$1005,1,MATCH(COLUMNS($AC$1006:AS1006),$AC$1006:$AS$1006,0))&gt;=100000), " ",IF(INDEX($AC$2:$AS$1001,MATCH(ROWS($V$2:V773),$V$2:$V$1001,0),MATCH(COLUMNS($AC$1006:AS1006),$AC$1006:$AS$1006,0)), HYPERLINK("#",""), HYPERLINK(CONCATENATE("#metadata!", ADDRESS(INDEX($X$2:$X$1001,MATCH(ROWS($V$2:V773),$V$2:$V$1001,0),0), INDEX($AC$1004:$AS$1004,1,MATCH(COLUMNS($AC$1006:AS1006),$AC$1006:$AS$1006,0)))),"Fix")))</f>
        <v xml:space="preserve"> </v>
      </c>
      <c r="V773">
        <v>772</v>
      </c>
      <c r="W773">
        <v>100773</v>
      </c>
      <c r="X773">
        <v>773</v>
      </c>
      <c r="Y773" t="b">
        <f t="shared" si="12"/>
        <v>1</v>
      </c>
      <c r="Z773" t="b">
        <f>COUNTBLANK(metadata!B773:R773)=COLUMNS(metadata!B773:R773)</f>
        <v>1</v>
      </c>
      <c r="AA773" t="str">
        <v/>
      </c>
      <c r="AC773" t="b">
        <f ca="1"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AD773" t="b">
        <f>IF(metadata!C773="",FALSE,ISNUMBER(VALUE(metadata!C773)))</f>
        <v>0</v>
      </c>
      <c r="AE773" t="b">
        <f>AND(IF(metadata!D773="",FALSE,TRUE),EXACT(metadata!D773,"years"))</f>
        <v>0</v>
      </c>
      <c r="AF773" t="b">
        <f>OR(AND(IF(metadata!E773="",FALSE,TRUE),OR(EXACT(metadata!E773,"not applicable"),EXACT(metadata!E773,"missing: not collected"),EXACT(metadata!E773,"missing: not provided"),EXACT(metadata!E773,"missing: restricted access"))),AND(IF(metadata!E773="",FALSE,ISNUMBER(VALUE(metadata!E773))),metadata!E773&gt;0))</f>
        <v>0</v>
      </c>
      <c r="AG773" t="b">
        <f>AND(IF(metadata!F773="",FALSE,TRUE),EXACT(metadata!F773,"Not applicable"))</f>
        <v>0</v>
      </c>
      <c r="AH773" t="b">
        <f>AND(IF(metadata!G773="",FALSE,TRUE),EXACT(metadata!G773,"urban biome"))</f>
        <v>0</v>
      </c>
      <c r="AI773" t="b">
        <f>AND(IF(metadata!H773="",FALSE,TRUE),EXACT(metadata!H773,"human-associated habitat"))</f>
        <v>0</v>
      </c>
      <c r="AJ773" t="b">
        <f>AND(IF(metadata!I773="",FALSE,TRUE),OR(EXACT(metadata!I773,"human-associated"),EXACT(metadata!I773,"human-skin"),EXACT(metadata!I773,"human-oral"),EXACT(metadata!I773,"human-gut"),EXACT(metadata!I773,"human-vaginal")))</f>
        <v>0</v>
      </c>
      <c r="AK773" t="b">
        <f>IF(metadata!J773="",FALSE,ISNUMBER(VALUE(metadata!J773)))</f>
        <v>0</v>
      </c>
      <c r="AL773" t="b">
        <f>AND(IF(metadata!K773="",FALSE,TRUE),EXACT(metadata!K773,"cm"))</f>
        <v>0</v>
      </c>
      <c r="AM773" t="b">
        <f>AND(IF(metadata!L773="",FALSE,TRUE),EXACT(metadata!L773,"human"))</f>
        <v>0</v>
      </c>
      <c r="AN773" t="b">
        <f>AND(IF(metadata!M773="",FALSE,TRUE),EXACT(metadata!M773,"Homo sapiens"))</f>
        <v>0</v>
      </c>
      <c r="AO773" t="b">
        <f>AND(IF(metadata!N773="",FALSE,TRUE),EXACT(metadata!N773,"9606"))</f>
        <v>0</v>
      </c>
      <c r="AP773" t="b">
        <f>IF(metadata!O773="",FALSE,TRUE)</f>
        <v>0</v>
      </c>
      <c r="AQ773" t="b">
        <f>IF(metadata!P773="",FALSE,TRUE)</f>
        <v>0</v>
      </c>
      <c r="AR773" t="b">
        <f>IF(metadata!Q773="",FALSE,ISNUMBER(VALUE(metadata!Q773)))</f>
        <v>0</v>
      </c>
      <c r="AS773" t="b">
        <f>AND(IF(metadata!R773="",FALSE,TRUE),EXACT(metadata!R773,"kg"))</f>
        <v>0</v>
      </c>
    </row>
    <row r="774" spans="1:45" x14ac:dyDescent="0.2">
      <c r="A774" s="5" t="str">
        <f ca="1">IF(B774=" "," ",HYPERLINK(CONCATENATE("#metadata!",ADDRESS(INDEX($X$2:$X$1001,MATCH(ROWS($V$2:V774),$V$2:$V$1001,0),0),1)),INDEX($AA$2:$AA$1001,MATCH(ROWS($V$2:V774),$V$2:$V$1001,0),0)))</f>
        <v xml:space="preserve"> </v>
      </c>
      <c r="B774" s="4" t="str">
        <f ca="1">IF(OR(INDEX($W$2:$W$1001,MATCH(ROWS($V$2:V774),$V$2:$V$1001,0),1)&gt;=100000,INDEX($AC$1005:$AS$1005,1,MATCH(COLUMNS($AC$1006:AC1006),$AC$1006:$AS$1006,0))&gt;=100000), " ",IF(INDEX($AC$2:$AS$1001,MATCH(ROWS($V$2:V774),$V$2:$V$1001,0),MATCH(COLUMNS($AC$1006:AC1006),$AC$1006:$AS$1006,0)), HYPERLINK("#",""), HYPERLINK(CONCATENATE("#metadata!", ADDRESS(INDEX($X$2:$X$1001,MATCH(ROWS($V$2:V774),$V$2:$V$1001,0),0), INDEX($AC$1004:$AS$1004,1,MATCH(COLUMNS($AC$1006:AC1006),$AC$1006:$AS$1006,0)))),"Fix")))</f>
        <v xml:space="preserve"> </v>
      </c>
      <c r="C774" s="4" t="str">
        <f ca="1">IF(OR(INDEX($W$2:$W$1001,MATCH(ROWS($V$2:V774),$V$2:$V$1001,0),1)&gt;=100000,INDEX($AC$1005:$AS$1005,1,MATCH(COLUMNS($AC$1006:AD1006),$AC$1006:$AS$1006,0))&gt;=100000), " ",IF(INDEX($AC$2:$AS$1001,MATCH(ROWS($V$2:V774),$V$2:$V$1001,0),MATCH(COLUMNS($AC$1006:AD1006),$AC$1006:$AS$1006,0)), HYPERLINK("#",""), HYPERLINK(CONCATENATE("#metadata!", ADDRESS(INDEX($X$2:$X$1001,MATCH(ROWS($V$2:V774),$V$2:$V$1001,0),0), INDEX($AC$1004:$AS$1004,1,MATCH(COLUMNS($AC$1006:AD1006),$AC$1006:$AS$1006,0)))),"Fix")))</f>
        <v xml:space="preserve"> </v>
      </c>
      <c r="D774" s="4" t="str">
        <f ca="1">IF(OR(INDEX($W$2:$W$1001,MATCH(ROWS($V$2:V774),$V$2:$V$1001,0),1)&gt;=100000,INDEX($AC$1005:$AS$1005,1,MATCH(COLUMNS($AC$1006:AE1006),$AC$1006:$AS$1006,0))&gt;=100000), " ",IF(INDEX($AC$2:$AS$1001,MATCH(ROWS($V$2:V774),$V$2:$V$1001,0),MATCH(COLUMNS($AC$1006:AE1006),$AC$1006:$AS$1006,0)), HYPERLINK("#",""), HYPERLINK(CONCATENATE("#metadata!", ADDRESS(INDEX($X$2:$X$1001,MATCH(ROWS($V$2:V774),$V$2:$V$1001,0),0), INDEX($AC$1004:$AS$1004,1,MATCH(COLUMNS($AC$1006:AE1006),$AC$1006:$AS$1006,0)))),"Fix")))</f>
        <v xml:space="preserve"> </v>
      </c>
      <c r="E774" s="4" t="str">
        <f ca="1">IF(OR(INDEX($W$2:$W$1001,MATCH(ROWS($V$2:V774),$V$2:$V$1001,0),1)&gt;=100000,INDEX($AC$1005:$AS$1005,1,MATCH(COLUMNS($AC$1006:AF1006),$AC$1006:$AS$1006,0))&gt;=100000), " ",IF(INDEX($AC$2:$AS$1001,MATCH(ROWS($V$2:V774),$V$2:$V$1001,0),MATCH(COLUMNS($AC$1006:AF1006),$AC$1006:$AS$1006,0)), HYPERLINK("#",""), HYPERLINK(CONCATENATE("#metadata!", ADDRESS(INDEX($X$2:$X$1001,MATCH(ROWS($V$2:V774),$V$2:$V$1001,0),0), INDEX($AC$1004:$AS$1004,1,MATCH(COLUMNS($AC$1006:AF1006),$AC$1006:$AS$1006,0)))),"Fix")))</f>
        <v xml:space="preserve"> </v>
      </c>
      <c r="F774" s="4" t="str">
        <f ca="1">IF(OR(INDEX($W$2:$W$1001,MATCH(ROWS($V$2:V774),$V$2:$V$1001,0),1)&gt;=100000,INDEX($AC$1005:$AS$1005,1,MATCH(COLUMNS($AC$1006:AG1006),$AC$1006:$AS$1006,0))&gt;=100000), " ",IF(INDEX($AC$2:$AS$1001,MATCH(ROWS($V$2:V774),$V$2:$V$1001,0),MATCH(COLUMNS($AC$1006:AG1006),$AC$1006:$AS$1006,0)), HYPERLINK("#",""), HYPERLINK(CONCATENATE("#metadata!", ADDRESS(INDEX($X$2:$X$1001,MATCH(ROWS($V$2:V774),$V$2:$V$1001,0),0), INDEX($AC$1004:$AS$1004,1,MATCH(COLUMNS($AC$1006:AG1006),$AC$1006:$AS$1006,0)))),"Fix")))</f>
        <v xml:space="preserve"> </v>
      </c>
      <c r="G774" s="4" t="str">
        <f ca="1">IF(OR(INDEX($W$2:$W$1001,MATCH(ROWS($V$2:V774),$V$2:$V$1001,0),1)&gt;=100000,INDEX($AC$1005:$AS$1005,1,MATCH(COLUMNS($AC$1006:AH1006),$AC$1006:$AS$1006,0))&gt;=100000), " ",IF(INDEX($AC$2:$AS$1001,MATCH(ROWS($V$2:V774),$V$2:$V$1001,0),MATCH(COLUMNS($AC$1006:AH1006),$AC$1006:$AS$1006,0)), HYPERLINK("#",""), HYPERLINK(CONCATENATE("#metadata!", ADDRESS(INDEX($X$2:$X$1001,MATCH(ROWS($V$2:V774),$V$2:$V$1001,0),0), INDEX($AC$1004:$AS$1004,1,MATCH(COLUMNS($AC$1006:AH1006),$AC$1006:$AS$1006,0)))),"Fix")))</f>
        <v xml:space="preserve"> </v>
      </c>
      <c r="H774" s="4" t="str">
        <f ca="1">IF(OR(INDEX($W$2:$W$1001,MATCH(ROWS($V$2:V774),$V$2:$V$1001,0),1)&gt;=100000,INDEX($AC$1005:$AS$1005,1,MATCH(COLUMNS($AC$1006:AI1006),$AC$1006:$AS$1006,0))&gt;=100000), " ",IF(INDEX($AC$2:$AS$1001,MATCH(ROWS($V$2:V774),$V$2:$V$1001,0),MATCH(COLUMNS($AC$1006:AI1006),$AC$1006:$AS$1006,0)), HYPERLINK("#",""), HYPERLINK(CONCATENATE("#metadata!", ADDRESS(INDEX($X$2:$X$1001,MATCH(ROWS($V$2:V774),$V$2:$V$1001,0),0), INDEX($AC$1004:$AS$1004,1,MATCH(COLUMNS($AC$1006:AI1006),$AC$1006:$AS$1006,0)))),"Fix")))</f>
        <v xml:space="preserve"> </v>
      </c>
      <c r="I774" s="4" t="str">
        <f ca="1">IF(OR(INDEX($W$2:$W$1001,MATCH(ROWS($V$2:V774),$V$2:$V$1001,0),1)&gt;=100000,INDEX($AC$1005:$AS$1005,1,MATCH(COLUMNS($AC$1006:AJ1006),$AC$1006:$AS$1006,0))&gt;=100000), " ",IF(INDEX($AC$2:$AS$1001,MATCH(ROWS($V$2:V774),$V$2:$V$1001,0),MATCH(COLUMNS($AC$1006:AJ1006),$AC$1006:$AS$1006,0)), HYPERLINK("#",""), HYPERLINK(CONCATENATE("#metadata!", ADDRESS(INDEX($X$2:$X$1001,MATCH(ROWS($V$2:V774),$V$2:$V$1001,0),0), INDEX($AC$1004:$AS$1004,1,MATCH(COLUMNS($AC$1006:AJ1006),$AC$1006:$AS$1006,0)))),"Fix")))</f>
        <v xml:space="preserve"> </v>
      </c>
      <c r="J774" s="4" t="str">
        <f ca="1">IF(OR(INDEX($W$2:$W$1001,MATCH(ROWS($V$2:V774),$V$2:$V$1001,0),1)&gt;=100000,INDEX($AC$1005:$AS$1005,1,MATCH(COLUMNS($AC$1006:AK1006),$AC$1006:$AS$1006,0))&gt;=100000), " ",IF(INDEX($AC$2:$AS$1001,MATCH(ROWS($V$2:V774),$V$2:$V$1001,0),MATCH(COLUMNS($AC$1006:AK1006),$AC$1006:$AS$1006,0)), HYPERLINK("#",""), HYPERLINK(CONCATENATE("#metadata!", ADDRESS(INDEX($X$2:$X$1001,MATCH(ROWS($V$2:V774),$V$2:$V$1001,0),0), INDEX($AC$1004:$AS$1004,1,MATCH(COLUMNS($AC$1006:AK1006),$AC$1006:$AS$1006,0)))),"Fix")))</f>
        <v xml:space="preserve"> </v>
      </c>
      <c r="K774" s="4" t="str">
        <f ca="1">IF(OR(INDEX($W$2:$W$1001,MATCH(ROWS($V$2:V774),$V$2:$V$1001,0),1)&gt;=100000,INDEX($AC$1005:$AS$1005,1,MATCH(COLUMNS($AC$1006:AL1006),$AC$1006:$AS$1006,0))&gt;=100000), " ",IF(INDEX($AC$2:$AS$1001,MATCH(ROWS($V$2:V774),$V$2:$V$1001,0),MATCH(COLUMNS($AC$1006:AL1006),$AC$1006:$AS$1006,0)), HYPERLINK("#",""), HYPERLINK(CONCATENATE("#metadata!", ADDRESS(INDEX($X$2:$X$1001,MATCH(ROWS($V$2:V774),$V$2:$V$1001,0),0), INDEX($AC$1004:$AS$1004,1,MATCH(COLUMNS($AC$1006:AL1006),$AC$1006:$AS$1006,0)))),"Fix")))</f>
        <v xml:space="preserve"> </v>
      </c>
      <c r="L774" s="4" t="str">
        <f ca="1">IF(OR(INDEX($W$2:$W$1001,MATCH(ROWS($V$2:V774),$V$2:$V$1001,0),1)&gt;=100000,INDEX($AC$1005:$AS$1005,1,MATCH(COLUMNS($AC$1006:AM1006),$AC$1006:$AS$1006,0))&gt;=100000), " ",IF(INDEX($AC$2:$AS$1001,MATCH(ROWS($V$2:V774),$V$2:$V$1001,0),MATCH(COLUMNS($AC$1006:AM1006),$AC$1006:$AS$1006,0)), HYPERLINK("#",""), HYPERLINK(CONCATENATE("#metadata!", ADDRESS(INDEX($X$2:$X$1001,MATCH(ROWS($V$2:V774),$V$2:$V$1001,0),0), INDEX($AC$1004:$AS$1004,1,MATCH(COLUMNS($AC$1006:AM1006),$AC$1006:$AS$1006,0)))),"Fix")))</f>
        <v xml:space="preserve"> </v>
      </c>
      <c r="M774" s="4" t="str">
        <f ca="1">IF(OR(INDEX($W$2:$W$1001,MATCH(ROWS($V$2:V774),$V$2:$V$1001,0),1)&gt;=100000,INDEX($AC$1005:$AS$1005,1,MATCH(COLUMNS($AC$1006:AN1006),$AC$1006:$AS$1006,0))&gt;=100000), " ",IF(INDEX($AC$2:$AS$1001,MATCH(ROWS($V$2:V774),$V$2:$V$1001,0),MATCH(COLUMNS($AC$1006:AN1006),$AC$1006:$AS$1006,0)), HYPERLINK("#",""), HYPERLINK(CONCATENATE("#metadata!", ADDRESS(INDEX($X$2:$X$1001,MATCH(ROWS($V$2:V774),$V$2:$V$1001,0),0), INDEX($AC$1004:$AS$1004,1,MATCH(COLUMNS($AC$1006:AN1006),$AC$1006:$AS$1006,0)))),"Fix")))</f>
        <v xml:space="preserve"> </v>
      </c>
      <c r="N774" s="4" t="str">
        <f ca="1">IF(OR(INDEX($W$2:$W$1001,MATCH(ROWS($V$2:V774),$V$2:$V$1001,0),1)&gt;=100000,INDEX($AC$1005:$AS$1005,1,MATCH(COLUMNS($AC$1006:AO1006),$AC$1006:$AS$1006,0))&gt;=100000), " ",IF(INDEX($AC$2:$AS$1001,MATCH(ROWS($V$2:V774),$V$2:$V$1001,0),MATCH(COLUMNS($AC$1006:AO1006),$AC$1006:$AS$1006,0)), HYPERLINK("#",""), HYPERLINK(CONCATENATE("#metadata!", ADDRESS(INDEX($X$2:$X$1001,MATCH(ROWS($V$2:V774),$V$2:$V$1001,0),0), INDEX($AC$1004:$AS$1004,1,MATCH(COLUMNS($AC$1006:AO1006),$AC$1006:$AS$1006,0)))),"Fix")))</f>
        <v xml:space="preserve"> </v>
      </c>
      <c r="O774" s="4" t="str">
        <f ca="1">IF(OR(INDEX($W$2:$W$1001,MATCH(ROWS($V$2:V774),$V$2:$V$1001,0),1)&gt;=100000,INDEX($AC$1005:$AS$1005,1,MATCH(COLUMNS($AC$1006:AP1006),$AC$1006:$AS$1006,0))&gt;=100000), " ",IF(INDEX($AC$2:$AS$1001,MATCH(ROWS($V$2:V774),$V$2:$V$1001,0),MATCH(COLUMNS($AC$1006:AP1006),$AC$1006:$AS$1006,0)), HYPERLINK("#",""), HYPERLINK(CONCATENATE("#metadata!", ADDRESS(INDEX($X$2:$X$1001,MATCH(ROWS($V$2:V774),$V$2:$V$1001,0),0), INDEX($AC$1004:$AS$1004,1,MATCH(COLUMNS($AC$1006:AP1006),$AC$1006:$AS$1006,0)))),"Fix")))</f>
        <v xml:space="preserve"> </v>
      </c>
      <c r="P774" s="4" t="str">
        <f ca="1">IF(OR(INDEX($W$2:$W$1001,MATCH(ROWS($V$2:V774),$V$2:$V$1001,0),1)&gt;=100000,INDEX($AC$1005:$AS$1005,1,MATCH(COLUMNS($AC$1006:AQ1006),$AC$1006:$AS$1006,0))&gt;=100000), " ",IF(INDEX($AC$2:$AS$1001,MATCH(ROWS($V$2:V774),$V$2:$V$1001,0),MATCH(COLUMNS($AC$1006:AQ1006),$AC$1006:$AS$1006,0)), HYPERLINK("#",""), HYPERLINK(CONCATENATE("#metadata!", ADDRESS(INDEX($X$2:$X$1001,MATCH(ROWS($V$2:V774),$V$2:$V$1001,0),0), INDEX($AC$1004:$AS$1004,1,MATCH(COLUMNS($AC$1006:AQ1006),$AC$1006:$AS$1006,0)))),"Fix")))</f>
        <v xml:space="preserve"> </v>
      </c>
      <c r="Q774" s="4" t="str">
        <f ca="1">IF(OR(INDEX($W$2:$W$1001,MATCH(ROWS($V$2:V774),$V$2:$V$1001,0),1)&gt;=100000,INDEX($AC$1005:$AS$1005,1,MATCH(COLUMNS($AC$1006:AR1006),$AC$1006:$AS$1006,0))&gt;=100000), " ",IF(INDEX($AC$2:$AS$1001,MATCH(ROWS($V$2:V774),$V$2:$V$1001,0),MATCH(COLUMNS($AC$1006:AR1006),$AC$1006:$AS$1006,0)), HYPERLINK("#",""), HYPERLINK(CONCATENATE("#metadata!", ADDRESS(INDEX($X$2:$X$1001,MATCH(ROWS($V$2:V774),$V$2:$V$1001,0),0), INDEX($AC$1004:$AS$1004,1,MATCH(COLUMNS($AC$1006:AR1006),$AC$1006:$AS$1006,0)))),"Fix")))</f>
        <v xml:space="preserve"> </v>
      </c>
      <c r="R774" s="4" t="str">
        <f ca="1">IF(OR(INDEX($W$2:$W$1001,MATCH(ROWS($V$2:V774),$V$2:$V$1001,0),1)&gt;=100000,INDEX($AC$1005:$AS$1005,1,MATCH(COLUMNS($AC$1006:AS1006),$AC$1006:$AS$1006,0))&gt;=100000), " ",IF(INDEX($AC$2:$AS$1001,MATCH(ROWS($V$2:V774),$V$2:$V$1001,0),MATCH(COLUMNS($AC$1006:AS1006),$AC$1006:$AS$1006,0)), HYPERLINK("#",""), HYPERLINK(CONCATENATE("#metadata!", ADDRESS(INDEX($X$2:$X$1001,MATCH(ROWS($V$2:V774),$V$2:$V$1001,0),0), INDEX($AC$1004:$AS$1004,1,MATCH(COLUMNS($AC$1006:AS1006),$AC$1006:$AS$1006,0)))),"Fix")))</f>
        <v xml:space="preserve"> </v>
      </c>
      <c r="V774">
        <v>773</v>
      </c>
      <c r="W774">
        <v>100774</v>
      </c>
      <c r="X774">
        <v>774</v>
      </c>
      <c r="Y774" t="b">
        <f t="shared" si="12"/>
        <v>1</v>
      </c>
      <c r="Z774" t="b">
        <f>COUNTBLANK(metadata!B774:R774)=COLUMNS(metadata!B774:R774)</f>
        <v>1</v>
      </c>
      <c r="AA774" t="str">
        <v/>
      </c>
      <c r="AC774" t="b">
        <f ca="1"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AD774" t="b">
        <f>IF(metadata!C774="",FALSE,ISNUMBER(VALUE(metadata!C774)))</f>
        <v>0</v>
      </c>
      <c r="AE774" t="b">
        <f>AND(IF(metadata!D774="",FALSE,TRUE),EXACT(metadata!D774,"years"))</f>
        <v>0</v>
      </c>
      <c r="AF774" t="b">
        <f>OR(AND(IF(metadata!E774="",FALSE,TRUE),OR(EXACT(metadata!E774,"not applicable"),EXACT(metadata!E774,"missing: not collected"),EXACT(metadata!E774,"missing: not provided"),EXACT(metadata!E774,"missing: restricted access"))),AND(IF(metadata!E774="",FALSE,ISNUMBER(VALUE(metadata!E774))),metadata!E774&gt;0))</f>
        <v>0</v>
      </c>
      <c r="AG774" t="b">
        <f>AND(IF(metadata!F774="",FALSE,TRUE),EXACT(metadata!F774,"Not applicable"))</f>
        <v>0</v>
      </c>
      <c r="AH774" t="b">
        <f>AND(IF(metadata!G774="",FALSE,TRUE),EXACT(metadata!G774,"urban biome"))</f>
        <v>0</v>
      </c>
      <c r="AI774" t="b">
        <f>AND(IF(metadata!H774="",FALSE,TRUE),EXACT(metadata!H774,"human-associated habitat"))</f>
        <v>0</v>
      </c>
      <c r="AJ774" t="b">
        <f>AND(IF(metadata!I774="",FALSE,TRUE),OR(EXACT(metadata!I774,"human-associated"),EXACT(metadata!I774,"human-skin"),EXACT(metadata!I774,"human-oral"),EXACT(metadata!I774,"human-gut"),EXACT(metadata!I774,"human-vaginal")))</f>
        <v>0</v>
      </c>
      <c r="AK774" t="b">
        <f>IF(metadata!J774="",FALSE,ISNUMBER(VALUE(metadata!J774)))</f>
        <v>0</v>
      </c>
      <c r="AL774" t="b">
        <f>AND(IF(metadata!K774="",FALSE,TRUE),EXACT(metadata!K774,"cm"))</f>
        <v>0</v>
      </c>
      <c r="AM774" t="b">
        <f>AND(IF(metadata!L774="",FALSE,TRUE),EXACT(metadata!L774,"human"))</f>
        <v>0</v>
      </c>
      <c r="AN774" t="b">
        <f>AND(IF(metadata!M774="",FALSE,TRUE),EXACT(metadata!M774,"Homo sapiens"))</f>
        <v>0</v>
      </c>
      <c r="AO774" t="b">
        <f>AND(IF(metadata!N774="",FALSE,TRUE),EXACT(metadata!N774,"9606"))</f>
        <v>0</v>
      </c>
      <c r="AP774" t="b">
        <f>IF(metadata!O774="",FALSE,TRUE)</f>
        <v>0</v>
      </c>
      <c r="AQ774" t="b">
        <f>IF(metadata!P774="",FALSE,TRUE)</f>
        <v>0</v>
      </c>
      <c r="AR774" t="b">
        <f>IF(metadata!Q774="",FALSE,ISNUMBER(VALUE(metadata!Q774)))</f>
        <v>0</v>
      </c>
      <c r="AS774" t="b">
        <f>AND(IF(metadata!R774="",FALSE,TRUE),EXACT(metadata!R774,"kg"))</f>
        <v>0</v>
      </c>
    </row>
    <row r="775" spans="1:45" x14ac:dyDescent="0.2">
      <c r="A775" s="5" t="str">
        <f ca="1">IF(B775=" "," ",HYPERLINK(CONCATENATE("#metadata!",ADDRESS(INDEX($X$2:$X$1001,MATCH(ROWS($V$2:V775),$V$2:$V$1001,0),0),1)),INDEX($AA$2:$AA$1001,MATCH(ROWS($V$2:V775),$V$2:$V$1001,0),0)))</f>
        <v xml:space="preserve"> </v>
      </c>
      <c r="B775" s="4" t="str">
        <f ca="1">IF(OR(INDEX($W$2:$W$1001,MATCH(ROWS($V$2:V775),$V$2:$V$1001,0),1)&gt;=100000,INDEX($AC$1005:$AS$1005,1,MATCH(COLUMNS($AC$1006:AC1006),$AC$1006:$AS$1006,0))&gt;=100000), " ",IF(INDEX($AC$2:$AS$1001,MATCH(ROWS($V$2:V775),$V$2:$V$1001,0),MATCH(COLUMNS($AC$1006:AC1006),$AC$1006:$AS$1006,0)), HYPERLINK("#",""), HYPERLINK(CONCATENATE("#metadata!", ADDRESS(INDEX($X$2:$X$1001,MATCH(ROWS($V$2:V775),$V$2:$V$1001,0),0), INDEX($AC$1004:$AS$1004,1,MATCH(COLUMNS($AC$1006:AC1006),$AC$1006:$AS$1006,0)))),"Fix")))</f>
        <v xml:space="preserve"> </v>
      </c>
      <c r="C775" s="4" t="str">
        <f ca="1">IF(OR(INDEX($W$2:$W$1001,MATCH(ROWS($V$2:V775),$V$2:$V$1001,0),1)&gt;=100000,INDEX($AC$1005:$AS$1005,1,MATCH(COLUMNS($AC$1006:AD1006),$AC$1006:$AS$1006,0))&gt;=100000), " ",IF(INDEX($AC$2:$AS$1001,MATCH(ROWS($V$2:V775),$V$2:$V$1001,0),MATCH(COLUMNS($AC$1006:AD1006),$AC$1006:$AS$1006,0)), HYPERLINK("#",""), HYPERLINK(CONCATENATE("#metadata!", ADDRESS(INDEX($X$2:$X$1001,MATCH(ROWS($V$2:V775),$V$2:$V$1001,0),0), INDEX($AC$1004:$AS$1004,1,MATCH(COLUMNS($AC$1006:AD1006),$AC$1006:$AS$1006,0)))),"Fix")))</f>
        <v xml:space="preserve"> </v>
      </c>
      <c r="D775" s="4" t="str">
        <f ca="1">IF(OR(INDEX($W$2:$W$1001,MATCH(ROWS($V$2:V775),$V$2:$V$1001,0),1)&gt;=100000,INDEX($AC$1005:$AS$1005,1,MATCH(COLUMNS($AC$1006:AE1006),$AC$1006:$AS$1006,0))&gt;=100000), " ",IF(INDEX($AC$2:$AS$1001,MATCH(ROWS($V$2:V775),$V$2:$V$1001,0),MATCH(COLUMNS($AC$1006:AE1006),$AC$1006:$AS$1006,0)), HYPERLINK("#",""), HYPERLINK(CONCATENATE("#metadata!", ADDRESS(INDEX($X$2:$X$1001,MATCH(ROWS($V$2:V775),$V$2:$V$1001,0),0), INDEX($AC$1004:$AS$1004,1,MATCH(COLUMNS($AC$1006:AE1006),$AC$1006:$AS$1006,0)))),"Fix")))</f>
        <v xml:space="preserve"> </v>
      </c>
      <c r="E775" s="4" t="str">
        <f ca="1">IF(OR(INDEX($W$2:$W$1001,MATCH(ROWS($V$2:V775),$V$2:$V$1001,0),1)&gt;=100000,INDEX($AC$1005:$AS$1005,1,MATCH(COLUMNS($AC$1006:AF1006),$AC$1006:$AS$1006,0))&gt;=100000), " ",IF(INDEX($AC$2:$AS$1001,MATCH(ROWS($V$2:V775),$V$2:$V$1001,0),MATCH(COLUMNS($AC$1006:AF1006),$AC$1006:$AS$1006,0)), HYPERLINK("#",""), HYPERLINK(CONCATENATE("#metadata!", ADDRESS(INDEX($X$2:$X$1001,MATCH(ROWS($V$2:V775),$V$2:$V$1001,0),0), INDEX($AC$1004:$AS$1004,1,MATCH(COLUMNS($AC$1006:AF1006),$AC$1006:$AS$1006,0)))),"Fix")))</f>
        <v xml:space="preserve"> </v>
      </c>
      <c r="F775" s="4" t="str">
        <f ca="1">IF(OR(INDEX($W$2:$W$1001,MATCH(ROWS($V$2:V775),$V$2:$V$1001,0),1)&gt;=100000,INDEX($AC$1005:$AS$1005,1,MATCH(COLUMNS($AC$1006:AG1006),$AC$1006:$AS$1006,0))&gt;=100000), " ",IF(INDEX($AC$2:$AS$1001,MATCH(ROWS($V$2:V775),$V$2:$V$1001,0),MATCH(COLUMNS($AC$1006:AG1006),$AC$1006:$AS$1006,0)), HYPERLINK("#",""), HYPERLINK(CONCATENATE("#metadata!", ADDRESS(INDEX($X$2:$X$1001,MATCH(ROWS($V$2:V775),$V$2:$V$1001,0),0), INDEX($AC$1004:$AS$1004,1,MATCH(COLUMNS($AC$1006:AG1006),$AC$1006:$AS$1006,0)))),"Fix")))</f>
        <v xml:space="preserve"> </v>
      </c>
      <c r="G775" s="4" t="str">
        <f ca="1">IF(OR(INDEX($W$2:$W$1001,MATCH(ROWS($V$2:V775),$V$2:$V$1001,0),1)&gt;=100000,INDEX($AC$1005:$AS$1005,1,MATCH(COLUMNS($AC$1006:AH1006),$AC$1006:$AS$1006,0))&gt;=100000), " ",IF(INDEX($AC$2:$AS$1001,MATCH(ROWS($V$2:V775),$V$2:$V$1001,0),MATCH(COLUMNS($AC$1006:AH1006),$AC$1006:$AS$1006,0)), HYPERLINK("#",""), HYPERLINK(CONCATENATE("#metadata!", ADDRESS(INDEX($X$2:$X$1001,MATCH(ROWS($V$2:V775),$V$2:$V$1001,0),0), INDEX($AC$1004:$AS$1004,1,MATCH(COLUMNS($AC$1006:AH1006),$AC$1006:$AS$1006,0)))),"Fix")))</f>
        <v xml:space="preserve"> </v>
      </c>
      <c r="H775" s="4" t="str">
        <f ca="1">IF(OR(INDEX($W$2:$W$1001,MATCH(ROWS($V$2:V775),$V$2:$V$1001,0),1)&gt;=100000,INDEX($AC$1005:$AS$1005,1,MATCH(COLUMNS($AC$1006:AI1006),$AC$1006:$AS$1006,0))&gt;=100000), " ",IF(INDEX($AC$2:$AS$1001,MATCH(ROWS($V$2:V775),$V$2:$V$1001,0),MATCH(COLUMNS($AC$1006:AI1006),$AC$1006:$AS$1006,0)), HYPERLINK("#",""), HYPERLINK(CONCATENATE("#metadata!", ADDRESS(INDEX($X$2:$X$1001,MATCH(ROWS($V$2:V775),$V$2:$V$1001,0),0), INDEX($AC$1004:$AS$1004,1,MATCH(COLUMNS($AC$1006:AI1006),$AC$1006:$AS$1006,0)))),"Fix")))</f>
        <v xml:space="preserve"> </v>
      </c>
      <c r="I775" s="4" t="str">
        <f ca="1">IF(OR(INDEX($W$2:$W$1001,MATCH(ROWS($V$2:V775),$V$2:$V$1001,0),1)&gt;=100000,INDEX($AC$1005:$AS$1005,1,MATCH(COLUMNS($AC$1006:AJ1006),$AC$1006:$AS$1006,0))&gt;=100000), " ",IF(INDEX($AC$2:$AS$1001,MATCH(ROWS($V$2:V775),$V$2:$V$1001,0),MATCH(COLUMNS($AC$1006:AJ1006),$AC$1006:$AS$1006,0)), HYPERLINK("#",""), HYPERLINK(CONCATENATE("#metadata!", ADDRESS(INDEX($X$2:$X$1001,MATCH(ROWS($V$2:V775),$V$2:$V$1001,0),0), INDEX($AC$1004:$AS$1004,1,MATCH(COLUMNS($AC$1006:AJ1006),$AC$1006:$AS$1006,0)))),"Fix")))</f>
        <v xml:space="preserve"> </v>
      </c>
      <c r="J775" s="4" t="str">
        <f ca="1">IF(OR(INDEX($W$2:$W$1001,MATCH(ROWS($V$2:V775),$V$2:$V$1001,0),1)&gt;=100000,INDEX($AC$1005:$AS$1005,1,MATCH(COLUMNS($AC$1006:AK1006),$AC$1006:$AS$1006,0))&gt;=100000), " ",IF(INDEX($AC$2:$AS$1001,MATCH(ROWS($V$2:V775),$V$2:$V$1001,0),MATCH(COLUMNS($AC$1006:AK1006),$AC$1006:$AS$1006,0)), HYPERLINK("#",""), HYPERLINK(CONCATENATE("#metadata!", ADDRESS(INDEX($X$2:$X$1001,MATCH(ROWS($V$2:V775),$V$2:$V$1001,0),0), INDEX($AC$1004:$AS$1004,1,MATCH(COLUMNS($AC$1006:AK1006),$AC$1006:$AS$1006,0)))),"Fix")))</f>
        <v xml:space="preserve"> </v>
      </c>
      <c r="K775" s="4" t="str">
        <f ca="1">IF(OR(INDEX($W$2:$W$1001,MATCH(ROWS($V$2:V775),$V$2:$V$1001,0),1)&gt;=100000,INDEX($AC$1005:$AS$1005,1,MATCH(COLUMNS($AC$1006:AL1006),$AC$1006:$AS$1006,0))&gt;=100000), " ",IF(INDEX($AC$2:$AS$1001,MATCH(ROWS($V$2:V775),$V$2:$V$1001,0),MATCH(COLUMNS($AC$1006:AL1006),$AC$1006:$AS$1006,0)), HYPERLINK("#",""), HYPERLINK(CONCATENATE("#metadata!", ADDRESS(INDEX($X$2:$X$1001,MATCH(ROWS($V$2:V775),$V$2:$V$1001,0),0), INDEX($AC$1004:$AS$1004,1,MATCH(COLUMNS($AC$1006:AL1006),$AC$1006:$AS$1006,0)))),"Fix")))</f>
        <v xml:space="preserve"> </v>
      </c>
      <c r="L775" s="4" t="str">
        <f ca="1">IF(OR(INDEX($W$2:$W$1001,MATCH(ROWS($V$2:V775),$V$2:$V$1001,0),1)&gt;=100000,INDEX($AC$1005:$AS$1005,1,MATCH(COLUMNS($AC$1006:AM1006),$AC$1006:$AS$1006,0))&gt;=100000), " ",IF(INDEX($AC$2:$AS$1001,MATCH(ROWS($V$2:V775),$V$2:$V$1001,0),MATCH(COLUMNS($AC$1006:AM1006),$AC$1006:$AS$1006,0)), HYPERLINK("#",""), HYPERLINK(CONCATENATE("#metadata!", ADDRESS(INDEX($X$2:$X$1001,MATCH(ROWS($V$2:V775),$V$2:$V$1001,0),0), INDEX($AC$1004:$AS$1004,1,MATCH(COLUMNS($AC$1006:AM1006),$AC$1006:$AS$1006,0)))),"Fix")))</f>
        <v xml:space="preserve"> </v>
      </c>
      <c r="M775" s="4" t="str">
        <f ca="1">IF(OR(INDEX($W$2:$W$1001,MATCH(ROWS($V$2:V775),$V$2:$V$1001,0),1)&gt;=100000,INDEX($AC$1005:$AS$1005,1,MATCH(COLUMNS($AC$1006:AN1006),$AC$1006:$AS$1006,0))&gt;=100000), " ",IF(INDEX($AC$2:$AS$1001,MATCH(ROWS($V$2:V775),$V$2:$V$1001,0),MATCH(COLUMNS($AC$1006:AN1006),$AC$1006:$AS$1006,0)), HYPERLINK("#",""), HYPERLINK(CONCATENATE("#metadata!", ADDRESS(INDEX($X$2:$X$1001,MATCH(ROWS($V$2:V775),$V$2:$V$1001,0),0), INDEX($AC$1004:$AS$1004,1,MATCH(COLUMNS($AC$1006:AN1006),$AC$1006:$AS$1006,0)))),"Fix")))</f>
        <v xml:space="preserve"> </v>
      </c>
      <c r="N775" s="4" t="str">
        <f ca="1">IF(OR(INDEX($W$2:$W$1001,MATCH(ROWS($V$2:V775),$V$2:$V$1001,0),1)&gt;=100000,INDEX($AC$1005:$AS$1005,1,MATCH(COLUMNS($AC$1006:AO1006),$AC$1006:$AS$1006,0))&gt;=100000), " ",IF(INDEX($AC$2:$AS$1001,MATCH(ROWS($V$2:V775),$V$2:$V$1001,0),MATCH(COLUMNS($AC$1006:AO1006),$AC$1006:$AS$1006,0)), HYPERLINK("#",""), HYPERLINK(CONCATENATE("#metadata!", ADDRESS(INDEX($X$2:$X$1001,MATCH(ROWS($V$2:V775),$V$2:$V$1001,0),0), INDEX($AC$1004:$AS$1004,1,MATCH(COLUMNS($AC$1006:AO1006),$AC$1006:$AS$1006,0)))),"Fix")))</f>
        <v xml:space="preserve"> </v>
      </c>
      <c r="O775" s="4" t="str">
        <f ca="1">IF(OR(INDEX($W$2:$W$1001,MATCH(ROWS($V$2:V775),$V$2:$V$1001,0),1)&gt;=100000,INDEX($AC$1005:$AS$1005,1,MATCH(COLUMNS($AC$1006:AP1006),$AC$1006:$AS$1006,0))&gt;=100000), " ",IF(INDEX($AC$2:$AS$1001,MATCH(ROWS($V$2:V775),$V$2:$V$1001,0),MATCH(COLUMNS($AC$1006:AP1006),$AC$1006:$AS$1006,0)), HYPERLINK("#",""), HYPERLINK(CONCATENATE("#metadata!", ADDRESS(INDEX($X$2:$X$1001,MATCH(ROWS($V$2:V775),$V$2:$V$1001,0),0), INDEX($AC$1004:$AS$1004,1,MATCH(COLUMNS($AC$1006:AP1006),$AC$1006:$AS$1006,0)))),"Fix")))</f>
        <v xml:space="preserve"> </v>
      </c>
      <c r="P775" s="4" t="str">
        <f ca="1">IF(OR(INDEX($W$2:$W$1001,MATCH(ROWS($V$2:V775),$V$2:$V$1001,0),1)&gt;=100000,INDEX($AC$1005:$AS$1005,1,MATCH(COLUMNS($AC$1006:AQ1006),$AC$1006:$AS$1006,0))&gt;=100000), " ",IF(INDEX($AC$2:$AS$1001,MATCH(ROWS($V$2:V775),$V$2:$V$1001,0),MATCH(COLUMNS($AC$1006:AQ1006),$AC$1006:$AS$1006,0)), HYPERLINK("#",""), HYPERLINK(CONCATENATE("#metadata!", ADDRESS(INDEX($X$2:$X$1001,MATCH(ROWS($V$2:V775),$V$2:$V$1001,0),0), INDEX($AC$1004:$AS$1004,1,MATCH(COLUMNS($AC$1006:AQ1006),$AC$1006:$AS$1006,0)))),"Fix")))</f>
        <v xml:space="preserve"> </v>
      </c>
      <c r="Q775" s="4" t="str">
        <f ca="1">IF(OR(INDEX($W$2:$W$1001,MATCH(ROWS($V$2:V775),$V$2:$V$1001,0),1)&gt;=100000,INDEX($AC$1005:$AS$1005,1,MATCH(COLUMNS($AC$1006:AR1006),$AC$1006:$AS$1006,0))&gt;=100000), " ",IF(INDEX($AC$2:$AS$1001,MATCH(ROWS($V$2:V775),$V$2:$V$1001,0),MATCH(COLUMNS($AC$1006:AR1006),$AC$1006:$AS$1006,0)), HYPERLINK("#",""), HYPERLINK(CONCATENATE("#metadata!", ADDRESS(INDEX($X$2:$X$1001,MATCH(ROWS($V$2:V775),$V$2:$V$1001,0),0), INDEX($AC$1004:$AS$1004,1,MATCH(COLUMNS($AC$1006:AR1006),$AC$1006:$AS$1006,0)))),"Fix")))</f>
        <v xml:space="preserve"> </v>
      </c>
      <c r="R775" s="4" t="str">
        <f ca="1">IF(OR(INDEX($W$2:$W$1001,MATCH(ROWS($V$2:V775),$V$2:$V$1001,0),1)&gt;=100000,INDEX($AC$1005:$AS$1005,1,MATCH(COLUMNS($AC$1006:AS1006),$AC$1006:$AS$1006,0))&gt;=100000), " ",IF(INDEX($AC$2:$AS$1001,MATCH(ROWS($V$2:V775),$V$2:$V$1001,0),MATCH(COLUMNS($AC$1006:AS1006),$AC$1006:$AS$1006,0)), HYPERLINK("#",""), HYPERLINK(CONCATENATE("#metadata!", ADDRESS(INDEX($X$2:$X$1001,MATCH(ROWS($V$2:V775),$V$2:$V$1001,0),0), INDEX($AC$1004:$AS$1004,1,MATCH(COLUMNS($AC$1006:AS1006),$AC$1006:$AS$1006,0)))),"Fix")))</f>
        <v xml:space="preserve"> </v>
      </c>
      <c r="V775">
        <v>774</v>
      </c>
      <c r="W775">
        <v>100775</v>
      </c>
      <c r="X775">
        <v>775</v>
      </c>
      <c r="Y775" t="b">
        <f t="shared" si="12"/>
        <v>1</v>
      </c>
      <c r="Z775" t="b">
        <f>COUNTBLANK(metadata!B775:R775)=COLUMNS(metadata!B775:R775)</f>
        <v>1</v>
      </c>
      <c r="AA775" t="str">
        <v/>
      </c>
      <c r="AC775" t="b">
        <f ca="1"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AD775" t="b">
        <f>IF(metadata!C775="",FALSE,ISNUMBER(VALUE(metadata!C775)))</f>
        <v>0</v>
      </c>
      <c r="AE775" t="b">
        <f>AND(IF(metadata!D775="",FALSE,TRUE),EXACT(metadata!D775,"years"))</f>
        <v>0</v>
      </c>
      <c r="AF775" t="b">
        <f>OR(AND(IF(metadata!E775="",FALSE,TRUE),OR(EXACT(metadata!E775,"not applicable"),EXACT(metadata!E775,"missing: not collected"),EXACT(metadata!E775,"missing: not provided"),EXACT(metadata!E775,"missing: restricted access"))),AND(IF(metadata!E775="",FALSE,ISNUMBER(VALUE(metadata!E775))),metadata!E775&gt;0))</f>
        <v>0</v>
      </c>
      <c r="AG775" t="b">
        <f>AND(IF(metadata!F775="",FALSE,TRUE),EXACT(metadata!F775,"Not applicable"))</f>
        <v>0</v>
      </c>
      <c r="AH775" t="b">
        <f>AND(IF(metadata!G775="",FALSE,TRUE),EXACT(metadata!G775,"urban biome"))</f>
        <v>0</v>
      </c>
      <c r="AI775" t="b">
        <f>AND(IF(metadata!H775="",FALSE,TRUE),EXACT(metadata!H775,"human-associated habitat"))</f>
        <v>0</v>
      </c>
      <c r="AJ775" t="b">
        <f>AND(IF(metadata!I775="",FALSE,TRUE),OR(EXACT(metadata!I775,"human-associated"),EXACT(metadata!I775,"human-skin"),EXACT(metadata!I775,"human-oral"),EXACT(metadata!I775,"human-gut"),EXACT(metadata!I775,"human-vaginal")))</f>
        <v>0</v>
      </c>
      <c r="AK775" t="b">
        <f>IF(metadata!J775="",FALSE,ISNUMBER(VALUE(metadata!J775)))</f>
        <v>0</v>
      </c>
      <c r="AL775" t="b">
        <f>AND(IF(metadata!K775="",FALSE,TRUE),EXACT(metadata!K775,"cm"))</f>
        <v>0</v>
      </c>
      <c r="AM775" t="b">
        <f>AND(IF(metadata!L775="",FALSE,TRUE),EXACT(metadata!L775,"human"))</f>
        <v>0</v>
      </c>
      <c r="AN775" t="b">
        <f>AND(IF(metadata!M775="",FALSE,TRUE),EXACT(metadata!M775,"Homo sapiens"))</f>
        <v>0</v>
      </c>
      <c r="AO775" t="b">
        <f>AND(IF(metadata!N775="",FALSE,TRUE),EXACT(metadata!N775,"9606"))</f>
        <v>0</v>
      </c>
      <c r="AP775" t="b">
        <f>IF(metadata!O775="",FALSE,TRUE)</f>
        <v>0</v>
      </c>
      <c r="AQ775" t="b">
        <f>IF(metadata!P775="",FALSE,TRUE)</f>
        <v>0</v>
      </c>
      <c r="AR775" t="b">
        <f>IF(metadata!Q775="",FALSE,ISNUMBER(VALUE(metadata!Q775)))</f>
        <v>0</v>
      </c>
      <c r="AS775" t="b">
        <f>AND(IF(metadata!R775="",FALSE,TRUE),EXACT(metadata!R775,"kg"))</f>
        <v>0</v>
      </c>
    </row>
    <row r="776" spans="1:45" x14ac:dyDescent="0.2">
      <c r="A776" s="5" t="str">
        <f ca="1">IF(B776=" "," ",HYPERLINK(CONCATENATE("#metadata!",ADDRESS(INDEX($X$2:$X$1001,MATCH(ROWS($V$2:V776),$V$2:$V$1001,0),0),1)),INDEX($AA$2:$AA$1001,MATCH(ROWS($V$2:V776),$V$2:$V$1001,0),0)))</f>
        <v xml:space="preserve"> </v>
      </c>
      <c r="B776" s="4" t="str">
        <f ca="1">IF(OR(INDEX($W$2:$W$1001,MATCH(ROWS($V$2:V776),$V$2:$V$1001,0),1)&gt;=100000,INDEX($AC$1005:$AS$1005,1,MATCH(COLUMNS($AC$1006:AC1006),$AC$1006:$AS$1006,0))&gt;=100000), " ",IF(INDEX($AC$2:$AS$1001,MATCH(ROWS($V$2:V776),$V$2:$V$1001,0),MATCH(COLUMNS($AC$1006:AC1006),$AC$1006:$AS$1006,0)), HYPERLINK("#",""), HYPERLINK(CONCATENATE("#metadata!", ADDRESS(INDEX($X$2:$X$1001,MATCH(ROWS($V$2:V776),$V$2:$V$1001,0),0), INDEX($AC$1004:$AS$1004,1,MATCH(COLUMNS($AC$1006:AC1006),$AC$1006:$AS$1006,0)))),"Fix")))</f>
        <v xml:space="preserve"> </v>
      </c>
      <c r="C776" s="4" t="str">
        <f ca="1">IF(OR(INDEX($W$2:$W$1001,MATCH(ROWS($V$2:V776),$V$2:$V$1001,0),1)&gt;=100000,INDEX($AC$1005:$AS$1005,1,MATCH(COLUMNS($AC$1006:AD1006),$AC$1006:$AS$1006,0))&gt;=100000), " ",IF(INDEX($AC$2:$AS$1001,MATCH(ROWS($V$2:V776),$V$2:$V$1001,0),MATCH(COLUMNS($AC$1006:AD1006),$AC$1006:$AS$1006,0)), HYPERLINK("#",""), HYPERLINK(CONCATENATE("#metadata!", ADDRESS(INDEX($X$2:$X$1001,MATCH(ROWS($V$2:V776),$V$2:$V$1001,0),0), INDEX($AC$1004:$AS$1004,1,MATCH(COLUMNS($AC$1006:AD1006),$AC$1006:$AS$1006,0)))),"Fix")))</f>
        <v xml:space="preserve"> </v>
      </c>
      <c r="D776" s="4" t="str">
        <f ca="1">IF(OR(INDEX($W$2:$W$1001,MATCH(ROWS($V$2:V776),$V$2:$V$1001,0),1)&gt;=100000,INDEX($AC$1005:$AS$1005,1,MATCH(COLUMNS($AC$1006:AE1006),$AC$1006:$AS$1006,0))&gt;=100000), " ",IF(INDEX($AC$2:$AS$1001,MATCH(ROWS($V$2:V776),$V$2:$V$1001,0),MATCH(COLUMNS($AC$1006:AE1006),$AC$1006:$AS$1006,0)), HYPERLINK("#",""), HYPERLINK(CONCATENATE("#metadata!", ADDRESS(INDEX($X$2:$X$1001,MATCH(ROWS($V$2:V776),$V$2:$V$1001,0),0), INDEX($AC$1004:$AS$1004,1,MATCH(COLUMNS($AC$1006:AE1006),$AC$1006:$AS$1006,0)))),"Fix")))</f>
        <v xml:space="preserve"> </v>
      </c>
      <c r="E776" s="4" t="str">
        <f ca="1">IF(OR(INDEX($W$2:$W$1001,MATCH(ROWS($V$2:V776),$V$2:$V$1001,0),1)&gt;=100000,INDEX($AC$1005:$AS$1005,1,MATCH(COLUMNS($AC$1006:AF1006),$AC$1006:$AS$1006,0))&gt;=100000), " ",IF(INDEX($AC$2:$AS$1001,MATCH(ROWS($V$2:V776),$V$2:$V$1001,0),MATCH(COLUMNS($AC$1006:AF1006),$AC$1006:$AS$1006,0)), HYPERLINK("#",""), HYPERLINK(CONCATENATE("#metadata!", ADDRESS(INDEX($X$2:$X$1001,MATCH(ROWS($V$2:V776),$V$2:$V$1001,0),0), INDEX($AC$1004:$AS$1004,1,MATCH(COLUMNS($AC$1006:AF1006),$AC$1006:$AS$1006,0)))),"Fix")))</f>
        <v xml:space="preserve"> </v>
      </c>
      <c r="F776" s="4" t="str">
        <f ca="1">IF(OR(INDEX($W$2:$W$1001,MATCH(ROWS($V$2:V776),$V$2:$V$1001,0),1)&gt;=100000,INDEX($AC$1005:$AS$1005,1,MATCH(COLUMNS($AC$1006:AG1006),$AC$1006:$AS$1006,0))&gt;=100000), " ",IF(INDEX($AC$2:$AS$1001,MATCH(ROWS($V$2:V776),$V$2:$V$1001,0),MATCH(COLUMNS($AC$1006:AG1006),$AC$1006:$AS$1006,0)), HYPERLINK("#",""), HYPERLINK(CONCATENATE("#metadata!", ADDRESS(INDEX($X$2:$X$1001,MATCH(ROWS($V$2:V776),$V$2:$V$1001,0),0), INDEX($AC$1004:$AS$1004,1,MATCH(COLUMNS($AC$1006:AG1006),$AC$1006:$AS$1006,0)))),"Fix")))</f>
        <v xml:space="preserve"> </v>
      </c>
      <c r="G776" s="4" t="str">
        <f ca="1">IF(OR(INDEX($W$2:$W$1001,MATCH(ROWS($V$2:V776),$V$2:$V$1001,0),1)&gt;=100000,INDEX($AC$1005:$AS$1005,1,MATCH(COLUMNS($AC$1006:AH1006),$AC$1006:$AS$1006,0))&gt;=100000), " ",IF(INDEX($AC$2:$AS$1001,MATCH(ROWS($V$2:V776),$V$2:$V$1001,0),MATCH(COLUMNS($AC$1006:AH1006),$AC$1006:$AS$1006,0)), HYPERLINK("#",""), HYPERLINK(CONCATENATE("#metadata!", ADDRESS(INDEX($X$2:$X$1001,MATCH(ROWS($V$2:V776),$V$2:$V$1001,0),0), INDEX($AC$1004:$AS$1004,1,MATCH(COLUMNS($AC$1006:AH1006),$AC$1006:$AS$1006,0)))),"Fix")))</f>
        <v xml:space="preserve"> </v>
      </c>
      <c r="H776" s="4" t="str">
        <f ca="1">IF(OR(INDEX($W$2:$W$1001,MATCH(ROWS($V$2:V776),$V$2:$V$1001,0),1)&gt;=100000,INDEX($AC$1005:$AS$1005,1,MATCH(COLUMNS($AC$1006:AI1006),$AC$1006:$AS$1006,0))&gt;=100000), " ",IF(INDEX($AC$2:$AS$1001,MATCH(ROWS($V$2:V776),$V$2:$V$1001,0),MATCH(COLUMNS($AC$1006:AI1006),$AC$1006:$AS$1006,0)), HYPERLINK("#",""), HYPERLINK(CONCATENATE("#metadata!", ADDRESS(INDEX($X$2:$X$1001,MATCH(ROWS($V$2:V776),$V$2:$V$1001,0),0), INDEX($AC$1004:$AS$1004,1,MATCH(COLUMNS($AC$1006:AI1006),$AC$1006:$AS$1006,0)))),"Fix")))</f>
        <v xml:space="preserve"> </v>
      </c>
      <c r="I776" s="4" t="str">
        <f ca="1">IF(OR(INDEX($W$2:$W$1001,MATCH(ROWS($V$2:V776),$V$2:$V$1001,0),1)&gt;=100000,INDEX($AC$1005:$AS$1005,1,MATCH(COLUMNS($AC$1006:AJ1006),$AC$1006:$AS$1006,0))&gt;=100000), " ",IF(INDEX($AC$2:$AS$1001,MATCH(ROWS($V$2:V776),$V$2:$V$1001,0),MATCH(COLUMNS($AC$1006:AJ1006),$AC$1006:$AS$1006,0)), HYPERLINK("#",""), HYPERLINK(CONCATENATE("#metadata!", ADDRESS(INDEX($X$2:$X$1001,MATCH(ROWS($V$2:V776),$V$2:$V$1001,0),0), INDEX($AC$1004:$AS$1004,1,MATCH(COLUMNS($AC$1006:AJ1006),$AC$1006:$AS$1006,0)))),"Fix")))</f>
        <v xml:space="preserve"> </v>
      </c>
      <c r="J776" s="4" t="str">
        <f ca="1">IF(OR(INDEX($W$2:$W$1001,MATCH(ROWS($V$2:V776),$V$2:$V$1001,0),1)&gt;=100000,INDEX($AC$1005:$AS$1005,1,MATCH(COLUMNS($AC$1006:AK1006),$AC$1006:$AS$1006,0))&gt;=100000), " ",IF(INDEX($AC$2:$AS$1001,MATCH(ROWS($V$2:V776),$V$2:$V$1001,0),MATCH(COLUMNS($AC$1006:AK1006),$AC$1006:$AS$1006,0)), HYPERLINK("#",""), HYPERLINK(CONCATENATE("#metadata!", ADDRESS(INDEX($X$2:$X$1001,MATCH(ROWS($V$2:V776),$V$2:$V$1001,0),0), INDEX($AC$1004:$AS$1004,1,MATCH(COLUMNS($AC$1006:AK1006),$AC$1006:$AS$1006,0)))),"Fix")))</f>
        <v xml:space="preserve"> </v>
      </c>
      <c r="K776" s="4" t="str">
        <f ca="1">IF(OR(INDEX($W$2:$W$1001,MATCH(ROWS($V$2:V776),$V$2:$V$1001,0),1)&gt;=100000,INDEX($AC$1005:$AS$1005,1,MATCH(COLUMNS($AC$1006:AL1006),$AC$1006:$AS$1006,0))&gt;=100000), " ",IF(INDEX($AC$2:$AS$1001,MATCH(ROWS($V$2:V776),$V$2:$V$1001,0),MATCH(COLUMNS($AC$1006:AL1006),$AC$1006:$AS$1006,0)), HYPERLINK("#",""), HYPERLINK(CONCATENATE("#metadata!", ADDRESS(INDEX($X$2:$X$1001,MATCH(ROWS($V$2:V776),$V$2:$V$1001,0),0), INDEX($AC$1004:$AS$1004,1,MATCH(COLUMNS($AC$1006:AL1006),$AC$1006:$AS$1006,0)))),"Fix")))</f>
        <v xml:space="preserve"> </v>
      </c>
      <c r="L776" s="4" t="str">
        <f ca="1">IF(OR(INDEX($W$2:$W$1001,MATCH(ROWS($V$2:V776),$V$2:$V$1001,0),1)&gt;=100000,INDEX($AC$1005:$AS$1005,1,MATCH(COLUMNS($AC$1006:AM1006),$AC$1006:$AS$1006,0))&gt;=100000), " ",IF(INDEX($AC$2:$AS$1001,MATCH(ROWS($V$2:V776),$V$2:$V$1001,0),MATCH(COLUMNS($AC$1006:AM1006),$AC$1006:$AS$1006,0)), HYPERLINK("#",""), HYPERLINK(CONCATENATE("#metadata!", ADDRESS(INDEX($X$2:$X$1001,MATCH(ROWS($V$2:V776),$V$2:$V$1001,0),0), INDEX($AC$1004:$AS$1004,1,MATCH(COLUMNS($AC$1006:AM1006),$AC$1006:$AS$1006,0)))),"Fix")))</f>
        <v xml:space="preserve"> </v>
      </c>
      <c r="M776" s="4" t="str">
        <f ca="1">IF(OR(INDEX($W$2:$W$1001,MATCH(ROWS($V$2:V776),$V$2:$V$1001,0),1)&gt;=100000,INDEX($AC$1005:$AS$1005,1,MATCH(COLUMNS($AC$1006:AN1006),$AC$1006:$AS$1006,0))&gt;=100000), " ",IF(INDEX($AC$2:$AS$1001,MATCH(ROWS($V$2:V776),$V$2:$V$1001,0),MATCH(COLUMNS($AC$1006:AN1006),$AC$1006:$AS$1006,0)), HYPERLINK("#",""), HYPERLINK(CONCATENATE("#metadata!", ADDRESS(INDEX($X$2:$X$1001,MATCH(ROWS($V$2:V776),$V$2:$V$1001,0),0), INDEX($AC$1004:$AS$1004,1,MATCH(COLUMNS($AC$1006:AN1006),$AC$1006:$AS$1006,0)))),"Fix")))</f>
        <v xml:space="preserve"> </v>
      </c>
      <c r="N776" s="4" t="str">
        <f ca="1">IF(OR(INDEX($W$2:$W$1001,MATCH(ROWS($V$2:V776),$V$2:$V$1001,0),1)&gt;=100000,INDEX($AC$1005:$AS$1005,1,MATCH(COLUMNS($AC$1006:AO1006),$AC$1006:$AS$1006,0))&gt;=100000), " ",IF(INDEX($AC$2:$AS$1001,MATCH(ROWS($V$2:V776),$V$2:$V$1001,0),MATCH(COLUMNS($AC$1006:AO1006),$AC$1006:$AS$1006,0)), HYPERLINK("#",""), HYPERLINK(CONCATENATE("#metadata!", ADDRESS(INDEX($X$2:$X$1001,MATCH(ROWS($V$2:V776),$V$2:$V$1001,0),0), INDEX($AC$1004:$AS$1004,1,MATCH(COLUMNS($AC$1006:AO1006),$AC$1006:$AS$1006,0)))),"Fix")))</f>
        <v xml:space="preserve"> </v>
      </c>
      <c r="O776" s="4" t="str">
        <f ca="1">IF(OR(INDEX($W$2:$W$1001,MATCH(ROWS($V$2:V776),$V$2:$V$1001,0),1)&gt;=100000,INDEX($AC$1005:$AS$1005,1,MATCH(COLUMNS($AC$1006:AP1006),$AC$1006:$AS$1006,0))&gt;=100000), " ",IF(INDEX($AC$2:$AS$1001,MATCH(ROWS($V$2:V776),$V$2:$V$1001,0),MATCH(COLUMNS($AC$1006:AP1006),$AC$1006:$AS$1006,0)), HYPERLINK("#",""), HYPERLINK(CONCATENATE("#metadata!", ADDRESS(INDEX($X$2:$X$1001,MATCH(ROWS($V$2:V776),$V$2:$V$1001,0),0), INDEX($AC$1004:$AS$1004,1,MATCH(COLUMNS($AC$1006:AP1006),$AC$1006:$AS$1006,0)))),"Fix")))</f>
        <v xml:space="preserve"> </v>
      </c>
      <c r="P776" s="4" t="str">
        <f ca="1">IF(OR(INDEX($W$2:$W$1001,MATCH(ROWS($V$2:V776),$V$2:$V$1001,0),1)&gt;=100000,INDEX($AC$1005:$AS$1005,1,MATCH(COLUMNS($AC$1006:AQ1006),$AC$1006:$AS$1006,0))&gt;=100000), " ",IF(INDEX($AC$2:$AS$1001,MATCH(ROWS($V$2:V776),$V$2:$V$1001,0),MATCH(COLUMNS($AC$1006:AQ1006),$AC$1006:$AS$1006,0)), HYPERLINK("#",""), HYPERLINK(CONCATENATE("#metadata!", ADDRESS(INDEX($X$2:$X$1001,MATCH(ROWS($V$2:V776),$V$2:$V$1001,0),0), INDEX($AC$1004:$AS$1004,1,MATCH(COLUMNS($AC$1006:AQ1006),$AC$1006:$AS$1006,0)))),"Fix")))</f>
        <v xml:space="preserve"> </v>
      </c>
      <c r="Q776" s="4" t="str">
        <f ca="1">IF(OR(INDEX($W$2:$W$1001,MATCH(ROWS($V$2:V776),$V$2:$V$1001,0),1)&gt;=100000,INDEX($AC$1005:$AS$1005,1,MATCH(COLUMNS($AC$1006:AR1006),$AC$1006:$AS$1006,0))&gt;=100000), " ",IF(INDEX($AC$2:$AS$1001,MATCH(ROWS($V$2:V776),$V$2:$V$1001,0),MATCH(COLUMNS($AC$1006:AR1006),$AC$1006:$AS$1006,0)), HYPERLINK("#",""), HYPERLINK(CONCATENATE("#metadata!", ADDRESS(INDEX($X$2:$X$1001,MATCH(ROWS($V$2:V776),$V$2:$V$1001,0),0), INDEX($AC$1004:$AS$1004,1,MATCH(COLUMNS($AC$1006:AR1006),$AC$1006:$AS$1006,0)))),"Fix")))</f>
        <v xml:space="preserve"> </v>
      </c>
      <c r="R776" s="4" t="str">
        <f ca="1">IF(OR(INDEX($W$2:$W$1001,MATCH(ROWS($V$2:V776),$V$2:$V$1001,0),1)&gt;=100000,INDEX($AC$1005:$AS$1005,1,MATCH(COLUMNS($AC$1006:AS1006),$AC$1006:$AS$1006,0))&gt;=100000), " ",IF(INDEX($AC$2:$AS$1001,MATCH(ROWS($V$2:V776),$V$2:$V$1001,0),MATCH(COLUMNS($AC$1006:AS1006),$AC$1006:$AS$1006,0)), HYPERLINK("#",""), HYPERLINK(CONCATENATE("#metadata!", ADDRESS(INDEX($X$2:$X$1001,MATCH(ROWS($V$2:V776),$V$2:$V$1001,0),0), INDEX($AC$1004:$AS$1004,1,MATCH(COLUMNS($AC$1006:AS1006),$AC$1006:$AS$1006,0)))),"Fix")))</f>
        <v xml:space="preserve"> </v>
      </c>
      <c r="V776">
        <v>775</v>
      </c>
      <c r="W776">
        <v>100776</v>
      </c>
      <c r="X776">
        <v>776</v>
      </c>
      <c r="Y776" t="b">
        <f t="shared" si="12"/>
        <v>1</v>
      </c>
      <c r="Z776" t="b">
        <f>COUNTBLANK(metadata!B776:R776)=COLUMNS(metadata!B776:R776)</f>
        <v>1</v>
      </c>
      <c r="AA776" t="str">
        <v/>
      </c>
      <c r="AC776" t="b">
        <f ca="1"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AD776" t="b">
        <f>IF(metadata!C776="",FALSE,ISNUMBER(VALUE(metadata!C776)))</f>
        <v>0</v>
      </c>
      <c r="AE776" t="b">
        <f>AND(IF(metadata!D776="",FALSE,TRUE),EXACT(metadata!D776,"years"))</f>
        <v>0</v>
      </c>
      <c r="AF776" t="b">
        <f>OR(AND(IF(metadata!E776="",FALSE,TRUE),OR(EXACT(metadata!E776,"not applicable"),EXACT(metadata!E776,"missing: not collected"),EXACT(metadata!E776,"missing: not provided"),EXACT(metadata!E776,"missing: restricted access"))),AND(IF(metadata!E776="",FALSE,ISNUMBER(VALUE(metadata!E776))),metadata!E776&gt;0))</f>
        <v>0</v>
      </c>
      <c r="AG776" t="b">
        <f>AND(IF(metadata!F776="",FALSE,TRUE),EXACT(metadata!F776,"Not applicable"))</f>
        <v>0</v>
      </c>
      <c r="AH776" t="b">
        <f>AND(IF(metadata!G776="",FALSE,TRUE),EXACT(metadata!G776,"urban biome"))</f>
        <v>0</v>
      </c>
      <c r="AI776" t="b">
        <f>AND(IF(metadata!H776="",FALSE,TRUE),EXACT(metadata!H776,"human-associated habitat"))</f>
        <v>0</v>
      </c>
      <c r="AJ776" t="b">
        <f>AND(IF(metadata!I776="",FALSE,TRUE),OR(EXACT(metadata!I776,"human-associated"),EXACT(metadata!I776,"human-skin"),EXACT(metadata!I776,"human-oral"),EXACT(metadata!I776,"human-gut"),EXACT(metadata!I776,"human-vaginal")))</f>
        <v>0</v>
      </c>
      <c r="AK776" t="b">
        <f>IF(metadata!J776="",FALSE,ISNUMBER(VALUE(metadata!J776)))</f>
        <v>0</v>
      </c>
      <c r="AL776" t="b">
        <f>AND(IF(metadata!K776="",FALSE,TRUE),EXACT(metadata!K776,"cm"))</f>
        <v>0</v>
      </c>
      <c r="AM776" t="b">
        <f>AND(IF(metadata!L776="",FALSE,TRUE),EXACT(metadata!L776,"human"))</f>
        <v>0</v>
      </c>
      <c r="AN776" t="b">
        <f>AND(IF(metadata!M776="",FALSE,TRUE),EXACT(metadata!M776,"Homo sapiens"))</f>
        <v>0</v>
      </c>
      <c r="AO776" t="b">
        <f>AND(IF(metadata!N776="",FALSE,TRUE),EXACT(metadata!N776,"9606"))</f>
        <v>0</v>
      </c>
      <c r="AP776" t="b">
        <f>IF(metadata!O776="",FALSE,TRUE)</f>
        <v>0</v>
      </c>
      <c r="AQ776" t="b">
        <f>IF(metadata!P776="",FALSE,TRUE)</f>
        <v>0</v>
      </c>
      <c r="AR776" t="b">
        <f>IF(metadata!Q776="",FALSE,ISNUMBER(VALUE(metadata!Q776)))</f>
        <v>0</v>
      </c>
      <c r="AS776" t="b">
        <f>AND(IF(metadata!R776="",FALSE,TRUE),EXACT(metadata!R776,"kg"))</f>
        <v>0</v>
      </c>
    </row>
    <row r="777" spans="1:45" x14ac:dyDescent="0.2">
      <c r="A777" s="5" t="str">
        <f ca="1">IF(B777=" "," ",HYPERLINK(CONCATENATE("#metadata!",ADDRESS(INDEX($X$2:$X$1001,MATCH(ROWS($V$2:V777),$V$2:$V$1001,0),0),1)),INDEX($AA$2:$AA$1001,MATCH(ROWS($V$2:V777),$V$2:$V$1001,0),0)))</f>
        <v xml:space="preserve"> </v>
      </c>
      <c r="B777" s="4" t="str">
        <f ca="1">IF(OR(INDEX($W$2:$W$1001,MATCH(ROWS($V$2:V777),$V$2:$V$1001,0),1)&gt;=100000,INDEX($AC$1005:$AS$1005,1,MATCH(COLUMNS($AC$1006:AC1006),$AC$1006:$AS$1006,0))&gt;=100000), " ",IF(INDEX($AC$2:$AS$1001,MATCH(ROWS($V$2:V777),$V$2:$V$1001,0),MATCH(COLUMNS($AC$1006:AC1006),$AC$1006:$AS$1006,0)), HYPERLINK("#",""), HYPERLINK(CONCATENATE("#metadata!", ADDRESS(INDEX($X$2:$X$1001,MATCH(ROWS($V$2:V777),$V$2:$V$1001,0),0), INDEX($AC$1004:$AS$1004,1,MATCH(COLUMNS($AC$1006:AC1006),$AC$1006:$AS$1006,0)))),"Fix")))</f>
        <v xml:space="preserve"> </v>
      </c>
      <c r="C777" s="4" t="str">
        <f ca="1">IF(OR(INDEX($W$2:$W$1001,MATCH(ROWS($V$2:V777),$V$2:$V$1001,0),1)&gt;=100000,INDEX($AC$1005:$AS$1005,1,MATCH(COLUMNS($AC$1006:AD1006),$AC$1006:$AS$1006,0))&gt;=100000), " ",IF(INDEX($AC$2:$AS$1001,MATCH(ROWS($V$2:V777),$V$2:$V$1001,0),MATCH(COLUMNS($AC$1006:AD1006),$AC$1006:$AS$1006,0)), HYPERLINK("#",""), HYPERLINK(CONCATENATE("#metadata!", ADDRESS(INDEX($X$2:$X$1001,MATCH(ROWS($V$2:V777),$V$2:$V$1001,0),0), INDEX($AC$1004:$AS$1004,1,MATCH(COLUMNS($AC$1006:AD1006),$AC$1006:$AS$1006,0)))),"Fix")))</f>
        <v xml:space="preserve"> </v>
      </c>
      <c r="D777" s="4" t="str">
        <f ca="1">IF(OR(INDEX($W$2:$W$1001,MATCH(ROWS($V$2:V777),$V$2:$V$1001,0),1)&gt;=100000,INDEX($AC$1005:$AS$1005,1,MATCH(COLUMNS($AC$1006:AE1006),$AC$1006:$AS$1006,0))&gt;=100000), " ",IF(INDEX($AC$2:$AS$1001,MATCH(ROWS($V$2:V777),$V$2:$V$1001,0),MATCH(COLUMNS($AC$1006:AE1006),$AC$1006:$AS$1006,0)), HYPERLINK("#",""), HYPERLINK(CONCATENATE("#metadata!", ADDRESS(INDEX($X$2:$X$1001,MATCH(ROWS($V$2:V777),$V$2:$V$1001,0),0), INDEX($AC$1004:$AS$1004,1,MATCH(COLUMNS($AC$1006:AE1006),$AC$1006:$AS$1006,0)))),"Fix")))</f>
        <v xml:space="preserve"> </v>
      </c>
      <c r="E777" s="4" t="str">
        <f ca="1">IF(OR(INDEX($W$2:$W$1001,MATCH(ROWS($V$2:V777),$V$2:$V$1001,0),1)&gt;=100000,INDEX($AC$1005:$AS$1005,1,MATCH(COLUMNS($AC$1006:AF1006),$AC$1006:$AS$1006,0))&gt;=100000), " ",IF(INDEX($AC$2:$AS$1001,MATCH(ROWS($V$2:V777),$V$2:$V$1001,0),MATCH(COLUMNS($AC$1006:AF1006),$AC$1006:$AS$1006,0)), HYPERLINK("#",""), HYPERLINK(CONCATENATE("#metadata!", ADDRESS(INDEX($X$2:$X$1001,MATCH(ROWS($V$2:V777),$V$2:$V$1001,0),0), INDEX($AC$1004:$AS$1004,1,MATCH(COLUMNS($AC$1006:AF1006),$AC$1006:$AS$1006,0)))),"Fix")))</f>
        <v xml:space="preserve"> </v>
      </c>
      <c r="F777" s="4" t="str">
        <f ca="1">IF(OR(INDEX($W$2:$W$1001,MATCH(ROWS($V$2:V777),$V$2:$V$1001,0),1)&gt;=100000,INDEX($AC$1005:$AS$1005,1,MATCH(COLUMNS($AC$1006:AG1006),$AC$1006:$AS$1006,0))&gt;=100000), " ",IF(INDEX($AC$2:$AS$1001,MATCH(ROWS($V$2:V777),$V$2:$V$1001,0),MATCH(COLUMNS($AC$1006:AG1006),$AC$1006:$AS$1006,0)), HYPERLINK("#",""), HYPERLINK(CONCATENATE("#metadata!", ADDRESS(INDEX($X$2:$X$1001,MATCH(ROWS($V$2:V777),$V$2:$V$1001,0),0), INDEX($AC$1004:$AS$1004,1,MATCH(COLUMNS($AC$1006:AG1006),$AC$1006:$AS$1006,0)))),"Fix")))</f>
        <v xml:space="preserve"> </v>
      </c>
      <c r="G777" s="4" t="str">
        <f ca="1">IF(OR(INDEX($W$2:$W$1001,MATCH(ROWS($V$2:V777),$V$2:$V$1001,0),1)&gt;=100000,INDEX($AC$1005:$AS$1005,1,MATCH(COLUMNS($AC$1006:AH1006),$AC$1006:$AS$1006,0))&gt;=100000), " ",IF(INDEX($AC$2:$AS$1001,MATCH(ROWS($V$2:V777),$V$2:$V$1001,0),MATCH(COLUMNS($AC$1006:AH1006),$AC$1006:$AS$1006,0)), HYPERLINK("#",""), HYPERLINK(CONCATENATE("#metadata!", ADDRESS(INDEX($X$2:$X$1001,MATCH(ROWS($V$2:V777),$V$2:$V$1001,0),0), INDEX($AC$1004:$AS$1004,1,MATCH(COLUMNS($AC$1006:AH1006),$AC$1006:$AS$1006,0)))),"Fix")))</f>
        <v xml:space="preserve"> </v>
      </c>
      <c r="H777" s="4" t="str">
        <f ca="1">IF(OR(INDEX($W$2:$W$1001,MATCH(ROWS($V$2:V777),$V$2:$V$1001,0),1)&gt;=100000,INDEX($AC$1005:$AS$1005,1,MATCH(COLUMNS($AC$1006:AI1006),$AC$1006:$AS$1006,0))&gt;=100000), " ",IF(INDEX($AC$2:$AS$1001,MATCH(ROWS($V$2:V777),$V$2:$V$1001,0),MATCH(COLUMNS($AC$1006:AI1006),$AC$1006:$AS$1006,0)), HYPERLINK("#",""), HYPERLINK(CONCATENATE("#metadata!", ADDRESS(INDEX($X$2:$X$1001,MATCH(ROWS($V$2:V777),$V$2:$V$1001,0),0), INDEX($AC$1004:$AS$1004,1,MATCH(COLUMNS($AC$1006:AI1006),$AC$1006:$AS$1006,0)))),"Fix")))</f>
        <v xml:space="preserve"> </v>
      </c>
      <c r="I777" s="4" t="str">
        <f ca="1">IF(OR(INDEX($W$2:$W$1001,MATCH(ROWS($V$2:V777),$V$2:$V$1001,0),1)&gt;=100000,INDEX($AC$1005:$AS$1005,1,MATCH(COLUMNS($AC$1006:AJ1006),$AC$1006:$AS$1006,0))&gt;=100000), " ",IF(INDEX($AC$2:$AS$1001,MATCH(ROWS($V$2:V777),$V$2:$V$1001,0),MATCH(COLUMNS($AC$1006:AJ1006),$AC$1006:$AS$1006,0)), HYPERLINK("#",""), HYPERLINK(CONCATENATE("#metadata!", ADDRESS(INDEX($X$2:$X$1001,MATCH(ROWS($V$2:V777),$V$2:$V$1001,0),0), INDEX($AC$1004:$AS$1004,1,MATCH(COLUMNS($AC$1006:AJ1006),$AC$1006:$AS$1006,0)))),"Fix")))</f>
        <v xml:space="preserve"> </v>
      </c>
      <c r="J777" s="4" t="str">
        <f ca="1">IF(OR(INDEX($W$2:$W$1001,MATCH(ROWS($V$2:V777),$V$2:$V$1001,0),1)&gt;=100000,INDEX($AC$1005:$AS$1005,1,MATCH(COLUMNS($AC$1006:AK1006),$AC$1006:$AS$1006,0))&gt;=100000), " ",IF(INDEX($AC$2:$AS$1001,MATCH(ROWS($V$2:V777),$V$2:$V$1001,0),MATCH(COLUMNS($AC$1006:AK1006),$AC$1006:$AS$1006,0)), HYPERLINK("#",""), HYPERLINK(CONCATENATE("#metadata!", ADDRESS(INDEX($X$2:$X$1001,MATCH(ROWS($V$2:V777),$V$2:$V$1001,0),0), INDEX($AC$1004:$AS$1004,1,MATCH(COLUMNS($AC$1006:AK1006),$AC$1006:$AS$1006,0)))),"Fix")))</f>
        <v xml:space="preserve"> </v>
      </c>
      <c r="K777" s="4" t="str">
        <f ca="1">IF(OR(INDEX($W$2:$W$1001,MATCH(ROWS($V$2:V777),$V$2:$V$1001,0),1)&gt;=100000,INDEX($AC$1005:$AS$1005,1,MATCH(COLUMNS($AC$1006:AL1006),$AC$1006:$AS$1006,0))&gt;=100000), " ",IF(INDEX($AC$2:$AS$1001,MATCH(ROWS($V$2:V777),$V$2:$V$1001,0),MATCH(COLUMNS($AC$1006:AL1006),$AC$1006:$AS$1006,0)), HYPERLINK("#",""), HYPERLINK(CONCATENATE("#metadata!", ADDRESS(INDEX($X$2:$X$1001,MATCH(ROWS($V$2:V777),$V$2:$V$1001,0),0), INDEX($AC$1004:$AS$1004,1,MATCH(COLUMNS($AC$1006:AL1006),$AC$1006:$AS$1006,0)))),"Fix")))</f>
        <v xml:space="preserve"> </v>
      </c>
      <c r="L777" s="4" t="str">
        <f ca="1">IF(OR(INDEX($W$2:$W$1001,MATCH(ROWS($V$2:V777),$V$2:$V$1001,0),1)&gt;=100000,INDEX($AC$1005:$AS$1005,1,MATCH(COLUMNS($AC$1006:AM1006),$AC$1006:$AS$1006,0))&gt;=100000), " ",IF(INDEX($AC$2:$AS$1001,MATCH(ROWS($V$2:V777),$V$2:$V$1001,0),MATCH(COLUMNS($AC$1006:AM1006),$AC$1006:$AS$1006,0)), HYPERLINK("#",""), HYPERLINK(CONCATENATE("#metadata!", ADDRESS(INDEX($X$2:$X$1001,MATCH(ROWS($V$2:V777),$V$2:$V$1001,0),0), INDEX($AC$1004:$AS$1004,1,MATCH(COLUMNS($AC$1006:AM1006),$AC$1006:$AS$1006,0)))),"Fix")))</f>
        <v xml:space="preserve"> </v>
      </c>
      <c r="M777" s="4" t="str">
        <f ca="1">IF(OR(INDEX($W$2:$W$1001,MATCH(ROWS($V$2:V777),$V$2:$V$1001,0),1)&gt;=100000,INDEX($AC$1005:$AS$1005,1,MATCH(COLUMNS($AC$1006:AN1006),$AC$1006:$AS$1006,0))&gt;=100000), " ",IF(INDEX($AC$2:$AS$1001,MATCH(ROWS($V$2:V777),$V$2:$V$1001,0),MATCH(COLUMNS($AC$1006:AN1006),$AC$1006:$AS$1006,0)), HYPERLINK("#",""), HYPERLINK(CONCATENATE("#metadata!", ADDRESS(INDEX($X$2:$X$1001,MATCH(ROWS($V$2:V777),$V$2:$V$1001,0),0), INDEX($AC$1004:$AS$1004,1,MATCH(COLUMNS($AC$1006:AN1006),$AC$1006:$AS$1006,0)))),"Fix")))</f>
        <v xml:space="preserve"> </v>
      </c>
      <c r="N777" s="4" t="str">
        <f ca="1">IF(OR(INDEX($W$2:$W$1001,MATCH(ROWS($V$2:V777),$V$2:$V$1001,0),1)&gt;=100000,INDEX($AC$1005:$AS$1005,1,MATCH(COLUMNS($AC$1006:AO1006),$AC$1006:$AS$1006,0))&gt;=100000), " ",IF(INDEX($AC$2:$AS$1001,MATCH(ROWS($V$2:V777),$V$2:$V$1001,0),MATCH(COLUMNS($AC$1006:AO1006),$AC$1006:$AS$1006,0)), HYPERLINK("#",""), HYPERLINK(CONCATENATE("#metadata!", ADDRESS(INDEX($X$2:$X$1001,MATCH(ROWS($V$2:V777),$V$2:$V$1001,0),0), INDEX($AC$1004:$AS$1004,1,MATCH(COLUMNS($AC$1006:AO1006),$AC$1006:$AS$1006,0)))),"Fix")))</f>
        <v xml:space="preserve"> </v>
      </c>
      <c r="O777" s="4" t="str">
        <f ca="1">IF(OR(INDEX($W$2:$W$1001,MATCH(ROWS($V$2:V777),$V$2:$V$1001,0),1)&gt;=100000,INDEX($AC$1005:$AS$1005,1,MATCH(COLUMNS($AC$1006:AP1006),$AC$1006:$AS$1006,0))&gt;=100000), " ",IF(INDEX($AC$2:$AS$1001,MATCH(ROWS($V$2:V777),$V$2:$V$1001,0),MATCH(COLUMNS($AC$1006:AP1006),$AC$1006:$AS$1006,0)), HYPERLINK("#",""), HYPERLINK(CONCATENATE("#metadata!", ADDRESS(INDEX($X$2:$X$1001,MATCH(ROWS($V$2:V777),$V$2:$V$1001,0),0), INDEX($AC$1004:$AS$1004,1,MATCH(COLUMNS($AC$1006:AP1006),$AC$1006:$AS$1006,0)))),"Fix")))</f>
        <v xml:space="preserve"> </v>
      </c>
      <c r="P777" s="4" t="str">
        <f ca="1">IF(OR(INDEX($W$2:$W$1001,MATCH(ROWS($V$2:V777),$V$2:$V$1001,0),1)&gt;=100000,INDEX($AC$1005:$AS$1005,1,MATCH(COLUMNS($AC$1006:AQ1006),$AC$1006:$AS$1006,0))&gt;=100000), " ",IF(INDEX($AC$2:$AS$1001,MATCH(ROWS($V$2:V777),$V$2:$V$1001,0),MATCH(COLUMNS($AC$1006:AQ1006),$AC$1006:$AS$1006,0)), HYPERLINK("#",""), HYPERLINK(CONCATENATE("#metadata!", ADDRESS(INDEX($X$2:$X$1001,MATCH(ROWS($V$2:V777),$V$2:$V$1001,0),0), INDEX($AC$1004:$AS$1004,1,MATCH(COLUMNS($AC$1006:AQ1006),$AC$1006:$AS$1006,0)))),"Fix")))</f>
        <v xml:space="preserve"> </v>
      </c>
      <c r="Q777" s="4" t="str">
        <f ca="1">IF(OR(INDEX($W$2:$W$1001,MATCH(ROWS($V$2:V777),$V$2:$V$1001,0),1)&gt;=100000,INDEX($AC$1005:$AS$1005,1,MATCH(COLUMNS($AC$1006:AR1006),$AC$1006:$AS$1006,0))&gt;=100000), " ",IF(INDEX($AC$2:$AS$1001,MATCH(ROWS($V$2:V777),$V$2:$V$1001,0),MATCH(COLUMNS($AC$1006:AR1006),$AC$1006:$AS$1006,0)), HYPERLINK("#",""), HYPERLINK(CONCATENATE("#metadata!", ADDRESS(INDEX($X$2:$X$1001,MATCH(ROWS($V$2:V777),$V$2:$V$1001,0),0), INDEX($AC$1004:$AS$1004,1,MATCH(COLUMNS($AC$1006:AR1006),$AC$1006:$AS$1006,0)))),"Fix")))</f>
        <v xml:space="preserve"> </v>
      </c>
      <c r="R777" s="4" t="str">
        <f ca="1">IF(OR(INDEX($W$2:$W$1001,MATCH(ROWS($V$2:V777),$V$2:$V$1001,0),1)&gt;=100000,INDEX($AC$1005:$AS$1005,1,MATCH(COLUMNS($AC$1006:AS1006),$AC$1006:$AS$1006,0))&gt;=100000), " ",IF(INDEX($AC$2:$AS$1001,MATCH(ROWS($V$2:V777),$V$2:$V$1001,0),MATCH(COLUMNS($AC$1006:AS1006),$AC$1006:$AS$1006,0)), HYPERLINK("#",""), HYPERLINK(CONCATENATE("#metadata!", ADDRESS(INDEX($X$2:$X$1001,MATCH(ROWS($V$2:V777),$V$2:$V$1001,0),0), INDEX($AC$1004:$AS$1004,1,MATCH(COLUMNS($AC$1006:AS1006),$AC$1006:$AS$1006,0)))),"Fix")))</f>
        <v xml:space="preserve"> </v>
      </c>
      <c r="V777">
        <v>776</v>
      </c>
      <c r="W777">
        <v>100777</v>
      </c>
      <c r="X777">
        <v>777</v>
      </c>
      <c r="Y777" t="b">
        <f t="shared" si="12"/>
        <v>1</v>
      </c>
      <c r="Z777" t="b">
        <f>COUNTBLANK(metadata!B777:R777)=COLUMNS(metadata!B777:R777)</f>
        <v>1</v>
      </c>
      <c r="AA777" t="str">
        <v/>
      </c>
      <c r="AC777" t="b">
        <f ca="1"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AD777" t="b">
        <f>IF(metadata!C777="",FALSE,ISNUMBER(VALUE(metadata!C777)))</f>
        <v>0</v>
      </c>
      <c r="AE777" t="b">
        <f>AND(IF(metadata!D777="",FALSE,TRUE),EXACT(metadata!D777,"years"))</f>
        <v>0</v>
      </c>
      <c r="AF777" t="b">
        <f>OR(AND(IF(metadata!E777="",FALSE,TRUE),OR(EXACT(metadata!E777,"not applicable"),EXACT(metadata!E777,"missing: not collected"),EXACT(metadata!E777,"missing: not provided"),EXACT(metadata!E777,"missing: restricted access"))),AND(IF(metadata!E777="",FALSE,ISNUMBER(VALUE(metadata!E777))),metadata!E777&gt;0))</f>
        <v>0</v>
      </c>
      <c r="AG777" t="b">
        <f>AND(IF(metadata!F777="",FALSE,TRUE),EXACT(metadata!F777,"Not applicable"))</f>
        <v>0</v>
      </c>
      <c r="AH777" t="b">
        <f>AND(IF(metadata!G777="",FALSE,TRUE),EXACT(metadata!G777,"urban biome"))</f>
        <v>0</v>
      </c>
      <c r="AI777" t="b">
        <f>AND(IF(metadata!H777="",FALSE,TRUE),EXACT(metadata!H777,"human-associated habitat"))</f>
        <v>0</v>
      </c>
      <c r="AJ777" t="b">
        <f>AND(IF(metadata!I777="",FALSE,TRUE),OR(EXACT(metadata!I777,"human-associated"),EXACT(metadata!I777,"human-skin"),EXACT(metadata!I777,"human-oral"),EXACT(metadata!I777,"human-gut"),EXACT(metadata!I777,"human-vaginal")))</f>
        <v>0</v>
      </c>
      <c r="AK777" t="b">
        <f>IF(metadata!J777="",FALSE,ISNUMBER(VALUE(metadata!J777)))</f>
        <v>0</v>
      </c>
      <c r="AL777" t="b">
        <f>AND(IF(metadata!K777="",FALSE,TRUE),EXACT(metadata!K777,"cm"))</f>
        <v>0</v>
      </c>
      <c r="AM777" t="b">
        <f>AND(IF(metadata!L777="",FALSE,TRUE),EXACT(metadata!L777,"human"))</f>
        <v>0</v>
      </c>
      <c r="AN777" t="b">
        <f>AND(IF(metadata!M777="",FALSE,TRUE),EXACT(metadata!M777,"Homo sapiens"))</f>
        <v>0</v>
      </c>
      <c r="AO777" t="b">
        <f>AND(IF(metadata!N777="",FALSE,TRUE),EXACT(metadata!N777,"9606"))</f>
        <v>0</v>
      </c>
      <c r="AP777" t="b">
        <f>IF(metadata!O777="",FALSE,TRUE)</f>
        <v>0</v>
      </c>
      <c r="AQ777" t="b">
        <f>IF(metadata!P777="",FALSE,TRUE)</f>
        <v>0</v>
      </c>
      <c r="AR777" t="b">
        <f>IF(metadata!Q777="",FALSE,ISNUMBER(VALUE(metadata!Q777)))</f>
        <v>0</v>
      </c>
      <c r="AS777" t="b">
        <f>AND(IF(metadata!R777="",FALSE,TRUE),EXACT(metadata!R777,"kg"))</f>
        <v>0</v>
      </c>
    </row>
    <row r="778" spans="1:45" x14ac:dyDescent="0.2">
      <c r="A778" s="5" t="str">
        <f ca="1">IF(B778=" "," ",HYPERLINK(CONCATENATE("#metadata!",ADDRESS(INDEX($X$2:$X$1001,MATCH(ROWS($V$2:V778),$V$2:$V$1001,0),0),1)),INDEX($AA$2:$AA$1001,MATCH(ROWS($V$2:V778),$V$2:$V$1001,0),0)))</f>
        <v xml:space="preserve"> </v>
      </c>
      <c r="B778" s="4" t="str">
        <f ca="1">IF(OR(INDEX($W$2:$W$1001,MATCH(ROWS($V$2:V778),$V$2:$V$1001,0),1)&gt;=100000,INDEX($AC$1005:$AS$1005,1,MATCH(COLUMNS($AC$1006:AC1006),$AC$1006:$AS$1006,0))&gt;=100000), " ",IF(INDEX($AC$2:$AS$1001,MATCH(ROWS($V$2:V778),$V$2:$V$1001,0),MATCH(COLUMNS($AC$1006:AC1006),$AC$1006:$AS$1006,0)), HYPERLINK("#",""), HYPERLINK(CONCATENATE("#metadata!", ADDRESS(INDEX($X$2:$X$1001,MATCH(ROWS($V$2:V778),$V$2:$V$1001,0),0), INDEX($AC$1004:$AS$1004,1,MATCH(COLUMNS($AC$1006:AC1006),$AC$1006:$AS$1006,0)))),"Fix")))</f>
        <v xml:space="preserve"> </v>
      </c>
      <c r="C778" s="4" t="str">
        <f ca="1">IF(OR(INDEX($W$2:$W$1001,MATCH(ROWS($V$2:V778),$V$2:$V$1001,0),1)&gt;=100000,INDEX($AC$1005:$AS$1005,1,MATCH(COLUMNS($AC$1006:AD1006),$AC$1006:$AS$1006,0))&gt;=100000), " ",IF(INDEX($AC$2:$AS$1001,MATCH(ROWS($V$2:V778),$V$2:$V$1001,0),MATCH(COLUMNS($AC$1006:AD1006),$AC$1006:$AS$1006,0)), HYPERLINK("#",""), HYPERLINK(CONCATENATE("#metadata!", ADDRESS(INDEX($X$2:$X$1001,MATCH(ROWS($V$2:V778),$V$2:$V$1001,0),0), INDEX($AC$1004:$AS$1004,1,MATCH(COLUMNS($AC$1006:AD1006),$AC$1006:$AS$1006,0)))),"Fix")))</f>
        <v xml:space="preserve"> </v>
      </c>
      <c r="D778" s="4" t="str">
        <f ca="1">IF(OR(INDEX($W$2:$W$1001,MATCH(ROWS($V$2:V778),$V$2:$V$1001,0),1)&gt;=100000,INDEX($AC$1005:$AS$1005,1,MATCH(COLUMNS($AC$1006:AE1006),$AC$1006:$AS$1006,0))&gt;=100000), " ",IF(INDEX($AC$2:$AS$1001,MATCH(ROWS($V$2:V778),$V$2:$V$1001,0),MATCH(COLUMNS($AC$1006:AE1006),$AC$1006:$AS$1006,0)), HYPERLINK("#",""), HYPERLINK(CONCATENATE("#metadata!", ADDRESS(INDEX($X$2:$X$1001,MATCH(ROWS($V$2:V778),$V$2:$V$1001,0),0), INDEX($AC$1004:$AS$1004,1,MATCH(COLUMNS($AC$1006:AE1006),$AC$1006:$AS$1006,0)))),"Fix")))</f>
        <v xml:space="preserve"> </v>
      </c>
      <c r="E778" s="4" t="str">
        <f ca="1">IF(OR(INDEX($W$2:$W$1001,MATCH(ROWS($V$2:V778),$V$2:$V$1001,0),1)&gt;=100000,INDEX($AC$1005:$AS$1005,1,MATCH(COLUMNS($AC$1006:AF1006),$AC$1006:$AS$1006,0))&gt;=100000), " ",IF(INDEX($AC$2:$AS$1001,MATCH(ROWS($V$2:V778),$V$2:$V$1001,0),MATCH(COLUMNS($AC$1006:AF1006),$AC$1006:$AS$1006,0)), HYPERLINK("#",""), HYPERLINK(CONCATENATE("#metadata!", ADDRESS(INDEX($X$2:$X$1001,MATCH(ROWS($V$2:V778),$V$2:$V$1001,0),0), INDEX($AC$1004:$AS$1004,1,MATCH(COLUMNS($AC$1006:AF1006),$AC$1006:$AS$1006,0)))),"Fix")))</f>
        <v xml:space="preserve"> </v>
      </c>
      <c r="F778" s="4" t="str">
        <f ca="1">IF(OR(INDEX($W$2:$W$1001,MATCH(ROWS($V$2:V778),$V$2:$V$1001,0),1)&gt;=100000,INDEX($AC$1005:$AS$1005,1,MATCH(COLUMNS($AC$1006:AG1006),$AC$1006:$AS$1006,0))&gt;=100000), " ",IF(INDEX($AC$2:$AS$1001,MATCH(ROWS($V$2:V778),$V$2:$V$1001,0),MATCH(COLUMNS($AC$1006:AG1006),$AC$1006:$AS$1006,0)), HYPERLINK("#",""), HYPERLINK(CONCATENATE("#metadata!", ADDRESS(INDEX($X$2:$X$1001,MATCH(ROWS($V$2:V778),$V$2:$V$1001,0),0), INDEX($AC$1004:$AS$1004,1,MATCH(COLUMNS($AC$1006:AG1006),$AC$1006:$AS$1006,0)))),"Fix")))</f>
        <v xml:space="preserve"> </v>
      </c>
      <c r="G778" s="4" t="str">
        <f ca="1">IF(OR(INDEX($W$2:$W$1001,MATCH(ROWS($V$2:V778),$V$2:$V$1001,0),1)&gt;=100000,INDEX($AC$1005:$AS$1005,1,MATCH(COLUMNS($AC$1006:AH1006),$AC$1006:$AS$1006,0))&gt;=100000), " ",IF(INDEX($AC$2:$AS$1001,MATCH(ROWS($V$2:V778),$V$2:$V$1001,0),MATCH(COLUMNS($AC$1006:AH1006),$AC$1006:$AS$1006,0)), HYPERLINK("#",""), HYPERLINK(CONCATENATE("#metadata!", ADDRESS(INDEX($X$2:$X$1001,MATCH(ROWS($V$2:V778),$V$2:$V$1001,0),0), INDEX($AC$1004:$AS$1004,1,MATCH(COLUMNS($AC$1006:AH1006),$AC$1006:$AS$1006,0)))),"Fix")))</f>
        <v xml:space="preserve"> </v>
      </c>
      <c r="H778" s="4" t="str">
        <f ca="1">IF(OR(INDEX($W$2:$W$1001,MATCH(ROWS($V$2:V778),$V$2:$V$1001,0),1)&gt;=100000,INDEX($AC$1005:$AS$1005,1,MATCH(COLUMNS($AC$1006:AI1006),$AC$1006:$AS$1006,0))&gt;=100000), " ",IF(INDEX($AC$2:$AS$1001,MATCH(ROWS($V$2:V778),$V$2:$V$1001,0),MATCH(COLUMNS($AC$1006:AI1006),$AC$1006:$AS$1006,0)), HYPERLINK("#",""), HYPERLINK(CONCATENATE("#metadata!", ADDRESS(INDEX($X$2:$X$1001,MATCH(ROWS($V$2:V778),$V$2:$V$1001,0),0), INDEX($AC$1004:$AS$1004,1,MATCH(COLUMNS($AC$1006:AI1006),$AC$1006:$AS$1006,0)))),"Fix")))</f>
        <v xml:space="preserve"> </v>
      </c>
      <c r="I778" s="4" t="str">
        <f ca="1">IF(OR(INDEX($W$2:$W$1001,MATCH(ROWS($V$2:V778),$V$2:$V$1001,0),1)&gt;=100000,INDEX($AC$1005:$AS$1005,1,MATCH(COLUMNS($AC$1006:AJ1006),$AC$1006:$AS$1006,0))&gt;=100000), " ",IF(INDEX($AC$2:$AS$1001,MATCH(ROWS($V$2:V778),$V$2:$V$1001,0),MATCH(COLUMNS($AC$1006:AJ1006),$AC$1006:$AS$1006,0)), HYPERLINK("#",""), HYPERLINK(CONCATENATE("#metadata!", ADDRESS(INDEX($X$2:$X$1001,MATCH(ROWS($V$2:V778),$V$2:$V$1001,0),0), INDEX($AC$1004:$AS$1004,1,MATCH(COLUMNS($AC$1006:AJ1006),$AC$1006:$AS$1006,0)))),"Fix")))</f>
        <v xml:space="preserve"> </v>
      </c>
      <c r="J778" s="4" t="str">
        <f ca="1">IF(OR(INDEX($W$2:$W$1001,MATCH(ROWS($V$2:V778),$V$2:$V$1001,0),1)&gt;=100000,INDEX($AC$1005:$AS$1005,1,MATCH(COLUMNS($AC$1006:AK1006),$AC$1006:$AS$1006,0))&gt;=100000), " ",IF(INDEX($AC$2:$AS$1001,MATCH(ROWS($V$2:V778),$V$2:$V$1001,0),MATCH(COLUMNS($AC$1006:AK1006),$AC$1006:$AS$1006,0)), HYPERLINK("#",""), HYPERLINK(CONCATENATE("#metadata!", ADDRESS(INDEX($X$2:$X$1001,MATCH(ROWS($V$2:V778),$V$2:$V$1001,0),0), INDEX($AC$1004:$AS$1004,1,MATCH(COLUMNS($AC$1006:AK1006),$AC$1006:$AS$1006,0)))),"Fix")))</f>
        <v xml:space="preserve"> </v>
      </c>
      <c r="K778" s="4" t="str">
        <f ca="1">IF(OR(INDEX($W$2:$W$1001,MATCH(ROWS($V$2:V778),$V$2:$V$1001,0),1)&gt;=100000,INDEX($AC$1005:$AS$1005,1,MATCH(COLUMNS($AC$1006:AL1006),$AC$1006:$AS$1006,0))&gt;=100000), " ",IF(INDEX($AC$2:$AS$1001,MATCH(ROWS($V$2:V778),$V$2:$V$1001,0),MATCH(COLUMNS($AC$1006:AL1006),$AC$1006:$AS$1006,0)), HYPERLINK("#",""), HYPERLINK(CONCATENATE("#metadata!", ADDRESS(INDEX($X$2:$X$1001,MATCH(ROWS($V$2:V778),$V$2:$V$1001,0),0), INDEX($AC$1004:$AS$1004,1,MATCH(COLUMNS($AC$1006:AL1006),$AC$1006:$AS$1006,0)))),"Fix")))</f>
        <v xml:space="preserve"> </v>
      </c>
      <c r="L778" s="4" t="str">
        <f ca="1">IF(OR(INDEX($W$2:$W$1001,MATCH(ROWS($V$2:V778),$V$2:$V$1001,0),1)&gt;=100000,INDEX($AC$1005:$AS$1005,1,MATCH(COLUMNS($AC$1006:AM1006),$AC$1006:$AS$1006,0))&gt;=100000), " ",IF(INDEX($AC$2:$AS$1001,MATCH(ROWS($V$2:V778),$V$2:$V$1001,0),MATCH(COLUMNS($AC$1006:AM1006),$AC$1006:$AS$1006,0)), HYPERLINK("#",""), HYPERLINK(CONCATENATE("#metadata!", ADDRESS(INDEX($X$2:$X$1001,MATCH(ROWS($V$2:V778),$V$2:$V$1001,0),0), INDEX($AC$1004:$AS$1004,1,MATCH(COLUMNS($AC$1006:AM1006),$AC$1006:$AS$1006,0)))),"Fix")))</f>
        <v xml:space="preserve"> </v>
      </c>
      <c r="M778" s="4" t="str">
        <f ca="1">IF(OR(INDEX($W$2:$W$1001,MATCH(ROWS($V$2:V778),$V$2:$V$1001,0),1)&gt;=100000,INDEX($AC$1005:$AS$1005,1,MATCH(COLUMNS($AC$1006:AN1006),$AC$1006:$AS$1006,0))&gt;=100000), " ",IF(INDEX($AC$2:$AS$1001,MATCH(ROWS($V$2:V778),$V$2:$V$1001,0),MATCH(COLUMNS($AC$1006:AN1006),$AC$1006:$AS$1006,0)), HYPERLINK("#",""), HYPERLINK(CONCATENATE("#metadata!", ADDRESS(INDEX($X$2:$X$1001,MATCH(ROWS($V$2:V778),$V$2:$V$1001,0),0), INDEX($AC$1004:$AS$1004,1,MATCH(COLUMNS($AC$1006:AN1006),$AC$1006:$AS$1006,0)))),"Fix")))</f>
        <v xml:space="preserve"> </v>
      </c>
      <c r="N778" s="4" t="str">
        <f ca="1">IF(OR(INDEX($W$2:$W$1001,MATCH(ROWS($V$2:V778),$V$2:$V$1001,0),1)&gt;=100000,INDEX($AC$1005:$AS$1005,1,MATCH(COLUMNS($AC$1006:AO1006),$AC$1006:$AS$1006,0))&gt;=100000), " ",IF(INDEX($AC$2:$AS$1001,MATCH(ROWS($V$2:V778),$V$2:$V$1001,0),MATCH(COLUMNS($AC$1006:AO1006),$AC$1006:$AS$1006,0)), HYPERLINK("#",""), HYPERLINK(CONCATENATE("#metadata!", ADDRESS(INDEX($X$2:$X$1001,MATCH(ROWS($V$2:V778),$V$2:$V$1001,0),0), INDEX($AC$1004:$AS$1004,1,MATCH(COLUMNS($AC$1006:AO1006),$AC$1006:$AS$1006,0)))),"Fix")))</f>
        <v xml:space="preserve"> </v>
      </c>
      <c r="O778" s="4" t="str">
        <f ca="1">IF(OR(INDEX($W$2:$W$1001,MATCH(ROWS($V$2:V778),$V$2:$V$1001,0),1)&gt;=100000,INDEX($AC$1005:$AS$1005,1,MATCH(COLUMNS($AC$1006:AP1006),$AC$1006:$AS$1006,0))&gt;=100000), " ",IF(INDEX($AC$2:$AS$1001,MATCH(ROWS($V$2:V778),$V$2:$V$1001,0),MATCH(COLUMNS($AC$1006:AP1006),$AC$1006:$AS$1006,0)), HYPERLINK("#",""), HYPERLINK(CONCATENATE("#metadata!", ADDRESS(INDEX($X$2:$X$1001,MATCH(ROWS($V$2:V778),$V$2:$V$1001,0),0), INDEX($AC$1004:$AS$1004,1,MATCH(COLUMNS($AC$1006:AP1006),$AC$1006:$AS$1006,0)))),"Fix")))</f>
        <v xml:space="preserve"> </v>
      </c>
      <c r="P778" s="4" t="str">
        <f ca="1">IF(OR(INDEX($W$2:$W$1001,MATCH(ROWS($V$2:V778),$V$2:$V$1001,0),1)&gt;=100000,INDEX($AC$1005:$AS$1005,1,MATCH(COLUMNS($AC$1006:AQ1006),$AC$1006:$AS$1006,0))&gt;=100000), " ",IF(INDEX($AC$2:$AS$1001,MATCH(ROWS($V$2:V778),$V$2:$V$1001,0),MATCH(COLUMNS($AC$1006:AQ1006),$AC$1006:$AS$1006,0)), HYPERLINK("#",""), HYPERLINK(CONCATENATE("#metadata!", ADDRESS(INDEX($X$2:$X$1001,MATCH(ROWS($V$2:V778),$V$2:$V$1001,0),0), INDEX($AC$1004:$AS$1004,1,MATCH(COLUMNS($AC$1006:AQ1006),$AC$1006:$AS$1006,0)))),"Fix")))</f>
        <v xml:space="preserve"> </v>
      </c>
      <c r="Q778" s="4" t="str">
        <f ca="1">IF(OR(INDEX($W$2:$W$1001,MATCH(ROWS($V$2:V778),$V$2:$V$1001,0),1)&gt;=100000,INDEX($AC$1005:$AS$1005,1,MATCH(COLUMNS($AC$1006:AR1006),$AC$1006:$AS$1006,0))&gt;=100000), " ",IF(INDEX($AC$2:$AS$1001,MATCH(ROWS($V$2:V778),$V$2:$V$1001,0),MATCH(COLUMNS($AC$1006:AR1006),$AC$1006:$AS$1006,0)), HYPERLINK("#",""), HYPERLINK(CONCATENATE("#metadata!", ADDRESS(INDEX($X$2:$X$1001,MATCH(ROWS($V$2:V778),$V$2:$V$1001,0),0), INDEX($AC$1004:$AS$1004,1,MATCH(COLUMNS($AC$1006:AR1006),$AC$1006:$AS$1006,0)))),"Fix")))</f>
        <v xml:space="preserve"> </v>
      </c>
      <c r="R778" s="4" t="str">
        <f ca="1">IF(OR(INDEX($W$2:$W$1001,MATCH(ROWS($V$2:V778),$V$2:$V$1001,0),1)&gt;=100000,INDEX($AC$1005:$AS$1005,1,MATCH(COLUMNS($AC$1006:AS1006),$AC$1006:$AS$1006,0))&gt;=100000), " ",IF(INDEX($AC$2:$AS$1001,MATCH(ROWS($V$2:V778),$V$2:$V$1001,0),MATCH(COLUMNS($AC$1006:AS1006),$AC$1006:$AS$1006,0)), HYPERLINK("#",""), HYPERLINK(CONCATENATE("#metadata!", ADDRESS(INDEX($X$2:$X$1001,MATCH(ROWS($V$2:V778),$V$2:$V$1001,0),0), INDEX($AC$1004:$AS$1004,1,MATCH(COLUMNS($AC$1006:AS1006),$AC$1006:$AS$1006,0)))),"Fix")))</f>
        <v xml:space="preserve"> </v>
      </c>
      <c r="V778">
        <v>777</v>
      </c>
      <c r="W778">
        <v>100778</v>
      </c>
      <c r="X778">
        <v>778</v>
      </c>
      <c r="Y778" t="b">
        <f t="shared" si="12"/>
        <v>1</v>
      </c>
      <c r="Z778" t="b">
        <f>COUNTBLANK(metadata!B778:R778)=COLUMNS(metadata!B778:R778)</f>
        <v>1</v>
      </c>
      <c r="AA778" t="str">
        <v/>
      </c>
      <c r="AC778" t="b">
        <f ca="1"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AD778" t="b">
        <f>IF(metadata!C778="",FALSE,ISNUMBER(VALUE(metadata!C778)))</f>
        <v>0</v>
      </c>
      <c r="AE778" t="b">
        <f>AND(IF(metadata!D778="",FALSE,TRUE),EXACT(metadata!D778,"years"))</f>
        <v>0</v>
      </c>
      <c r="AF778" t="b">
        <f>OR(AND(IF(metadata!E778="",FALSE,TRUE),OR(EXACT(metadata!E778,"not applicable"),EXACT(metadata!E778,"missing: not collected"),EXACT(metadata!E778,"missing: not provided"),EXACT(metadata!E778,"missing: restricted access"))),AND(IF(metadata!E778="",FALSE,ISNUMBER(VALUE(metadata!E778))),metadata!E778&gt;0))</f>
        <v>0</v>
      </c>
      <c r="AG778" t="b">
        <f>AND(IF(metadata!F778="",FALSE,TRUE),EXACT(metadata!F778,"Not applicable"))</f>
        <v>0</v>
      </c>
      <c r="AH778" t="b">
        <f>AND(IF(metadata!G778="",FALSE,TRUE),EXACT(metadata!G778,"urban biome"))</f>
        <v>0</v>
      </c>
      <c r="AI778" t="b">
        <f>AND(IF(metadata!H778="",FALSE,TRUE),EXACT(metadata!H778,"human-associated habitat"))</f>
        <v>0</v>
      </c>
      <c r="AJ778" t="b">
        <f>AND(IF(metadata!I778="",FALSE,TRUE),OR(EXACT(metadata!I778,"human-associated"),EXACT(metadata!I778,"human-skin"),EXACT(metadata!I778,"human-oral"),EXACT(metadata!I778,"human-gut"),EXACT(metadata!I778,"human-vaginal")))</f>
        <v>0</v>
      </c>
      <c r="AK778" t="b">
        <f>IF(metadata!J778="",FALSE,ISNUMBER(VALUE(metadata!J778)))</f>
        <v>0</v>
      </c>
      <c r="AL778" t="b">
        <f>AND(IF(metadata!K778="",FALSE,TRUE),EXACT(metadata!K778,"cm"))</f>
        <v>0</v>
      </c>
      <c r="AM778" t="b">
        <f>AND(IF(metadata!L778="",FALSE,TRUE),EXACT(metadata!L778,"human"))</f>
        <v>0</v>
      </c>
      <c r="AN778" t="b">
        <f>AND(IF(metadata!M778="",FALSE,TRUE),EXACT(metadata!M778,"Homo sapiens"))</f>
        <v>0</v>
      </c>
      <c r="AO778" t="b">
        <f>AND(IF(metadata!N778="",FALSE,TRUE),EXACT(metadata!N778,"9606"))</f>
        <v>0</v>
      </c>
      <c r="AP778" t="b">
        <f>IF(metadata!O778="",FALSE,TRUE)</f>
        <v>0</v>
      </c>
      <c r="AQ778" t="b">
        <f>IF(metadata!P778="",FALSE,TRUE)</f>
        <v>0</v>
      </c>
      <c r="AR778" t="b">
        <f>IF(metadata!Q778="",FALSE,ISNUMBER(VALUE(metadata!Q778)))</f>
        <v>0</v>
      </c>
      <c r="AS778" t="b">
        <f>AND(IF(metadata!R778="",FALSE,TRUE),EXACT(metadata!R778,"kg"))</f>
        <v>0</v>
      </c>
    </row>
    <row r="779" spans="1:45" x14ac:dyDescent="0.2">
      <c r="A779" s="5" t="str">
        <f ca="1">IF(B779=" "," ",HYPERLINK(CONCATENATE("#metadata!",ADDRESS(INDEX($X$2:$X$1001,MATCH(ROWS($V$2:V779),$V$2:$V$1001,0),0),1)),INDEX($AA$2:$AA$1001,MATCH(ROWS($V$2:V779),$V$2:$V$1001,0),0)))</f>
        <v xml:space="preserve"> </v>
      </c>
      <c r="B779" s="4" t="str">
        <f ca="1">IF(OR(INDEX($W$2:$W$1001,MATCH(ROWS($V$2:V779),$V$2:$V$1001,0),1)&gt;=100000,INDEX($AC$1005:$AS$1005,1,MATCH(COLUMNS($AC$1006:AC1006),$AC$1006:$AS$1006,0))&gt;=100000), " ",IF(INDEX($AC$2:$AS$1001,MATCH(ROWS($V$2:V779),$V$2:$V$1001,0),MATCH(COLUMNS($AC$1006:AC1006),$AC$1006:$AS$1006,0)), HYPERLINK("#",""), HYPERLINK(CONCATENATE("#metadata!", ADDRESS(INDEX($X$2:$X$1001,MATCH(ROWS($V$2:V779),$V$2:$V$1001,0),0), INDEX($AC$1004:$AS$1004,1,MATCH(COLUMNS($AC$1006:AC1006),$AC$1006:$AS$1006,0)))),"Fix")))</f>
        <v xml:space="preserve"> </v>
      </c>
      <c r="C779" s="4" t="str">
        <f ca="1">IF(OR(INDEX($W$2:$W$1001,MATCH(ROWS($V$2:V779),$V$2:$V$1001,0),1)&gt;=100000,INDEX($AC$1005:$AS$1005,1,MATCH(COLUMNS($AC$1006:AD1006),$AC$1006:$AS$1006,0))&gt;=100000), " ",IF(INDEX($AC$2:$AS$1001,MATCH(ROWS($V$2:V779),$V$2:$V$1001,0),MATCH(COLUMNS($AC$1006:AD1006),$AC$1006:$AS$1006,0)), HYPERLINK("#",""), HYPERLINK(CONCATENATE("#metadata!", ADDRESS(INDEX($X$2:$X$1001,MATCH(ROWS($V$2:V779),$V$2:$V$1001,0),0), INDEX($AC$1004:$AS$1004,1,MATCH(COLUMNS($AC$1006:AD1006),$AC$1006:$AS$1006,0)))),"Fix")))</f>
        <v xml:space="preserve"> </v>
      </c>
      <c r="D779" s="4" t="str">
        <f ca="1">IF(OR(INDEX($W$2:$W$1001,MATCH(ROWS($V$2:V779),$V$2:$V$1001,0),1)&gt;=100000,INDEX($AC$1005:$AS$1005,1,MATCH(COLUMNS($AC$1006:AE1006),$AC$1006:$AS$1006,0))&gt;=100000), " ",IF(INDEX($AC$2:$AS$1001,MATCH(ROWS($V$2:V779),$V$2:$V$1001,0),MATCH(COLUMNS($AC$1006:AE1006),$AC$1006:$AS$1006,0)), HYPERLINK("#",""), HYPERLINK(CONCATENATE("#metadata!", ADDRESS(INDEX($X$2:$X$1001,MATCH(ROWS($V$2:V779),$V$2:$V$1001,0),0), INDEX($AC$1004:$AS$1004,1,MATCH(COLUMNS($AC$1006:AE1006),$AC$1006:$AS$1006,0)))),"Fix")))</f>
        <v xml:space="preserve"> </v>
      </c>
      <c r="E779" s="4" t="str">
        <f ca="1">IF(OR(INDEX($W$2:$W$1001,MATCH(ROWS($V$2:V779),$V$2:$V$1001,0),1)&gt;=100000,INDEX($AC$1005:$AS$1005,1,MATCH(COLUMNS($AC$1006:AF1006),$AC$1006:$AS$1006,0))&gt;=100000), " ",IF(INDEX($AC$2:$AS$1001,MATCH(ROWS($V$2:V779),$V$2:$V$1001,0),MATCH(COLUMNS($AC$1006:AF1006),$AC$1006:$AS$1006,0)), HYPERLINK("#",""), HYPERLINK(CONCATENATE("#metadata!", ADDRESS(INDEX($X$2:$X$1001,MATCH(ROWS($V$2:V779),$V$2:$V$1001,0),0), INDEX($AC$1004:$AS$1004,1,MATCH(COLUMNS($AC$1006:AF1006),$AC$1006:$AS$1006,0)))),"Fix")))</f>
        <v xml:space="preserve"> </v>
      </c>
      <c r="F779" s="4" t="str">
        <f ca="1">IF(OR(INDEX($W$2:$W$1001,MATCH(ROWS($V$2:V779),$V$2:$V$1001,0),1)&gt;=100000,INDEX($AC$1005:$AS$1005,1,MATCH(COLUMNS($AC$1006:AG1006),$AC$1006:$AS$1006,0))&gt;=100000), " ",IF(INDEX($AC$2:$AS$1001,MATCH(ROWS($V$2:V779),$V$2:$V$1001,0),MATCH(COLUMNS($AC$1006:AG1006),$AC$1006:$AS$1006,0)), HYPERLINK("#",""), HYPERLINK(CONCATENATE("#metadata!", ADDRESS(INDEX($X$2:$X$1001,MATCH(ROWS($V$2:V779),$V$2:$V$1001,0),0), INDEX($AC$1004:$AS$1004,1,MATCH(COLUMNS($AC$1006:AG1006),$AC$1006:$AS$1006,0)))),"Fix")))</f>
        <v xml:space="preserve"> </v>
      </c>
      <c r="G779" s="4" t="str">
        <f ca="1">IF(OR(INDEX($W$2:$W$1001,MATCH(ROWS($V$2:V779),$V$2:$V$1001,0),1)&gt;=100000,INDEX($AC$1005:$AS$1005,1,MATCH(COLUMNS($AC$1006:AH1006),$AC$1006:$AS$1006,0))&gt;=100000), " ",IF(INDEX($AC$2:$AS$1001,MATCH(ROWS($V$2:V779),$V$2:$V$1001,0),MATCH(COLUMNS($AC$1006:AH1006),$AC$1006:$AS$1006,0)), HYPERLINK("#",""), HYPERLINK(CONCATENATE("#metadata!", ADDRESS(INDEX($X$2:$X$1001,MATCH(ROWS($V$2:V779),$V$2:$V$1001,0),0), INDEX($AC$1004:$AS$1004,1,MATCH(COLUMNS($AC$1006:AH1006),$AC$1006:$AS$1006,0)))),"Fix")))</f>
        <v xml:space="preserve"> </v>
      </c>
      <c r="H779" s="4" t="str">
        <f ca="1">IF(OR(INDEX($W$2:$W$1001,MATCH(ROWS($V$2:V779),$V$2:$V$1001,0),1)&gt;=100000,INDEX($AC$1005:$AS$1005,1,MATCH(COLUMNS($AC$1006:AI1006),$AC$1006:$AS$1006,0))&gt;=100000), " ",IF(INDEX($AC$2:$AS$1001,MATCH(ROWS($V$2:V779),$V$2:$V$1001,0),MATCH(COLUMNS($AC$1006:AI1006),$AC$1006:$AS$1006,0)), HYPERLINK("#",""), HYPERLINK(CONCATENATE("#metadata!", ADDRESS(INDEX($X$2:$X$1001,MATCH(ROWS($V$2:V779),$V$2:$V$1001,0),0), INDEX($AC$1004:$AS$1004,1,MATCH(COLUMNS($AC$1006:AI1006),$AC$1006:$AS$1006,0)))),"Fix")))</f>
        <v xml:space="preserve"> </v>
      </c>
      <c r="I779" s="4" t="str">
        <f ca="1">IF(OR(INDEX($W$2:$W$1001,MATCH(ROWS($V$2:V779),$V$2:$V$1001,0),1)&gt;=100000,INDEX($AC$1005:$AS$1005,1,MATCH(COLUMNS($AC$1006:AJ1006),$AC$1006:$AS$1006,0))&gt;=100000), " ",IF(INDEX($AC$2:$AS$1001,MATCH(ROWS($V$2:V779),$V$2:$V$1001,0),MATCH(COLUMNS($AC$1006:AJ1006),$AC$1006:$AS$1006,0)), HYPERLINK("#",""), HYPERLINK(CONCATENATE("#metadata!", ADDRESS(INDEX($X$2:$X$1001,MATCH(ROWS($V$2:V779),$V$2:$V$1001,0),0), INDEX($AC$1004:$AS$1004,1,MATCH(COLUMNS($AC$1006:AJ1006),$AC$1006:$AS$1006,0)))),"Fix")))</f>
        <v xml:space="preserve"> </v>
      </c>
      <c r="J779" s="4" t="str">
        <f ca="1">IF(OR(INDEX($W$2:$W$1001,MATCH(ROWS($V$2:V779),$V$2:$V$1001,0),1)&gt;=100000,INDEX($AC$1005:$AS$1005,1,MATCH(COLUMNS($AC$1006:AK1006),$AC$1006:$AS$1006,0))&gt;=100000), " ",IF(INDEX($AC$2:$AS$1001,MATCH(ROWS($V$2:V779),$V$2:$V$1001,0),MATCH(COLUMNS($AC$1006:AK1006),$AC$1006:$AS$1006,0)), HYPERLINK("#",""), HYPERLINK(CONCATENATE("#metadata!", ADDRESS(INDEX($X$2:$X$1001,MATCH(ROWS($V$2:V779),$V$2:$V$1001,0),0), INDEX($AC$1004:$AS$1004,1,MATCH(COLUMNS($AC$1006:AK1006),$AC$1006:$AS$1006,0)))),"Fix")))</f>
        <v xml:space="preserve"> </v>
      </c>
      <c r="K779" s="4" t="str">
        <f ca="1">IF(OR(INDEX($W$2:$W$1001,MATCH(ROWS($V$2:V779),$V$2:$V$1001,0),1)&gt;=100000,INDEX($AC$1005:$AS$1005,1,MATCH(COLUMNS($AC$1006:AL1006),$AC$1006:$AS$1006,0))&gt;=100000), " ",IF(INDEX($AC$2:$AS$1001,MATCH(ROWS($V$2:V779),$V$2:$V$1001,0),MATCH(COLUMNS($AC$1006:AL1006),$AC$1006:$AS$1006,0)), HYPERLINK("#",""), HYPERLINK(CONCATENATE("#metadata!", ADDRESS(INDEX($X$2:$X$1001,MATCH(ROWS($V$2:V779),$V$2:$V$1001,0),0), INDEX($AC$1004:$AS$1004,1,MATCH(COLUMNS($AC$1006:AL1006),$AC$1006:$AS$1006,0)))),"Fix")))</f>
        <v xml:space="preserve"> </v>
      </c>
      <c r="L779" s="4" t="str">
        <f ca="1">IF(OR(INDEX($W$2:$W$1001,MATCH(ROWS($V$2:V779),$V$2:$V$1001,0),1)&gt;=100000,INDEX($AC$1005:$AS$1005,1,MATCH(COLUMNS($AC$1006:AM1006),$AC$1006:$AS$1006,0))&gt;=100000), " ",IF(INDEX($AC$2:$AS$1001,MATCH(ROWS($V$2:V779),$V$2:$V$1001,0),MATCH(COLUMNS($AC$1006:AM1006),$AC$1006:$AS$1006,0)), HYPERLINK("#",""), HYPERLINK(CONCATENATE("#metadata!", ADDRESS(INDEX($X$2:$X$1001,MATCH(ROWS($V$2:V779),$V$2:$V$1001,0),0), INDEX($AC$1004:$AS$1004,1,MATCH(COLUMNS($AC$1006:AM1006),$AC$1006:$AS$1006,0)))),"Fix")))</f>
        <v xml:space="preserve"> </v>
      </c>
      <c r="M779" s="4" t="str">
        <f ca="1">IF(OR(INDEX($W$2:$W$1001,MATCH(ROWS($V$2:V779),$V$2:$V$1001,0),1)&gt;=100000,INDEX($AC$1005:$AS$1005,1,MATCH(COLUMNS($AC$1006:AN1006),$AC$1006:$AS$1006,0))&gt;=100000), " ",IF(INDEX($AC$2:$AS$1001,MATCH(ROWS($V$2:V779),$V$2:$V$1001,0),MATCH(COLUMNS($AC$1006:AN1006),$AC$1006:$AS$1006,0)), HYPERLINK("#",""), HYPERLINK(CONCATENATE("#metadata!", ADDRESS(INDEX($X$2:$X$1001,MATCH(ROWS($V$2:V779),$V$2:$V$1001,0),0), INDEX($AC$1004:$AS$1004,1,MATCH(COLUMNS($AC$1006:AN1006),$AC$1006:$AS$1006,0)))),"Fix")))</f>
        <v xml:space="preserve"> </v>
      </c>
      <c r="N779" s="4" t="str">
        <f ca="1">IF(OR(INDEX($W$2:$W$1001,MATCH(ROWS($V$2:V779),$V$2:$V$1001,0),1)&gt;=100000,INDEX($AC$1005:$AS$1005,1,MATCH(COLUMNS($AC$1006:AO1006),$AC$1006:$AS$1006,0))&gt;=100000), " ",IF(INDEX($AC$2:$AS$1001,MATCH(ROWS($V$2:V779),$V$2:$V$1001,0),MATCH(COLUMNS($AC$1006:AO1006),$AC$1006:$AS$1006,0)), HYPERLINK("#",""), HYPERLINK(CONCATENATE("#metadata!", ADDRESS(INDEX($X$2:$X$1001,MATCH(ROWS($V$2:V779),$V$2:$V$1001,0),0), INDEX($AC$1004:$AS$1004,1,MATCH(COLUMNS($AC$1006:AO1006),$AC$1006:$AS$1006,0)))),"Fix")))</f>
        <v xml:space="preserve"> </v>
      </c>
      <c r="O779" s="4" t="str">
        <f ca="1">IF(OR(INDEX($W$2:$W$1001,MATCH(ROWS($V$2:V779),$V$2:$V$1001,0),1)&gt;=100000,INDEX($AC$1005:$AS$1005,1,MATCH(COLUMNS($AC$1006:AP1006),$AC$1006:$AS$1006,0))&gt;=100000), " ",IF(INDEX($AC$2:$AS$1001,MATCH(ROWS($V$2:V779),$V$2:$V$1001,0),MATCH(COLUMNS($AC$1006:AP1006),$AC$1006:$AS$1006,0)), HYPERLINK("#",""), HYPERLINK(CONCATENATE("#metadata!", ADDRESS(INDEX($X$2:$X$1001,MATCH(ROWS($V$2:V779),$V$2:$V$1001,0),0), INDEX($AC$1004:$AS$1004,1,MATCH(COLUMNS($AC$1006:AP1006),$AC$1006:$AS$1006,0)))),"Fix")))</f>
        <v xml:space="preserve"> </v>
      </c>
      <c r="P779" s="4" t="str">
        <f ca="1">IF(OR(INDEX($W$2:$W$1001,MATCH(ROWS($V$2:V779),$V$2:$V$1001,0),1)&gt;=100000,INDEX($AC$1005:$AS$1005,1,MATCH(COLUMNS($AC$1006:AQ1006),$AC$1006:$AS$1006,0))&gt;=100000), " ",IF(INDEX($AC$2:$AS$1001,MATCH(ROWS($V$2:V779),$V$2:$V$1001,0),MATCH(COLUMNS($AC$1006:AQ1006),$AC$1006:$AS$1006,0)), HYPERLINK("#",""), HYPERLINK(CONCATENATE("#metadata!", ADDRESS(INDEX($X$2:$X$1001,MATCH(ROWS($V$2:V779),$V$2:$V$1001,0),0), INDEX($AC$1004:$AS$1004,1,MATCH(COLUMNS($AC$1006:AQ1006),$AC$1006:$AS$1006,0)))),"Fix")))</f>
        <v xml:space="preserve"> </v>
      </c>
      <c r="Q779" s="4" t="str">
        <f ca="1">IF(OR(INDEX($W$2:$W$1001,MATCH(ROWS($V$2:V779),$V$2:$V$1001,0),1)&gt;=100000,INDEX($AC$1005:$AS$1005,1,MATCH(COLUMNS($AC$1006:AR1006),$AC$1006:$AS$1006,0))&gt;=100000), " ",IF(INDEX($AC$2:$AS$1001,MATCH(ROWS($V$2:V779),$V$2:$V$1001,0),MATCH(COLUMNS($AC$1006:AR1006),$AC$1006:$AS$1006,0)), HYPERLINK("#",""), HYPERLINK(CONCATENATE("#metadata!", ADDRESS(INDEX($X$2:$X$1001,MATCH(ROWS($V$2:V779),$V$2:$V$1001,0),0), INDEX($AC$1004:$AS$1004,1,MATCH(COLUMNS($AC$1006:AR1006),$AC$1006:$AS$1006,0)))),"Fix")))</f>
        <v xml:space="preserve"> </v>
      </c>
      <c r="R779" s="4" t="str">
        <f ca="1">IF(OR(INDEX($W$2:$W$1001,MATCH(ROWS($V$2:V779),$V$2:$V$1001,0),1)&gt;=100000,INDEX($AC$1005:$AS$1005,1,MATCH(COLUMNS($AC$1006:AS1006),$AC$1006:$AS$1006,0))&gt;=100000), " ",IF(INDEX($AC$2:$AS$1001,MATCH(ROWS($V$2:V779),$V$2:$V$1001,0),MATCH(COLUMNS($AC$1006:AS1006),$AC$1006:$AS$1006,0)), HYPERLINK("#",""), HYPERLINK(CONCATENATE("#metadata!", ADDRESS(INDEX($X$2:$X$1001,MATCH(ROWS($V$2:V779),$V$2:$V$1001,0),0), INDEX($AC$1004:$AS$1004,1,MATCH(COLUMNS($AC$1006:AS1006),$AC$1006:$AS$1006,0)))),"Fix")))</f>
        <v xml:space="preserve"> </v>
      </c>
      <c r="V779">
        <v>778</v>
      </c>
      <c r="W779">
        <v>100779</v>
      </c>
      <c r="X779">
        <v>779</v>
      </c>
      <c r="Y779" t="b">
        <f t="shared" si="12"/>
        <v>1</v>
      </c>
      <c r="Z779" t="b">
        <f>COUNTBLANK(metadata!B779:R779)=COLUMNS(metadata!B779:R779)</f>
        <v>1</v>
      </c>
      <c r="AA779" t="str">
        <v/>
      </c>
      <c r="AC779" t="b">
        <f ca="1"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AD779" t="b">
        <f>IF(metadata!C779="",FALSE,ISNUMBER(VALUE(metadata!C779)))</f>
        <v>0</v>
      </c>
      <c r="AE779" t="b">
        <f>AND(IF(metadata!D779="",FALSE,TRUE),EXACT(metadata!D779,"years"))</f>
        <v>0</v>
      </c>
      <c r="AF779" t="b">
        <f>OR(AND(IF(metadata!E779="",FALSE,TRUE),OR(EXACT(metadata!E779,"not applicable"),EXACT(metadata!E779,"missing: not collected"),EXACT(metadata!E779,"missing: not provided"),EXACT(metadata!E779,"missing: restricted access"))),AND(IF(metadata!E779="",FALSE,ISNUMBER(VALUE(metadata!E779))),metadata!E779&gt;0))</f>
        <v>0</v>
      </c>
      <c r="AG779" t="b">
        <f>AND(IF(metadata!F779="",FALSE,TRUE),EXACT(metadata!F779,"Not applicable"))</f>
        <v>0</v>
      </c>
      <c r="AH779" t="b">
        <f>AND(IF(metadata!G779="",FALSE,TRUE),EXACT(metadata!G779,"urban biome"))</f>
        <v>0</v>
      </c>
      <c r="AI779" t="b">
        <f>AND(IF(metadata!H779="",FALSE,TRUE),EXACT(metadata!H779,"human-associated habitat"))</f>
        <v>0</v>
      </c>
      <c r="AJ779" t="b">
        <f>AND(IF(metadata!I779="",FALSE,TRUE),OR(EXACT(metadata!I779,"human-associated"),EXACT(metadata!I779,"human-skin"),EXACT(metadata!I779,"human-oral"),EXACT(metadata!I779,"human-gut"),EXACT(metadata!I779,"human-vaginal")))</f>
        <v>0</v>
      </c>
      <c r="AK779" t="b">
        <f>IF(metadata!J779="",FALSE,ISNUMBER(VALUE(metadata!J779)))</f>
        <v>0</v>
      </c>
      <c r="AL779" t="b">
        <f>AND(IF(metadata!K779="",FALSE,TRUE),EXACT(metadata!K779,"cm"))</f>
        <v>0</v>
      </c>
      <c r="AM779" t="b">
        <f>AND(IF(metadata!L779="",FALSE,TRUE),EXACT(metadata!L779,"human"))</f>
        <v>0</v>
      </c>
      <c r="AN779" t="b">
        <f>AND(IF(metadata!M779="",FALSE,TRUE),EXACT(metadata!M779,"Homo sapiens"))</f>
        <v>0</v>
      </c>
      <c r="AO779" t="b">
        <f>AND(IF(metadata!N779="",FALSE,TRUE),EXACT(metadata!N779,"9606"))</f>
        <v>0</v>
      </c>
      <c r="AP779" t="b">
        <f>IF(metadata!O779="",FALSE,TRUE)</f>
        <v>0</v>
      </c>
      <c r="AQ779" t="b">
        <f>IF(metadata!P779="",FALSE,TRUE)</f>
        <v>0</v>
      </c>
      <c r="AR779" t="b">
        <f>IF(metadata!Q779="",FALSE,ISNUMBER(VALUE(metadata!Q779)))</f>
        <v>0</v>
      </c>
      <c r="AS779" t="b">
        <f>AND(IF(metadata!R779="",FALSE,TRUE),EXACT(metadata!R779,"kg"))</f>
        <v>0</v>
      </c>
    </row>
    <row r="780" spans="1:45" x14ac:dyDescent="0.2">
      <c r="A780" s="5" t="str">
        <f ca="1">IF(B780=" "," ",HYPERLINK(CONCATENATE("#metadata!",ADDRESS(INDEX($X$2:$X$1001,MATCH(ROWS($V$2:V780),$V$2:$V$1001,0),0),1)),INDEX($AA$2:$AA$1001,MATCH(ROWS($V$2:V780),$V$2:$V$1001,0),0)))</f>
        <v xml:space="preserve"> </v>
      </c>
      <c r="B780" s="4" t="str">
        <f ca="1">IF(OR(INDEX($W$2:$W$1001,MATCH(ROWS($V$2:V780),$V$2:$V$1001,0),1)&gt;=100000,INDEX($AC$1005:$AS$1005,1,MATCH(COLUMNS($AC$1006:AC1006),$AC$1006:$AS$1006,0))&gt;=100000), " ",IF(INDEX($AC$2:$AS$1001,MATCH(ROWS($V$2:V780),$V$2:$V$1001,0),MATCH(COLUMNS($AC$1006:AC1006),$AC$1006:$AS$1006,0)), HYPERLINK("#",""), HYPERLINK(CONCATENATE("#metadata!", ADDRESS(INDEX($X$2:$X$1001,MATCH(ROWS($V$2:V780),$V$2:$V$1001,0),0), INDEX($AC$1004:$AS$1004,1,MATCH(COLUMNS($AC$1006:AC1006),$AC$1006:$AS$1006,0)))),"Fix")))</f>
        <v xml:space="preserve"> </v>
      </c>
      <c r="C780" s="4" t="str">
        <f ca="1">IF(OR(INDEX($W$2:$W$1001,MATCH(ROWS($V$2:V780),$V$2:$V$1001,0),1)&gt;=100000,INDEX($AC$1005:$AS$1005,1,MATCH(COLUMNS($AC$1006:AD1006),$AC$1006:$AS$1006,0))&gt;=100000), " ",IF(INDEX($AC$2:$AS$1001,MATCH(ROWS($V$2:V780),$V$2:$V$1001,0),MATCH(COLUMNS($AC$1006:AD1006),$AC$1006:$AS$1006,0)), HYPERLINK("#",""), HYPERLINK(CONCATENATE("#metadata!", ADDRESS(INDEX($X$2:$X$1001,MATCH(ROWS($V$2:V780),$V$2:$V$1001,0),0), INDEX($AC$1004:$AS$1004,1,MATCH(COLUMNS($AC$1006:AD1006),$AC$1006:$AS$1006,0)))),"Fix")))</f>
        <v xml:space="preserve"> </v>
      </c>
      <c r="D780" s="4" t="str">
        <f ca="1">IF(OR(INDEX($W$2:$W$1001,MATCH(ROWS($V$2:V780),$V$2:$V$1001,0),1)&gt;=100000,INDEX($AC$1005:$AS$1005,1,MATCH(COLUMNS($AC$1006:AE1006),$AC$1006:$AS$1006,0))&gt;=100000), " ",IF(INDEX($AC$2:$AS$1001,MATCH(ROWS($V$2:V780),$V$2:$V$1001,0),MATCH(COLUMNS($AC$1006:AE1006),$AC$1006:$AS$1006,0)), HYPERLINK("#",""), HYPERLINK(CONCATENATE("#metadata!", ADDRESS(INDEX($X$2:$X$1001,MATCH(ROWS($V$2:V780),$V$2:$V$1001,0),0), INDEX($AC$1004:$AS$1004,1,MATCH(COLUMNS($AC$1006:AE1006),$AC$1006:$AS$1006,0)))),"Fix")))</f>
        <v xml:space="preserve"> </v>
      </c>
      <c r="E780" s="4" t="str">
        <f ca="1">IF(OR(INDEX($W$2:$W$1001,MATCH(ROWS($V$2:V780),$V$2:$V$1001,0),1)&gt;=100000,INDEX($AC$1005:$AS$1005,1,MATCH(COLUMNS($AC$1006:AF1006),$AC$1006:$AS$1006,0))&gt;=100000), " ",IF(INDEX($AC$2:$AS$1001,MATCH(ROWS($V$2:V780),$V$2:$V$1001,0),MATCH(COLUMNS($AC$1006:AF1006),$AC$1006:$AS$1006,0)), HYPERLINK("#",""), HYPERLINK(CONCATENATE("#metadata!", ADDRESS(INDEX($X$2:$X$1001,MATCH(ROWS($V$2:V780),$V$2:$V$1001,0),0), INDEX($AC$1004:$AS$1004,1,MATCH(COLUMNS($AC$1006:AF1006),$AC$1006:$AS$1006,0)))),"Fix")))</f>
        <v xml:space="preserve"> </v>
      </c>
      <c r="F780" s="4" t="str">
        <f ca="1">IF(OR(INDEX($W$2:$W$1001,MATCH(ROWS($V$2:V780),$V$2:$V$1001,0),1)&gt;=100000,INDEX($AC$1005:$AS$1005,1,MATCH(COLUMNS($AC$1006:AG1006),$AC$1006:$AS$1006,0))&gt;=100000), " ",IF(INDEX($AC$2:$AS$1001,MATCH(ROWS($V$2:V780),$V$2:$V$1001,0),MATCH(COLUMNS($AC$1006:AG1006),$AC$1006:$AS$1006,0)), HYPERLINK("#",""), HYPERLINK(CONCATENATE("#metadata!", ADDRESS(INDEX($X$2:$X$1001,MATCH(ROWS($V$2:V780),$V$2:$V$1001,0),0), INDEX($AC$1004:$AS$1004,1,MATCH(COLUMNS($AC$1006:AG1006),$AC$1006:$AS$1006,0)))),"Fix")))</f>
        <v xml:space="preserve"> </v>
      </c>
      <c r="G780" s="4" t="str">
        <f ca="1">IF(OR(INDEX($W$2:$W$1001,MATCH(ROWS($V$2:V780),$V$2:$V$1001,0),1)&gt;=100000,INDEX($AC$1005:$AS$1005,1,MATCH(COLUMNS($AC$1006:AH1006),$AC$1006:$AS$1006,0))&gt;=100000), " ",IF(INDEX($AC$2:$AS$1001,MATCH(ROWS($V$2:V780),$V$2:$V$1001,0),MATCH(COLUMNS($AC$1006:AH1006),$AC$1006:$AS$1006,0)), HYPERLINK("#",""), HYPERLINK(CONCATENATE("#metadata!", ADDRESS(INDEX($X$2:$X$1001,MATCH(ROWS($V$2:V780),$V$2:$V$1001,0),0), INDEX($AC$1004:$AS$1004,1,MATCH(COLUMNS($AC$1006:AH1006),$AC$1006:$AS$1006,0)))),"Fix")))</f>
        <v xml:space="preserve"> </v>
      </c>
      <c r="H780" s="4" t="str">
        <f ca="1">IF(OR(INDEX($W$2:$W$1001,MATCH(ROWS($V$2:V780),$V$2:$V$1001,0),1)&gt;=100000,INDEX($AC$1005:$AS$1005,1,MATCH(COLUMNS($AC$1006:AI1006),$AC$1006:$AS$1006,0))&gt;=100000), " ",IF(INDEX($AC$2:$AS$1001,MATCH(ROWS($V$2:V780),$V$2:$V$1001,0),MATCH(COLUMNS($AC$1006:AI1006),$AC$1006:$AS$1006,0)), HYPERLINK("#",""), HYPERLINK(CONCATENATE("#metadata!", ADDRESS(INDEX($X$2:$X$1001,MATCH(ROWS($V$2:V780),$V$2:$V$1001,0),0), INDEX($AC$1004:$AS$1004,1,MATCH(COLUMNS($AC$1006:AI1006),$AC$1006:$AS$1006,0)))),"Fix")))</f>
        <v xml:space="preserve"> </v>
      </c>
      <c r="I780" s="4" t="str">
        <f ca="1">IF(OR(INDEX($W$2:$W$1001,MATCH(ROWS($V$2:V780),$V$2:$V$1001,0),1)&gt;=100000,INDEX($AC$1005:$AS$1005,1,MATCH(COLUMNS($AC$1006:AJ1006),$AC$1006:$AS$1006,0))&gt;=100000), " ",IF(INDEX($AC$2:$AS$1001,MATCH(ROWS($V$2:V780),$V$2:$V$1001,0),MATCH(COLUMNS($AC$1006:AJ1006),$AC$1006:$AS$1006,0)), HYPERLINK("#",""), HYPERLINK(CONCATENATE("#metadata!", ADDRESS(INDEX($X$2:$X$1001,MATCH(ROWS($V$2:V780),$V$2:$V$1001,0),0), INDEX($AC$1004:$AS$1004,1,MATCH(COLUMNS($AC$1006:AJ1006),$AC$1006:$AS$1006,0)))),"Fix")))</f>
        <v xml:space="preserve"> </v>
      </c>
      <c r="J780" s="4" t="str">
        <f ca="1">IF(OR(INDEX($W$2:$W$1001,MATCH(ROWS($V$2:V780),$V$2:$V$1001,0),1)&gt;=100000,INDEX($AC$1005:$AS$1005,1,MATCH(COLUMNS($AC$1006:AK1006),$AC$1006:$AS$1006,0))&gt;=100000), " ",IF(INDEX($AC$2:$AS$1001,MATCH(ROWS($V$2:V780),$V$2:$V$1001,0),MATCH(COLUMNS($AC$1006:AK1006),$AC$1006:$AS$1006,0)), HYPERLINK("#",""), HYPERLINK(CONCATENATE("#metadata!", ADDRESS(INDEX($X$2:$X$1001,MATCH(ROWS($V$2:V780),$V$2:$V$1001,0),0), INDEX($AC$1004:$AS$1004,1,MATCH(COLUMNS($AC$1006:AK1006),$AC$1006:$AS$1006,0)))),"Fix")))</f>
        <v xml:space="preserve"> </v>
      </c>
      <c r="K780" s="4" t="str">
        <f ca="1">IF(OR(INDEX($W$2:$W$1001,MATCH(ROWS($V$2:V780),$V$2:$V$1001,0),1)&gt;=100000,INDEX($AC$1005:$AS$1005,1,MATCH(COLUMNS($AC$1006:AL1006),$AC$1006:$AS$1006,0))&gt;=100000), " ",IF(INDEX($AC$2:$AS$1001,MATCH(ROWS($V$2:V780),$V$2:$V$1001,0),MATCH(COLUMNS($AC$1006:AL1006),$AC$1006:$AS$1006,0)), HYPERLINK("#",""), HYPERLINK(CONCATENATE("#metadata!", ADDRESS(INDEX($X$2:$X$1001,MATCH(ROWS($V$2:V780),$V$2:$V$1001,0),0), INDEX($AC$1004:$AS$1004,1,MATCH(COLUMNS($AC$1006:AL1006),$AC$1006:$AS$1006,0)))),"Fix")))</f>
        <v xml:space="preserve"> </v>
      </c>
      <c r="L780" s="4" t="str">
        <f ca="1">IF(OR(INDEX($W$2:$W$1001,MATCH(ROWS($V$2:V780),$V$2:$V$1001,0),1)&gt;=100000,INDEX($AC$1005:$AS$1005,1,MATCH(COLUMNS($AC$1006:AM1006),$AC$1006:$AS$1006,0))&gt;=100000), " ",IF(INDEX($AC$2:$AS$1001,MATCH(ROWS($V$2:V780),$V$2:$V$1001,0),MATCH(COLUMNS($AC$1006:AM1006),$AC$1006:$AS$1006,0)), HYPERLINK("#",""), HYPERLINK(CONCATENATE("#metadata!", ADDRESS(INDEX($X$2:$X$1001,MATCH(ROWS($V$2:V780),$V$2:$V$1001,0),0), INDEX($AC$1004:$AS$1004,1,MATCH(COLUMNS($AC$1006:AM1006),$AC$1006:$AS$1006,0)))),"Fix")))</f>
        <v xml:space="preserve"> </v>
      </c>
      <c r="M780" s="4" t="str">
        <f ca="1">IF(OR(INDEX($W$2:$W$1001,MATCH(ROWS($V$2:V780),$V$2:$V$1001,0),1)&gt;=100000,INDEX($AC$1005:$AS$1005,1,MATCH(COLUMNS($AC$1006:AN1006),$AC$1006:$AS$1006,0))&gt;=100000), " ",IF(INDEX($AC$2:$AS$1001,MATCH(ROWS($V$2:V780),$V$2:$V$1001,0),MATCH(COLUMNS($AC$1006:AN1006),$AC$1006:$AS$1006,0)), HYPERLINK("#",""), HYPERLINK(CONCATENATE("#metadata!", ADDRESS(INDEX($X$2:$X$1001,MATCH(ROWS($V$2:V780),$V$2:$V$1001,0),0), INDEX($AC$1004:$AS$1004,1,MATCH(COLUMNS($AC$1006:AN1006),$AC$1006:$AS$1006,0)))),"Fix")))</f>
        <v xml:space="preserve"> </v>
      </c>
      <c r="N780" s="4" t="str">
        <f ca="1">IF(OR(INDEX($W$2:$W$1001,MATCH(ROWS($V$2:V780),$V$2:$V$1001,0),1)&gt;=100000,INDEX($AC$1005:$AS$1005,1,MATCH(COLUMNS($AC$1006:AO1006),$AC$1006:$AS$1006,0))&gt;=100000), " ",IF(INDEX($AC$2:$AS$1001,MATCH(ROWS($V$2:V780),$V$2:$V$1001,0),MATCH(COLUMNS($AC$1006:AO1006),$AC$1006:$AS$1006,0)), HYPERLINK("#",""), HYPERLINK(CONCATENATE("#metadata!", ADDRESS(INDEX($X$2:$X$1001,MATCH(ROWS($V$2:V780),$V$2:$V$1001,0),0), INDEX($AC$1004:$AS$1004,1,MATCH(COLUMNS($AC$1006:AO1006),$AC$1006:$AS$1006,0)))),"Fix")))</f>
        <v xml:space="preserve"> </v>
      </c>
      <c r="O780" s="4" t="str">
        <f ca="1">IF(OR(INDEX($W$2:$W$1001,MATCH(ROWS($V$2:V780),$V$2:$V$1001,0),1)&gt;=100000,INDEX($AC$1005:$AS$1005,1,MATCH(COLUMNS($AC$1006:AP1006),$AC$1006:$AS$1006,0))&gt;=100000), " ",IF(INDEX($AC$2:$AS$1001,MATCH(ROWS($V$2:V780),$V$2:$V$1001,0),MATCH(COLUMNS($AC$1006:AP1006),$AC$1006:$AS$1006,0)), HYPERLINK("#",""), HYPERLINK(CONCATENATE("#metadata!", ADDRESS(INDEX($X$2:$X$1001,MATCH(ROWS($V$2:V780),$V$2:$V$1001,0),0), INDEX($AC$1004:$AS$1004,1,MATCH(COLUMNS($AC$1006:AP1006),$AC$1006:$AS$1006,0)))),"Fix")))</f>
        <v xml:space="preserve"> </v>
      </c>
      <c r="P780" s="4" t="str">
        <f ca="1">IF(OR(INDEX($W$2:$W$1001,MATCH(ROWS($V$2:V780),$V$2:$V$1001,0),1)&gt;=100000,INDEX($AC$1005:$AS$1005,1,MATCH(COLUMNS($AC$1006:AQ1006),$AC$1006:$AS$1006,0))&gt;=100000), " ",IF(INDEX($AC$2:$AS$1001,MATCH(ROWS($V$2:V780),$V$2:$V$1001,0),MATCH(COLUMNS($AC$1006:AQ1006),$AC$1006:$AS$1006,0)), HYPERLINK("#",""), HYPERLINK(CONCATENATE("#metadata!", ADDRESS(INDEX($X$2:$X$1001,MATCH(ROWS($V$2:V780),$V$2:$V$1001,0),0), INDEX($AC$1004:$AS$1004,1,MATCH(COLUMNS($AC$1006:AQ1006),$AC$1006:$AS$1006,0)))),"Fix")))</f>
        <v xml:space="preserve"> </v>
      </c>
      <c r="Q780" s="4" t="str">
        <f ca="1">IF(OR(INDEX($W$2:$W$1001,MATCH(ROWS($V$2:V780),$V$2:$V$1001,0),1)&gt;=100000,INDEX($AC$1005:$AS$1005,1,MATCH(COLUMNS($AC$1006:AR1006),$AC$1006:$AS$1006,0))&gt;=100000), " ",IF(INDEX($AC$2:$AS$1001,MATCH(ROWS($V$2:V780),$V$2:$V$1001,0),MATCH(COLUMNS($AC$1006:AR1006),$AC$1006:$AS$1006,0)), HYPERLINK("#",""), HYPERLINK(CONCATENATE("#metadata!", ADDRESS(INDEX($X$2:$X$1001,MATCH(ROWS($V$2:V780),$V$2:$V$1001,0),0), INDEX($AC$1004:$AS$1004,1,MATCH(COLUMNS($AC$1006:AR1006),$AC$1006:$AS$1006,0)))),"Fix")))</f>
        <v xml:space="preserve"> </v>
      </c>
      <c r="R780" s="4" t="str">
        <f ca="1">IF(OR(INDEX($W$2:$W$1001,MATCH(ROWS($V$2:V780),$V$2:$V$1001,0),1)&gt;=100000,INDEX($AC$1005:$AS$1005,1,MATCH(COLUMNS($AC$1006:AS1006),$AC$1006:$AS$1006,0))&gt;=100000), " ",IF(INDEX($AC$2:$AS$1001,MATCH(ROWS($V$2:V780),$V$2:$V$1001,0),MATCH(COLUMNS($AC$1006:AS1006),$AC$1006:$AS$1006,0)), HYPERLINK("#",""), HYPERLINK(CONCATENATE("#metadata!", ADDRESS(INDEX($X$2:$X$1001,MATCH(ROWS($V$2:V780),$V$2:$V$1001,0),0), INDEX($AC$1004:$AS$1004,1,MATCH(COLUMNS($AC$1006:AS1006),$AC$1006:$AS$1006,0)))),"Fix")))</f>
        <v xml:space="preserve"> </v>
      </c>
      <c r="V780">
        <v>779</v>
      </c>
      <c r="W780">
        <v>100780</v>
      </c>
      <c r="X780">
        <v>780</v>
      </c>
      <c r="Y780" t="b">
        <f t="shared" si="12"/>
        <v>1</v>
      </c>
      <c r="Z780" t="b">
        <f>COUNTBLANK(metadata!B780:R780)=COLUMNS(metadata!B780:R780)</f>
        <v>1</v>
      </c>
      <c r="AA780" t="str">
        <v/>
      </c>
      <c r="AC780" t="b">
        <f ca="1"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AD780" t="b">
        <f>IF(metadata!C780="",FALSE,ISNUMBER(VALUE(metadata!C780)))</f>
        <v>0</v>
      </c>
      <c r="AE780" t="b">
        <f>AND(IF(metadata!D780="",FALSE,TRUE),EXACT(metadata!D780,"years"))</f>
        <v>0</v>
      </c>
      <c r="AF780" t="b">
        <f>OR(AND(IF(metadata!E780="",FALSE,TRUE),OR(EXACT(metadata!E780,"not applicable"),EXACT(metadata!E780,"missing: not collected"),EXACT(metadata!E780,"missing: not provided"),EXACT(metadata!E780,"missing: restricted access"))),AND(IF(metadata!E780="",FALSE,ISNUMBER(VALUE(metadata!E780))),metadata!E780&gt;0))</f>
        <v>0</v>
      </c>
      <c r="AG780" t="b">
        <f>AND(IF(metadata!F780="",FALSE,TRUE),EXACT(metadata!F780,"Not applicable"))</f>
        <v>0</v>
      </c>
      <c r="AH780" t="b">
        <f>AND(IF(metadata!G780="",FALSE,TRUE),EXACT(metadata!G780,"urban biome"))</f>
        <v>0</v>
      </c>
      <c r="AI780" t="b">
        <f>AND(IF(metadata!H780="",FALSE,TRUE),EXACT(metadata!H780,"human-associated habitat"))</f>
        <v>0</v>
      </c>
      <c r="AJ780" t="b">
        <f>AND(IF(metadata!I780="",FALSE,TRUE),OR(EXACT(metadata!I780,"human-associated"),EXACT(metadata!I780,"human-skin"),EXACT(metadata!I780,"human-oral"),EXACT(metadata!I780,"human-gut"),EXACT(metadata!I780,"human-vaginal")))</f>
        <v>0</v>
      </c>
      <c r="AK780" t="b">
        <f>IF(metadata!J780="",FALSE,ISNUMBER(VALUE(metadata!J780)))</f>
        <v>0</v>
      </c>
      <c r="AL780" t="b">
        <f>AND(IF(metadata!K780="",FALSE,TRUE),EXACT(metadata!K780,"cm"))</f>
        <v>0</v>
      </c>
      <c r="AM780" t="b">
        <f>AND(IF(metadata!L780="",FALSE,TRUE),EXACT(metadata!L780,"human"))</f>
        <v>0</v>
      </c>
      <c r="AN780" t="b">
        <f>AND(IF(metadata!M780="",FALSE,TRUE),EXACT(metadata!M780,"Homo sapiens"))</f>
        <v>0</v>
      </c>
      <c r="AO780" t="b">
        <f>AND(IF(metadata!N780="",FALSE,TRUE),EXACT(metadata!N780,"9606"))</f>
        <v>0</v>
      </c>
      <c r="AP780" t="b">
        <f>IF(metadata!O780="",FALSE,TRUE)</f>
        <v>0</v>
      </c>
      <c r="AQ780" t="b">
        <f>IF(metadata!P780="",FALSE,TRUE)</f>
        <v>0</v>
      </c>
      <c r="AR780" t="b">
        <f>IF(metadata!Q780="",FALSE,ISNUMBER(VALUE(metadata!Q780)))</f>
        <v>0</v>
      </c>
      <c r="AS780" t="b">
        <f>AND(IF(metadata!R780="",FALSE,TRUE),EXACT(metadata!R780,"kg"))</f>
        <v>0</v>
      </c>
    </row>
    <row r="781" spans="1:45" x14ac:dyDescent="0.2">
      <c r="A781" s="5" t="str">
        <f ca="1">IF(B781=" "," ",HYPERLINK(CONCATENATE("#metadata!",ADDRESS(INDEX($X$2:$X$1001,MATCH(ROWS($V$2:V781),$V$2:$V$1001,0),0),1)),INDEX($AA$2:$AA$1001,MATCH(ROWS($V$2:V781),$V$2:$V$1001,0),0)))</f>
        <v xml:space="preserve"> </v>
      </c>
      <c r="B781" s="4" t="str">
        <f ca="1">IF(OR(INDEX($W$2:$W$1001,MATCH(ROWS($V$2:V781),$V$2:$V$1001,0),1)&gt;=100000,INDEX($AC$1005:$AS$1005,1,MATCH(COLUMNS($AC$1006:AC1006),$AC$1006:$AS$1006,0))&gt;=100000), " ",IF(INDEX($AC$2:$AS$1001,MATCH(ROWS($V$2:V781),$V$2:$V$1001,0),MATCH(COLUMNS($AC$1006:AC1006),$AC$1006:$AS$1006,0)), HYPERLINK("#",""), HYPERLINK(CONCATENATE("#metadata!", ADDRESS(INDEX($X$2:$X$1001,MATCH(ROWS($V$2:V781),$V$2:$V$1001,0),0), INDEX($AC$1004:$AS$1004,1,MATCH(COLUMNS($AC$1006:AC1006),$AC$1006:$AS$1006,0)))),"Fix")))</f>
        <v xml:space="preserve"> </v>
      </c>
      <c r="C781" s="4" t="str">
        <f ca="1">IF(OR(INDEX($W$2:$W$1001,MATCH(ROWS($V$2:V781),$V$2:$V$1001,0),1)&gt;=100000,INDEX($AC$1005:$AS$1005,1,MATCH(COLUMNS($AC$1006:AD1006),$AC$1006:$AS$1006,0))&gt;=100000), " ",IF(INDEX($AC$2:$AS$1001,MATCH(ROWS($V$2:V781),$V$2:$V$1001,0),MATCH(COLUMNS($AC$1006:AD1006),$AC$1006:$AS$1006,0)), HYPERLINK("#",""), HYPERLINK(CONCATENATE("#metadata!", ADDRESS(INDEX($X$2:$X$1001,MATCH(ROWS($V$2:V781),$V$2:$V$1001,0),0), INDEX($AC$1004:$AS$1004,1,MATCH(COLUMNS($AC$1006:AD1006),$AC$1006:$AS$1006,0)))),"Fix")))</f>
        <v xml:space="preserve"> </v>
      </c>
      <c r="D781" s="4" t="str">
        <f ca="1">IF(OR(INDEX($W$2:$W$1001,MATCH(ROWS($V$2:V781),$V$2:$V$1001,0),1)&gt;=100000,INDEX($AC$1005:$AS$1005,1,MATCH(COLUMNS($AC$1006:AE1006),$AC$1006:$AS$1006,0))&gt;=100000), " ",IF(INDEX($AC$2:$AS$1001,MATCH(ROWS($V$2:V781),$V$2:$V$1001,0),MATCH(COLUMNS($AC$1006:AE1006),$AC$1006:$AS$1006,0)), HYPERLINK("#",""), HYPERLINK(CONCATENATE("#metadata!", ADDRESS(INDEX($X$2:$X$1001,MATCH(ROWS($V$2:V781),$V$2:$V$1001,0),0), INDEX($AC$1004:$AS$1004,1,MATCH(COLUMNS($AC$1006:AE1006),$AC$1006:$AS$1006,0)))),"Fix")))</f>
        <v xml:space="preserve"> </v>
      </c>
      <c r="E781" s="4" t="str">
        <f ca="1">IF(OR(INDEX($W$2:$W$1001,MATCH(ROWS($V$2:V781),$V$2:$V$1001,0),1)&gt;=100000,INDEX($AC$1005:$AS$1005,1,MATCH(COLUMNS($AC$1006:AF1006),$AC$1006:$AS$1006,0))&gt;=100000), " ",IF(INDEX($AC$2:$AS$1001,MATCH(ROWS($V$2:V781),$V$2:$V$1001,0),MATCH(COLUMNS($AC$1006:AF1006),$AC$1006:$AS$1006,0)), HYPERLINK("#",""), HYPERLINK(CONCATENATE("#metadata!", ADDRESS(INDEX($X$2:$X$1001,MATCH(ROWS($V$2:V781),$V$2:$V$1001,0),0), INDEX($AC$1004:$AS$1004,1,MATCH(COLUMNS($AC$1006:AF1006),$AC$1006:$AS$1006,0)))),"Fix")))</f>
        <v xml:space="preserve"> </v>
      </c>
      <c r="F781" s="4" t="str">
        <f ca="1">IF(OR(INDEX($W$2:$W$1001,MATCH(ROWS($V$2:V781),$V$2:$V$1001,0),1)&gt;=100000,INDEX($AC$1005:$AS$1005,1,MATCH(COLUMNS($AC$1006:AG1006),$AC$1006:$AS$1006,0))&gt;=100000), " ",IF(INDEX($AC$2:$AS$1001,MATCH(ROWS($V$2:V781),$V$2:$V$1001,0),MATCH(COLUMNS($AC$1006:AG1006),$AC$1006:$AS$1006,0)), HYPERLINK("#",""), HYPERLINK(CONCATENATE("#metadata!", ADDRESS(INDEX($X$2:$X$1001,MATCH(ROWS($V$2:V781),$V$2:$V$1001,0),0), INDEX($AC$1004:$AS$1004,1,MATCH(COLUMNS($AC$1006:AG1006),$AC$1006:$AS$1006,0)))),"Fix")))</f>
        <v xml:space="preserve"> </v>
      </c>
      <c r="G781" s="4" t="str">
        <f ca="1">IF(OR(INDEX($W$2:$W$1001,MATCH(ROWS($V$2:V781),$V$2:$V$1001,0),1)&gt;=100000,INDEX($AC$1005:$AS$1005,1,MATCH(COLUMNS($AC$1006:AH1006),$AC$1006:$AS$1006,0))&gt;=100000), " ",IF(INDEX($AC$2:$AS$1001,MATCH(ROWS($V$2:V781),$V$2:$V$1001,0),MATCH(COLUMNS($AC$1006:AH1006),$AC$1006:$AS$1006,0)), HYPERLINK("#",""), HYPERLINK(CONCATENATE("#metadata!", ADDRESS(INDEX($X$2:$X$1001,MATCH(ROWS($V$2:V781),$V$2:$V$1001,0),0), INDEX($AC$1004:$AS$1004,1,MATCH(COLUMNS($AC$1006:AH1006),$AC$1006:$AS$1006,0)))),"Fix")))</f>
        <v xml:space="preserve"> </v>
      </c>
      <c r="H781" s="4" t="str">
        <f ca="1">IF(OR(INDEX($W$2:$W$1001,MATCH(ROWS($V$2:V781),$V$2:$V$1001,0),1)&gt;=100000,INDEX($AC$1005:$AS$1005,1,MATCH(COLUMNS($AC$1006:AI1006),$AC$1006:$AS$1006,0))&gt;=100000), " ",IF(INDEX($AC$2:$AS$1001,MATCH(ROWS($V$2:V781),$V$2:$V$1001,0),MATCH(COLUMNS($AC$1006:AI1006),$AC$1006:$AS$1006,0)), HYPERLINK("#",""), HYPERLINK(CONCATENATE("#metadata!", ADDRESS(INDEX($X$2:$X$1001,MATCH(ROWS($V$2:V781),$V$2:$V$1001,0),0), INDEX($AC$1004:$AS$1004,1,MATCH(COLUMNS($AC$1006:AI1006),$AC$1006:$AS$1006,0)))),"Fix")))</f>
        <v xml:space="preserve"> </v>
      </c>
      <c r="I781" s="4" t="str">
        <f ca="1">IF(OR(INDEX($W$2:$W$1001,MATCH(ROWS($V$2:V781),$V$2:$V$1001,0),1)&gt;=100000,INDEX($AC$1005:$AS$1005,1,MATCH(COLUMNS($AC$1006:AJ1006),$AC$1006:$AS$1006,0))&gt;=100000), " ",IF(INDEX($AC$2:$AS$1001,MATCH(ROWS($V$2:V781),$V$2:$V$1001,0),MATCH(COLUMNS($AC$1006:AJ1006),$AC$1006:$AS$1006,0)), HYPERLINK("#",""), HYPERLINK(CONCATENATE("#metadata!", ADDRESS(INDEX($X$2:$X$1001,MATCH(ROWS($V$2:V781),$V$2:$V$1001,0),0), INDEX($AC$1004:$AS$1004,1,MATCH(COLUMNS($AC$1006:AJ1006),$AC$1006:$AS$1006,0)))),"Fix")))</f>
        <v xml:space="preserve"> </v>
      </c>
      <c r="J781" s="4" t="str">
        <f ca="1">IF(OR(INDEX($W$2:$W$1001,MATCH(ROWS($V$2:V781),$V$2:$V$1001,0),1)&gt;=100000,INDEX($AC$1005:$AS$1005,1,MATCH(COLUMNS($AC$1006:AK1006),$AC$1006:$AS$1006,0))&gt;=100000), " ",IF(INDEX($AC$2:$AS$1001,MATCH(ROWS($V$2:V781),$V$2:$V$1001,0),MATCH(COLUMNS($AC$1006:AK1006),$AC$1006:$AS$1006,0)), HYPERLINK("#",""), HYPERLINK(CONCATENATE("#metadata!", ADDRESS(INDEX($X$2:$X$1001,MATCH(ROWS($V$2:V781),$V$2:$V$1001,0),0), INDEX($AC$1004:$AS$1004,1,MATCH(COLUMNS($AC$1006:AK1006),$AC$1006:$AS$1006,0)))),"Fix")))</f>
        <v xml:space="preserve"> </v>
      </c>
      <c r="K781" s="4" t="str">
        <f ca="1">IF(OR(INDEX($W$2:$W$1001,MATCH(ROWS($V$2:V781),$V$2:$V$1001,0),1)&gt;=100000,INDEX($AC$1005:$AS$1005,1,MATCH(COLUMNS($AC$1006:AL1006),$AC$1006:$AS$1006,0))&gt;=100000), " ",IF(INDEX($AC$2:$AS$1001,MATCH(ROWS($V$2:V781),$V$2:$V$1001,0),MATCH(COLUMNS($AC$1006:AL1006),$AC$1006:$AS$1006,0)), HYPERLINK("#",""), HYPERLINK(CONCATENATE("#metadata!", ADDRESS(INDEX($X$2:$X$1001,MATCH(ROWS($V$2:V781),$V$2:$V$1001,0),0), INDEX($AC$1004:$AS$1004,1,MATCH(COLUMNS($AC$1006:AL1006),$AC$1006:$AS$1006,0)))),"Fix")))</f>
        <v xml:space="preserve"> </v>
      </c>
      <c r="L781" s="4" t="str">
        <f ca="1">IF(OR(INDEX($W$2:$W$1001,MATCH(ROWS($V$2:V781),$V$2:$V$1001,0),1)&gt;=100000,INDEX($AC$1005:$AS$1005,1,MATCH(COLUMNS($AC$1006:AM1006),$AC$1006:$AS$1006,0))&gt;=100000), " ",IF(INDEX($AC$2:$AS$1001,MATCH(ROWS($V$2:V781),$V$2:$V$1001,0),MATCH(COLUMNS($AC$1006:AM1006),$AC$1006:$AS$1006,0)), HYPERLINK("#",""), HYPERLINK(CONCATENATE("#metadata!", ADDRESS(INDEX($X$2:$X$1001,MATCH(ROWS($V$2:V781),$V$2:$V$1001,0),0), INDEX($AC$1004:$AS$1004,1,MATCH(COLUMNS($AC$1006:AM1006),$AC$1006:$AS$1006,0)))),"Fix")))</f>
        <v xml:space="preserve"> </v>
      </c>
      <c r="M781" s="4" t="str">
        <f ca="1">IF(OR(INDEX($W$2:$W$1001,MATCH(ROWS($V$2:V781),$V$2:$V$1001,0),1)&gt;=100000,INDEX($AC$1005:$AS$1005,1,MATCH(COLUMNS($AC$1006:AN1006),$AC$1006:$AS$1006,0))&gt;=100000), " ",IF(INDEX($AC$2:$AS$1001,MATCH(ROWS($V$2:V781),$V$2:$V$1001,0),MATCH(COLUMNS($AC$1006:AN1006),$AC$1006:$AS$1006,0)), HYPERLINK("#",""), HYPERLINK(CONCATENATE("#metadata!", ADDRESS(INDEX($X$2:$X$1001,MATCH(ROWS($V$2:V781),$V$2:$V$1001,0),0), INDEX($AC$1004:$AS$1004,1,MATCH(COLUMNS($AC$1006:AN1006),$AC$1006:$AS$1006,0)))),"Fix")))</f>
        <v xml:space="preserve"> </v>
      </c>
      <c r="N781" s="4" t="str">
        <f ca="1">IF(OR(INDEX($W$2:$W$1001,MATCH(ROWS($V$2:V781),$V$2:$V$1001,0),1)&gt;=100000,INDEX($AC$1005:$AS$1005,1,MATCH(COLUMNS($AC$1006:AO1006),$AC$1006:$AS$1006,0))&gt;=100000), " ",IF(INDEX($AC$2:$AS$1001,MATCH(ROWS($V$2:V781),$V$2:$V$1001,0),MATCH(COLUMNS($AC$1006:AO1006),$AC$1006:$AS$1006,0)), HYPERLINK("#",""), HYPERLINK(CONCATENATE("#metadata!", ADDRESS(INDEX($X$2:$X$1001,MATCH(ROWS($V$2:V781),$V$2:$V$1001,0),0), INDEX($AC$1004:$AS$1004,1,MATCH(COLUMNS($AC$1006:AO1006),$AC$1006:$AS$1006,0)))),"Fix")))</f>
        <v xml:space="preserve"> </v>
      </c>
      <c r="O781" s="4" t="str">
        <f ca="1">IF(OR(INDEX($W$2:$W$1001,MATCH(ROWS($V$2:V781),$V$2:$V$1001,0),1)&gt;=100000,INDEX($AC$1005:$AS$1005,1,MATCH(COLUMNS($AC$1006:AP1006),$AC$1006:$AS$1006,0))&gt;=100000), " ",IF(INDEX($AC$2:$AS$1001,MATCH(ROWS($V$2:V781),$V$2:$V$1001,0),MATCH(COLUMNS($AC$1006:AP1006),$AC$1006:$AS$1006,0)), HYPERLINK("#",""), HYPERLINK(CONCATENATE("#metadata!", ADDRESS(INDEX($X$2:$X$1001,MATCH(ROWS($V$2:V781),$V$2:$V$1001,0),0), INDEX($AC$1004:$AS$1004,1,MATCH(COLUMNS($AC$1006:AP1006),$AC$1006:$AS$1006,0)))),"Fix")))</f>
        <v xml:space="preserve"> </v>
      </c>
      <c r="P781" s="4" t="str">
        <f ca="1">IF(OR(INDEX($W$2:$W$1001,MATCH(ROWS($V$2:V781),$V$2:$V$1001,0),1)&gt;=100000,INDEX($AC$1005:$AS$1005,1,MATCH(COLUMNS($AC$1006:AQ1006),$AC$1006:$AS$1006,0))&gt;=100000), " ",IF(INDEX($AC$2:$AS$1001,MATCH(ROWS($V$2:V781),$V$2:$V$1001,0),MATCH(COLUMNS($AC$1006:AQ1006),$AC$1006:$AS$1006,0)), HYPERLINK("#",""), HYPERLINK(CONCATENATE("#metadata!", ADDRESS(INDEX($X$2:$X$1001,MATCH(ROWS($V$2:V781),$V$2:$V$1001,0),0), INDEX($AC$1004:$AS$1004,1,MATCH(COLUMNS($AC$1006:AQ1006),$AC$1006:$AS$1006,0)))),"Fix")))</f>
        <v xml:space="preserve"> </v>
      </c>
      <c r="Q781" s="4" t="str">
        <f ca="1">IF(OR(INDEX($W$2:$W$1001,MATCH(ROWS($V$2:V781),$V$2:$V$1001,0),1)&gt;=100000,INDEX($AC$1005:$AS$1005,1,MATCH(COLUMNS($AC$1006:AR1006),$AC$1006:$AS$1006,0))&gt;=100000), " ",IF(INDEX($AC$2:$AS$1001,MATCH(ROWS($V$2:V781),$V$2:$V$1001,0),MATCH(COLUMNS($AC$1006:AR1006),$AC$1006:$AS$1006,0)), HYPERLINK("#",""), HYPERLINK(CONCATENATE("#metadata!", ADDRESS(INDEX($X$2:$X$1001,MATCH(ROWS($V$2:V781),$V$2:$V$1001,0),0), INDEX($AC$1004:$AS$1004,1,MATCH(COLUMNS($AC$1006:AR1006),$AC$1006:$AS$1006,0)))),"Fix")))</f>
        <v xml:space="preserve"> </v>
      </c>
      <c r="R781" s="4" t="str">
        <f ca="1">IF(OR(INDEX($W$2:$W$1001,MATCH(ROWS($V$2:V781),$V$2:$V$1001,0),1)&gt;=100000,INDEX($AC$1005:$AS$1005,1,MATCH(COLUMNS($AC$1006:AS1006),$AC$1006:$AS$1006,0))&gt;=100000), " ",IF(INDEX($AC$2:$AS$1001,MATCH(ROWS($V$2:V781),$V$2:$V$1001,0),MATCH(COLUMNS($AC$1006:AS1006),$AC$1006:$AS$1006,0)), HYPERLINK("#",""), HYPERLINK(CONCATENATE("#metadata!", ADDRESS(INDEX($X$2:$X$1001,MATCH(ROWS($V$2:V781),$V$2:$V$1001,0),0), INDEX($AC$1004:$AS$1004,1,MATCH(COLUMNS($AC$1006:AS1006),$AC$1006:$AS$1006,0)))),"Fix")))</f>
        <v xml:space="preserve"> </v>
      </c>
      <c r="V781">
        <v>780</v>
      </c>
      <c r="W781">
        <v>100781</v>
      </c>
      <c r="X781">
        <v>781</v>
      </c>
      <c r="Y781" t="b">
        <f t="shared" si="12"/>
        <v>1</v>
      </c>
      <c r="Z781" t="b">
        <f>COUNTBLANK(metadata!B781:R781)=COLUMNS(metadata!B781:R781)</f>
        <v>1</v>
      </c>
      <c r="AA781" t="str">
        <v/>
      </c>
      <c r="AC781" t="b">
        <f ca="1"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AD781" t="b">
        <f>IF(metadata!C781="",FALSE,ISNUMBER(VALUE(metadata!C781)))</f>
        <v>0</v>
      </c>
      <c r="AE781" t="b">
        <f>AND(IF(metadata!D781="",FALSE,TRUE),EXACT(metadata!D781,"years"))</f>
        <v>0</v>
      </c>
      <c r="AF781" t="b">
        <f>OR(AND(IF(metadata!E781="",FALSE,TRUE),OR(EXACT(metadata!E781,"not applicable"),EXACT(metadata!E781,"missing: not collected"),EXACT(metadata!E781,"missing: not provided"),EXACT(metadata!E781,"missing: restricted access"))),AND(IF(metadata!E781="",FALSE,ISNUMBER(VALUE(metadata!E781))),metadata!E781&gt;0))</f>
        <v>0</v>
      </c>
      <c r="AG781" t="b">
        <f>AND(IF(metadata!F781="",FALSE,TRUE),EXACT(metadata!F781,"Not applicable"))</f>
        <v>0</v>
      </c>
      <c r="AH781" t="b">
        <f>AND(IF(metadata!G781="",FALSE,TRUE),EXACT(metadata!G781,"urban biome"))</f>
        <v>0</v>
      </c>
      <c r="AI781" t="b">
        <f>AND(IF(metadata!H781="",FALSE,TRUE),EXACT(metadata!H781,"human-associated habitat"))</f>
        <v>0</v>
      </c>
      <c r="AJ781" t="b">
        <f>AND(IF(metadata!I781="",FALSE,TRUE),OR(EXACT(metadata!I781,"human-associated"),EXACT(metadata!I781,"human-skin"),EXACT(metadata!I781,"human-oral"),EXACT(metadata!I781,"human-gut"),EXACT(metadata!I781,"human-vaginal")))</f>
        <v>0</v>
      </c>
      <c r="AK781" t="b">
        <f>IF(metadata!J781="",FALSE,ISNUMBER(VALUE(metadata!J781)))</f>
        <v>0</v>
      </c>
      <c r="AL781" t="b">
        <f>AND(IF(metadata!K781="",FALSE,TRUE),EXACT(metadata!K781,"cm"))</f>
        <v>0</v>
      </c>
      <c r="AM781" t="b">
        <f>AND(IF(metadata!L781="",FALSE,TRUE),EXACT(metadata!L781,"human"))</f>
        <v>0</v>
      </c>
      <c r="AN781" t="b">
        <f>AND(IF(metadata!M781="",FALSE,TRUE),EXACT(metadata!M781,"Homo sapiens"))</f>
        <v>0</v>
      </c>
      <c r="AO781" t="b">
        <f>AND(IF(metadata!N781="",FALSE,TRUE),EXACT(metadata!N781,"9606"))</f>
        <v>0</v>
      </c>
      <c r="AP781" t="b">
        <f>IF(metadata!O781="",FALSE,TRUE)</f>
        <v>0</v>
      </c>
      <c r="AQ781" t="b">
        <f>IF(metadata!P781="",FALSE,TRUE)</f>
        <v>0</v>
      </c>
      <c r="AR781" t="b">
        <f>IF(metadata!Q781="",FALSE,ISNUMBER(VALUE(metadata!Q781)))</f>
        <v>0</v>
      </c>
      <c r="AS781" t="b">
        <f>AND(IF(metadata!R781="",FALSE,TRUE),EXACT(metadata!R781,"kg"))</f>
        <v>0</v>
      </c>
    </row>
    <row r="782" spans="1:45" x14ac:dyDescent="0.2">
      <c r="A782" s="5" t="str">
        <f ca="1">IF(B782=" "," ",HYPERLINK(CONCATENATE("#metadata!",ADDRESS(INDEX($X$2:$X$1001,MATCH(ROWS($V$2:V782),$V$2:$V$1001,0),0),1)),INDEX($AA$2:$AA$1001,MATCH(ROWS($V$2:V782),$V$2:$V$1001,0),0)))</f>
        <v xml:space="preserve"> </v>
      </c>
      <c r="B782" s="4" t="str">
        <f ca="1">IF(OR(INDEX($W$2:$W$1001,MATCH(ROWS($V$2:V782),$V$2:$V$1001,0),1)&gt;=100000,INDEX($AC$1005:$AS$1005,1,MATCH(COLUMNS($AC$1006:AC1006),$AC$1006:$AS$1006,0))&gt;=100000), " ",IF(INDEX($AC$2:$AS$1001,MATCH(ROWS($V$2:V782),$V$2:$V$1001,0),MATCH(COLUMNS($AC$1006:AC1006),$AC$1006:$AS$1006,0)), HYPERLINK("#",""), HYPERLINK(CONCATENATE("#metadata!", ADDRESS(INDEX($X$2:$X$1001,MATCH(ROWS($V$2:V782),$V$2:$V$1001,0),0), INDEX($AC$1004:$AS$1004,1,MATCH(COLUMNS($AC$1006:AC1006),$AC$1006:$AS$1006,0)))),"Fix")))</f>
        <v xml:space="preserve"> </v>
      </c>
      <c r="C782" s="4" t="str">
        <f ca="1">IF(OR(INDEX($W$2:$W$1001,MATCH(ROWS($V$2:V782),$V$2:$V$1001,0),1)&gt;=100000,INDEX($AC$1005:$AS$1005,1,MATCH(COLUMNS($AC$1006:AD1006),$AC$1006:$AS$1006,0))&gt;=100000), " ",IF(INDEX($AC$2:$AS$1001,MATCH(ROWS($V$2:V782),$V$2:$V$1001,0),MATCH(COLUMNS($AC$1006:AD1006),$AC$1006:$AS$1006,0)), HYPERLINK("#",""), HYPERLINK(CONCATENATE("#metadata!", ADDRESS(INDEX($X$2:$X$1001,MATCH(ROWS($V$2:V782),$V$2:$V$1001,0),0), INDEX($AC$1004:$AS$1004,1,MATCH(COLUMNS($AC$1006:AD1006),$AC$1006:$AS$1006,0)))),"Fix")))</f>
        <v xml:space="preserve"> </v>
      </c>
      <c r="D782" s="4" t="str">
        <f ca="1">IF(OR(INDEX($W$2:$W$1001,MATCH(ROWS($V$2:V782),$V$2:$V$1001,0),1)&gt;=100000,INDEX($AC$1005:$AS$1005,1,MATCH(COLUMNS($AC$1006:AE1006),$AC$1006:$AS$1006,0))&gt;=100000), " ",IF(INDEX($AC$2:$AS$1001,MATCH(ROWS($V$2:V782),$V$2:$V$1001,0),MATCH(COLUMNS($AC$1006:AE1006),$AC$1006:$AS$1006,0)), HYPERLINK("#",""), HYPERLINK(CONCATENATE("#metadata!", ADDRESS(INDEX($X$2:$X$1001,MATCH(ROWS($V$2:V782),$V$2:$V$1001,0),0), INDEX($AC$1004:$AS$1004,1,MATCH(COLUMNS($AC$1006:AE1006),$AC$1006:$AS$1006,0)))),"Fix")))</f>
        <v xml:space="preserve"> </v>
      </c>
      <c r="E782" s="4" t="str">
        <f ca="1">IF(OR(INDEX($W$2:$W$1001,MATCH(ROWS($V$2:V782),$V$2:$V$1001,0),1)&gt;=100000,INDEX($AC$1005:$AS$1005,1,MATCH(COLUMNS($AC$1006:AF1006),$AC$1006:$AS$1006,0))&gt;=100000), " ",IF(INDEX($AC$2:$AS$1001,MATCH(ROWS($V$2:V782),$V$2:$V$1001,0),MATCH(COLUMNS($AC$1006:AF1006),$AC$1006:$AS$1006,0)), HYPERLINK("#",""), HYPERLINK(CONCATENATE("#metadata!", ADDRESS(INDEX($X$2:$X$1001,MATCH(ROWS($V$2:V782),$V$2:$V$1001,0),0), INDEX($AC$1004:$AS$1004,1,MATCH(COLUMNS($AC$1006:AF1006),$AC$1006:$AS$1006,0)))),"Fix")))</f>
        <v xml:space="preserve"> </v>
      </c>
      <c r="F782" s="4" t="str">
        <f ca="1">IF(OR(INDEX($W$2:$W$1001,MATCH(ROWS($V$2:V782),$V$2:$V$1001,0),1)&gt;=100000,INDEX($AC$1005:$AS$1005,1,MATCH(COLUMNS($AC$1006:AG1006),$AC$1006:$AS$1006,0))&gt;=100000), " ",IF(INDEX($AC$2:$AS$1001,MATCH(ROWS($V$2:V782),$V$2:$V$1001,0),MATCH(COLUMNS($AC$1006:AG1006),$AC$1006:$AS$1006,0)), HYPERLINK("#",""), HYPERLINK(CONCATENATE("#metadata!", ADDRESS(INDEX($X$2:$X$1001,MATCH(ROWS($V$2:V782),$V$2:$V$1001,0),0), INDEX($AC$1004:$AS$1004,1,MATCH(COLUMNS($AC$1006:AG1006),$AC$1006:$AS$1006,0)))),"Fix")))</f>
        <v xml:space="preserve"> </v>
      </c>
      <c r="G782" s="4" t="str">
        <f ca="1">IF(OR(INDEX($W$2:$W$1001,MATCH(ROWS($V$2:V782),$V$2:$V$1001,0),1)&gt;=100000,INDEX($AC$1005:$AS$1005,1,MATCH(COLUMNS($AC$1006:AH1006),$AC$1006:$AS$1006,0))&gt;=100000), " ",IF(INDEX($AC$2:$AS$1001,MATCH(ROWS($V$2:V782),$V$2:$V$1001,0),MATCH(COLUMNS($AC$1006:AH1006),$AC$1006:$AS$1006,0)), HYPERLINK("#",""), HYPERLINK(CONCATENATE("#metadata!", ADDRESS(INDEX($X$2:$X$1001,MATCH(ROWS($V$2:V782),$V$2:$V$1001,0),0), INDEX($AC$1004:$AS$1004,1,MATCH(COLUMNS($AC$1006:AH1006),$AC$1006:$AS$1006,0)))),"Fix")))</f>
        <v xml:space="preserve"> </v>
      </c>
      <c r="H782" s="4" t="str">
        <f ca="1">IF(OR(INDEX($W$2:$W$1001,MATCH(ROWS($V$2:V782),$V$2:$V$1001,0),1)&gt;=100000,INDEX($AC$1005:$AS$1005,1,MATCH(COLUMNS($AC$1006:AI1006),$AC$1006:$AS$1006,0))&gt;=100000), " ",IF(INDEX($AC$2:$AS$1001,MATCH(ROWS($V$2:V782),$V$2:$V$1001,0),MATCH(COLUMNS($AC$1006:AI1006),$AC$1006:$AS$1006,0)), HYPERLINK("#",""), HYPERLINK(CONCATENATE("#metadata!", ADDRESS(INDEX($X$2:$X$1001,MATCH(ROWS($V$2:V782),$V$2:$V$1001,0),0), INDEX($AC$1004:$AS$1004,1,MATCH(COLUMNS($AC$1006:AI1006),$AC$1006:$AS$1006,0)))),"Fix")))</f>
        <v xml:space="preserve"> </v>
      </c>
      <c r="I782" s="4" t="str">
        <f ca="1">IF(OR(INDEX($W$2:$W$1001,MATCH(ROWS($V$2:V782),$V$2:$V$1001,0),1)&gt;=100000,INDEX($AC$1005:$AS$1005,1,MATCH(COLUMNS($AC$1006:AJ1006),$AC$1006:$AS$1006,0))&gt;=100000), " ",IF(INDEX($AC$2:$AS$1001,MATCH(ROWS($V$2:V782),$V$2:$V$1001,0),MATCH(COLUMNS($AC$1006:AJ1006),$AC$1006:$AS$1006,0)), HYPERLINK("#",""), HYPERLINK(CONCATENATE("#metadata!", ADDRESS(INDEX($X$2:$X$1001,MATCH(ROWS($V$2:V782),$V$2:$V$1001,0),0), INDEX($AC$1004:$AS$1004,1,MATCH(COLUMNS($AC$1006:AJ1006),$AC$1006:$AS$1006,0)))),"Fix")))</f>
        <v xml:space="preserve"> </v>
      </c>
      <c r="J782" s="4" t="str">
        <f ca="1">IF(OR(INDEX($W$2:$W$1001,MATCH(ROWS($V$2:V782),$V$2:$V$1001,0),1)&gt;=100000,INDEX($AC$1005:$AS$1005,1,MATCH(COLUMNS($AC$1006:AK1006),$AC$1006:$AS$1006,0))&gt;=100000), " ",IF(INDEX($AC$2:$AS$1001,MATCH(ROWS($V$2:V782),$V$2:$V$1001,0),MATCH(COLUMNS($AC$1006:AK1006),$AC$1006:$AS$1006,0)), HYPERLINK("#",""), HYPERLINK(CONCATENATE("#metadata!", ADDRESS(INDEX($X$2:$X$1001,MATCH(ROWS($V$2:V782),$V$2:$V$1001,0),0), INDEX($AC$1004:$AS$1004,1,MATCH(COLUMNS($AC$1006:AK1006),$AC$1006:$AS$1006,0)))),"Fix")))</f>
        <v xml:space="preserve"> </v>
      </c>
      <c r="K782" s="4" t="str">
        <f ca="1">IF(OR(INDEX($W$2:$W$1001,MATCH(ROWS($V$2:V782),$V$2:$V$1001,0),1)&gt;=100000,INDEX($AC$1005:$AS$1005,1,MATCH(COLUMNS($AC$1006:AL1006),$AC$1006:$AS$1006,0))&gt;=100000), " ",IF(INDEX($AC$2:$AS$1001,MATCH(ROWS($V$2:V782),$V$2:$V$1001,0),MATCH(COLUMNS($AC$1006:AL1006),$AC$1006:$AS$1006,0)), HYPERLINK("#",""), HYPERLINK(CONCATENATE("#metadata!", ADDRESS(INDEX($X$2:$X$1001,MATCH(ROWS($V$2:V782),$V$2:$V$1001,0),0), INDEX($AC$1004:$AS$1004,1,MATCH(COLUMNS($AC$1006:AL1006),$AC$1006:$AS$1006,0)))),"Fix")))</f>
        <v xml:space="preserve"> </v>
      </c>
      <c r="L782" s="4" t="str">
        <f ca="1">IF(OR(INDEX($W$2:$W$1001,MATCH(ROWS($V$2:V782),$V$2:$V$1001,0),1)&gt;=100000,INDEX($AC$1005:$AS$1005,1,MATCH(COLUMNS($AC$1006:AM1006),$AC$1006:$AS$1006,0))&gt;=100000), " ",IF(INDEX($AC$2:$AS$1001,MATCH(ROWS($V$2:V782),$V$2:$V$1001,0),MATCH(COLUMNS($AC$1006:AM1006),$AC$1006:$AS$1006,0)), HYPERLINK("#",""), HYPERLINK(CONCATENATE("#metadata!", ADDRESS(INDEX($X$2:$X$1001,MATCH(ROWS($V$2:V782),$V$2:$V$1001,0),0), INDEX($AC$1004:$AS$1004,1,MATCH(COLUMNS($AC$1006:AM1006),$AC$1006:$AS$1006,0)))),"Fix")))</f>
        <v xml:space="preserve"> </v>
      </c>
      <c r="M782" s="4" t="str">
        <f ca="1">IF(OR(INDEX($W$2:$W$1001,MATCH(ROWS($V$2:V782),$V$2:$V$1001,0),1)&gt;=100000,INDEX($AC$1005:$AS$1005,1,MATCH(COLUMNS($AC$1006:AN1006),$AC$1006:$AS$1006,0))&gt;=100000), " ",IF(INDEX($AC$2:$AS$1001,MATCH(ROWS($V$2:V782),$V$2:$V$1001,0),MATCH(COLUMNS($AC$1006:AN1006),$AC$1006:$AS$1006,0)), HYPERLINK("#",""), HYPERLINK(CONCATENATE("#metadata!", ADDRESS(INDEX($X$2:$X$1001,MATCH(ROWS($V$2:V782),$V$2:$V$1001,0),0), INDEX($AC$1004:$AS$1004,1,MATCH(COLUMNS($AC$1006:AN1006),$AC$1006:$AS$1006,0)))),"Fix")))</f>
        <v xml:space="preserve"> </v>
      </c>
      <c r="N782" s="4" t="str">
        <f ca="1">IF(OR(INDEX($W$2:$W$1001,MATCH(ROWS($V$2:V782),$V$2:$V$1001,0),1)&gt;=100000,INDEX($AC$1005:$AS$1005,1,MATCH(COLUMNS($AC$1006:AO1006),$AC$1006:$AS$1006,0))&gt;=100000), " ",IF(INDEX($AC$2:$AS$1001,MATCH(ROWS($V$2:V782),$V$2:$V$1001,0),MATCH(COLUMNS($AC$1006:AO1006),$AC$1006:$AS$1006,0)), HYPERLINK("#",""), HYPERLINK(CONCATENATE("#metadata!", ADDRESS(INDEX($X$2:$X$1001,MATCH(ROWS($V$2:V782),$V$2:$V$1001,0),0), INDEX($AC$1004:$AS$1004,1,MATCH(COLUMNS($AC$1006:AO1006),$AC$1006:$AS$1006,0)))),"Fix")))</f>
        <v xml:space="preserve"> </v>
      </c>
      <c r="O782" s="4" t="str">
        <f ca="1">IF(OR(INDEX($W$2:$W$1001,MATCH(ROWS($V$2:V782),$V$2:$V$1001,0),1)&gt;=100000,INDEX($AC$1005:$AS$1005,1,MATCH(COLUMNS($AC$1006:AP1006),$AC$1006:$AS$1006,0))&gt;=100000), " ",IF(INDEX($AC$2:$AS$1001,MATCH(ROWS($V$2:V782),$V$2:$V$1001,0),MATCH(COLUMNS($AC$1006:AP1006),$AC$1006:$AS$1006,0)), HYPERLINK("#",""), HYPERLINK(CONCATENATE("#metadata!", ADDRESS(INDEX($X$2:$X$1001,MATCH(ROWS($V$2:V782),$V$2:$V$1001,0),0), INDEX($AC$1004:$AS$1004,1,MATCH(COLUMNS($AC$1006:AP1006),$AC$1006:$AS$1006,0)))),"Fix")))</f>
        <v xml:space="preserve"> </v>
      </c>
      <c r="P782" s="4" t="str">
        <f ca="1">IF(OR(INDEX($W$2:$W$1001,MATCH(ROWS($V$2:V782),$V$2:$V$1001,0),1)&gt;=100000,INDEX($AC$1005:$AS$1005,1,MATCH(COLUMNS($AC$1006:AQ1006),$AC$1006:$AS$1006,0))&gt;=100000), " ",IF(INDEX($AC$2:$AS$1001,MATCH(ROWS($V$2:V782),$V$2:$V$1001,0),MATCH(COLUMNS($AC$1006:AQ1006),$AC$1006:$AS$1006,0)), HYPERLINK("#",""), HYPERLINK(CONCATENATE("#metadata!", ADDRESS(INDEX($X$2:$X$1001,MATCH(ROWS($V$2:V782),$V$2:$V$1001,0),0), INDEX($AC$1004:$AS$1004,1,MATCH(COLUMNS($AC$1006:AQ1006),$AC$1006:$AS$1006,0)))),"Fix")))</f>
        <v xml:space="preserve"> </v>
      </c>
      <c r="Q782" s="4" t="str">
        <f ca="1">IF(OR(INDEX($W$2:$W$1001,MATCH(ROWS($V$2:V782),$V$2:$V$1001,0),1)&gt;=100000,INDEX($AC$1005:$AS$1005,1,MATCH(COLUMNS($AC$1006:AR1006),$AC$1006:$AS$1006,0))&gt;=100000), " ",IF(INDEX($AC$2:$AS$1001,MATCH(ROWS($V$2:V782),$V$2:$V$1001,0),MATCH(COLUMNS($AC$1006:AR1006),$AC$1006:$AS$1006,0)), HYPERLINK("#",""), HYPERLINK(CONCATENATE("#metadata!", ADDRESS(INDEX($X$2:$X$1001,MATCH(ROWS($V$2:V782),$V$2:$V$1001,0),0), INDEX($AC$1004:$AS$1004,1,MATCH(COLUMNS($AC$1006:AR1006),$AC$1006:$AS$1006,0)))),"Fix")))</f>
        <v xml:space="preserve"> </v>
      </c>
      <c r="R782" s="4" t="str">
        <f ca="1">IF(OR(INDEX($W$2:$W$1001,MATCH(ROWS($V$2:V782),$V$2:$V$1001,0),1)&gt;=100000,INDEX($AC$1005:$AS$1005,1,MATCH(COLUMNS($AC$1006:AS1006),$AC$1006:$AS$1006,0))&gt;=100000), " ",IF(INDEX($AC$2:$AS$1001,MATCH(ROWS($V$2:V782),$V$2:$V$1001,0),MATCH(COLUMNS($AC$1006:AS1006),$AC$1006:$AS$1006,0)), HYPERLINK("#",""), HYPERLINK(CONCATENATE("#metadata!", ADDRESS(INDEX($X$2:$X$1001,MATCH(ROWS($V$2:V782),$V$2:$V$1001,0),0), INDEX($AC$1004:$AS$1004,1,MATCH(COLUMNS($AC$1006:AS1006),$AC$1006:$AS$1006,0)))),"Fix")))</f>
        <v xml:space="preserve"> </v>
      </c>
      <c r="V782">
        <v>781</v>
      </c>
      <c r="W782">
        <v>100782</v>
      </c>
      <c r="X782">
        <v>782</v>
      </c>
      <c r="Y782" t="b">
        <f t="shared" si="12"/>
        <v>1</v>
      </c>
      <c r="Z782" t="b">
        <f>COUNTBLANK(metadata!B782:R782)=COLUMNS(metadata!B782:R782)</f>
        <v>1</v>
      </c>
      <c r="AA782" t="str">
        <v/>
      </c>
      <c r="AC782" t="b">
        <f ca="1"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AD782" t="b">
        <f>IF(metadata!C782="",FALSE,ISNUMBER(VALUE(metadata!C782)))</f>
        <v>0</v>
      </c>
      <c r="AE782" t="b">
        <f>AND(IF(metadata!D782="",FALSE,TRUE),EXACT(metadata!D782,"years"))</f>
        <v>0</v>
      </c>
      <c r="AF782" t="b">
        <f>OR(AND(IF(metadata!E782="",FALSE,TRUE),OR(EXACT(metadata!E782,"not applicable"),EXACT(metadata!E782,"missing: not collected"),EXACT(metadata!E782,"missing: not provided"),EXACT(metadata!E782,"missing: restricted access"))),AND(IF(metadata!E782="",FALSE,ISNUMBER(VALUE(metadata!E782))),metadata!E782&gt;0))</f>
        <v>0</v>
      </c>
      <c r="AG782" t="b">
        <f>AND(IF(metadata!F782="",FALSE,TRUE),EXACT(metadata!F782,"Not applicable"))</f>
        <v>0</v>
      </c>
      <c r="AH782" t="b">
        <f>AND(IF(metadata!G782="",FALSE,TRUE),EXACT(metadata!G782,"urban biome"))</f>
        <v>0</v>
      </c>
      <c r="AI782" t="b">
        <f>AND(IF(metadata!H782="",FALSE,TRUE),EXACT(metadata!H782,"human-associated habitat"))</f>
        <v>0</v>
      </c>
      <c r="AJ782" t="b">
        <f>AND(IF(metadata!I782="",FALSE,TRUE),OR(EXACT(metadata!I782,"human-associated"),EXACT(metadata!I782,"human-skin"),EXACT(metadata!I782,"human-oral"),EXACT(metadata!I782,"human-gut"),EXACT(metadata!I782,"human-vaginal")))</f>
        <v>0</v>
      </c>
      <c r="AK782" t="b">
        <f>IF(metadata!J782="",FALSE,ISNUMBER(VALUE(metadata!J782)))</f>
        <v>0</v>
      </c>
      <c r="AL782" t="b">
        <f>AND(IF(metadata!K782="",FALSE,TRUE),EXACT(metadata!K782,"cm"))</f>
        <v>0</v>
      </c>
      <c r="AM782" t="b">
        <f>AND(IF(metadata!L782="",FALSE,TRUE),EXACT(metadata!L782,"human"))</f>
        <v>0</v>
      </c>
      <c r="AN782" t="b">
        <f>AND(IF(metadata!M782="",FALSE,TRUE),EXACT(metadata!M782,"Homo sapiens"))</f>
        <v>0</v>
      </c>
      <c r="AO782" t="b">
        <f>AND(IF(metadata!N782="",FALSE,TRUE),EXACT(metadata!N782,"9606"))</f>
        <v>0</v>
      </c>
      <c r="AP782" t="b">
        <f>IF(metadata!O782="",FALSE,TRUE)</f>
        <v>0</v>
      </c>
      <c r="AQ782" t="b">
        <f>IF(metadata!P782="",FALSE,TRUE)</f>
        <v>0</v>
      </c>
      <c r="AR782" t="b">
        <f>IF(metadata!Q782="",FALSE,ISNUMBER(VALUE(metadata!Q782)))</f>
        <v>0</v>
      </c>
      <c r="AS782" t="b">
        <f>AND(IF(metadata!R782="",FALSE,TRUE),EXACT(metadata!R782,"kg"))</f>
        <v>0</v>
      </c>
    </row>
    <row r="783" spans="1:45" x14ac:dyDescent="0.2">
      <c r="A783" s="5" t="str">
        <f ca="1">IF(B783=" "," ",HYPERLINK(CONCATENATE("#metadata!",ADDRESS(INDEX($X$2:$X$1001,MATCH(ROWS($V$2:V783),$V$2:$V$1001,0),0),1)),INDEX($AA$2:$AA$1001,MATCH(ROWS($V$2:V783),$V$2:$V$1001,0),0)))</f>
        <v xml:space="preserve"> </v>
      </c>
      <c r="B783" s="4" t="str">
        <f ca="1">IF(OR(INDEX($W$2:$W$1001,MATCH(ROWS($V$2:V783),$V$2:$V$1001,0),1)&gt;=100000,INDEX($AC$1005:$AS$1005,1,MATCH(COLUMNS($AC$1006:AC1006),$AC$1006:$AS$1006,0))&gt;=100000), " ",IF(INDEX($AC$2:$AS$1001,MATCH(ROWS($V$2:V783),$V$2:$V$1001,0),MATCH(COLUMNS($AC$1006:AC1006),$AC$1006:$AS$1006,0)), HYPERLINK("#",""), HYPERLINK(CONCATENATE("#metadata!", ADDRESS(INDEX($X$2:$X$1001,MATCH(ROWS($V$2:V783),$V$2:$V$1001,0),0), INDEX($AC$1004:$AS$1004,1,MATCH(COLUMNS($AC$1006:AC1006),$AC$1006:$AS$1006,0)))),"Fix")))</f>
        <v xml:space="preserve"> </v>
      </c>
      <c r="C783" s="4" t="str">
        <f ca="1">IF(OR(INDEX($W$2:$W$1001,MATCH(ROWS($V$2:V783),$V$2:$V$1001,0),1)&gt;=100000,INDEX($AC$1005:$AS$1005,1,MATCH(COLUMNS($AC$1006:AD1006),$AC$1006:$AS$1006,0))&gt;=100000), " ",IF(INDEX($AC$2:$AS$1001,MATCH(ROWS($V$2:V783),$V$2:$V$1001,0),MATCH(COLUMNS($AC$1006:AD1006),$AC$1006:$AS$1006,0)), HYPERLINK("#",""), HYPERLINK(CONCATENATE("#metadata!", ADDRESS(INDEX($X$2:$X$1001,MATCH(ROWS($V$2:V783),$V$2:$V$1001,0),0), INDEX($AC$1004:$AS$1004,1,MATCH(COLUMNS($AC$1006:AD1006),$AC$1006:$AS$1006,0)))),"Fix")))</f>
        <v xml:space="preserve"> </v>
      </c>
      <c r="D783" s="4" t="str">
        <f ca="1">IF(OR(INDEX($W$2:$W$1001,MATCH(ROWS($V$2:V783),$V$2:$V$1001,0),1)&gt;=100000,INDEX($AC$1005:$AS$1005,1,MATCH(COLUMNS($AC$1006:AE1006),$AC$1006:$AS$1006,0))&gt;=100000), " ",IF(INDEX($AC$2:$AS$1001,MATCH(ROWS($V$2:V783),$V$2:$V$1001,0),MATCH(COLUMNS($AC$1006:AE1006),$AC$1006:$AS$1006,0)), HYPERLINK("#",""), HYPERLINK(CONCATENATE("#metadata!", ADDRESS(INDEX($X$2:$X$1001,MATCH(ROWS($V$2:V783),$V$2:$V$1001,0),0), INDEX($AC$1004:$AS$1004,1,MATCH(COLUMNS($AC$1006:AE1006),$AC$1006:$AS$1006,0)))),"Fix")))</f>
        <v xml:space="preserve"> </v>
      </c>
      <c r="E783" s="4" t="str">
        <f ca="1">IF(OR(INDEX($W$2:$W$1001,MATCH(ROWS($V$2:V783),$V$2:$V$1001,0),1)&gt;=100000,INDEX($AC$1005:$AS$1005,1,MATCH(COLUMNS($AC$1006:AF1006),$AC$1006:$AS$1006,0))&gt;=100000), " ",IF(INDEX($AC$2:$AS$1001,MATCH(ROWS($V$2:V783),$V$2:$V$1001,0),MATCH(COLUMNS($AC$1006:AF1006),$AC$1006:$AS$1006,0)), HYPERLINK("#",""), HYPERLINK(CONCATENATE("#metadata!", ADDRESS(INDEX($X$2:$X$1001,MATCH(ROWS($V$2:V783),$V$2:$V$1001,0),0), INDEX($AC$1004:$AS$1004,1,MATCH(COLUMNS($AC$1006:AF1006),$AC$1006:$AS$1006,0)))),"Fix")))</f>
        <v xml:space="preserve"> </v>
      </c>
      <c r="F783" s="4" t="str">
        <f ca="1">IF(OR(INDEX($W$2:$W$1001,MATCH(ROWS($V$2:V783),$V$2:$V$1001,0),1)&gt;=100000,INDEX($AC$1005:$AS$1005,1,MATCH(COLUMNS($AC$1006:AG1006),$AC$1006:$AS$1006,0))&gt;=100000), " ",IF(INDEX($AC$2:$AS$1001,MATCH(ROWS($V$2:V783),$V$2:$V$1001,0),MATCH(COLUMNS($AC$1006:AG1006),$AC$1006:$AS$1006,0)), HYPERLINK("#",""), HYPERLINK(CONCATENATE("#metadata!", ADDRESS(INDEX($X$2:$X$1001,MATCH(ROWS($V$2:V783),$V$2:$V$1001,0),0), INDEX($AC$1004:$AS$1004,1,MATCH(COLUMNS($AC$1006:AG1006),$AC$1006:$AS$1006,0)))),"Fix")))</f>
        <v xml:space="preserve"> </v>
      </c>
      <c r="G783" s="4" t="str">
        <f ca="1">IF(OR(INDEX($W$2:$W$1001,MATCH(ROWS($V$2:V783),$V$2:$V$1001,0),1)&gt;=100000,INDEX($AC$1005:$AS$1005,1,MATCH(COLUMNS($AC$1006:AH1006),$AC$1006:$AS$1006,0))&gt;=100000), " ",IF(INDEX($AC$2:$AS$1001,MATCH(ROWS($V$2:V783),$V$2:$V$1001,0),MATCH(COLUMNS($AC$1006:AH1006),$AC$1006:$AS$1006,0)), HYPERLINK("#",""), HYPERLINK(CONCATENATE("#metadata!", ADDRESS(INDEX($X$2:$X$1001,MATCH(ROWS($V$2:V783),$V$2:$V$1001,0),0), INDEX($AC$1004:$AS$1004,1,MATCH(COLUMNS($AC$1006:AH1006),$AC$1006:$AS$1006,0)))),"Fix")))</f>
        <v xml:space="preserve"> </v>
      </c>
      <c r="H783" s="4" t="str">
        <f ca="1">IF(OR(INDEX($W$2:$W$1001,MATCH(ROWS($V$2:V783),$V$2:$V$1001,0),1)&gt;=100000,INDEX($AC$1005:$AS$1005,1,MATCH(COLUMNS($AC$1006:AI1006),$AC$1006:$AS$1006,0))&gt;=100000), " ",IF(INDEX($AC$2:$AS$1001,MATCH(ROWS($V$2:V783),$V$2:$V$1001,0),MATCH(COLUMNS($AC$1006:AI1006),$AC$1006:$AS$1006,0)), HYPERLINK("#",""), HYPERLINK(CONCATENATE("#metadata!", ADDRESS(INDEX($X$2:$X$1001,MATCH(ROWS($V$2:V783),$V$2:$V$1001,0),0), INDEX($AC$1004:$AS$1004,1,MATCH(COLUMNS($AC$1006:AI1006),$AC$1006:$AS$1006,0)))),"Fix")))</f>
        <v xml:space="preserve"> </v>
      </c>
      <c r="I783" s="4" t="str">
        <f ca="1">IF(OR(INDEX($W$2:$W$1001,MATCH(ROWS($V$2:V783),$V$2:$V$1001,0),1)&gt;=100000,INDEX($AC$1005:$AS$1005,1,MATCH(COLUMNS($AC$1006:AJ1006),$AC$1006:$AS$1006,0))&gt;=100000), " ",IF(INDEX($AC$2:$AS$1001,MATCH(ROWS($V$2:V783),$V$2:$V$1001,0),MATCH(COLUMNS($AC$1006:AJ1006),$AC$1006:$AS$1006,0)), HYPERLINK("#",""), HYPERLINK(CONCATENATE("#metadata!", ADDRESS(INDEX($X$2:$X$1001,MATCH(ROWS($V$2:V783),$V$2:$V$1001,0),0), INDEX($AC$1004:$AS$1004,1,MATCH(COLUMNS($AC$1006:AJ1006),$AC$1006:$AS$1006,0)))),"Fix")))</f>
        <v xml:space="preserve"> </v>
      </c>
      <c r="J783" s="4" t="str">
        <f ca="1">IF(OR(INDEX($W$2:$W$1001,MATCH(ROWS($V$2:V783),$V$2:$V$1001,0),1)&gt;=100000,INDEX($AC$1005:$AS$1005,1,MATCH(COLUMNS($AC$1006:AK1006),$AC$1006:$AS$1006,0))&gt;=100000), " ",IF(INDEX($AC$2:$AS$1001,MATCH(ROWS($V$2:V783),$V$2:$V$1001,0),MATCH(COLUMNS($AC$1006:AK1006),$AC$1006:$AS$1006,0)), HYPERLINK("#",""), HYPERLINK(CONCATENATE("#metadata!", ADDRESS(INDEX($X$2:$X$1001,MATCH(ROWS($V$2:V783),$V$2:$V$1001,0),0), INDEX($AC$1004:$AS$1004,1,MATCH(COLUMNS($AC$1006:AK1006),$AC$1006:$AS$1006,0)))),"Fix")))</f>
        <v xml:space="preserve"> </v>
      </c>
      <c r="K783" s="4" t="str">
        <f ca="1">IF(OR(INDEX($W$2:$W$1001,MATCH(ROWS($V$2:V783),$V$2:$V$1001,0),1)&gt;=100000,INDEX($AC$1005:$AS$1005,1,MATCH(COLUMNS($AC$1006:AL1006),$AC$1006:$AS$1006,0))&gt;=100000), " ",IF(INDEX($AC$2:$AS$1001,MATCH(ROWS($V$2:V783),$V$2:$V$1001,0),MATCH(COLUMNS($AC$1006:AL1006),$AC$1006:$AS$1006,0)), HYPERLINK("#",""), HYPERLINK(CONCATENATE("#metadata!", ADDRESS(INDEX($X$2:$X$1001,MATCH(ROWS($V$2:V783),$V$2:$V$1001,0),0), INDEX($AC$1004:$AS$1004,1,MATCH(COLUMNS($AC$1006:AL1006),$AC$1006:$AS$1006,0)))),"Fix")))</f>
        <v xml:space="preserve"> </v>
      </c>
      <c r="L783" s="4" t="str">
        <f ca="1">IF(OR(INDEX($W$2:$W$1001,MATCH(ROWS($V$2:V783),$V$2:$V$1001,0),1)&gt;=100000,INDEX($AC$1005:$AS$1005,1,MATCH(COLUMNS($AC$1006:AM1006),$AC$1006:$AS$1006,0))&gt;=100000), " ",IF(INDEX($AC$2:$AS$1001,MATCH(ROWS($V$2:V783),$V$2:$V$1001,0),MATCH(COLUMNS($AC$1006:AM1006),$AC$1006:$AS$1006,0)), HYPERLINK("#",""), HYPERLINK(CONCATENATE("#metadata!", ADDRESS(INDEX($X$2:$X$1001,MATCH(ROWS($V$2:V783),$V$2:$V$1001,0),0), INDEX($AC$1004:$AS$1004,1,MATCH(COLUMNS($AC$1006:AM1006),$AC$1006:$AS$1006,0)))),"Fix")))</f>
        <v xml:space="preserve"> </v>
      </c>
      <c r="M783" s="4" t="str">
        <f ca="1">IF(OR(INDEX($W$2:$W$1001,MATCH(ROWS($V$2:V783),$V$2:$V$1001,0),1)&gt;=100000,INDEX($AC$1005:$AS$1005,1,MATCH(COLUMNS($AC$1006:AN1006),$AC$1006:$AS$1006,0))&gt;=100000), " ",IF(INDEX($AC$2:$AS$1001,MATCH(ROWS($V$2:V783),$V$2:$V$1001,0),MATCH(COLUMNS($AC$1006:AN1006),$AC$1006:$AS$1006,0)), HYPERLINK("#",""), HYPERLINK(CONCATENATE("#metadata!", ADDRESS(INDEX($X$2:$X$1001,MATCH(ROWS($V$2:V783),$V$2:$V$1001,0),0), INDEX($AC$1004:$AS$1004,1,MATCH(COLUMNS($AC$1006:AN1006),$AC$1006:$AS$1006,0)))),"Fix")))</f>
        <v xml:space="preserve"> </v>
      </c>
      <c r="N783" s="4" t="str">
        <f ca="1">IF(OR(INDEX($W$2:$W$1001,MATCH(ROWS($V$2:V783),$V$2:$V$1001,0),1)&gt;=100000,INDEX($AC$1005:$AS$1005,1,MATCH(COLUMNS($AC$1006:AO1006),$AC$1006:$AS$1006,0))&gt;=100000), " ",IF(INDEX($AC$2:$AS$1001,MATCH(ROWS($V$2:V783),$V$2:$V$1001,0),MATCH(COLUMNS($AC$1006:AO1006),$AC$1006:$AS$1006,0)), HYPERLINK("#",""), HYPERLINK(CONCATENATE("#metadata!", ADDRESS(INDEX($X$2:$X$1001,MATCH(ROWS($V$2:V783),$V$2:$V$1001,0),0), INDEX($AC$1004:$AS$1004,1,MATCH(COLUMNS($AC$1006:AO1006),$AC$1006:$AS$1006,0)))),"Fix")))</f>
        <v xml:space="preserve"> </v>
      </c>
      <c r="O783" s="4" t="str">
        <f ca="1">IF(OR(INDEX($W$2:$W$1001,MATCH(ROWS($V$2:V783),$V$2:$V$1001,0),1)&gt;=100000,INDEX($AC$1005:$AS$1005,1,MATCH(COLUMNS($AC$1006:AP1006),$AC$1006:$AS$1006,0))&gt;=100000), " ",IF(INDEX($AC$2:$AS$1001,MATCH(ROWS($V$2:V783),$V$2:$V$1001,0),MATCH(COLUMNS($AC$1006:AP1006),$AC$1006:$AS$1006,0)), HYPERLINK("#",""), HYPERLINK(CONCATENATE("#metadata!", ADDRESS(INDEX($X$2:$X$1001,MATCH(ROWS($V$2:V783),$V$2:$V$1001,0),0), INDEX($AC$1004:$AS$1004,1,MATCH(COLUMNS($AC$1006:AP1006),$AC$1006:$AS$1006,0)))),"Fix")))</f>
        <v xml:space="preserve"> </v>
      </c>
      <c r="P783" s="4" t="str">
        <f ca="1">IF(OR(INDEX($W$2:$W$1001,MATCH(ROWS($V$2:V783),$V$2:$V$1001,0),1)&gt;=100000,INDEX($AC$1005:$AS$1005,1,MATCH(COLUMNS($AC$1006:AQ1006),$AC$1006:$AS$1006,0))&gt;=100000), " ",IF(INDEX($AC$2:$AS$1001,MATCH(ROWS($V$2:V783),$V$2:$V$1001,0),MATCH(COLUMNS($AC$1006:AQ1006),$AC$1006:$AS$1006,0)), HYPERLINK("#",""), HYPERLINK(CONCATENATE("#metadata!", ADDRESS(INDEX($X$2:$X$1001,MATCH(ROWS($V$2:V783),$V$2:$V$1001,0),0), INDEX($AC$1004:$AS$1004,1,MATCH(COLUMNS($AC$1006:AQ1006),$AC$1006:$AS$1006,0)))),"Fix")))</f>
        <v xml:space="preserve"> </v>
      </c>
      <c r="Q783" s="4" t="str">
        <f ca="1">IF(OR(INDEX($W$2:$W$1001,MATCH(ROWS($V$2:V783),$V$2:$V$1001,0),1)&gt;=100000,INDEX($AC$1005:$AS$1005,1,MATCH(COLUMNS($AC$1006:AR1006),$AC$1006:$AS$1006,0))&gt;=100000), " ",IF(INDEX($AC$2:$AS$1001,MATCH(ROWS($V$2:V783),$V$2:$V$1001,0),MATCH(COLUMNS($AC$1006:AR1006),$AC$1006:$AS$1006,0)), HYPERLINK("#",""), HYPERLINK(CONCATENATE("#metadata!", ADDRESS(INDEX($X$2:$X$1001,MATCH(ROWS($V$2:V783),$V$2:$V$1001,0),0), INDEX($AC$1004:$AS$1004,1,MATCH(COLUMNS($AC$1006:AR1006),$AC$1006:$AS$1006,0)))),"Fix")))</f>
        <v xml:space="preserve"> </v>
      </c>
      <c r="R783" s="4" t="str">
        <f ca="1">IF(OR(INDEX($W$2:$W$1001,MATCH(ROWS($V$2:V783),$V$2:$V$1001,0),1)&gt;=100000,INDEX($AC$1005:$AS$1005,1,MATCH(COLUMNS($AC$1006:AS1006),$AC$1006:$AS$1006,0))&gt;=100000), " ",IF(INDEX($AC$2:$AS$1001,MATCH(ROWS($V$2:V783),$V$2:$V$1001,0),MATCH(COLUMNS($AC$1006:AS1006),$AC$1006:$AS$1006,0)), HYPERLINK("#",""), HYPERLINK(CONCATENATE("#metadata!", ADDRESS(INDEX($X$2:$X$1001,MATCH(ROWS($V$2:V783),$V$2:$V$1001,0),0), INDEX($AC$1004:$AS$1004,1,MATCH(COLUMNS($AC$1006:AS1006),$AC$1006:$AS$1006,0)))),"Fix")))</f>
        <v xml:space="preserve"> </v>
      </c>
      <c r="V783">
        <v>782</v>
      </c>
      <c r="W783">
        <v>100783</v>
      </c>
      <c r="X783">
        <v>783</v>
      </c>
      <c r="Y783" t="b">
        <f t="shared" si="12"/>
        <v>1</v>
      </c>
      <c r="Z783" t="b">
        <f>COUNTBLANK(metadata!B783:R783)=COLUMNS(metadata!B783:R783)</f>
        <v>1</v>
      </c>
      <c r="AA783" t="str">
        <v/>
      </c>
      <c r="AC783" t="b">
        <f ca="1"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AD783" t="b">
        <f>IF(metadata!C783="",FALSE,ISNUMBER(VALUE(metadata!C783)))</f>
        <v>0</v>
      </c>
      <c r="AE783" t="b">
        <f>AND(IF(metadata!D783="",FALSE,TRUE),EXACT(metadata!D783,"years"))</f>
        <v>0</v>
      </c>
      <c r="AF783" t="b">
        <f>OR(AND(IF(metadata!E783="",FALSE,TRUE),OR(EXACT(metadata!E783,"not applicable"),EXACT(metadata!E783,"missing: not collected"),EXACT(metadata!E783,"missing: not provided"),EXACT(metadata!E783,"missing: restricted access"))),AND(IF(metadata!E783="",FALSE,ISNUMBER(VALUE(metadata!E783))),metadata!E783&gt;0))</f>
        <v>0</v>
      </c>
      <c r="AG783" t="b">
        <f>AND(IF(metadata!F783="",FALSE,TRUE),EXACT(metadata!F783,"Not applicable"))</f>
        <v>0</v>
      </c>
      <c r="AH783" t="b">
        <f>AND(IF(metadata!G783="",FALSE,TRUE),EXACT(metadata!G783,"urban biome"))</f>
        <v>0</v>
      </c>
      <c r="AI783" t="b">
        <f>AND(IF(metadata!H783="",FALSE,TRUE),EXACT(metadata!H783,"human-associated habitat"))</f>
        <v>0</v>
      </c>
      <c r="AJ783" t="b">
        <f>AND(IF(metadata!I783="",FALSE,TRUE),OR(EXACT(metadata!I783,"human-associated"),EXACT(metadata!I783,"human-skin"),EXACT(metadata!I783,"human-oral"),EXACT(metadata!I783,"human-gut"),EXACT(metadata!I783,"human-vaginal")))</f>
        <v>0</v>
      </c>
      <c r="AK783" t="b">
        <f>IF(metadata!J783="",FALSE,ISNUMBER(VALUE(metadata!J783)))</f>
        <v>0</v>
      </c>
      <c r="AL783" t="b">
        <f>AND(IF(metadata!K783="",FALSE,TRUE),EXACT(metadata!K783,"cm"))</f>
        <v>0</v>
      </c>
      <c r="AM783" t="b">
        <f>AND(IF(metadata!L783="",FALSE,TRUE),EXACT(metadata!L783,"human"))</f>
        <v>0</v>
      </c>
      <c r="AN783" t="b">
        <f>AND(IF(metadata!M783="",FALSE,TRUE),EXACT(metadata!M783,"Homo sapiens"))</f>
        <v>0</v>
      </c>
      <c r="AO783" t="b">
        <f>AND(IF(metadata!N783="",FALSE,TRUE),EXACT(metadata!N783,"9606"))</f>
        <v>0</v>
      </c>
      <c r="AP783" t="b">
        <f>IF(metadata!O783="",FALSE,TRUE)</f>
        <v>0</v>
      </c>
      <c r="AQ783" t="b">
        <f>IF(metadata!P783="",FALSE,TRUE)</f>
        <v>0</v>
      </c>
      <c r="AR783" t="b">
        <f>IF(metadata!Q783="",FALSE,ISNUMBER(VALUE(metadata!Q783)))</f>
        <v>0</v>
      </c>
      <c r="AS783" t="b">
        <f>AND(IF(metadata!R783="",FALSE,TRUE),EXACT(metadata!R783,"kg"))</f>
        <v>0</v>
      </c>
    </row>
    <row r="784" spans="1:45" x14ac:dyDescent="0.2">
      <c r="A784" s="5" t="str">
        <f ca="1">IF(B784=" "," ",HYPERLINK(CONCATENATE("#metadata!",ADDRESS(INDEX($X$2:$X$1001,MATCH(ROWS($V$2:V784),$V$2:$V$1001,0),0),1)),INDEX($AA$2:$AA$1001,MATCH(ROWS($V$2:V784),$V$2:$V$1001,0),0)))</f>
        <v xml:space="preserve"> </v>
      </c>
      <c r="B784" s="4" t="str">
        <f ca="1">IF(OR(INDEX($W$2:$W$1001,MATCH(ROWS($V$2:V784),$V$2:$V$1001,0),1)&gt;=100000,INDEX($AC$1005:$AS$1005,1,MATCH(COLUMNS($AC$1006:AC1006),$AC$1006:$AS$1006,0))&gt;=100000), " ",IF(INDEX($AC$2:$AS$1001,MATCH(ROWS($V$2:V784),$V$2:$V$1001,0),MATCH(COLUMNS($AC$1006:AC1006),$AC$1006:$AS$1006,0)), HYPERLINK("#",""), HYPERLINK(CONCATENATE("#metadata!", ADDRESS(INDEX($X$2:$X$1001,MATCH(ROWS($V$2:V784),$V$2:$V$1001,0),0), INDEX($AC$1004:$AS$1004,1,MATCH(COLUMNS($AC$1006:AC1006),$AC$1006:$AS$1006,0)))),"Fix")))</f>
        <v xml:space="preserve"> </v>
      </c>
      <c r="C784" s="4" t="str">
        <f ca="1">IF(OR(INDEX($W$2:$W$1001,MATCH(ROWS($V$2:V784),$V$2:$V$1001,0),1)&gt;=100000,INDEX($AC$1005:$AS$1005,1,MATCH(COLUMNS($AC$1006:AD1006),$AC$1006:$AS$1006,0))&gt;=100000), " ",IF(INDEX($AC$2:$AS$1001,MATCH(ROWS($V$2:V784),$V$2:$V$1001,0),MATCH(COLUMNS($AC$1006:AD1006),$AC$1006:$AS$1006,0)), HYPERLINK("#",""), HYPERLINK(CONCATENATE("#metadata!", ADDRESS(INDEX($X$2:$X$1001,MATCH(ROWS($V$2:V784),$V$2:$V$1001,0),0), INDEX($AC$1004:$AS$1004,1,MATCH(COLUMNS($AC$1006:AD1006),$AC$1006:$AS$1006,0)))),"Fix")))</f>
        <v xml:space="preserve"> </v>
      </c>
      <c r="D784" s="4" t="str">
        <f ca="1">IF(OR(INDEX($W$2:$W$1001,MATCH(ROWS($V$2:V784),$V$2:$V$1001,0),1)&gt;=100000,INDEX($AC$1005:$AS$1005,1,MATCH(COLUMNS($AC$1006:AE1006),$AC$1006:$AS$1006,0))&gt;=100000), " ",IF(INDEX($AC$2:$AS$1001,MATCH(ROWS($V$2:V784),$V$2:$V$1001,0),MATCH(COLUMNS($AC$1006:AE1006),$AC$1006:$AS$1006,0)), HYPERLINK("#",""), HYPERLINK(CONCATENATE("#metadata!", ADDRESS(INDEX($X$2:$X$1001,MATCH(ROWS($V$2:V784),$V$2:$V$1001,0),0), INDEX($AC$1004:$AS$1004,1,MATCH(COLUMNS($AC$1006:AE1006),$AC$1006:$AS$1006,0)))),"Fix")))</f>
        <v xml:space="preserve"> </v>
      </c>
      <c r="E784" s="4" t="str">
        <f ca="1">IF(OR(INDEX($W$2:$W$1001,MATCH(ROWS($V$2:V784),$V$2:$V$1001,0),1)&gt;=100000,INDEX($AC$1005:$AS$1005,1,MATCH(COLUMNS($AC$1006:AF1006),$AC$1006:$AS$1006,0))&gt;=100000), " ",IF(INDEX($AC$2:$AS$1001,MATCH(ROWS($V$2:V784),$V$2:$V$1001,0),MATCH(COLUMNS($AC$1006:AF1006),$AC$1006:$AS$1006,0)), HYPERLINK("#",""), HYPERLINK(CONCATENATE("#metadata!", ADDRESS(INDEX($X$2:$X$1001,MATCH(ROWS($V$2:V784),$V$2:$V$1001,0),0), INDEX($AC$1004:$AS$1004,1,MATCH(COLUMNS($AC$1006:AF1006),$AC$1006:$AS$1006,0)))),"Fix")))</f>
        <v xml:space="preserve"> </v>
      </c>
      <c r="F784" s="4" t="str">
        <f ca="1">IF(OR(INDEX($W$2:$W$1001,MATCH(ROWS($V$2:V784),$V$2:$V$1001,0),1)&gt;=100000,INDEX($AC$1005:$AS$1005,1,MATCH(COLUMNS($AC$1006:AG1006),$AC$1006:$AS$1006,0))&gt;=100000), " ",IF(INDEX($AC$2:$AS$1001,MATCH(ROWS($V$2:V784),$V$2:$V$1001,0),MATCH(COLUMNS($AC$1006:AG1006),$AC$1006:$AS$1006,0)), HYPERLINK("#",""), HYPERLINK(CONCATENATE("#metadata!", ADDRESS(INDEX($X$2:$X$1001,MATCH(ROWS($V$2:V784),$V$2:$V$1001,0),0), INDEX($AC$1004:$AS$1004,1,MATCH(COLUMNS($AC$1006:AG1006),$AC$1006:$AS$1006,0)))),"Fix")))</f>
        <v xml:space="preserve"> </v>
      </c>
      <c r="G784" s="4" t="str">
        <f ca="1">IF(OR(INDEX($W$2:$W$1001,MATCH(ROWS($V$2:V784),$V$2:$V$1001,0),1)&gt;=100000,INDEX($AC$1005:$AS$1005,1,MATCH(COLUMNS($AC$1006:AH1006),$AC$1006:$AS$1006,0))&gt;=100000), " ",IF(INDEX($AC$2:$AS$1001,MATCH(ROWS($V$2:V784),$V$2:$V$1001,0),MATCH(COLUMNS($AC$1006:AH1006),$AC$1006:$AS$1006,0)), HYPERLINK("#",""), HYPERLINK(CONCATENATE("#metadata!", ADDRESS(INDEX($X$2:$X$1001,MATCH(ROWS($V$2:V784),$V$2:$V$1001,0),0), INDEX($AC$1004:$AS$1004,1,MATCH(COLUMNS($AC$1006:AH1006),$AC$1006:$AS$1006,0)))),"Fix")))</f>
        <v xml:space="preserve"> </v>
      </c>
      <c r="H784" s="4" t="str">
        <f ca="1">IF(OR(INDEX($W$2:$W$1001,MATCH(ROWS($V$2:V784),$V$2:$V$1001,0),1)&gt;=100000,INDEX($AC$1005:$AS$1005,1,MATCH(COLUMNS($AC$1006:AI1006),$AC$1006:$AS$1006,0))&gt;=100000), " ",IF(INDEX($AC$2:$AS$1001,MATCH(ROWS($V$2:V784),$V$2:$V$1001,0),MATCH(COLUMNS($AC$1006:AI1006),$AC$1006:$AS$1006,0)), HYPERLINK("#",""), HYPERLINK(CONCATENATE("#metadata!", ADDRESS(INDEX($X$2:$X$1001,MATCH(ROWS($V$2:V784),$V$2:$V$1001,0),0), INDEX($AC$1004:$AS$1004,1,MATCH(COLUMNS($AC$1006:AI1006),$AC$1006:$AS$1006,0)))),"Fix")))</f>
        <v xml:space="preserve"> </v>
      </c>
      <c r="I784" s="4" t="str">
        <f ca="1">IF(OR(INDEX($W$2:$W$1001,MATCH(ROWS($V$2:V784),$V$2:$V$1001,0),1)&gt;=100000,INDEX($AC$1005:$AS$1005,1,MATCH(COLUMNS($AC$1006:AJ1006),$AC$1006:$AS$1006,0))&gt;=100000), " ",IF(INDEX($AC$2:$AS$1001,MATCH(ROWS($V$2:V784),$V$2:$V$1001,0),MATCH(COLUMNS($AC$1006:AJ1006),$AC$1006:$AS$1006,0)), HYPERLINK("#",""), HYPERLINK(CONCATENATE("#metadata!", ADDRESS(INDEX($X$2:$X$1001,MATCH(ROWS($V$2:V784),$V$2:$V$1001,0),0), INDEX($AC$1004:$AS$1004,1,MATCH(COLUMNS($AC$1006:AJ1006),$AC$1006:$AS$1006,0)))),"Fix")))</f>
        <v xml:space="preserve"> </v>
      </c>
      <c r="J784" s="4" t="str">
        <f ca="1">IF(OR(INDEX($W$2:$W$1001,MATCH(ROWS($V$2:V784),$V$2:$V$1001,0),1)&gt;=100000,INDEX($AC$1005:$AS$1005,1,MATCH(COLUMNS($AC$1006:AK1006),$AC$1006:$AS$1006,0))&gt;=100000), " ",IF(INDEX($AC$2:$AS$1001,MATCH(ROWS($V$2:V784),$V$2:$V$1001,0),MATCH(COLUMNS($AC$1006:AK1006),$AC$1006:$AS$1006,0)), HYPERLINK("#",""), HYPERLINK(CONCATENATE("#metadata!", ADDRESS(INDEX($X$2:$X$1001,MATCH(ROWS($V$2:V784),$V$2:$V$1001,0),0), INDEX($AC$1004:$AS$1004,1,MATCH(COLUMNS($AC$1006:AK1006),$AC$1006:$AS$1006,0)))),"Fix")))</f>
        <v xml:space="preserve"> </v>
      </c>
      <c r="K784" s="4" t="str">
        <f ca="1">IF(OR(INDEX($W$2:$W$1001,MATCH(ROWS($V$2:V784),$V$2:$V$1001,0),1)&gt;=100000,INDEX($AC$1005:$AS$1005,1,MATCH(COLUMNS($AC$1006:AL1006),$AC$1006:$AS$1006,0))&gt;=100000), " ",IF(INDEX($AC$2:$AS$1001,MATCH(ROWS($V$2:V784),$V$2:$V$1001,0),MATCH(COLUMNS($AC$1006:AL1006),$AC$1006:$AS$1006,0)), HYPERLINK("#",""), HYPERLINK(CONCATENATE("#metadata!", ADDRESS(INDEX($X$2:$X$1001,MATCH(ROWS($V$2:V784),$V$2:$V$1001,0),0), INDEX($AC$1004:$AS$1004,1,MATCH(COLUMNS($AC$1006:AL1006),$AC$1006:$AS$1006,0)))),"Fix")))</f>
        <v xml:space="preserve"> </v>
      </c>
      <c r="L784" s="4" t="str">
        <f ca="1">IF(OR(INDEX($W$2:$W$1001,MATCH(ROWS($V$2:V784),$V$2:$V$1001,0),1)&gt;=100000,INDEX($AC$1005:$AS$1005,1,MATCH(COLUMNS($AC$1006:AM1006),$AC$1006:$AS$1006,0))&gt;=100000), " ",IF(INDEX($AC$2:$AS$1001,MATCH(ROWS($V$2:V784),$V$2:$V$1001,0),MATCH(COLUMNS($AC$1006:AM1006),$AC$1006:$AS$1006,0)), HYPERLINK("#",""), HYPERLINK(CONCATENATE("#metadata!", ADDRESS(INDEX($X$2:$X$1001,MATCH(ROWS($V$2:V784),$V$2:$V$1001,0),0), INDEX($AC$1004:$AS$1004,1,MATCH(COLUMNS($AC$1006:AM1006),$AC$1006:$AS$1006,0)))),"Fix")))</f>
        <v xml:space="preserve"> </v>
      </c>
      <c r="M784" s="4" t="str">
        <f ca="1">IF(OR(INDEX($W$2:$W$1001,MATCH(ROWS($V$2:V784),$V$2:$V$1001,0),1)&gt;=100000,INDEX($AC$1005:$AS$1005,1,MATCH(COLUMNS($AC$1006:AN1006),$AC$1006:$AS$1006,0))&gt;=100000), " ",IF(INDEX($AC$2:$AS$1001,MATCH(ROWS($V$2:V784),$V$2:$V$1001,0),MATCH(COLUMNS($AC$1006:AN1006),$AC$1006:$AS$1006,0)), HYPERLINK("#",""), HYPERLINK(CONCATENATE("#metadata!", ADDRESS(INDEX($X$2:$X$1001,MATCH(ROWS($V$2:V784),$V$2:$V$1001,0),0), INDEX($AC$1004:$AS$1004,1,MATCH(COLUMNS($AC$1006:AN1006),$AC$1006:$AS$1006,0)))),"Fix")))</f>
        <v xml:space="preserve"> </v>
      </c>
      <c r="N784" s="4" t="str">
        <f ca="1">IF(OR(INDEX($W$2:$W$1001,MATCH(ROWS($V$2:V784),$V$2:$V$1001,0),1)&gt;=100000,INDEX($AC$1005:$AS$1005,1,MATCH(COLUMNS($AC$1006:AO1006),$AC$1006:$AS$1006,0))&gt;=100000), " ",IF(INDEX($AC$2:$AS$1001,MATCH(ROWS($V$2:V784),$V$2:$V$1001,0),MATCH(COLUMNS($AC$1006:AO1006),$AC$1006:$AS$1006,0)), HYPERLINK("#",""), HYPERLINK(CONCATENATE("#metadata!", ADDRESS(INDEX($X$2:$X$1001,MATCH(ROWS($V$2:V784),$V$2:$V$1001,0),0), INDEX($AC$1004:$AS$1004,1,MATCH(COLUMNS($AC$1006:AO1006),$AC$1006:$AS$1006,0)))),"Fix")))</f>
        <v xml:space="preserve"> </v>
      </c>
      <c r="O784" s="4" t="str">
        <f ca="1">IF(OR(INDEX($W$2:$W$1001,MATCH(ROWS($V$2:V784),$V$2:$V$1001,0),1)&gt;=100000,INDEX($AC$1005:$AS$1005,1,MATCH(COLUMNS($AC$1006:AP1006),$AC$1006:$AS$1006,0))&gt;=100000), " ",IF(INDEX($AC$2:$AS$1001,MATCH(ROWS($V$2:V784),$V$2:$V$1001,0),MATCH(COLUMNS($AC$1006:AP1006),$AC$1006:$AS$1006,0)), HYPERLINK("#",""), HYPERLINK(CONCATENATE("#metadata!", ADDRESS(INDEX($X$2:$X$1001,MATCH(ROWS($V$2:V784),$V$2:$V$1001,0),0), INDEX($AC$1004:$AS$1004,1,MATCH(COLUMNS($AC$1006:AP1006),$AC$1006:$AS$1006,0)))),"Fix")))</f>
        <v xml:space="preserve"> </v>
      </c>
      <c r="P784" s="4" t="str">
        <f ca="1">IF(OR(INDEX($W$2:$W$1001,MATCH(ROWS($V$2:V784),$V$2:$V$1001,0),1)&gt;=100000,INDEX($AC$1005:$AS$1005,1,MATCH(COLUMNS($AC$1006:AQ1006),$AC$1006:$AS$1006,0))&gt;=100000), " ",IF(INDEX($AC$2:$AS$1001,MATCH(ROWS($V$2:V784),$V$2:$V$1001,0),MATCH(COLUMNS($AC$1006:AQ1006),$AC$1006:$AS$1006,0)), HYPERLINK("#",""), HYPERLINK(CONCATENATE("#metadata!", ADDRESS(INDEX($X$2:$X$1001,MATCH(ROWS($V$2:V784),$V$2:$V$1001,0),0), INDEX($AC$1004:$AS$1004,1,MATCH(COLUMNS($AC$1006:AQ1006),$AC$1006:$AS$1006,0)))),"Fix")))</f>
        <v xml:space="preserve"> </v>
      </c>
      <c r="Q784" s="4" t="str">
        <f ca="1">IF(OR(INDEX($W$2:$W$1001,MATCH(ROWS($V$2:V784),$V$2:$V$1001,0),1)&gt;=100000,INDEX($AC$1005:$AS$1005,1,MATCH(COLUMNS($AC$1006:AR1006),$AC$1006:$AS$1006,0))&gt;=100000), " ",IF(INDEX($AC$2:$AS$1001,MATCH(ROWS($V$2:V784),$V$2:$V$1001,0),MATCH(COLUMNS($AC$1006:AR1006),$AC$1006:$AS$1006,0)), HYPERLINK("#",""), HYPERLINK(CONCATENATE("#metadata!", ADDRESS(INDEX($X$2:$X$1001,MATCH(ROWS($V$2:V784),$V$2:$V$1001,0),0), INDEX($AC$1004:$AS$1004,1,MATCH(COLUMNS($AC$1006:AR1006),$AC$1006:$AS$1006,0)))),"Fix")))</f>
        <v xml:space="preserve"> </v>
      </c>
      <c r="R784" s="4" t="str">
        <f ca="1">IF(OR(INDEX($W$2:$W$1001,MATCH(ROWS($V$2:V784),$V$2:$V$1001,0),1)&gt;=100000,INDEX($AC$1005:$AS$1005,1,MATCH(COLUMNS($AC$1006:AS1006),$AC$1006:$AS$1006,0))&gt;=100000), " ",IF(INDEX($AC$2:$AS$1001,MATCH(ROWS($V$2:V784),$V$2:$V$1001,0),MATCH(COLUMNS($AC$1006:AS1006),$AC$1006:$AS$1006,0)), HYPERLINK("#",""), HYPERLINK(CONCATENATE("#metadata!", ADDRESS(INDEX($X$2:$X$1001,MATCH(ROWS($V$2:V784),$V$2:$V$1001,0),0), INDEX($AC$1004:$AS$1004,1,MATCH(COLUMNS($AC$1006:AS1006),$AC$1006:$AS$1006,0)))),"Fix")))</f>
        <v xml:space="preserve"> </v>
      </c>
      <c r="V784">
        <v>783</v>
      </c>
      <c r="W784">
        <v>100784</v>
      </c>
      <c r="X784">
        <v>784</v>
      </c>
      <c r="Y784" t="b">
        <f t="shared" si="12"/>
        <v>1</v>
      </c>
      <c r="Z784" t="b">
        <f>COUNTBLANK(metadata!B784:R784)=COLUMNS(metadata!B784:R784)</f>
        <v>1</v>
      </c>
      <c r="AA784" t="str">
        <v/>
      </c>
      <c r="AC784" t="b">
        <f ca="1"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AD784" t="b">
        <f>IF(metadata!C784="",FALSE,ISNUMBER(VALUE(metadata!C784)))</f>
        <v>0</v>
      </c>
      <c r="AE784" t="b">
        <f>AND(IF(metadata!D784="",FALSE,TRUE),EXACT(metadata!D784,"years"))</f>
        <v>0</v>
      </c>
      <c r="AF784" t="b">
        <f>OR(AND(IF(metadata!E784="",FALSE,TRUE),OR(EXACT(metadata!E784,"not applicable"),EXACT(metadata!E784,"missing: not collected"),EXACT(metadata!E784,"missing: not provided"),EXACT(metadata!E784,"missing: restricted access"))),AND(IF(metadata!E784="",FALSE,ISNUMBER(VALUE(metadata!E784))),metadata!E784&gt;0))</f>
        <v>0</v>
      </c>
      <c r="AG784" t="b">
        <f>AND(IF(metadata!F784="",FALSE,TRUE),EXACT(metadata!F784,"Not applicable"))</f>
        <v>0</v>
      </c>
      <c r="AH784" t="b">
        <f>AND(IF(metadata!G784="",FALSE,TRUE),EXACT(metadata!G784,"urban biome"))</f>
        <v>0</v>
      </c>
      <c r="AI784" t="b">
        <f>AND(IF(metadata!H784="",FALSE,TRUE),EXACT(metadata!H784,"human-associated habitat"))</f>
        <v>0</v>
      </c>
      <c r="AJ784" t="b">
        <f>AND(IF(metadata!I784="",FALSE,TRUE),OR(EXACT(metadata!I784,"human-associated"),EXACT(metadata!I784,"human-skin"),EXACT(metadata!I784,"human-oral"),EXACT(metadata!I784,"human-gut"),EXACT(metadata!I784,"human-vaginal")))</f>
        <v>0</v>
      </c>
      <c r="AK784" t="b">
        <f>IF(metadata!J784="",FALSE,ISNUMBER(VALUE(metadata!J784)))</f>
        <v>0</v>
      </c>
      <c r="AL784" t="b">
        <f>AND(IF(metadata!K784="",FALSE,TRUE),EXACT(metadata!K784,"cm"))</f>
        <v>0</v>
      </c>
      <c r="AM784" t="b">
        <f>AND(IF(metadata!L784="",FALSE,TRUE),EXACT(metadata!L784,"human"))</f>
        <v>0</v>
      </c>
      <c r="AN784" t="b">
        <f>AND(IF(metadata!M784="",FALSE,TRUE),EXACT(metadata!M784,"Homo sapiens"))</f>
        <v>0</v>
      </c>
      <c r="AO784" t="b">
        <f>AND(IF(metadata!N784="",FALSE,TRUE),EXACT(metadata!N784,"9606"))</f>
        <v>0</v>
      </c>
      <c r="AP784" t="b">
        <f>IF(metadata!O784="",FALSE,TRUE)</f>
        <v>0</v>
      </c>
      <c r="AQ784" t="b">
        <f>IF(metadata!P784="",FALSE,TRUE)</f>
        <v>0</v>
      </c>
      <c r="AR784" t="b">
        <f>IF(metadata!Q784="",FALSE,ISNUMBER(VALUE(metadata!Q784)))</f>
        <v>0</v>
      </c>
      <c r="AS784" t="b">
        <f>AND(IF(metadata!R784="",FALSE,TRUE),EXACT(metadata!R784,"kg"))</f>
        <v>0</v>
      </c>
    </row>
    <row r="785" spans="1:45" x14ac:dyDescent="0.2">
      <c r="A785" s="5" t="str">
        <f ca="1">IF(B785=" "," ",HYPERLINK(CONCATENATE("#metadata!",ADDRESS(INDEX($X$2:$X$1001,MATCH(ROWS($V$2:V785),$V$2:$V$1001,0),0),1)),INDEX($AA$2:$AA$1001,MATCH(ROWS($V$2:V785),$V$2:$V$1001,0),0)))</f>
        <v xml:space="preserve"> </v>
      </c>
      <c r="B785" s="4" t="str">
        <f ca="1">IF(OR(INDEX($W$2:$W$1001,MATCH(ROWS($V$2:V785),$V$2:$V$1001,0),1)&gt;=100000,INDEX($AC$1005:$AS$1005,1,MATCH(COLUMNS($AC$1006:AC1006),$AC$1006:$AS$1006,0))&gt;=100000), " ",IF(INDEX($AC$2:$AS$1001,MATCH(ROWS($V$2:V785),$V$2:$V$1001,0),MATCH(COLUMNS($AC$1006:AC1006),$AC$1006:$AS$1006,0)), HYPERLINK("#",""), HYPERLINK(CONCATENATE("#metadata!", ADDRESS(INDEX($X$2:$X$1001,MATCH(ROWS($V$2:V785),$V$2:$V$1001,0),0), INDEX($AC$1004:$AS$1004,1,MATCH(COLUMNS($AC$1006:AC1006),$AC$1006:$AS$1006,0)))),"Fix")))</f>
        <v xml:space="preserve"> </v>
      </c>
      <c r="C785" s="4" t="str">
        <f ca="1">IF(OR(INDEX($W$2:$W$1001,MATCH(ROWS($V$2:V785),$V$2:$V$1001,0),1)&gt;=100000,INDEX($AC$1005:$AS$1005,1,MATCH(COLUMNS($AC$1006:AD1006),$AC$1006:$AS$1006,0))&gt;=100000), " ",IF(INDEX($AC$2:$AS$1001,MATCH(ROWS($V$2:V785),$V$2:$V$1001,0),MATCH(COLUMNS($AC$1006:AD1006),$AC$1006:$AS$1006,0)), HYPERLINK("#",""), HYPERLINK(CONCATENATE("#metadata!", ADDRESS(INDEX($X$2:$X$1001,MATCH(ROWS($V$2:V785),$V$2:$V$1001,0),0), INDEX($AC$1004:$AS$1004,1,MATCH(COLUMNS($AC$1006:AD1006),$AC$1006:$AS$1006,0)))),"Fix")))</f>
        <v xml:space="preserve"> </v>
      </c>
      <c r="D785" s="4" t="str">
        <f ca="1">IF(OR(INDEX($W$2:$W$1001,MATCH(ROWS($V$2:V785),$V$2:$V$1001,0),1)&gt;=100000,INDEX($AC$1005:$AS$1005,1,MATCH(COLUMNS($AC$1006:AE1006),$AC$1006:$AS$1006,0))&gt;=100000), " ",IF(INDEX($AC$2:$AS$1001,MATCH(ROWS($V$2:V785),$V$2:$V$1001,0),MATCH(COLUMNS($AC$1006:AE1006),$AC$1006:$AS$1006,0)), HYPERLINK("#",""), HYPERLINK(CONCATENATE("#metadata!", ADDRESS(INDEX($X$2:$X$1001,MATCH(ROWS($V$2:V785),$V$2:$V$1001,0),0), INDEX($AC$1004:$AS$1004,1,MATCH(COLUMNS($AC$1006:AE1006),$AC$1006:$AS$1006,0)))),"Fix")))</f>
        <v xml:space="preserve"> </v>
      </c>
      <c r="E785" s="4" t="str">
        <f ca="1">IF(OR(INDEX($W$2:$W$1001,MATCH(ROWS($V$2:V785),$V$2:$V$1001,0),1)&gt;=100000,INDEX($AC$1005:$AS$1005,1,MATCH(COLUMNS($AC$1006:AF1006),$AC$1006:$AS$1006,0))&gt;=100000), " ",IF(INDEX($AC$2:$AS$1001,MATCH(ROWS($V$2:V785),$V$2:$V$1001,0),MATCH(COLUMNS($AC$1006:AF1006),$AC$1006:$AS$1006,0)), HYPERLINK("#",""), HYPERLINK(CONCATENATE("#metadata!", ADDRESS(INDEX($X$2:$X$1001,MATCH(ROWS($V$2:V785),$V$2:$V$1001,0),0), INDEX($AC$1004:$AS$1004,1,MATCH(COLUMNS($AC$1006:AF1006),$AC$1006:$AS$1006,0)))),"Fix")))</f>
        <v xml:space="preserve"> </v>
      </c>
      <c r="F785" s="4" t="str">
        <f ca="1">IF(OR(INDEX($W$2:$W$1001,MATCH(ROWS($V$2:V785),$V$2:$V$1001,0),1)&gt;=100000,INDEX($AC$1005:$AS$1005,1,MATCH(COLUMNS($AC$1006:AG1006),$AC$1006:$AS$1006,0))&gt;=100000), " ",IF(INDEX($AC$2:$AS$1001,MATCH(ROWS($V$2:V785),$V$2:$V$1001,0),MATCH(COLUMNS($AC$1006:AG1006),$AC$1006:$AS$1006,0)), HYPERLINK("#",""), HYPERLINK(CONCATENATE("#metadata!", ADDRESS(INDEX($X$2:$X$1001,MATCH(ROWS($V$2:V785),$V$2:$V$1001,0),0), INDEX($AC$1004:$AS$1004,1,MATCH(COLUMNS($AC$1006:AG1006),$AC$1006:$AS$1006,0)))),"Fix")))</f>
        <v xml:space="preserve"> </v>
      </c>
      <c r="G785" s="4" t="str">
        <f ca="1">IF(OR(INDEX($W$2:$W$1001,MATCH(ROWS($V$2:V785),$V$2:$V$1001,0),1)&gt;=100000,INDEX($AC$1005:$AS$1005,1,MATCH(COLUMNS($AC$1006:AH1006),$AC$1006:$AS$1006,0))&gt;=100000), " ",IF(INDEX($AC$2:$AS$1001,MATCH(ROWS($V$2:V785),$V$2:$V$1001,0),MATCH(COLUMNS($AC$1006:AH1006),$AC$1006:$AS$1006,0)), HYPERLINK("#",""), HYPERLINK(CONCATENATE("#metadata!", ADDRESS(INDEX($X$2:$X$1001,MATCH(ROWS($V$2:V785),$V$2:$V$1001,0),0), INDEX($AC$1004:$AS$1004,1,MATCH(COLUMNS($AC$1006:AH1006),$AC$1006:$AS$1006,0)))),"Fix")))</f>
        <v xml:space="preserve"> </v>
      </c>
      <c r="H785" s="4" t="str">
        <f ca="1">IF(OR(INDEX($W$2:$W$1001,MATCH(ROWS($V$2:V785),$V$2:$V$1001,0),1)&gt;=100000,INDEX($AC$1005:$AS$1005,1,MATCH(COLUMNS($AC$1006:AI1006),$AC$1006:$AS$1006,0))&gt;=100000), " ",IF(INDEX($AC$2:$AS$1001,MATCH(ROWS($V$2:V785),$V$2:$V$1001,0),MATCH(COLUMNS($AC$1006:AI1006),$AC$1006:$AS$1006,0)), HYPERLINK("#",""), HYPERLINK(CONCATENATE("#metadata!", ADDRESS(INDEX($X$2:$X$1001,MATCH(ROWS($V$2:V785),$V$2:$V$1001,0),0), INDEX($AC$1004:$AS$1004,1,MATCH(COLUMNS($AC$1006:AI1006),$AC$1006:$AS$1006,0)))),"Fix")))</f>
        <v xml:space="preserve"> </v>
      </c>
      <c r="I785" s="4" t="str">
        <f ca="1">IF(OR(INDEX($W$2:$W$1001,MATCH(ROWS($V$2:V785),$V$2:$V$1001,0),1)&gt;=100000,INDEX($AC$1005:$AS$1005,1,MATCH(COLUMNS($AC$1006:AJ1006),$AC$1006:$AS$1006,0))&gt;=100000), " ",IF(INDEX($AC$2:$AS$1001,MATCH(ROWS($V$2:V785),$V$2:$V$1001,0),MATCH(COLUMNS($AC$1006:AJ1006),$AC$1006:$AS$1006,0)), HYPERLINK("#",""), HYPERLINK(CONCATENATE("#metadata!", ADDRESS(INDEX($X$2:$X$1001,MATCH(ROWS($V$2:V785),$V$2:$V$1001,0),0), INDEX($AC$1004:$AS$1004,1,MATCH(COLUMNS($AC$1006:AJ1006),$AC$1006:$AS$1006,0)))),"Fix")))</f>
        <v xml:space="preserve"> </v>
      </c>
      <c r="J785" s="4" t="str">
        <f ca="1">IF(OR(INDEX($W$2:$W$1001,MATCH(ROWS($V$2:V785),$V$2:$V$1001,0),1)&gt;=100000,INDEX($AC$1005:$AS$1005,1,MATCH(COLUMNS($AC$1006:AK1006),$AC$1006:$AS$1006,0))&gt;=100000), " ",IF(INDEX($AC$2:$AS$1001,MATCH(ROWS($V$2:V785),$V$2:$V$1001,0),MATCH(COLUMNS($AC$1006:AK1006),$AC$1006:$AS$1006,0)), HYPERLINK("#",""), HYPERLINK(CONCATENATE("#metadata!", ADDRESS(INDEX($X$2:$X$1001,MATCH(ROWS($V$2:V785),$V$2:$V$1001,0),0), INDEX($AC$1004:$AS$1004,1,MATCH(COLUMNS($AC$1006:AK1006),$AC$1006:$AS$1006,0)))),"Fix")))</f>
        <v xml:space="preserve"> </v>
      </c>
      <c r="K785" s="4" t="str">
        <f ca="1">IF(OR(INDEX($W$2:$W$1001,MATCH(ROWS($V$2:V785),$V$2:$V$1001,0),1)&gt;=100000,INDEX($AC$1005:$AS$1005,1,MATCH(COLUMNS($AC$1006:AL1006),$AC$1006:$AS$1006,0))&gt;=100000), " ",IF(INDEX($AC$2:$AS$1001,MATCH(ROWS($V$2:V785),$V$2:$V$1001,0),MATCH(COLUMNS($AC$1006:AL1006),$AC$1006:$AS$1006,0)), HYPERLINK("#",""), HYPERLINK(CONCATENATE("#metadata!", ADDRESS(INDEX($X$2:$X$1001,MATCH(ROWS($V$2:V785),$V$2:$V$1001,0),0), INDEX($AC$1004:$AS$1004,1,MATCH(COLUMNS($AC$1006:AL1006),$AC$1006:$AS$1006,0)))),"Fix")))</f>
        <v xml:space="preserve"> </v>
      </c>
      <c r="L785" s="4" t="str">
        <f ca="1">IF(OR(INDEX($W$2:$W$1001,MATCH(ROWS($V$2:V785),$V$2:$V$1001,0),1)&gt;=100000,INDEX($AC$1005:$AS$1005,1,MATCH(COLUMNS($AC$1006:AM1006),$AC$1006:$AS$1006,0))&gt;=100000), " ",IF(INDEX($AC$2:$AS$1001,MATCH(ROWS($V$2:V785),$V$2:$V$1001,0),MATCH(COLUMNS($AC$1006:AM1006),$AC$1006:$AS$1006,0)), HYPERLINK("#",""), HYPERLINK(CONCATENATE("#metadata!", ADDRESS(INDEX($X$2:$X$1001,MATCH(ROWS($V$2:V785),$V$2:$V$1001,0),0), INDEX($AC$1004:$AS$1004,1,MATCH(COLUMNS($AC$1006:AM1006),$AC$1006:$AS$1006,0)))),"Fix")))</f>
        <v xml:space="preserve"> </v>
      </c>
      <c r="M785" s="4" t="str">
        <f ca="1">IF(OR(INDEX($W$2:$W$1001,MATCH(ROWS($V$2:V785),$V$2:$V$1001,0),1)&gt;=100000,INDEX($AC$1005:$AS$1005,1,MATCH(COLUMNS($AC$1006:AN1006),$AC$1006:$AS$1006,0))&gt;=100000), " ",IF(INDEX($AC$2:$AS$1001,MATCH(ROWS($V$2:V785),$V$2:$V$1001,0),MATCH(COLUMNS($AC$1006:AN1006),$AC$1006:$AS$1006,0)), HYPERLINK("#",""), HYPERLINK(CONCATENATE("#metadata!", ADDRESS(INDEX($X$2:$X$1001,MATCH(ROWS($V$2:V785),$V$2:$V$1001,0),0), INDEX($AC$1004:$AS$1004,1,MATCH(COLUMNS($AC$1006:AN1006),$AC$1006:$AS$1006,0)))),"Fix")))</f>
        <v xml:space="preserve"> </v>
      </c>
      <c r="N785" s="4" t="str">
        <f ca="1">IF(OR(INDEX($W$2:$W$1001,MATCH(ROWS($V$2:V785),$V$2:$V$1001,0),1)&gt;=100000,INDEX($AC$1005:$AS$1005,1,MATCH(COLUMNS($AC$1006:AO1006),$AC$1006:$AS$1006,0))&gt;=100000), " ",IF(INDEX($AC$2:$AS$1001,MATCH(ROWS($V$2:V785),$V$2:$V$1001,0),MATCH(COLUMNS($AC$1006:AO1006),$AC$1006:$AS$1006,0)), HYPERLINK("#",""), HYPERLINK(CONCATENATE("#metadata!", ADDRESS(INDEX($X$2:$X$1001,MATCH(ROWS($V$2:V785),$V$2:$V$1001,0),0), INDEX($AC$1004:$AS$1004,1,MATCH(COLUMNS($AC$1006:AO1006),$AC$1006:$AS$1006,0)))),"Fix")))</f>
        <v xml:space="preserve"> </v>
      </c>
      <c r="O785" s="4" t="str">
        <f ca="1">IF(OR(INDEX($W$2:$W$1001,MATCH(ROWS($V$2:V785),$V$2:$V$1001,0),1)&gt;=100000,INDEX($AC$1005:$AS$1005,1,MATCH(COLUMNS($AC$1006:AP1006),$AC$1006:$AS$1006,0))&gt;=100000), " ",IF(INDEX($AC$2:$AS$1001,MATCH(ROWS($V$2:V785),$V$2:$V$1001,0),MATCH(COLUMNS($AC$1006:AP1006),$AC$1006:$AS$1006,0)), HYPERLINK("#",""), HYPERLINK(CONCATENATE("#metadata!", ADDRESS(INDEX($X$2:$X$1001,MATCH(ROWS($V$2:V785),$V$2:$V$1001,0),0), INDEX($AC$1004:$AS$1004,1,MATCH(COLUMNS($AC$1006:AP1006),$AC$1006:$AS$1006,0)))),"Fix")))</f>
        <v xml:space="preserve"> </v>
      </c>
      <c r="P785" s="4" t="str">
        <f ca="1">IF(OR(INDEX($W$2:$W$1001,MATCH(ROWS($V$2:V785),$V$2:$V$1001,0),1)&gt;=100000,INDEX($AC$1005:$AS$1005,1,MATCH(COLUMNS($AC$1006:AQ1006),$AC$1006:$AS$1006,0))&gt;=100000), " ",IF(INDEX($AC$2:$AS$1001,MATCH(ROWS($V$2:V785),$V$2:$V$1001,0),MATCH(COLUMNS($AC$1006:AQ1006),$AC$1006:$AS$1006,0)), HYPERLINK("#",""), HYPERLINK(CONCATENATE("#metadata!", ADDRESS(INDEX($X$2:$X$1001,MATCH(ROWS($V$2:V785),$V$2:$V$1001,0),0), INDEX($AC$1004:$AS$1004,1,MATCH(COLUMNS($AC$1006:AQ1006),$AC$1006:$AS$1006,0)))),"Fix")))</f>
        <v xml:space="preserve"> </v>
      </c>
      <c r="Q785" s="4" t="str">
        <f ca="1">IF(OR(INDEX($W$2:$W$1001,MATCH(ROWS($V$2:V785),$V$2:$V$1001,0),1)&gt;=100000,INDEX($AC$1005:$AS$1005,1,MATCH(COLUMNS($AC$1006:AR1006),$AC$1006:$AS$1006,0))&gt;=100000), " ",IF(INDEX($AC$2:$AS$1001,MATCH(ROWS($V$2:V785),$V$2:$V$1001,0),MATCH(COLUMNS($AC$1006:AR1006),$AC$1006:$AS$1006,0)), HYPERLINK("#",""), HYPERLINK(CONCATENATE("#metadata!", ADDRESS(INDEX($X$2:$X$1001,MATCH(ROWS($V$2:V785),$V$2:$V$1001,0),0), INDEX($AC$1004:$AS$1004,1,MATCH(COLUMNS($AC$1006:AR1006),$AC$1006:$AS$1006,0)))),"Fix")))</f>
        <v xml:space="preserve"> </v>
      </c>
      <c r="R785" s="4" t="str">
        <f ca="1">IF(OR(INDEX($W$2:$W$1001,MATCH(ROWS($V$2:V785),$V$2:$V$1001,0),1)&gt;=100000,INDEX($AC$1005:$AS$1005,1,MATCH(COLUMNS($AC$1006:AS1006),$AC$1006:$AS$1006,0))&gt;=100000), " ",IF(INDEX($AC$2:$AS$1001,MATCH(ROWS($V$2:V785),$V$2:$V$1001,0),MATCH(COLUMNS($AC$1006:AS1006),$AC$1006:$AS$1006,0)), HYPERLINK("#",""), HYPERLINK(CONCATENATE("#metadata!", ADDRESS(INDEX($X$2:$X$1001,MATCH(ROWS($V$2:V785),$V$2:$V$1001,0),0), INDEX($AC$1004:$AS$1004,1,MATCH(COLUMNS($AC$1006:AS1006),$AC$1006:$AS$1006,0)))),"Fix")))</f>
        <v xml:space="preserve"> </v>
      </c>
      <c r="V785">
        <v>784</v>
      </c>
      <c r="W785">
        <v>100785</v>
      </c>
      <c r="X785">
        <v>785</v>
      </c>
      <c r="Y785" t="b">
        <f t="shared" si="12"/>
        <v>1</v>
      </c>
      <c r="Z785" t="b">
        <f>COUNTBLANK(metadata!B785:R785)=COLUMNS(metadata!B785:R785)</f>
        <v>1</v>
      </c>
      <c r="AA785" t="str">
        <v/>
      </c>
      <c r="AC785" t="b">
        <f ca="1"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AD785" t="b">
        <f>IF(metadata!C785="",FALSE,ISNUMBER(VALUE(metadata!C785)))</f>
        <v>0</v>
      </c>
      <c r="AE785" t="b">
        <f>AND(IF(metadata!D785="",FALSE,TRUE),EXACT(metadata!D785,"years"))</f>
        <v>0</v>
      </c>
      <c r="AF785" t="b">
        <f>OR(AND(IF(metadata!E785="",FALSE,TRUE),OR(EXACT(metadata!E785,"not applicable"),EXACT(metadata!E785,"missing: not collected"),EXACT(metadata!E785,"missing: not provided"),EXACT(metadata!E785,"missing: restricted access"))),AND(IF(metadata!E785="",FALSE,ISNUMBER(VALUE(metadata!E785))),metadata!E785&gt;0))</f>
        <v>0</v>
      </c>
      <c r="AG785" t="b">
        <f>AND(IF(metadata!F785="",FALSE,TRUE),EXACT(metadata!F785,"Not applicable"))</f>
        <v>0</v>
      </c>
      <c r="AH785" t="b">
        <f>AND(IF(metadata!G785="",FALSE,TRUE),EXACT(metadata!G785,"urban biome"))</f>
        <v>0</v>
      </c>
      <c r="AI785" t="b">
        <f>AND(IF(metadata!H785="",FALSE,TRUE),EXACT(metadata!H785,"human-associated habitat"))</f>
        <v>0</v>
      </c>
      <c r="AJ785" t="b">
        <f>AND(IF(metadata!I785="",FALSE,TRUE),OR(EXACT(metadata!I785,"human-associated"),EXACT(metadata!I785,"human-skin"),EXACT(metadata!I785,"human-oral"),EXACT(metadata!I785,"human-gut"),EXACT(metadata!I785,"human-vaginal")))</f>
        <v>0</v>
      </c>
      <c r="AK785" t="b">
        <f>IF(metadata!J785="",FALSE,ISNUMBER(VALUE(metadata!J785)))</f>
        <v>0</v>
      </c>
      <c r="AL785" t="b">
        <f>AND(IF(metadata!K785="",FALSE,TRUE),EXACT(metadata!K785,"cm"))</f>
        <v>0</v>
      </c>
      <c r="AM785" t="b">
        <f>AND(IF(metadata!L785="",FALSE,TRUE),EXACT(metadata!L785,"human"))</f>
        <v>0</v>
      </c>
      <c r="AN785" t="b">
        <f>AND(IF(metadata!M785="",FALSE,TRUE),EXACT(metadata!M785,"Homo sapiens"))</f>
        <v>0</v>
      </c>
      <c r="AO785" t="b">
        <f>AND(IF(metadata!N785="",FALSE,TRUE),EXACT(metadata!N785,"9606"))</f>
        <v>0</v>
      </c>
      <c r="AP785" t="b">
        <f>IF(metadata!O785="",FALSE,TRUE)</f>
        <v>0</v>
      </c>
      <c r="AQ785" t="b">
        <f>IF(metadata!P785="",FALSE,TRUE)</f>
        <v>0</v>
      </c>
      <c r="AR785" t="b">
        <f>IF(metadata!Q785="",FALSE,ISNUMBER(VALUE(metadata!Q785)))</f>
        <v>0</v>
      </c>
      <c r="AS785" t="b">
        <f>AND(IF(metadata!R785="",FALSE,TRUE),EXACT(metadata!R785,"kg"))</f>
        <v>0</v>
      </c>
    </row>
    <row r="786" spans="1:45" x14ac:dyDescent="0.2">
      <c r="A786" s="5" t="str">
        <f ca="1">IF(B786=" "," ",HYPERLINK(CONCATENATE("#metadata!",ADDRESS(INDEX($X$2:$X$1001,MATCH(ROWS($V$2:V786),$V$2:$V$1001,0),0),1)),INDEX($AA$2:$AA$1001,MATCH(ROWS($V$2:V786),$V$2:$V$1001,0),0)))</f>
        <v xml:space="preserve"> </v>
      </c>
      <c r="B786" s="4" t="str">
        <f ca="1">IF(OR(INDEX($W$2:$W$1001,MATCH(ROWS($V$2:V786),$V$2:$V$1001,0),1)&gt;=100000,INDEX($AC$1005:$AS$1005,1,MATCH(COLUMNS($AC$1006:AC1006),$AC$1006:$AS$1006,0))&gt;=100000), " ",IF(INDEX($AC$2:$AS$1001,MATCH(ROWS($V$2:V786),$V$2:$V$1001,0),MATCH(COLUMNS($AC$1006:AC1006),$AC$1006:$AS$1006,0)), HYPERLINK("#",""), HYPERLINK(CONCATENATE("#metadata!", ADDRESS(INDEX($X$2:$X$1001,MATCH(ROWS($V$2:V786),$V$2:$V$1001,0),0), INDEX($AC$1004:$AS$1004,1,MATCH(COLUMNS($AC$1006:AC1006),$AC$1006:$AS$1006,0)))),"Fix")))</f>
        <v xml:space="preserve"> </v>
      </c>
      <c r="C786" s="4" t="str">
        <f ca="1">IF(OR(INDEX($W$2:$W$1001,MATCH(ROWS($V$2:V786),$V$2:$V$1001,0),1)&gt;=100000,INDEX($AC$1005:$AS$1005,1,MATCH(COLUMNS($AC$1006:AD1006),$AC$1006:$AS$1006,0))&gt;=100000), " ",IF(INDEX($AC$2:$AS$1001,MATCH(ROWS($V$2:V786),$V$2:$V$1001,0),MATCH(COLUMNS($AC$1006:AD1006),$AC$1006:$AS$1006,0)), HYPERLINK("#",""), HYPERLINK(CONCATENATE("#metadata!", ADDRESS(INDEX($X$2:$X$1001,MATCH(ROWS($V$2:V786),$V$2:$V$1001,0),0), INDEX($AC$1004:$AS$1004,1,MATCH(COLUMNS($AC$1006:AD1006),$AC$1006:$AS$1006,0)))),"Fix")))</f>
        <v xml:space="preserve"> </v>
      </c>
      <c r="D786" s="4" t="str">
        <f ca="1">IF(OR(INDEX($W$2:$W$1001,MATCH(ROWS($V$2:V786),$V$2:$V$1001,0),1)&gt;=100000,INDEX($AC$1005:$AS$1005,1,MATCH(COLUMNS($AC$1006:AE1006),$AC$1006:$AS$1006,0))&gt;=100000), " ",IF(INDEX($AC$2:$AS$1001,MATCH(ROWS($V$2:V786),$V$2:$V$1001,0),MATCH(COLUMNS($AC$1006:AE1006),$AC$1006:$AS$1006,0)), HYPERLINK("#",""), HYPERLINK(CONCATENATE("#metadata!", ADDRESS(INDEX($X$2:$X$1001,MATCH(ROWS($V$2:V786),$V$2:$V$1001,0),0), INDEX($AC$1004:$AS$1004,1,MATCH(COLUMNS($AC$1006:AE1006),$AC$1006:$AS$1006,0)))),"Fix")))</f>
        <v xml:space="preserve"> </v>
      </c>
      <c r="E786" s="4" t="str">
        <f ca="1">IF(OR(INDEX($W$2:$W$1001,MATCH(ROWS($V$2:V786),$V$2:$V$1001,0),1)&gt;=100000,INDEX($AC$1005:$AS$1005,1,MATCH(COLUMNS($AC$1006:AF1006),$AC$1006:$AS$1006,0))&gt;=100000), " ",IF(INDEX($AC$2:$AS$1001,MATCH(ROWS($V$2:V786),$V$2:$V$1001,0),MATCH(COLUMNS($AC$1006:AF1006),$AC$1006:$AS$1006,0)), HYPERLINK("#",""), HYPERLINK(CONCATENATE("#metadata!", ADDRESS(INDEX($X$2:$X$1001,MATCH(ROWS($V$2:V786),$V$2:$V$1001,0),0), INDEX($AC$1004:$AS$1004,1,MATCH(COLUMNS($AC$1006:AF1006),$AC$1006:$AS$1006,0)))),"Fix")))</f>
        <v xml:space="preserve"> </v>
      </c>
      <c r="F786" s="4" t="str">
        <f ca="1">IF(OR(INDEX($W$2:$W$1001,MATCH(ROWS($V$2:V786),$V$2:$V$1001,0),1)&gt;=100000,INDEX($AC$1005:$AS$1005,1,MATCH(COLUMNS($AC$1006:AG1006),$AC$1006:$AS$1006,0))&gt;=100000), " ",IF(INDEX($AC$2:$AS$1001,MATCH(ROWS($V$2:V786),$V$2:$V$1001,0),MATCH(COLUMNS($AC$1006:AG1006),$AC$1006:$AS$1006,0)), HYPERLINK("#",""), HYPERLINK(CONCATENATE("#metadata!", ADDRESS(INDEX($X$2:$X$1001,MATCH(ROWS($V$2:V786),$V$2:$V$1001,0),0), INDEX($AC$1004:$AS$1004,1,MATCH(COLUMNS($AC$1006:AG1006),$AC$1006:$AS$1006,0)))),"Fix")))</f>
        <v xml:space="preserve"> </v>
      </c>
      <c r="G786" s="4" t="str">
        <f ca="1">IF(OR(INDEX($W$2:$W$1001,MATCH(ROWS($V$2:V786),$V$2:$V$1001,0),1)&gt;=100000,INDEX($AC$1005:$AS$1005,1,MATCH(COLUMNS($AC$1006:AH1006),$AC$1006:$AS$1006,0))&gt;=100000), " ",IF(INDEX($AC$2:$AS$1001,MATCH(ROWS($V$2:V786),$V$2:$V$1001,0),MATCH(COLUMNS($AC$1006:AH1006),$AC$1006:$AS$1006,0)), HYPERLINK("#",""), HYPERLINK(CONCATENATE("#metadata!", ADDRESS(INDEX($X$2:$X$1001,MATCH(ROWS($V$2:V786),$V$2:$V$1001,0),0), INDEX($AC$1004:$AS$1004,1,MATCH(COLUMNS($AC$1006:AH1006),$AC$1006:$AS$1006,0)))),"Fix")))</f>
        <v xml:space="preserve"> </v>
      </c>
      <c r="H786" s="4" t="str">
        <f ca="1">IF(OR(INDEX($W$2:$W$1001,MATCH(ROWS($V$2:V786),$V$2:$V$1001,0),1)&gt;=100000,INDEX($AC$1005:$AS$1005,1,MATCH(COLUMNS($AC$1006:AI1006),$AC$1006:$AS$1006,0))&gt;=100000), " ",IF(INDEX($AC$2:$AS$1001,MATCH(ROWS($V$2:V786),$V$2:$V$1001,0),MATCH(COLUMNS($AC$1006:AI1006),$AC$1006:$AS$1006,0)), HYPERLINK("#",""), HYPERLINK(CONCATENATE("#metadata!", ADDRESS(INDEX($X$2:$X$1001,MATCH(ROWS($V$2:V786),$V$2:$V$1001,0),0), INDEX($AC$1004:$AS$1004,1,MATCH(COLUMNS($AC$1006:AI1006),$AC$1006:$AS$1006,0)))),"Fix")))</f>
        <v xml:space="preserve"> </v>
      </c>
      <c r="I786" s="4" t="str">
        <f ca="1">IF(OR(INDEX($W$2:$W$1001,MATCH(ROWS($V$2:V786),$V$2:$V$1001,0),1)&gt;=100000,INDEX($AC$1005:$AS$1005,1,MATCH(COLUMNS($AC$1006:AJ1006),$AC$1006:$AS$1006,0))&gt;=100000), " ",IF(INDEX($AC$2:$AS$1001,MATCH(ROWS($V$2:V786),$V$2:$V$1001,0),MATCH(COLUMNS($AC$1006:AJ1006),$AC$1006:$AS$1006,0)), HYPERLINK("#",""), HYPERLINK(CONCATENATE("#metadata!", ADDRESS(INDEX($X$2:$X$1001,MATCH(ROWS($V$2:V786),$V$2:$V$1001,0),0), INDEX($AC$1004:$AS$1004,1,MATCH(COLUMNS($AC$1006:AJ1006),$AC$1006:$AS$1006,0)))),"Fix")))</f>
        <v xml:space="preserve"> </v>
      </c>
      <c r="J786" s="4" t="str">
        <f ca="1">IF(OR(INDEX($W$2:$W$1001,MATCH(ROWS($V$2:V786),$V$2:$V$1001,0),1)&gt;=100000,INDEX($AC$1005:$AS$1005,1,MATCH(COLUMNS($AC$1006:AK1006),$AC$1006:$AS$1006,0))&gt;=100000), " ",IF(INDEX($AC$2:$AS$1001,MATCH(ROWS($V$2:V786),$V$2:$V$1001,0),MATCH(COLUMNS($AC$1006:AK1006),$AC$1006:$AS$1006,0)), HYPERLINK("#",""), HYPERLINK(CONCATENATE("#metadata!", ADDRESS(INDEX($X$2:$X$1001,MATCH(ROWS($V$2:V786),$V$2:$V$1001,0),0), INDEX($AC$1004:$AS$1004,1,MATCH(COLUMNS($AC$1006:AK1006),$AC$1006:$AS$1006,0)))),"Fix")))</f>
        <v xml:space="preserve"> </v>
      </c>
      <c r="K786" s="4" t="str">
        <f ca="1">IF(OR(INDEX($W$2:$W$1001,MATCH(ROWS($V$2:V786),$V$2:$V$1001,0),1)&gt;=100000,INDEX($AC$1005:$AS$1005,1,MATCH(COLUMNS($AC$1006:AL1006),$AC$1006:$AS$1006,0))&gt;=100000), " ",IF(INDEX($AC$2:$AS$1001,MATCH(ROWS($V$2:V786),$V$2:$V$1001,0),MATCH(COLUMNS($AC$1006:AL1006),$AC$1006:$AS$1006,0)), HYPERLINK("#",""), HYPERLINK(CONCATENATE("#metadata!", ADDRESS(INDEX($X$2:$X$1001,MATCH(ROWS($V$2:V786),$V$2:$V$1001,0),0), INDEX($AC$1004:$AS$1004,1,MATCH(COLUMNS($AC$1006:AL1006),$AC$1006:$AS$1006,0)))),"Fix")))</f>
        <v xml:space="preserve"> </v>
      </c>
      <c r="L786" s="4" t="str">
        <f ca="1">IF(OR(INDEX($W$2:$W$1001,MATCH(ROWS($V$2:V786),$V$2:$V$1001,0),1)&gt;=100000,INDEX($AC$1005:$AS$1005,1,MATCH(COLUMNS($AC$1006:AM1006),$AC$1006:$AS$1006,0))&gt;=100000), " ",IF(INDEX($AC$2:$AS$1001,MATCH(ROWS($V$2:V786),$V$2:$V$1001,0),MATCH(COLUMNS($AC$1006:AM1006),$AC$1006:$AS$1006,0)), HYPERLINK("#",""), HYPERLINK(CONCATENATE("#metadata!", ADDRESS(INDEX($X$2:$X$1001,MATCH(ROWS($V$2:V786),$V$2:$V$1001,0),0), INDEX($AC$1004:$AS$1004,1,MATCH(COLUMNS($AC$1006:AM1006),$AC$1006:$AS$1006,0)))),"Fix")))</f>
        <v xml:space="preserve"> </v>
      </c>
      <c r="M786" s="4" t="str">
        <f ca="1">IF(OR(INDEX($W$2:$W$1001,MATCH(ROWS($V$2:V786),$V$2:$V$1001,0),1)&gt;=100000,INDEX($AC$1005:$AS$1005,1,MATCH(COLUMNS($AC$1006:AN1006),$AC$1006:$AS$1006,0))&gt;=100000), " ",IF(INDEX($AC$2:$AS$1001,MATCH(ROWS($V$2:V786),$V$2:$V$1001,0),MATCH(COLUMNS($AC$1006:AN1006),$AC$1006:$AS$1006,0)), HYPERLINK("#",""), HYPERLINK(CONCATENATE("#metadata!", ADDRESS(INDEX($X$2:$X$1001,MATCH(ROWS($V$2:V786),$V$2:$V$1001,0),0), INDEX($AC$1004:$AS$1004,1,MATCH(COLUMNS($AC$1006:AN1006),$AC$1006:$AS$1006,0)))),"Fix")))</f>
        <v xml:space="preserve"> </v>
      </c>
      <c r="N786" s="4" t="str">
        <f ca="1">IF(OR(INDEX($W$2:$W$1001,MATCH(ROWS($V$2:V786),$V$2:$V$1001,0),1)&gt;=100000,INDEX($AC$1005:$AS$1005,1,MATCH(COLUMNS($AC$1006:AO1006),$AC$1006:$AS$1006,0))&gt;=100000), " ",IF(INDEX($AC$2:$AS$1001,MATCH(ROWS($V$2:V786),$V$2:$V$1001,0),MATCH(COLUMNS($AC$1006:AO1006),$AC$1006:$AS$1006,0)), HYPERLINK("#",""), HYPERLINK(CONCATENATE("#metadata!", ADDRESS(INDEX($X$2:$X$1001,MATCH(ROWS($V$2:V786),$V$2:$V$1001,0),0), INDEX($AC$1004:$AS$1004,1,MATCH(COLUMNS($AC$1006:AO1006),$AC$1006:$AS$1006,0)))),"Fix")))</f>
        <v xml:space="preserve"> </v>
      </c>
      <c r="O786" s="4" t="str">
        <f ca="1">IF(OR(INDEX($W$2:$W$1001,MATCH(ROWS($V$2:V786),$V$2:$V$1001,0),1)&gt;=100000,INDEX($AC$1005:$AS$1005,1,MATCH(COLUMNS($AC$1006:AP1006),$AC$1006:$AS$1006,0))&gt;=100000), " ",IF(INDEX($AC$2:$AS$1001,MATCH(ROWS($V$2:V786),$V$2:$V$1001,0),MATCH(COLUMNS($AC$1006:AP1006),$AC$1006:$AS$1006,0)), HYPERLINK("#",""), HYPERLINK(CONCATENATE("#metadata!", ADDRESS(INDEX($X$2:$X$1001,MATCH(ROWS($V$2:V786),$V$2:$V$1001,0),0), INDEX($AC$1004:$AS$1004,1,MATCH(COLUMNS($AC$1006:AP1006),$AC$1006:$AS$1006,0)))),"Fix")))</f>
        <v xml:space="preserve"> </v>
      </c>
      <c r="P786" s="4" t="str">
        <f ca="1">IF(OR(INDEX($W$2:$W$1001,MATCH(ROWS($V$2:V786),$V$2:$V$1001,0),1)&gt;=100000,INDEX($AC$1005:$AS$1005,1,MATCH(COLUMNS($AC$1006:AQ1006),$AC$1006:$AS$1006,0))&gt;=100000), " ",IF(INDEX($AC$2:$AS$1001,MATCH(ROWS($V$2:V786),$V$2:$V$1001,0),MATCH(COLUMNS($AC$1006:AQ1006),$AC$1006:$AS$1006,0)), HYPERLINK("#",""), HYPERLINK(CONCATENATE("#metadata!", ADDRESS(INDEX($X$2:$X$1001,MATCH(ROWS($V$2:V786),$V$2:$V$1001,0),0), INDEX($AC$1004:$AS$1004,1,MATCH(COLUMNS($AC$1006:AQ1006),$AC$1006:$AS$1006,0)))),"Fix")))</f>
        <v xml:space="preserve"> </v>
      </c>
      <c r="Q786" s="4" t="str">
        <f ca="1">IF(OR(INDEX($W$2:$W$1001,MATCH(ROWS($V$2:V786),$V$2:$V$1001,0),1)&gt;=100000,INDEX($AC$1005:$AS$1005,1,MATCH(COLUMNS($AC$1006:AR1006),$AC$1006:$AS$1006,0))&gt;=100000), " ",IF(INDEX($AC$2:$AS$1001,MATCH(ROWS($V$2:V786),$V$2:$V$1001,0),MATCH(COLUMNS($AC$1006:AR1006),$AC$1006:$AS$1006,0)), HYPERLINK("#",""), HYPERLINK(CONCATENATE("#metadata!", ADDRESS(INDEX($X$2:$X$1001,MATCH(ROWS($V$2:V786),$V$2:$V$1001,0),0), INDEX($AC$1004:$AS$1004,1,MATCH(COLUMNS($AC$1006:AR1006),$AC$1006:$AS$1006,0)))),"Fix")))</f>
        <v xml:space="preserve"> </v>
      </c>
      <c r="R786" s="4" t="str">
        <f ca="1">IF(OR(INDEX($W$2:$W$1001,MATCH(ROWS($V$2:V786),$V$2:$V$1001,0),1)&gt;=100000,INDEX($AC$1005:$AS$1005,1,MATCH(COLUMNS($AC$1006:AS1006),$AC$1006:$AS$1006,0))&gt;=100000), " ",IF(INDEX($AC$2:$AS$1001,MATCH(ROWS($V$2:V786),$V$2:$V$1001,0),MATCH(COLUMNS($AC$1006:AS1006),$AC$1006:$AS$1006,0)), HYPERLINK("#",""), HYPERLINK(CONCATENATE("#metadata!", ADDRESS(INDEX($X$2:$X$1001,MATCH(ROWS($V$2:V786),$V$2:$V$1001,0),0), INDEX($AC$1004:$AS$1004,1,MATCH(COLUMNS($AC$1006:AS1006),$AC$1006:$AS$1006,0)))),"Fix")))</f>
        <v xml:space="preserve"> </v>
      </c>
      <c r="V786">
        <v>785</v>
      </c>
      <c r="W786">
        <v>100786</v>
      </c>
      <c r="X786">
        <v>786</v>
      </c>
      <c r="Y786" t="b">
        <f t="shared" si="12"/>
        <v>1</v>
      </c>
      <c r="Z786" t="b">
        <f>COUNTBLANK(metadata!B786:R786)=COLUMNS(metadata!B786:R786)</f>
        <v>1</v>
      </c>
      <c r="AA786" t="str">
        <v/>
      </c>
      <c r="AC786" t="b">
        <f ca="1"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AD786" t="b">
        <f>IF(metadata!C786="",FALSE,ISNUMBER(VALUE(metadata!C786)))</f>
        <v>0</v>
      </c>
      <c r="AE786" t="b">
        <f>AND(IF(metadata!D786="",FALSE,TRUE),EXACT(metadata!D786,"years"))</f>
        <v>0</v>
      </c>
      <c r="AF786" t="b">
        <f>OR(AND(IF(metadata!E786="",FALSE,TRUE),OR(EXACT(metadata!E786,"not applicable"),EXACT(metadata!E786,"missing: not collected"),EXACT(metadata!E786,"missing: not provided"),EXACT(metadata!E786,"missing: restricted access"))),AND(IF(metadata!E786="",FALSE,ISNUMBER(VALUE(metadata!E786))),metadata!E786&gt;0))</f>
        <v>0</v>
      </c>
      <c r="AG786" t="b">
        <f>AND(IF(metadata!F786="",FALSE,TRUE),EXACT(metadata!F786,"Not applicable"))</f>
        <v>0</v>
      </c>
      <c r="AH786" t="b">
        <f>AND(IF(metadata!G786="",FALSE,TRUE),EXACT(metadata!G786,"urban biome"))</f>
        <v>0</v>
      </c>
      <c r="AI786" t="b">
        <f>AND(IF(metadata!H786="",FALSE,TRUE),EXACT(metadata!H786,"human-associated habitat"))</f>
        <v>0</v>
      </c>
      <c r="AJ786" t="b">
        <f>AND(IF(metadata!I786="",FALSE,TRUE),OR(EXACT(metadata!I786,"human-associated"),EXACT(metadata!I786,"human-skin"),EXACT(metadata!I786,"human-oral"),EXACT(metadata!I786,"human-gut"),EXACT(metadata!I786,"human-vaginal")))</f>
        <v>0</v>
      </c>
      <c r="AK786" t="b">
        <f>IF(metadata!J786="",FALSE,ISNUMBER(VALUE(metadata!J786)))</f>
        <v>0</v>
      </c>
      <c r="AL786" t="b">
        <f>AND(IF(metadata!K786="",FALSE,TRUE),EXACT(metadata!K786,"cm"))</f>
        <v>0</v>
      </c>
      <c r="AM786" t="b">
        <f>AND(IF(metadata!L786="",FALSE,TRUE),EXACT(metadata!L786,"human"))</f>
        <v>0</v>
      </c>
      <c r="AN786" t="b">
        <f>AND(IF(metadata!M786="",FALSE,TRUE),EXACT(metadata!M786,"Homo sapiens"))</f>
        <v>0</v>
      </c>
      <c r="AO786" t="b">
        <f>AND(IF(metadata!N786="",FALSE,TRUE),EXACT(metadata!N786,"9606"))</f>
        <v>0</v>
      </c>
      <c r="AP786" t="b">
        <f>IF(metadata!O786="",FALSE,TRUE)</f>
        <v>0</v>
      </c>
      <c r="AQ786" t="b">
        <f>IF(metadata!P786="",FALSE,TRUE)</f>
        <v>0</v>
      </c>
      <c r="AR786" t="b">
        <f>IF(metadata!Q786="",FALSE,ISNUMBER(VALUE(metadata!Q786)))</f>
        <v>0</v>
      </c>
      <c r="AS786" t="b">
        <f>AND(IF(metadata!R786="",FALSE,TRUE),EXACT(metadata!R786,"kg"))</f>
        <v>0</v>
      </c>
    </row>
    <row r="787" spans="1:45" x14ac:dyDescent="0.2">
      <c r="A787" s="5" t="str">
        <f ca="1">IF(B787=" "," ",HYPERLINK(CONCATENATE("#metadata!",ADDRESS(INDEX($X$2:$X$1001,MATCH(ROWS($V$2:V787),$V$2:$V$1001,0),0),1)),INDEX($AA$2:$AA$1001,MATCH(ROWS($V$2:V787),$V$2:$V$1001,0),0)))</f>
        <v xml:space="preserve"> </v>
      </c>
      <c r="B787" s="4" t="str">
        <f ca="1">IF(OR(INDEX($W$2:$W$1001,MATCH(ROWS($V$2:V787),$V$2:$V$1001,0),1)&gt;=100000,INDEX($AC$1005:$AS$1005,1,MATCH(COLUMNS($AC$1006:AC1006),$AC$1006:$AS$1006,0))&gt;=100000), " ",IF(INDEX($AC$2:$AS$1001,MATCH(ROWS($V$2:V787),$V$2:$V$1001,0),MATCH(COLUMNS($AC$1006:AC1006),$AC$1006:$AS$1006,0)), HYPERLINK("#",""), HYPERLINK(CONCATENATE("#metadata!", ADDRESS(INDEX($X$2:$X$1001,MATCH(ROWS($V$2:V787),$V$2:$V$1001,0),0), INDEX($AC$1004:$AS$1004,1,MATCH(COLUMNS($AC$1006:AC1006),$AC$1006:$AS$1006,0)))),"Fix")))</f>
        <v xml:space="preserve"> </v>
      </c>
      <c r="C787" s="4" t="str">
        <f ca="1">IF(OR(INDEX($W$2:$W$1001,MATCH(ROWS($V$2:V787),$V$2:$V$1001,0),1)&gt;=100000,INDEX($AC$1005:$AS$1005,1,MATCH(COLUMNS($AC$1006:AD1006),$AC$1006:$AS$1006,0))&gt;=100000), " ",IF(INDEX($AC$2:$AS$1001,MATCH(ROWS($V$2:V787),$V$2:$V$1001,0),MATCH(COLUMNS($AC$1006:AD1006),$AC$1006:$AS$1006,0)), HYPERLINK("#",""), HYPERLINK(CONCATENATE("#metadata!", ADDRESS(INDEX($X$2:$X$1001,MATCH(ROWS($V$2:V787),$V$2:$V$1001,0),0), INDEX($AC$1004:$AS$1004,1,MATCH(COLUMNS($AC$1006:AD1006),$AC$1006:$AS$1006,0)))),"Fix")))</f>
        <v xml:space="preserve"> </v>
      </c>
      <c r="D787" s="4" t="str">
        <f ca="1">IF(OR(INDEX($W$2:$W$1001,MATCH(ROWS($V$2:V787),$V$2:$V$1001,0),1)&gt;=100000,INDEX($AC$1005:$AS$1005,1,MATCH(COLUMNS($AC$1006:AE1006),$AC$1006:$AS$1006,0))&gt;=100000), " ",IF(INDEX($AC$2:$AS$1001,MATCH(ROWS($V$2:V787),$V$2:$V$1001,0),MATCH(COLUMNS($AC$1006:AE1006),$AC$1006:$AS$1006,0)), HYPERLINK("#",""), HYPERLINK(CONCATENATE("#metadata!", ADDRESS(INDEX($X$2:$X$1001,MATCH(ROWS($V$2:V787),$V$2:$V$1001,0),0), INDEX($AC$1004:$AS$1004,1,MATCH(COLUMNS($AC$1006:AE1006),$AC$1006:$AS$1006,0)))),"Fix")))</f>
        <v xml:space="preserve"> </v>
      </c>
      <c r="E787" s="4" t="str">
        <f ca="1">IF(OR(INDEX($W$2:$W$1001,MATCH(ROWS($V$2:V787),$V$2:$V$1001,0),1)&gt;=100000,INDEX($AC$1005:$AS$1005,1,MATCH(COLUMNS($AC$1006:AF1006),$AC$1006:$AS$1006,0))&gt;=100000), " ",IF(INDEX($AC$2:$AS$1001,MATCH(ROWS($V$2:V787),$V$2:$V$1001,0),MATCH(COLUMNS($AC$1006:AF1006),$AC$1006:$AS$1006,0)), HYPERLINK("#",""), HYPERLINK(CONCATENATE("#metadata!", ADDRESS(INDEX($X$2:$X$1001,MATCH(ROWS($V$2:V787),$V$2:$V$1001,0),0), INDEX($AC$1004:$AS$1004,1,MATCH(COLUMNS($AC$1006:AF1006),$AC$1006:$AS$1006,0)))),"Fix")))</f>
        <v xml:space="preserve"> </v>
      </c>
      <c r="F787" s="4" t="str">
        <f ca="1">IF(OR(INDEX($W$2:$W$1001,MATCH(ROWS($V$2:V787),$V$2:$V$1001,0),1)&gt;=100000,INDEX($AC$1005:$AS$1005,1,MATCH(COLUMNS($AC$1006:AG1006),$AC$1006:$AS$1006,0))&gt;=100000), " ",IF(INDEX($AC$2:$AS$1001,MATCH(ROWS($V$2:V787),$V$2:$V$1001,0),MATCH(COLUMNS($AC$1006:AG1006),$AC$1006:$AS$1006,0)), HYPERLINK("#",""), HYPERLINK(CONCATENATE("#metadata!", ADDRESS(INDEX($X$2:$X$1001,MATCH(ROWS($V$2:V787),$V$2:$V$1001,0),0), INDEX($AC$1004:$AS$1004,1,MATCH(COLUMNS($AC$1006:AG1006),$AC$1006:$AS$1006,0)))),"Fix")))</f>
        <v xml:space="preserve"> </v>
      </c>
      <c r="G787" s="4" t="str">
        <f ca="1">IF(OR(INDEX($W$2:$W$1001,MATCH(ROWS($V$2:V787),$V$2:$V$1001,0),1)&gt;=100000,INDEX($AC$1005:$AS$1005,1,MATCH(COLUMNS($AC$1006:AH1006),$AC$1006:$AS$1006,0))&gt;=100000), " ",IF(INDEX($AC$2:$AS$1001,MATCH(ROWS($V$2:V787),$V$2:$V$1001,0),MATCH(COLUMNS($AC$1006:AH1006),$AC$1006:$AS$1006,0)), HYPERLINK("#",""), HYPERLINK(CONCATENATE("#metadata!", ADDRESS(INDEX($X$2:$X$1001,MATCH(ROWS($V$2:V787),$V$2:$V$1001,0),0), INDEX($AC$1004:$AS$1004,1,MATCH(COLUMNS($AC$1006:AH1006),$AC$1006:$AS$1006,0)))),"Fix")))</f>
        <v xml:space="preserve"> </v>
      </c>
      <c r="H787" s="4" t="str">
        <f ca="1">IF(OR(INDEX($W$2:$W$1001,MATCH(ROWS($V$2:V787),$V$2:$V$1001,0),1)&gt;=100000,INDEX($AC$1005:$AS$1005,1,MATCH(COLUMNS($AC$1006:AI1006),$AC$1006:$AS$1006,0))&gt;=100000), " ",IF(INDEX($AC$2:$AS$1001,MATCH(ROWS($V$2:V787),$V$2:$V$1001,0),MATCH(COLUMNS($AC$1006:AI1006),$AC$1006:$AS$1006,0)), HYPERLINK("#",""), HYPERLINK(CONCATENATE("#metadata!", ADDRESS(INDEX($X$2:$X$1001,MATCH(ROWS($V$2:V787),$V$2:$V$1001,0),0), INDEX($AC$1004:$AS$1004,1,MATCH(COLUMNS($AC$1006:AI1006),$AC$1006:$AS$1006,0)))),"Fix")))</f>
        <v xml:space="preserve"> </v>
      </c>
      <c r="I787" s="4" t="str">
        <f ca="1">IF(OR(INDEX($W$2:$W$1001,MATCH(ROWS($V$2:V787),$V$2:$V$1001,0),1)&gt;=100000,INDEX($AC$1005:$AS$1005,1,MATCH(COLUMNS($AC$1006:AJ1006),$AC$1006:$AS$1006,0))&gt;=100000), " ",IF(INDEX($AC$2:$AS$1001,MATCH(ROWS($V$2:V787),$V$2:$V$1001,0),MATCH(COLUMNS($AC$1006:AJ1006),$AC$1006:$AS$1006,0)), HYPERLINK("#",""), HYPERLINK(CONCATENATE("#metadata!", ADDRESS(INDEX($X$2:$X$1001,MATCH(ROWS($V$2:V787),$V$2:$V$1001,0),0), INDEX($AC$1004:$AS$1004,1,MATCH(COLUMNS($AC$1006:AJ1006),$AC$1006:$AS$1006,0)))),"Fix")))</f>
        <v xml:space="preserve"> </v>
      </c>
      <c r="J787" s="4" t="str">
        <f ca="1">IF(OR(INDEX($W$2:$W$1001,MATCH(ROWS($V$2:V787),$V$2:$V$1001,0),1)&gt;=100000,INDEX($AC$1005:$AS$1005,1,MATCH(COLUMNS($AC$1006:AK1006),$AC$1006:$AS$1006,0))&gt;=100000), " ",IF(INDEX($AC$2:$AS$1001,MATCH(ROWS($V$2:V787),$V$2:$V$1001,0),MATCH(COLUMNS($AC$1006:AK1006),$AC$1006:$AS$1006,0)), HYPERLINK("#",""), HYPERLINK(CONCATENATE("#metadata!", ADDRESS(INDEX($X$2:$X$1001,MATCH(ROWS($V$2:V787),$V$2:$V$1001,0),0), INDEX($AC$1004:$AS$1004,1,MATCH(COLUMNS($AC$1006:AK1006),$AC$1006:$AS$1006,0)))),"Fix")))</f>
        <v xml:space="preserve"> </v>
      </c>
      <c r="K787" s="4" t="str">
        <f ca="1">IF(OR(INDEX($W$2:$W$1001,MATCH(ROWS($V$2:V787),$V$2:$V$1001,0),1)&gt;=100000,INDEX($AC$1005:$AS$1005,1,MATCH(COLUMNS($AC$1006:AL1006),$AC$1006:$AS$1006,0))&gt;=100000), " ",IF(INDEX($AC$2:$AS$1001,MATCH(ROWS($V$2:V787),$V$2:$V$1001,0),MATCH(COLUMNS($AC$1006:AL1006),$AC$1006:$AS$1006,0)), HYPERLINK("#",""), HYPERLINK(CONCATENATE("#metadata!", ADDRESS(INDEX($X$2:$X$1001,MATCH(ROWS($V$2:V787),$V$2:$V$1001,0),0), INDEX($AC$1004:$AS$1004,1,MATCH(COLUMNS($AC$1006:AL1006),$AC$1006:$AS$1006,0)))),"Fix")))</f>
        <v xml:space="preserve"> </v>
      </c>
      <c r="L787" s="4" t="str">
        <f ca="1">IF(OR(INDEX($W$2:$W$1001,MATCH(ROWS($V$2:V787),$V$2:$V$1001,0),1)&gt;=100000,INDEX($AC$1005:$AS$1005,1,MATCH(COLUMNS($AC$1006:AM1006),$AC$1006:$AS$1006,0))&gt;=100000), " ",IF(INDEX($AC$2:$AS$1001,MATCH(ROWS($V$2:V787),$V$2:$V$1001,0),MATCH(COLUMNS($AC$1006:AM1006),$AC$1006:$AS$1006,0)), HYPERLINK("#",""), HYPERLINK(CONCATENATE("#metadata!", ADDRESS(INDEX($X$2:$X$1001,MATCH(ROWS($V$2:V787),$V$2:$V$1001,0),0), INDEX($AC$1004:$AS$1004,1,MATCH(COLUMNS($AC$1006:AM1006),$AC$1006:$AS$1006,0)))),"Fix")))</f>
        <v xml:space="preserve"> </v>
      </c>
      <c r="M787" s="4" t="str">
        <f ca="1">IF(OR(INDEX($W$2:$W$1001,MATCH(ROWS($V$2:V787),$V$2:$V$1001,0),1)&gt;=100000,INDEX($AC$1005:$AS$1005,1,MATCH(COLUMNS($AC$1006:AN1006),$AC$1006:$AS$1006,0))&gt;=100000), " ",IF(INDEX($AC$2:$AS$1001,MATCH(ROWS($V$2:V787),$V$2:$V$1001,0),MATCH(COLUMNS($AC$1006:AN1006),$AC$1006:$AS$1006,0)), HYPERLINK("#",""), HYPERLINK(CONCATENATE("#metadata!", ADDRESS(INDEX($X$2:$X$1001,MATCH(ROWS($V$2:V787),$V$2:$V$1001,0),0), INDEX($AC$1004:$AS$1004,1,MATCH(COLUMNS($AC$1006:AN1006),$AC$1006:$AS$1006,0)))),"Fix")))</f>
        <v xml:space="preserve"> </v>
      </c>
      <c r="N787" s="4" t="str">
        <f ca="1">IF(OR(INDEX($W$2:$W$1001,MATCH(ROWS($V$2:V787),$V$2:$V$1001,0),1)&gt;=100000,INDEX($AC$1005:$AS$1005,1,MATCH(COLUMNS($AC$1006:AO1006),$AC$1006:$AS$1006,0))&gt;=100000), " ",IF(INDEX($AC$2:$AS$1001,MATCH(ROWS($V$2:V787),$V$2:$V$1001,0),MATCH(COLUMNS($AC$1006:AO1006),$AC$1006:$AS$1006,0)), HYPERLINK("#",""), HYPERLINK(CONCATENATE("#metadata!", ADDRESS(INDEX($X$2:$X$1001,MATCH(ROWS($V$2:V787),$V$2:$V$1001,0),0), INDEX($AC$1004:$AS$1004,1,MATCH(COLUMNS($AC$1006:AO1006),$AC$1006:$AS$1006,0)))),"Fix")))</f>
        <v xml:space="preserve"> </v>
      </c>
      <c r="O787" s="4" t="str">
        <f ca="1">IF(OR(INDEX($W$2:$W$1001,MATCH(ROWS($V$2:V787),$V$2:$V$1001,0),1)&gt;=100000,INDEX($AC$1005:$AS$1005,1,MATCH(COLUMNS($AC$1006:AP1006),$AC$1006:$AS$1006,0))&gt;=100000), " ",IF(INDEX($AC$2:$AS$1001,MATCH(ROWS($V$2:V787),$V$2:$V$1001,0),MATCH(COLUMNS($AC$1006:AP1006),$AC$1006:$AS$1006,0)), HYPERLINK("#",""), HYPERLINK(CONCATENATE("#metadata!", ADDRESS(INDEX($X$2:$X$1001,MATCH(ROWS($V$2:V787),$V$2:$V$1001,0),0), INDEX($AC$1004:$AS$1004,1,MATCH(COLUMNS($AC$1006:AP1006),$AC$1006:$AS$1006,0)))),"Fix")))</f>
        <v xml:space="preserve"> </v>
      </c>
      <c r="P787" s="4" t="str">
        <f ca="1">IF(OR(INDEX($W$2:$W$1001,MATCH(ROWS($V$2:V787),$V$2:$V$1001,0),1)&gt;=100000,INDEX($AC$1005:$AS$1005,1,MATCH(COLUMNS($AC$1006:AQ1006),$AC$1006:$AS$1006,0))&gt;=100000), " ",IF(INDEX($AC$2:$AS$1001,MATCH(ROWS($V$2:V787),$V$2:$V$1001,0),MATCH(COLUMNS($AC$1006:AQ1006),$AC$1006:$AS$1006,0)), HYPERLINK("#",""), HYPERLINK(CONCATENATE("#metadata!", ADDRESS(INDEX($X$2:$X$1001,MATCH(ROWS($V$2:V787),$V$2:$V$1001,0),0), INDEX($AC$1004:$AS$1004,1,MATCH(COLUMNS($AC$1006:AQ1006),$AC$1006:$AS$1006,0)))),"Fix")))</f>
        <v xml:space="preserve"> </v>
      </c>
      <c r="Q787" s="4" t="str">
        <f ca="1">IF(OR(INDEX($W$2:$W$1001,MATCH(ROWS($V$2:V787),$V$2:$V$1001,0),1)&gt;=100000,INDEX($AC$1005:$AS$1005,1,MATCH(COLUMNS($AC$1006:AR1006),$AC$1006:$AS$1006,0))&gt;=100000), " ",IF(INDEX($AC$2:$AS$1001,MATCH(ROWS($V$2:V787),$V$2:$V$1001,0),MATCH(COLUMNS($AC$1006:AR1006),$AC$1006:$AS$1006,0)), HYPERLINK("#",""), HYPERLINK(CONCATENATE("#metadata!", ADDRESS(INDEX($X$2:$X$1001,MATCH(ROWS($V$2:V787),$V$2:$V$1001,0),0), INDEX($AC$1004:$AS$1004,1,MATCH(COLUMNS($AC$1006:AR1006),$AC$1006:$AS$1006,0)))),"Fix")))</f>
        <v xml:space="preserve"> </v>
      </c>
      <c r="R787" s="4" t="str">
        <f ca="1">IF(OR(INDEX($W$2:$W$1001,MATCH(ROWS($V$2:V787),$V$2:$V$1001,0),1)&gt;=100000,INDEX($AC$1005:$AS$1005,1,MATCH(COLUMNS($AC$1006:AS1006),$AC$1006:$AS$1006,0))&gt;=100000), " ",IF(INDEX($AC$2:$AS$1001,MATCH(ROWS($V$2:V787),$V$2:$V$1001,0),MATCH(COLUMNS($AC$1006:AS1006),$AC$1006:$AS$1006,0)), HYPERLINK("#",""), HYPERLINK(CONCATENATE("#metadata!", ADDRESS(INDEX($X$2:$X$1001,MATCH(ROWS($V$2:V787),$V$2:$V$1001,0),0), INDEX($AC$1004:$AS$1004,1,MATCH(COLUMNS($AC$1006:AS1006),$AC$1006:$AS$1006,0)))),"Fix")))</f>
        <v xml:space="preserve"> </v>
      </c>
      <c r="V787">
        <v>786</v>
      </c>
      <c r="W787">
        <v>100787</v>
      </c>
      <c r="X787">
        <v>787</v>
      </c>
      <c r="Y787" t="b">
        <f t="shared" si="12"/>
        <v>1</v>
      </c>
      <c r="Z787" t="b">
        <f>COUNTBLANK(metadata!B787:R787)=COLUMNS(metadata!B787:R787)</f>
        <v>1</v>
      </c>
      <c r="AA787" t="str">
        <v/>
      </c>
      <c r="AC787" t="b">
        <f ca="1"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AD787" t="b">
        <f>IF(metadata!C787="",FALSE,ISNUMBER(VALUE(metadata!C787)))</f>
        <v>0</v>
      </c>
      <c r="AE787" t="b">
        <f>AND(IF(metadata!D787="",FALSE,TRUE),EXACT(metadata!D787,"years"))</f>
        <v>0</v>
      </c>
      <c r="AF787" t="b">
        <f>OR(AND(IF(metadata!E787="",FALSE,TRUE),OR(EXACT(metadata!E787,"not applicable"),EXACT(metadata!E787,"missing: not collected"),EXACT(metadata!E787,"missing: not provided"),EXACT(metadata!E787,"missing: restricted access"))),AND(IF(metadata!E787="",FALSE,ISNUMBER(VALUE(metadata!E787))),metadata!E787&gt;0))</f>
        <v>0</v>
      </c>
      <c r="AG787" t="b">
        <f>AND(IF(metadata!F787="",FALSE,TRUE),EXACT(metadata!F787,"Not applicable"))</f>
        <v>0</v>
      </c>
      <c r="AH787" t="b">
        <f>AND(IF(metadata!G787="",FALSE,TRUE),EXACT(metadata!G787,"urban biome"))</f>
        <v>0</v>
      </c>
      <c r="AI787" t="b">
        <f>AND(IF(metadata!H787="",FALSE,TRUE),EXACT(metadata!H787,"human-associated habitat"))</f>
        <v>0</v>
      </c>
      <c r="AJ787" t="b">
        <f>AND(IF(metadata!I787="",FALSE,TRUE),OR(EXACT(metadata!I787,"human-associated"),EXACT(metadata!I787,"human-skin"),EXACT(metadata!I787,"human-oral"),EXACT(metadata!I787,"human-gut"),EXACT(metadata!I787,"human-vaginal")))</f>
        <v>0</v>
      </c>
      <c r="AK787" t="b">
        <f>IF(metadata!J787="",FALSE,ISNUMBER(VALUE(metadata!J787)))</f>
        <v>0</v>
      </c>
      <c r="AL787" t="b">
        <f>AND(IF(metadata!K787="",FALSE,TRUE),EXACT(metadata!K787,"cm"))</f>
        <v>0</v>
      </c>
      <c r="AM787" t="b">
        <f>AND(IF(metadata!L787="",FALSE,TRUE),EXACT(metadata!L787,"human"))</f>
        <v>0</v>
      </c>
      <c r="AN787" t="b">
        <f>AND(IF(metadata!M787="",FALSE,TRUE),EXACT(metadata!M787,"Homo sapiens"))</f>
        <v>0</v>
      </c>
      <c r="AO787" t="b">
        <f>AND(IF(metadata!N787="",FALSE,TRUE),EXACT(metadata!N787,"9606"))</f>
        <v>0</v>
      </c>
      <c r="AP787" t="b">
        <f>IF(metadata!O787="",FALSE,TRUE)</f>
        <v>0</v>
      </c>
      <c r="AQ787" t="b">
        <f>IF(metadata!P787="",FALSE,TRUE)</f>
        <v>0</v>
      </c>
      <c r="AR787" t="b">
        <f>IF(metadata!Q787="",FALSE,ISNUMBER(VALUE(metadata!Q787)))</f>
        <v>0</v>
      </c>
      <c r="AS787" t="b">
        <f>AND(IF(metadata!R787="",FALSE,TRUE),EXACT(metadata!R787,"kg"))</f>
        <v>0</v>
      </c>
    </row>
    <row r="788" spans="1:45" x14ac:dyDescent="0.2">
      <c r="A788" s="5" t="str">
        <f ca="1">IF(B788=" "," ",HYPERLINK(CONCATENATE("#metadata!",ADDRESS(INDEX($X$2:$X$1001,MATCH(ROWS($V$2:V788),$V$2:$V$1001,0),0),1)),INDEX($AA$2:$AA$1001,MATCH(ROWS($V$2:V788),$V$2:$V$1001,0),0)))</f>
        <v xml:space="preserve"> </v>
      </c>
      <c r="B788" s="4" t="str">
        <f ca="1">IF(OR(INDEX($W$2:$W$1001,MATCH(ROWS($V$2:V788),$V$2:$V$1001,0),1)&gt;=100000,INDEX($AC$1005:$AS$1005,1,MATCH(COLUMNS($AC$1006:AC1006),$AC$1006:$AS$1006,0))&gt;=100000), " ",IF(INDEX($AC$2:$AS$1001,MATCH(ROWS($V$2:V788),$V$2:$V$1001,0),MATCH(COLUMNS($AC$1006:AC1006),$AC$1006:$AS$1006,0)), HYPERLINK("#",""), HYPERLINK(CONCATENATE("#metadata!", ADDRESS(INDEX($X$2:$X$1001,MATCH(ROWS($V$2:V788),$V$2:$V$1001,0),0), INDEX($AC$1004:$AS$1004,1,MATCH(COLUMNS($AC$1006:AC1006),$AC$1006:$AS$1006,0)))),"Fix")))</f>
        <v xml:space="preserve"> </v>
      </c>
      <c r="C788" s="4" t="str">
        <f ca="1">IF(OR(INDEX($W$2:$W$1001,MATCH(ROWS($V$2:V788),$V$2:$V$1001,0),1)&gt;=100000,INDEX($AC$1005:$AS$1005,1,MATCH(COLUMNS($AC$1006:AD1006),$AC$1006:$AS$1006,0))&gt;=100000), " ",IF(INDEX($AC$2:$AS$1001,MATCH(ROWS($V$2:V788),$V$2:$V$1001,0),MATCH(COLUMNS($AC$1006:AD1006),$AC$1006:$AS$1006,0)), HYPERLINK("#",""), HYPERLINK(CONCATENATE("#metadata!", ADDRESS(INDEX($X$2:$X$1001,MATCH(ROWS($V$2:V788),$V$2:$V$1001,0),0), INDEX($AC$1004:$AS$1004,1,MATCH(COLUMNS($AC$1006:AD1006),$AC$1006:$AS$1006,0)))),"Fix")))</f>
        <v xml:space="preserve"> </v>
      </c>
      <c r="D788" s="4" t="str">
        <f ca="1">IF(OR(INDEX($W$2:$W$1001,MATCH(ROWS($V$2:V788),$V$2:$V$1001,0),1)&gt;=100000,INDEX($AC$1005:$AS$1005,1,MATCH(COLUMNS($AC$1006:AE1006),$AC$1006:$AS$1006,0))&gt;=100000), " ",IF(INDEX($AC$2:$AS$1001,MATCH(ROWS($V$2:V788),$V$2:$V$1001,0),MATCH(COLUMNS($AC$1006:AE1006),$AC$1006:$AS$1006,0)), HYPERLINK("#",""), HYPERLINK(CONCATENATE("#metadata!", ADDRESS(INDEX($X$2:$X$1001,MATCH(ROWS($V$2:V788),$V$2:$V$1001,0),0), INDEX($AC$1004:$AS$1004,1,MATCH(COLUMNS($AC$1006:AE1006),$AC$1006:$AS$1006,0)))),"Fix")))</f>
        <v xml:space="preserve"> </v>
      </c>
      <c r="E788" s="4" t="str">
        <f ca="1">IF(OR(INDEX($W$2:$W$1001,MATCH(ROWS($V$2:V788),$V$2:$V$1001,0),1)&gt;=100000,INDEX($AC$1005:$AS$1005,1,MATCH(COLUMNS($AC$1006:AF1006),$AC$1006:$AS$1006,0))&gt;=100000), " ",IF(INDEX($AC$2:$AS$1001,MATCH(ROWS($V$2:V788),$V$2:$V$1001,0),MATCH(COLUMNS($AC$1006:AF1006),$AC$1006:$AS$1006,0)), HYPERLINK("#",""), HYPERLINK(CONCATENATE("#metadata!", ADDRESS(INDEX($X$2:$X$1001,MATCH(ROWS($V$2:V788),$V$2:$V$1001,0),0), INDEX($AC$1004:$AS$1004,1,MATCH(COLUMNS($AC$1006:AF1006),$AC$1006:$AS$1006,0)))),"Fix")))</f>
        <v xml:space="preserve"> </v>
      </c>
      <c r="F788" s="4" t="str">
        <f ca="1">IF(OR(INDEX($W$2:$W$1001,MATCH(ROWS($V$2:V788),$V$2:$V$1001,0),1)&gt;=100000,INDEX($AC$1005:$AS$1005,1,MATCH(COLUMNS($AC$1006:AG1006),$AC$1006:$AS$1006,0))&gt;=100000), " ",IF(INDEX($AC$2:$AS$1001,MATCH(ROWS($V$2:V788),$V$2:$V$1001,0),MATCH(COLUMNS($AC$1006:AG1006),$AC$1006:$AS$1006,0)), HYPERLINK("#",""), HYPERLINK(CONCATENATE("#metadata!", ADDRESS(INDEX($X$2:$X$1001,MATCH(ROWS($V$2:V788),$V$2:$V$1001,0),0), INDEX($AC$1004:$AS$1004,1,MATCH(COLUMNS($AC$1006:AG1006),$AC$1006:$AS$1006,0)))),"Fix")))</f>
        <v xml:space="preserve"> </v>
      </c>
      <c r="G788" s="4" t="str">
        <f ca="1">IF(OR(INDEX($W$2:$W$1001,MATCH(ROWS($V$2:V788),$V$2:$V$1001,0),1)&gt;=100000,INDEX($AC$1005:$AS$1005,1,MATCH(COLUMNS($AC$1006:AH1006),$AC$1006:$AS$1006,0))&gt;=100000), " ",IF(INDEX($AC$2:$AS$1001,MATCH(ROWS($V$2:V788),$V$2:$V$1001,0),MATCH(COLUMNS($AC$1006:AH1006),$AC$1006:$AS$1006,0)), HYPERLINK("#",""), HYPERLINK(CONCATENATE("#metadata!", ADDRESS(INDEX($X$2:$X$1001,MATCH(ROWS($V$2:V788),$V$2:$V$1001,0),0), INDEX($AC$1004:$AS$1004,1,MATCH(COLUMNS($AC$1006:AH1006),$AC$1006:$AS$1006,0)))),"Fix")))</f>
        <v xml:space="preserve"> </v>
      </c>
      <c r="H788" s="4" t="str">
        <f ca="1">IF(OR(INDEX($W$2:$W$1001,MATCH(ROWS($V$2:V788),$V$2:$V$1001,0),1)&gt;=100000,INDEX($AC$1005:$AS$1005,1,MATCH(COLUMNS($AC$1006:AI1006),$AC$1006:$AS$1006,0))&gt;=100000), " ",IF(INDEX($AC$2:$AS$1001,MATCH(ROWS($V$2:V788),$V$2:$V$1001,0),MATCH(COLUMNS($AC$1006:AI1006),$AC$1006:$AS$1006,0)), HYPERLINK("#",""), HYPERLINK(CONCATENATE("#metadata!", ADDRESS(INDEX($X$2:$X$1001,MATCH(ROWS($V$2:V788),$V$2:$V$1001,0),0), INDEX($AC$1004:$AS$1004,1,MATCH(COLUMNS($AC$1006:AI1006),$AC$1006:$AS$1006,0)))),"Fix")))</f>
        <v xml:space="preserve"> </v>
      </c>
      <c r="I788" s="4" t="str">
        <f ca="1">IF(OR(INDEX($W$2:$W$1001,MATCH(ROWS($V$2:V788),$V$2:$V$1001,0),1)&gt;=100000,INDEX($AC$1005:$AS$1005,1,MATCH(COLUMNS($AC$1006:AJ1006),$AC$1006:$AS$1006,0))&gt;=100000), " ",IF(INDEX($AC$2:$AS$1001,MATCH(ROWS($V$2:V788),$V$2:$V$1001,0),MATCH(COLUMNS($AC$1006:AJ1006),$AC$1006:$AS$1006,0)), HYPERLINK("#",""), HYPERLINK(CONCATENATE("#metadata!", ADDRESS(INDEX($X$2:$X$1001,MATCH(ROWS($V$2:V788),$V$2:$V$1001,0),0), INDEX($AC$1004:$AS$1004,1,MATCH(COLUMNS($AC$1006:AJ1006),$AC$1006:$AS$1006,0)))),"Fix")))</f>
        <v xml:space="preserve"> </v>
      </c>
      <c r="J788" s="4" t="str">
        <f ca="1">IF(OR(INDEX($W$2:$W$1001,MATCH(ROWS($V$2:V788),$V$2:$V$1001,0),1)&gt;=100000,INDEX($AC$1005:$AS$1005,1,MATCH(COLUMNS($AC$1006:AK1006),$AC$1006:$AS$1006,0))&gt;=100000), " ",IF(INDEX($AC$2:$AS$1001,MATCH(ROWS($V$2:V788),$V$2:$V$1001,0),MATCH(COLUMNS($AC$1006:AK1006),$AC$1006:$AS$1006,0)), HYPERLINK("#",""), HYPERLINK(CONCATENATE("#metadata!", ADDRESS(INDEX($X$2:$X$1001,MATCH(ROWS($V$2:V788),$V$2:$V$1001,0),0), INDEX($AC$1004:$AS$1004,1,MATCH(COLUMNS($AC$1006:AK1006),$AC$1006:$AS$1006,0)))),"Fix")))</f>
        <v xml:space="preserve"> </v>
      </c>
      <c r="K788" s="4" t="str">
        <f ca="1">IF(OR(INDEX($W$2:$W$1001,MATCH(ROWS($V$2:V788),$V$2:$V$1001,0),1)&gt;=100000,INDEX($AC$1005:$AS$1005,1,MATCH(COLUMNS($AC$1006:AL1006),$AC$1006:$AS$1006,0))&gt;=100000), " ",IF(INDEX($AC$2:$AS$1001,MATCH(ROWS($V$2:V788),$V$2:$V$1001,0),MATCH(COLUMNS($AC$1006:AL1006),$AC$1006:$AS$1006,0)), HYPERLINK("#",""), HYPERLINK(CONCATENATE("#metadata!", ADDRESS(INDEX($X$2:$X$1001,MATCH(ROWS($V$2:V788),$V$2:$V$1001,0),0), INDEX($AC$1004:$AS$1004,1,MATCH(COLUMNS($AC$1006:AL1006),$AC$1006:$AS$1006,0)))),"Fix")))</f>
        <v xml:space="preserve"> </v>
      </c>
      <c r="L788" s="4" t="str">
        <f ca="1">IF(OR(INDEX($W$2:$W$1001,MATCH(ROWS($V$2:V788),$V$2:$V$1001,0),1)&gt;=100000,INDEX($AC$1005:$AS$1005,1,MATCH(COLUMNS($AC$1006:AM1006),$AC$1006:$AS$1006,0))&gt;=100000), " ",IF(INDEX($AC$2:$AS$1001,MATCH(ROWS($V$2:V788),$V$2:$V$1001,0),MATCH(COLUMNS($AC$1006:AM1006),$AC$1006:$AS$1006,0)), HYPERLINK("#",""), HYPERLINK(CONCATENATE("#metadata!", ADDRESS(INDEX($X$2:$X$1001,MATCH(ROWS($V$2:V788),$V$2:$V$1001,0),0), INDEX($AC$1004:$AS$1004,1,MATCH(COLUMNS($AC$1006:AM1006),$AC$1006:$AS$1006,0)))),"Fix")))</f>
        <v xml:space="preserve"> </v>
      </c>
      <c r="M788" s="4" t="str">
        <f ca="1">IF(OR(INDEX($W$2:$W$1001,MATCH(ROWS($V$2:V788),$V$2:$V$1001,0),1)&gt;=100000,INDEX($AC$1005:$AS$1005,1,MATCH(COLUMNS($AC$1006:AN1006),$AC$1006:$AS$1006,0))&gt;=100000), " ",IF(INDEX($AC$2:$AS$1001,MATCH(ROWS($V$2:V788),$V$2:$V$1001,0),MATCH(COLUMNS($AC$1006:AN1006),$AC$1006:$AS$1006,0)), HYPERLINK("#",""), HYPERLINK(CONCATENATE("#metadata!", ADDRESS(INDEX($X$2:$X$1001,MATCH(ROWS($V$2:V788),$V$2:$V$1001,0),0), INDEX($AC$1004:$AS$1004,1,MATCH(COLUMNS($AC$1006:AN1006),$AC$1006:$AS$1006,0)))),"Fix")))</f>
        <v xml:space="preserve"> </v>
      </c>
      <c r="N788" s="4" t="str">
        <f ca="1">IF(OR(INDEX($W$2:$W$1001,MATCH(ROWS($V$2:V788),$V$2:$V$1001,0),1)&gt;=100000,INDEX($AC$1005:$AS$1005,1,MATCH(COLUMNS($AC$1006:AO1006),$AC$1006:$AS$1006,0))&gt;=100000), " ",IF(INDEX($AC$2:$AS$1001,MATCH(ROWS($V$2:V788),$V$2:$V$1001,0),MATCH(COLUMNS($AC$1006:AO1006),$AC$1006:$AS$1006,0)), HYPERLINK("#",""), HYPERLINK(CONCATENATE("#metadata!", ADDRESS(INDEX($X$2:$X$1001,MATCH(ROWS($V$2:V788),$V$2:$V$1001,0),0), INDEX($AC$1004:$AS$1004,1,MATCH(COLUMNS($AC$1006:AO1006),$AC$1006:$AS$1006,0)))),"Fix")))</f>
        <v xml:space="preserve"> </v>
      </c>
      <c r="O788" s="4" t="str">
        <f ca="1">IF(OR(INDEX($W$2:$W$1001,MATCH(ROWS($V$2:V788),$V$2:$V$1001,0),1)&gt;=100000,INDEX($AC$1005:$AS$1005,1,MATCH(COLUMNS($AC$1006:AP1006),$AC$1006:$AS$1006,0))&gt;=100000), " ",IF(INDEX($AC$2:$AS$1001,MATCH(ROWS($V$2:V788),$V$2:$V$1001,0),MATCH(COLUMNS($AC$1006:AP1006),$AC$1006:$AS$1006,0)), HYPERLINK("#",""), HYPERLINK(CONCATENATE("#metadata!", ADDRESS(INDEX($X$2:$X$1001,MATCH(ROWS($V$2:V788),$V$2:$V$1001,0),0), INDEX($AC$1004:$AS$1004,1,MATCH(COLUMNS($AC$1006:AP1006),$AC$1006:$AS$1006,0)))),"Fix")))</f>
        <v xml:space="preserve"> </v>
      </c>
      <c r="P788" s="4" t="str">
        <f ca="1">IF(OR(INDEX($W$2:$W$1001,MATCH(ROWS($V$2:V788),$V$2:$V$1001,0),1)&gt;=100000,INDEX($AC$1005:$AS$1005,1,MATCH(COLUMNS($AC$1006:AQ1006),$AC$1006:$AS$1006,0))&gt;=100000), " ",IF(INDEX($AC$2:$AS$1001,MATCH(ROWS($V$2:V788),$V$2:$V$1001,0),MATCH(COLUMNS($AC$1006:AQ1006),$AC$1006:$AS$1006,0)), HYPERLINK("#",""), HYPERLINK(CONCATENATE("#metadata!", ADDRESS(INDEX($X$2:$X$1001,MATCH(ROWS($V$2:V788),$V$2:$V$1001,0),0), INDEX($AC$1004:$AS$1004,1,MATCH(COLUMNS($AC$1006:AQ1006),$AC$1006:$AS$1006,0)))),"Fix")))</f>
        <v xml:space="preserve"> </v>
      </c>
      <c r="Q788" s="4" t="str">
        <f ca="1">IF(OR(INDEX($W$2:$W$1001,MATCH(ROWS($V$2:V788),$V$2:$V$1001,0),1)&gt;=100000,INDEX($AC$1005:$AS$1005,1,MATCH(COLUMNS($AC$1006:AR1006),$AC$1006:$AS$1006,0))&gt;=100000), " ",IF(INDEX($AC$2:$AS$1001,MATCH(ROWS($V$2:V788),$V$2:$V$1001,0),MATCH(COLUMNS($AC$1006:AR1006),$AC$1006:$AS$1006,0)), HYPERLINK("#",""), HYPERLINK(CONCATENATE("#metadata!", ADDRESS(INDEX($X$2:$X$1001,MATCH(ROWS($V$2:V788),$V$2:$V$1001,0),0), INDEX($AC$1004:$AS$1004,1,MATCH(COLUMNS($AC$1006:AR1006),$AC$1006:$AS$1006,0)))),"Fix")))</f>
        <v xml:space="preserve"> </v>
      </c>
      <c r="R788" s="4" t="str">
        <f ca="1">IF(OR(INDEX($W$2:$W$1001,MATCH(ROWS($V$2:V788),$V$2:$V$1001,0),1)&gt;=100000,INDEX($AC$1005:$AS$1005,1,MATCH(COLUMNS($AC$1006:AS1006),$AC$1006:$AS$1006,0))&gt;=100000), " ",IF(INDEX($AC$2:$AS$1001,MATCH(ROWS($V$2:V788),$V$2:$V$1001,0),MATCH(COLUMNS($AC$1006:AS1006),$AC$1006:$AS$1006,0)), HYPERLINK("#",""), HYPERLINK(CONCATENATE("#metadata!", ADDRESS(INDEX($X$2:$X$1001,MATCH(ROWS($V$2:V788),$V$2:$V$1001,0),0), INDEX($AC$1004:$AS$1004,1,MATCH(COLUMNS($AC$1006:AS1006),$AC$1006:$AS$1006,0)))),"Fix")))</f>
        <v xml:space="preserve"> </v>
      </c>
      <c r="V788">
        <v>787</v>
      </c>
      <c r="W788">
        <v>100788</v>
      </c>
      <c r="X788">
        <v>788</v>
      </c>
      <c r="Y788" t="b">
        <f t="shared" si="12"/>
        <v>1</v>
      </c>
      <c r="Z788" t="b">
        <f>COUNTBLANK(metadata!B788:R788)=COLUMNS(metadata!B788:R788)</f>
        <v>1</v>
      </c>
      <c r="AA788" t="str">
        <v/>
      </c>
      <c r="AC788" t="b">
        <f ca="1"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AD788" t="b">
        <f>IF(metadata!C788="",FALSE,ISNUMBER(VALUE(metadata!C788)))</f>
        <v>0</v>
      </c>
      <c r="AE788" t="b">
        <f>AND(IF(metadata!D788="",FALSE,TRUE),EXACT(metadata!D788,"years"))</f>
        <v>0</v>
      </c>
      <c r="AF788" t="b">
        <f>OR(AND(IF(metadata!E788="",FALSE,TRUE),OR(EXACT(metadata!E788,"not applicable"),EXACT(metadata!E788,"missing: not collected"),EXACT(metadata!E788,"missing: not provided"),EXACT(metadata!E788,"missing: restricted access"))),AND(IF(metadata!E788="",FALSE,ISNUMBER(VALUE(metadata!E788))),metadata!E788&gt;0))</f>
        <v>0</v>
      </c>
      <c r="AG788" t="b">
        <f>AND(IF(metadata!F788="",FALSE,TRUE),EXACT(metadata!F788,"Not applicable"))</f>
        <v>0</v>
      </c>
      <c r="AH788" t="b">
        <f>AND(IF(metadata!G788="",FALSE,TRUE),EXACT(metadata!G788,"urban biome"))</f>
        <v>0</v>
      </c>
      <c r="AI788" t="b">
        <f>AND(IF(metadata!H788="",FALSE,TRUE),EXACT(metadata!H788,"human-associated habitat"))</f>
        <v>0</v>
      </c>
      <c r="AJ788" t="b">
        <f>AND(IF(metadata!I788="",FALSE,TRUE),OR(EXACT(metadata!I788,"human-associated"),EXACT(metadata!I788,"human-skin"),EXACT(metadata!I788,"human-oral"),EXACT(metadata!I788,"human-gut"),EXACT(metadata!I788,"human-vaginal")))</f>
        <v>0</v>
      </c>
      <c r="AK788" t="b">
        <f>IF(metadata!J788="",FALSE,ISNUMBER(VALUE(metadata!J788)))</f>
        <v>0</v>
      </c>
      <c r="AL788" t="b">
        <f>AND(IF(metadata!K788="",FALSE,TRUE),EXACT(metadata!K788,"cm"))</f>
        <v>0</v>
      </c>
      <c r="AM788" t="b">
        <f>AND(IF(metadata!L788="",FALSE,TRUE),EXACT(metadata!L788,"human"))</f>
        <v>0</v>
      </c>
      <c r="AN788" t="b">
        <f>AND(IF(metadata!M788="",FALSE,TRUE),EXACT(metadata!M788,"Homo sapiens"))</f>
        <v>0</v>
      </c>
      <c r="AO788" t="b">
        <f>AND(IF(metadata!N788="",FALSE,TRUE),EXACT(metadata!N788,"9606"))</f>
        <v>0</v>
      </c>
      <c r="AP788" t="b">
        <f>IF(metadata!O788="",FALSE,TRUE)</f>
        <v>0</v>
      </c>
      <c r="AQ788" t="b">
        <f>IF(metadata!P788="",FALSE,TRUE)</f>
        <v>0</v>
      </c>
      <c r="AR788" t="b">
        <f>IF(metadata!Q788="",FALSE,ISNUMBER(VALUE(metadata!Q788)))</f>
        <v>0</v>
      </c>
      <c r="AS788" t="b">
        <f>AND(IF(metadata!R788="",FALSE,TRUE),EXACT(metadata!R788,"kg"))</f>
        <v>0</v>
      </c>
    </row>
    <row r="789" spans="1:45" x14ac:dyDescent="0.2">
      <c r="A789" s="5" t="str">
        <f ca="1">IF(B789=" "," ",HYPERLINK(CONCATENATE("#metadata!",ADDRESS(INDEX($X$2:$X$1001,MATCH(ROWS($V$2:V789),$V$2:$V$1001,0),0),1)),INDEX($AA$2:$AA$1001,MATCH(ROWS($V$2:V789),$V$2:$V$1001,0),0)))</f>
        <v xml:space="preserve"> </v>
      </c>
      <c r="B789" s="4" t="str">
        <f ca="1">IF(OR(INDEX($W$2:$W$1001,MATCH(ROWS($V$2:V789),$V$2:$V$1001,0),1)&gt;=100000,INDEX($AC$1005:$AS$1005,1,MATCH(COLUMNS($AC$1006:AC1006),$AC$1006:$AS$1006,0))&gt;=100000), " ",IF(INDEX($AC$2:$AS$1001,MATCH(ROWS($V$2:V789),$V$2:$V$1001,0),MATCH(COLUMNS($AC$1006:AC1006),$AC$1006:$AS$1006,0)), HYPERLINK("#",""), HYPERLINK(CONCATENATE("#metadata!", ADDRESS(INDEX($X$2:$X$1001,MATCH(ROWS($V$2:V789),$V$2:$V$1001,0),0), INDEX($AC$1004:$AS$1004,1,MATCH(COLUMNS($AC$1006:AC1006),$AC$1006:$AS$1006,0)))),"Fix")))</f>
        <v xml:space="preserve"> </v>
      </c>
      <c r="C789" s="4" t="str">
        <f ca="1">IF(OR(INDEX($W$2:$W$1001,MATCH(ROWS($V$2:V789),$V$2:$V$1001,0),1)&gt;=100000,INDEX($AC$1005:$AS$1005,1,MATCH(COLUMNS($AC$1006:AD1006),$AC$1006:$AS$1006,0))&gt;=100000), " ",IF(INDEX($AC$2:$AS$1001,MATCH(ROWS($V$2:V789),$V$2:$V$1001,0),MATCH(COLUMNS($AC$1006:AD1006),$AC$1006:$AS$1006,0)), HYPERLINK("#",""), HYPERLINK(CONCATENATE("#metadata!", ADDRESS(INDEX($X$2:$X$1001,MATCH(ROWS($V$2:V789),$V$2:$V$1001,0),0), INDEX($AC$1004:$AS$1004,1,MATCH(COLUMNS($AC$1006:AD1006),$AC$1006:$AS$1006,0)))),"Fix")))</f>
        <v xml:space="preserve"> </v>
      </c>
      <c r="D789" s="4" t="str">
        <f ca="1">IF(OR(INDEX($W$2:$W$1001,MATCH(ROWS($V$2:V789),$V$2:$V$1001,0),1)&gt;=100000,INDEX($AC$1005:$AS$1005,1,MATCH(COLUMNS($AC$1006:AE1006),$AC$1006:$AS$1006,0))&gt;=100000), " ",IF(INDEX($AC$2:$AS$1001,MATCH(ROWS($V$2:V789),$V$2:$V$1001,0),MATCH(COLUMNS($AC$1006:AE1006),$AC$1006:$AS$1006,0)), HYPERLINK("#",""), HYPERLINK(CONCATENATE("#metadata!", ADDRESS(INDEX($X$2:$X$1001,MATCH(ROWS($V$2:V789),$V$2:$V$1001,0),0), INDEX($AC$1004:$AS$1004,1,MATCH(COLUMNS($AC$1006:AE1006),$AC$1006:$AS$1006,0)))),"Fix")))</f>
        <v xml:space="preserve"> </v>
      </c>
      <c r="E789" s="4" t="str">
        <f ca="1">IF(OR(INDEX($W$2:$W$1001,MATCH(ROWS($V$2:V789),$V$2:$V$1001,0),1)&gt;=100000,INDEX($AC$1005:$AS$1005,1,MATCH(COLUMNS($AC$1006:AF1006),$AC$1006:$AS$1006,0))&gt;=100000), " ",IF(INDEX($AC$2:$AS$1001,MATCH(ROWS($V$2:V789),$V$2:$V$1001,0),MATCH(COLUMNS($AC$1006:AF1006),$AC$1006:$AS$1006,0)), HYPERLINK("#",""), HYPERLINK(CONCATENATE("#metadata!", ADDRESS(INDEX($X$2:$X$1001,MATCH(ROWS($V$2:V789),$V$2:$V$1001,0),0), INDEX($AC$1004:$AS$1004,1,MATCH(COLUMNS($AC$1006:AF1006),$AC$1006:$AS$1006,0)))),"Fix")))</f>
        <v xml:space="preserve"> </v>
      </c>
      <c r="F789" s="4" t="str">
        <f ca="1">IF(OR(INDEX($W$2:$W$1001,MATCH(ROWS($V$2:V789),$V$2:$V$1001,0),1)&gt;=100000,INDEX($AC$1005:$AS$1005,1,MATCH(COLUMNS($AC$1006:AG1006),$AC$1006:$AS$1006,0))&gt;=100000), " ",IF(INDEX($AC$2:$AS$1001,MATCH(ROWS($V$2:V789),$V$2:$V$1001,0),MATCH(COLUMNS($AC$1006:AG1006),$AC$1006:$AS$1006,0)), HYPERLINK("#",""), HYPERLINK(CONCATENATE("#metadata!", ADDRESS(INDEX($X$2:$X$1001,MATCH(ROWS($V$2:V789),$V$2:$V$1001,0),0), INDEX($AC$1004:$AS$1004,1,MATCH(COLUMNS($AC$1006:AG1006),$AC$1006:$AS$1006,0)))),"Fix")))</f>
        <v xml:space="preserve"> </v>
      </c>
      <c r="G789" s="4" t="str">
        <f ca="1">IF(OR(INDEX($W$2:$W$1001,MATCH(ROWS($V$2:V789),$V$2:$V$1001,0),1)&gt;=100000,INDEX($AC$1005:$AS$1005,1,MATCH(COLUMNS($AC$1006:AH1006),$AC$1006:$AS$1006,0))&gt;=100000), " ",IF(INDEX($AC$2:$AS$1001,MATCH(ROWS($V$2:V789),$V$2:$V$1001,0),MATCH(COLUMNS($AC$1006:AH1006),$AC$1006:$AS$1006,0)), HYPERLINK("#",""), HYPERLINK(CONCATENATE("#metadata!", ADDRESS(INDEX($X$2:$X$1001,MATCH(ROWS($V$2:V789),$V$2:$V$1001,0),0), INDEX($AC$1004:$AS$1004,1,MATCH(COLUMNS($AC$1006:AH1006),$AC$1006:$AS$1006,0)))),"Fix")))</f>
        <v xml:space="preserve"> </v>
      </c>
      <c r="H789" s="4" t="str">
        <f ca="1">IF(OR(INDEX($W$2:$W$1001,MATCH(ROWS($V$2:V789),$V$2:$V$1001,0),1)&gt;=100000,INDEX($AC$1005:$AS$1005,1,MATCH(COLUMNS($AC$1006:AI1006),$AC$1006:$AS$1006,0))&gt;=100000), " ",IF(INDEX($AC$2:$AS$1001,MATCH(ROWS($V$2:V789),$V$2:$V$1001,0),MATCH(COLUMNS($AC$1006:AI1006),$AC$1006:$AS$1006,0)), HYPERLINK("#",""), HYPERLINK(CONCATENATE("#metadata!", ADDRESS(INDEX($X$2:$X$1001,MATCH(ROWS($V$2:V789),$V$2:$V$1001,0),0), INDEX($AC$1004:$AS$1004,1,MATCH(COLUMNS($AC$1006:AI1006),$AC$1006:$AS$1006,0)))),"Fix")))</f>
        <v xml:space="preserve"> </v>
      </c>
      <c r="I789" s="4" t="str">
        <f ca="1">IF(OR(INDEX($W$2:$W$1001,MATCH(ROWS($V$2:V789),$V$2:$V$1001,0),1)&gt;=100000,INDEX($AC$1005:$AS$1005,1,MATCH(COLUMNS($AC$1006:AJ1006),$AC$1006:$AS$1006,0))&gt;=100000), " ",IF(INDEX($AC$2:$AS$1001,MATCH(ROWS($V$2:V789),$V$2:$V$1001,0),MATCH(COLUMNS($AC$1006:AJ1006),$AC$1006:$AS$1006,0)), HYPERLINK("#",""), HYPERLINK(CONCATENATE("#metadata!", ADDRESS(INDEX($X$2:$X$1001,MATCH(ROWS($V$2:V789),$V$2:$V$1001,0),0), INDEX($AC$1004:$AS$1004,1,MATCH(COLUMNS($AC$1006:AJ1006),$AC$1006:$AS$1006,0)))),"Fix")))</f>
        <v xml:space="preserve"> </v>
      </c>
      <c r="J789" s="4" t="str">
        <f ca="1">IF(OR(INDEX($W$2:$W$1001,MATCH(ROWS($V$2:V789),$V$2:$V$1001,0),1)&gt;=100000,INDEX($AC$1005:$AS$1005,1,MATCH(COLUMNS($AC$1006:AK1006),$AC$1006:$AS$1006,0))&gt;=100000), " ",IF(INDEX($AC$2:$AS$1001,MATCH(ROWS($V$2:V789),$V$2:$V$1001,0),MATCH(COLUMNS($AC$1006:AK1006),$AC$1006:$AS$1006,0)), HYPERLINK("#",""), HYPERLINK(CONCATENATE("#metadata!", ADDRESS(INDEX($X$2:$X$1001,MATCH(ROWS($V$2:V789),$V$2:$V$1001,0),0), INDEX($AC$1004:$AS$1004,1,MATCH(COLUMNS($AC$1006:AK1006),$AC$1006:$AS$1006,0)))),"Fix")))</f>
        <v xml:space="preserve"> </v>
      </c>
      <c r="K789" s="4" t="str">
        <f ca="1">IF(OR(INDEX($W$2:$W$1001,MATCH(ROWS($V$2:V789),$V$2:$V$1001,0),1)&gt;=100000,INDEX($AC$1005:$AS$1005,1,MATCH(COLUMNS($AC$1006:AL1006),$AC$1006:$AS$1006,0))&gt;=100000), " ",IF(INDEX($AC$2:$AS$1001,MATCH(ROWS($V$2:V789),$V$2:$V$1001,0),MATCH(COLUMNS($AC$1006:AL1006),$AC$1006:$AS$1006,0)), HYPERLINK("#",""), HYPERLINK(CONCATENATE("#metadata!", ADDRESS(INDEX($X$2:$X$1001,MATCH(ROWS($V$2:V789),$V$2:$V$1001,0),0), INDEX($AC$1004:$AS$1004,1,MATCH(COLUMNS($AC$1006:AL1006),$AC$1006:$AS$1006,0)))),"Fix")))</f>
        <v xml:space="preserve"> </v>
      </c>
      <c r="L789" s="4" t="str">
        <f ca="1">IF(OR(INDEX($W$2:$W$1001,MATCH(ROWS($V$2:V789),$V$2:$V$1001,0),1)&gt;=100000,INDEX($AC$1005:$AS$1005,1,MATCH(COLUMNS($AC$1006:AM1006),$AC$1006:$AS$1006,0))&gt;=100000), " ",IF(INDEX($AC$2:$AS$1001,MATCH(ROWS($V$2:V789),$V$2:$V$1001,0),MATCH(COLUMNS($AC$1006:AM1006),$AC$1006:$AS$1006,0)), HYPERLINK("#",""), HYPERLINK(CONCATENATE("#metadata!", ADDRESS(INDEX($X$2:$X$1001,MATCH(ROWS($V$2:V789),$V$2:$V$1001,0),0), INDEX($AC$1004:$AS$1004,1,MATCH(COLUMNS($AC$1006:AM1006),$AC$1006:$AS$1006,0)))),"Fix")))</f>
        <v xml:space="preserve"> </v>
      </c>
      <c r="M789" s="4" t="str">
        <f ca="1">IF(OR(INDEX($W$2:$W$1001,MATCH(ROWS($V$2:V789),$V$2:$V$1001,0),1)&gt;=100000,INDEX($AC$1005:$AS$1005,1,MATCH(COLUMNS($AC$1006:AN1006),$AC$1006:$AS$1006,0))&gt;=100000), " ",IF(INDEX($AC$2:$AS$1001,MATCH(ROWS($V$2:V789),$V$2:$V$1001,0),MATCH(COLUMNS($AC$1006:AN1006),$AC$1006:$AS$1006,0)), HYPERLINK("#",""), HYPERLINK(CONCATENATE("#metadata!", ADDRESS(INDEX($X$2:$X$1001,MATCH(ROWS($V$2:V789),$V$2:$V$1001,0),0), INDEX($AC$1004:$AS$1004,1,MATCH(COLUMNS($AC$1006:AN1006),$AC$1006:$AS$1006,0)))),"Fix")))</f>
        <v xml:space="preserve"> </v>
      </c>
      <c r="N789" s="4" t="str">
        <f ca="1">IF(OR(INDEX($W$2:$W$1001,MATCH(ROWS($V$2:V789),$V$2:$V$1001,0),1)&gt;=100000,INDEX($AC$1005:$AS$1005,1,MATCH(COLUMNS($AC$1006:AO1006),$AC$1006:$AS$1006,0))&gt;=100000), " ",IF(INDEX($AC$2:$AS$1001,MATCH(ROWS($V$2:V789),$V$2:$V$1001,0),MATCH(COLUMNS($AC$1006:AO1006),$AC$1006:$AS$1006,0)), HYPERLINK("#",""), HYPERLINK(CONCATENATE("#metadata!", ADDRESS(INDEX($X$2:$X$1001,MATCH(ROWS($V$2:V789),$V$2:$V$1001,0),0), INDEX($AC$1004:$AS$1004,1,MATCH(COLUMNS($AC$1006:AO1006),$AC$1006:$AS$1006,0)))),"Fix")))</f>
        <v xml:space="preserve"> </v>
      </c>
      <c r="O789" s="4" t="str">
        <f ca="1">IF(OR(INDEX($W$2:$W$1001,MATCH(ROWS($V$2:V789),$V$2:$V$1001,0),1)&gt;=100000,INDEX($AC$1005:$AS$1005,1,MATCH(COLUMNS($AC$1006:AP1006),$AC$1006:$AS$1006,0))&gt;=100000), " ",IF(INDEX($AC$2:$AS$1001,MATCH(ROWS($V$2:V789),$V$2:$V$1001,0),MATCH(COLUMNS($AC$1006:AP1006),$AC$1006:$AS$1006,0)), HYPERLINK("#",""), HYPERLINK(CONCATENATE("#metadata!", ADDRESS(INDEX($X$2:$X$1001,MATCH(ROWS($V$2:V789),$V$2:$V$1001,0),0), INDEX($AC$1004:$AS$1004,1,MATCH(COLUMNS($AC$1006:AP1006),$AC$1006:$AS$1006,0)))),"Fix")))</f>
        <v xml:space="preserve"> </v>
      </c>
      <c r="P789" s="4" t="str">
        <f ca="1">IF(OR(INDEX($W$2:$W$1001,MATCH(ROWS($V$2:V789),$V$2:$V$1001,0),1)&gt;=100000,INDEX($AC$1005:$AS$1005,1,MATCH(COLUMNS($AC$1006:AQ1006),$AC$1006:$AS$1006,0))&gt;=100000), " ",IF(INDEX($AC$2:$AS$1001,MATCH(ROWS($V$2:V789),$V$2:$V$1001,0),MATCH(COLUMNS($AC$1006:AQ1006),$AC$1006:$AS$1006,0)), HYPERLINK("#",""), HYPERLINK(CONCATENATE("#metadata!", ADDRESS(INDEX($X$2:$X$1001,MATCH(ROWS($V$2:V789),$V$2:$V$1001,0),0), INDEX($AC$1004:$AS$1004,1,MATCH(COLUMNS($AC$1006:AQ1006),$AC$1006:$AS$1006,0)))),"Fix")))</f>
        <v xml:space="preserve"> </v>
      </c>
      <c r="Q789" s="4" t="str">
        <f ca="1">IF(OR(INDEX($W$2:$W$1001,MATCH(ROWS($V$2:V789),$V$2:$V$1001,0),1)&gt;=100000,INDEX($AC$1005:$AS$1005,1,MATCH(COLUMNS($AC$1006:AR1006),$AC$1006:$AS$1006,0))&gt;=100000), " ",IF(INDEX($AC$2:$AS$1001,MATCH(ROWS($V$2:V789),$V$2:$V$1001,0),MATCH(COLUMNS($AC$1006:AR1006),$AC$1006:$AS$1006,0)), HYPERLINK("#",""), HYPERLINK(CONCATENATE("#metadata!", ADDRESS(INDEX($X$2:$X$1001,MATCH(ROWS($V$2:V789),$V$2:$V$1001,0),0), INDEX($AC$1004:$AS$1004,1,MATCH(COLUMNS($AC$1006:AR1006),$AC$1006:$AS$1006,0)))),"Fix")))</f>
        <v xml:space="preserve"> </v>
      </c>
      <c r="R789" s="4" t="str">
        <f ca="1">IF(OR(INDEX($W$2:$W$1001,MATCH(ROWS($V$2:V789),$V$2:$V$1001,0),1)&gt;=100000,INDEX($AC$1005:$AS$1005,1,MATCH(COLUMNS($AC$1006:AS1006),$AC$1006:$AS$1006,0))&gt;=100000), " ",IF(INDEX($AC$2:$AS$1001,MATCH(ROWS($V$2:V789),$V$2:$V$1001,0),MATCH(COLUMNS($AC$1006:AS1006),$AC$1006:$AS$1006,0)), HYPERLINK("#",""), HYPERLINK(CONCATENATE("#metadata!", ADDRESS(INDEX($X$2:$X$1001,MATCH(ROWS($V$2:V789),$V$2:$V$1001,0),0), INDEX($AC$1004:$AS$1004,1,MATCH(COLUMNS($AC$1006:AS1006),$AC$1006:$AS$1006,0)))),"Fix")))</f>
        <v xml:space="preserve"> </v>
      </c>
      <c r="V789">
        <v>788</v>
      </c>
      <c r="W789">
        <v>100789</v>
      </c>
      <c r="X789">
        <v>789</v>
      </c>
      <c r="Y789" t="b">
        <f t="shared" si="12"/>
        <v>1</v>
      </c>
      <c r="Z789" t="b">
        <f>COUNTBLANK(metadata!B789:R789)=COLUMNS(metadata!B789:R789)</f>
        <v>1</v>
      </c>
      <c r="AA789" t="str">
        <v/>
      </c>
      <c r="AC789" t="b">
        <f ca="1"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AD789" t="b">
        <f>IF(metadata!C789="",FALSE,ISNUMBER(VALUE(metadata!C789)))</f>
        <v>0</v>
      </c>
      <c r="AE789" t="b">
        <f>AND(IF(metadata!D789="",FALSE,TRUE),EXACT(metadata!D789,"years"))</f>
        <v>0</v>
      </c>
      <c r="AF789" t="b">
        <f>OR(AND(IF(metadata!E789="",FALSE,TRUE),OR(EXACT(metadata!E789,"not applicable"),EXACT(metadata!E789,"missing: not collected"),EXACT(metadata!E789,"missing: not provided"),EXACT(metadata!E789,"missing: restricted access"))),AND(IF(metadata!E789="",FALSE,ISNUMBER(VALUE(metadata!E789))),metadata!E789&gt;0))</f>
        <v>0</v>
      </c>
      <c r="AG789" t="b">
        <f>AND(IF(metadata!F789="",FALSE,TRUE),EXACT(metadata!F789,"Not applicable"))</f>
        <v>0</v>
      </c>
      <c r="AH789" t="b">
        <f>AND(IF(metadata!G789="",FALSE,TRUE),EXACT(metadata!G789,"urban biome"))</f>
        <v>0</v>
      </c>
      <c r="AI789" t="b">
        <f>AND(IF(metadata!H789="",FALSE,TRUE),EXACT(metadata!H789,"human-associated habitat"))</f>
        <v>0</v>
      </c>
      <c r="AJ789" t="b">
        <f>AND(IF(metadata!I789="",FALSE,TRUE),OR(EXACT(metadata!I789,"human-associated"),EXACT(metadata!I789,"human-skin"),EXACT(metadata!I789,"human-oral"),EXACT(metadata!I789,"human-gut"),EXACT(metadata!I789,"human-vaginal")))</f>
        <v>0</v>
      </c>
      <c r="AK789" t="b">
        <f>IF(metadata!J789="",FALSE,ISNUMBER(VALUE(metadata!J789)))</f>
        <v>0</v>
      </c>
      <c r="AL789" t="b">
        <f>AND(IF(metadata!K789="",FALSE,TRUE),EXACT(metadata!K789,"cm"))</f>
        <v>0</v>
      </c>
      <c r="AM789" t="b">
        <f>AND(IF(metadata!L789="",FALSE,TRUE),EXACT(metadata!L789,"human"))</f>
        <v>0</v>
      </c>
      <c r="AN789" t="b">
        <f>AND(IF(metadata!M789="",FALSE,TRUE),EXACT(metadata!M789,"Homo sapiens"))</f>
        <v>0</v>
      </c>
      <c r="AO789" t="b">
        <f>AND(IF(metadata!N789="",FALSE,TRUE),EXACT(metadata!N789,"9606"))</f>
        <v>0</v>
      </c>
      <c r="AP789" t="b">
        <f>IF(metadata!O789="",FALSE,TRUE)</f>
        <v>0</v>
      </c>
      <c r="AQ789" t="b">
        <f>IF(metadata!P789="",FALSE,TRUE)</f>
        <v>0</v>
      </c>
      <c r="AR789" t="b">
        <f>IF(metadata!Q789="",FALSE,ISNUMBER(VALUE(metadata!Q789)))</f>
        <v>0</v>
      </c>
      <c r="AS789" t="b">
        <f>AND(IF(metadata!R789="",FALSE,TRUE),EXACT(metadata!R789,"kg"))</f>
        <v>0</v>
      </c>
    </row>
    <row r="790" spans="1:45" x14ac:dyDescent="0.2">
      <c r="A790" s="5" t="str">
        <f ca="1">IF(B790=" "," ",HYPERLINK(CONCATENATE("#metadata!",ADDRESS(INDEX($X$2:$X$1001,MATCH(ROWS($V$2:V790),$V$2:$V$1001,0),0),1)),INDEX($AA$2:$AA$1001,MATCH(ROWS($V$2:V790),$V$2:$V$1001,0),0)))</f>
        <v xml:space="preserve"> </v>
      </c>
      <c r="B790" s="4" t="str">
        <f ca="1">IF(OR(INDEX($W$2:$W$1001,MATCH(ROWS($V$2:V790),$V$2:$V$1001,0),1)&gt;=100000,INDEX($AC$1005:$AS$1005,1,MATCH(COLUMNS($AC$1006:AC1006),$AC$1006:$AS$1006,0))&gt;=100000), " ",IF(INDEX($AC$2:$AS$1001,MATCH(ROWS($V$2:V790),$V$2:$V$1001,0),MATCH(COLUMNS($AC$1006:AC1006),$AC$1006:$AS$1006,0)), HYPERLINK("#",""), HYPERLINK(CONCATENATE("#metadata!", ADDRESS(INDEX($X$2:$X$1001,MATCH(ROWS($V$2:V790),$V$2:$V$1001,0),0), INDEX($AC$1004:$AS$1004,1,MATCH(COLUMNS($AC$1006:AC1006),$AC$1006:$AS$1006,0)))),"Fix")))</f>
        <v xml:space="preserve"> </v>
      </c>
      <c r="C790" s="4" t="str">
        <f ca="1">IF(OR(INDEX($W$2:$W$1001,MATCH(ROWS($V$2:V790),$V$2:$V$1001,0),1)&gt;=100000,INDEX($AC$1005:$AS$1005,1,MATCH(COLUMNS($AC$1006:AD1006),$AC$1006:$AS$1006,0))&gt;=100000), " ",IF(INDEX($AC$2:$AS$1001,MATCH(ROWS($V$2:V790),$V$2:$V$1001,0),MATCH(COLUMNS($AC$1006:AD1006),$AC$1006:$AS$1006,0)), HYPERLINK("#",""), HYPERLINK(CONCATENATE("#metadata!", ADDRESS(INDEX($X$2:$X$1001,MATCH(ROWS($V$2:V790),$V$2:$V$1001,0),0), INDEX($AC$1004:$AS$1004,1,MATCH(COLUMNS($AC$1006:AD1006),$AC$1006:$AS$1006,0)))),"Fix")))</f>
        <v xml:space="preserve"> </v>
      </c>
      <c r="D790" s="4" t="str">
        <f ca="1">IF(OR(INDEX($W$2:$W$1001,MATCH(ROWS($V$2:V790),$V$2:$V$1001,0),1)&gt;=100000,INDEX($AC$1005:$AS$1005,1,MATCH(COLUMNS($AC$1006:AE1006),$AC$1006:$AS$1006,0))&gt;=100000), " ",IF(INDEX($AC$2:$AS$1001,MATCH(ROWS($V$2:V790),$V$2:$V$1001,0),MATCH(COLUMNS($AC$1006:AE1006),$AC$1006:$AS$1006,0)), HYPERLINK("#",""), HYPERLINK(CONCATENATE("#metadata!", ADDRESS(INDEX($X$2:$X$1001,MATCH(ROWS($V$2:V790),$V$2:$V$1001,0),0), INDEX($AC$1004:$AS$1004,1,MATCH(COLUMNS($AC$1006:AE1006),$AC$1006:$AS$1006,0)))),"Fix")))</f>
        <v xml:space="preserve"> </v>
      </c>
      <c r="E790" s="4" t="str">
        <f ca="1">IF(OR(INDEX($W$2:$W$1001,MATCH(ROWS($V$2:V790),$V$2:$V$1001,0),1)&gt;=100000,INDEX($AC$1005:$AS$1005,1,MATCH(COLUMNS($AC$1006:AF1006),$AC$1006:$AS$1006,0))&gt;=100000), " ",IF(INDEX($AC$2:$AS$1001,MATCH(ROWS($V$2:V790),$V$2:$V$1001,0),MATCH(COLUMNS($AC$1006:AF1006),$AC$1006:$AS$1006,0)), HYPERLINK("#",""), HYPERLINK(CONCATENATE("#metadata!", ADDRESS(INDEX($X$2:$X$1001,MATCH(ROWS($V$2:V790),$V$2:$V$1001,0),0), INDEX($AC$1004:$AS$1004,1,MATCH(COLUMNS($AC$1006:AF1006),$AC$1006:$AS$1006,0)))),"Fix")))</f>
        <v xml:space="preserve"> </v>
      </c>
      <c r="F790" s="4" t="str">
        <f ca="1">IF(OR(INDEX($W$2:$W$1001,MATCH(ROWS($V$2:V790),$V$2:$V$1001,0),1)&gt;=100000,INDEX($AC$1005:$AS$1005,1,MATCH(COLUMNS($AC$1006:AG1006),$AC$1006:$AS$1006,0))&gt;=100000), " ",IF(INDEX($AC$2:$AS$1001,MATCH(ROWS($V$2:V790),$V$2:$V$1001,0),MATCH(COLUMNS($AC$1006:AG1006),$AC$1006:$AS$1006,0)), HYPERLINK("#",""), HYPERLINK(CONCATENATE("#metadata!", ADDRESS(INDEX($X$2:$X$1001,MATCH(ROWS($V$2:V790),$V$2:$V$1001,0),0), INDEX($AC$1004:$AS$1004,1,MATCH(COLUMNS($AC$1006:AG1006),$AC$1006:$AS$1006,0)))),"Fix")))</f>
        <v xml:space="preserve"> </v>
      </c>
      <c r="G790" s="4" t="str">
        <f ca="1">IF(OR(INDEX($W$2:$W$1001,MATCH(ROWS($V$2:V790),$V$2:$V$1001,0),1)&gt;=100000,INDEX($AC$1005:$AS$1005,1,MATCH(COLUMNS($AC$1006:AH1006),$AC$1006:$AS$1006,0))&gt;=100000), " ",IF(INDEX($AC$2:$AS$1001,MATCH(ROWS($V$2:V790),$V$2:$V$1001,0),MATCH(COLUMNS($AC$1006:AH1006),$AC$1006:$AS$1006,0)), HYPERLINK("#",""), HYPERLINK(CONCATENATE("#metadata!", ADDRESS(INDEX($X$2:$X$1001,MATCH(ROWS($V$2:V790),$V$2:$V$1001,0),0), INDEX($AC$1004:$AS$1004,1,MATCH(COLUMNS($AC$1006:AH1006),$AC$1006:$AS$1006,0)))),"Fix")))</f>
        <v xml:space="preserve"> </v>
      </c>
      <c r="H790" s="4" t="str">
        <f ca="1">IF(OR(INDEX($W$2:$W$1001,MATCH(ROWS($V$2:V790),$V$2:$V$1001,0),1)&gt;=100000,INDEX($AC$1005:$AS$1005,1,MATCH(COLUMNS($AC$1006:AI1006),$AC$1006:$AS$1006,0))&gt;=100000), " ",IF(INDEX($AC$2:$AS$1001,MATCH(ROWS($V$2:V790),$V$2:$V$1001,0),MATCH(COLUMNS($AC$1006:AI1006),$AC$1006:$AS$1006,0)), HYPERLINK("#",""), HYPERLINK(CONCATENATE("#metadata!", ADDRESS(INDEX($X$2:$X$1001,MATCH(ROWS($V$2:V790),$V$2:$V$1001,0),0), INDEX($AC$1004:$AS$1004,1,MATCH(COLUMNS($AC$1006:AI1006),$AC$1006:$AS$1006,0)))),"Fix")))</f>
        <v xml:space="preserve"> </v>
      </c>
      <c r="I790" s="4" t="str">
        <f ca="1">IF(OR(INDEX($W$2:$W$1001,MATCH(ROWS($V$2:V790),$V$2:$V$1001,0),1)&gt;=100000,INDEX($AC$1005:$AS$1005,1,MATCH(COLUMNS($AC$1006:AJ1006),$AC$1006:$AS$1006,0))&gt;=100000), " ",IF(INDEX($AC$2:$AS$1001,MATCH(ROWS($V$2:V790),$V$2:$V$1001,0),MATCH(COLUMNS($AC$1006:AJ1006),$AC$1006:$AS$1006,0)), HYPERLINK("#",""), HYPERLINK(CONCATENATE("#metadata!", ADDRESS(INDEX($X$2:$X$1001,MATCH(ROWS($V$2:V790),$V$2:$V$1001,0),0), INDEX($AC$1004:$AS$1004,1,MATCH(COLUMNS($AC$1006:AJ1006),$AC$1006:$AS$1006,0)))),"Fix")))</f>
        <v xml:space="preserve"> </v>
      </c>
      <c r="J790" s="4" t="str">
        <f ca="1">IF(OR(INDEX($W$2:$W$1001,MATCH(ROWS($V$2:V790),$V$2:$V$1001,0),1)&gt;=100000,INDEX($AC$1005:$AS$1005,1,MATCH(COLUMNS($AC$1006:AK1006),$AC$1006:$AS$1006,0))&gt;=100000), " ",IF(INDEX($AC$2:$AS$1001,MATCH(ROWS($V$2:V790),$V$2:$V$1001,0),MATCH(COLUMNS($AC$1006:AK1006),$AC$1006:$AS$1006,0)), HYPERLINK("#",""), HYPERLINK(CONCATENATE("#metadata!", ADDRESS(INDEX($X$2:$X$1001,MATCH(ROWS($V$2:V790),$V$2:$V$1001,0),0), INDEX($AC$1004:$AS$1004,1,MATCH(COLUMNS($AC$1006:AK1006),$AC$1006:$AS$1006,0)))),"Fix")))</f>
        <v xml:space="preserve"> </v>
      </c>
      <c r="K790" s="4" t="str">
        <f ca="1">IF(OR(INDEX($W$2:$W$1001,MATCH(ROWS($V$2:V790),$V$2:$V$1001,0),1)&gt;=100000,INDEX($AC$1005:$AS$1005,1,MATCH(COLUMNS($AC$1006:AL1006),$AC$1006:$AS$1006,0))&gt;=100000), " ",IF(INDEX($AC$2:$AS$1001,MATCH(ROWS($V$2:V790),$V$2:$V$1001,0),MATCH(COLUMNS($AC$1006:AL1006),$AC$1006:$AS$1006,0)), HYPERLINK("#",""), HYPERLINK(CONCATENATE("#metadata!", ADDRESS(INDEX($X$2:$X$1001,MATCH(ROWS($V$2:V790),$V$2:$V$1001,0),0), INDEX($AC$1004:$AS$1004,1,MATCH(COLUMNS($AC$1006:AL1006),$AC$1006:$AS$1006,0)))),"Fix")))</f>
        <v xml:space="preserve"> </v>
      </c>
      <c r="L790" s="4" t="str">
        <f ca="1">IF(OR(INDEX($W$2:$W$1001,MATCH(ROWS($V$2:V790),$V$2:$V$1001,0),1)&gt;=100000,INDEX($AC$1005:$AS$1005,1,MATCH(COLUMNS($AC$1006:AM1006),$AC$1006:$AS$1006,0))&gt;=100000), " ",IF(INDEX($AC$2:$AS$1001,MATCH(ROWS($V$2:V790),$V$2:$V$1001,0),MATCH(COLUMNS($AC$1006:AM1006),$AC$1006:$AS$1006,0)), HYPERLINK("#",""), HYPERLINK(CONCATENATE("#metadata!", ADDRESS(INDEX($X$2:$X$1001,MATCH(ROWS($V$2:V790),$V$2:$V$1001,0),0), INDEX($AC$1004:$AS$1004,1,MATCH(COLUMNS($AC$1006:AM1006),$AC$1006:$AS$1006,0)))),"Fix")))</f>
        <v xml:space="preserve"> </v>
      </c>
      <c r="M790" s="4" t="str">
        <f ca="1">IF(OR(INDEX($W$2:$W$1001,MATCH(ROWS($V$2:V790),$V$2:$V$1001,0),1)&gt;=100000,INDEX($AC$1005:$AS$1005,1,MATCH(COLUMNS($AC$1006:AN1006),$AC$1006:$AS$1006,0))&gt;=100000), " ",IF(INDEX($AC$2:$AS$1001,MATCH(ROWS($V$2:V790),$V$2:$V$1001,0),MATCH(COLUMNS($AC$1006:AN1006),$AC$1006:$AS$1006,0)), HYPERLINK("#",""), HYPERLINK(CONCATENATE("#metadata!", ADDRESS(INDEX($X$2:$X$1001,MATCH(ROWS($V$2:V790),$V$2:$V$1001,0),0), INDEX($AC$1004:$AS$1004,1,MATCH(COLUMNS($AC$1006:AN1006),$AC$1006:$AS$1006,0)))),"Fix")))</f>
        <v xml:space="preserve"> </v>
      </c>
      <c r="N790" s="4" t="str">
        <f ca="1">IF(OR(INDEX($W$2:$W$1001,MATCH(ROWS($V$2:V790),$V$2:$V$1001,0),1)&gt;=100000,INDEX($AC$1005:$AS$1005,1,MATCH(COLUMNS($AC$1006:AO1006),$AC$1006:$AS$1006,0))&gt;=100000), " ",IF(INDEX($AC$2:$AS$1001,MATCH(ROWS($V$2:V790),$V$2:$V$1001,0),MATCH(COLUMNS($AC$1006:AO1006),$AC$1006:$AS$1006,0)), HYPERLINK("#",""), HYPERLINK(CONCATENATE("#metadata!", ADDRESS(INDEX($X$2:$X$1001,MATCH(ROWS($V$2:V790),$V$2:$V$1001,0),0), INDEX($AC$1004:$AS$1004,1,MATCH(COLUMNS($AC$1006:AO1006),$AC$1006:$AS$1006,0)))),"Fix")))</f>
        <v xml:space="preserve"> </v>
      </c>
      <c r="O790" s="4" t="str">
        <f ca="1">IF(OR(INDEX($W$2:$W$1001,MATCH(ROWS($V$2:V790),$V$2:$V$1001,0),1)&gt;=100000,INDEX($AC$1005:$AS$1005,1,MATCH(COLUMNS($AC$1006:AP1006),$AC$1006:$AS$1006,0))&gt;=100000), " ",IF(INDEX($AC$2:$AS$1001,MATCH(ROWS($V$2:V790),$V$2:$V$1001,0),MATCH(COLUMNS($AC$1006:AP1006),$AC$1006:$AS$1006,0)), HYPERLINK("#",""), HYPERLINK(CONCATENATE("#metadata!", ADDRESS(INDEX($X$2:$X$1001,MATCH(ROWS($V$2:V790),$V$2:$V$1001,0),0), INDEX($AC$1004:$AS$1004,1,MATCH(COLUMNS($AC$1006:AP1006),$AC$1006:$AS$1006,0)))),"Fix")))</f>
        <v xml:space="preserve"> </v>
      </c>
      <c r="P790" s="4" t="str">
        <f ca="1">IF(OR(INDEX($W$2:$W$1001,MATCH(ROWS($V$2:V790),$V$2:$V$1001,0),1)&gt;=100000,INDEX($AC$1005:$AS$1005,1,MATCH(COLUMNS($AC$1006:AQ1006),$AC$1006:$AS$1006,0))&gt;=100000), " ",IF(INDEX($AC$2:$AS$1001,MATCH(ROWS($V$2:V790),$V$2:$V$1001,0),MATCH(COLUMNS($AC$1006:AQ1006),$AC$1006:$AS$1006,0)), HYPERLINK("#",""), HYPERLINK(CONCATENATE("#metadata!", ADDRESS(INDEX($X$2:$X$1001,MATCH(ROWS($V$2:V790),$V$2:$V$1001,0),0), INDEX($AC$1004:$AS$1004,1,MATCH(COLUMNS($AC$1006:AQ1006),$AC$1006:$AS$1006,0)))),"Fix")))</f>
        <v xml:space="preserve"> </v>
      </c>
      <c r="Q790" s="4" t="str">
        <f ca="1">IF(OR(INDEX($W$2:$W$1001,MATCH(ROWS($V$2:V790),$V$2:$V$1001,0),1)&gt;=100000,INDEX($AC$1005:$AS$1005,1,MATCH(COLUMNS($AC$1006:AR1006),$AC$1006:$AS$1006,0))&gt;=100000), " ",IF(INDEX($AC$2:$AS$1001,MATCH(ROWS($V$2:V790),$V$2:$V$1001,0),MATCH(COLUMNS($AC$1006:AR1006),$AC$1006:$AS$1006,0)), HYPERLINK("#",""), HYPERLINK(CONCATENATE("#metadata!", ADDRESS(INDEX($X$2:$X$1001,MATCH(ROWS($V$2:V790),$V$2:$V$1001,0),0), INDEX($AC$1004:$AS$1004,1,MATCH(COLUMNS($AC$1006:AR1006),$AC$1006:$AS$1006,0)))),"Fix")))</f>
        <v xml:space="preserve"> </v>
      </c>
      <c r="R790" s="4" t="str">
        <f ca="1">IF(OR(INDEX($W$2:$W$1001,MATCH(ROWS($V$2:V790),$V$2:$V$1001,0),1)&gt;=100000,INDEX($AC$1005:$AS$1005,1,MATCH(COLUMNS($AC$1006:AS1006),$AC$1006:$AS$1006,0))&gt;=100000), " ",IF(INDEX($AC$2:$AS$1001,MATCH(ROWS($V$2:V790),$V$2:$V$1001,0),MATCH(COLUMNS($AC$1006:AS1006),$AC$1006:$AS$1006,0)), HYPERLINK("#",""), HYPERLINK(CONCATENATE("#metadata!", ADDRESS(INDEX($X$2:$X$1001,MATCH(ROWS($V$2:V790),$V$2:$V$1001,0),0), INDEX($AC$1004:$AS$1004,1,MATCH(COLUMNS($AC$1006:AS1006),$AC$1006:$AS$1006,0)))),"Fix")))</f>
        <v xml:space="preserve"> </v>
      </c>
      <c r="V790">
        <v>789</v>
      </c>
      <c r="W790">
        <v>100790</v>
      </c>
      <c r="X790">
        <v>790</v>
      </c>
      <c r="Y790" t="b">
        <f t="shared" si="12"/>
        <v>1</v>
      </c>
      <c r="Z790" t="b">
        <f>COUNTBLANK(metadata!B790:R790)=COLUMNS(metadata!B790:R790)</f>
        <v>1</v>
      </c>
      <c r="AA790" t="str">
        <v/>
      </c>
      <c r="AC790" t="b">
        <f ca="1"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AD790" t="b">
        <f>IF(metadata!C790="",FALSE,ISNUMBER(VALUE(metadata!C790)))</f>
        <v>0</v>
      </c>
      <c r="AE790" t="b">
        <f>AND(IF(metadata!D790="",FALSE,TRUE),EXACT(metadata!D790,"years"))</f>
        <v>0</v>
      </c>
      <c r="AF790" t="b">
        <f>OR(AND(IF(metadata!E790="",FALSE,TRUE),OR(EXACT(metadata!E790,"not applicable"),EXACT(metadata!E790,"missing: not collected"),EXACT(metadata!E790,"missing: not provided"),EXACT(metadata!E790,"missing: restricted access"))),AND(IF(metadata!E790="",FALSE,ISNUMBER(VALUE(metadata!E790))),metadata!E790&gt;0))</f>
        <v>0</v>
      </c>
      <c r="AG790" t="b">
        <f>AND(IF(metadata!F790="",FALSE,TRUE),EXACT(metadata!F790,"Not applicable"))</f>
        <v>0</v>
      </c>
      <c r="AH790" t="b">
        <f>AND(IF(metadata!G790="",FALSE,TRUE),EXACT(metadata!G790,"urban biome"))</f>
        <v>0</v>
      </c>
      <c r="AI790" t="b">
        <f>AND(IF(metadata!H790="",FALSE,TRUE),EXACT(metadata!H790,"human-associated habitat"))</f>
        <v>0</v>
      </c>
      <c r="AJ790" t="b">
        <f>AND(IF(metadata!I790="",FALSE,TRUE),OR(EXACT(metadata!I790,"human-associated"),EXACT(metadata!I790,"human-skin"),EXACT(metadata!I790,"human-oral"),EXACT(metadata!I790,"human-gut"),EXACT(metadata!I790,"human-vaginal")))</f>
        <v>0</v>
      </c>
      <c r="AK790" t="b">
        <f>IF(metadata!J790="",FALSE,ISNUMBER(VALUE(metadata!J790)))</f>
        <v>0</v>
      </c>
      <c r="AL790" t="b">
        <f>AND(IF(metadata!K790="",FALSE,TRUE),EXACT(metadata!K790,"cm"))</f>
        <v>0</v>
      </c>
      <c r="AM790" t="b">
        <f>AND(IF(metadata!L790="",FALSE,TRUE),EXACT(metadata!L790,"human"))</f>
        <v>0</v>
      </c>
      <c r="AN790" t="b">
        <f>AND(IF(metadata!M790="",FALSE,TRUE),EXACT(metadata!M790,"Homo sapiens"))</f>
        <v>0</v>
      </c>
      <c r="AO790" t="b">
        <f>AND(IF(metadata!N790="",FALSE,TRUE),EXACT(metadata!N790,"9606"))</f>
        <v>0</v>
      </c>
      <c r="AP790" t="b">
        <f>IF(metadata!O790="",FALSE,TRUE)</f>
        <v>0</v>
      </c>
      <c r="AQ790" t="b">
        <f>IF(metadata!P790="",FALSE,TRUE)</f>
        <v>0</v>
      </c>
      <c r="AR790" t="b">
        <f>IF(metadata!Q790="",FALSE,ISNUMBER(VALUE(metadata!Q790)))</f>
        <v>0</v>
      </c>
      <c r="AS790" t="b">
        <f>AND(IF(metadata!R790="",FALSE,TRUE),EXACT(metadata!R790,"kg"))</f>
        <v>0</v>
      </c>
    </row>
    <row r="791" spans="1:45" x14ac:dyDescent="0.2">
      <c r="A791" s="5" t="str">
        <f ca="1">IF(B791=" "," ",HYPERLINK(CONCATENATE("#metadata!",ADDRESS(INDEX($X$2:$X$1001,MATCH(ROWS($V$2:V791),$V$2:$V$1001,0),0),1)),INDEX($AA$2:$AA$1001,MATCH(ROWS($V$2:V791),$V$2:$V$1001,0),0)))</f>
        <v xml:space="preserve"> </v>
      </c>
      <c r="B791" s="4" t="str">
        <f ca="1">IF(OR(INDEX($W$2:$W$1001,MATCH(ROWS($V$2:V791),$V$2:$V$1001,0),1)&gt;=100000,INDEX($AC$1005:$AS$1005,1,MATCH(COLUMNS($AC$1006:AC1006),$AC$1006:$AS$1006,0))&gt;=100000), " ",IF(INDEX($AC$2:$AS$1001,MATCH(ROWS($V$2:V791),$V$2:$V$1001,0),MATCH(COLUMNS($AC$1006:AC1006),$AC$1006:$AS$1006,0)), HYPERLINK("#",""), HYPERLINK(CONCATENATE("#metadata!", ADDRESS(INDEX($X$2:$X$1001,MATCH(ROWS($V$2:V791),$V$2:$V$1001,0),0), INDEX($AC$1004:$AS$1004,1,MATCH(COLUMNS($AC$1006:AC1006),$AC$1006:$AS$1006,0)))),"Fix")))</f>
        <v xml:space="preserve"> </v>
      </c>
      <c r="C791" s="4" t="str">
        <f ca="1">IF(OR(INDEX($W$2:$W$1001,MATCH(ROWS($V$2:V791),$V$2:$V$1001,0),1)&gt;=100000,INDEX($AC$1005:$AS$1005,1,MATCH(COLUMNS($AC$1006:AD1006),$AC$1006:$AS$1006,0))&gt;=100000), " ",IF(INDEX($AC$2:$AS$1001,MATCH(ROWS($V$2:V791),$V$2:$V$1001,0),MATCH(COLUMNS($AC$1006:AD1006),$AC$1006:$AS$1006,0)), HYPERLINK("#",""), HYPERLINK(CONCATENATE("#metadata!", ADDRESS(INDEX($X$2:$X$1001,MATCH(ROWS($V$2:V791),$V$2:$V$1001,0),0), INDEX($AC$1004:$AS$1004,1,MATCH(COLUMNS($AC$1006:AD1006),$AC$1006:$AS$1006,0)))),"Fix")))</f>
        <v xml:space="preserve"> </v>
      </c>
      <c r="D791" s="4" t="str">
        <f ca="1">IF(OR(INDEX($W$2:$W$1001,MATCH(ROWS($V$2:V791),$V$2:$V$1001,0),1)&gt;=100000,INDEX($AC$1005:$AS$1005,1,MATCH(COLUMNS($AC$1006:AE1006),$AC$1006:$AS$1006,0))&gt;=100000), " ",IF(INDEX($AC$2:$AS$1001,MATCH(ROWS($V$2:V791),$V$2:$V$1001,0),MATCH(COLUMNS($AC$1006:AE1006),$AC$1006:$AS$1006,0)), HYPERLINK("#",""), HYPERLINK(CONCATENATE("#metadata!", ADDRESS(INDEX($X$2:$X$1001,MATCH(ROWS($V$2:V791),$V$2:$V$1001,0),0), INDEX($AC$1004:$AS$1004,1,MATCH(COLUMNS($AC$1006:AE1006),$AC$1006:$AS$1006,0)))),"Fix")))</f>
        <v xml:space="preserve"> </v>
      </c>
      <c r="E791" s="4" t="str">
        <f ca="1">IF(OR(INDEX($W$2:$W$1001,MATCH(ROWS($V$2:V791),$V$2:$V$1001,0),1)&gt;=100000,INDEX($AC$1005:$AS$1005,1,MATCH(COLUMNS($AC$1006:AF1006),$AC$1006:$AS$1006,0))&gt;=100000), " ",IF(INDEX($AC$2:$AS$1001,MATCH(ROWS($V$2:V791),$V$2:$V$1001,0),MATCH(COLUMNS($AC$1006:AF1006),$AC$1006:$AS$1006,0)), HYPERLINK("#",""), HYPERLINK(CONCATENATE("#metadata!", ADDRESS(INDEX($X$2:$X$1001,MATCH(ROWS($V$2:V791),$V$2:$V$1001,0),0), INDEX($AC$1004:$AS$1004,1,MATCH(COLUMNS($AC$1006:AF1006),$AC$1006:$AS$1006,0)))),"Fix")))</f>
        <v xml:space="preserve"> </v>
      </c>
      <c r="F791" s="4" t="str">
        <f ca="1">IF(OR(INDEX($W$2:$W$1001,MATCH(ROWS($V$2:V791),$V$2:$V$1001,0),1)&gt;=100000,INDEX($AC$1005:$AS$1005,1,MATCH(COLUMNS($AC$1006:AG1006),$AC$1006:$AS$1006,0))&gt;=100000), " ",IF(INDEX($AC$2:$AS$1001,MATCH(ROWS($V$2:V791),$V$2:$V$1001,0),MATCH(COLUMNS($AC$1006:AG1006),$AC$1006:$AS$1006,0)), HYPERLINK("#",""), HYPERLINK(CONCATENATE("#metadata!", ADDRESS(INDEX($X$2:$X$1001,MATCH(ROWS($V$2:V791),$V$2:$V$1001,0),0), INDEX($AC$1004:$AS$1004,1,MATCH(COLUMNS($AC$1006:AG1006),$AC$1006:$AS$1006,0)))),"Fix")))</f>
        <v xml:space="preserve"> </v>
      </c>
      <c r="G791" s="4" t="str">
        <f ca="1">IF(OR(INDEX($W$2:$W$1001,MATCH(ROWS($V$2:V791),$V$2:$V$1001,0),1)&gt;=100000,INDEX($AC$1005:$AS$1005,1,MATCH(COLUMNS($AC$1006:AH1006),$AC$1006:$AS$1006,0))&gt;=100000), " ",IF(INDEX($AC$2:$AS$1001,MATCH(ROWS($V$2:V791),$V$2:$V$1001,0),MATCH(COLUMNS($AC$1006:AH1006),$AC$1006:$AS$1006,0)), HYPERLINK("#",""), HYPERLINK(CONCATENATE("#metadata!", ADDRESS(INDEX($X$2:$X$1001,MATCH(ROWS($V$2:V791),$V$2:$V$1001,0),0), INDEX($AC$1004:$AS$1004,1,MATCH(COLUMNS($AC$1006:AH1006),$AC$1006:$AS$1006,0)))),"Fix")))</f>
        <v xml:space="preserve"> </v>
      </c>
      <c r="H791" s="4" t="str">
        <f ca="1">IF(OR(INDEX($W$2:$W$1001,MATCH(ROWS($V$2:V791),$V$2:$V$1001,0),1)&gt;=100000,INDEX($AC$1005:$AS$1005,1,MATCH(COLUMNS($AC$1006:AI1006),$AC$1006:$AS$1006,0))&gt;=100000), " ",IF(INDEX($AC$2:$AS$1001,MATCH(ROWS($V$2:V791),$V$2:$V$1001,0),MATCH(COLUMNS($AC$1006:AI1006),$AC$1006:$AS$1006,0)), HYPERLINK("#",""), HYPERLINK(CONCATENATE("#metadata!", ADDRESS(INDEX($X$2:$X$1001,MATCH(ROWS($V$2:V791),$V$2:$V$1001,0),0), INDEX($AC$1004:$AS$1004,1,MATCH(COLUMNS($AC$1006:AI1006),$AC$1006:$AS$1006,0)))),"Fix")))</f>
        <v xml:space="preserve"> </v>
      </c>
      <c r="I791" s="4" t="str">
        <f ca="1">IF(OR(INDEX($W$2:$W$1001,MATCH(ROWS($V$2:V791),$V$2:$V$1001,0),1)&gt;=100000,INDEX($AC$1005:$AS$1005,1,MATCH(COLUMNS($AC$1006:AJ1006),$AC$1006:$AS$1006,0))&gt;=100000), " ",IF(INDEX($AC$2:$AS$1001,MATCH(ROWS($V$2:V791),$V$2:$V$1001,0),MATCH(COLUMNS($AC$1006:AJ1006),$AC$1006:$AS$1006,0)), HYPERLINK("#",""), HYPERLINK(CONCATENATE("#metadata!", ADDRESS(INDEX($X$2:$X$1001,MATCH(ROWS($V$2:V791),$V$2:$V$1001,0),0), INDEX($AC$1004:$AS$1004,1,MATCH(COLUMNS($AC$1006:AJ1006),$AC$1006:$AS$1006,0)))),"Fix")))</f>
        <v xml:space="preserve"> </v>
      </c>
      <c r="J791" s="4" t="str">
        <f ca="1">IF(OR(INDEX($W$2:$W$1001,MATCH(ROWS($V$2:V791),$V$2:$V$1001,0),1)&gt;=100000,INDEX($AC$1005:$AS$1005,1,MATCH(COLUMNS($AC$1006:AK1006),$AC$1006:$AS$1006,0))&gt;=100000), " ",IF(INDEX($AC$2:$AS$1001,MATCH(ROWS($V$2:V791),$V$2:$V$1001,0),MATCH(COLUMNS($AC$1006:AK1006),$AC$1006:$AS$1006,0)), HYPERLINK("#",""), HYPERLINK(CONCATENATE("#metadata!", ADDRESS(INDEX($X$2:$X$1001,MATCH(ROWS($V$2:V791),$V$2:$V$1001,0),0), INDEX($AC$1004:$AS$1004,1,MATCH(COLUMNS($AC$1006:AK1006),$AC$1006:$AS$1006,0)))),"Fix")))</f>
        <v xml:space="preserve"> </v>
      </c>
      <c r="K791" s="4" t="str">
        <f ca="1">IF(OR(INDEX($W$2:$W$1001,MATCH(ROWS($V$2:V791),$V$2:$V$1001,0),1)&gt;=100000,INDEX($AC$1005:$AS$1005,1,MATCH(COLUMNS($AC$1006:AL1006),$AC$1006:$AS$1006,0))&gt;=100000), " ",IF(INDEX($AC$2:$AS$1001,MATCH(ROWS($V$2:V791),$V$2:$V$1001,0),MATCH(COLUMNS($AC$1006:AL1006),$AC$1006:$AS$1006,0)), HYPERLINK("#",""), HYPERLINK(CONCATENATE("#metadata!", ADDRESS(INDEX($X$2:$X$1001,MATCH(ROWS($V$2:V791),$V$2:$V$1001,0),0), INDEX($AC$1004:$AS$1004,1,MATCH(COLUMNS($AC$1006:AL1006),$AC$1006:$AS$1006,0)))),"Fix")))</f>
        <v xml:space="preserve"> </v>
      </c>
      <c r="L791" s="4" t="str">
        <f ca="1">IF(OR(INDEX($W$2:$W$1001,MATCH(ROWS($V$2:V791),$V$2:$V$1001,0),1)&gt;=100000,INDEX($AC$1005:$AS$1005,1,MATCH(COLUMNS($AC$1006:AM1006),$AC$1006:$AS$1006,0))&gt;=100000), " ",IF(INDEX($AC$2:$AS$1001,MATCH(ROWS($V$2:V791),$V$2:$V$1001,0),MATCH(COLUMNS($AC$1006:AM1006),$AC$1006:$AS$1006,0)), HYPERLINK("#",""), HYPERLINK(CONCATENATE("#metadata!", ADDRESS(INDEX($X$2:$X$1001,MATCH(ROWS($V$2:V791),$V$2:$V$1001,0),0), INDEX($AC$1004:$AS$1004,1,MATCH(COLUMNS($AC$1006:AM1006),$AC$1006:$AS$1006,0)))),"Fix")))</f>
        <v xml:space="preserve"> </v>
      </c>
      <c r="M791" s="4" t="str">
        <f ca="1">IF(OR(INDEX($W$2:$W$1001,MATCH(ROWS($V$2:V791),$V$2:$V$1001,0),1)&gt;=100000,INDEX($AC$1005:$AS$1005,1,MATCH(COLUMNS($AC$1006:AN1006),$AC$1006:$AS$1006,0))&gt;=100000), " ",IF(INDEX($AC$2:$AS$1001,MATCH(ROWS($V$2:V791),$V$2:$V$1001,0),MATCH(COLUMNS($AC$1006:AN1006),$AC$1006:$AS$1006,0)), HYPERLINK("#",""), HYPERLINK(CONCATENATE("#metadata!", ADDRESS(INDEX($X$2:$X$1001,MATCH(ROWS($V$2:V791),$V$2:$V$1001,0),0), INDEX($AC$1004:$AS$1004,1,MATCH(COLUMNS($AC$1006:AN1006),$AC$1006:$AS$1006,0)))),"Fix")))</f>
        <v xml:space="preserve"> </v>
      </c>
      <c r="N791" s="4" t="str">
        <f ca="1">IF(OR(INDEX($W$2:$W$1001,MATCH(ROWS($V$2:V791),$V$2:$V$1001,0),1)&gt;=100000,INDEX($AC$1005:$AS$1005,1,MATCH(COLUMNS($AC$1006:AO1006),$AC$1006:$AS$1006,0))&gt;=100000), " ",IF(INDEX($AC$2:$AS$1001,MATCH(ROWS($V$2:V791),$V$2:$V$1001,0),MATCH(COLUMNS($AC$1006:AO1006),$AC$1006:$AS$1006,0)), HYPERLINK("#",""), HYPERLINK(CONCATENATE("#metadata!", ADDRESS(INDEX($X$2:$X$1001,MATCH(ROWS($V$2:V791),$V$2:$V$1001,0),0), INDEX($AC$1004:$AS$1004,1,MATCH(COLUMNS($AC$1006:AO1006),$AC$1006:$AS$1006,0)))),"Fix")))</f>
        <v xml:space="preserve"> </v>
      </c>
      <c r="O791" s="4" t="str">
        <f ca="1">IF(OR(INDEX($W$2:$W$1001,MATCH(ROWS($V$2:V791),$V$2:$V$1001,0),1)&gt;=100000,INDEX($AC$1005:$AS$1005,1,MATCH(COLUMNS($AC$1006:AP1006),$AC$1006:$AS$1006,0))&gt;=100000), " ",IF(INDEX($AC$2:$AS$1001,MATCH(ROWS($V$2:V791),$V$2:$V$1001,0),MATCH(COLUMNS($AC$1006:AP1006),$AC$1006:$AS$1006,0)), HYPERLINK("#",""), HYPERLINK(CONCATENATE("#metadata!", ADDRESS(INDEX($X$2:$X$1001,MATCH(ROWS($V$2:V791),$V$2:$V$1001,0),0), INDEX($AC$1004:$AS$1004,1,MATCH(COLUMNS($AC$1006:AP1006),$AC$1006:$AS$1006,0)))),"Fix")))</f>
        <v xml:space="preserve"> </v>
      </c>
      <c r="P791" s="4" t="str">
        <f ca="1">IF(OR(INDEX($W$2:$W$1001,MATCH(ROWS($V$2:V791),$V$2:$V$1001,0),1)&gt;=100000,INDEX($AC$1005:$AS$1005,1,MATCH(COLUMNS($AC$1006:AQ1006),$AC$1006:$AS$1006,0))&gt;=100000), " ",IF(INDEX($AC$2:$AS$1001,MATCH(ROWS($V$2:V791),$V$2:$V$1001,0),MATCH(COLUMNS($AC$1006:AQ1006),$AC$1006:$AS$1006,0)), HYPERLINK("#",""), HYPERLINK(CONCATENATE("#metadata!", ADDRESS(INDEX($X$2:$X$1001,MATCH(ROWS($V$2:V791),$V$2:$V$1001,0),0), INDEX($AC$1004:$AS$1004,1,MATCH(COLUMNS($AC$1006:AQ1006),$AC$1006:$AS$1006,0)))),"Fix")))</f>
        <v xml:space="preserve"> </v>
      </c>
      <c r="Q791" s="4" t="str">
        <f ca="1">IF(OR(INDEX($W$2:$W$1001,MATCH(ROWS($V$2:V791),$V$2:$V$1001,0),1)&gt;=100000,INDEX($AC$1005:$AS$1005,1,MATCH(COLUMNS($AC$1006:AR1006),$AC$1006:$AS$1006,0))&gt;=100000), " ",IF(INDEX($AC$2:$AS$1001,MATCH(ROWS($V$2:V791),$V$2:$V$1001,0),MATCH(COLUMNS($AC$1006:AR1006),$AC$1006:$AS$1006,0)), HYPERLINK("#",""), HYPERLINK(CONCATENATE("#metadata!", ADDRESS(INDEX($X$2:$X$1001,MATCH(ROWS($V$2:V791),$V$2:$V$1001,0),0), INDEX($AC$1004:$AS$1004,1,MATCH(COLUMNS($AC$1006:AR1006),$AC$1006:$AS$1006,0)))),"Fix")))</f>
        <v xml:space="preserve"> </v>
      </c>
      <c r="R791" s="4" t="str">
        <f ca="1">IF(OR(INDEX($W$2:$W$1001,MATCH(ROWS($V$2:V791),$V$2:$V$1001,0),1)&gt;=100000,INDEX($AC$1005:$AS$1005,1,MATCH(COLUMNS($AC$1006:AS1006),$AC$1006:$AS$1006,0))&gt;=100000), " ",IF(INDEX($AC$2:$AS$1001,MATCH(ROWS($V$2:V791),$V$2:$V$1001,0),MATCH(COLUMNS($AC$1006:AS1006),$AC$1006:$AS$1006,0)), HYPERLINK("#",""), HYPERLINK(CONCATENATE("#metadata!", ADDRESS(INDEX($X$2:$X$1001,MATCH(ROWS($V$2:V791),$V$2:$V$1001,0),0), INDEX($AC$1004:$AS$1004,1,MATCH(COLUMNS($AC$1006:AS1006),$AC$1006:$AS$1006,0)))),"Fix")))</f>
        <v xml:space="preserve"> </v>
      </c>
      <c r="V791">
        <v>790</v>
      </c>
      <c r="W791">
        <v>100791</v>
      </c>
      <c r="X791">
        <v>791</v>
      </c>
      <c r="Y791" t="b">
        <f t="shared" si="12"/>
        <v>1</v>
      </c>
      <c r="Z791" t="b">
        <f>COUNTBLANK(metadata!B791:R791)=COLUMNS(metadata!B791:R791)</f>
        <v>1</v>
      </c>
      <c r="AA791" t="str">
        <v/>
      </c>
      <c r="AC791" t="b">
        <f ca="1"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AD791" t="b">
        <f>IF(metadata!C791="",FALSE,ISNUMBER(VALUE(metadata!C791)))</f>
        <v>0</v>
      </c>
      <c r="AE791" t="b">
        <f>AND(IF(metadata!D791="",FALSE,TRUE),EXACT(metadata!D791,"years"))</f>
        <v>0</v>
      </c>
      <c r="AF791" t="b">
        <f>OR(AND(IF(metadata!E791="",FALSE,TRUE),OR(EXACT(metadata!E791,"not applicable"),EXACT(metadata!E791,"missing: not collected"),EXACT(metadata!E791,"missing: not provided"),EXACT(metadata!E791,"missing: restricted access"))),AND(IF(metadata!E791="",FALSE,ISNUMBER(VALUE(metadata!E791))),metadata!E791&gt;0))</f>
        <v>0</v>
      </c>
      <c r="AG791" t="b">
        <f>AND(IF(metadata!F791="",FALSE,TRUE),EXACT(metadata!F791,"Not applicable"))</f>
        <v>0</v>
      </c>
      <c r="AH791" t="b">
        <f>AND(IF(metadata!G791="",FALSE,TRUE),EXACT(metadata!G791,"urban biome"))</f>
        <v>0</v>
      </c>
      <c r="AI791" t="b">
        <f>AND(IF(metadata!H791="",FALSE,TRUE),EXACT(metadata!H791,"human-associated habitat"))</f>
        <v>0</v>
      </c>
      <c r="AJ791" t="b">
        <f>AND(IF(metadata!I791="",FALSE,TRUE),OR(EXACT(metadata!I791,"human-associated"),EXACT(metadata!I791,"human-skin"),EXACT(metadata!I791,"human-oral"),EXACT(metadata!I791,"human-gut"),EXACT(metadata!I791,"human-vaginal")))</f>
        <v>0</v>
      </c>
      <c r="AK791" t="b">
        <f>IF(metadata!J791="",FALSE,ISNUMBER(VALUE(metadata!J791)))</f>
        <v>0</v>
      </c>
      <c r="AL791" t="b">
        <f>AND(IF(metadata!K791="",FALSE,TRUE),EXACT(metadata!K791,"cm"))</f>
        <v>0</v>
      </c>
      <c r="AM791" t="b">
        <f>AND(IF(metadata!L791="",FALSE,TRUE),EXACT(metadata!L791,"human"))</f>
        <v>0</v>
      </c>
      <c r="AN791" t="b">
        <f>AND(IF(metadata!M791="",FALSE,TRUE),EXACT(metadata!M791,"Homo sapiens"))</f>
        <v>0</v>
      </c>
      <c r="AO791" t="b">
        <f>AND(IF(metadata!N791="",FALSE,TRUE),EXACT(metadata!N791,"9606"))</f>
        <v>0</v>
      </c>
      <c r="AP791" t="b">
        <f>IF(metadata!O791="",FALSE,TRUE)</f>
        <v>0</v>
      </c>
      <c r="AQ791" t="b">
        <f>IF(metadata!P791="",FALSE,TRUE)</f>
        <v>0</v>
      </c>
      <c r="AR791" t="b">
        <f>IF(metadata!Q791="",FALSE,ISNUMBER(VALUE(metadata!Q791)))</f>
        <v>0</v>
      </c>
      <c r="AS791" t="b">
        <f>AND(IF(metadata!R791="",FALSE,TRUE),EXACT(metadata!R791,"kg"))</f>
        <v>0</v>
      </c>
    </row>
    <row r="792" spans="1:45" x14ac:dyDescent="0.2">
      <c r="A792" s="5" t="str">
        <f ca="1">IF(B792=" "," ",HYPERLINK(CONCATENATE("#metadata!",ADDRESS(INDEX($X$2:$X$1001,MATCH(ROWS($V$2:V792),$V$2:$V$1001,0),0),1)),INDEX($AA$2:$AA$1001,MATCH(ROWS($V$2:V792),$V$2:$V$1001,0),0)))</f>
        <v xml:space="preserve"> </v>
      </c>
      <c r="B792" s="4" t="str">
        <f ca="1">IF(OR(INDEX($W$2:$W$1001,MATCH(ROWS($V$2:V792),$V$2:$V$1001,0),1)&gt;=100000,INDEX($AC$1005:$AS$1005,1,MATCH(COLUMNS($AC$1006:AC1006),$AC$1006:$AS$1006,0))&gt;=100000), " ",IF(INDEX($AC$2:$AS$1001,MATCH(ROWS($V$2:V792),$V$2:$V$1001,0),MATCH(COLUMNS($AC$1006:AC1006),$AC$1006:$AS$1006,0)), HYPERLINK("#",""), HYPERLINK(CONCATENATE("#metadata!", ADDRESS(INDEX($X$2:$X$1001,MATCH(ROWS($V$2:V792),$V$2:$V$1001,0),0), INDEX($AC$1004:$AS$1004,1,MATCH(COLUMNS($AC$1006:AC1006),$AC$1006:$AS$1006,0)))),"Fix")))</f>
        <v xml:space="preserve"> </v>
      </c>
      <c r="C792" s="4" t="str">
        <f ca="1">IF(OR(INDEX($W$2:$W$1001,MATCH(ROWS($V$2:V792),$V$2:$V$1001,0),1)&gt;=100000,INDEX($AC$1005:$AS$1005,1,MATCH(COLUMNS($AC$1006:AD1006),$AC$1006:$AS$1006,0))&gt;=100000), " ",IF(INDEX($AC$2:$AS$1001,MATCH(ROWS($V$2:V792),$V$2:$V$1001,0),MATCH(COLUMNS($AC$1006:AD1006),$AC$1006:$AS$1006,0)), HYPERLINK("#",""), HYPERLINK(CONCATENATE("#metadata!", ADDRESS(INDEX($X$2:$X$1001,MATCH(ROWS($V$2:V792),$V$2:$V$1001,0),0), INDEX($AC$1004:$AS$1004,1,MATCH(COLUMNS($AC$1006:AD1006),$AC$1006:$AS$1006,0)))),"Fix")))</f>
        <v xml:space="preserve"> </v>
      </c>
      <c r="D792" s="4" t="str">
        <f ca="1">IF(OR(INDEX($W$2:$W$1001,MATCH(ROWS($V$2:V792),$V$2:$V$1001,0),1)&gt;=100000,INDEX($AC$1005:$AS$1005,1,MATCH(COLUMNS($AC$1006:AE1006),$AC$1006:$AS$1006,0))&gt;=100000), " ",IF(INDEX($AC$2:$AS$1001,MATCH(ROWS($V$2:V792),$V$2:$V$1001,0),MATCH(COLUMNS($AC$1006:AE1006),$AC$1006:$AS$1006,0)), HYPERLINK("#",""), HYPERLINK(CONCATENATE("#metadata!", ADDRESS(INDEX($X$2:$X$1001,MATCH(ROWS($V$2:V792),$V$2:$V$1001,0),0), INDEX($AC$1004:$AS$1004,1,MATCH(COLUMNS($AC$1006:AE1006),$AC$1006:$AS$1006,0)))),"Fix")))</f>
        <v xml:space="preserve"> </v>
      </c>
      <c r="E792" s="4" t="str">
        <f ca="1">IF(OR(INDEX($W$2:$W$1001,MATCH(ROWS($V$2:V792),$V$2:$V$1001,0),1)&gt;=100000,INDEX($AC$1005:$AS$1005,1,MATCH(COLUMNS($AC$1006:AF1006),$AC$1006:$AS$1006,0))&gt;=100000), " ",IF(INDEX($AC$2:$AS$1001,MATCH(ROWS($V$2:V792),$V$2:$V$1001,0),MATCH(COLUMNS($AC$1006:AF1006),$AC$1006:$AS$1006,0)), HYPERLINK("#",""), HYPERLINK(CONCATENATE("#metadata!", ADDRESS(INDEX($X$2:$X$1001,MATCH(ROWS($V$2:V792),$V$2:$V$1001,0),0), INDEX($AC$1004:$AS$1004,1,MATCH(COLUMNS($AC$1006:AF1006),$AC$1006:$AS$1006,0)))),"Fix")))</f>
        <v xml:space="preserve"> </v>
      </c>
      <c r="F792" s="4" t="str">
        <f ca="1">IF(OR(INDEX($W$2:$W$1001,MATCH(ROWS($V$2:V792),$V$2:$V$1001,0),1)&gt;=100000,INDEX($AC$1005:$AS$1005,1,MATCH(COLUMNS($AC$1006:AG1006),$AC$1006:$AS$1006,0))&gt;=100000), " ",IF(INDEX($AC$2:$AS$1001,MATCH(ROWS($V$2:V792),$V$2:$V$1001,0),MATCH(COLUMNS($AC$1006:AG1006),$AC$1006:$AS$1006,0)), HYPERLINK("#",""), HYPERLINK(CONCATENATE("#metadata!", ADDRESS(INDEX($X$2:$X$1001,MATCH(ROWS($V$2:V792),$V$2:$V$1001,0),0), INDEX($AC$1004:$AS$1004,1,MATCH(COLUMNS($AC$1006:AG1006),$AC$1006:$AS$1006,0)))),"Fix")))</f>
        <v xml:space="preserve"> </v>
      </c>
      <c r="G792" s="4" t="str">
        <f ca="1">IF(OR(INDEX($W$2:$W$1001,MATCH(ROWS($V$2:V792),$V$2:$V$1001,0),1)&gt;=100000,INDEX($AC$1005:$AS$1005,1,MATCH(COLUMNS($AC$1006:AH1006),$AC$1006:$AS$1006,0))&gt;=100000), " ",IF(INDEX($AC$2:$AS$1001,MATCH(ROWS($V$2:V792),$V$2:$V$1001,0),MATCH(COLUMNS($AC$1006:AH1006),$AC$1006:$AS$1006,0)), HYPERLINK("#",""), HYPERLINK(CONCATENATE("#metadata!", ADDRESS(INDEX($X$2:$X$1001,MATCH(ROWS($V$2:V792),$V$2:$V$1001,0),0), INDEX($AC$1004:$AS$1004,1,MATCH(COLUMNS($AC$1006:AH1006),$AC$1006:$AS$1006,0)))),"Fix")))</f>
        <v xml:space="preserve"> </v>
      </c>
      <c r="H792" s="4" t="str">
        <f ca="1">IF(OR(INDEX($W$2:$W$1001,MATCH(ROWS($V$2:V792),$V$2:$V$1001,0),1)&gt;=100000,INDEX($AC$1005:$AS$1005,1,MATCH(COLUMNS($AC$1006:AI1006),$AC$1006:$AS$1006,0))&gt;=100000), " ",IF(INDEX($AC$2:$AS$1001,MATCH(ROWS($V$2:V792),$V$2:$V$1001,0),MATCH(COLUMNS($AC$1006:AI1006),$AC$1006:$AS$1006,0)), HYPERLINK("#",""), HYPERLINK(CONCATENATE("#metadata!", ADDRESS(INDEX($X$2:$X$1001,MATCH(ROWS($V$2:V792),$V$2:$V$1001,0),0), INDEX($AC$1004:$AS$1004,1,MATCH(COLUMNS($AC$1006:AI1006),$AC$1006:$AS$1006,0)))),"Fix")))</f>
        <v xml:space="preserve"> </v>
      </c>
      <c r="I792" s="4" t="str">
        <f ca="1">IF(OR(INDEX($W$2:$W$1001,MATCH(ROWS($V$2:V792),$V$2:$V$1001,0),1)&gt;=100000,INDEX($AC$1005:$AS$1005,1,MATCH(COLUMNS($AC$1006:AJ1006),$AC$1006:$AS$1006,0))&gt;=100000), " ",IF(INDEX($AC$2:$AS$1001,MATCH(ROWS($V$2:V792),$V$2:$V$1001,0),MATCH(COLUMNS($AC$1006:AJ1006),$AC$1006:$AS$1006,0)), HYPERLINK("#",""), HYPERLINK(CONCATENATE("#metadata!", ADDRESS(INDEX($X$2:$X$1001,MATCH(ROWS($V$2:V792),$V$2:$V$1001,0),0), INDEX($AC$1004:$AS$1004,1,MATCH(COLUMNS($AC$1006:AJ1006),$AC$1006:$AS$1006,0)))),"Fix")))</f>
        <v xml:space="preserve"> </v>
      </c>
      <c r="J792" s="4" t="str">
        <f ca="1">IF(OR(INDEX($W$2:$W$1001,MATCH(ROWS($V$2:V792),$V$2:$V$1001,0),1)&gt;=100000,INDEX($AC$1005:$AS$1005,1,MATCH(COLUMNS($AC$1006:AK1006),$AC$1006:$AS$1006,0))&gt;=100000), " ",IF(INDEX($AC$2:$AS$1001,MATCH(ROWS($V$2:V792),$V$2:$V$1001,0),MATCH(COLUMNS($AC$1006:AK1006),$AC$1006:$AS$1006,0)), HYPERLINK("#",""), HYPERLINK(CONCATENATE("#metadata!", ADDRESS(INDEX($X$2:$X$1001,MATCH(ROWS($V$2:V792),$V$2:$V$1001,0),0), INDEX($AC$1004:$AS$1004,1,MATCH(COLUMNS($AC$1006:AK1006),$AC$1006:$AS$1006,0)))),"Fix")))</f>
        <v xml:space="preserve"> </v>
      </c>
      <c r="K792" s="4" t="str">
        <f ca="1">IF(OR(INDEX($W$2:$W$1001,MATCH(ROWS($V$2:V792),$V$2:$V$1001,0),1)&gt;=100000,INDEX($AC$1005:$AS$1005,1,MATCH(COLUMNS($AC$1006:AL1006),$AC$1006:$AS$1006,0))&gt;=100000), " ",IF(INDEX($AC$2:$AS$1001,MATCH(ROWS($V$2:V792),$V$2:$V$1001,0),MATCH(COLUMNS($AC$1006:AL1006),$AC$1006:$AS$1006,0)), HYPERLINK("#",""), HYPERLINK(CONCATENATE("#metadata!", ADDRESS(INDEX($X$2:$X$1001,MATCH(ROWS($V$2:V792),$V$2:$V$1001,0),0), INDEX($AC$1004:$AS$1004,1,MATCH(COLUMNS($AC$1006:AL1006),$AC$1006:$AS$1006,0)))),"Fix")))</f>
        <v xml:space="preserve"> </v>
      </c>
      <c r="L792" s="4" t="str">
        <f ca="1">IF(OR(INDEX($W$2:$W$1001,MATCH(ROWS($V$2:V792),$V$2:$V$1001,0),1)&gt;=100000,INDEX($AC$1005:$AS$1005,1,MATCH(COLUMNS($AC$1006:AM1006),$AC$1006:$AS$1006,0))&gt;=100000), " ",IF(INDEX($AC$2:$AS$1001,MATCH(ROWS($V$2:V792),$V$2:$V$1001,0),MATCH(COLUMNS($AC$1006:AM1006),$AC$1006:$AS$1006,0)), HYPERLINK("#",""), HYPERLINK(CONCATENATE("#metadata!", ADDRESS(INDEX($X$2:$X$1001,MATCH(ROWS($V$2:V792),$V$2:$V$1001,0),0), INDEX($AC$1004:$AS$1004,1,MATCH(COLUMNS($AC$1006:AM1006),$AC$1006:$AS$1006,0)))),"Fix")))</f>
        <v xml:space="preserve"> </v>
      </c>
      <c r="M792" s="4" t="str">
        <f ca="1">IF(OR(INDEX($W$2:$W$1001,MATCH(ROWS($V$2:V792),$V$2:$V$1001,0),1)&gt;=100000,INDEX($AC$1005:$AS$1005,1,MATCH(COLUMNS($AC$1006:AN1006),$AC$1006:$AS$1006,0))&gt;=100000), " ",IF(INDEX($AC$2:$AS$1001,MATCH(ROWS($V$2:V792),$V$2:$V$1001,0),MATCH(COLUMNS($AC$1006:AN1006),$AC$1006:$AS$1006,0)), HYPERLINK("#",""), HYPERLINK(CONCATENATE("#metadata!", ADDRESS(INDEX($X$2:$X$1001,MATCH(ROWS($V$2:V792),$V$2:$V$1001,0),0), INDEX($AC$1004:$AS$1004,1,MATCH(COLUMNS($AC$1006:AN1006),$AC$1006:$AS$1006,0)))),"Fix")))</f>
        <v xml:space="preserve"> </v>
      </c>
      <c r="N792" s="4" t="str">
        <f ca="1">IF(OR(INDEX($W$2:$W$1001,MATCH(ROWS($V$2:V792),$V$2:$V$1001,0),1)&gt;=100000,INDEX($AC$1005:$AS$1005,1,MATCH(COLUMNS($AC$1006:AO1006),$AC$1006:$AS$1006,0))&gt;=100000), " ",IF(INDEX($AC$2:$AS$1001,MATCH(ROWS($V$2:V792),$V$2:$V$1001,0),MATCH(COLUMNS($AC$1006:AO1006),$AC$1006:$AS$1006,0)), HYPERLINK("#",""), HYPERLINK(CONCATENATE("#metadata!", ADDRESS(INDEX($X$2:$X$1001,MATCH(ROWS($V$2:V792),$V$2:$V$1001,0),0), INDEX($AC$1004:$AS$1004,1,MATCH(COLUMNS($AC$1006:AO1006),$AC$1006:$AS$1006,0)))),"Fix")))</f>
        <v xml:space="preserve"> </v>
      </c>
      <c r="O792" s="4" t="str">
        <f ca="1">IF(OR(INDEX($W$2:$W$1001,MATCH(ROWS($V$2:V792),$V$2:$V$1001,0),1)&gt;=100000,INDEX($AC$1005:$AS$1005,1,MATCH(COLUMNS($AC$1006:AP1006),$AC$1006:$AS$1006,0))&gt;=100000), " ",IF(INDEX($AC$2:$AS$1001,MATCH(ROWS($V$2:V792),$V$2:$V$1001,0),MATCH(COLUMNS($AC$1006:AP1006),$AC$1006:$AS$1006,0)), HYPERLINK("#",""), HYPERLINK(CONCATENATE("#metadata!", ADDRESS(INDEX($X$2:$X$1001,MATCH(ROWS($V$2:V792),$V$2:$V$1001,0),0), INDEX($AC$1004:$AS$1004,1,MATCH(COLUMNS($AC$1006:AP1006),$AC$1006:$AS$1006,0)))),"Fix")))</f>
        <v xml:space="preserve"> </v>
      </c>
      <c r="P792" s="4" t="str">
        <f ca="1">IF(OR(INDEX($W$2:$W$1001,MATCH(ROWS($V$2:V792),$V$2:$V$1001,0),1)&gt;=100000,INDEX($AC$1005:$AS$1005,1,MATCH(COLUMNS($AC$1006:AQ1006),$AC$1006:$AS$1006,0))&gt;=100000), " ",IF(INDEX($AC$2:$AS$1001,MATCH(ROWS($V$2:V792),$V$2:$V$1001,0),MATCH(COLUMNS($AC$1006:AQ1006),$AC$1006:$AS$1006,0)), HYPERLINK("#",""), HYPERLINK(CONCATENATE("#metadata!", ADDRESS(INDEX($X$2:$X$1001,MATCH(ROWS($V$2:V792),$V$2:$V$1001,0),0), INDEX($AC$1004:$AS$1004,1,MATCH(COLUMNS($AC$1006:AQ1006),$AC$1006:$AS$1006,0)))),"Fix")))</f>
        <v xml:space="preserve"> </v>
      </c>
      <c r="Q792" s="4" t="str">
        <f ca="1">IF(OR(INDEX($W$2:$W$1001,MATCH(ROWS($V$2:V792),$V$2:$V$1001,0),1)&gt;=100000,INDEX($AC$1005:$AS$1005,1,MATCH(COLUMNS($AC$1006:AR1006),$AC$1006:$AS$1006,0))&gt;=100000), " ",IF(INDEX($AC$2:$AS$1001,MATCH(ROWS($V$2:V792),$V$2:$V$1001,0),MATCH(COLUMNS($AC$1006:AR1006),$AC$1006:$AS$1006,0)), HYPERLINK("#",""), HYPERLINK(CONCATENATE("#metadata!", ADDRESS(INDEX($X$2:$X$1001,MATCH(ROWS($V$2:V792),$V$2:$V$1001,0),0), INDEX($AC$1004:$AS$1004,1,MATCH(COLUMNS($AC$1006:AR1006),$AC$1006:$AS$1006,0)))),"Fix")))</f>
        <v xml:space="preserve"> </v>
      </c>
      <c r="R792" s="4" t="str">
        <f ca="1">IF(OR(INDEX($W$2:$W$1001,MATCH(ROWS($V$2:V792),$V$2:$V$1001,0),1)&gt;=100000,INDEX($AC$1005:$AS$1005,1,MATCH(COLUMNS($AC$1006:AS1006),$AC$1006:$AS$1006,0))&gt;=100000), " ",IF(INDEX($AC$2:$AS$1001,MATCH(ROWS($V$2:V792),$V$2:$V$1001,0),MATCH(COLUMNS($AC$1006:AS1006),$AC$1006:$AS$1006,0)), HYPERLINK("#",""), HYPERLINK(CONCATENATE("#metadata!", ADDRESS(INDEX($X$2:$X$1001,MATCH(ROWS($V$2:V792),$V$2:$V$1001,0),0), INDEX($AC$1004:$AS$1004,1,MATCH(COLUMNS($AC$1006:AS1006),$AC$1006:$AS$1006,0)))),"Fix")))</f>
        <v xml:space="preserve"> </v>
      </c>
      <c r="V792">
        <v>791</v>
      </c>
      <c r="W792">
        <v>100792</v>
      </c>
      <c r="X792">
        <v>792</v>
      </c>
      <c r="Y792" t="b">
        <f t="shared" si="12"/>
        <v>1</v>
      </c>
      <c r="Z792" t="b">
        <f>COUNTBLANK(metadata!B792:R792)=COLUMNS(metadata!B792:R792)</f>
        <v>1</v>
      </c>
      <c r="AA792" t="str">
        <v/>
      </c>
      <c r="AC792" t="b">
        <f ca="1"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AD792" t="b">
        <f>IF(metadata!C792="",FALSE,ISNUMBER(VALUE(metadata!C792)))</f>
        <v>0</v>
      </c>
      <c r="AE792" t="b">
        <f>AND(IF(metadata!D792="",FALSE,TRUE),EXACT(metadata!D792,"years"))</f>
        <v>0</v>
      </c>
      <c r="AF792" t="b">
        <f>OR(AND(IF(metadata!E792="",FALSE,TRUE),OR(EXACT(metadata!E792,"not applicable"),EXACT(metadata!E792,"missing: not collected"),EXACT(metadata!E792,"missing: not provided"),EXACT(metadata!E792,"missing: restricted access"))),AND(IF(metadata!E792="",FALSE,ISNUMBER(VALUE(metadata!E792))),metadata!E792&gt;0))</f>
        <v>0</v>
      </c>
      <c r="AG792" t="b">
        <f>AND(IF(metadata!F792="",FALSE,TRUE),EXACT(metadata!F792,"Not applicable"))</f>
        <v>0</v>
      </c>
      <c r="AH792" t="b">
        <f>AND(IF(metadata!G792="",FALSE,TRUE),EXACT(metadata!G792,"urban biome"))</f>
        <v>0</v>
      </c>
      <c r="AI792" t="b">
        <f>AND(IF(metadata!H792="",FALSE,TRUE),EXACT(metadata!H792,"human-associated habitat"))</f>
        <v>0</v>
      </c>
      <c r="AJ792" t="b">
        <f>AND(IF(metadata!I792="",FALSE,TRUE),OR(EXACT(metadata!I792,"human-associated"),EXACT(metadata!I792,"human-skin"),EXACT(metadata!I792,"human-oral"),EXACT(metadata!I792,"human-gut"),EXACT(metadata!I792,"human-vaginal")))</f>
        <v>0</v>
      </c>
      <c r="AK792" t="b">
        <f>IF(metadata!J792="",FALSE,ISNUMBER(VALUE(metadata!J792)))</f>
        <v>0</v>
      </c>
      <c r="AL792" t="b">
        <f>AND(IF(metadata!K792="",FALSE,TRUE),EXACT(metadata!K792,"cm"))</f>
        <v>0</v>
      </c>
      <c r="AM792" t="b">
        <f>AND(IF(metadata!L792="",FALSE,TRUE),EXACT(metadata!L792,"human"))</f>
        <v>0</v>
      </c>
      <c r="AN792" t="b">
        <f>AND(IF(metadata!M792="",FALSE,TRUE),EXACT(metadata!M792,"Homo sapiens"))</f>
        <v>0</v>
      </c>
      <c r="AO792" t="b">
        <f>AND(IF(metadata!N792="",FALSE,TRUE),EXACT(metadata!N792,"9606"))</f>
        <v>0</v>
      </c>
      <c r="AP792" t="b">
        <f>IF(metadata!O792="",FALSE,TRUE)</f>
        <v>0</v>
      </c>
      <c r="AQ792" t="b">
        <f>IF(metadata!P792="",FALSE,TRUE)</f>
        <v>0</v>
      </c>
      <c r="AR792" t="b">
        <f>IF(metadata!Q792="",FALSE,ISNUMBER(VALUE(metadata!Q792)))</f>
        <v>0</v>
      </c>
      <c r="AS792" t="b">
        <f>AND(IF(metadata!R792="",FALSE,TRUE),EXACT(metadata!R792,"kg"))</f>
        <v>0</v>
      </c>
    </row>
    <row r="793" spans="1:45" x14ac:dyDescent="0.2">
      <c r="A793" s="5" t="str">
        <f ca="1">IF(B793=" "," ",HYPERLINK(CONCATENATE("#metadata!",ADDRESS(INDEX($X$2:$X$1001,MATCH(ROWS($V$2:V793),$V$2:$V$1001,0),0),1)),INDEX($AA$2:$AA$1001,MATCH(ROWS($V$2:V793),$V$2:$V$1001,0),0)))</f>
        <v xml:space="preserve"> </v>
      </c>
      <c r="B793" s="4" t="str">
        <f ca="1">IF(OR(INDEX($W$2:$W$1001,MATCH(ROWS($V$2:V793),$V$2:$V$1001,0),1)&gt;=100000,INDEX($AC$1005:$AS$1005,1,MATCH(COLUMNS($AC$1006:AC1006),$AC$1006:$AS$1006,0))&gt;=100000), " ",IF(INDEX($AC$2:$AS$1001,MATCH(ROWS($V$2:V793),$V$2:$V$1001,0),MATCH(COLUMNS($AC$1006:AC1006),$AC$1006:$AS$1006,0)), HYPERLINK("#",""), HYPERLINK(CONCATENATE("#metadata!", ADDRESS(INDEX($X$2:$X$1001,MATCH(ROWS($V$2:V793),$V$2:$V$1001,0),0), INDEX($AC$1004:$AS$1004,1,MATCH(COLUMNS($AC$1006:AC1006),$AC$1006:$AS$1006,0)))),"Fix")))</f>
        <v xml:space="preserve"> </v>
      </c>
      <c r="C793" s="4" t="str">
        <f ca="1">IF(OR(INDEX($W$2:$W$1001,MATCH(ROWS($V$2:V793),$V$2:$V$1001,0),1)&gt;=100000,INDEX($AC$1005:$AS$1005,1,MATCH(COLUMNS($AC$1006:AD1006),$AC$1006:$AS$1006,0))&gt;=100000), " ",IF(INDEX($AC$2:$AS$1001,MATCH(ROWS($V$2:V793),$V$2:$V$1001,0),MATCH(COLUMNS($AC$1006:AD1006),$AC$1006:$AS$1006,0)), HYPERLINK("#",""), HYPERLINK(CONCATENATE("#metadata!", ADDRESS(INDEX($X$2:$X$1001,MATCH(ROWS($V$2:V793),$V$2:$V$1001,0),0), INDEX($AC$1004:$AS$1004,1,MATCH(COLUMNS($AC$1006:AD1006),$AC$1006:$AS$1006,0)))),"Fix")))</f>
        <v xml:space="preserve"> </v>
      </c>
      <c r="D793" s="4" t="str">
        <f ca="1">IF(OR(INDEX($W$2:$W$1001,MATCH(ROWS($V$2:V793),$V$2:$V$1001,0),1)&gt;=100000,INDEX($AC$1005:$AS$1005,1,MATCH(COLUMNS($AC$1006:AE1006),$AC$1006:$AS$1006,0))&gt;=100000), " ",IF(INDEX($AC$2:$AS$1001,MATCH(ROWS($V$2:V793),$V$2:$V$1001,0),MATCH(COLUMNS($AC$1006:AE1006),$AC$1006:$AS$1006,0)), HYPERLINK("#",""), HYPERLINK(CONCATENATE("#metadata!", ADDRESS(INDEX($X$2:$X$1001,MATCH(ROWS($V$2:V793),$V$2:$V$1001,0),0), INDEX($AC$1004:$AS$1004,1,MATCH(COLUMNS($AC$1006:AE1006),$AC$1006:$AS$1006,0)))),"Fix")))</f>
        <v xml:space="preserve"> </v>
      </c>
      <c r="E793" s="4" t="str">
        <f ca="1">IF(OR(INDEX($W$2:$W$1001,MATCH(ROWS($V$2:V793),$V$2:$V$1001,0),1)&gt;=100000,INDEX($AC$1005:$AS$1005,1,MATCH(COLUMNS($AC$1006:AF1006),$AC$1006:$AS$1006,0))&gt;=100000), " ",IF(INDEX($AC$2:$AS$1001,MATCH(ROWS($V$2:V793),$V$2:$V$1001,0),MATCH(COLUMNS($AC$1006:AF1006),$AC$1006:$AS$1006,0)), HYPERLINK("#",""), HYPERLINK(CONCATENATE("#metadata!", ADDRESS(INDEX($X$2:$X$1001,MATCH(ROWS($V$2:V793),$V$2:$V$1001,0),0), INDEX($AC$1004:$AS$1004,1,MATCH(COLUMNS($AC$1006:AF1006),$AC$1006:$AS$1006,0)))),"Fix")))</f>
        <v xml:space="preserve"> </v>
      </c>
      <c r="F793" s="4" t="str">
        <f ca="1">IF(OR(INDEX($W$2:$W$1001,MATCH(ROWS($V$2:V793),$V$2:$V$1001,0),1)&gt;=100000,INDEX($AC$1005:$AS$1005,1,MATCH(COLUMNS($AC$1006:AG1006),$AC$1006:$AS$1006,0))&gt;=100000), " ",IF(INDEX($AC$2:$AS$1001,MATCH(ROWS($V$2:V793),$V$2:$V$1001,0),MATCH(COLUMNS($AC$1006:AG1006),$AC$1006:$AS$1006,0)), HYPERLINK("#",""), HYPERLINK(CONCATENATE("#metadata!", ADDRESS(INDEX($X$2:$X$1001,MATCH(ROWS($V$2:V793),$V$2:$V$1001,0),0), INDEX($AC$1004:$AS$1004,1,MATCH(COLUMNS($AC$1006:AG1006),$AC$1006:$AS$1006,0)))),"Fix")))</f>
        <v xml:space="preserve"> </v>
      </c>
      <c r="G793" s="4" t="str">
        <f ca="1">IF(OR(INDEX($W$2:$W$1001,MATCH(ROWS($V$2:V793),$V$2:$V$1001,0),1)&gt;=100000,INDEX($AC$1005:$AS$1005,1,MATCH(COLUMNS($AC$1006:AH1006),$AC$1006:$AS$1006,0))&gt;=100000), " ",IF(INDEX($AC$2:$AS$1001,MATCH(ROWS($V$2:V793),$V$2:$V$1001,0),MATCH(COLUMNS($AC$1006:AH1006),$AC$1006:$AS$1006,0)), HYPERLINK("#",""), HYPERLINK(CONCATENATE("#metadata!", ADDRESS(INDEX($X$2:$X$1001,MATCH(ROWS($V$2:V793),$V$2:$V$1001,0),0), INDEX($AC$1004:$AS$1004,1,MATCH(COLUMNS($AC$1006:AH1006),$AC$1006:$AS$1006,0)))),"Fix")))</f>
        <v xml:space="preserve"> </v>
      </c>
      <c r="H793" s="4" t="str">
        <f ca="1">IF(OR(INDEX($W$2:$W$1001,MATCH(ROWS($V$2:V793),$V$2:$V$1001,0),1)&gt;=100000,INDEX($AC$1005:$AS$1005,1,MATCH(COLUMNS($AC$1006:AI1006),$AC$1006:$AS$1006,0))&gt;=100000), " ",IF(INDEX($AC$2:$AS$1001,MATCH(ROWS($V$2:V793),$V$2:$V$1001,0),MATCH(COLUMNS($AC$1006:AI1006),$AC$1006:$AS$1006,0)), HYPERLINK("#",""), HYPERLINK(CONCATENATE("#metadata!", ADDRESS(INDEX($X$2:$X$1001,MATCH(ROWS($V$2:V793),$V$2:$V$1001,0),0), INDEX($AC$1004:$AS$1004,1,MATCH(COLUMNS($AC$1006:AI1006),$AC$1006:$AS$1006,0)))),"Fix")))</f>
        <v xml:space="preserve"> </v>
      </c>
      <c r="I793" s="4" t="str">
        <f ca="1">IF(OR(INDEX($W$2:$W$1001,MATCH(ROWS($V$2:V793),$V$2:$V$1001,0),1)&gt;=100000,INDEX($AC$1005:$AS$1005,1,MATCH(COLUMNS($AC$1006:AJ1006),$AC$1006:$AS$1006,0))&gt;=100000), " ",IF(INDEX($AC$2:$AS$1001,MATCH(ROWS($V$2:V793),$V$2:$V$1001,0),MATCH(COLUMNS($AC$1006:AJ1006),$AC$1006:$AS$1006,0)), HYPERLINK("#",""), HYPERLINK(CONCATENATE("#metadata!", ADDRESS(INDEX($X$2:$X$1001,MATCH(ROWS($V$2:V793),$V$2:$V$1001,0),0), INDEX($AC$1004:$AS$1004,1,MATCH(COLUMNS($AC$1006:AJ1006),$AC$1006:$AS$1006,0)))),"Fix")))</f>
        <v xml:space="preserve"> </v>
      </c>
      <c r="J793" s="4" t="str">
        <f ca="1">IF(OR(INDEX($W$2:$W$1001,MATCH(ROWS($V$2:V793),$V$2:$V$1001,0),1)&gt;=100000,INDEX($AC$1005:$AS$1005,1,MATCH(COLUMNS($AC$1006:AK1006),$AC$1006:$AS$1006,0))&gt;=100000), " ",IF(INDEX($AC$2:$AS$1001,MATCH(ROWS($V$2:V793),$V$2:$V$1001,0),MATCH(COLUMNS($AC$1006:AK1006),$AC$1006:$AS$1006,0)), HYPERLINK("#",""), HYPERLINK(CONCATENATE("#metadata!", ADDRESS(INDEX($X$2:$X$1001,MATCH(ROWS($V$2:V793),$V$2:$V$1001,0),0), INDEX($AC$1004:$AS$1004,1,MATCH(COLUMNS($AC$1006:AK1006),$AC$1006:$AS$1006,0)))),"Fix")))</f>
        <v xml:space="preserve"> </v>
      </c>
      <c r="K793" s="4" t="str">
        <f ca="1">IF(OR(INDEX($W$2:$W$1001,MATCH(ROWS($V$2:V793),$V$2:$V$1001,0),1)&gt;=100000,INDEX($AC$1005:$AS$1005,1,MATCH(COLUMNS($AC$1006:AL1006),$AC$1006:$AS$1006,0))&gt;=100000), " ",IF(INDEX($AC$2:$AS$1001,MATCH(ROWS($V$2:V793),$V$2:$V$1001,0),MATCH(COLUMNS($AC$1006:AL1006),$AC$1006:$AS$1006,0)), HYPERLINK("#",""), HYPERLINK(CONCATENATE("#metadata!", ADDRESS(INDEX($X$2:$X$1001,MATCH(ROWS($V$2:V793),$V$2:$V$1001,0),0), INDEX($AC$1004:$AS$1004,1,MATCH(COLUMNS($AC$1006:AL1006),$AC$1006:$AS$1006,0)))),"Fix")))</f>
        <v xml:space="preserve"> </v>
      </c>
      <c r="L793" s="4" t="str">
        <f ca="1">IF(OR(INDEX($W$2:$W$1001,MATCH(ROWS($V$2:V793),$V$2:$V$1001,0),1)&gt;=100000,INDEX($AC$1005:$AS$1005,1,MATCH(COLUMNS($AC$1006:AM1006),$AC$1006:$AS$1006,0))&gt;=100000), " ",IF(INDEX($AC$2:$AS$1001,MATCH(ROWS($V$2:V793),$V$2:$V$1001,0),MATCH(COLUMNS($AC$1006:AM1006),$AC$1006:$AS$1006,0)), HYPERLINK("#",""), HYPERLINK(CONCATENATE("#metadata!", ADDRESS(INDEX($X$2:$X$1001,MATCH(ROWS($V$2:V793),$V$2:$V$1001,0),0), INDEX($AC$1004:$AS$1004,1,MATCH(COLUMNS($AC$1006:AM1006),$AC$1006:$AS$1006,0)))),"Fix")))</f>
        <v xml:space="preserve"> </v>
      </c>
      <c r="M793" s="4" t="str">
        <f ca="1">IF(OR(INDEX($W$2:$W$1001,MATCH(ROWS($V$2:V793),$V$2:$V$1001,0),1)&gt;=100000,INDEX($AC$1005:$AS$1005,1,MATCH(COLUMNS($AC$1006:AN1006),$AC$1006:$AS$1006,0))&gt;=100000), " ",IF(INDEX($AC$2:$AS$1001,MATCH(ROWS($V$2:V793),$V$2:$V$1001,0),MATCH(COLUMNS($AC$1006:AN1006),$AC$1006:$AS$1006,0)), HYPERLINK("#",""), HYPERLINK(CONCATENATE("#metadata!", ADDRESS(INDEX($X$2:$X$1001,MATCH(ROWS($V$2:V793),$V$2:$V$1001,0),0), INDEX($AC$1004:$AS$1004,1,MATCH(COLUMNS($AC$1006:AN1006),$AC$1006:$AS$1006,0)))),"Fix")))</f>
        <v xml:space="preserve"> </v>
      </c>
      <c r="N793" s="4" t="str">
        <f ca="1">IF(OR(INDEX($W$2:$W$1001,MATCH(ROWS($V$2:V793),$V$2:$V$1001,0),1)&gt;=100000,INDEX($AC$1005:$AS$1005,1,MATCH(COLUMNS($AC$1006:AO1006),$AC$1006:$AS$1006,0))&gt;=100000), " ",IF(INDEX($AC$2:$AS$1001,MATCH(ROWS($V$2:V793),$V$2:$V$1001,0),MATCH(COLUMNS($AC$1006:AO1006),$AC$1006:$AS$1006,0)), HYPERLINK("#",""), HYPERLINK(CONCATENATE("#metadata!", ADDRESS(INDEX($X$2:$X$1001,MATCH(ROWS($V$2:V793),$V$2:$V$1001,0),0), INDEX($AC$1004:$AS$1004,1,MATCH(COLUMNS($AC$1006:AO1006),$AC$1006:$AS$1006,0)))),"Fix")))</f>
        <v xml:space="preserve"> </v>
      </c>
      <c r="O793" s="4" t="str">
        <f ca="1">IF(OR(INDEX($W$2:$W$1001,MATCH(ROWS($V$2:V793),$V$2:$V$1001,0),1)&gt;=100000,INDEX($AC$1005:$AS$1005,1,MATCH(COLUMNS($AC$1006:AP1006),$AC$1006:$AS$1006,0))&gt;=100000), " ",IF(INDEX($AC$2:$AS$1001,MATCH(ROWS($V$2:V793),$V$2:$V$1001,0),MATCH(COLUMNS($AC$1006:AP1006),$AC$1006:$AS$1006,0)), HYPERLINK("#",""), HYPERLINK(CONCATENATE("#metadata!", ADDRESS(INDEX($X$2:$X$1001,MATCH(ROWS($V$2:V793),$V$2:$V$1001,0),0), INDEX($AC$1004:$AS$1004,1,MATCH(COLUMNS($AC$1006:AP1006),$AC$1006:$AS$1006,0)))),"Fix")))</f>
        <v xml:space="preserve"> </v>
      </c>
      <c r="P793" s="4" t="str">
        <f ca="1">IF(OR(INDEX($W$2:$W$1001,MATCH(ROWS($V$2:V793),$V$2:$V$1001,0),1)&gt;=100000,INDEX($AC$1005:$AS$1005,1,MATCH(COLUMNS($AC$1006:AQ1006),$AC$1006:$AS$1006,0))&gt;=100000), " ",IF(INDEX($AC$2:$AS$1001,MATCH(ROWS($V$2:V793),$V$2:$V$1001,0),MATCH(COLUMNS($AC$1006:AQ1006),$AC$1006:$AS$1006,0)), HYPERLINK("#",""), HYPERLINK(CONCATENATE("#metadata!", ADDRESS(INDEX($X$2:$X$1001,MATCH(ROWS($V$2:V793),$V$2:$V$1001,0),0), INDEX($AC$1004:$AS$1004,1,MATCH(COLUMNS($AC$1006:AQ1006),$AC$1006:$AS$1006,0)))),"Fix")))</f>
        <v xml:space="preserve"> </v>
      </c>
      <c r="Q793" s="4" t="str">
        <f ca="1">IF(OR(INDEX($W$2:$W$1001,MATCH(ROWS($V$2:V793),$V$2:$V$1001,0),1)&gt;=100000,INDEX($AC$1005:$AS$1005,1,MATCH(COLUMNS($AC$1006:AR1006),$AC$1006:$AS$1006,0))&gt;=100000), " ",IF(INDEX($AC$2:$AS$1001,MATCH(ROWS($V$2:V793),$V$2:$V$1001,0),MATCH(COLUMNS($AC$1006:AR1006),$AC$1006:$AS$1006,0)), HYPERLINK("#",""), HYPERLINK(CONCATENATE("#metadata!", ADDRESS(INDEX($X$2:$X$1001,MATCH(ROWS($V$2:V793),$V$2:$V$1001,0),0), INDEX($AC$1004:$AS$1004,1,MATCH(COLUMNS($AC$1006:AR1006),$AC$1006:$AS$1006,0)))),"Fix")))</f>
        <v xml:space="preserve"> </v>
      </c>
      <c r="R793" s="4" t="str">
        <f ca="1">IF(OR(INDEX($W$2:$W$1001,MATCH(ROWS($V$2:V793),$V$2:$V$1001,0),1)&gt;=100000,INDEX($AC$1005:$AS$1005,1,MATCH(COLUMNS($AC$1006:AS1006),$AC$1006:$AS$1006,0))&gt;=100000), " ",IF(INDEX($AC$2:$AS$1001,MATCH(ROWS($V$2:V793),$V$2:$V$1001,0),MATCH(COLUMNS($AC$1006:AS1006),$AC$1006:$AS$1006,0)), HYPERLINK("#",""), HYPERLINK(CONCATENATE("#metadata!", ADDRESS(INDEX($X$2:$X$1001,MATCH(ROWS($V$2:V793),$V$2:$V$1001,0),0), INDEX($AC$1004:$AS$1004,1,MATCH(COLUMNS($AC$1006:AS1006),$AC$1006:$AS$1006,0)))),"Fix")))</f>
        <v xml:space="preserve"> </v>
      </c>
      <c r="V793">
        <v>792</v>
      </c>
      <c r="W793">
        <v>100793</v>
      </c>
      <c r="X793">
        <v>793</v>
      </c>
      <c r="Y793" t="b">
        <f t="shared" si="12"/>
        <v>1</v>
      </c>
      <c r="Z793" t="b">
        <f>COUNTBLANK(metadata!B793:R793)=COLUMNS(metadata!B793:R793)</f>
        <v>1</v>
      </c>
      <c r="AA793" t="str">
        <v/>
      </c>
      <c r="AC793" t="b">
        <f ca="1"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AD793" t="b">
        <f>IF(metadata!C793="",FALSE,ISNUMBER(VALUE(metadata!C793)))</f>
        <v>0</v>
      </c>
      <c r="AE793" t="b">
        <f>AND(IF(metadata!D793="",FALSE,TRUE),EXACT(metadata!D793,"years"))</f>
        <v>0</v>
      </c>
      <c r="AF793" t="b">
        <f>OR(AND(IF(metadata!E793="",FALSE,TRUE),OR(EXACT(metadata!E793,"not applicable"),EXACT(metadata!E793,"missing: not collected"),EXACT(metadata!E793,"missing: not provided"),EXACT(metadata!E793,"missing: restricted access"))),AND(IF(metadata!E793="",FALSE,ISNUMBER(VALUE(metadata!E793))),metadata!E793&gt;0))</f>
        <v>0</v>
      </c>
      <c r="AG793" t="b">
        <f>AND(IF(metadata!F793="",FALSE,TRUE),EXACT(metadata!F793,"Not applicable"))</f>
        <v>0</v>
      </c>
      <c r="AH793" t="b">
        <f>AND(IF(metadata!G793="",FALSE,TRUE),EXACT(metadata!G793,"urban biome"))</f>
        <v>0</v>
      </c>
      <c r="AI793" t="b">
        <f>AND(IF(metadata!H793="",FALSE,TRUE),EXACT(metadata!H793,"human-associated habitat"))</f>
        <v>0</v>
      </c>
      <c r="AJ793" t="b">
        <f>AND(IF(metadata!I793="",FALSE,TRUE),OR(EXACT(metadata!I793,"human-associated"),EXACT(metadata!I793,"human-skin"),EXACT(metadata!I793,"human-oral"),EXACT(metadata!I793,"human-gut"),EXACT(metadata!I793,"human-vaginal")))</f>
        <v>0</v>
      </c>
      <c r="AK793" t="b">
        <f>IF(metadata!J793="",FALSE,ISNUMBER(VALUE(metadata!J793)))</f>
        <v>0</v>
      </c>
      <c r="AL793" t="b">
        <f>AND(IF(metadata!K793="",FALSE,TRUE),EXACT(metadata!K793,"cm"))</f>
        <v>0</v>
      </c>
      <c r="AM793" t="b">
        <f>AND(IF(metadata!L793="",FALSE,TRUE),EXACT(metadata!L793,"human"))</f>
        <v>0</v>
      </c>
      <c r="AN793" t="b">
        <f>AND(IF(metadata!M793="",FALSE,TRUE),EXACT(metadata!M793,"Homo sapiens"))</f>
        <v>0</v>
      </c>
      <c r="AO793" t="b">
        <f>AND(IF(metadata!N793="",FALSE,TRUE),EXACT(metadata!N793,"9606"))</f>
        <v>0</v>
      </c>
      <c r="AP793" t="b">
        <f>IF(metadata!O793="",FALSE,TRUE)</f>
        <v>0</v>
      </c>
      <c r="AQ793" t="b">
        <f>IF(metadata!P793="",FALSE,TRUE)</f>
        <v>0</v>
      </c>
      <c r="AR793" t="b">
        <f>IF(metadata!Q793="",FALSE,ISNUMBER(VALUE(metadata!Q793)))</f>
        <v>0</v>
      </c>
      <c r="AS793" t="b">
        <f>AND(IF(metadata!R793="",FALSE,TRUE),EXACT(metadata!R793,"kg"))</f>
        <v>0</v>
      </c>
    </row>
    <row r="794" spans="1:45" x14ac:dyDescent="0.2">
      <c r="A794" s="5" t="str">
        <f ca="1">IF(B794=" "," ",HYPERLINK(CONCATENATE("#metadata!",ADDRESS(INDEX($X$2:$X$1001,MATCH(ROWS($V$2:V794),$V$2:$V$1001,0),0),1)),INDEX($AA$2:$AA$1001,MATCH(ROWS($V$2:V794),$V$2:$V$1001,0),0)))</f>
        <v xml:space="preserve"> </v>
      </c>
      <c r="B794" s="4" t="str">
        <f ca="1">IF(OR(INDEX($W$2:$W$1001,MATCH(ROWS($V$2:V794),$V$2:$V$1001,0),1)&gt;=100000,INDEX($AC$1005:$AS$1005,1,MATCH(COLUMNS($AC$1006:AC1006),$AC$1006:$AS$1006,0))&gt;=100000), " ",IF(INDEX($AC$2:$AS$1001,MATCH(ROWS($V$2:V794),$V$2:$V$1001,0),MATCH(COLUMNS($AC$1006:AC1006),$AC$1006:$AS$1006,0)), HYPERLINK("#",""), HYPERLINK(CONCATENATE("#metadata!", ADDRESS(INDEX($X$2:$X$1001,MATCH(ROWS($V$2:V794),$V$2:$V$1001,0),0), INDEX($AC$1004:$AS$1004,1,MATCH(COLUMNS($AC$1006:AC1006),$AC$1006:$AS$1006,0)))),"Fix")))</f>
        <v xml:space="preserve"> </v>
      </c>
      <c r="C794" s="4" t="str">
        <f ca="1">IF(OR(INDEX($W$2:$W$1001,MATCH(ROWS($V$2:V794),$V$2:$V$1001,0),1)&gt;=100000,INDEX($AC$1005:$AS$1005,1,MATCH(COLUMNS($AC$1006:AD1006),$AC$1006:$AS$1006,0))&gt;=100000), " ",IF(INDEX($AC$2:$AS$1001,MATCH(ROWS($V$2:V794),$V$2:$V$1001,0),MATCH(COLUMNS($AC$1006:AD1006),$AC$1006:$AS$1006,0)), HYPERLINK("#",""), HYPERLINK(CONCATENATE("#metadata!", ADDRESS(INDEX($X$2:$X$1001,MATCH(ROWS($V$2:V794),$V$2:$V$1001,0),0), INDEX($AC$1004:$AS$1004,1,MATCH(COLUMNS($AC$1006:AD1006),$AC$1006:$AS$1006,0)))),"Fix")))</f>
        <v xml:space="preserve"> </v>
      </c>
      <c r="D794" s="4" t="str">
        <f ca="1">IF(OR(INDEX($W$2:$W$1001,MATCH(ROWS($V$2:V794),$V$2:$V$1001,0),1)&gt;=100000,INDEX($AC$1005:$AS$1005,1,MATCH(COLUMNS($AC$1006:AE1006),$AC$1006:$AS$1006,0))&gt;=100000), " ",IF(INDEX($AC$2:$AS$1001,MATCH(ROWS($V$2:V794),$V$2:$V$1001,0),MATCH(COLUMNS($AC$1006:AE1006),$AC$1006:$AS$1006,0)), HYPERLINK("#",""), HYPERLINK(CONCATENATE("#metadata!", ADDRESS(INDEX($X$2:$X$1001,MATCH(ROWS($V$2:V794),$V$2:$V$1001,0),0), INDEX($AC$1004:$AS$1004,1,MATCH(COLUMNS($AC$1006:AE1006),$AC$1006:$AS$1006,0)))),"Fix")))</f>
        <v xml:space="preserve"> </v>
      </c>
      <c r="E794" s="4" t="str">
        <f ca="1">IF(OR(INDEX($W$2:$W$1001,MATCH(ROWS($V$2:V794),$V$2:$V$1001,0),1)&gt;=100000,INDEX($AC$1005:$AS$1005,1,MATCH(COLUMNS($AC$1006:AF1006),$AC$1006:$AS$1006,0))&gt;=100000), " ",IF(INDEX($AC$2:$AS$1001,MATCH(ROWS($V$2:V794),$V$2:$V$1001,0),MATCH(COLUMNS($AC$1006:AF1006),$AC$1006:$AS$1006,0)), HYPERLINK("#",""), HYPERLINK(CONCATENATE("#metadata!", ADDRESS(INDEX($X$2:$X$1001,MATCH(ROWS($V$2:V794),$V$2:$V$1001,0),0), INDEX($AC$1004:$AS$1004,1,MATCH(COLUMNS($AC$1006:AF1006),$AC$1006:$AS$1006,0)))),"Fix")))</f>
        <v xml:space="preserve"> </v>
      </c>
      <c r="F794" s="4" t="str">
        <f ca="1">IF(OR(INDEX($W$2:$W$1001,MATCH(ROWS($V$2:V794),$V$2:$V$1001,0),1)&gt;=100000,INDEX($AC$1005:$AS$1005,1,MATCH(COLUMNS($AC$1006:AG1006),$AC$1006:$AS$1006,0))&gt;=100000), " ",IF(INDEX($AC$2:$AS$1001,MATCH(ROWS($V$2:V794),$V$2:$V$1001,0),MATCH(COLUMNS($AC$1006:AG1006),$AC$1006:$AS$1006,0)), HYPERLINK("#",""), HYPERLINK(CONCATENATE("#metadata!", ADDRESS(INDEX($X$2:$X$1001,MATCH(ROWS($V$2:V794),$V$2:$V$1001,0),0), INDEX($AC$1004:$AS$1004,1,MATCH(COLUMNS($AC$1006:AG1006),$AC$1006:$AS$1006,0)))),"Fix")))</f>
        <v xml:space="preserve"> </v>
      </c>
      <c r="G794" s="4" t="str">
        <f ca="1">IF(OR(INDEX($W$2:$W$1001,MATCH(ROWS($V$2:V794),$V$2:$V$1001,0),1)&gt;=100000,INDEX($AC$1005:$AS$1005,1,MATCH(COLUMNS($AC$1006:AH1006),$AC$1006:$AS$1006,0))&gt;=100000), " ",IF(INDEX($AC$2:$AS$1001,MATCH(ROWS($V$2:V794),$V$2:$V$1001,0),MATCH(COLUMNS($AC$1006:AH1006),$AC$1006:$AS$1006,0)), HYPERLINK("#",""), HYPERLINK(CONCATENATE("#metadata!", ADDRESS(INDEX($X$2:$X$1001,MATCH(ROWS($V$2:V794),$V$2:$V$1001,0),0), INDEX($AC$1004:$AS$1004,1,MATCH(COLUMNS($AC$1006:AH1006),$AC$1006:$AS$1006,0)))),"Fix")))</f>
        <v xml:space="preserve"> </v>
      </c>
      <c r="H794" s="4" t="str">
        <f ca="1">IF(OR(INDEX($W$2:$W$1001,MATCH(ROWS($V$2:V794),$V$2:$V$1001,0),1)&gt;=100000,INDEX($AC$1005:$AS$1005,1,MATCH(COLUMNS($AC$1006:AI1006),$AC$1006:$AS$1006,0))&gt;=100000), " ",IF(INDEX($AC$2:$AS$1001,MATCH(ROWS($V$2:V794),$V$2:$V$1001,0),MATCH(COLUMNS($AC$1006:AI1006),$AC$1006:$AS$1006,0)), HYPERLINK("#",""), HYPERLINK(CONCATENATE("#metadata!", ADDRESS(INDEX($X$2:$X$1001,MATCH(ROWS($V$2:V794),$V$2:$V$1001,0),0), INDEX($AC$1004:$AS$1004,1,MATCH(COLUMNS($AC$1006:AI1006),$AC$1006:$AS$1006,0)))),"Fix")))</f>
        <v xml:space="preserve"> </v>
      </c>
      <c r="I794" s="4" t="str">
        <f ca="1">IF(OR(INDEX($W$2:$W$1001,MATCH(ROWS($V$2:V794),$V$2:$V$1001,0),1)&gt;=100000,INDEX($AC$1005:$AS$1005,1,MATCH(COLUMNS($AC$1006:AJ1006),$AC$1006:$AS$1006,0))&gt;=100000), " ",IF(INDEX($AC$2:$AS$1001,MATCH(ROWS($V$2:V794),$V$2:$V$1001,0),MATCH(COLUMNS($AC$1006:AJ1006),$AC$1006:$AS$1006,0)), HYPERLINK("#",""), HYPERLINK(CONCATENATE("#metadata!", ADDRESS(INDEX($X$2:$X$1001,MATCH(ROWS($V$2:V794),$V$2:$V$1001,0),0), INDEX($AC$1004:$AS$1004,1,MATCH(COLUMNS($AC$1006:AJ1006),$AC$1006:$AS$1006,0)))),"Fix")))</f>
        <v xml:space="preserve"> </v>
      </c>
      <c r="J794" s="4" t="str">
        <f ca="1">IF(OR(INDEX($W$2:$W$1001,MATCH(ROWS($V$2:V794),$V$2:$V$1001,0),1)&gt;=100000,INDEX($AC$1005:$AS$1005,1,MATCH(COLUMNS($AC$1006:AK1006),$AC$1006:$AS$1006,0))&gt;=100000), " ",IF(INDEX($AC$2:$AS$1001,MATCH(ROWS($V$2:V794),$V$2:$V$1001,0),MATCH(COLUMNS($AC$1006:AK1006),$AC$1006:$AS$1006,0)), HYPERLINK("#",""), HYPERLINK(CONCATENATE("#metadata!", ADDRESS(INDEX($X$2:$X$1001,MATCH(ROWS($V$2:V794),$V$2:$V$1001,0),0), INDEX($AC$1004:$AS$1004,1,MATCH(COLUMNS($AC$1006:AK1006),$AC$1006:$AS$1006,0)))),"Fix")))</f>
        <v xml:space="preserve"> </v>
      </c>
      <c r="K794" s="4" t="str">
        <f ca="1">IF(OR(INDEX($W$2:$W$1001,MATCH(ROWS($V$2:V794),$V$2:$V$1001,0),1)&gt;=100000,INDEX($AC$1005:$AS$1005,1,MATCH(COLUMNS($AC$1006:AL1006),$AC$1006:$AS$1006,0))&gt;=100000), " ",IF(INDEX($AC$2:$AS$1001,MATCH(ROWS($V$2:V794),$V$2:$V$1001,0),MATCH(COLUMNS($AC$1006:AL1006),$AC$1006:$AS$1006,0)), HYPERLINK("#",""), HYPERLINK(CONCATENATE("#metadata!", ADDRESS(INDEX($X$2:$X$1001,MATCH(ROWS($V$2:V794),$V$2:$V$1001,0),0), INDEX($AC$1004:$AS$1004,1,MATCH(COLUMNS($AC$1006:AL1006),$AC$1006:$AS$1006,0)))),"Fix")))</f>
        <v xml:space="preserve"> </v>
      </c>
      <c r="L794" s="4" t="str">
        <f ca="1">IF(OR(INDEX($W$2:$W$1001,MATCH(ROWS($V$2:V794),$V$2:$V$1001,0),1)&gt;=100000,INDEX($AC$1005:$AS$1005,1,MATCH(COLUMNS($AC$1006:AM1006),$AC$1006:$AS$1006,0))&gt;=100000), " ",IF(INDEX($AC$2:$AS$1001,MATCH(ROWS($V$2:V794),$V$2:$V$1001,0),MATCH(COLUMNS($AC$1006:AM1006),$AC$1006:$AS$1006,0)), HYPERLINK("#",""), HYPERLINK(CONCATENATE("#metadata!", ADDRESS(INDEX($X$2:$X$1001,MATCH(ROWS($V$2:V794),$V$2:$V$1001,0),0), INDEX($AC$1004:$AS$1004,1,MATCH(COLUMNS($AC$1006:AM1006),$AC$1006:$AS$1006,0)))),"Fix")))</f>
        <v xml:space="preserve"> </v>
      </c>
      <c r="M794" s="4" t="str">
        <f ca="1">IF(OR(INDEX($W$2:$W$1001,MATCH(ROWS($V$2:V794),$V$2:$V$1001,0),1)&gt;=100000,INDEX($AC$1005:$AS$1005,1,MATCH(COLUMNS($AC$1006:AN1006),$AC$1006:$AS$1006,0))&gt;=100000), " ",IF(INDEX($AC$2:$AS$1001,MATCH(ROWS($V$2:V794),$V$2:$V$1001,0),MATCH(COLUMNS($AC$1006:AN1006),$AC$1006:$AS$1006,0)), HYPERLINK("#",""), HYPERLINK(CONCATENATE("#metadata!", ADDRESS(INDEX($X$2:$X$1001,MATCH(ROWS($V$2:V794),$V$2:$V$1001,0),0), INDEX($AC$1004:$AS$1004,1,MATCH(COLUMNS($AC$1006:AN1006),$AC$1006:$AS$1006,0)))),"Fix")))</f>
        <v xml:space="preserve"> </v>
      </c>
      <c r="N794" s="4" t="str">
        <f ca="1">IF(OR(INDEX($W$2:$W$1001,MATCH(ROWS($V$2:V794),$V$2:$V$1001,0),1)&gt;=100000,INDEX($AC$1005:$AS$1005,1,MATCH(COLUMNS($AC$1006:AO1006),$AC$1006:$AS$1006,0))&gt;=100000), " ",IF(INDEX($AC$2:$AS$1001,MATCH(ROWS($V$2:V794),$V$2:$V$1001,0),MATCH(COLUMNS($AC$1006:AO1006),$AC$1006:$AS$1006,0)), HYPERLINK("#",""), HYPERLINK(CONCATENATE("#metadata!", ADDRESS(INDEX($X$2:$X$1001,MATCH(ROWS($V$2:V794),$V$2:$V$1001,0),0), INDEX($AC$1004:$AS$1004,1,MATCH(COLUMNS($AC$1006:AO1006),$AC$1006:$AS$1006,0)))),"Fix")))</f>
        <v xml:space="preserve"> </v>
      </c>
      <c r="O794" s="4" t="str">
        <f ca="1">IF(OR(INDEX($W$2:$W$1001,MATCH(ROWS($V$2:V794),$V$2:$V$1001,0),1)&gt;=100000,INDEX($AC$1005:$AS$1005,1,MATCH(COLUMNS($AC$1006:AP1006),$AC$1006:$AS$1006,0))&gt;=100000), " ",IF(INDEX($AC$2:$AS$1001,MATCH(ROWS($V$2:V794),$V$2:$V$1001,0),MATCH(COLUMNS($AC$1006:AP1006),$AC$1006:$AS$1006,0)), HYPERLINK("#",""), HYPERLINK(CONCATENATE("#metadata!", ADDRESS(INDEX($X$2:$X$1001,MATCH(ROWS($V$2:V794),$V$2:$V$1001,0),0), INDEX($AC$1004:$AS$1004,1,MATCH(COLUMNS($AC$1006:AP1006),$AC$1006:$AS$1006,0)))),"Fix")))</f>
        <v xml:space="preserve"> </v>
      </c>
      <c r="P794" s="4" t="str">
        <f ca="1">IF(OR(INDEX($W$2:$W$1001,MATCH(ROWS($V$2:V794),$V$2:$V$1001,0),1)&gt;=100000,INDEX($AC$1005:$AS$1005,1,MATCH(COLUMNS($AC$1006:AQ1006),$AC$1006:$AS$1006,0))&gt;=100000), " ",IF(INDEX($AC$2:$AS$1001,MATCH(ROWS($V$2:V794),$V$2:$V$1001,0),MATCH(COLUMNS($AC$1006:AQ1006),$AC$1006:$AS$1006,0)), HYPERLINK("#",""), HYPERLINK(CONCATENATE("#metadata!", ADDRESS(INDEX($X$2:$X$1001,MATCH(ROWS($V$2:V794),$V$2:$V$1001,0),0), INDEX($AC$1004:$AS$1004,1,MATCH(COLUMNS($AC$1006:AQ1006),$AC$1006:$AS$1006,0)))),"Fix")))</f>
        <v xml:space="preserve"> </v>
      </c>
      <c r="Q794" s="4" t="str">
        <f ca="1">IF(OR(INDEX($W$2:$W$1001,MATCH(ROWS($V$2:V794),$V$2:$V$1001,0),1)&gt;=100000,INDEX($AC$1005:$AS$1005,1,MATCH(COLUMNS($AC$1006:AR1006),$AC$1006:$AS$1006,0))&gt;=100000), " ",IF(INDEX($AC$2:$AS$1001,MATCH(ROWS($V$2:V794),$V$2:$V$1001,0),MATCH(COLUMNS($AC$1006:AR1006),$AC$1006:$AS$1006,0)), HYPERLINK("#",""), HYPERLINK(CONCATENATE("#metadata!", ADDRESS(INDEX($X$2:$X$1001,MATCH(ROWS($V$2:V794),$V$2:$V$1001,0),0), INDEX($AC$1004:$AS$1004,1,MATCH(COLUMNS($AC$1006:AR1006),$AC$1006:$AS$1006,0)))),"Fix")))</f>
        <v xml:space="preserve"> </v>
      </c>
      <c r="R794" s="4" t="str">
        <f ca="1">IF(OR(INDEX($W$2:$W$1001,MATCH(ROWS($V$2:V794),$V$2:$V$1001,0),1)&gt;=100000,INDEX($AC$1005:$AS$1005,1,MATCH(COLUMNS($AC$1006:AS1006),$AC$1006:$AS$1006,0))&gt;=100000), " ",IF(INDEX($AC$2:$AS$1001,MATCH(ROWS($V$2:V794),$V$2:$V$1001,0),MATCH(COLUMNS($AC$1006:AS1006),$AC$1006:$AS$1006,0)), HYPERLINK("#",""), HYPERLINK(CONCATENATE("#metadata!", ADDRESS(INDEX($X$2:$X$1001,MATCH(ROWS($V$2:V794),$V$2:$V$1001,0),0), INDEX($AC$1004:$AS$1004,1,MATCH(COLUMNS($AC$1006:AS1006),$AC$1006:$AS$1006,0)))),"Fix")))</f>
        <v xml:space="preserve"> </v>
      </c>
      <c r="V794">
        <v>793</v>
      </c>
      <c r="W794">
        <v>100794</v>
      </c>
      <c r="X794">
        <v>794</v>
      </c>
      <c r="Y794" t="b">
        <f t="shared" si="12"/>
        <v>1</v>
      </c>
      <c r="Z794" t="b">
        <f>COUNTBLANK(metadata!B794:R794)=COLUMNS(metadata!B794:R794)</f>
        <v>1</v>
      </c>
      <c r="AA794" t="str">
        <v/>
      </c>
      <c r="AC794" t="b">
        <f ca="1"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AD794" t="b">
        <f>IF(metadata!C794="",FALSE,ISNUMBER(VALUE(metadata!C794)))</f>
        <v>0</v>
      </c>
      <c r="AE794" t="b">
        <f>AND(IF(metadata!D794="",FALSE,TRUE),EXACT(metadata!D794,"years"))</f>
        <v>0</v>
      </c>
      <c r="AF794" t="b">
        <f>OR(AND(IF(metadata!E794="",FALSE,TRUE),OR(EXACT(metadata!E794,"not applicable"),EXACT(metadata!E794,"missing: not collected"),EXACT(metadata!E794,"missing: not provided"),EXACT(metadata!E794,"missing: restricted access"))),AND(IF(metadata!E794="",FALSE,ISNUMBER(VALUE(metadata!E794))),metadata!E794&gt;0))</f>
        <v>0</v>
      </c>
      <c r="AG794" t="b">
        <f>AND(IF(metadata!F794="",FALSE,TRUE),EXACT(metadata!F794,"Not applicable"))</f>
        <v>0</v>
      </c>
      <c r="AH794" t="b">
        <f>AND(IF(metadata!G794="",FALSE,TRUE),EXACT(metadata!G794,"urban biome"))</f>
        <v>0</v>
      </c>
      <c r="AI794" t="b">
        <f>AND(IF(metadata!H794="",FALSE,TRUE),EXACT(metadata!H794,"human-associated habitat"))</f>
        <v>0</v>
      </c>
      <c r="AJ794" t="b">
        <f>AND(IF(metadata!I794="",FALSE,TRUE),OR(EXACT(metadata!I794,"human-associated"),EXACT(metadata!I794,"human-skin"),EXACT(metadata!I794,"human-oral"),EXACT(metadata!I794,"human-gut"),EXACT(metadata!I794,"human-vaginal")))</f>
        <v>0</v>
      </c>
      <c r="AK794" t="b">
        <f>IF(metadata!J794="",FALSE,ISNUMBER(VALUE(metadata!J794)))</f>
        <v>0</v>
      </c>
      <c r="AL794" t="b">
        <f>AND(IF(metadata!K794="",FALSE,TRUE),EXACT(metadata!K794,"cm"))</f>
        <v>0</v>
      </c>
      <c r="AM794" t="b">
        <f>AND(IF(metadata!L794="",FALSE,TRUE),EXACT(metadata!L794,"human"))</f>
        <v>0</v>
      </c>
      <c r="AN794" t="b">
        <f>AND(IF(metadata!M794="",FALSE,TRUE),EXACT(metadata!M794,"Homo sapiens"))</f>
        <v>0</v>
      </c>
      <c r="AO794" t="b">
        <f>AND(IF(metadata!N794="",FALSE,TRUE),EXACT(metadata!N794,"9606"))</f>
        <v>0</v>
      </c>
      <c r="AP794" t="b">
        <f>IF(metadata!O794="",FALSE,TRUE)</f>
        <v>0</v>
      </c>
      <c r="AQ794" t="b">
        <f>IF(metadata!P794="",FALSE,TRUE)</f>
        <v>0</v>
      </c>
      <c r="AR794" t="b">
        <f>IF(metadata!Q794="",FALSE,ISNUMBER(VALUE(metadata!Q794)))</f>
        <v>0</v>
      </c>
      <c r="AS794" t="b">
        <f>AND(IF(metadata!R794="",FALSE,TRUE),EXACT(metadata!R794,"kg"))</f>
        <v>0</v>
      </c>
    </row>
    <row r="795" spans="1:45" x14ac:dyDescent="0.2">
      <c r="A795" s="5" t="str">
        <f ca="1">IF(B795=" "," ",HYPERLINK(CONCATENATE("#metadata!",ADDRESS(INDEX($X$2:$X$1001,MATCH(ROWS($V$2:V795),$V$2:$V$1001,0),0),1)),INDEX($AA$2:$AA$1001,MATCH(ROWS($V$2:V795),$V$2:$V$1001,0),0)))</f>
        <v xml:space="preserve"> </v>
      </c>
      <c r="B795" s="4" t="str">
        <f ca="1">IF(OR(INDEX($W$2:$W$1001,MATCH(ROWS($V$2:V795),$V$2:$V$1001,0),1)&gt;=100000,INDEX($AC$1005:$AS$1005,1,MATCH(COLUMNS($AC$1006:AC1006),$AC$1006:$AS$1006,0))&gt;=100000), " ",IF(INDEX($AC$2:$AS$1001,MATCH(ROWS($V$2:V795),$V$2:$V$1001,0),MATCH(COLUMNS($AC$1006:AC1006),$AC$1006:$AS$1006,0)), HYPERLINK("#",""), HYPERLINK(CONCATENATE("#metadata!", ADDRESS(INDEX($X$2:$X$1001,MATCH(ROWS($V$2:V795),$V$2:$V$1001,0),0), INDEX($AC$1004:$AS$1004,1,MATCH(COLUMNS($AC$1006:AC1006),$AC$1006:$AS$1006,0)))),"Fix")))</f>
        <v xml:space="preserve"> </v>
      </c>
      <c r="C795" s="4" t="str">
        <f ca="1">IF(OR(INDEX($W$2:$W$1001,MATCH(ROWS($V$2:V795),$V$2:$V$1001,0),1)&gt;=100000,INDEX($AC$1005:$AS$1005,1,MATCH(COLUMNS($AC$1006:AD1006),$AC$1006:$AS$1006,0))&gt;=100000), " ",IF(INDEX($AC$2:$AS$1001,MATCH(ROWS($V$2:V795),$V$2:$V$1001,0),MATCH(COLUMNS($AC$1006:AD1006),$AC$1006:$AS$1006,0)), HYPERLINK("#",""), HYPERLINK(CONCATENATE("#metadata!", ADDRESS(INDEX($X$2:$X$1001,MATCH(ROWS($V$2:V795),$V$2:$V$1001,0),0), INDEX($AC$1004:$AS$1004,1,MATCH(COLUMNS($AC$1006:AD1006),$AC$1006:$AS$1006,0)))),"Fix")))</f>
        <v xml:space="preserve"> </v>
      </c>
      <c r="D795" s="4" t="str">
        <f ca="1">IF(OR(INDEX($W$2:$W$1001,MATCH(ROWS($V$2:V795),$V$2:$V$1001,0),1)&gt;=100000,INDEX($AC$1005:$AS$1005,1,MATCH(COLUMNS($AC$1006:AE1006),$AC$1006:$AS$1006,0))&gt;=100000), " ",IF(INDEX($AC$2:$AS$1001,MATCH(ROWS($V$2:V795),$V$2:$V$1001,0),MATCH(COLUMNS($AC$1006:AE1006),$AC$1006:$AS$1006,0)), HYPERLINK("#",""), HYPERLINK(CONCATENATE("#metadata!", ADDRESS(INDEX($X$2:$X$1001,MATCH(ROWS($V$2:V795),$V$2:$V$1001,0),0), INDEX($AC$1004:$AS$1004,1,MATCH(COLUMNS($AC$1006:AE1006),$AC$1006:$AS$1006,0)))),"Fix")))</f>
        <v xml:space="preserve"> </v>
      </c>
      <c r="E795" s="4" t="str">
        <f ca="1">IF(OR(INDEX($W$2:$W$1001,MATCH(ROWS($V$2:V795),$V$2:$V$1001,0),1)&gt;=100000,INDEX($AC$1005:$AS$1005,1,MATCH(COLUMNS($AC$1006:AF1006),$AC$1006:$AS$1006,0))&gt;=100000), " ",IF(INDEX($AC$2:$AS$1001,MATCH(ROWS($V$2:V795),$V$2:$V$1001,0),MATCH(COLUMNS($AC$1006:AF1006),$AC$1006:$AS$1006,0)), HYPERLINK("#",""), HYPERLINK(CONCATENATE("#metadata!", ADDRESS(INDEX($X$2:$X$1001,MATCH(ROWS($V$2:V795),$V$2:$V$1001,0),0), INDEX($AC$1004:$AS$1004,1,MATCH(COLUMNS($AC$1006:AF1006),$AC$1006:$AS$1006,0)))),"Fix")))</f>
        <v xml:space="preserve"> </v>
      </c>
      <c r="F795" s="4" t="str">
        <f ca="1">IF(OR(INDEX($W$2:$W$1001,MATCH(ROWS($V$2:V795),$V$2:$V$1001,0),1)&gt;=100000,INDEX($AC$1005:$AS$1005,1,MATCH(COLUMNS($AC$1006:AG1006),$AC$1006:$AS$1006,0))&gt;=100000), " ",IF(INDEX($AC$2:$AS$1001,MATCH(ROWS($V$2:V795),$V$2:$V$1001,0),MATCH(COLUMNS($AC$1006:AG1006),$AC$1006:$AS$1006,0)), HYPERLINK("#",""), HYPERLINK(CONCATENATE("#metadata!", ADDRESS(INDEX($X$2:$X$1001,MATCH(ROWS($V$2:V795),$V$2:$V$1001,0),0), INDEX($AC$1004:$AS$1004,1,MATCH(COLUMNS($AC$1006:AG1006),$AC$1006:$AS$1006,0)))),"Fix")))</f>
        <v xml:space="preserve"> </v>
      </c>
      <c r="G795" s="4" t="str">
        <f ca="1">IF(OR(INDEX($W$2:$W$1001,MATCH(ROWS($V$2:V795),$V$2:$V$1001,0),1)&gt;=100000,INDEX($AC$1005:$AS$1005,1,MATCH(COLUMNS($AC$1006:AH1006),$AC$1006:$AS$1006,0))&gt;=100000), " ",IF(INDEX($AC$2:$AS$1001,MATCH(ROWS($V$2:V795),$V$2:$V$1001,0),MATCH(COLUMNS($AC$1006:AH1006),$AC$1006:$AS$1006,0)), HYPERLINK("#",""), HYPERLINK(CONCATENATE("#metadata!", ADDRESS(INDEX($X$2:$X$1001,MATCH(ROWS($V$2:V795),$V$2:$V$1001,0),0), INDEX($AC$1004:$AS$1004,1,MATCH(COLUMNS($AC$1006:AH1006),$AC$1006:$AS$1006,0)))),"Fix")))</f>
        <v xml:space="preserve"> </v>
      </c>
      <c r="H795" s="4" t="str">
        <f ca="1">IF(OR(INDEX($W$2:$W$1001,MATCH(ROWS($V$2:V795),$V$2:$V$1001,0),1)&gt;=100000,INDEX($AC$1005:$AS$1005,1,MATCH(COLUMNS($AC$1006:AI1006),$AC$1006:$AS$1006,0))&gt;=100000), " ",IF(INDEX($AC$2:$AS$1001,MATCH(ROWS($V$2:V795),$V$2:$V$1001,0),MATCH(COLUMNS($AC$1006:AI1006),$AC$1006:$AS$1006,0)), HYPERLINK("#",""), HYPERLINK(CONCATENATE("#metadata!", ADDRESS(INDEX($X$2:$X$1001,MATCH(ROWS($V$2:V795),$V$2:$V$1001,0),0), INDEX($AC$1004:$AS$1004,1,MATCH(COLUMNS($AC$1006:AI1006),$AC$1006:$AS$1006,0)))),"Fix")))</f>
        <v xml:space="preserve"> </v>
      </c>
      <c r="I795" s="4" t="str">
        <f ca="1">IF(OR(INDEX($W$2:$W$1001,MATCH(ROWS($V$2:V795),$V$2:$V$1001,0),1)&gt;=100000,INDEX($AC$1005:$AS$1005,1,MATCH(COLUMNS($AC$1006:AJ1006),$AC$1006:$AS$1006,0))&gt;=100000), " ",IF(INDEX($AC$2:$AS$1001,MATCH(ROWS($V$2:V795),$V$2:$V$1001,0),MATCH(COLUMNS($AC$1006:AJ1006),$AC$1006:$AS$1006,0)), HYPERLINK("#",""), HYPERLINK(CONCATENATE("#metadata!", ADDRESS(INDEX($X$2:$X$1001,MATCH(ROWS($V$2:V795),$V$2:$V$1001,0),0), INDEX($AC$1004:$AS$1004,1,MATCH(COLUMNS($AC$1006:AJ1006),$AC$1006:$AS$1006,0)))),"Fix")))</f>
        <v xml:space="preserve"> </v>
      </c>
      <c r="J795" s="4" t="str">
        <f ca="1">IF(OR(INDEX($W$2:$W$1001,MATCH(ROWS($V$2:V795),$V$2:$V$1001,0),1)&gt;=100000,INDEX($AC$1005:$AS$1005,1,MATCH(COLUMNS($AC$1006:AK1006),$AC$1006:$AS$1006,0))&gt;=100000), " ",IF(INDEX($AC$2:$AS$1001,MATCH(ROWS($V$2:V795),$V$2:$V$1001,0),MATCH(COLUMNS($AC$1006:AK1006),$AC$1006:$AS$1006,0)), HYPERLINK("#",""), HYPERLINK(CONCATENATE("#metadata!", ADDRESS(INDEX($X$2:$X$1001,MATCH(ROWS($V$2:V795),$V$2:$V$1001,0),0), INDEX($AC$1004:$AS$1004,1,MATCH(COLUMNS($AC$1006:AK1006),$AC$1006:$AS$1006,0)))),"Fix")))</f>
        <v xml:space="preserve"> </v>
      </c>
      <c r="K795" s="4" t="str">
        <f ca="1">IF(OR(INDEX($W$2:$W$1001,MATCH(ROWS($V$2:V795),$V$2:$V$1001,0),1)&gt;=100000,INDEX($AC$1005:$AS$1005,1,MATCH(COLUMNS($AC$1006:AL1006),$AC$1006:$AS$1006,0))&gt;=100000), " ",IF(INDEX($AC$2:$AS$1001,MATCH(ROWS($V$2:V795),$V$2:$V$1001,0),MATCH(COLUMNS($AC$1006:AL1006),$AC$1006:$AS$1006,0)), HYPERLINK("#",""), HYPERLINK(CONCATENATE("#metadata!", ADDRESS(INDEX($X$2:$X$1001,MATCH(ROWS($V$2:V795),$V$2:$V$1001,0),0), INDEX($AC$1004:$AS$1004,1,MATCH(COLUMNS($AC$1006:AL1006),$AC$1006:$AS$1006,0)))),"Fix")))</f>
        <v xml:space="preserve"> </v>
      </c>
      <c r="L795" s="4" t="str">
        <f ca="1">IF(OR(INDEX($W$2:$W$1001,MATCH(ROWS($V$2:V795),$V$2:$V$1001,0),1)&gt;=100000,INDEX($AC$1005:$AS$1005,1,MATCH(COLUMNS($AC$1006:AM1006),$AC$1006:$AS$1006,0))&gt;=100000), " ",IF(INDEX($AC$2:$AS$1001,MATCH(ROWS($V$2:V795),$V$2:$V$1001,0),MATCH(COLUMNS($AC$1006:AM1006),$AC$1006:$AS$1006,0)), HYPERLINK("#",""), HYPERLINK(CONCATENATE("#metadata!", ADDRESS(INDEX($X$2:$X$1001,MATCH(ROWS($V$2:V795),$V$2:$V$1001,0),0), INDEX($AC$1004:$AS$1004,1,MATCH(COLUMNS($AC$1006:AM1006),$AC$1006:$AS$1006,0)))),"Fix")))</f>
        <v xml:space="preserve"> </v>
      </c>
      <c r="M795" s="4" t="str">
        <f ca="1">IF(OR(INDEX($W$2:$W$1001,MATCH(ROWS($V$2:V795),$V$2:$V$1001,0),1)&gt;=100000,INDEX($AC$1005:$AS$1005,1,MATCH(COLUMNS($AC$1006:AN1006),$AC$1006:$AS$1006,0))&gt;=100000), " ",IF(INDEX($AC$2:$AS$1001,MATCH(ROWS($V$2:V795),$V$2:$V$1001,0),MATCH(COLUMNS($AC$1006:AN1006),$AC$1006:$AS$1006,0)), HYPERLINK("#",""), HYPERLINK(CONCATENATE("#metadata!", ADDRESS(INDEX($X$2:$X$1001,MATCH(ROWS($V$2:V795),$V$2:$V$1001,0),0), INDEX($AC$1004:$AS$1004,1,MATCH(COLUMNS($AC$1006:AN1006),$AC$1006:$AS$1006,0)))),"Fix")))</f>
        <v xml:space="preserve"> </v>
      </c>
      <c r="N795" s="4" t="str">
        <f ca="1">IF(OR(INDEX($W$2:$W$1001,MATCH(ROWS($V$2:V795),$V$2:$V$1001,0),1)&gt;=100000,INDEX($AC$1005:$AS$1005,1,MATCH(COLUMNS($AC$1006:AO1006),$AC$1006:$AS$1006,0))&gt;=100000), " ",IF(INDEX($AC$2:$AS$1001,MATCH(ROWS($V$2:V795),$V$2:$V$1001,0),MATCH(COLUMNS($AC$1006:AO1006),$AC$1006:$AS$1006,0)), HYPERLINK("#",""), HYPERLINK(CONCATENATE("#metadata!", ADDRESS(INDEX($X$2:$X$1001,MATCH(ROWS($V$2:V795),$V$2:$V$1001,0),0), INDEX($AC$1004:$AS$1004,1,MATCH(COLUMNS($AC$1006:AO1006),$AC$1006:$AS$1006,0)))),"Fix")))</f>
        <v xml:space="preserve"> </v>
      </c>
      <c r="O795" s="4" t="str">
        <f ca="1">IF(OR(INDEX($W$2:$W$1001,MATCH(ROWS($V$2:V795),$V$2:$V$1001,0),1)&gt;=100000,INDEX($AC$1005:$AS$1005,1,MATCH(COLUMNS($AC$1006:AP1006),$AC$1006:$AS$1006,0))&gt;=100000), " ",IF(INDEX($AC$2:$AS$1001,MATCH(ROWS($V$2:V795),$V$2:$V$1001,0),MATCH(COLUMNS($AC$1006:AP1006),$AC$1006:$AS$1006,0)), HYPERLINK("#",""), HYPERLINK(CONCATENATE("#metadata!", ADDRESS(INDEX($X$2:$X$1001,MATCH(ROWS($V$2:V795),$V$2:$V$1001,0),0), INDEX($AC$1004:$AS$1004,1,MATCH(COLUMNS($AC$1006:AP1006),$AC$1006:$AS$1006,0)))),"Fix")))</f>
        <v xml:space="preserve"> </v>
      </c>
      <c r="P795" s="4" t="str">
        <f ca="1">IF(OR(INDEX($W$2:$W$1001,MATCH(ROWS($V$2:V795),$V$2:$V$1001,0),1)&gt;=100000,INDEX($AC$1005:$AS$1005,1,MATCH(COLUMNS($AC$1006:AQ1006),$AC$1006:$AS$1006,0))&gt;=100000), " ",IF(INDEX($AC$2:$AS$1001,MATCH(ROWS($V$2:V795),$V$2:$V$1001,0),MATCH(COLUMNS($AC$1006:AQ1006),$AC$1006:$AS$1006,0)), HYPERLINK("#",""), HYPERLINK(CONCATENATE("#metadata!", ADDRESS(INDEX($X$2:$X$1001,MATCH(ROWS($V$2:V795),$V$2:$V$1001,0),0), INDEX($AC$1004:$AS$1004,1,MATCH(COLUMNS($AC$1006:AQ1006),$AC$1006:$AS$1006,0)))),"Fix")))</f>
        <v xml:space="preserve"> </v>
      </c>
      <c r="Q795" s="4" t="str">
        <f ca="1">IF(OR(INDEX($W$2:$W$1001,MATCH(ROWS($V$2:V795),$V$2:$V$1001,0),1)&gt;=100000,INDEX($AC$1005:$AS$1005,1,MATCH(COLUMNS($AC$1006:AR1006),$AC$1006:$AS$1006,0))&gt;=100000), " ",IF(INDEX($AC$2:$AS$1001,MATCH(ROWS($V$2:V795),$V$2:$V$1001,0),MATCH(COLUMNS($AC$1006:AR1006),$AC$1006:$AS$1006,0)), HYPERLINK("#",""), HYPERLINK(CONCATENATE("#metadata!", ADDRESS(INDEX($X$2:$X$1001,MATCH(ROWS($V$2:V795),$V$2:$V$1001,0),0), INDEX($AC$1004:$AS$1004,1,MATCH(COLUMNS($AC$1006:AR1006),$AC$1006:$AS$1006,0)))),"Fix")))</f>
        <v xml:space="preserve"> </v>
      </c>
      <c r="R795" s="4" t="str">
        <f ca="1">IF(OR(INDEX($W$2:$W$1001,MATCH(ROWS($V$2:V795),$V$2:$V$1001,0),1)&gt;=100000,INDEX($AC$1005:$AS$1005,1,MATCH(COLUMNS($AC$1006:AS1006),$AC$1006:$AS$1006,0))&gt;=100000), " ",IF(INDEX($AC$2:$AS$1001,MATCH(ROWS($V$2:V795),$V$2:$V$1001,0),MATCH(COLUMNS($AC$1006:AS1006),$AC$1006:$AS$1006,0)), HYPERLINK("#",""), HYPERLINK(CONCATENATE("#metadata!", ADDRESS(INDEX($X$2:$X$1001,MATCH(ROWS($V$2:V795),$V$2:$V$1001,0),0), INDEX($AC$1004:$AS$1004,1,MATCH(COLUMNS($AC$1006:AS1006),$AC$1006:$AS$1006,0)))),"Fix")))</f>
        <v xml:space="preserve"> </v>
      </c>
      <c r="V795">
        <v>794</v>
      </c>
      <c r="W795">
        <v>100795</v>
      </c>
      <c r="X795">
        <v>795</v>
      </c>
      <c r="Y795" t="b">
        <f t="shared" si="12"/>
        <v>1</v>
      </c>
      <c r="Z795" t="b">
        <f>COUNTBLANK(metadata!B795:R795)=COLUMNS(metadata!B795:R795)</f>
        <v>1</v>
      </c>
      <c r="AA795" t="str">
        <v/>
      </c>
      <c r="AC795" t="b">
        <f ca="1"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AD795" t="b">
        <f>IF(metadata!C795="",FALSE,ISNUMBER(VALUE(metadata!C795)))</f>
        <v>0</v>
      </c>
      <c r="AE795" t="b">
        <f>AND(IF(metadata!D795="",FALSE,TRUE),EXACT(metadata!D795,"years"))</f>
        <v>0</v>
      </c>
      <c r="AF795" t="b">
        <f>OR(AND(IF(metadata!E795="",FALSE,TRUE),OR(EXACT(metadata!E795,"not applicable"),EXACT(metadata!E795,"missing: not collected"),EXACT(metadata!E795,"missing: not provided"),EXACT(metadata!E795,"missing: restricted access"))),AND(IF(metadata!E795="",FALSE,ISNUMBER(VALUE(metadata!E795))),metadata!E795&gt;0))</f>
        <v>0</v>
      </c>
      <c r="AG795" t="b">
        <f>AND(IF(metadata!F795="",FALSE,TRUE),EXACT(metadata!F795,"Not applicable"))</f>
        <v>0</v>
      </c>
      <c r="AH795" t="b">
        <f>AND(IF(metadata!G795="",FALSE,TRUE),EXACT(metadata!G795,"urban biome"))</f>
        <v>0</v>
      </c>
      <c r="AI795" t="b">
        <f>AND(IF(metadata!H795="",FALSE,TRUE),EXACT(metadata!H795,"human-associated habitat"))</f>
        <v>0</v>
      </c>
      <c r="AJ795" t="b">
        <f>AND(IF(metadata!I795="",FALSE,TRUE),OR(EXACT(metadata!I795,"human-associated"),EXACT(metadata!I795,"human-skin"),EXACT(metadata!I795,"human-oral"),EXACT(metadata!I795,"human-gut"),EXACT(metadata!I795,"human-vaginal")))</f>
        <v>0</v>
      </c>
      <c r="AK795" t="b">
        <f>IF(metadata!J795="",FALSE,ISNUMBER(VALUE(metadata!J795)))</f>
        <v>0</v>
      </c>
      <c r="AL795" t="b">
        <f>AND(IF(metadata!K795="",FALSE,TRUE),EXACT(metadata!K795,"cm"))</f>
        <v>0</v>
      </c>
      <c r="AM795" t="b">
        <f>AND(IF(metadata!L795="",FALSE,TRUE),EXACT(metadata!L795,"human"))</f>
        <v>0</v>
      </c>
      <c r="AN795" t="b">
        <f>AND(IF(metadata!M795="",FALSE,TRUE),EXACT(metadata!M795,"Homo sapiens"))</f>
        <v>0</v>
      </c>
      <c r="AO795" t="b">
        <f>AND(IF(metadata!N795="",FALSE,TRUE),EXACT(metadata!N795,"9606"))</f>
        <v>0</v>
      </c>
      <c r="AP795" t="b">
        <f>IF(metadata!O795="",FALSE,TRUE)</f>
        <v>0</v>
      </c>
      <c r="AQ795" t="b">
        <f>IF(metadata!P795="",FALSE,TRUE)</f>
        <v>0</v>
      </c>
      <c r="AR795" t="b">
        <f>IF(metadata!Q795="",FALSE,ISNUMBER(VALUE(metadata!Q795)))</f>
        <v>0</v>
      </c>
      <c r="AS795" t="b">
        <f>AND(IF(metadata!R795="",FALSE,TRUE),EXACT(metadata!R795,"kg"))</f>
        <v>0</v>
      </c>
    </row>
    <row r="796" spans="1:45" x14ac:dyDescent="0.2">
      <c r="A796" s="5" t="str">
        <f ca="1">IF(B796=" "," ",HYPERLINK(CONCATENATE("#metadata!",ADDRESS(INDEX($X$2:$X$1001,MATCH(ROWS($V$2:V796),$V$2:$V$1001,0),0),1)),INDEX($AA$2:$AA$1001,MATCH(ROWS($V$2:V796),$V$2:$V$1001,0),0)))</f>
        <v xml:space="preserve"> </v>
      </c>
      <c r="B796" s="4" t="str">
        <f ca="1">IF(OR(INDEX($W$2:$W$1001,MATCH(ROWS($V$2:V796),$V$2:$V$1001,0),1)&gt;=100000,INDEX($AC$1005:$AS$1005,1,MATCH(COLUMNS($AC$1006:AC1006),$AC$1006:$AS$1006,0))&gt;=100000), " ",IF(INDEX($AC$2:$AS$1001,MATCH(ROWS($V$2:V796),$V$2:$V$1001,0),MATCH(COLUMNS($AC$1006:AC1006),$AC$1006:$AS$1006,0)), HYPERLINK("#",""), HYPERLINK(CONCATENATE("#metadata!", ADDRESS(INDEX($X$2:$X$1001,MATCH(ROWS($V$2:V796),$V$2:$V$1001,0),0), INDEX($AC$1004:$AS$1004,1,MATCH(COLUMNS($AC$1006:AC1006),$AC$1006:$AS$1006,0)))),"Fix")))</f>
        <v xml:space="preserve"> </v>
      </c>
      <c r="C796" s="4" t="str">
        <f ca="1">IF(OR(INDEX($W$2:$W$1001,MATCH(ROWS($V$2:V796),$V$2:$V$1001,0),1)&gt;=100000,INDEX($AC$1005:$AS$1005,1,MATCH(COLUMNS($AC$1006:AD1006),$AC$1006:$AS$1006,0))&gt;=100000), " ",IF(INDEX($AC$2:$AS$1001,MATCH(ROWS($V$2:V796),$V$2:$V$1001,0),MATCH(COLUMNS($AC$1006:AD1006),$AC$1006:$AS$1006,0)), HYPERLINK("#",""), HYPERLINK(CONCATENATE("#metadata!", ADDRESS(INDEX($X$2:$X$1001,MATCH(ROWS($V$2:V796),$V$2:$V$1001,0),0), INDEX($AC$1004:$AS$1004,1,MATCH(COLUMNS($AC$1006:AD1006),$AC$1006:$AS$1006,0)))),"Fix")))</f>
        <v xml:space="preserve"> </v>
      </c>
      <c r="D796" s="4" t="str">
        <f ca="1">IF(OR(INDEX($W$2:$W$1001,MATCH(ROWS($V$2:V796),$V$2:$V$1001,0),1)&gt;=100000,INDEX($AC$1005:$AS$1005,1,MATCH(COLUMNS($AC$1006:AE1006),$AC$1006:$AS$1006,0))&gt;=100000), " ",IF(INDEX($AC$2:$AS$1001,MATCH(ROWS($V$2:V796),$V$2:$V$1001,0),MATCH(COLUMNS($AC$1006:AE1006),$AC$1006:$AS$1006,0)), HYPERLINK("#",""), HYPERLINK(CONCATENATE("#metadata!", ADDRESS(INDEX($X$2:$X$1001,MATCH(ROWS($V$2:V796),$V$2:$V$1001,0),0), INDEX($AC$1004:$AS$1004,1,MATCH(COLUMNS($AC$1006:AE1006),$AC$1006:$AS$1006,0)))),"Fix")))</f>
        <v xml:space="preserve"> </v>
      </c>
      <c r="E796" s="4" t="str">
        <f ca="1">IF(OR(INDEX($W$2:$W$1001,MATCH(ROWS($V$2:V796),$V$2:$V$1001,0),1)&gt;=100000,INDEX($AC$1005:$AS$1005,1,MATCH(COLUMNS($AC$1006:AF1006),$AC$1006:$AS$1006,0))&gt;=100000), " ",IF(INDEX($AC$2:$AS$1001,MATCH(ROWS($V$2:V796),$V$2:$V$1001,0),MATCH(COLUMNS($AC$1006:AF1006),$AC$1006:$AS$1006,0)), HYPERLINK("#",""), HYPERLINK(CONCATENATE("#metadata!", ADDRESS(INDEX($X$2:$X$1001,MATCH(ROWS($V$2:V796),$V$2:$V$1001,0),0), INDEX($AC$1004:$AS$1004,1,MATCH(COLUMNS($AC$1006:AF1006),$AC$1006:$AS$1006,0)))),"Fix")))</f>
        <v xml:space="preserve"> </v>
      </c>
      <c r="F796" s="4" t="str">
        <f ca="1">IF(OR(INDEX($W$2:$W$1001,MATCH(ROWS($V$2:V796),$V$2:$V$1001,0),1)&gt;=100000,INDEX($AC$1005:$AS$1005,1,MATCH(COLUMNS($AC$1006:AG1006),$AC$1006:$AS$1006,0))&gt;=100000), " ",IF(INDEX($AC$2:$AS$1001,MATCH(ROWS($V$2:V796),$V$2:$V$1001,0),MATCH(COLUMNS($AC$1006:AG1006),$AC$1006:$AS$1006,0)), HYPERLINK("#",""), HYPERLINK(CONCATENATE("#metadata!", ADDRESS(INDEX($X$2:$X$1001,MATCH(ROWS($V$2:V796),$V$2:$V$1001,0),0), INDEX($AC$1004:$AS$1004,1,MATCH(COLUMNS($AC$1006:AG1006),$AC$1006:$AS$1006,0)))),"Fix")))</f>
        <v xml:space="preserve"> </v>
      </c>
      <c r="G796" s="4" t="str">
        <f ca="1">IF(OR(INDEX($W$2:$W$1001,MATCH(ROWS($V$2:V796),$V$2:$V$1001,0),1)&gt;=100000,INDEX($AC$1005:$AS$1005,1,MATCH(COLUMNS($AC$1006:AH1006),$AC$1006:$AS$1006,0))&gt;=100000), " ",IF(INDEX($AC$2:$AS$1001,MATCH(ROWS($V$2:V796),$V$2:$V$1001,0),MATCH(COLUMNS($AC$1006:AH1006),$AC$1006:$AS$1006,0)), HYPERLINK("#",""), HYPERLINK(CONCATENATE("#metadata!", ADDRESS(INDEX($X$2:$X$1001,MATCH(ROWS($V$2:V796),$V$2:$V$1001,0),0), INDEX($AC$1004:$AS$1004,1,MATCH(COLUMNS($AC$1006:AH1006),$AC$1006:$AS$1006,0)))),"Fix")))</f>
        <v xml:space="preserve"> </v>
      </c>
      <c r="H796" s="4" t="str">
        <f ca="1">IF(OR(INDEX($W$2:$W$1001,MATCH(ROWS($V$2:V796),$V$2:$V$1001,0),1)&gt;=100000,INDEX($AC$1005:$AS$1005,1,MATCH(COLUMNS($AC$1006:AI1006),$AC$1006:$AS$1006,0))&gt;=100000), " ",IF(INDEX($AC$2:$AS$1001,MATCH(ROWS($V$2:V796),$V$2:$V$1001,0),MATCH(COLUMNS($AC$1006:AI1006),$AC$1006:$AS$1006,0)), HYPERLINK("#",""), HYPERLINK(CONCATENATE("#metadata!", ADDRESS(INDEX($X$2:$X$1001,MATCH(ROWS($V$2:V796),$V$2:$V$1001,0),0), INDEX($AC$1004:$AS$1004,1,MATCH(COLUMNS($AC$1006:AI1006),$AC$1006:$AS$1006,0)))),"Fix")))</f>
        <v xml:space="preserve"> </v>
      </c>
      <c r="I796" s="4" t="str">
        <f ca="1">IF(OR(INDEX($W$2:$W$1001,MATCH(ROWS($V$2:V796),$V$2:$V$1001,0),1)&gt;=100000,INDEX($AC$1005:$AS$1005,1,MATCH(COLUMNS($AC$1006:AJ1006),$AC$1006:$AS$1006,0))&gt;=100000), " ",IF(INDEX($AC$2:$AS$1001,MATCH(ROWS($V$2:V796),$V$2:$V$1001,0),MATCH(COLUMNS($AC$1006:AJ1006),$AC$1006:$AS$1006,0)), HYPERLINK("#",""), HYPERLINK(CONCATENATE("#metadata!", ADDRESS(INDEX($X$2:$X$1001,MATCH(ROWS($V$2:V796),$V$2:$V$1001,0),0), INDEX($AC$1004:$AS$1004,1,MATCH(COLUMNS($AC$1006:AJ1006),$AC$1006:$AS$1006,0)))),"Fix")))</f>
        <v xml:space="preserve"> </v>
      </c>
      <c r="J796" s="4" t="str">
        <f ca="1">IF(OR(INDEX($W$2:$W$1001,MATCH(ROWS($V$2:V796),$V$2:$V$1001,0),1)&gt;=100000,INDEX($AC$1005:$AS$1005,1,MATCH(COLUMNS($AC$1006:AK1006),$AC$1006:$AS$1006,0))&gt;=100000), " ",IF(INDEX($AC$2:$AS$1001,MATCH(ROWS($V$2:V796),$V$2:$V$1001,0),MATCH(COLUMNS($AC$1006:AK1006),$AC$1006:$AS$1006,0)), HYPERLINK("#",""), HYPERLINK(CONCATENATE("#metadata!", ADDRESS(INDEX($X$2:$X$1001,MATCH(ROWS($V$2:V796),$V$2:$V$1001,0),0), INDEX($AC$1004:$AS$1004,1,MATCH(COLUMNS($AC$1006:AK1006),$AC$1006:$AS$1006,0)))),"Fix")))</f>
        <v xml:space="preserve"> </v>
      </c>
      <c r="K796" s="4" t="str">
        <f ca="1">IF(OR(INDEX($W$2:$W$1001,MATCH(ROWS($V$2:V796),$V$2:$V$1001,0),1)&gt;=100000,INDEX($AC$1005:$AS$1005,1,MATCH(COLUMNS($AC$1006:AL1006),$AC$1006:$AS$1006,0))&gt;=100000), " ",IF(INDEX($AC$2:$AS$1001,MATCH(ROWS($V$2:V796),$V$2:$V$1001,0),MATCH(COLUMNS($AC$1006:AL1006),$AC$1006:$AS$1006,0)), HYPERLINK("#",""), HYPERLINK(CONCATENATE("#metadata!", ADDRESS(INDEX($X$2:$X$1001,MATCH(ROWS($V$2:V796),$V$2:$V$1001,0),0), INDEX($AC$1004:$AS$1004,1,MATCH(COLUMNS($AC$1006:AL1006),$AC$1006:$AS$1006,0)))),"Fix")))</f>
        <v xml:space="preserve"> </v>
      </c>
      <c r="L796" s="4" t="str">
        <f ca="1">IF(OR(INDEX($W$2:$W$1001,MATCH(ROWS($V$2:V796),$V$2:$V$1001,0),1)&gt;=100000,INDEX($AC$1005:$AS$1005,1,MATCH(COLUMNS($AC$1006:AM1006),$AC$1006:$AS$1006,0))&gt;=100000), " ",IF(INDEX($AC$2:$AS$1001,MATCH(ROWS($V$2:V796),$V$2:$V$1001,0),MATCH(COLUMNS($AC$1006:AM1006),$AC$1006:$AS$1006,0)), HYPERLINK("#",""), HYPERLINK(CONCATENATE("#metadata!", ADDRESS(INDEX($X$2:$X$1001,MATCH(ROWS($V$2:V796),$V$2:$V$1001,0),0), INDEX($AC$1004:$AS$1004,1,MATCH(COLUMNS($AC$1006:AM1006),$AC$1006:$AS$1006,0)))),"Fix")))</f>
        <v xml:space="preserve"> </v>
      </c>
      <c r="M796" s="4" t="str">
        <f ca="1">IF(OR(INDEX($W$2:$W$1001,MATCH(ROWS($V$2:V796),$V$2:$V$1001,0),1)&gt;=100000,INDEX($AC$1005:$AS$1005,1,MATCH(COLUMNS($AC$1006:AN1006),$AC$1006:$AS$1006,0))&gt;=100000), " ",IF(INDEX($AC$2:$AS$1001,MATCH(ROWS($V$2:V796),$V$2:$V$1001,0),MATCH(COLUMNS($AC$1006:AN1006),$AC$1006:$AS$1006,0)), HYPERLINK("#",""), HYPERLINK(CONCATENATE("#metadata!", ADDRESS(INDEX($X$2:$X$1001,MATCH(ROWS($V$2:V796),$V$2:$V$1001,0),0), INDEX($AC$1004:$AS$1004,1,MATCH(COLUMNS($AC$1006:AN1006),$AC$1006:$AS$1006,0)))),"Fix")))</f>
        <v xml:space="preserve"> </v>
      </c>
      <c r="N796" s="4" t="str">
        <f ca="1">IF(OR(INDEX($W$2:$W$1001,MATCH(ROWS($V$2:V796),$V$2:$V$1001,0),1)&gt;=100000,INDEX($AC$1005:$AS$1005,1,MATCH(COLUMNS($AC$1006:AO1006),$AC$1006:$AS$1006,0))&gt;=100000), " ",IF(INDEX($AC$2:$AS$1001,MATCH(ROWS($V$2:V796),$V$2:$V$1001,0),MATCH(COLUMNS($AC$1006:AO1006),$AC$1006:$AS$1006,0)), HYPERLINK("#",""), HYPERLINK(CONCATENATE("#metadata!", ADDRESS(INDEX($X$2:$X$1001,MATCH(ROWS($V$2:V796),$V$2:$V$1001,0),0), INDEX($AC$1004:$AS$1004,1,MATCH(COLUMNS($AC$1006:AO1006),$AC$1006:$AS$1006,0)))),"Fix")))</f>
        <v xml:space="preserve"> </v>
      </c>
      <c r="O796" s="4" t="str">
        <f ca="1">IF(OR(INDEX($W$2:$W$1001,MATCH(ROWS($V$2:V796),$V$2:$V$1001,0),1)&gt;=100000,INDEX($AC$1005:$AS$1005,1,MATCH(COLUMNS($AC$1006:AP1006),$AC$1006:$AS$1006,0))&gt;=100000), " ",IF(INDEX($AC$2:$AS$1001,MATCH(ROWS($V$2:V796),$V$2:$V$1001,0),MATCH(COLUMNS($AC$1006:AP1006),$AC$1006:$AS$1006,0)), HYPERLINK("#",""), HYPERLINK(CONCATENATE("#metadata!", ADDRESS(INDEX($X$2:$X$1001,MATCH(ROWS($V$2:V796),$V$2:$V$1001,0),0), INDEX($AC$1004:$AS$1004,1,MATCH(COLUMNS($AC$1006:AP1006),$AC$1006:$AS$1006,0)))),"Fix")))</f>
        <v xml:space="preserve"> </v>
      </c>
      <c r="P796" s="4" t="str">
        <f ca="1">IF(OR(INDEX($W$2:$W$1001,MATCH(ROWS($V$2:V796),$V$2:$V$1001,0),1)&gt;=100000,INDEX($AC$1005:$AS$1005,1,MATCH(COLUMNS($AC$1006:AQ1006),$AC$1006:$AS$1006,0))&gt;=100000), " ",IF(INDEX($AC$2:$AS$1001,MATCH(ROWS($V$2:V796),$V$2:$V$1001,0),MATCH(COLUMNS($AC$1006:AQ1006),$AC$1006:$AS$1006,0)), HYPERLINK("#",""), HYPERLINK(CONCATENATE("#metadata!", ADDRESS(INDEX($X$2:$X$1001,MATCH(ROWS($V$2:V796),$V$2:$V$1001,0),0), INDEX($AC$1004:$AS$1004,1,MATCH(COLUMNS($AC$1006:AQ1006),$AC$1006:$AS$1006,0)))),"Fix")))</f>
        <v xml:space="preserve"> </v>
      </c>
      <c r="Q796" s="4" t="str">
        <f ca="1">IF(OR(INDEX($W$2:$W$1001,MATCH(ROWS($V$2:V796),$V$2:$V$1001,0),1)&gt;=100000,INDEX($AC$1005:$AS$1005,1,MATCH(COLUMNS($AC$1006:AR1006),$AC$1006:$AS$1006,0))&gt;=100000), " ",IF(INDEX($AC$2:$AS$1001,MATCH(ROWS($V$2:V796),$V$2:$V$1001,0),MATCH(COLUMNS($AC$1006:AR1006),$AC$1006:$AS$1006,0)), HYPERLINK("#",""), HYPERLINK(CONCATENATE("#metadata!", ADDRESS(INDEX($X$2:$X$1001,MATCH(ROWS($V$2:V796),$V$2:$V$1001,0),0), INDEX($AC$1004:$AS$1004,1,MATCH(COLUMNS($AC$1006:AR1006),$AC$1006:$AS$1006,0)))),"Fix")))</f>
        <v xml:space="preserve"> </v>
      </c>
      <c r="R796" s="4" t="str">
        <f ca="1">IF(OR(INDEX($W$2:$W$1001,MATCH(ROWS($V$2:V796),$V$2:$V$1001,0),1)&gt;=100000,INDEX($AC$1005:$AS$1005,1,MATCH(COLUMNS($AC$1006:AS1006),$AC$1006:$AS$1006,0))&gt;=100000), " ",IF(INDEX($AC$2:$AS$1001,MATCH(ROWS($V$2:V796),$V$2:$V$1001,0),MATCH(COLUMNS($AC$1006:AS1006),$AC$1006:$AS$1006,0)), HYPERLINK("#",""), HYPERLINK(CONCATENATE("#metadata!", ADDRESS(INDEX($X$2:$X$1001,MATCH(ROWS($V$2:V796),$V$2:$V$1001,0),0), INDEX($AC$1004:$AS$1004,1,MATCH(COLUMNS($AC$1006:AS1006),$AC$1006:$AS$1006,0)))),"Fix")))</f>
        <v xml:space="preserve"> </v>
      </c>
      <c r="V796">
        <v>795</v>
      </c>
      <c r="W796">
        <v>100796</v>
      </c>
      <c r="X796">
        <v>796</v>
      </c>
      <c r="Y796" t="b">
        <f t="shared" si="12"/>
        <v>1</v>
      </c>
      <c r="Z796" t="b">
        <f>COUNTBLANK(metadata!B796:R796)=COLUMNS(metadata!B796:R796)</f>
        <v>1</v>
      </c>
      <c r="AA796" t="str">
        <v/>
      </c>
      <c r="AC796" t="b">
        <f ca="1"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AD796" t="b">
        <f>IF(metadata!C796="",FALSE,ISNUMBER(VALUE(metadata!C796)))</f>
        <v>0</v>
      </c>
      <c r="AE796" t="b">
        <f>AND(IF(metadata!D796="",FALSE,TRUE),EXACT(metadata!D796,"years"))</f>
        <v>0</v>
      </c>
      <c r="AF796" t="b">
        <f>OR(AND(IF(metadata!E796="",FALSE,TRUE),OR(EXACT(metadata!E796,"not applicable"),EXACT(metadata!E796,"missing: not collected"),EXACT(metadata!E796,"missing: not provided"),EXACT(metadata!E796,"missing: restricted access"))),AND(IF(metadata!E796="",FALSE,ISNUMBER(VALUE(metadata!E796))),metadata!E796&gt;0))</f>
        <v>0</v>
      </c>
      <c r="AG796" t="b">
        <f>AND(IF(metadata!F796="",FALSE,TRUE),EXACT(metadata!F796,"Not applicable"))</f>
        <v>0</v>
      </c>
      <c r="AH796" t="b">
        <f>AND(IF(metadata!G796="",FALSE,TRUE),EXACT(metadata!G796,"urban biome"))</f>
        <v>0</v>
      </c>
      <c r="AI796" t="b">
        <f>AND(IF(metadata!H796="",FALSE,TRUE),EXACT(metadata!H796,"human-associated habitat"))</f>
        <v>0</v>
      </c>
      <c r="AJ796" t="b">
        <f>AND(IF(metadata!I796="",FALSE,TRUE),OR(EXACT(metadata!I796,"human-associated"),EXACT(metadata!I796,"human-skin"),EXACT(metadata!I796,"human-oral"),EXACT(metadata!I796,"human-gut"),EXACT(metadata!I796,"human-vaginal")))</f>
        <v>0</v>
      </c>
      <c r="AK796" t="b">
        <f>IF(metadata!J796="",FALSE,ISNUMBER(VALUE(metadata!J796)))</f>
        <v>0</v>
      </c>
      <c r="AL796" t="b">
        <f>AND(IF(metadata!K796="",FALSE,TRUE),EXACT(metadata!K796,"cm"))</f>
        <v>0</v>
      </c>
      <c r="AM796" t="b">
        <f>AND(IF(metadata!L796="",FALSE,TRUE),EXACT(metadata!L796,"human"))</f>
        <v>0</v>
      </c>
      <c r="AN796" t="b">
        <f>AND(IF(metadata!M796="",FALSE,TRUE),EXACT(metadata!M796,"Homo sapiens"))</f>
        <v>0</v>
      </c>
      <c r="AO796" t="b">
        <f>AND(IF(metadata!N796="",FALSE,TRUE),EXACT(metadata!N796,"9606"))</f>
        <v>0</v>
      </c>
      <c r="AP796" t="b">
        <f>IF(metadata!O796="",FALSE,TRUE)</f>
        <v>0</v>
      </c>
      <c r="AQ796" t="b">
        <f>IF(metadata!P796="",FALSE,TRUE)</f>
        <v>0</v>
      </c>
      <c r="AR796" t="b">
        <f>IF(metadata!Q796="",FALSE,ISNUMBER(VALUE(metadata!Q796)))</f>
        <v>0</v>
      </c>
      <c r="AS796" t="b">
        <f>AND(IF(metadata!R796="",FALSE,TRUE),EXACT(metadata!R796,"kg"))</f>
        <v>0</v>
      </c>
    </row>
    <row r="797" spans="1:45" x14ac:dyDescent="0.2">
      <c r="A797" s="5" t="str">
        <f ca="1">IF(B797=" "," ",HYPERLINK(CONCATENATE("#metadata!",ADDRESS(INDEX($X$2:$X$1001,MATCH(ROWS($V$2:V797),$V$2:$V$1001,0),0),1)),INDEX($AA$2:$AA$1001,MATCH(ROWS($V$2:V797),$V$2:$V$1001,0),0)))</f>
        <v xml:space="preserve"> </v>
      </c>
      <c r="B797" s="4" t="str">
        <f ca="1">IF(OR(INDEX($W$2:$W$1001,MATCH(ROWS($V$2:V797),$V$2:$V$1001,0),1)&gt;=100000,INDEX($AC$1005:$AS$1005,1,MATCH(COLUMNS($AC$1006:AC1006),$AC$1006:$AS$1006,0))&gt;=100000), " ",IF(INDEX($AC$2:$AS$1001,MATCH(ROWS($V$2:V797),$V$2:$V$1001,0),MATCH(COLUMNS($AC$1006:AC1006),$AC$1006:$AS$1006,0)), HYPERLINK("#",""), HYPERLINK(CONCATENATE("#metadata!", ADDRESS(INDEX($X$2:$X$1001,MATCH(ROWS($V$2:V797),$V$2:$V$1001,0),0), INDEX($AC$1004:$AS$1004,1,MATCH(COLUMNS($AC$1006:AC1006),$AC$1006:$AS$1006,0)))),"Fix")))</f>
        <v xml:space="preserve"> </v>
      </c>
      <c r="C797" s="4" t="str">
        <f ca="1">IF(OR(INDEX($W$2:$W$1001,MATCH(ROWS($V$2:V797),$V$2:$V$1001,0),1)&gt;=100000,INDEX($AC$1005:$AS$1005,1,MATCH(COLUMNS($AC$1006:AD1006),$AC$1006:$AS$1006,0))&gt;=100000), " ",IF(INDEX($AC$2:$AS$1001,MATCH(ROWS($V$2:V797),$V$2:$V$1001,0),MATCH(COLUMNS($AC$1006:AD1006),$AC$1006:$AS$1006,0)), HYPERLINK("#",""), HYPERLINK(CONCATENATE("#metadata!", ADDRESS(INDEX($X$2:$X$1001,MATCH(ROWS($V$2:V797),$V$2:$V$1001,0),0), INDEX($AC$1004:$AS$1004,1,MATCH(COLUMNS($AC$1006:AD1006),$AC$1006:$AS$1006,0)))),"Fix")))</f>
        <v xml:space="preserve"> </v>
      </c>
      <c r="D797" s="4" t="str">
        <f ca="1">IF(OR(INDEX($W$2:$W$1001,MATCH(ROWS($V$2:V797),$V$2:$V$1001,0),1)&gt;=100000,INDEX($AC$1005:$AS$1005,1,MATCH(COLUMNS($AC$1006:AE1006),$AC$1006:$AS$1006,0))&gt;=100000), " ",IF(INDEX($AC$2:$AS$1001,MATCH(ROWS($V$2:V797),$V$2:$V$1001,0),MATCH(COLUMNS($AC$1006:AE1006),$AC$1006:$AS$1006,0)), HYPERLINK("#",""), HYPERLINK(CONCATENATE("#metadata!", ADDRESS(INDEX($X$2:$X$1001,MATCH(ROWS($V$2:V797),$V$2:$V$1001,0),0), INDEX($AC$1004:$AS$1004,1,MATCH(COLUMNS($AC$1006:AE1006),$AC$1006:$AS$1006,0)))),"Fix")))</f>
        <v xml:space="preserve"> </v>
      </c>
      <c r="E797" s="4" t="str">
        <f ca="1">IF(OR(INDEX($W$2:$W$1001,MATCH(ROWS($V$2:V797),$V$2:$V$1001,0),1)&gt;=100000,INDEX($AC$1005:$AS$1005,1,MATCH(COLUMNS($AC$1006:AF1006),$AC$1006:$AS$1006,0))&gt;=100000), " ",IF(INDEX($AC$2:$AS$1001,MATCH(ROWS($V$2:V797),$V$2:$V$1001,0),MATCH(COLUMNS($AC$1006:AF1006),$AC$1006:$AS$1006,0)), HYPERLINK("#",""), HYPERLINK(CONCATENATE("#metadata!", ADDRESS(INDEX($X$2:$X$1001,MATCH(ROWS($V$2:V797),$V$2:$V$1001,0),0), INDEX($AC$1004:$AS$1004,1,MATCH(COLUMNS($AC$1006:AF1006),$AC$1006:$AS$1006,0)))),"Fix")))</f>
        <v xml:space="preserve"> </v>
      </c>
      <c r="F797" s="4" t="str">
        <f ca="1">IF(OR(INDEX($W$2:$W$1001,MATCH(ROWS($V$2:V797),$V$2:$V$1001,0),1)&gt;=100000,INDEX($AC$1005:$AS$1005,1,MATCH(COLUMNS($AC$1006:AG1006),$AC$1006:$AS$1006,0))&gt;=100000), " ",IF(INDEX($AC$2:$AS$1001,MATCH(ROWS($V$2:V797),$V$2:$V$1001,0),MATCH(COLUMNS($AC$1006:AG1006),$AC$1006:$AS$1006,0)), HYPERLINK("#",""), HYPERLINK(CONCATENATE("#metadata!", ADDRESS(INDEX($X$2:$X$1001,MATCH(ROWS($V$2:V797),$V$2:$V$1001,0),0), INDEX($AC$1004:$AS$1004,1,MATCH(COLUMNS($AC$1006:AG1006),$AC$1006:$AS$1006,0)))),"Fix")))</f>
        <v xml:space="preserve"> </v>
      </c>
      <c r="G797" s="4" t="str">
        <f ca="1">IF(OR(INDEX($W$2:$W$1001,MATCH(ROWS($V$2:V797),$V$2:$V$1001,0),1)&gt;=100000,INDEX($AC$1005:$AS$1005,1,MATCH(COLUMNS($AC$1006:AH1006),$AC$1006:$AS$1006,0))&gt;=100000), " ",IF(INDEX($AC$2:$AS$1001,MATCH(ROWS($V$2:V797),$V$2:$V$1001,0),MATCH(COLUMNS($AC$1006:AH1006),$AC$1006:$AS$1006,0)), HYPERLINK("#",""), HYPERLINK(CONCATENATE("#metadata!", ADDRESS(INDEX($X$2:$X$1001,MATCH(ROWS($V$2:V797),$V$2:$V$1001,0),0), INDEX($AC$1004:$AS$1004,1,MATCH(COLUMNS($AC$1006:AH1006),$AC$1006:$AS$1006,0)))),"Fix")))</f>
        <v xml:space="preserve"> </v>
      </c>
      <c r="H797" s="4" t="str">
        <f ca="1">IF(OR(INDEX($W$2:$W$1001,MATCH(ROWS($V$2:V797),$V$2:$V$1001,0),1)&gt;=100000,INDEX($AC$1005:$AS$1005,1,MATCH(COLUMNS($AC$1006:AI1006),$AC$1006:$AS$1006,0))&gt;=100000), " ",IF(INDEX($AC$2:$AS$1001,MATCH(ROWS($V$2:V797),$V$2:$V$1001,0),MATCH(COLUMNS($AC$1006:AI1006),$AC$1006:$AS$1006,0)), HYPERLINK("#",""), HYPERLINK(CONCATENATE("#metadata!", ADDRESS(INDEX($X$2:$X$1001,MATCH(ROWS($V$2:V797),$V$2:$V$1001,0),0), INDEX($AC$1004:$AS$1004,1,MATCH(COLUMNS($AC$1006:AI1006),$AC$1006:$AS$1006,0)))),"Fix")))</f>
        <v xml:space="preserve"> </v>
      </c>
      <c r="I797" s="4" t="str">
        <f ca="1">IF(OR(INDEX($W$2:$W$1001,MATCH(ROWS($V$2:V797),$V$2:$V$1001,0),1)&gt;=100000,INDEX($AC$1005:$AS$1005,1,MATCH(COLUMNS($AC$1006:AJ1006),$AC$1006:$AS$1006,0))&gt;=100000), " ",IF(INDEX($AC$2:$AS$1001,MATCH(ROWS($V$2:V797),$V$2:$V$1001,0),MATCH(COLUMNS($AC$1006:AJ1006),$AC$1006:$AS$1006,0)), HYPERLINK("#",""), HYPERLINK(CONCATENATE("#metadata!", ADDRESS(INDEX($X$2:$X$1001,MATCH(ROWS($V$2:V797),$V$2:$V$1001,0),0), INDEX($AC$1004:$AS$1004,1,MATCH(COLUMNS($AC$1006:AJ1006),$AC$1006:$AS$1006,0)))),"Fix")))</f>
        <v xml:space="preserve"> </v>
      </c>
      <c r="J797" s="4" t="str">
        <f ca="1">IF(OR(INDEX($W$2:$W$1001,MATCH(ROWS($V$2:V797),$V$2:$V$1001,0),1)&gt;=100000,INDEX($AC$1005:$AS$1005,1,MATCH(COLUMNS($AC$1006:AK1006),$AC$1006:$AS$1006,0))&gt;=100000), " ",IF(INDEX($AC$2:$AS$1001,MATCH(ROWS($V$2:V797),$V$2:$V$1001,0),MATCH(COLUMNS($AC$1006:AK1006),$AC$1006:$AS$1006,0)), HYPERLINK("#",""), HYPERLINK(CONCATENATE("#metadata!", ADDRESS(INDEX($X$2:$X$1001,MATCH(ROWS($V$2:V797),$V$2:$V$1001,0),0), INDEX($AC$1004:$AS$1004,1,MATCH(COLUMNS($AC$1006:AK1006),$AC$1006:$AS$1006,0)))),"Fix")))</f>
        <v xml:space="preserve"> </v>
      </c>
      <c r="K797" s="4" t="str">
        <f ca="1">IF(OR(INDEX($W$2:$W$1001,MATCH(ROWS($V$2:V797),$V$2:$V$1001,0),1)&gt;=100000,INDEX($AC$1005:$AS$1005,1,MATCH(COLUMNS($AC$1006:AL1006),$AC$1006:$AS$1006,0))&gt;=100000), " ",IF(INDEX($AC$2:$AS$1001,MATCH(ROWS($V$2:V797),$V$2:$V$1001,0),MATCH(COLUMNS($AC$1006:AL1006),$AC$1006:$AS$1006,0)), HYPERLINK("#",""), HYPERLINK(CONCATENATE("#metadata!", ADDRESS(INDEX($X$2:$X$1001,MATCH(ROWS($V$2:V797),$V$2:$V$1001,0),0), INDEX($AC$1004:$AS$1004,1,MATCH(COLUMNS($AC$1006:AL1006),$AC$1006:$AS$1006,0)))),"Fix")))</f>
        <v xml:space="preserve"> </v>
      </c>
      <c r="L797" s="4" t="str">
        <f ca="1">IF(OR(INDEX($W$2:$W$1001,MATCH(ROWS($V$2:V797),$V$2:$V$1001,0),1)&gt;=100000,INDEX($AC$1005:$AS$1005,1,MATCH(COLUMNS($AC$1006:AM1006),$AC$1006:$AS$1006,0))&gt;=100000), " ",IF(INDEX($AC$2:$AS$1001,MATCH(ROWS($V$2:V797),$V$2:$V$1001,0),MATCH(COLUMNS($AC$1006:AM1006),$AC$1006:$AS$1006,0)), HYPERLINK("#",""), HYPERLINK(CONCATENATE("#metadata!", ADDRESS(INDEX($X$2:$X$1001,MATCH(ROWS($V$2:V797),$V$2:$V$1001,0),0), INDEX($AC$1004:$AS$1004,1,MATCH(COLUMNS($AC$1006:AM1006),$AC$1006:$AS$1006,0)))),"Fix")))</f>
        <v xml:space="preserve"> </v>
      </c>
      <c r="M797" s="4" t="str">
        <f ca="1">IF(OR(INDEX($W$2:$W$1001,MATCH(ROWS($V$2:V797),$V$2:$V$1001,0),1)&gt;=100000,INDEX($AC$1005:$AS$1005,1,MATCH(COLUMNS($AC$1006:AN1006),$AC$1006:$AS$1006,0))&gt;=100000), " ",IF(INDEX($AC$2:$AS$1001,MATCH(ROWS($V$2:V797),$V$2:$V$1001,0),MATCH(COLUMNS($AC$1006:AN1006),$AC$1006:$AS$1006,0)), HYPERLINK("#",""), HYPERLINK(CONCATENATE("#metadata!", ADDRESS(INDEX($X$2:$X$1001,MATCH(ROWS($V$2:V797),$V$2:$V$1001,0),0), INDEX($AC$1004:$AS$1004,1,MATCH(COLUMNS($AC$1006:AN1006),$AC$1006:$AS$1006,0)))),"Fix")))</f>
        <v xml:space="preserve"> </v>
      </c>
      <c r="N797" s="4" t="str">
        <f ca="1">IF(OR(INDEX($W$2:$W$1001,MATCH(ROWS($V$2:V797),$V$2:$V$1001,0),1)&gt;=100000,INDEX($AC$1005:$AS$1005,1,MATCH(COLUMNS($AC$1006:AO1006),$AC$1006:$AS$1006,0))&gt;=100000), " ",IF(INDEX($AC$2:$AS$1001,MATCH(ROWS($V$2:V797),$V$2:$V$1001,0),MATCH(COLUMNS($AC$1006:AO1006),$AC$1006:$AS$1006,0)), HYPERLINK("#",""), HYPERLINK(CONCATENATE("#metadata!", ADDRESS(INDEX($X$2:$X$1001,MATCH(ROWS($V$2:V797),$V$2:$V$1001,0),0), INDEX($AC$1004:$AS$1004,1,MATCH(COLUMNS($AC$1006:AO1006),$AC$1006:$AS$1006,0)))),"Fix")))</f>
        <v xml:space="preserve"> </v>
      </c>
      <c r="O797" s="4" t="str">
        <f ca="1">IF(OR(INDEX($W$2:$W$1001,MATCH(ROWS($V$2:V797),$V$2:$V$1001,0),1)&gt;=100000,INDEX($AC$1005:$AS$1005,1,MATCH(COLUMNS($AC$1006:AP1006),$AC$1006:$AS$1006,0))&gt;=100000), " ",IF(INDEX($AC$2:$AS$1001,MATCH(ROWS($V$2:V797),$V$2:$V$1001,0),MATCH(COLUMNS($AC$1006:AP1006),$AC$1006:$AS$1006,0)), HYPERLINK("#",""), HYPERLINK(CONCATENATE("#metadata!", ADDRESS(INDEX($X$2:$X$1001,MATCH(ROWS($V$2:V797),$V$2:$V$1001,0),0), INDEX($AC$1004:$AS$1004,1,MATCH(COLUMNS($AC$1006:AP1006),$AC$1006:$AS$1006,0)))),"Fix")))</f>
        <v xml:space="preserve"> </v>
      </c>
      <c r="P797" s="4" t="str">
        <f ca="1">IF(OR(INDEX($W$2:$W$1001,MATCH(ROWS($V$2:V797),$V$2:$V$1001,0),1)&gt;=100000,INDEX($AC$1005:$AS$1005,1,MATCH(COLUMNS($AC$1006:AQ1006),$AC$1006:$AS$1006,0))&gt;=100000), " ",IF(INDEX($AC$2:$AS$1001,MATCH(ROWS($V$2:V797),$V$2:$V$1001,0),MATCH(COLUMNS($AC$1006:AQ1006),$AC$1006:$AS$1006,0)), HYPERLINK("#",""), HYPERLINK(CONCATENATE("#metadata!", ADDRESS(INDEX($X$2:$X$1001,MATCH(ROWS($V$2:V797),$V$2:$V$1001,0),0), INDEX($AC$1004:$AS$1004,1,MATCH(COLUMNS($AC$1006:AQ1006),$AC$1006:$AS$1006,0)))),"Fix")))</f>
        <v xml:space="preserve"> </v>
      </c>
      <c r="Q797" s="4" t="str">
        <f ca="1">IF(OR(INDEX($W$2:$W$1001,MATCH(ROWS($V$2:V797),$V$2:$V$1001,0),1)&gt;=100000,INDEX($AC$1005:$AS$1005,1,MATCH(COLUMNS($AC$1006:AR1006),$AC$1006:$AS$1006,0))&gt;=100000), " ",IF(INDEX($AC$2:$AS$1001,MATCH(ROWS($V$2:V797),$V$2:$V$1001,0),MATCH(COLUMNS($AC$1006:AR1006),$AC$1006:$AS$1006,0)), HYPERLINK("#",""), HYPERLINK(CONCATENATE("#metadata!", ADDRESS(INDEX($X$2:$X$1001,MATCH(ROWS($V$2:V797),$V$2:$V$1001,0),0), INDEX($AC$1004:$AS$1004,1,MATCH(COLUMNS($AC$1006:AR1006),$AC$1006:$AS$1006,0)))),"Fix")))</f>
        <v xml:space="preserve"> </v>
      </c>
      <c r="R797" s="4" t="str">
        <f ca="1">IF(OR(INDEX($W$2:$W$1001,MATCH(ROWS($V$2:V797),$V$2:$V$1001,0),1)&gt;=100000,INDEX($AC$1005:$AS$1005,1,MATCH(COLUMNS($AC$1006:AS1006),$AC$1006:$AS$1006,0))&gt;=100000), " ",IF(INDEX($AC$2:$AS$1001,MATCH(ROWS($V$2:V797),$V$2:$V$1001,0),MATCH(COLUMNS($AC$1006:AS1006),$AC$1006:$AS$1006,0)), HYPERLINK("#",""), HYPERLINK(CONCATENATE("#metadata!", ADDRESS(INDEX($X$2:$X$1001,MATCH(ROWS($V$2:V797),$V$2:$V$1001,0),0), INDEX($AC$1004:$AS$1004,1,MATCH(COLUMNS($AC$1006:AS1006),$AC$1006:$AS$1006,0)))),"Fix")))</f>
        <v xml:space="preserve"> </v>
      </c>
      <c r="V797">
        <v>796</v>
      </c>
      <c r="W797">
        <v>100797</v>
      </c>
      <c r="X797">
        <v>797</v>
      </c>
      <c r="Y797" t="b">
        <f t="shared" si="12"/>
        <v>1</v>
      </c>
      <c r="Z797" t="b">
        <f>COUNTBLANK(metadata!B797:R797)=COLUMNS(metadata!B797:R797)</f>
        <v>1</v>
      </c>
      <c r="AA797" t="str">
        <v/>
      </c>
      <c r="AC797" t="b">
        <f ca="1"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AD797" t="b">
        <f>IF(metadata!C797="",FALSE,ISNUMBER(VALUE(metadata!C797)))</f>
        <v>0</v>
      </c>
      <c r="AE797" t="b">
        <f>AND(IF(metadata!D797="",FALSE,TRUE),EXACT(metadata!D797,"years"))</f>
        <v>0</v>
      </c>
      <c r="AF797" t="b">
        <f>OR(AND(IF(metadata!E797="",FALSE,TRUE),OR(EXACT(metadata!E797,"not applicable"),EXACT(metadata!E797,"missing: not collected"),EXACT(metadata!E797,"missing: not provided"),EXACT(metadata!E797,"missing: restricted access"))),AND(IF(metadata!E797="",FALSE,ISNUMBER(VALUE(metadata!E797))),metadata!E797&gt;0))</f>
        <v>0</v>
      </c>
      <c r="AG797" t="b">
        <f>AND(IF(metadata!F797="",FALSE,TRUE),EXACT(metadata!F797,"Not applicable"))</f>
        <v>0</v>
      </c>
      <c r="AH797" t="b">
        <f>AND(IF(metadata!G797="",FALSE,TRUE),EXACT(metadata!G797,"urban biome"))</f>
        <v>0</v>
      </c>
      <c r="AI797" t="b">
        <f>AND(IF(metadata!H797="",FALSE,TRUE),EXACT(metadata!H797,"human-associated habitat"))</f>
        <v>0</v>
      </c>
      <c r="AJ797" t="b">
        <f>AND(IF(metadata!I797="",FALSE,TRUE),OR(EXACT(metadata!I797,"human-associated"),EXACT(metadata!I797,"human-skin"),EXACT(metadata!I797,"human-oral"),EXACT(metadata!I797,"human-gut"),EXACT(metadata!I797,"human-vaginal")))</f>
        <v>0</v>
      </c>
      <c r="AK797" t="b">
        <f>IF(metadata!J797="",FALSE,ISNUMBER(VALUE(metadata!J797)))</f>
        <v>0</v>
      </c>
      <c r="AL797" t="b">
        <f>AND(IF(metadata!K797="",FALSE,TRUE),EXACT(metadata!K797,"cm"))</f>
        <v>0</v>
      </c>
      <c r="AM797" t="b">
        <f>AND(IF(metadata!L797="",FALSE,TRUE),EXACT(metadata!L797,"human"))</f>
        <v>0</v>
      </c>
      <c r="AN797" t="b">
        <f>AND(IF(metadata!M797="",FALSE,TRUE),EXACT(metadata!M797,"Homo sapiens"))</f>
        <v>0</v>
      </c>
      <c r="AO797" t="b">
        <f>AND(IF(metadata!N797="",FALSE,TRUE),EXACT(metadata!N797,"9606"))</f>
        <v>0</v>
      </c>
      <c r="AP797" t="b">
        <f>IF(metadata!O797="",FALSE,TRUE)</f>
        <v>0</v>
      </c>
      <c r="AQ797" t="b">
        <f>IF(metadata!P797="",FALSE,TRUE)</f>
        <v>0</v>
      </c>
      <c r="AR797" t="b">
        <f>IF(metadata!Q797="",FALSE,ISNUMBER(VALUE(metadata!Q797)))</f>
        <v>0</v>
      </c>
      <c r="AS797" t="b">
        <f>AND(IF(metadata!R797="",FALSE,TRUE),EXACT(metadata!R797,"kg"))</f>
        <v>0</v>
      </c>
    </row>
    <row r="798" spans="1:45" x14ac:dyDescent="0.2">
      <c r="A798" s="5" t="str">
        <f ca="1">IF(B798=" "," ",HYPERLINK(CONCATENATE("#metadata!",ADDRESS(INDEX($X$2:$X$1001,MATCH(ROWS($V$2:V798),$V$2:$V$1001,0),0),1)),INDEX($AA$2:$AA$1001,MATCH(ROWS($V$2:V798),$V$2:$V$1001,0),0)))</f>
        <v xml:space="preserve"> </v>
      </c>
      <c r="B798" s="4" t="str">
        <f ca="1">IF(OR(INDEX($W$2:$W$1001,MATCH(ROWS($V$2:V798),$V$2:$V$1001,0),1)&gt;=100000,INDEX($AC$1005:$AS$1005,1,MATCH(COLUMNS($AC$1006:AC1006),$AC$1006:$AS$1006,0))&gt;=100000), " ",IF(INDEX($AC$2:$AS$1001,MATCH(ROWS($V$2:V798),$V$2:$V$1001,0),MATCH(COLUMNS($AC$1006:AC1006),$AC$1006:$AS$1006,0)), HYPERLINK("#",""), HYPERLINK(CONCATENATE("#metadata!", ADDRESS(INDEX($X$2:$X$1001,MATCH(ROWS($V$2:V798),$V$2:$V$1001,0),0), INDEX($AC$1004:$AS$1004,1,MATCH(COLUMNS($AC$1006:AC1006),$AC$1006:$AS$1006,0)))),"Fix")))</f>
        <v xml:space="preserve"> </v>
      </c>
      <c r="C798" s="4" t="str">
        <f ca="1">IF(OR(INDEX($W$2:$W$1001,MATCH(ROWS($V$2:V798),$V$2:$V$1001,0),1)&gt;=100000,INDEX($AC$1005:$AS$1005,1,MATCH(COLUMNS($AC$1006:AD1006),$AC$1006:$AS$1006,0))&gt;=100000), " ",IF(INDEX($AC$2:$AS$1001,MATCH(ROWS($V$2:V798),$V$2:$V$1001,0),MATCH(COLUMNS($AC$1006:AD1006),$AC$1006:$AS$1006,0)), HYPERLINK("#",""), HYPERLINK(CONCATENATE("#metadata!", ADDRESS(INDEX($X$2:$X$1001,MATCH(ROWS($V$2:V798),$V$2:$V$1001,0),0), INDEX($AC$1004:$AS$1004,1,MATCH(COLUMNS($AC$1006:AD1006),$AC$1006:$AS$1006,0)))),"Fix")))</f>
        <v xml:space="preserve"> </v>
      </c>
      <c r="D798" s="4" t="str">
        <f ca="1">IF(OR(INDEX($W$2:$W$1001,MATCH(ROWS($V$2:V798),$V$2:$V$1001,0),1)&gt;=100000,INDEX($AC$1005:$AS$1005,1,MATCH(COLUMNS($AC$1006:AE1006),$AC$1006:$AS$1006,0))&gt;=100000), " ",IF(INDEX($AC$2:$AS$1001,MATCH(ROWS($V$2:V798),$V$2:$V$1001,0),MATCH(COLUMNS($AC$1006:AE1006),$AC$1006:$AS$1006,0)), HYPERLINK("#",""), HYPERLINK(CONCATENATE("#metadata!", ADDRESS(INDEX($X$2:$X$1001,MATCH(ROWS($V$2:V798),$V$2:$V$1001,0),0), INDEX($AC$1004:$AS$1004,1,MATCH(COLUMNS($AC$1006:AE1006),$AC$1006:$AS$1006,0)))),"Fix")))</f>
        <v xml:space="preserve"> </v>
      </c>
      <c r="E798" s="4" t="str">
        <f ca="1">IF(OR(INDEX($W$2:$W$1001,MATCH(ROWS($V$2:V798),$V$2:$V$1001,0),1)&gt;=100000,INDEX($AC$1005:$AS$1005,1,MATCH(COLUMNS($AC$1006:AF1006),$AC$1006:$AS$1006,0))&gt;=100000), " ",IF(INDEX($AC$2:$AS$1001,MATCH(ROWS($V$2:V798),$V$2:$V$1001,0),MATCH(COLUMNS($AC$1006:AF1006),$AC$1006:$AS$1006,0)), HYPERLINK("#",""), HYPERLINK(CONCATENATE("#metadata!", ADDRESS(INDEX($X$2:$X$1001,MATCH(ROWS($V$2:V798),$V$2:$V$1001,0),0), INDEX($AC$1004:$AS$1004,1,MATCH(COLUMNS($AC$1006:AF1006),$AC$1006:$AS$1006,0)))),"Fix")))</f>
        <v xml:space="preserve"> </v>
      </c>
      <c r="F798" s="4" t="str">
        <f ca="1">IF(OR(INDEX($W$2:$W$1001,MATCH(ROWS($V$2:V798),$V$2:$V$1001,0),1)&gt;=100000,INDEX($AC$1005:$AS$1005,1,MATCH(COLUMNS($AC$1006:AG1006),$AC$1006:$AS$1006,0))&gt;=100000), " ",IF(INDEX($AC$2:$AS$1001,MATCH(ROWS($V$2:V798),$V$2:$V$1001,0),MATCH(COLUMNS($AC$1006:AG1006),$AC$1006:$AS$1006,0)), HYPERLINK("#",""), HYPERLINK(CONCATENATE("#metadata!", ADDRESS(INDEX($X$2:$X$1001,MATCH(ROWS($V$2:V798),$V$2:$V$1001,0),0), INDEX($AC$1004:$AS$1004,1,MATCH(COLUMNS($AC$1006:AG1006),$AC$1006:$AS$1006,0)))),"Fix")))</f>
        <v xml:space="preserve"> </v>
      </c>
      <c r="G798" s="4" t="str">
        <f ca="1">IF(OR(INDEX($W$2:$W$1001,MATCH(ROWS($V$2:V798),$V$2:$V$1001,0),1)&gt;=100000,INDEX($AC$1005:$AS$1005,1,MATCH(COLUMNS($AC$1006:AH1006),$AC$1006:$AS$1006,0))&gt;=100000), " ",IF(INDEX($AC$2:$AS$1001,MATCH(ROWS($V$2:V798),$V$2:$V$1001,0),MATCH(COLUMNS($AC$1006:AH1006),$AC$1006:$AS$1006,0)), HYPERLINK("#",""), HYPERLINK(CONCATENATE("#metadata!", ADDRESS(INDEX($X$2:$X$1001,MATCH(ROWS($V$2:V798),$V$2:$V$1001,0),0), INDEX($AC$1004:$AS$1004,1,MATCH(COLUMNS($AC$1006:AH1006),$AC$1006:$AS$1006,0)))),"Fix")))</f>
        <v xml:space="preserve"> </v>
      </c>
      <c r="H798" s="4" t="str">
        <f ca="1">IF(OR(INDEX($W$2:$W$1001,MATCH(ROWS($V$2:V798),$V$2:$V$1001,0),1)&gt;=100000,INDEX($AC$1005:$AS$1005,1,MATCH(COLUMNS($AC$1006:AI1006),$AC$1006:$AS$1006,0))&gt;=100000), " ",IF(INDEX($AC$2:$AS$1001,MATCH(ROWS($V$2:V798),$V$2:$V$1001,0),MATCH(COLUMNS($AC$1006:AI1006),$AC$1006:$AS$1006,0)), HYPERLINK("#",""), HYPERLINK(CONCATENATE("#metadata!", ADDRESS(INDEX($X$2:$X$1001,MATCH(ROWS($V$2:V798),$V$2:$V$1001,0),0), INDEX($AC$1004:$AS$1004,1,MATCH(COLUMNS($AC$1006:AI1006),$AC$1006:$AS$1006,0)))),"Fix")))</f>
        <v xml:space="preserve"> </v>
      </c>
      <c r="I798" s="4" t="str">
        <f ca="1">IF(OR(INDEX($W$2:$W$1001,MATCH(ROWS($V$2:V798),$V$2:$V$1001,0),1)&gt;=100000,INDEX($AC$1005:$AS$1005,1,MATCH(COLUMNS($AC$1006:AJ1006),$AC$1006:$AS$1006,0))&gt;=100000), " ",IF(INDEX($AC$2:$AS$1001,MATCH(ROWS($V$2:V798),$V$2:$V$1001,0),MATCH(COLUMNS($AC$1006:AJ1006),$AC$1006:$AS$1006,0)), HYPERLINK("#",""), HYPERLINK(CONCATENATE("#metadata!", ADDRESS(INDEX($X$2:$X$1001,MATCH(ROWS($V$2:V798),$V$2:$V$1001,0),0), INDEX($AC$1004:$AS$1004,1,MATCH(COLUMNS($AC$1006:AJ1006),$AC$1006:$AS$1006,0)))),"Fix")))</f>
        <v xml:space="preserve"> </v>
      </c>
      <c r="J798" s="4" t="str">
        <f ca="1">IF(OR(INDEX($W$2:$W$1001,MATCH(ROWS($V$2:V798),$V$2:$V$1001,0),1)&gt;=100000,INDEX($AC$1005:$AS$1005,1,MATCH(COLUMNS($AC$1006:AK1006),$AC$1006:$AS$1006,0))&gt;=100000), " ",IF(INDEX($AC$2:$AS$1001,MATCH(ROWS($V$2:V798),$V$2:$V$1001,0),MATCH(COLUMNS($AC$1006:AK1006),$AC$1006:$AS$1006,0)), HYPERLINK("#",""), HYPERLINK(CONCATENATE("#metadata!", ADDRESS(INDEX($X$2:$X$1001,MATCH(ROWS($V$2:V798),$V$2:$V$1001,0),0), INDEX($AC$1004:$AS$1004,1,MATCH(COLUMNS($AC$1006:AK1006),$AC$1006:$AS$1006,0)))),"Fix")))</f>
        <v xml:space="preserve"> </v>
      </c>
      <c r="K798" s="4" t="str">
        <f ca="1">IF(OR(INDEX($W$2:$W$1001,MATCH(ROWS($V$2:V798),$V$2:$V$1001,0),1)&gt;=100000,INDEX($AC$1005:$AS$1005,1,MATCH(COLUMNS($AC$1006:AL1006),$AC$1006:$AS$1006,0))&gt;=100000), " ",IF(INDEX($AC$2:$AS$1001,MATCH(ROWS($V$2:V798),$V$2:$V$1001,0),MATCH(COLUMNS($AC$1006:AL1006),$AC$1006:$AS$1006,0)), HYPERLINK("#",""), HYPERLINK(CONCATENATE("#metadata!", ADDRESS(INDEX($X$2:$X$1001,MATCH(ROWS($V$2:V798),$V$2:$V$1001,0),0), INDEX($AC$1004:$AS$1004,1,MATCH(COLUMNS($AC$1006:AL1006),$AC$1006:$AS$1006,0)))),"Fix")))</f>
        <v xml:space="preserve"> </v>
      </c>
      <c r="L798" s="4" t="str">
        <f ca="1">IF(OR(INDEX($W$2:$W$1001,MATCH(ROWS($V$2:V798),$V$2:$V$1001,0),1)&gt;=100000,INDEX($AC$1005:$AS$1005,1,MATCH(COLUMNS($AC$1006:AM1006),$AC$1006:$AS$1006,0))&gt;=100000), " ",IF(INDEX($AC$2:$AS$1001,MATCH(ROWS($V$2:V798),$V$2:$V$1001,0),MATCH(COLUMNS($AC$1006:AM1006),$AC$1006:$AS$1006,0)), HYPERLINK("#",""), HYPERLINK(CONCATENATE("#metadata!", ADDRESS(INDEX($X$2:$X$1001,MATCH(ROWS($V$2:V798),$V$2:$V$1001,0),0), INDEX($AC$1004:$AS$1004,1,MATCH(COLUMNS($AC$1006:AM1006),$AC$1006:$AS$1006,0)))),"Fix")))</f>
        <v xml:space="preserve"> </v>
      </c>
      <c r="M798" s="4" t="str">
        <f ca="1">IF(OR(INDEX($W$2:$W$1001,MATCH(ROWS($V$2:V798),$V$2:$V$1001,0),1)&gt;=100000,INDEX($AC$1005:$AS$1005,1,MATCH(COLUMNS($AC$1006:AN1006),$AC$1006:$AS$1006,0))&gt;=100000), " ",IF(INDEX($AC$2:$AS$1001,MATCH(ROWS($V$2:V798),$V$2:$V$1001,0),MATCH(COLUMNS($AC$1006:AN1006),$AC$1006:$AS$1006,0)), HYPERLINK("#",""), HYPERLINK(CONCATENATE("#metadata!", ADDRESS(INDEX($X$2:$X$1001,MATCH(ROWS($V$2:V798),$V$2:$V$1001,0),0), INDEX($AC$1004:$AS$1004,1,MATCH(COLUMNS($AC$1006:AN1006),$AC$1006:$AS$1006,0)))),"Fix")))</f>
        <v xml:space="preserve"> </v>
      </c>
      <c r="N798" s="4" t="str">
        <f ca="1">IF(OR(INDEX($W$2:$W$1001,MATCH(ROWS($V$2:V798),$V$2:$V$1001,0),1)&gt;=100000,INDEX($AC$1005:$AS$1005,1,MATCH(COLUMNS($AC$1006:AO1006),$AC$1006:$AS$1006,0))&gt;=100000), " ",IF(INDEX($AC$2:$AS$1001,MATCH(ROWS($V$2:V798),$V$2:$V$1001,0),MATCH(COLUMNS($AC$1006:AO1006),$AC$1006:$AS$1006,0)), HYPERLINK("#",""), HYPERLINK(CONCATENATE("#metadata!", ADDRESS(INDEX($X$2:$X$1001,MATCH(ROWS($V$2:V798),$V$2:$V$1001,0),0), INDEX($AC$1004:$AS$1004,1,MATCH(COLUMNS($AC$1006:AO1006),$AC$1006:$AS$1006,0)))),"Fix")))</f>
        <v xml:space="preserve"> </v>
      </c>
      <c r="O798" s="4" t="str">
        <f ca="1">IF(OR(INDEX($W$2:$W$1001,MATCH(ROWS($V$2:V798),$V$2:$V$1001,0),1)&gt;=100000,INDEX($AC$1005:$AS$1005,1,MATCH(COLUMNS($AC$1006:AP1006),$AC$1006:$AS$1006,0))&gt;=100000), " ",IF(INDEX($AC$2:$AS$1001,MATCH(ROWS($V$2:V798),$V$2:$V$1001,0),MATCH(COLUMNS($AC$1006:AP1006),$AC$1006:$AS$1006,0)), HYPERLINK("#",""), HYPERLINK(CONCATENATE("#metadata!", ADDRESS(INDEX($X$2:$X$1001,MATCH(ROWS($V$2:V798),$V$2:$V$1001,0),0), INDEX($AC$1004:$AS$1004,1,MATCH(COLUMNS($AC$1006:AP1006),$AC$1006:$AS$1006,0)))),"Fix")))</f>
        <v xml:space="preserve"> </v>
      </c>
      <c r="P798" s="4" t="str">
        <f ca="1">IF(OR(INDEX($W$2:$W$1001,MATCH(ROWS($V$2:V798),$V$2:$V$1001,0),1)&gt;=100000,INDEX($AC$1005:$AS$1005,1,MATCH(COLUMNS($AC$1006:AQ1006),$AC$1006:$AS$1006,0))&gt;=100000), " ",IF(INDEX($AC$2:$AS$1001,MATCH(ROWS($V$2:V798),$V$2:$V$1001,0),MATCH(COLUMNS($AC$1006:AQ1006),$AC$1006:$AS$1006,0)), HYPERLINK("#",""), HYPERLINK(CONCATENATE("#metadata!", ADDRESS(INDEX($X$2:$X$1001,MATCH(ROWS($V$2:V798),$V$2:$V$1001,0),0), INDEX($AC$1004:$AS$1004,1,MATCH(COLUMNS($AC$1006:AQ1006),$AC$1006:$AS$1006,0)))),"Fix")))</f>
        <v xml:space="preserve"> </v>
      </c>
      <c r="Q798" s="4" t="str">
        <f ca="1">IF(OR(INDEX($W$2:$W$1001,MATCH(ROWS($V$2:V798),$V$2:$V$1001,0),1)&gt;=100000,INDEX($AC$1005:$AS$1005,1,MATCH(COLUMNS($AC$1006:AR1006),$AC$1006:$AS$1006,0))&gt;=100000), " ",IF(INDEX($AC$2:$AS$1001,MATCH(ROWS($V$2:V798),$V$2:$V$1001,0),MATCH(COLUMNS($AC$1006:AR1006),$AC$1006:$AS$1006,0)), HYPERLINK("#",""), HYPERLINK(CONCATENATE("#metadata!", ADDRESS(INDEX($X$2:$X$1001,MATCH(ROWS($V$2:V798),$V$2:$V$1001,0),0), INDEX($AC$1004:$AS$1004,1,MATCH(COLUMNS($AC$1006:AR1006),$AC$1006:$AS$1006,0)))),"Fix")))</f>
        <v xml:space="preserve"> </v>
      </c>
      <c r="R798" s="4" t="str">
        <f ca="1">IF(OR(INDEX($W$2:$W$1001,MATCH(ROWS($V$2:V798),$V$2:$V$1001,0),1)&gt;=100000,INDEX($AC$1005:$AS$1005,1,MATCH(COLUMNS($AC$1006:AS1006),$AC$1006:$AS$1006,0))&gt;=100000), " ",IF(INDEX($AC$2:$AS$1001,MATCH(ROWS($V$2:V798),$V$2:$V$1001,0),MATCH(COLUMNS($AC$1006:AS1006),$AC$1006:$AS$1006,0)), HYPERLINK("#",""), HYPERLINK(CONCATENATE("#metadata!", ADDRESS(INDEX($X$2:$X$1001,MATCH(ROWS($V$2:V798),$V$2:$V$1001,0),0), INDEX($AC$1004:$AS$1004,1,MATCH(COLUMNS($AC$1006:AS1006),$AC$1006:$AS$1006,0)))),"Fix")))</f>
        <v xml:space="preserve"> </v>
      </c>
      <c r="V798">
        <v>797</v>
      </c>
      <c r="W798">
        <v>100798</v>
      </c>
      <c r="X798">
        <v>798</v>
      </c>
      <c r="Y798" t="b">
        <f t="shared" si="12"/>
        <v>1</v>
      </c>
      <c r="Z798" t="b">
        <f>COUNTBLANK(metadata!B798:R798)=COLUMNS(metadata!B798:R798)</f>
        <v>1</v>
      </c>
      <c r="AA798" t="str">
        <v/>
      </c>
      <c r="AC798" t="b">
        <f ca="1"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AD798" t="b">
        <f>IF(metadata!C798="",FALSE,ISNUMBER(VALUE(metadata!C798)))</f>
        <v>0</v>
      </c>
      <c r="AE798" t="b">
        <f>AND(IF(metadata!D798="",FALSE,TRUE),EXACT(metadata!D798,"years"))</f>
        <v>0</v>
      </c>
      <c r="AF798" t="b">
        <f>OR(AND(IF(metadata!E798="",FALSE,TRUE),OR(EXACT(metadata!E798,"not applicable"),EXACT(metadata!E798,"missing: not collected"),EXACT(metadata!E798,"missing: not provided"),EXACT(metadata!E798,"missing: restricted access"))),AND(IF(metadata!E798="",FALSE,ISNUMBER(VALUE(metadata!E798))),metadata!E798&gt;0))</f>
        <v>0</v>
      </c>
      <c r="AG798" t="b">
        <f>AND(IF(metadata!F798="",FALSE,TRUE),EXACT(metadata!F798,"Not applicable"))</f>
        <v>0</v>
      </c>
      <c r="AH798" t="b">
        <f>AND(IF(metadata!G798="",FALSE,TRUE),EXACT(metadata!G798,"urban biome"))</f>
        <v>0</v>
      </c>
      <c r="AI798" t="b">
        <f>AND(IF(metadata!H798="",FALSE,TRUE),EXACT(metadata!H798,"human-associated habitat"))</f>
        <v>0</v>
      </c>
      <c r="AJ798" t="b">
        <f>AND(IF(metadata!I798="",FALSE,TRUE),OR(EXACT(metadata!I798,"human-associated"),EXACT(metadata!I798,"human-skin"),EXACT(metadata!I798,"human-oral"),EXACT(metadata!I798,"human-gut"),EXACT(metadata!I798,"human-vaginal")))</f>
        <v>0</v>
      </c>
      <c r="AK798" t="b">
        <f>IF(metadata!J798="",FALSE,ISNUMBER(VALUE(metadata!J798)))</f>
        <v>0</v>
      </c>
      <c r="AL798" t="b">
        <f>AND(IF(metadata!K798="",FALSE,TRUE),EXACT(metadata!K798,"cm"))</f>
        <v>0</v>
      </c>
      <c r="AM798" t="b">
        <f>AND(IF(metadata!L798="",FALSE,TRUE),EXACT(metadata!L798,"human"))</f>
        <v>0</v>
      </c>
      <c r="AN798" t="b">
        <f>AND(IF(metadata!M798="",FALSE,TRUE),EXACT(metadata!M798,"Homo sapiens"))</f>
        <v>0</v>
      </c>
      <c r="AO798" t="b">
        <f>AND(IF(metadata!N798="",FALSE,TRUE),EXACT(metadata!N798,"9606"))</f>
        <v>0</v>
      </c>
      <c r="AP798" t="b">
        <f>IF(metadata!O798="",FALSE,TRUE)</f>
        <v>0</v>
      </c>
      <c r="AQ798" t="b">
        <f>IF(metadata!P798="",FALSE,TRUE)</f>
        <v>0</v>
      </c>
      <c r="AR798" t="b">
        <f>IF(metadata!Q798="",FALSE,ISNUMBER(VALUE(metadata!Q798)))</f>
        <v>0</v>
      </c>
      <c r="AS798" t="b">
        <f>AND(IF(metadata!R798="",FALSE,TRUE),EXACT(metadata!R798,"kg"))</f>
        <v>0</v>
      </c>
    </row>
    <row r="799" spans="1:45" x14ac:dyDescent="0.2">
      <c r="A799" s="5" t="str">
        <f ca="1">IF(B799=" "," ",HYPERLINK(CONCATENATE("#metadata!",ADDRESS(INDEX($X$2:$X$1001,MATCH(ROWS($V$2:V799),$V$2:$V$1001,0),0),1)),INDEX($AA$2:$AA$1001,MATCH(ROWS($V$2:V799),$V$2:$V$1001,0),0)))</f>
        <v xml:space="preserve"> </v>
      </c>
      <c r="B799" s="4" t="str">
        <f ca="1">IF(OR(INDEX($W$2:$W$1001,MATCH(ROWS($V$2:V799),$V$2:$V$1001,0),1)&gt;=100000,INDEX($AC$1005:$AS$1005,1,MATCH(COLUMNS($AC$1006:AC1006),$AC$1006:$AS$1006,0))&gt;=100000), " ",IF(INDEX($AC$2:$AS$1001,MATCH(ROWS($V$2:V799),$V$2:$V$1001,0),MATCH(COLUMNS($AC$1006:AC1006),$AC$1006:$AS$1006,0)), HYPERLINK("#",""), HYPERLINK(CONCATENATE("#metadata!", ADDRESS(INDEX($X$2:$X$1001,MATCH(ROWS($V$2:V799),$V$2:$V$1001,0),0), INDEX($AC$1004:$AS$1004,1,MATCH(COLUMNS($AC$1006:AC1006),$AC$1006:$AS$1006,0)))),"Fix")))</f>
        <v xml:space="preserve"> </v>
      </c>
      <c r="C799" s="4" t="str">
        <f ca="1">IF(OR(INDEX($W$2:$W$1001,MATCH(ROWS($V$2:V799),$V$2:$V$1001,0),1)&gt;=100000,INDEX($AC$1005:$AS$1005,1,MATCH(COLUMNS($AC$1006:AD1006),$AC$1006:$AS$1006,0))&gt;=100000), " ",IF(INDEX($AC$2:$AS$1001,MATCH(ROWS($V$2:V799),$V$2:$V$1001,0),MATCH(COLUMNS($AC$1006:AD1006),$AC$1006:$AS$1006,0)), HYPERLINK("#",""), HYPERLINK(CONCATENATE("#metadata!", ADDRESS(INDEX($X$2:$X$1001,MATCH(ROWS($V$2:V799),$V$2:$V$1001,0),0), INDEX($AC$1004:$AS$1004,1,MATCH(COLUMNS($AC$1006:AD1006),$AC$1006:$AS$1006,0)))),"Fix")))</f>
        <v xml:space="preserve"> </v>
      </c>
      <c r="D799" s="4" t="str">
        <f ca="1">IF(OR(INDEX($W$2:$W$1001,MATCH(ROWS($V$2:V799),$V$2:$V$1001,0),1)&gt;=100000,INDEX($AC$1005:$AS$1005,1,MATCH(COLUMNS($AC$1006:AE1006),$AC$1006:$AS$1006,0))&gt;=100000), " ",IF(INDEX($AC$2:$AS$1001,MATCH(ROWS($V$2:V799),$V$2:$V$1001,0),MATCH(COLUMNS($AC$1006:AE1006),$AC$1006:$AS$1006,0)), HYPERLINK("#",""), HYPERLINK(CONCATENATE("#metadata!", ADDRESS(INDEX($X$2:$X$1001,MATCH(ROWS($V$2:V799),$V$2:$V$1001,0),0), INDEX($AC$1004:$AS$1004,1,MATCH(COLUMNS($AC$1006:AE1006),$AC$1006:$AS$1006,0)))),"Fix")))</f>
        <v xml:space="preserve"> </v>
      </c>
      <c r="E799" s="4" t="str">
        <f ca="1">IF(OR(INDEX($W$2:$W$1001,MATCH(ROWS($V$2:V799),$V$2:$V$1001,0),1)&gt;=100000,INDEX($AC$1005:$AS$1005,1,MATCH(COLUMNS($AC$1006:AF1006),$AC$1006:$AS$1006,0))&gt;=100000), " ",IF(INDEX($AC$2:$AS$1001,MATCH(ROWS($V$2:V799),$V$2:$V$1001,0),MATCH(COLUMNS($AC$1006:AF1006),$AC$1006:$AS$1006,0)), HYPERLINK("#",""), HYPERLINK(CONCATENATE("#metadata!", ADDRESS(INDEX($X$2:$X$1001,MATCH(ROWS($V$2:V799),$V$2:$V$1001,0),0), INDEX($AC$1004:$AS$1004,1,MATCH(COLUMNS($AC$1006:AF1006),$AC$1006:$AS$1006,0)))),"Fix")))</f>
        <v xml:space="preserve"> </v>
      </c>
      <c r="F799" s="4" t="str">
        <f ca="1">IF(OR(INDEX($W$2:$W$1001,MATCH(ROWS($V$2:V799),$V$2:$V$1001,0),1)&gt;=100000,INDEX($AC$1005:$AS$1005,1,MATCH(COLUMNS($AC$1006:AG1006),$AC$1006:$AS$1006,0))&gt;=100000), " ",IF(INDEX($AC$2:$AS$1001,MATCH(ROWS($V$2:V799),$V$2:$V$1001,0),MATCH(COLUMNS($AC$1006:AG1006),$AC$1006:$AS$1006,0)), HYPERLINK("#",""), HYPERLINK(CONCATENATE("#metadata!", ADDRESS(INDEX($X$2:$X$1001,MATCH(ROWS($V$2:V799),$V$2:$V$1001,0),0), INDEX($AC$1004:$AS$1004,1,MATCH(COLUMNS($AC$1006:AG1006),$AC$1006:$AS$1006,0)))),"Fix")))</f>
        <v xml:space="preserve"> </v>
      </c>
      <c r="G799" s="4" t="str">
        <f ca="1">IF(OR(INDEX($W$2:$W$1001,MATCH(ROWS($V$2:V799),$V$2:$V$1001,0),1)&gt;=100000,INDEX($AC$1005:$AS$1005,1,MATCH(COLUMNS($AC$1006:AH1006),$AC$1006:$AS$1006,0))&gt;=100000), " ",IF(INDEX($AC$2:$AS$1001,MATCH(ROWS($V$2:V799),$V$2:$V$1001,0),MATCH(COLUMNS($AC$1006:AH1006),$AC$1006:$AS$1006,0)), HYPERLINK("#",""), HYPERLINK(CONCATENATE("#metadata!", ADDRESS(INDEX($X$2:$X$1001,MATCH(ROWS($V$2:V799),$V$2:$V$1001,0),0), INDEX($AC$1004:$AS$1004,1,MATCH(COLUMNS($AC$1006:AH1006),$AC$1006:$AS$1006,0)))),"Fix")))</f>
        <v xml:space="preserve"> </v>
      </c>
      <c r="H799" s="4" t="str">
        <f ca="1">IF(OR(INDEX($W$2:$W$1001,MATCH(ROWS($V$2:V799),$V$2:$V$1001,0),1)&gt;=100000,INDEX($AC$1005:$AS$1005,1,MATCH(COLUMNS($AC$1006:AI1006),$AC$1006:$AS$1006,0))&gt;=100000), " ",IF(INDEX($AC$2:$AS$1001,MATCH(ROWS($V$2:V799),$V$2:$V$1001,0),MATCH(COLUMNS($AC$1006:AI1006),$AC$1006:$AS$1006,0)), HYPERLINK("#",""), HYPERLINK(CONCATENATE("#metadata!", ADDRESS(INDEX($X$2:$X$1001,MATCH(ROWS($V$2:V799),$V$2:$V$1001,0),0), INDEX($AC$1004:$AS$1004,1,MATCH(COLUMNS($AC$1006:AI1006),$AC$1006:$AS$1006,0)))),"Fix")))</f>
        <v xml:space="preserve"> </v>
      </c>
      <c r="I799" s="4" t="str">
        <f ca="1">IF(OR(INDEX($W$2:$W$1001,MATCH(ROWS($V$2:V799),$V$2:$V$1001,0),1)&gt;=100000,INDEX($AC$1005:$AS$1005,1,MATCH(COLUMNS($AC$1006:AJ1006),$AC$1006:$AS$1006,0))&gt;=100000), " ",IF(INDEX($AC$2:$AS$1001,MATCH(ROWS($V$2:V799),$V$2:$V$1001,0),MATCH(COLUMNS($AC$1006:AJ1006),$AC$1006:$AS$1006,0)), HYPERLINK("#",""), HYPERLINK(CONCATENATE("#metadata!", ADDRESS(INDEX($X$2:$X$1001,MATCH(ROWS($V$2:V799),$V$2:$V$1001,0),0), INDEX($AC$1004:$AS$1004,1,MATCH(COLUMNS($AC$1006:AJ1006),$AC$1006:$AS$1006,0)))),"Fix")))</f>
        <v xml:space="preserve"> </v>
      </c>
      <c r="J799" s="4" t="str">
        <f ca="1">IF(OR(INDEX($W$2:$W$1001,MATCH(ROWS($V$2:V799),$V$2:$V$1001,0),1)&gt;=100000,INDEX($AC$1005:$AS$1005,1,MATCH(COLUMNS($AC$1006:AK1006),$AC$1006:$AS$1006,0))&gt;=100000), " ",IF(INDEX($AC$2:$AS$1001,MATCH(ROWS($V$2:V799),$V$2:$V$1001,0),MATCH(COLUMNS($AC$1006:AK1006),$AC$1006:$AS$1006,0)), HYPERLINK("#",""), HYPERLINK(CONCATENATE("#metadata!", ADDRESS(INDEX($X$2:$X$1001,MATCH(ROWS($V$2:V799),$V$2:$V$1001,0),0), INDEX($AC$1004:$AS$1004,1,MATCH(COLUMNS($AC$1006:AK1006),$AC$1006:$AS$1006,0)))),"Fix")))</f>
        <v xml:space="preserve"> </v>
      </c>
      <c r="K799" s="4" t="str">
        <f ca="1">IF(OR(INDEX($W$2:$W$1001,MATCH(ROWS($V$2:V799),$V$2:$V$1001,0),1)&gt;=100000,INDEX($AC$1005:$AS$1005,1,MATCH(COLUMNS($AC$1006:AL1006),$AC$1006:$AS$1006,0))&gt;=100000), " ",IF(INDEX($AC$2:$AS$1001,MATCH(ROWS($V$2:V799),$V$2:$V$1001,0),MATCH(COLUMNS($AC$1006:AL1006),$AC$1006:$AS$1006,0)), HYPERLINK("#",""), HYPERLINK(CONCATENATE("#metadata!", ADDRESS(INDEX($X$2:$X$1001,MATCH(ROWS($V$2:V799),$V$2:$V$1001,0),0), INDEX($AC$1004:$AS$1004,1,MATCH(COLUMNS($AC$1006:AL1006),$AC$1006:$AS$1006,0)))),"Fix")))</f>
        <v xml:space="preserve"> </v>
      </c>
      <c r="L799" s="4" t="str">
        <f ca="1">IF(OR(INDEX($W$2:$W$1001,MATCH(ROWS($V$2:V799),$V$2:$V$1001,0),1)&gt;=100000,INDEX($AC$1005:$AS$1005,1,MATCH(COLUMNS($AC$1006:AM1006),$AC$1006:$AS$1006,0))&gt;=100000), " ",IF(INDEX($AC$2:$AS$1001,MATCH(ROWS($V$2:V799),$V$2:$V$1001,0),MATCH(COLUMNS($AC$1006:AM1006),$AC$1006:$AS$1006,0)), HYPERLINK("#",""), HYPERLINK(CONCATENATE("#metadata!", ADDRESS(INDEX($X$2:$X$1001,MATCH(ROWS($V$2:V799),$V$2:$V$1001,0),0), INDEX($AC$1004:$AS$1004,1,MATCH(COLUMNS($AC$1006:AM1006),$AC$1006:$AS$1006,0)))),"Fix")))</f>
        <v xml:space="preserve"> </v>
      </c>
      <c r="M799" s="4" t="str">
        <f ca="1">IF(OR(INDEX($W$2:$W$1001,MATCH(ROWS($V$2:V799),$V$2:$V$1001,0),1)&gt;=100000,INDEX($AC$1005:$AS$1005,1,MATCH(COLUMNS($AC$1006:AN1006),$AC$1006:$AS$1006,0))&gt;=100000), " ",IF(INDEX($AC$2:$AS$1001,MATCH(ROWS($V$2:V799),$V$2:$V$1001,0),MATCH(COLUMNS($AC$1006:AN1006),$AC$1006:$AS$1006,0)), HYPERLINK("#",""), HYPERLINK(CONCATENATE("#metadata!", ADDRESS(INDEX($X$2:$X$1001,MATCH(ROWS($V$2:V799),$V$2:$V$1001,0),0), INDEX($AC$1004:$AS$1004,1,MATCH(COLUMNS($AC$1006:AN1006),$AC$1006:$AS$1006,0)))),"Fix")))</f>
        <v xml:space="preserve"> </v>
      </c>
      <c r="N799" s="4" t="str">
        <f ca="1">IF(OR(INDEX($W$2:$W$1001,MATCH(ROWS($V$2:V799),$V$2:$V$1001,0),1)&gt;=100000,INDEX($AC$1005:$AS$1005,1,MATCH(COLUMNS($AC$1006:AO1006),$AC$1006:$AS$1006,0))&gt;=100000), " ",IF(INDEX($AC$2:$AS$1001,MATCH(ROWS($V$2:V799),$V$2:$V$1001,0),MATCH(COLUMNS($AC$1006:AO1006),$AC$1006:$AS$1006,0)), HYPERLINK("#",""), HYPERLINK(CONCATENATE("#metadata!", ADDRESS(INDEX($X$2:$X$1001,MATCH(ROWS($V$2:V799),$V$2:$V$1001,0),0), INDEX($AC$1004:$AS$1004,1,MATCH(COLUMNS($AC$1006:AO1006),$AC$1006:$AS$1006,0)))),"Fix")))</f>
        <v xml:space="preserve"> </v>
      </c>
      <c r="O799" s="4" t="str">
        <f ca="1">IF(OR(INDEX($W$2:$W$1001,MATCH(ROWS($V$2:V799),$V$2:$V$1001,0),1)&gt;=100000,INDEX($AC$1005:$AS$1005,1,MATCH(COLUMNS($AC$1006:AP1006),$AC$1006:$AS$1006,0))&gt;=100000), " ",IF(INDEX($AC$2:$AS$1001,MATCH(ROWS($V$2:V799),$V$2:$V$1001,0),MATCH(COLUMNS($AC$1006:AP1006),$AC$1006:$AS$1006,0)), HYPERLINK("#",""), HYPERLINK(CONCATENATE("#metadata!", ADDRESS(INDEX($X$2:$X$1001,MATCH(ROWS($V$2:V799),$V$2:$V$1001,0),0), INDEX($AC$1004:$AS$1004,1,MATCH(COLUMNS($AC$1006:AP1006),$AC$1006:$AS$1006,0)))),"Fix")))</f>
        <v xml:space="preserve"> </v>
      </c>
      <c r="P799" s="4" t="str">
        <f ca="1">IF(OR(INDEX($W$2:$W$1001,MATCH(ROWS($V$2:V799),$V$2:$V$1001,0),1)&gt;=100000,INDEX($AC$1005:$AS$1005,1,MATCH(COLUMNS($AC$1006:AQ1006),$AC$1006:$AS$1006,0))&gt;=100000), " ",IF(INDEX($AC$2:$AS$1001,MATCH(ROWS($V$2:V799),$V$2:$V$1001,0),MATCH(COLUMNS($AC$1006:AQ1006),$AC$1006:$AS$1006,0)), HYPERLINK("#",""), HYPERLINK(CONCATENATE("#metadata!", ADDRESS(INDEX($X$2:$X$1001,MATCH(ROWS($V$2:V799),$V$2:$V$1001,0),0), INDEX($AC$1004:$AS$1004,1,MATCH(COLUMNS($AC$1006:AQ1006),$AC$1006:$AS$1006,0)))),"Fix")))</f>
        <v xml:space="preserve"> </v>
      </c>
      <c r="Q799" s="4" t="str">
        <f ca="1">IF(OR(INDEX($W$2:$W$1001,MATCH(ROWS($V$2:V799),$V$2:$V$1001,0),1)&gt;=100000,INDEX($AC$1005:$AS$1005,1,MATCH(COLUMNS($AC$1006:AR1006),$AC$1006:$AS$1006,0))&gt;=100000), " ",IF(INDEX($AC$2:$AS$1001,MATCH(ROWS($V$2:V799),$V$2:$V$1001,0),MATCH(COLUMNS($AC$1006:AR1006),$AC$1006:$AS$1006,0)), HYPERLINK("#",""), HYPERLINK(CONCATENATE("#metadata!", ADDRESS(INDEX($X$2:$X$1001,MATCH(ROWS($V$2:V799),$V$2:$V$1001,0),0), INDEX($AC$1004:$AS$1004,1,MATCH(COLUMNS($AC$1006:AR1006),$AC$1006:$AS$1006,0)))),"Fix")))</f>
        <v xml:space="preserve"> </v>
      </c>
      <c r="R799" s="4" t="str">
        <f ca="1">IF(OR(INDEX($W$2:$W$1001,MATCH(ROWS($V$2:V799),$V$2:$V$1001,0),1)&gt;=100000,INDEX($AC$1005:$AS$1005,1,MATCH(COLUMNS($AC$1006:AS1006),$AC$1006:$AS$1006,0))&gt;=100000), " ",IF(INDEX($AC$2:$AS$1001,MATCH(ROWS($V$2:V799),$V$2:$V$1001,0),MATCH(COLUMNS($AC$1006:AS1006),$AC$1006:$AS$1006,0)), HYPERLINK("#",""), HYPERLINK(CONCATENATE("#metadata!", ADDRESS(INDEX($X$2:$X$1001,MATCH(ROWS($V$2:V799),$V$2:$V$1001,0),0), INDEX($AC$1004:$AS$1004,1,MATCH(COLUMNS($AC$1006:AS1006),$AC$1006:$AS$1006,0)))),"Fix")))</f>
        <v xml:space="preserve"> </v>
      </c>
      <c r="V799">
        <v>798</v>
      </c>
      <c r="W799">
        <v>100799</v>
      </c>
      <c r="X799">
        <v>799</v>
      </c>
      <c r="Y799" t="b">
        <f t="shared" si="12"/>
        <v>1</v>
      </c>
      <c r="Z799" t="b">
        <f>COUNTBLANK(metadata!B799:R799)=COLUMNS(metadata!B799:R799)</f>
        <v>1</v>
      </c>
      <c r="AA799" t="str">
        <v/>
      </c>
      <c r="AC799" t="b">
        <f ca="1"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AD799" t="b">
        <f>IF(metadata!C799="",FALSE,ISNUMBER(VALUE(metadata!C799)))</f>
        <v>0</v>
      </c>
      <c r="AE799" t="b">
        <f>AND(IF(metadata!D799="",FALSE,TRUE),EXACT(metadata!D799,"years"))</f>
        <v>0</v>
      </c>
      <c r="AF799" t="b">
        <f>OR(AND(IF(metadata!E799="",FALSE,TRUE),OR(EXACT(metadata!E799,"not applicable"),EXACT(metadata!E799,"missing: not collected"),EXACT(metadata!E799,"missing: not provided"),EXACT(metadata!E799,"missing: restricted access"))),AND(IF(metadata!E799="",FALSE,ISNUMBER(VALUE(metadata!E799))),metadata!E799&gt;0))</f>
        <v>0</v>
      </c>
      <c r="AG799" t="b">
        <f>AND(IF(metadata!F799="",FALSE,TRUE),EXACT(metadata!F799,"Not applicable"))</f>
        <v>0</v>
      </c>
      <c r="AH799" t="b">
        <f>AND(IF(metadata!G799="",FALSE,TRUE),EXACT(metadata!G799,"urban biome"))</f>
        <v>0</v>
      </c>
      <c r="AI799" t="b">
        <f>AND(IF(metadata!H799="",FALSE,TRUE),EXACT(metadata!H799,"human-associated habitat"))</f>
        <v>0</v>
      </c>
      <c r="AJ799" t="b">
        <f>AND(IF(metadata!I799="",FALSE,TRUE),OR(EXACT(metadata!I799,"human-associated"),EXACT(metadata!I799,"human-skin"),EXACT(metadata!I799,"human-oral"),EXACT(metadata!I799,"human-gut"),EXACT(metadata!I799,"human-vaginal")))</f>
        <v>0</v>
      </c>
      <c r="AK799" t="b">
        <f>IF(metadata!J799="",FALSE,ISNUMBER(VALUE(metadata!J799)))</f>
        <v>0</v>
      </c>
      <c r="AL799" t="b">
        <f>AND(IF(metadata!K799="",FALSE,TRUE),EXACT(metadata!K799,"cm"))</f>
        <v>0</v>
      </c>
      <c r="AM799" t="b">
        <f>AND(IF(metadata!L799="",FALSE,TRUE),EXACT(metadata!L799,"human"))</f>
        <v>0</v>
      </c>
      <c r="AN799" t="b">
        <f>AND(IF(metadata!M799="",FALSE,TRUE),EXACT(metadata!M799,"Homo sapiens"))</f>
        <v>0</v>
      </c>
      <c r="AO799" t="b">
        <f>AND(IF(metadata!N799="",FALSE,TRUE),EXACT(metadata!N799,"9606"))</f>
        <v>0</v>
      </c>
      <c r="AP799" t="b">
        <f>IF(metadata!O799="",FALSE,TRUE)</f>
        <v>0</v>
      </c>
      <c r="AQ799" t="b">
        <f>IF(metadata!P799="",FALSE,TRUE)</f>
        <v>0</v>
      </c>
      <c r="AR799" t="b">
        <f>IF(metadata!Q799="",FALSE,ISNUMBER(VALUE(metadata!Q799)))</f>
        <v>0</v>
      </c>
      <c r="AS799" t="b">
        <f>AND(IF(metadata!R799="",FALSE,TRUE),EXACT(metadata!R799,"kg"))</f>
        <v>0</v>
      </c>
    </row>
    <row r="800" spans="1:45" x14ac:dyDescent="0.2">
      <c r="A800" s="5" t="str">
        <f ca="1">IF(B800=" "," ",HYPERLINK(CONCATENATE("#metadata!",ADDRESS(INDEX($X$2:$X$1001,MATCH(ROWS($V$2:V800),$V$2:$V$1001,0),0),1)),INDEX($AA$2:$AA$1001,MATCH(ROWS($V$2:V800),$V$2:$V$1001,0),0)))</f>
        <v xml:space="preserve"> </v>
      </c>
      <c r="B800" s="4" t="str">
        <f ca="1">IF(OR(INDEX($W$2:$W$1001,MATCH(ROWS($V$2:V800),$V$2:$V$1001,0),1)&gt;=100000,INDEX($AC$1005:$AS$1005,1,MATCH(COLUMNS($AC$1006:AC1006),$AC$1006:$AS$1006,0))&gt;=100000), " ",IF(INDEX($AC$2:$AS$1001,MATCH(ROWS($V$2:V800),$V$2:$V$1001,0),MATCH(COLUMNS($AC$1006:AC1006),$AC$1006:$AS$1006,0)), HYPERLINK("#",""), HYPERLINK(CONCATENATE("#metadata!", ADDRESS(INDEX($X$2:$X$1001,MATCH(ROWS($V$2:V800),$V$2:$V$1001,0),0), INDEX($AC$1004:$AS$1004,1,MATCH(COLUMNS($AC$1006:AC1006),$AC$1006:$AS$1006,0)))),"Fix")))</f>
        <v xml:space="preserve"> </v>
      </c>
      <c r="C800" s="4" t="str">
        <f ca="1">IF(OR(INDEX($W$2:$W$1001,MATCH(ROWS($V$2:V800),$V$2:$V$1001,0),1)&gt;=100000,INDEX($AC$1005:$AS$1005,1,MATCH(COLUMNS($AC$1006:AD1006),$AC$1006:$AS$1006,0))&gt;=100000), " ",IF(INDEX($AC$2:$AS$1001,MATCH(ROWS($V$2:V800),$V$2:$V$1001,0),MATCH(COLUMNS($AC$1006:AD1006),$AC$1006:$AS$1006,0)), HYPERLINK("#",""), HYPERLINK(CONCATENATE("#metadata!", ADDRESS(INDEX($X$2:$X$1001,MATCH(ROWS($V$2:V800),$V$2:$V$1001,0),0), INDEX($AC$1004:$AS$1004,1,MATCH(COLUMNS($AC$1006:AD1006),$AC$1006:$AS$1006,0)))),"Fix")))</f>
        <v xml:space="preserve"> </v>
      </c>
      <c r="D800" s="4" t="str">
        <f ca="1">IF(OR(INDEX($W$2:$W$1001,MATCH(ROWS($V$2:V800),$V$2:$V$1001,0),1)&gt;=100000,INDEX($AC$1005:$AS$1005,1,MATCH(COLUMNS($AC$1006:AE1006),$AC$1006:$AS$1006,0))&gt;=100000), " ",IF(INDEX($AC$2:$AS$1001,MATCH(ROWS($V$2:V800),$V$2:$V$1001,0),MATCH(COLUMNS($AC$1006:AE1006),$AC$1006:$AS$1006,0)), HYPERLINK("#",""), HYPERLINK(CONCATENATE("#metadata!", ADDRESS(INDEX($X$2:$X$1001,MATCH(ROWS($V$2:V800),$V$2:$V$1001,0),0), INDEX($AC$1004:$AS$1004,1,MATCH(COLUMNS($AC$1006:AE1006),$AC$1006:$AS$1006,0)))),"Fix")))</f>
        <v xml:space="preserve"> </v>
      </c>
      <c r="E800" s="4" t="str">
        <f ca="1">IF(OR(INDEX($W$2:$W$1001,MATCH(ROWS($V$2:V800),$V$2:$V$1001,0),1)&gt;=100000,INDEX($AC$1005:$AS$1005,1,MATCH(COLUMNS($AC$1006:AF1006),$AC$1006:$AS$1006,0))&gt;=100000), " ",IF(INDEX($AC$2:$AS$1001,MATCH(ROWS($V$2:V800),$V$2:$V$1001,0),MATCH(COLUMNS($AC$1006:AF1006),$AC$1006:$AS$1006,0)), HYPERLINK("#",""), HYPERLINK(CONCATENATE("#metadata!", ADDRESS(INDEX($X$2:$X$1001,MATCH(ROWS($V$2:V800),$V$2:$V$1001,0),0), INDEX($AC$1004:$AS$1004,1,MATCH(COLUMNS($AC$1006:AF1006),$AC$1006:$AS$1006,0)))),"Fix")))</f>
        <v xml:space="preserve"> </v>
      </c>
      <c r="F800" s="4" t="str">
        <f ca="1">IF(OR(INDEX($W$2:$W$1001,MATCH(ROWS($V$2:V800),$V$2:$V$1001,0),1)&gt;=100000,INDEX($AC$1005:$AS$1005,1,MATCH(COLUMNS($AC$1006:AG1006),$AC$1006:$AS$1006,0))&gt;=100000), " ",IF(INDEX($AC$2:$AS$1001,MATCH(ROWS($V$2:V800),$V$2:$V$1001,0),MATCH(COLUMNS($AC$1006:AG1006),$AC$1006:$AS$1006,0)), HYPERLINK("#",""), HYPERLINK(CONCATENATE("#metadata!", ADDRESS(INDEX($X$2:$X$1001,MATCH(ROWS($V$2:V800),$V$2:$V$1001,0),0), INDEX($AC$1004:$AS$1004,1,MATCH(COLUMNS($AC$1006:AG1006),$AC$1006:$AS$1006,0)))),"Fix")))</f>
        <v xml:space="preserve"> </v>
      </c>
      <c r="G800" s="4" t="str">
        <f ca="1">IF(OR(INDEX($W$2:$W$1001,MATCH(ROWS($V$2:V800),$V$2:$V$1001,0),1)&gt;=100000,INDEX($AC$1005:$AS$1005,1,MATCH(COLUMNS($AC$1006:AH1006),$AC$1006:$AS$1006,0))&gt;=100000), " ",IF(INDEX($AC$2:$AS$1001,MATCH(ROWS($V$2:V800),$V$2:$V$1001,0),MATCH(COLUMNS($AC$1006:AH1006),$AC$1006:$AS$1006,0)), HYPERLINK("#",""), HYPERLINK(CONCATENATE("#metadata!", ADDRESS(INDEX($X$2:$X$1001,MATCH(ROWS($V$2:V800),$V$2:$V$1001,0),0), INDEX($AC$1004:$AS$1004,1,MATCH(COLUMNS($AC$1006:AH1006),$AC$1006:$AS$1006,0)))),"Fix")))</f>
        <v xml:space="preserve"> </v>
      </c>
      <c r="H800" s="4" t="str">
        <f ca="1">IF(OR(INDEX($W$2:$W$1001,MATCH(ROWS($V$2:V800),$V$2:$V$1001,0),1)&gt;=100000,INDEX($AC$1005:$AS$1005,1,MATCH(COLUMNS($AC$1006:AI1006),$AC$1006:$AS$1006,0))&gt;=100000), " ",IF(INDEX($AC$2:$AS$1001,MATCH(ROWS($V$2:V800),$V$2:$V$1001,0),MATCH(COLUMNS($AC$1006:AI1006),$AC$1006:$AS$1006,0)), HYPERLINK("#",""), HYPERLINK(CONCATENATE("#metadata!", ADDRESS(INDEX($X$2:$X$1001,MATCH(ROWS($V$2:V800),$V$2:$V$1001,0),0), INDEX($AC$1004:$AS$1004,1,MATCH(COLUMNS($AC$1006:AI1006),$AC$1006:$AS$1006,0)))),"Fix")))</f>
        <v xml:space="preserve"> </v>
      </c>
      <c r="I800" s="4" t="str">
        <f ca="1">IF(OR(INDEX($W$2:$W$1001,MATCH(ROWS($V$2:V800),$V$2:$V$1001,0),1)&gt;=100000,INDEX($AC$1005:$AS$1005,1,MATCH(COLUMNS($AC$1006:AJ1006),$AC$1006:$AS$1006,0))&gt;=100000), " ",IF(INDEX($AC$2:$AS$1001,MATCH(ROWS($V$2:V800),$V$2:$V$1001,0),MATCH(COLUMNS($AC$1006:AJ1006),$AC$1006:$AS$1006,0)), HYPERLINK("#",""), HYPERLINK(CONCATENATE("#metadata!", ADDRESS(INDEX($X$2:$X$1001,MATCH(ROWS($V$2:V800),$V$2:$V$1001,0),0), INDEX($AC$1004:$AS$1004,1,MATCH(COLUMNS($AC$1006:AJ1006),$AC$1006:$AS$1006,0)))),"Fix")))</f>
        <v xml:space="preserve"> </v>
      </c>
      <c r="J800" s="4" t="str">
        <f ca="1">IF(OR(INDEX($W$2:$W$1001,MATCH(ROWS($V$2:V800),$V$2:$V$1001,0),1)&gt;=100000,INDEX($AC$1005:$AS$1005,1,MATCH(COLUMNS($AC$1006:AK1006),$AC$1006:$AS$1006,0))&gt;=100000), " ",IF(INDEX($AC$2:$AS$1001,MATCH(ROWS($V$2:V800),$V$2:$V$1001,0),MATCH(COLUMNS($AC$1006:AK1006),$AC$1006:$AS$1006,0)), HYPERLINK("#",""), HYPERLINK(CONCATENATE("#metadata!", ADDRESS(INDEX($X$2:$X$1001,MATCH(ROWS($V$2:V800),$V$2:$V$1001,0),0), INDEX($AC$1004:$AS$1004,1,MATCH(COLUMNS($AC$1006:AK1006),$AC$1006:$AS$1006,0)))),"Fix")))</f>
        <v xml:space="preserve"> </v>
      </c>
      <c r="K800" s="4" t="str">
        <f ca="1">IF(OR(INDEX($W$2:$W$1001,MATCH(ROWS($V$2:V800),$V$2:$V$1001,0),1)&gt;=100000,INDEX($AC$1005:$AS$1005,1,MATCH(COLUMNS($AC$1006:AL1006),$AC$1006:$AS$1006,0))&gt;=100000), " ",IF(INDEX($AC$2:$AS$1001,MATCH(ROWS($V$2:V800),$V$2:$V$1001,0),MATCH(COLUMNS($AC$1006:AL1006),$AC$1006:$AS$1006,0)), HYPERLINK("#",""), HYPERLINK(CONCATENATE("#metadata!", ADDRESS(INDEX($X$2:$X$1001,MATCH(ROWS($V$2:V800),$V$2:$V$1001,0),0), INDEX($AC$1004:$AS$1004,1,MATCH(COLUMNS($AC$1006:AL1006),$AC$1006:$AS$1006,0)))),"Fix")))</f>
        <v xml:space="preserve"> </v>
      </c>
      <c r="L800" s="4" t="str">
        <f ca="1">IF(OR(INDEX($W$2:$W$1001,MATCH(ROWS($V$2:V800),$V$2:$V$1001,0),1)&gt;=100000,INDEX($AC$1005:$AS$1005,1,MATCH(COLUMNS($AC$1006:AM1006),$AC$1006:$AS$1006,0))&gt;=100000), " ",IF(INDEX($AC$2:$AS$1001,MATCH(ROWS($V$2:V800),$V$2:$V$1001,0),MATCH(COLUMNS($AC$1006:AM1006),$AC$1006:$AS$1006,0)), HYPERLINK("#",""), HYPERLINK(CONCATENATE("#metadata!", ADDRESS(INDEX($X$2:$X$1001,MATCH(ROWS($V$2:V800),$V$2:$V$1001,0),0), INDEX($AC$1004:$AS$1004,1,MATCH(COLUMNS($AC$1006:AM1006),$AC$1006:$AS$1006,0)))),"Fix")))</f>
        <v xml:space="preserve"> </v>
      </c>
      <c r="M800" s="4" t="str">
        <f ca="1">IF(OR(INDEX($W$2:$W$1001,MATCH(ROWS($V$2:V800),$V$2:$V$1001,0),1)&gt;=100000,INDEX($AC$1005:$AS$1005,1,MATCH(COLUMNS($AC$1006:AN1006),$AC$1006:$AS$1006,0))&gt;=100000), " ",IF(INDEX($AC$2:$AS$1001,MATCH(ROWS($V$2:V800),$V$2:$V$1001,0),MATCH(COLUMNS($AC$1006:AN1006),$AC$1006:$AS$1006,0)), HYPERLINK("#",""), HYPERLINK(CONCATENATE("#metadata!", ADDRESS(INDEX($X$2:$X$1001,MATCH(ROWS($V$2:V800),$V$2:$V$1001,0),0), INDEX($AC$1004:$AS$1004,1,MATCH(COLUMNS($AC$1006:AN1006),$AC$1006:$AS$1006,0)))),"Fix")))</f>
        <v xml:space="preserve"> </v>
      </c>
      <c r="N800" s="4" t="str">
        <f ca="1">IF(OR(INDEX($W$2:$W$1001,MATCH(ROWS($V$2:V800),$V$2:$V$1001,0),1)&gt;=100000,INDEX($AC$1005:$AS$1005,1,MATCH(COLUMNS($AC$1006:AO1006),$AC$1006:$AS$1006,0))&gt;=100000), " ",IF(INDEX($AC$2:$AS$1001,MATCH(ROWS($V$2:V800),$V$2:$V$1001,0),MATCH(COLUMNS($AC$1006:AO1006),$AC$1006:$AS$1006,0)), HYPERLINK("#",""), HYPERLINK(CONCATENATE("#metadata!", ADDRESS(INDEX($X$2:$X$1001,MATCH(ROWS($V$2:V800),$V$2:$V$1001,0),0), INDEX($AC$1004:$AS$1004,1,MATCH(COLUMNS($AC$1006:AO1006),$AC$1006:$AS$1006,0)))),"Fix")))</f>
        <v xml:space="preserve"> </v>
      </c>
      <c r="O800" s="4" t="str">
        <f ca="1">IF(OR(INDEX($W$2:$W$1001,MATCH(ROWS($V$2:V800),$V$2:$V$1001,0),1)&gt;=100000,INDEX($AC$1005:$AS$1005,1,MATCH(COLUMNS($AC$1006:AP1006),$AC$1006:$AS$1006,0))&gt;=100000), " ",IF(INDEX($AC$2:$AS$1001,MATCH(ROWS($V$2:V800),$V$2:$V$1001,0),MATCH(COLUMNS($AC$1006:AP1006),$AC$1006:$AS$1006,0)), HYPERLINK("#",""), HYPERLINK(CONCATENATE("#metadata!", ADDRESS(INDEX($X$2:$X$1001,MATCH(ROWS($V$2:V800),$V$2:$V$1001,0),0), INDEX($AC$1004:$AS$1004,1,MATCH(COLUMNS($AC$1006:AP1006),$AC$1006:$AS$1006,0)))),"Fix")))</f>
        <v xml:space="preserve"> </v>
      </c>
      <c r="P800" s="4" t="str">
        <f ca="1">IF(OR(INDEX($W$2:$W$1001,MATCH(ROWS($V$2:V800),$V$2:$V$1001,0),1)&gt;=100000,INDEX($AC$1005:$AS$1005,1,MATCH(COLUMNS($AC$1006:AQ1006),$AC$1006:$AS$1006,0))&gt;=100000), " ",IF(INDEX($AC$2:$AS$1001,MATCH(ROWS($V$2:V800),$V$2:$V$1001,0),MATCH(COLUMNS($AC$1006:AQ1006),$AC$1006:$AS$1006,0)), HYPERLINK("#",""), HYPERLINK(CONCATENATE("#metadata!", ADDRESS(INDEX($X$2:$X$1001,MATCH(ROWS($V$2:V800),$V$2:$V$1001,0),0), INDEX($AC$1004:$AS$1004,1,MATCH(COLUMNS($AC$1006:AQ1006),$AC$1006:$AS$1006,0)))),"Fix")))</f>
        <v xml:space="preserve"> </v>
      </c>
      <c r="Q800" s="4" t="str">
        <f ca="1">IF(OR(INDEX($W$2:$W$1001,MATCH(ROWS($V$2:V800),$V$2:$V$1001,0),1)&gt;=100000,INDEX($AC$1005:$AS$1005,1,MATCH(COLUMNS($AC$1006:AR1006),$AC$1006:$AS$1006,0))&gt;=100000), " ",IF(INDEX($AC$2:$AS$1001,MATCH(ROWS($V$2:V800),$V$2:$V$1001,0),MATCH(COLUMNS($AC$1006:AR1006),$AC$1006:$AS$1006,0)), HYPERLINK("#",""), HYPERLINK(CONCATENATE("#metadata!", ADDRESS(INDEX($X$2:$X$1001,MATCH(ROWS($V$2:V800),$V$2:$V$1001,0),0), INDEX($AC$1004:$AS$1004,1,MATCH(COLUMNS($AC$1006:AR1006),$AC$1006:$AS$1006,0)))),"Fix")))</f>
        <v xml:space="preserve"> </v>
      </c>
      <c r="R800" s="4" t="str">
        <f ca="1">IF(OR(INDEX($W$2:$W$1001,MATCH(ROWS($V$2:V800),$V$2:$V$1001,0),1)&gt;=100000,INDEX($AC$1005:$AS$1005,1,MATCH(COLUMNS($AC$1006:AS1006),$AC$1006:$AS$1006,0))&gt;=100000), " ",IF(INDEX($AC$2:$AS$1001,MATCH(ROWS($V$2:V800),$V$2:$V$1001,0),MATCH(COLUMNS($AC$1006:AS1006),$AC$1006:$AS$1006,0)), HYPERLINK("#",""), HYPERLINK(CONCATENATE("#metadata!", ADDRESS(INDEX($X$2:$X$1001,MATCH(ROWS($V$2:V800),$V$2:$V$1001,0),0), INDEX($AC$1004:$AS$1004,1,MATCH(COLUMNS($AC$1006:AS1006),$AC$1006:$AS$1006,0)))),"Fix")))</f>
        <v xml:space="preserve"> </v>
      </c>
      <c r="V800">
        <v>799</v>
      </c>
      <c r="W800">
        <v>100800</v>
      </c>
      <c r="X800">
        <v>800</v>
      </c>
      <c r="Y800" t="b">
        <f t="shared" si="12"/>
        <v>1</v>
      </c>
      <c r="Z800" t="b">
        <f>COUNTBLANK(metadata!B800:R800)=COLUMNS(metadata!B800:R800)</f>
        <v>1</v>
      </c>
      <c r="AA800" t="str">
        <v/>
      </c>
      <c r="AC800" t="b">
        <f ca="1"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AD800" t="b">
        <f>IF(metadata!C800="",FALSE,ISNUMBER(VALUE(metadata!C800)))</f>
        <v>0</v>
      </c>
      <c r="AE800" t="b">
        <f>AND(IF(metadata!D800="",FALSE,TRUE),EXACT(metadata!D800,"years"))</f>
        <v>0</v>
      </c>
      <c r="AF800" t="b">
        <f>OR(AND(IF(metadata!E800="",FALSE,TRUE),OR(EXACT(metadata!E800,"not applicable"),EXACT(metadata!E800,"missing: not collected"),EXACT(metadata!E800,"missing: not provided"),EXACT(metadata!E800,"missing: restricted access"))),AND(IF(metadata!E800="",FALSE,ISNUMBER(VALUE(metadata!E800))),metadata!E800&gt;0))</f>
        <v>0</v>
      </c>
      <c r="AG800" t="b">
        <f>AND(IF(metadata!F800="",FALSE,TRUE),EXACT(metadata!F800,"Not applicable"))</f>
        <v>0</v>
      </c>
      <c r="AH800" t="b">
        <f>AND(IF(metadata!G800="",FALSE,TRUE),EXACT(metadata!G800,"urban biome"))</f>
        <v>0</v>
      </c>
      <c r="AI800" t="b">
        <f>AND(IF(metadata!H800="",FALSE,TRUE),EXACT(metadata!H800,"human-associated habitat"))</f>
        <v>0</v>
      </c>
      <c r="AJ800" t="b">
        <f>AND(IF(metadata!I800="",FALSE,TRUE),OR(EXACT(metadata!I800,"human-associated"),EXACT(metadata!I800,"human-skin"),EXACT(metadata!I800,"human-oral"),EXACT(metadata!I800,"human-gut"),EXACT(metadata!I800,"human-vaginal")))</f>
        <v>0</v>
      </c>
      <c r="AK800" t="b">
        <f>IF(metadata!J800="",FALSE,ISNUMBER(VALUE(metadata!J800)))</f>
        <v>0</v>
      </c>
      <c r="AL800" t="b">
        <f>AND(IF(metadata!K800="",FALSE,TRUE),EXACT(metadata!K800,"cm"))</f>
        <v>0</v>
      </c>
      <c r="AM800" t="b">
        <f>AND(IF(metadata!L800="",FALSE,TRUE),EXACT(metadata!L800,"human"))</f>
        <v>0</v>
      </c>
      <c r="AN800" t="b">
        <f>AND(IF(metadata!M800="",FALSE,TRUE),EXACT(metadata!M800,"Homo sapiens"))</f>
        <v>0</v>
      </c>
      <c r="AO800" t="b">
        <f>AND(IF(metadata!N800="",FALSE,TRUE),EXACT(metadata!N800,"9606"))</f>
        <v>0</v>
      </c>
      <c r="AP800" t="b">
        <f>IF(metadata!O800="",FALSE,TRUE)</f>
        <v>0</v>
      </c>
      <c r="AQ800" t="b">
        <f>IF(metadata!P800="",FALSE,TRUE)</f>
        <v>0</v>
      </c>
      <c r="AR800" t="b">
        <f>IF(metadata!Q800="",FALSE,ISNUMBER(VALUE(metadata!Q800)))</f>
        <v>0</v>
      </c>
      <c r="AS800" t="b">
        <f>AND(IF(metadata!R800="",FALSE,TRUE),EXACT(metadata!R800,"kg"))</f>
        <v>0</v>
      </c>
    </row>
    <row r="801" spans="1:45" x14ac:dyDescent="0.2">
      <c r="A801" s="5" t="str">
        <f ca="1">IF(B801=" "," ",HYPERLINK(CONCATENATE("#metadata!",ADDRESS(INDEX($X$2:$X$1001,MATCH(ROWS($V$2:V801),$V$2:$V$1001,0),0),1)),INDEX($AA$2:$AA$1001,MATCH(ROWS($V$2:V801),$V$2:$V$1001,0),0)))</f>
        <v xml:space="preserve"> </v>
      </c>
      <c r="B801" s="4" t="str">
        <f ca="1">IF(OR(INDEX($W$2:$W$1001,MATCH(ROWS($V$2:V801),$V$2:$V$1001,0),1)&gt;=100000,INDEX($AC$1005:$AS$1005,1,MATCH(COLUMNS($AC$1006:AC1006),$AC$1006:$AS$1006,0))&gt;=100000), " ",IF(INDEX($AC$2:$AS$1001,MATCH(ROWS($V$2:V801),$V$2:$V$1001,0),MATCH(COLUMNS($AC$1006:AC1006),$AC$1006:$AS$1006,0)), HYPERLINK("#",""), HYPERLINK(CONCATENATE("#metadata!", ADDRESS(INDEX($X$2:$X$1001,MATCH(ROWS($V$2:V801),$V$2:$V$1001,0),0), INDEX($AC$1004:$AS$1004,1,MATCH(COLUMNS($AC$1006:AC1006),$AC$1006:$AS$1006,0)))),"Fix")))</f>
        <v xml:space="preserve"> </v>
      </c>
      <c r="C801" s="4" t="str">
        <f ca="1">IF(OR(INDEX($W$2:$W$1001,MATCH(ROWS($V$2:V801),$V$2:$V$1001,0),1)&gt;=100000,INDEX($AC$1005:$AS$1005,1,MATCH(COLUMNS($AC$1006:AD1006),$AC$1006:$AS$1006,0))&gt;=100000), " ",IF(INDEX($AC$2:$AS$1001,MATCH(ROWS($V$2:V801),$V$2:$V$1001,0),MATCH(COLUMNS($AC$1006:AD1006),$AC$1006:$AS$1006,0)), HYPERLINK("#",""), HYPERLINK(CONCATENATE("#metadata!", ADDRESS(INDEX($X$2:$X$1001,MATCH(ROWS($V$2:V801),$V$2:$V$1001,0),0), INDEX($AC$1004:$AS$1004,1,MATCH(COLUMNS($AC$1006:AD1006),$AC$1006:$AS$1006,0)))),"Fix")))</f>
        <v xml:space="preserve"> </v>
      </c>
      <c r="D801" s="4" t="str">
        <f ca="1">IF(OR(INDEX($W$2:$W$1001,MATCH(ROWS($V$2:V801),$V$2:$V$1001,0),1)&gt;=100000,INDEX($AC$1005:$AS$1005,1,MATCH(COLUMNS($AC$1006:AE1006),$AC$1006:$AS$1006,0))&gt;=100000), " ",IF(INDEX($AC$2:$AS$1001,MATCH(ROWS($V$2:V801),$V$2:$V$1001,0),MATCH(COLUMNS($AC$1006:AE1006),$AC$1006:$AS$1006,0)), HYPERLINK("#",""), HYPERLINK(CONCATENATE("#metadata!", ADDRESS(INDEX($X$2:$X$1001,MATCH(ROWS($V$2:V801),$V$2:$V$1001,0),0), INDEX($AC$1004:$AS$1004,1,MATCH(COLUMNS($AC$1006:AE1006),$AC$1006:$AS$1006,0)))),"Fix")))</f>
        <v xml:space="preserve"> </v>
      </c>
      <c r="E801" s="4" t="str">
        <f ca="1">IF(OR(INDEX($W$2:$W$1001,MATCH(ROWS($V$2:V801),$V$2:$V$1001,0),1)&gt;=100000,INDEX($AC$1005:$AS$1005,1,MATCH(COLUMNS($AC$1006:AF1006),$AC$1006:$AS$1006,0))&gt;=100000), " ",IF(INDEX($AC$2:$AS$1001,MATCH(ROWS($V$2:V801),$V$2:$V$1001,0),MATCH(COLUMNS($AC$1006:AF1006),$AC$1006:$AS$1006,0)), HYPERLINK("#",""), HYPERLINK(CONCATENATE("#metadata!", ADDRESS(INDEX($X$2:$X$1001,MATCH(ROWS($V$2:V801),$V$2:$V$1001,0),0), INDEX($AC$1004:$AS$1004,1,MATCH(COLUMNS($AC$1006:AF1006),$AC$1006:$AS$1006,0)))),"Fix")))</f>
        <v xml:space="preserve"> </v>
      </c>
      <c r="F801" s="4" t="str">
        <f ca="1">IF(OR(INDEX($W$2:$W$1001,MATCH(ROWS($V$2:V801),$V$2:$V$1001,0),1)&gt;=100000,INDEX($AC$1005:$AS$1005,1,MATCH(COLUMNS($AC$1006:AG1006),$AC$1006:$AS$1006,0))&gt;=100000), " ",IF(INDEX($AC$2:$AS$1001,MATCH(ROWS($V$2:V801),$V$2:$V$1001,0),MATCH(COLUMNS($AC$1006:AG1006),$AC$1006:$AS$1006,0)), HYPERLINK("#",""), HYPERLINK(CONCATENATE("#metadata!", ADDRESS(INDEX($X$2:$X$1001,MATCH(ROWS($V$2:V801),$V$2:$V$1001,0),0), INDEX($AC$1004:$AS$1004,1,MATCH(COLUMNS($AC$1006:AG1006),$AC$1006:$AS$1006,0)))),"Fix")))</f>
        <v xml:space="preserve"> </v>
      </c>
      <c r="G801" s="4" t="str">
        <f ca="1">IF(OR(INDEX($W$2:$W$1001,MATCH(ROWS($V$2:V801),$V$2:$V$1001,0),1)&gt;=100000,INDEX($AC$1005:$AS$1005,1,MATCH(COLUMNS($AC$1006:AH1006),$AC$1006:$AS$1006,0))&gt;=100000), " ",IF(INDEX($AC$2:$AS$1001,MATCH(ROWS($V$2:V801),$V$2:$V$1001,0),MATCH(COLUMNS($AC$1006:AH1006),$AC$1006:$AS$1006,0)), HYPERLINK("#",""), HYPERLINK(CONCATENATE("#metadata!", ADDRESS(INDEX($X$2:$X$1001,MATCH(ROWS($V$2:V801),$V$2:$V$1001,0),0), INDEX($AC$1004:$AS$1004,1,MATCH(COLUMNS($AC$1006:AH1006),$AC$1006:$AS$1006,0)))),"Fix")))</f>
        <v xml:space="preserve"> </v>
      </c>
      <c r="H801" s="4" t="str">
        <f ca="1">IF(OR(INDEX($W$2:$W$1001,MATCH(ROWS($V$2:V801),$V$2:$V$1001,0),1)&gt;=100000,INDEX($AC$1005:$AS$1005,1,MATCH(COLUMNS($AC$1006:AI1006),$AC$1006:$AS$1006,0))&gt;=100000), " ",IF(INDEX($AC$2:$AS$1001,MATCH(ROWS($V$2:V801),$V$2:$V$1001,0),MATCH(COLUMNS($AC$1006:AI1006),$AC$1006:$AS$1006,0)), HYPERLINK("#",""), HYPERLINK(CONCATENATE("#metadata!", ADDRESS(INDEX($X$2:$X$1001,MATCH(ROWS($V$2:V801),$V$2:$V$1001,0),0), INDEX($AC$1004:$AS$1004,1,MATCH(COLUMNS($AC$1006:AI1006),$AC$1006:$AS$1006,0)))),"Fix")))</f>
        <v xml:space="preserve"> </v>
      </c>
      <c r="I801" s="4" t="str">
        <f ca="1">IF(OR(INDEX($W$2:$W$1001,MATCH(ROWS($V$2:V801),$V$2:$V$1001,0),1)&gt;=100000,INDEX($AC$1005:$AS$1005,1,MATCH(COLUMNS($AC$1006:AJ1006),$AC$1006:$AS$1006,0))&gt;=100000), " ",IF(INDEX($AC$2:$AS$1001,MATCH(ROWS($V$2:V801),$V$2:$V$1001,0),MATCH(COLUMNS($AC$1006:AJ1006),$AC$1006:$AS$1006,0)), HYPERLINK("#",""), HYPERLINK(CONCATENATE("#metadata!", ADDRESS(INDEX($X$2:$X$1001,MATCH(ROWS($V$2:V801),$V$2:$V$1001,0),0), INDEX($AC$1004:$AS$1004,1,MATCH(COLUMNS($AC$1006:AJ1006),$AC$1006:$AS$1006,0)))),"Fix")))</f>
        <v xml:space="preserve"> </v>
      </c>
      <c r="J801" s="4" t="str">
        <f ca="1">IF(OR(INDEX($W$2:$W$1001,MATCH(ROWS($V$2:V801),$V$2:$V$1001,0),1)&gt;=100000,INDEX($AC$1005:$AS$1005,1,MATCH(COLUMNS($AC$1006:AK1006),$AC$1006:$AS$1006,0))&gt;=100000), " ",IF(INDEX($AC$2:$AS$1001,MATCH(ROWS($V$2:V801),$V$2:$V$1001,0),MATCH(COLUMNS($AC$1006:AK1006),$AC$1006:$AS$1006,0)), HYPERLINK("#",""), HYPERLINK(CONCATENATE("#metadata!", ADDRESS(INDEX($X$2:$X$1001,MATCH(ROWS($V$2:V801),$V$2:$V$1001,0),0), INDEX($AC$1004:$AS$1004,1,MATCH(COLUMNS($AC$1006:AK1006),$AC$1006:$AS$1006,0)))),"Fix")))</f>
        <v xml:space="preserve"> </v>
      </c>
      <c r="K801" s="4" t="str">
        <f ca="1">IF(OR(INDEX($W$2:$W$1001,MATCH(ROWS($V$2:V801),$V$2:$V$1001,0),1)&gt;=100000,INDEX($AC$1005:$AS$1005,1,MATCH(COLUMNS($AC$1006:AL1006),$AC$1006:$AS$1006,0))&gt;=100000), " ",IF(INDEX($AC$2:$AS$1001,MATCH(ROWS($V$2:V801),$V$2:$V$1001,0),MATCH(COLUMNS($AC$1006:AL1006),$AC$1006:$AS$1006,0)), HYPERLINK("#",""), HYPERLINK(CONCATENATE("#metadata!", ADDRESS(INDEX($X$2:$X$1001,MATCH(ROWS($V$2:V801),$V$2:$V$1001,0),0), INDEX($AC$1004:$AS$1004,1,MATCH(COLUMNS($AC$1006:AL1006),$AC$1006:$AS$1006,0)))),"Fix")))</f>
        <v xml:space="preserve"> </v>
      </c>
      <c r="L801" s="4" t="str">
        <f ca="1">IF(OR(INDEX($W$2:$W$1001,MATCH(ROWS($V$2:V801),$V$2:$V$1001,0),1)&gt;=100000,INDEX($AC$1005:$AS$1005,1,MATCH(COLUMNS($AC$1006:AM1006),$AC$1006:$AS$1006,0))&gt;=100000), " ",IF(INDEX($AC$2:$AS$1001,MATCH(ROWS($V$2:V801),$V$2:$V$1001,0),MATCH(COLUMNS($AC$1006:AM1006),$AC$1006:$AS$1006,0)), HYPERLINK("#",""), HYPERLINK(CONCATENATE("#metadata!", ADDRESS(INDEX($X$2:$X$1001,MATCH(ROWS($V$2:V801),$V$2:$V$1001,0),0), INDEX($AC$1004:$AS$1004,1,MATCH(COLUMNS($AC$1006:AM1006),$AC$1006:$AS$1006,0)))),"Fix")))</f>
        <v xml:space="preserve"> </v>
      </c>
      <c r="M801" s="4" t="str">
        <f ca="1">IF(OR(INDEX($W$2:$W$1001,MATCH(ROWS($V$2:V801),$V$2:$V$1001,0),1)&gt;=100000,INDEX($AC$1005:$AS$1005,1,MATCH(COLUMNS($AC$1006:AN1006),$AC$1006:$AS$1006,0))&gt;=100000), " ",IF(INDEX($AC$2:$AS$1001,MATCH(ROWS($V$2:V801),$V$2:$V$1001,0),MATCH(COLUMNS($AC$1006:AN1006),$AC$1006:$AS$1006,0)), HYPERLINK("#",""), HYPERLINK(CONCATENATE("#metadata!", ADDRESS(INDEX($X$2:$X$1001,MATCH(ROWS($V$2:V801),$V$2:$V$1001,0),0), INDEX($AC$1004:$AS$1004,1,MATCH(COLUMNS($AC$1006:AN1006),$AC$1006:$AS$1006,0)))),"Fix")))</f>
        <v xml:space="preserve"> </v>
      </c>
      <c r="N801" s="4" t="str">
        <f ca="1">IF(OR(INDEX($W$2:$W$1001,MATCH(ROWS($V$2:V801),$V$2:$V$1001,0),1)&gt;=100000,INDEX($AC$1005:$AS$1005,1,MATCH(COLUMNS($AC$1006:AO1006),$AC$1006:$AS$1006,0))&gt;=100000), " ",IF(INDEX($AC$2:$AS$1001,MATCH(ROWS($V$2:V801),$V$2:$V$1001,0),MATCH(COLUMNS($AC$1006:AO1006),$AC$1006:$AS$1006,0)), HYPERLINK("#",""), HYPERLINK(CONCATENATE("#metadata!", ADDRESS(INDEX($X$2:$X$1001,MATCH(ROWS($V$2:V801),$V$2:$V$1001,0),0), INDEX($AC$1004:$AS$1004,1,MATCH(COLUMNS($AC$1006:AO1006),$AC$1006:$AS$1006,0)))),"Fix")))</f>
        <v xml:space="preserve"> </v>
      </c>
      <c r="O801" s="4" t="str">
        <f ca="1">IF(OR(INDEX($W$2:$W$1001,MATCH(ROWS($V$2:V801),$V$2:$V$1001,0),1)&gt;=100000,INDEX($AC$1005:$AS$1005,1,MATCH(COLUMNS($AC$1006:AP1006),$AC$1006:$AS$1006,0))&gt;=100000), " ",IF(INDEX($AC$2:$AS$1001,MATCH(ROWS($V$2:V801),$V$2:$V$1001,0),MATCH(COLUMNS($AC$1006:AP1006),$AC$1006:$AS$1006,0)), HYPERLINK("#",""), HYPERLINK(CONCATENATE("#metadata!", ADDRESS(INDEX($X$2:$X$1001,MATCH(ROWS($V$2:V801),$V$2:$V$1001,0),0), INDEX($AC$1004:$AS$1004,1,MATCH(COLUMNS($AC$1006:AP1006),$AC$1006:$AS$1006,0)))),"Fix")))</f>
        <v xml:space="preserve"> </v>
      </c>
      <c r="P801" s="4" t="str">
        <f ca="1">IF(OR(INDEX($W$2:$W$1001,MATCH(ROWS($V$2:V801),$V$2:$V$1001,0),1)&gt;=100000,INDEX($AC$1005:$AS$1005,1,MATCH(COLUMNS($AC$1006:AQ1006),$AC$1006:$AS$1006,0))&gt;=100000), " ",IF(INDEX($AC$2:$AS$1001,MATCH(ROWS($V$2:V801),$V$2:$V$1001,0),MATCH(COLUMNS($AC$1006:AQ1006),$AC$1006:$AS$1006,0)), HYPERLINK("#",""), HYPERLINK(CONCATENATE("#metadata!", ADDRESS(INDEX($X$2:$X$1001,MATCH(ROWS($V$2:V801),$V$2:$V$1001,0),0), INDEX($AC$1004:$AS$1004,1,MATCH(COLUMNS($AC$1006:AQ1006),$AC$1006:$AS$1006,0)))),"Fix")))</f>
        <v xml:space="preserve"> </v>
      </c>
      <c r="Q801" s="4" t="str">
        <f ca="1">IF(OR(INDEX($W$2:$W$1001,MATCH(ROWS($V$2:V801),$V$2:$V$1001,0),1)&gt;=100000,INDEX($AC$1005:$AS$1005,1,MATCH(COLUMNS($AC$1006:AR1006),$AC$1006:$AS$1006,0))&gt;=100000), " ",IF(INDEX($AC$2:$AS$1001,MATCH(ROWS($V$2:V801),$V$2:$V$1001,0),MATCH(COLUMNS($AC$1006:AR1006),$AC$1006:$AS$1006,0)), HYPERLINK("#",""), HYPERLINK(CONCATENATE("#metadata!", ADDRESS(INDEX($X$2:$X$1001,MATCH(ROWS($V$2:V801),$V$2:$V$1001,0),0), INDEX($AC$1004:$AS$1004,1,MATCH(COLUMNS($AC$1006:AR1006),$AC$1006:$AS$1006,0)))),"Fix")))</f>
        <v xml:space="preserve"> </v>
      </c>
      <c r="R801" s="4" t="str">
        <f ca="1">IF(OR(INDEX($W$2:$W$1001,MATCH(ROWS($V$2:V801),$V$2:$V$1001,0),1)&gt;=100000,INDEX($AC$1005:$AS$1005,1,MATCH(COLUMNS($AC$1006:AS1006),$AC$1006:$AS$1006,0))&gt;=100000), " ",IF(INDEX($AC$2:$AS$1001,MATCH(ROWS($V$2:V801),$V$2:$V$1001,0),MATCH(COLUMNS($AC$1006:AS1006),$AC$1006:$AS$1006,0)), HYPERLINK("#",""), HYPERLINK(CONCATENATE("#metadata!", ADDRESS(INDEX($X$2:$X$1001,MATCH(ROWS($V$2:V801),$V$2:$V$1001,0),0), INDEX($AC$1004:$AS$1004,1,MATCH(COLUMNS($AC$1006:AS1006),$AC$1006:$AS$1006,0)))),"Fix")))</f>
        <v xml:space="preserve"> </v>
      </c>
      <c r="V801">
        <v>800</v>
      </c>
      <c r="W801">
        <v>100801</v>
      </c>
      <c r="X801">
        <v>801</v>
      </c>
      <c r="Y801" t="b">
        <f t="shared" si="12"/>
        <v>1</v>
      </c>
      <c r="Z801" t="b">
        <f>COUNTBLANK(metadata!B801:R801)=COLUMNS(metadata!B801:R801)</f>
        <v>1</v>
      </c>
      <c r="AA801" t="str">
        <v/>
      </c>
      <c r="AC801" t="b">
        <f ca="1"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AD801" t="b">
        <f>IF(metadata!C801="",FALSE,ISNUMBER(VALUE(metadata!C801)))</f>
        <v>0</v>
      </c>
      <c r="AE801" t="b">
        <f>AND(IF(metadata!D801="",FALSE,TRUE),EXACT(metadata!D801,"years"))</f>
        <v>0</v>
      </c>
      <c r="AF801" t="b">
        <f>OR(AND(IF(metadata!E801="",FALSE,TRUE),OR(EXACT(metadata!E801,"not applicable"),EXACT(metadata!E801,"missing: not collected"),EXACT(metadata!E801,"missing: not provided"),EXACT(metadata!E801,"missing: restricted access"))),AND(IF(metadata!E801="",FALSE,ISNUMBER(VALUE(metadata!E801))),metadata!E801&gt;0))</f>
        <v>0</v>
      </c>
      <c r="AG801" t="b">
        <f>AND(IF(metadata!F801="",FALSE,TRUE),EXACT(metadata!F801,"Not applicable"))</f>
        <v>0</v>
      </c>
      <c r="AH801" t="b">
        <f>AND(IF(metadata!G801="",FALSE,TRUE),EXACT(metadata!G801,"urban biome"))</f>
        <v>0</v>
      </c>
      <c r="AI801" t="b">
        <f>AND(IF(metadata!H801="",FALSE,TRUE),EXACT(metadata!H801,"human-associated habitat"))</f>
        <v>0</v>
      </c>
      <c r="AJ801" t="b">
        <f>AND(IF(metadata!I801="",FALSE,TRUE),OR(EXACT(metadata!I801,"human-associated"),EXACT(metadata!I801,"human-skin"),EXACT(metadata!I801,"human-oral"),EXACT(metadata!I801,"human-gut"),EXACT(metadata!I801,"human-vaginal")))</f>
        <v>0</v>
      </c>
      <c r="AK801" t="b">
        <f>IF(metadata!J801="",FALSE,ISNUMBER(VALUE(metadata!J801)))</f>
        <v>0</v>
      </c>
      <c r="AL801" t="b">
        <f>AND(IF(metadata!K801="",FALSE,TRUE),EXACT(metadata!K801,"cm"))</f>
        <v>0</v>
      </c>
      <c r="AM801" t="b">
        <f>AND(IF(metadata!L801="",FALSE,TRUE),EXACT(metadata!L801,"human"))</f>
        <v>0</v>
      </c>
      <c r="AN801" t="b">
        <f>AND(IF(metadata!M801="",FALSE,TRUE),EXACT(metadata!M801,"Homo sapiens"))</f>
        <v>0</v>
      </c>
      <c r="AO801" t="b">
        <f>AND(IF(metadata!N801="",FALSE,TRUE),EXACT(metadata!N801,"9606"))</f>
        <v>0</v>
      </c>
      <c r="AP801" t="b">
        <f>IF(metadata!O801="",FALSE,TRUE)</f>
        <v>0</v>
      </c>
      <c r="AQ801" t="b">
        <f>IF(metadata!P801="",FALSE,TRUE)</f>
        <v>0</v>
      </c>
      <c r="AR801" t="b">
        <f>IF(metadata!Q801="",FALSE,ISNUMBER(VALUE(metadata!Q801)))</f>
        <v>0</v>
      </c>
      <c r="AS801" t="b">
        <f>AND(IF(metadata!R801="",FALSE,TRUE),EXACT(metadata!R801,"kg"))</f>
        <v>0</v>
      </c>
    </row>
    <row r="802" spans="1:45" x14ac:dyDescent="0.2">
      <c r="A802" s="5" t="str">
        <f ca="1">IF(B802=" "," ",HYPERLINK(CONCATENATE("#metadata!",ADDRESS(INDEX($X$2:$X$1001,MATCH(ROWS($V$2:V802),$V$2:$V$1001,0),0),1)),INDEX($AA$2:$AA$1001,MATCH(ROWS($V$2:V802),$V$2:$V$1001,0),0)))</f>
        <v xml:space="preserve"> </v>
      </c>
      <c r="B802" s="4" t="str">
        <f ca="1">IF(OR(INDEX($W$2:$W$1001,MATCH(ROWS($V$2:V802),$V$2:$V$1001,0),1)&gt;=100000,INDEX($AC$1005:$AS$1005,1,MATCH(COLUMNS($AC$1006:AC1006),$AC$1006:$AS$1006,0))&gt;=100000), " ",IF(INDEX($AC$2:$AS$1001,MATCH(ROWS($V$2:V802),$V$2:$V$1001,0),MATCH(COLUMNS($AC$1006:AC1006),$AC$1006:$AS$1006,0)), HYPERLINK("#",""), HYPERLINK(CONCATENATE("#metadata!", ADDRESS(INDEX($X$2:$X$1001,MATCH(ROWS($V$2:V802),$V$2:$V$1001,0),0), INDEX($AC$1004:$AS$1004,1,MATCH(COLUMNS($AC$1006:AC1006),$AC$1006:$AS$1006,0)))),"Fix")))</f>
        <v xml:space="preserve"> </v>
      </c>
      <c r="C802" s="4" t="str">
        <f ca="1">IF(OR(INDEX($W$2:$W$1001,MATCH(ROWS($V$2:V802),$V$2:$V$1001,0),1)&gt;=100000,INDEX($AC$1005:$AS$1005,1,MATCH(COLUMNS($AC$1006:AD1006),$AC$1006:$AS$1006,0))&gt;=100000), " ",IF(INDEX($AC$2:$AS$1001,MATCH(ROWS($V$2:V802),$V$2:$V$1001,0),MATCH(COLUMNS($AC$1006:AD1006),$AC$1006:$AS$1006,0)), HYPERLINK("#",""), HYPERLINK(CONCATENATE("#metadata!", ADDRESS(INDEX($X$2:$X$1001,MATCH(ROWS($V$2:V802),$V$2:$V$1001,0),0), INDEX($AC$1004:$AS$1004,1,MATCH(COLUMNS($AC$1006:AD1006),$AC$1006:$AS$1006,0)))),"Fix")))</f>
        <v xml:space="preserve"> </v>
      </c>
      <c r="D802" s="4" t="str">
        <f ca="1">IF(OR(INDEX($W$2:$W$1001,MATCH(ROWS($V$2:V802),$V$2:$V$1001,0),1)&gt;=100000,INDEX($AC$1005:$AS$1005,1,MATCH(COLUMNS($AC$1006:AE1006),$AC$1006:$AS$1006,0))&gt;=100000), " ",IF(INDEX($AC$2:$AS$1001,MATCH(ROWS($V$2:V802),$V$2:$V$1001,0),MATCH(COLUMNS($AC$1006:AE1006),$AC$1006:$AS$1006,0)), HYPERLINK("#",""), HYPERLINK(CONCATENATE("#metadata!", ADDRESS(INDEX($X$2:$X$1001,MATCH(ROWS($V$2:V802),$V$2:$V$1001,0),0), INDEX($AC$1004:$AS$1004,1,MATCH(COLUMNS($AC$1006:AE1006),$AC$1006:$AS$1006,0)))),"Fix")))</f>
        <v xml:space="preserve"> </v>
      </c>
      <c r="E802" s="4" t="str">
        <f ca="1">IF(OR(INDEX($W$2:$W$1001,MATCH(ROWS($V$2:V802),$V$2:$V$1001,0),1)&gt;=100000,INDEX($AC$1005:$AS$1005,1,MATCH(COLUMNS($AC$1006:AF1006),$AC$1006:$AS$1006,0))&gt;=100000), " ",IF(INDEX($AC$2:$AS$1001,MATCH(ROWS($V$2:V802),$V$2:$V$1001,0),MATCH(COLUMNS($AC$1006:AF1006),$AC$1006:$AS$1006,0)), HYPERLINK("#",""), HYPERLINK(CONCATENATE("#metadata!", ADDRESS(INDEX($X$2:$X$1001,MATCH(ROWS($V$2:V802),$V$2:$V$1001,0),0), INDEX($AC$1004:$AS$1004,1,MATCH(COLUMNS($AC$1006:AF1006),$AC$1006:$AS$1006,0)))),"Fix")))</f>
        <v xml:space="preserve"> </v>
      </c>
      <c r="F802" s="4" t="str">
        <f ca="1">IF(OR(INDEX($W$2:$W$1001,MATCH(ROWS($V$2:V802),$V$2:$V$1001,0),1)&gt;=100000,INDEX($AC$1005:$AS$1005,1,MATCH(COLUMNS($AC$1006:AG1006),$AC$1006:$AS$1006,0))&gt;=100000), " ",IF(INDEX($AC$2:$AS$1001,MATCH(ROWS($V$2:V802),$V$2:$V$1001,0),MATCH(COLUMNS($AC$1006:AG1006),$AC$1006:$AS$1006,0)), HYPERLINK("#",""), HYPERLINK(CONCATENATE("#metadata!", ADDRESS(INDEX($X$2:$X$1001,MATCH(ROWS($V$2:V802),$V$2:$V$1001,0),0), INDEX($AC$1004:$AS$1004,1,MATCH(COLUMNS($AC$1006:AG1006),$AC$1006:$AS$1006,0)))),"Fix")))</f>
        <v xml:space="preserve"> </v>
      </c>
      <c r="G802" s="4" t="str">
        <f ca="1">IF(OR(INDEX($W$2:$W$1001,MATCH(ROWS($V$2:V802),$V$2:$V$1001,0),1)&gt;=100000,INDEX($AC$1005:$AS$1005,1,MATCH(COLUMNS($AC$1006:AH1006),$AC$1006:$AS$1006,0))&gt;=100000), " ",IF(INDEX($AC$2:$AS$1001,MATCH(ROWS($V$2:V802),$V$2:$V$1001,0),MATCH(COLUMNS($AC$1006:AH1006),$AC$1006:$AS$1006,0)), HYPERLINK("#",""), HYPERLINK(CONCATENATE("#metadata!", ADDRESS(INDEX($X$2:$X$1001,MATCH(ROWS($V$2:V802),$V$2:$V$1001,0),0), INDEX($AC$1004:$AS$1004,1,MATCH(COLUMNS($AC$1006:AH1006),$AC$1006:$AS$1006,0)))),"Fix")))</f>
        <v xml:space="preserve"> </v>
      </c>
      <c r="H802" s="4" t="str">
        <f ca="1">IF(OR(INDEX($W$2:$W$1001,MATCH(ROWS($V$2:V802),$V$2:$V$1001,0),1)&gt;=100000,INDEX($AC$1005:$AS$1005,1,MATCH(COLUMNS($AC$1006:AI1006),$AC$1006:$AS$1006,0))&gt;=100000), " ",IF(INDEX($AC$2:$AS$1001,MATCH(ROWS($V$2:V802),$V$2:$V$1001,0),MATCH(COLUMNS($AC$1006:AI1006),$AC$1006:$AS$1006,0)), HYPERLINK("#",""), HYPERLINK(CONCATENATE("#metadata!", ADDRESS(INDEX($X$2:$X$1001,MATCH(ROWS($V$2:V802),$V$2:$V$1001,0),0), INDEX($AC$1004:$AS$1004,1,MATCH(COLUMNS($AC$1006:AI1006),$AC$1006:$AS$1006,0)))),"Fix")))</f>
        <v xml:space="preserve"> </v>
      </c>
      <c r="I802" s="4" t="str">
        <f ca="1">IF(OR(INDEX($W$2:$W$1001,MATCH(ROWS($V$2:V802),$V$2:$V$1001,0),1)&gt;=100000,INDEX($AC$1005:$AS$1005,1,MATCH(COLUMNS($AC$1006:AJ1006),$AC$1006:$AS$1006,0))&gt;=100000), " ",IF(INDEX($AC$2:$AS$1001,MATCH(ROWS($V$2:V802),$V$2:$V$1001,0),MATCH(COLUMNS($AC$1006:AJ1006),$AC$1006:$AS$1006,0)), HYPERLINK("#",""), HYPERLINK(CONCATENATE("#metadata!", ADDRESS(INDEX($X$2:$X$1001,MATCH(ROWS($V$2:V802),$V$2:$V$1001,0),0), INDEX($AC$1004:$AS$1004,1,MATCH(COLUMNS($AC$1006:AJ1006),$AC$1006:$AS$1006,0)))),"Fix")))</f>
        <v xml:space="preserve"> </v>
      </c>
      <c r="J802" s="4" t="str">
        <f ca="1">IF(OR(INDEX($W$2:$W$1001,MATCH(ROWS($V$2:V802),$V$2:$V$1001,0),1)&gt;=100000,INDEX($AC$1005:$AS$1005,1,MATCH(COLUMNS($AC$1006:AK1006),$AC$1006:$AS$1006,0))&gt;=100000), " ",IF(INDEX($AC$2:$AS$1001,MATCH(ROWS($V$2:V802),$V$2:$V$1001,0),MATCH(COLUMNS($AC$1006:AK1006),$AC$1006:$AS$1006,0)), HYPERLINK("#",""), HYPERLINK(CONCATENATE("#metadata!", ADDRESS(INDEX($X$2:$X$1001,MATCH(ROWS($V$2:V802),$V$2:$V$1001,0),0), INDEX($AC$1004:$AS$1004,1,MATCH(COLUMNS($AC$1006:AK1006),$AC$1006:$AS$1006,0)))),"Fix")))</f>
        <v xml:space="preserve"> </v>
      </c>
      <c r="K802" s="4" t="str">
        <f ca="1">IF(OR(INDEX($W$2:$W$1001,MATCH(ROWS($V$2:V802),$V$2:$V$1001,0),1)&gt;=100000,INDEX($AC$1005:$AS$1005,1,MATCH(COLUMNS($AC$1006:AL1006),$AC$1006:$AS$1006,0))&gt;=100000), " ",IF(INDEX($AC$2:$AS$1001,MATCH(ROWS($V$2:V802),$V$2:$V$1001,0),MATCH(COLUMNS($AC$1006:AL1006),$AC$1006:$AS$1006,0)), HYPERLINK("#",""), HYPERLINK(CONCATENATE("#metadata!", ADDRESS(INDEX($X$2:$X$1001,MATCH(ROWS($V$2:V802),$V$2:$V$1001,0),0), INDEX($AC$1004:$AS$1004,1,MATCH(COLUMNS($AC$1006:AL1006),$AC$1006:$AS$1006,0)))),"Fix")))</f>
        <v xml:space="preserve"> </v>
      </c>
      <c r="L802" s="4" t="str">
        <f ca="1">IF(OR(INDEX($W$2:$W$1001,MATCH(ROWS($V$2:V802),$V$2:$V$1001,0),1)&gt;=100000,INDEX($AC$1005:$AS$1005,1,MATCH(COLUMNS($AC$1006:AM1006),$AC$1006:$AS$1006,0))&gt;=100000), " ",IF(INDEX($AC$2:$AS$1001,MATCH(ROWS($V$2:V802),$V$2:$V$1001,0),MATCH(COLUMNS($AC$1006:AM1006),$AC$1006:$AS$1006,0)), HYPERLINK("#",""), HYPERLINK(CONCATENATE("#metadata!", ADDRESS(INDEX($X$2:$X$1001,MATCH(ROWS($V$2:V802),$V$2:$V$1001,0),0), INDEX($AC$1004:$AS$1004,1,MATCH(COLUMNS($AC$1006:AM1006),$AC$1006:$AS$1006,0)))),"Fix")))</f>
        <v xml:space="preserve"> </v>
      </c>
      <c r="M802" s="4" t="str">
        <f ca="1">IF(OR(INDEX($W$2:$W$1001,MATCH(ROWS($V$2:V802),$V$2:$V$1001,0),1)&gt;=100000,INDEX($AC$1005:$AS$1005,1,MATCH(COLUMNS($AC$1006:AN1006),$AC$1006:$AS$1006,0))&gt;=100000), " ",IF(INDEX($AC$2:$AS$1001,MATCH(ROWS($V$2:V802),$V$2:$V$1001,0),MATCH(COLUMNS($AC$1006:AN1006),$AC$1006:$AS$1006,0)), HYPERLINK("#",""), HYPERLINK(CONCATENATE("#metadata!", ADDRESS(INDEX($X$2:$X$1001,MATCH(ROWS($V$2:V802),$V$2:$V$1001,0),0), INDEX($AC$1004:$AS$1004,1,MATCH(COLUMNS($AC$1006:AN1006),$AC$1006:$AS$1006,0)))),"Fix")))</f>
        <v xml:space="preserve"> </v>
      </c>
      <c r="N802" s="4" t="str">
        <f ca="1">IF(OR(INDEX($W$2:$W$1001,MATCH(ROWS($V$2:V802),$V$2:$V$1001,0),1)&gt;=100000,INDEX($AC$1005:$AS$1005,1,MATCH(COLUMNS($AC$1006:AO1006),$AC$1006:$AS$1006,0))&gt;=100000), " ",IF(INDEX($AC$2:$AS$1001,MATCH(ROWS($V$2:V802),$V$2:$V$1001,0),MATCH(COLUMNS($AC$1006:AO1006),$AC$1006:$AS$1006,0)), HYPERLINK("#",""), HYPERLINK(CONCATENATE("#metadata!", ADDRESS(INDEX($X$2:$X$1001,MATCH(ROWS($V$2:V802),$V$2:$V$1001,0),0), INDEX($AC$1004:$AS$1004,1,MATCH(COLUMNS($AC$1006:AO1006),$AC$1006:$AS$1006,0)))),"Fix")))</f>
        <v xml:space="preserve"> </v>
      </c>
      <c r="O802" s="4" t="str">
        <f ca="1">IF(OR(INDEX($W$2:$W$1001,MATCH(ROWS($V$2:V802),$V$2:$V$1001,0),1)&gt;=100000,INDEX($AC$1005:$AS$1005,1,MATCH(COLUMNS($AC$1006:AP1006),$AC$1006:$AS$1006,0))&gt;=100000), " ",IF(INDEX($AC$2:$AS$1001,MATCH(ROWS($V$2:V802),$V$2:$V$1001,0),MATCH(COLUMNS($AC$1006:AP1006),$AC$1006:$AS$1006,0)), HYPERLINK("#",""), HYPERLINK(CONCATENATE("#metadata!", ADDRESS(INDEX($X$2:$X$1001,MATCH(ROWS($V$2:V802),$V$2:$V$1001,0),0), INDEX($AC$1004:$AS$1004,1,MATCH(COLUMNS($AC$1006:AP1006),$AC$1006:$AS$1006,0)))),"Fix")))</f>
        <v xml:space="preserve"> </v>
      </c>
      <c r="P802" s="4" t="str">
        <f ca="1">IF(OR(INDEX($W$2:$W$1001,MATCH(ROWS($V$2:V802),$V$2:$V$1001,0),1)&gt;=100000,INDEX($AC$1005:$AS$1005,1,MATCH(COLUMNS($AC$1006:AQ1006),$AC$1006:$AS$1006,0))&gt;=100000), " ",IF(INDEX($AC$2:$AS$1001,MATCH(ROWS($V$2:V802),$V$2:$V$1001,0),MATCH(COLUMNS($AC$1006:AQ1006),$AC$1006:$AS$1006,0)), HYPERLINK("#",""), HYPERLINK(CONCATENATE("#metadata!", ADDRESS(INDEX($X$2:$X$1001,MATCH(ROWS($V$2:V802),$V$2:$V$1001,0),0), INDEX($AC$1004:$AS$1004,1,MATCH(COLUMNS($AC$1006:AQ1006),$AC$1006:$AS$1006,0)))),"Fix")))</f>
        <v xml:space="preserve"> </v>
      </c>
      <c r="Q802" s="4" t="str">
        <f ca="1">IF(OR(INDEX($W$2:$W$1001,MATCH(ROWS($V$2:V802),$V$2:$V$1001,0),1)&gt;=100000,INDEX($AC$1005:$AS$1005,1,MATCH(COLUMNS($AC$1006:AR1006),$AC$1006:$AS$1006,0))&gt;=100000), " ",IF(INDEX($AC$2:$AS$1001,MATCH(ROWS($V$2:V802),$V$2:$V$1001,0),MATCH(COLUMNS($AC$1006:AR1006),$AC$1006:$AS$1006,0)), HYPERLINK("#",""), HYPERLINK(CONCATENATE("#metadata!", ADDRESS(INDEX($X$2:$X$1001,MATCH(ROWS($V$2:V802),$V$2:$V$1001,0),0), INDEX($AC$1004:$AS$1004,1,MATCH(COLUMNS($AC$1006:AR1006),$AC$1006:$AS$1006,0)))),"Fix")))</f>
        <v xml:space="preserve"> </v>
      </c>
      <c r="R802" s="4" t="str">
        <f ca="1">IF(OR(INDEX($W$2:$W$1001,MATCH(ROWS($V$2:V802),$V$2:$V$1001,0),1)&gt;=100000,INDEX($AC$1005:$AS$1005,1,MATCH(COLUMNS($AC$1006:AS1006),$AC$1006:$AS$1006,0))&gt;=100000), " ",IF(INDEX($AC$2:$AS$1001,MATCH(ROWS($V$2:V802),$V$2:$V$1001,0),MATCH(COLUMNS($AC$1006:AS1006),$AC$1006:$AS$1006,0)), HYPERLINK("#",""), HYPERLINK(CONCATENATE("#metadata!", ADDRESS(INDEX($X$2:$X$1001,MATCH(ROWS($V$2:V802),$V$2:$V$1001,0),0), INDEX($AC$1004:$AS$1004,1,MATCH(COLUMNS($AC$1006:AS1006),$AC$1006:$AS$1006,0)))),"Fix")))</f>
        <v xml:space="preserve"> </v>
      </c>
      <c r="V802">
        <v>801</v>
      </c>
      <c r="W802">
        <v>100802</v>
      </c>
      <c r="X802">
        <v>802</v>
      </c>
      <c r="Y802" t="b">
        <f t="shared" si="12"/>
        <v>1</v>
      </c>
      <c r="Z802" t="b">
        <f>COUNTBLANK(metadata!B802:R802)=COLUMNS(metadata!B802:R802)</f>
        <v>1</v>
      </c>
      <c r="AA802" t="str">
        <v/>
      </c>
      <c r="AC802" t="b">
        <f ca="1"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AD802" t="b">
        <f>IF(metadata!C802="",FALSE,ISNUMBER(VALUE(metadata!C802)))</f>
        <v>0</v>
      </c>
      <c r="AE802" t="b">
        <f>AND(IF(metadata!D802="",FALSE,TRUE),EXACT(metadata!D802,"years"))</f>
        <v>0</v>
      </c>
      <c r="AF802" t="b">
        <f>OR(AND(IF(metadata!E802="",FALSE,TRUE),OR(EXACT(metadata!E802,"not applicable"),EXACT(metadata!E802,"missing: not collected"),EXACT(metadata!E802,"missing: not provided"),EXACT(metadata!E802,"missing: restricted access"))),AND(IF(metadata!E802="",FALSE,ISNUMBER(VALUE(metadata!E802))),metadata!E802&gt;0))</f>
        <v>0</v>
      </c>
      <c r="AG802" t="b">
        <f>AND(IF(metadata!F802="",FALSE,TRUE),EXACT(metadata!F802,"Not applicable"))</f>
        <v>0</v>
      </c>
      <c r="AH802" t="b">
        <f>AND(IF(metadata!G802="",FALSE,TRUE),EXACT(metadata!G802,"urban biome"))</f>
        <v>0</v>
      </c>
      <c r="AI802" t="b">
        <f>AND(IF(metadata!H802="",FALSE,TRUE),EXACT(metadata!H802,"human-associated habitat"))</f>
        <v>0</v>
      </c>
      <c r="AJ802" t="b">
        <f>AND(IF(metadata!I802="",FALSE,TRUE),OR(EXACT(metadata!I802,"human-associated"),EXACT(metadata!I802,"human-skin"),EXACT(metadata!I802,"human-oral"),EXACT(metadata!I802,"human-gut"),EXACT(metadata!I802,"human-vaginal")))</f>
        <v>0</v>
      </c>
      <c r="AK802" t="b">
        <f>IF(metadata!J802="",FALSE,ISNUMBER(VALUE(metadata!J802)))</f>
        <v>0</v>
      </c>
      <c r="AL802" t="b">
        <f>AND(IF(metadata!K802="",FALSE,TRUE),EXACT(metadata!K802,"cm"))</f>
        <v>0</v>
      </c>
      <c r="AM802" t="b">
        <f>AND(IF(metadata!L802="",FALSE,TRUE),EXACT(metadata!L802,"human"))</f>
        <v>0</v>
      </c>
      <c r="AN802" t="b">
        <f>AND(IF(metadata!M802="",FALSE,TRUE),EXACT(metadata!M802,"Homo sapiens"))</f>
        <v>0</v>
      </c>
      <c r="AO802" t="b">
        <f>AND(IF(metadata!N802="",FALSE,TRUE),EXACT(metadata!N802,"9606"))</f>
        <v>0</v>
      </c>
      <c r="AP802" t="b">
        <f>IF(metadata!O802="",FALSE,TRUE)</f>
        <v>0</v>
      </c>
      <c r="AQ802" t="b">
        <f>IF(metadata!P802="",FALSE,TRUE)</f>
        <v>0</v>
      </c>
      <c r="AR802" t="b">
        <f>IF(metadata!Q802="",FALSE,ISNUMBER(VALUE(metadata!Q802)))</f>
        <v>0</v>
      </c>
      <c r="AS802" t="b">
        <f>AND(IF(metadata!R802="",FALSE,TRUE),EXACT(metadata!R802,"kg"))</f>
        <v>0</v>
      </c>
    </row>
    <row r="803" spans="1:45" x14ac:dyDescent="0.2">
      <c r="A803" s="5" t="str">
        <f ca="1">IF(B803=" "," ",HYPERLINK(CONCATENATE("#metadata!",ADDRESS(INDEX($X$2:$X$1001,MATCH(ROWS($V$2:V803),$V$2:$V$1001,0),0),1)),INDEX($AA$2:$AA$1001,MATCH(ROWS($V$2:V803),$V$2:$V$1001,0),0)))</f>
        <v xml:space="preserve"> </v>
      </c>
      <c r="B803" s="4" t="str">
        <f ca="1">IF(OR(INDEX($W$2:$W$1001,MATCH(ROWS($V$2:V803),$V$2:$V$1001,0),1)&gt;=100000,INDEX($AC$1005:$AS$1005,1,MATCH(COLUMNS($AC$1006:AC1006),$AC$1006:$AS$1006,0))&gt;=100000), " ",IF(INDEX($AC$2:$AS$1001,MATCH(ROWS($V$2:V803),$V$2:$V$1001,0),MATCH(COLUMNS($AC$1006:AC1006),$AC$1006:$AS$1006,0)), HYPERLINK("#",""), HYPERLINK(CONCATENATE("#metadata!", ADDRESS(INDEX($X$2:$X$1001,MATCH(ROWS($V$2:V803),$V$2:$V$1001,0),0), INDEX($AC$1004:$AS$1004,1,MATCH(COLUMNS($AC$1006:AC1006),$AC$1006:$AS$1006,0)))),"Fix")))</f>
        <v xml:space="preserve"> </v>
      </c>
      <c r="C803" s="4" t="str">
        <f ca="1">IF(OR(INDEX($W$2:$W$1001,MATCH(ROWS($V$2:V803),$V$2:$V$1001,0),1)&gt;=100000,INDEX($AC$1005:$AS$1005,1,MATCH(COLUMNS($AC$1006:AD1006),$AC$1006:$AS$1006,0))&gt;=100000), " ",IF(INDEX($AC$2:$AS$1001,MATCH(ROWS($V$2:V803),$V$2:$V$1001,0),MATCH(COLUMNS($AC$1006:AD1006),$AC$1006:$AS$1006,0)), HYPERLINK("#",""), HYPERLINK(CONCATENATE("#metadata!", ADDRESS(INDEX($X$2:$X$1001,MATCH(ROWS($V$2:V803),$V$2:$V$1001,0),0), INDEX($AC$1004:$AS$1004,1,MATCH(COLUMNS($AC$1006:AD1006),$AC$1006:$AS$1006,0)))),"Fix")))</f>
        <v xml:space="preserve"> </v>
      </c>
      <c r="D803" s="4" t="str">
        <f ca="1">IF(OR(INDEX($W$2:$W$1001,MATCH(ROWS($V$2:V803),$V$2:$V$1001,0),1)&gt;=100000,INDEX($AC$1005:$AS$1005,1,MATCH(COLUMNS($AC$1006:AE1006),$AC$1006:$AS$1006,0))&gt;=100000), " ",IF(INDEX($AC$2:$AS$1001,MATCH(ROWS($V$2:V803),$V$2:$V$1001,0),MATCH(COLUMNS($AC$1006:AE1006),$AC$1006:$AS$1006,0)), HYPERLINK("#",""), HYPERLINK(CONCATENATE("#metadata!", ADDRESS(INDEX($X$2:$X$1001,MATCH(ROWS($V$2:V803),$V$2:$V$1001,0),0), INDEX($AC$1004:$AS$1004,1,MATCH(COLUMNS($AC$1006:AE1006),$AC$1006:$AS$1006,0)))),"Fix")))</f>
        <v xml:space="preserve"> </v>
      </c>
      <c r="E803" s="4" t="str">
        <f ca="1">IF(OR(INDEX($W$2:$W$1001,MATCH(ROWS($V$2:V803),$V$2:$V$1001,0),1)&gt;=100000,INDEX($AC$1005:$AS$1005,1,MATCH(COLUMNS($AC$1006:AF1006),$AC$1006:$AS$1006,0))&gt;=100000), " ",IF(INDEX($AC$2:$AS$1001,MATCH(ROWS($V$2:V803),$V$2:$V$1001,0),MATCH(COLUMNS($AC$1006:AF1006),$AC$1006:$AS$1006,0)), HYPERLINK("#",""), HYPERLINK(CONCATENATE("#metadata!", ADDRESS(INDEX($X$2:$X$1001,MATCH(ROWS($V$2:V803),$V$2:$V$1001,0),0), INDEX($AC$1004:$AS$1004,1,MATCH(COLUMNS($AC$1006:AF1006),$AC$1006:$AS$1006,0)))),"Fix")))</f>
        <v xml:space="preserve"> </v>
      </c>
      <c r="F803" s="4" t="str">
        <f ca="1">IF(OR(INDEX($W$2:$W$1001,MATCH(ROWS($V$2:V803),$V$2:$V$1001,0),1)&gt;=100000,INDEX($AC$1005:$AS$1005,1,MATCH(COLUMNS($AC$1006:AG1006),$AC$1006:$AS$1006,0))&gt;=100000), " ",IF(INDEX($AC$2:$AS$1001,MATCH(ROWS($V$2:V803),$V$2:$V$1001,0),MATCH(COLUMNS($AC$1006:AG1006),$AC$1006:$AS$1006,0)), HYPERLINK("#",""), HYPERLINK(CONCATENATE("#metadata!", ADDRESS(INDEX($X$2:$X$1001,MATCH(ROWS($V$2:V803),$V$2:$V$1001,0),0), INDEX($AC$1004:$AS$1004,1,MATCH(COLUMNS($AC$1006:AG1006),$AC$1006:$AS$1006,0)))),"Fix")))</f>
        <v xml:space="preserve"> </v>
      </c>
      <c r="G803" s="4" t="str">
        <f ca="1">IF(OR(INDEX($W$2:$W$1001,MATCH(ROWS($V$2:V803),$V$2:$V$1001,0),1)&gt;=100000,INDEX($AC$1005:$AS$1005,1,MATCH(COLUMNS($AC$1006:AH1006),$AC$1006:$AS$1006,0))&gt;=100000), " ",IF(INDEX($AC$2:$AS$1001,MATCH(ROWS($V$2:V803),$V$2:$V$1001,0),MATCH(COLUMNS($AC$1006:AH1006),$AC$1006:$AS$1006,0)), HYPERLINK("#",""), HYPERLINK(CONCATENATE("#metadata!", ADDRESS(INDEX($X$2:$X$1001,MATCH(ROWS($V$2:V803),$V$2:$V$1001,0),0), INDEX($AC$1004:$AS$1004,1,MATCH(COLUMNS($AC$1006:AH1006),$AC$1006:$AS$1006,0)))),"Fix")))</f>
        <v xml:space="preserve"> </v>
      </c>
      <c r="H803" s="4" t="str">
        <f ca="1">IF(OR(INDEX($W$2:$W$1001,MATCH(ROWS($V$2:V803),$V$2:$V$1001,0),1)&gt;=100000,INDEX($AC$1005:$AS$1005,1,MATCH(COLUMNS($AC$1006:AI1006),$AC$1006:$AS$1006,0))&gt;=100000), " ",IF(INDEX($AC$2:$AS$1001,MATCH(ROWS($V$2:V803),$V$2:$V$1001,0),MATCH(COLUMNS($AC$1006:AI1006),$AC$1006:$AS$1006,0)), HYPERLINK("#",""), HYPERLINK(CONCATENATE("#metadata!", ADDRESS(INDEX($X$2:$X$1001,MATCH(ROWS($V$2:V803),$V$2:$V$1001,0),0), INDEX($AC$1004:$AS$1004,1,MATCH(COLUMNS($AC$1006:AI1006),$AC$1006:$AS$1006,0)))),"Fix")))</f>
        <v xml:space="preserve"> </v>
      </c>
      <c r="I803" s="4" t="str">
        <f ca="1">IF(OR(INDEX($W$2:$W$1001,MATCH(ROWS($V$2:V803),$V$2:$V$1001,0),1)&gt;=100000,INDEX($AC$1005:$AS$1005,1,MATCH(COLUMNS($AC$1006:AJ1006),$AC$1006:$AS$1006,0))&gt;=100000), " ",IF(INDEX($AC$2:$AS$1001,MATCH(ROWS($V$2:V803),$V$2:$V$1001,0),MATCH(COLUMNS($AC$1006:AJ1006),$AC$1006:$AS$1006,0)), HYPERLINK("#",""), HYPERLINK(CONCATENATE("#metadata!", ADDRESS(INDEX($X$2:$X$1001,MATCH(ROWS($V$2:V803),$V$2:$V$1001,0),0), INDEX($AC$1004:$AS$1004,1,MATCH(COLUMNS($AC$1006:AJ1006),$AC$1006:$AS$1006,0)))),"Fix")))</f>
        <v xml:space="preserve"> </v>
      </c>
      <c r="J803" s="4" t="str">
        <f ca="1">IF(OR(INDEX($W$2:$W$1001,MATCH(ROWS($V$2:V803),$V$2:$V$1001,0),1)&gt;=100000,INDEX($AC$1005:$AS$1005,1,MATCH(COLUMNS($AC$1006:AK1006),$AC$1006:$AS$1006,0))&gt;=100000), " ",IF(INDEX($AC$2:$AS$1001,MATCH(ROWS($V$2:V803),$V$2:$V$1001,0),MATCH(COLUMNS($AC$1006:AK1006),$AC$1006:$AS$1006,0)), HYPERLINK("#",""), HYPERLINK(CONCATENATE("#metadata!", ADDRESS(INDEX($X$2:$X$1001,MATCH(ROWS($V$2:V803),$V$2:$V$1001,0),0), INDEX($AC$1004:$AS$1004,1,MATCH(COLUMNS($AC$1006:AK1006),$AC$1006:$AS$1006,0)))),"Fix")))</f>
        <v xml:space="preserve"> </v>
      </c>
      <c r="K803" s="4" t="str">
        <f ca="1">IF(OR(INDEX($W$2:$W$1001,MATCH(ROWS($V$2:V803),$V$2:$V$1001,0),1)&gt;=100000,INDEX($AC$1005:$AS$1005,1,MATCH(COLUMNS($AC$1006:AL1006),$AC$1006:$AS$1006,0))&gt;=100000), " ",IF(INDEX($AC$2:$AS$1001,MATCH(ROWS($V$2:V803),$V$2:$V$1001,0),MATCH(COLUMNS($AC$1006:AL1006),$AC$1006:$AS$1006,0)), HYPERLINK("#",""), HYPERLINK(CONCATENATE("#metadata!", ADDRESS(INDEX($X$2:$X$1001,MATCH(ROWS($V$2:V803),$V$2:$V$1001,0),0), INDEX($AC$1004:$AS$1004,1,MATCH(COLUMNS($AC$1006:AL1006),$AC$1006:$AS$1006,0)))),"Fix")))</f>
        <v xml:space="preserve"> </v>
      </c>
      <c r="L803" s="4" t="str">
        <f ca="1">IF(OR(INDEX($W$2:$W$1001,MATCH(ROWS($V$2:V803),$V$2:$V$1001,0),1)&gt;=100000,INDEX($AC$1005:$AS$1005,1,MATCH(COLUMNS($AC$1006:AM1006),$AC$1006:$AS$1006,0))&gt;=100000), " ",IF(INDEX($AC$2:$AS$1001,MATCH(ROWS($V$2:V803),$V$2:$V$1001,0),MATCH(COLUMNS($AC$1006:AM1006),$AC$1006:$AS$1006,0)), HYPERLINK("#",""), HYPERLINK(CONCATENATE("#metadata!", ADDRESS(INDEX($X$2:$X$1001,MATCH(ROWS($V$2:V803),$V$2:$V$1001,0),0), INDEX($AC$1004:$AS$1004,1,MATCH(COLUMNS($AC$1006:AM1006),$AC$1006:$AS$1006,0)))),"Fix")))</f>
        <v xml:space="preserve"> </v>
      </c>
      <c r="M803" s="4" t="str">
        <f ca="1">IF(OR(INDEX($W$2:$W$1001,MATCH(ROWS($V$2:V803),$V$2:$V$1001,0),1)&gt;=100000,INDEX($AC$1005:$AS$1005,1,MATCH(COLUMNS($AC$1006:AN1006),$AC$1006:$AS$1006,0))&gt;=100000), " ",IF(INDEX($AC$2:$AS$1001,MATCH(ROWS($V$2:V803),$V$2:$V$1001,0),MATCH(COLUMNS($AC$1006:AN1006),$AC$1006:$AS$1006,0)), HYPERLINK("#",""), HYPERLINK(CONCATENATE("#metadata!", ADDRESS(INDEX($X$2:$X$1001,MATCH(ROWS($V$2:V803),$V$2:$V$1001,0),0), INDEX($AC$1004:$AS$1004,1,MATCH(COLUMNS($AC$1006:AN1006),$AC$1006:$AS$1006,0)))),"Fix")))</f>
        <v xml:space="preserve"> </v>
      </c>
      <c r="N803" s="4" t="str">
        <f ca="1">IF(OR(INDEX($W$2:$W$1001,MATCH(ROWS($V$2:V803),$V$2:$V$1001,0),1)&gt;=100000,INDEX($AC$1005:$AS$1005,1,MATCH(COLUMNS($AC$1006:AO1006),$AC$1006:$AS$1006,0))&gt;=100000), " ",IF(INDEX($AC$2:$AS$1001,MATCH(ROWS($V$2:V803),$V$2:$V$1001,0),MATCH(COLUMNS($AC$1006:AO1006),$AC$1006:$AS$1006,0)), HYPERLINK("#",""), HYPERLINK(CONCATENATE("#metadata!", ADDRESS(INDEX($X$2:$X$1001,MATCH(ROWS($V$2:V803),$V$2:$V$1001,0),0), INDEX($AC$1004:$AS$1004,1,MATCH(COLUMNS($AC$1006:AO1006),$AC$1006:$AS$1006,0)))),"Fix")))</f>
        <v xml:space="preserve"> </v>
      </c>
      <c r="O803" s="4" t="str">
        <f ca="1">IF(OR(INDEX($W$2:$W$1001,MATCH(ROWS($V$2:V803),$V$2:$V$1001,0),1)&gt;=100000,INDEX($AC$1005:$AS$1005,1,MATCH(COLUMNS($AC$1006:AP1006),$AC$1006:$AS$1006,0))&gt;=100000), " ",IF(INDEX($AC$2:$AS$1001,MATCH(ROWS($V$2:V803),$V$2:$V$1001,0),MATCH(COLUMNS($AC$1006:AP1006),$AC$1006:$AS$1006,0)), HYPERLINK("#",""), HYPERLINK(CONCATENATE("#metadata!", ADDRESS(INDEX($X$2:$X$1001,MATCH(ROWS($V$2:V803),$V$2:$V$1001,0),0), INDEX($AC$1004:$AS$1004,1,MATCH(COLUMNS($AC$1006:AP1006),$AC$1006:$AS$1006,0)))),"Fix")))</f>
        <v xml:space="preserve"> </v>
      </c>
      <c r="P803" s="4" t="str">
        <f ca="1">IF(OR(INDEX($W$2:$W$1001,MATCH(ROWS($V$2:V803),$V$2:$V$1001,0),1)&gt;=100000,INDEX($AC$1005:$AS$1005,1,MATCH(COLUMNS($AC$1006:AQ1006),$AC$1006:$AS$1006,0))&gt;=100000), " ",IF(INDEX($AC$2:$AS$1001,MATCH(ROWS($V$2:V803),$V$2:$V$1001,0),MATCH(COLUMNS($AC$1006:AQ1006),$AC$1006:$AS$1006,0)), HYPERLINK("#",""), HYPERLINK(CONCATENATE("#metadata!", ADDRESS(INDEX($X$2:$X$1001,MATCH(ROWS($V$2:V803),$V$2:$V$1001,0),0), INDEX($AC$1004:$AS$1004,1,MATCH(COLUMNS($AC$1006:AQ1006),$AC$1006:$AS$1006,0)))),"Fix")))</f>
        <v xml:space="preserve"> </v>
      </c>
      <c r="Q803" s="4" t="str">
        <f ca="1">IF(OR(INDEX($W$2:$W$1001,MATCH(ROWS($V$2:V803),$V$2:$V$1001,0),1)&gt;=100000,INDEX($AC$1005:$AS$1005,1,MATCH(COLUMNS($AC$1006:AR1006),$AC$1006:$AS$1006,0))&gt;=100000), " ",IF(INDEX($AC$2:$AS$1001,MATCH(ROWS($V$2:V803),$V$2:$V$1001,0),MATCH(COLUMNS($AC$1006:AR1006),$AC$1006:$AS$1006,0)), HYPERLINK("#",""), HYPERLINK(CONCATENATE("#metadata!", ADDRESS(INDEX($X$2:$X$1001,MATCH(ROWS($V$2:V803),$V$2:$V$1001,0),0), INDEX($AC$1004:$AS$1004,1,MATCH(COLUMNS($AC$1006:AR1006),$AC$1006:$AS$1006,0)))),"Fix")))</f>
        <v xml:space="preserve"> </v>
      </c>
      <c r="R803" s="4" t="str">
        <f ca="1">IF(OR(INDEX($W$2:$W$1001,MATCH(ROWS($V$2:V803),$V$2:$V$1001,0),1)&gt;=100000,INDEX($AC$1005:$AS$1005,1,MATCH(COLUMNS($AC$1006:AS1006),$AC$1006:$AS$1006,0))&gt;=100000), " ",IF(INDEX($AC$2:$AS$1001,MATCH(ROWS($V$2:V803),$V$2:$V$1001,0),MATCH(COLUMNS($AC$1006:AS1006),$AC$1006:$AS$1006,0)), HYPERLINK("#",""), HYPERLINK(CONCATENATE("#metadata!", ADDRESS(INDEX($X$2:$X$1001,MATCH(ROWS($V$2:V803),$V$2:$V$1001,0),0), INDEX($AC$1004:$AS$1004,1,MATCH(COLUMNS($AC$1006:AS1006),$AC$1006:$AS$1006,0)))),"Fix")))</f>
        <v xml:space="preserve"> </v>
      </c>
      <c r="V803">
        <v>802</v>
      </c>
      <c r="W803">
        <v>100803</v>
      </c>
      <c r="X803">
        <v>803</v>
      </c>
      <c r="Y803" t="b">
        <f t="shared" si="12"/>
        <v>1</v>
      </c>
      <c r="Z803" t="b">
        <f>COUNTBLANK(metadata!B803:R803)=COLUMNS(metadata!B803:R803)</f>
        <v>1</v>
      </c>
      <c r="AA803" t="str">
        <v/>
      </c>
      <c r="AC803" t="b">
        <f ca="1"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AD803" t="b">
        <f>IF(metadata!C803="",FALSE,ISNUMBER(VALUE(metadata!C803)))</f>
        <v>0</v>
      </c>
      <c r="AE803" t="b">
        <f>AND(IF(metadata!D803="",FALSE,TRUE),EXACT(metadata!D803,"years"))</f>
        <v>0</v>
      </c>
      <c r="AF803" t="b">
        <f>OR(AND(IF(metadata!E803="",FALSE,TRUE),OR(EXACT(metadata!E803,"not applicable"),EXACT(metadata!E803,"missing: not collected"),EXACT(metadata!E803,"missing: not provided"),EXACT(metadata!E803,"missing: restricted access"))),AND(IF(metadata!E803="",FALSE,ISNUMBER(VALUE(metadata!E803))),metadata!E803&gt;0))</f>
        <v>0</v>
      </c>
      <c r="AG803" t="b">
        <f>AND(IF(metadata!F803="",FALSE,TRUE),EXACT(metadata!F803,"Not applicable"))</f>
        <v>0</v>
      </c>
      <c r="AH803" t="b">
        <f>AND(IF(metadata!G803="",FALSE,TRUE),EXACT(metadata!G803,"urban biome"))</f>
        <v>0</v>
      </c>
      <c r="AI803" t="b">
        <f>AND(IF(metadata!H803="",FALSE,TRUE),EXACT(metadata!H803,"human-associated habitat"))</f>
        <v>0</v>
      </c>
      <c r="AJ803" t="b">
        <f>AND(IF(metadata!I803="",FALSE,TRUE),OR(EXACT(metadata!I803,"human-associated"),EXACT(metadata!I803,"human-skin"),EXACT(metadata!I803,"human-oral"),EXACT(metadata!I803,"human-gut"),EXACT(metadata!I803,"human-vaginal")))</f>
        <v>0</v>
      </c>
      <c r="AK803" t="b">
        <f>IF(metadata!J803="",FALSE,ISNUMBER(VALUE(metadata!J803)))</f>
        <v>0</v>
      </c>
      <c r="AL803" t="b">
        <f>AND(IF(metadata!K803="",FALSE,TRUE),EXACT(metadata!K803,"cm"))</f>
        <v>0</v>
      </c>
      <c r="AM803" t="b">
        <f>AND(IF(metadata!L803="",FALSE,TRUE),EXACT(metadata!L803,"human"))</f>
        <v>0</v>
      </c>
      <c r="AN803" t="b">
        <f>AND(IF(metadata!M803="",FALSE,TRUE),EXACT(metadata!M803,"Homo sapiens"))</f>
        <v>0</v>
      </c>
      <c r="AO803" t="b">
        <f>AND(IF(metadata!N803="",FALSE,TRUE),EXACT(metadata!N803,"9606"))</f>
        <v>0</v>
      </c>
      <c r="AP803" t="b">
        <f>IF(metadata!O803="",FALSE,TRUE)</f>
        <v>0</v>
      </c>
      <c r="AQ803" t="b">
        <f>IF(metadata!P803="",FALSE,TRUE)</f>
        <v>0</v>
      </c>
      <c r="AR803" t="b">
        <f>IF(metadata!Q803="",FALSE,ISNUMBER(VALUE(metadata!Q803)))</f>
        <v>0</v>
      </c>
      <c r="AS803" t="b">
        <f>AND(IF(metadata!R803="",FALSE,TRUE),EXACT(metadata!R803,"kg"))</f>
        <v>0</v>
      </c>
    </row>
    <row r="804" spans="1:45" x14ac:dyDescent="0.2">
      <c r="A804" s="5" t="str">
        <f ca="1">IF(B804=" "," ",HYPERLINK(CONCATENATE("#metadata!",ADDRESS(INDEX($X$2:$X$1001,MATCH(ROWS($V$2:V804),$V$2:$V$1001,0),0),1)),INDEX($AA$2:$AA$1001,MATCH(ROWS($V$2:V804),$V$2:$V$1001,0),0)))</f>
        <v xml:space="preserve"> </v>
      </c>
      <c r="B804" s="4" t="str">
        <f ca="1">IF(OR(INDEX($W$2:$W$1001,MATCH(ROWS($V$2:V804),$V$2:$V$1001,0),1)&gt;=100000,INDEX($AC$1005:$AS$1005,1,MATCH(COLUMNS($AC$1006:AC1006),$AC$1006:$AS$1006,0))&gt;=100000), " ",IF(INDEX($AC$2:$AS$1001,MATCH(ROWS($V$2:V804),$V$2:$V$1001,0),MATCH(COLUMNS($AC$1006:AC1006),$AC$1006:$AS$1006,0)), HYPERLINK("#",""), HYPERLINK(CONCATENATE("#metadata!", ADDRESS(INDEX($X$2:$X$1001,MATCH(ROWS($V$2:V804),$V$2:$V$1001,0),0), INDEX($AC$1004:$AS$1004,1,MATCH(COLUMNS($AC$1006:AC1006),$AC$1006:$AS$1006,0)))),"Fix")))</f>
        <v xml:space="preserve"> </v>
      </c>
      <c r="C804" s="4" t="str">
        <f ca="1">IF(OR(INDEX($W$2:$W$1001,MATCH(ROWS($V$2:V804),$V$2:$V$1001,0),1)&gt;=100000,INDEX($AC$1005:$AS$1005,1,MATCH(COLUMNS($AC$1006:AD1006),$AC$1006:$AS$1006,0))&gt;=100000), " ",IF(INDEX($AC$2:$AS$1001,MATCH(ROWS($V$2:V804),$V$2:$V$1001,0),MATCH(COLUMNS($AC$1006:AD1006),$AC$1006:$AS$1006,0)), HYPERLINK("#",""), HYPERLINK(CONCATENATE("#metadata!", ADDRESS(INDEX($X$2:$X$1001,MATCH(ROWS($V$2:V804),$V$2:$V$1001,0),0), INDEX($AC$1004:$AS$1004,1,MATCH(COLUMNS($AC$1006:AD1006),$AC$1006:$AS$1006,0)))),"Fix")))</f>
        <v xml:space="preserve"> </v>
      </c>
      <c r="D804" s="4" t="str">
        <f ca="1">IF(OR(INDEX($W$2:$W$1001,MATCH(ROWS($V$2:V804),$V$2:$V$1001,0),1)&gt;=100000,INDEX($AC$1005:$AS$1005,1,MATCH(COLUMNS($AC$1006:AE1006),$AC$1006:$AS$1006,0))&gt;=100000), " ",IF(INDEX($AC$2:$AS$1001,MATCH(ROWS($V$2:V804),$V$2:$V$1001,0),MATCH(COLUMNS($AC$1006:AE1006),$AC$1006:$AS$1006,0)), HYPERLINK("#",""), HYPERLINK(CONCATENATE("#metadata!", ADDRESS(INDEX($X$2:$X$1001,MATCH(ROWS($V$2:V804),$V$2:$V$1001,0),0), INDEX($AC$1004:$AS$1004,1,MATCH(COLUMNS($AC$1006:AE1006),$AC$1006:$AS$1006,0)))),"Fix")))</f>
        <v xml:space="preserve"> </v>
      </c>
      <c r="E804" s="4" t="str">
        <f ca="1">IF(OR(INDEX($W$2:$W$1001,MATCH(ROWS($V$2:V804),$V$2:$V$1001,0),1)&gt;=100000,INDEX($AC$1005:$AS$1005,1,MATCH(COLUMNS($AC$1006:AF1006),$AC$1006:$AS$1006,0))&gt;=100000), " ",IF(INDEX($AC$2:$AS$1001,MATCH(ROWS($V$2:V804),$V$2:$V$1001,0),MATCH(COLUMNS($AC$1006:AF1006),$AC$1006:$AS$1006,0)), HYPERLINK("#",""), HYPERLINK(CONCATENATE("#metadata!", ADDRESS(INDEX($X$2:$X$1001,MATCH(ROWS($V$2:V804),$V$2:$V$1001,0),0), INDEX($AC$1004:$AS$1004,1,MATCH(COLUMNS($AC$1006:AF1006),$AC$1006:$AS$1006,0)))),"Fix")))</f>
        <v xml:space="preserve"> </v>
      </c>
      <c r="F804" s="4" t="str">
        <f ca="1">IF(OR(INDEX($W$2:$W$1001,MATCH(ROWS($V$2:V804),$V$2:$V$1001,0),1)&gt;=100000,INDEX($AC$1005:$AS$1005,1,MATCH(COLUMNS($AC$1006:AG1006),$AC$1006:$AS$1006,0))&gt;=100000), " ",IF(INDEX($AC$2:$AS$1001,MATCH(ROWS($V$2:V804),$V$2:$V$1001,0),MATCH(COLUMNS($AC$1006:AG1006),$AC$1006:$AS$1006,0)), HYPERLINK("#",""), HYPERLINK(CONCATENATE("#metadata!", ADDRESS(INDEX($X$2:$X$1001,MATCH(ROWS($V$2:V804),$V$2:$V$1001,0),0), INDEX($AC$1004:$AS$1004,1,MATCH(COLUMNS($AC$1006:AG1006),$AC$1006:$AS$1006,0)))),"Fix")))</f>
        <v xml:space="preserve"> </v>
      </c>
      <c r="G804" s="4" t="str">
        <f ca="1">IF(OR(INDEX($W$2:$W$1001,MATCH(ROWS($V$2:V804),$V$2:$V$1001,0),1)&gt;=100000,INDEX($AC$1005:$AS$1005,1,MATCH(COLUMNS($AC$1006:AH1006),$AC$1006:$AS$1006,0))&gt;=100000), " ",IF(INDEX($AC$2:$AS$1001,MATCH(ROWS($V$2:V804),$V$2:$V$1001,0),MATCH(COLUMNS($AC$1006:AH1006),$AC$1006:$AS$1006,0)), HYPERLINK("#",""), HYPERLINK(CONCATENATE("#metadata!", ADDRESS(INDEX($X$2:$X$1001,MATCH(ROWS($V$2:V804),$V$2:$V$1001,0),0), INDEX($AC$1004:$AS$1004,1,MATCH(COLUMNS($AC$1006:AH1006),$AC$1006:$AS$1006,0)))),"Fix")))</f>
        <v xml:space="preserve"> </v>
      </c>
      <c r="H804" s="4" t="str">
        <f ca="1">IF(OR(INDEX($W$2:$W$1001,MATCH(ROWS($V$2:V804),$V$2:$V$1001,0),1)&gt;=100000,INDEX($AC$1005:$AS$1005,1,MATCH(COLUMNS($AC$1006:AI1006),$AC$1006:$AS$1006,0))&gt;=100000), " ",IF(INDEX($AC$2:$AS$1001,MATCH(ROWS($V$2:V804),$V$2:$V$1001,0),MATCH(COLUMNS($AC$1006:AI1006),$AC$1006:$AS$1006,0)), HYPERLINK("#",""), HYPERLINK(CONCATENATE("#metadata!", ADDRESS(INDEX($X$2:$X$1001,MATCH(ROWS($V$2:V804),$V$2:$V$1001,0),0), INDEX($AC$1004:$AS$1004,1,MATCH(COLUMNS($AC$1006:AI1006),$AC$1006:$AS$1006,0)))),"Fix")))</f>
        <v xml:space="preserve"> </v>
      </c>
      <c r="I804" s="4" t="str">
        <f ca="1">IF(OR(INDEX($W$2:$W$1001,MATCH(ROWS($V$2:V804),$V$2:$V$1001,0),1)&gt;=100000,INDEX($AC$1005:$AS$1005,1,MATCH(COLUMNS($AC$1006:AJ1006),$AC$1006:$AS$1006,0))&gt;=100000), " ",IF(INDEX($AC$2:$AS$1001,MATCH(ROWS($V$2:V804),$V$2:$V$1001,0),MATCH(COLUMNS($AC$1006:AJ1006),$AC$1006:$AS$1006,0)), HYPERLINK("#",""), HYPERLINK(CONCATENATE("#metadata!", ADDRESS(INDEX($X$2:$X$1001,MATCH(ROWS($V$2:V804),$V$2:$V$1001,0),0), INDEX($AC$1004:$AS$1004,1,MATCH(COLUMNS($AC$1006:AJ1006),$AC$1006:$AS$1006,0)))),"Fix")))</f>
        <v xml:space="preserve"> </v>
      </c>
      <c r="J804" s="4" t="str">
        <f ca="1">IF(OR(INDEX($W$2:$W$1001,MATCH(ROWS($V$2:V804),$V$2:$V$1001,0),1)&gt;=100000,INDEX($AC$1005:$AS$1005,1,MATCH(COLUMNS($AC$1006:AK1006),$AC$1006:$AS$1006,0))&gt;=100000), " ",IF(INDEX($AC$2:$AS$1001,MATCH(ROWS($V$2:V804),$V$2:$V$1001,0),MATCH(COLUMNS($AC$1006:AK1006),$AC$1006:$AS$1006,0)), HYPERLINK("#",""), HYPERLINK(CONCATENATE("#metadata!", ADDRESS(INDEX($X$2:$X$1001,MATCH(ROWS($V$2:V804),$V$2:$V$1001,0),0), INDEX($AC$1004:$AS$1004,1,MATCH(COLUMNS($AC$1006:AK1006),$AC$1006:$AS$1006,0)))),"Fix")))</f>
        <v xml:space="preserve"> </v>
      </c>
      <c r="K804" s="4" t="str">
        <f ca="1">IF(OR(INDEX($W$2:$W$1001,MATCH(ROWS($V$2:V804),$V$2:$V$1001,0),1)&gt;=100000,INDEX($AC$1005:$AS$1005,1,MATCH(COLUMNS($AC$1006:AL1006),$AC$1006:$AS$1006,0))&gt;=100000), " ",IF(INDEX($AC$2:$AS$1001,MATCH(ROWS($V$2:V804),$V$2:$V$1001,0),MATCH(COLUMNS($AC$1006:AL1006),$AC$1006:$AS$1006,0)), HYPERLINK("#",""), HYPERLINK(CONCATENATE("#metadata!", ADDRESS(INDEX($X$2:$X$1001,MATCH(ROWS($V$2:V804),$V$2:$V$1001,0),0), INDEX($AC$1004:$AS$1004,1,MATCH(COLUMNS($AC$1006:AL1006),$AC$1006:$AS$1006,0)))),"Fix")))</f>
        <v xml:space="preserve"> </v>
      </c>
      <c r="L804" s="4" t="str">
        <f ca="1">IF(OR(INDEX($W$2:$W$1001,MATCH(ROWS($V$2:V804),$V$2:$V$1001,0),1)&gt;=100000,INDEX($AC$1005:$AS$1005,1,MATCH(COLUMNS($AC$1006:AM1006),$AC$1006:$AS$1006,0))&gt;=100000), " ",IF(INDEX($AC$2:$AS$1001,MATCH(ROWS($V$2:V804),$V$2:$V$1001,0),MATCH(COLUMNS($AC$1006:AM1006),$AC$1006:$AS$1006,0)), HYPERLINK("#",""), HYPERLINK(CONCATENATE("#metadata!", ADDRESS(INDEX($X$2:$X$1001,MATCH(ROWS($V$2:V804),$V$2:$V$1001,0),0), INDEX($AC$1004:$AS$1004,1,MATCH(COLUMNS($AC$1006:AM1006),$AC$1006:$AS$1006,0)))),"Fix")))</f>
        <v xml:space="preserve"> </v>
      </c>
      <c r="M804" s="4" t="str">
        <f ca="1">IF(OR(INDEX($W$2:$W$1001,MATCH(ROWS($V$2:V804),$V$2:$V$1001,0),1)&gt;=100000,INDEX($AC$1005:$AS$1005,1,MATCH(COLUMNS($AC$1006:AN1006),$AC$1006:$AS$1006,0))&gt;=100000), " ",IF(INDEX($AC$2:$AS$1001,MATCH(ROWS($V$2:V804),$V$2:$V$1001,0),MATCH(COLUMNS($AC$1006:AN1006),$AC$1006:$AS$1006,0)), HYPERLINK("#",""), HYPERLINK(CONCATENATE("#metadata!", ADDRESS(INDEX($X$2:$X$1001,MATCH(ROWS($V$2:V804),$V$2:$V$1001,0),0), INDEX($AC$1004:$AS$1004,1,MATCH(COLUMNS($AC$1006:AN1006),$AC$1006:$AS$1006,0)))),"Fix")))</f>
        <v xml:space="preserve"> </v>
      </c>
      <c r="N804" s="4" t="str">
        <f ca="1">IF(OR(INDEX($W$2:$W$1001,MATCH(ROWS($V$2:V804),$V$2:$V$1001,0),1)&gt;=100000,INDEX($AC$1005:$AS$1005,1,MATCH(COLUMNS($AC$1006:AO1006),$AC$1006:$AS$1006,0))&gt;=100000), " ",IF(INDEX($AC$2:$AS$1001,MATCH(ROWS($V$2:V804),$V$2:$V$1001,0),MATCH(COLUMNS($AC$1006:AO1006),$AC$1006:$AS$1006,0)), HYPERLINK("#",""), HYPERLINK(CONCATENATE("#metadata!", ADDRESS(INDEX($X$2:$X$1001,MATCH(ROWS($V$2:V804),$V$2:$V$1001,0),0), INDEX($AC$1004:$AS$1004,1,MATCH(COLUMNS($AC$1006:AO1006),$AC$1006:$AS$1006,0)))),"Fix")))</f>
        <v xml:space="preserve"> </v>
      </c>
      <c r="O804" s="4" t="str">
        <f ca="1">IF(OR(INDEX($W$2:$W$1001,MATCH(ROWS($V$2:V804),$V$2:$V$1001,0),1)&gt;=100000,INDEX($AC$1005:$AS$1005,1,MATCH(COLUMNS($AC$1006:AP1006),$AC$1006:$AS$1006,0))&gt;=100000), " ",IF(INDEX($AC$2:$AS$1001,MATCH(ROWS($V$2:V804),$V$2:$V$1001,0),MATCH(COLUMNS($AC$1006:AP1006),$AC$1006:$AS$1006,0)), HYPERLINK("#",""), HYPERLINK(CONCATENATE("#metadata!", ADDRESS(INDEX($X$2:$X$1001,MATCH(ROWS($V$2:V804),$V$2:$V$1001,0),0), INDEX($AC$1004:$AS$1004,1,MATCH(COLUMNS($AC$1006:AP1006),$AC$1006:$AS$1006,0)))),"Fix")))</f>
        <v xml:space="preserve"> </v>
      </c>
      <c r="P804" s="4" t="str">
        <f ca="1">IF(OR(INDEX($W$2:$W$1001,MATCH(ROWS($V$2:V804),$V$2:$V$1001,0),1)&gt;=100000,INDEX($AC$1005:$AS$1005,1,MATCH(COLUMNS($AC$1006:AQ1006),$AC$1006:$AS$1006,0))&gt;=100000), " ",IF(INDEX($AC$2:$AS$1001,MATCH(ROWS($V$2:V804),$V$2:$V$1001,0),MATCH(COLUMNS($AC$1006:AQ1006),$AC$1006:$AS$1006,0)), HYPERLINK("#",""), HYPERLINK(CONCATENATE("#metadata!", ADDRESS(INDEX($X$2:$X$1001,MATCH(ROWS($V$2:V804),$V$2:$V$1001,0),0), INDEX($AC$1004:$AS$1004,1,MATCH(COLUMNS($AC$1006:AQ1006),$AC$1006:$AS$1006,0)))),"Fix")))</f>
        <v xml:space="preserve"> </v>
      </c>
      <c r="Q804" s="4" t="str">
        <f ca="1">IF(OR(INDEX($W$2:$W$1001,MATCH(ROWS($V$2:V804),$V$2:$V$1001,0),1)&gt;=100000,INDEX($AC$1005:$AS$1005,1,MATCH(COLUMNS($AC$1006:AR1006),$AC$1006:$AS$1006,0))&gt;=100000), " ",IF(INDEX($AC$2:$AS$1001,MATCH(ROWS($V$2:V804),$V$2:$V$1001,0),MATCH(COLUMNS($AC$1006:AR1006),$AC$1006:$AS$1006,0)), HYPERLINK("#",""), HYPERLINK(CONCATENATE("#metadata!", ADDRESS(INDEX($X$2:$X$1001,MATCH(ROWS($V$2:V804),$V$2:$V$1001,0),0), INDEX($AC$1004:$AS$1004,1,MATCH(COLUMNS($AC$1006:AR1006),$AC$1006:$AS$1006,0)))),"Fix")))</f>
        <v xml:space="preserve"> </v>
      </c>
      <c r="R804" s="4" t="str">
        <f ca="1">IF(OR(INDEX($W$2:$W$1001,MATCH(ROWS($V$2:V804),$V$2:$V$1001,0),1)&gt;=100000,INDEX($AC$1005:$AS$1005,1,MATCH(COLUMNS($AC$1006:AS1006),$AC$1006:$AS$1006,0))&gt;=100000), " ",IF(INDEX($AC$2:$AS$1001,MATCH(ROWS($V$2:V804),$V$2:$V$1001,0),MATCH(COLUMNS($AC$1006:AS1006),$AC$1006:$AS$1006,0)), HYPERLINK("#",""), HYPERLINK(CONCATENATE("#metadata!", ADDRESS(INDEX($X$2:$X$1001,MATCH(ROWS($V$2:V804),$V$2:$V$1001,0),0), INDEX($AC$1004:$AS$1004,1,MATCH(COLUMNS($AC$1006:AS1006),$AC$1006:$AS$1006,0)))),"Fix")))</f>
        <v xml:space="preserve"> </v>
      </c>
      <c r="V804">
        <v>803</v>
      </c>
      <c r="W804">
        <v>100804</v>
      </c>
      <c r="X804">
        <v>804</v>
      </c>
      <c r="Y804" t="b">
        <f t="shared" si="12"/>
        <v>1</v>
      </c>
      <c r="Z804" t="b">
        <f>COUNTBLANK(metadata!B804:R804)=COLUMNS(metadata!B804:R804)</f>
        <v>1</v>
      </c>
      <c r="AA804" t="str">
        <v/>
      </c>
      <c r="AC804" t="b">
        <f ca="1"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AD804" t="b">
        <f>IF(metadata!C804="",FALSE,ISNUMBER(VALUE(metadata!C804)))</f>
        <v>0</v>
      </c>
      <c r="AE804" t="b">
        <f>AND(IF(metadata!D804="",FALSE,TRUE),EXACT(metadata!D804,"years"))</f>
        <v>0</v>
      </c>
      <c r="AF804" t="b">
        <f>OR(AND(IF(metadata!E804="",FALSE,TRUE),OR(EXACT(metadata!E804,"not applicable"),EXACT(metadata!E804,"missing: not collected"),EXACT(metadata!E804,"missing: not provided"),EXACT(metadata!E804,"missing: restricted access"))),AND(IF(metadata!E804="",FALSE,ISNUMBER(VALUE(metadata!E804))),metadata!E804&gt;0))</f>
        <v>0</v>
      </c>
      <c r="AG804" t="b">
        <f>AND(IF(metadata!F804="",FALSE,TRUE),EXACT(metadata!F804,"Not applicable"))</f>
        <v>0</v>
      </c>
      <c r="AH804" t="b">
        <f>AND(IF(metadata!G804="",FALSE,TRUE),EXACT(metadata!G804,"urban biome"))</f>
        <v>0</v>
      </c>
      <c r="AI804" t="b">
        <f>AND(IF(metadata!H804="",FALSE,TRUE),EXACT(metadata!H804,"human-associated habitat"))</f>
        <v>0</v>
      </c>
      <c r="AJ804" t="b">
        <f>AND(IF(metadata!I804="",FALSE,TRUE),OR(EXACT(metadata!I804,"human-associated"),EXACT(metadata!I804,"human-skin"),EXACT(metadata!I804,"human-oral"),EXACT(metadata!I804,"human-gut"),EXACT(metadata!I804,"human-vaginal")))</f>
        <v>0</v>
      </c>
      <c r="AK804" t="b">
        <f>IF(metadata!J804="",FALSE,ISNUMBER(VALUE(metadata!J804)))</f>
        <v>0</v>
      </c>
      <c r="AL804" t="b">
        <f>AND(IF(metadata!K804="",FALSE,TRUE),EXACT(metadata!K804,"cm"))</f>
        <v>0</v>
      </c>
      <c r="AM804" t="b">
        <f>AND(IF(metadata!L804="",FALSE,TRUE),EXACT(metadata!L804,"human"))</f>
        <v>0</v>
      </c>
      <c r="AN804" t="b">
        <f>AND(IF(metadata!M804="",FALSE,TRUE),EXACT(metadata!M804,"Homo sapiens"))</f>
        <v>0</v>
      </c>
      <c r="AO804" t="b">
        <f>AND(IF(metadata!N804="",FALSE,TRUE),EXACT(metadata!N804,"9606"))</f>
        <v>0</v>
      </c>
      <c r="AP804" t="b">
        <f>IF(metadata!O804="",FALSE,TRUE)</f>
        <v>0</v>
      </c>
      <c r="AQ804" t="b">
        <f>IF(metadata!P804="",FALSE,TRUE)</f>
        <v>0</v>
      </c>
      <c r="AR804" t="b">
        <f>IF(metadata!Q804="",FALSE,ISNUMBER(VALUE(metadata!Q804)))</f>
        <v>0</v>
      </c>
      <c r="AS804" t="b">
        <f>AND(IF(metadata!R804="",FALSE,TRUE),EXACT(metadata!R804,"kg"))</f>
        <v>0</v>
      </c>
    </row>
    <row r="805" spans="1:45" x14ac:dyDescent="0.2">
      <c r="A805" s="5" t="str">
        <f ca="1">IF(B805=" "," ",HYPERLINK(CONCATENATE("#metadata!",ADDRESS(INDEX($X$2:$X$1001,MATCH(ROWS($V$2:V805),$V$2:$V$1001,0),0),1)),INDEX($AA$2:$AA$1001,MATCH(ROWS($V$2:V805),$V$2:$V$1001,0),0)))</f>
        <v xml:space="preserve"> </v>
      </c>
      <c r="B805" s="4" t="str">
        <f ca="1">IF(OR(INDEX($W$2:$W$1001,MATCH(ROWS($V$2:V805),$V$2:$V$1001,0),1)&gt;=100000,INDEX($AC$1005:$AS$1005,1,MATCH(COLUMNS($AC$1006:AC1006),$AC$1006:$AS$1006,0))&gt;=100000), " ",IF(INDEX($AC$2:$AS$1001,MATCH(ROWS($V$2:V805),$V$2:$V$1001,0),MATCH(COLUMNS($AC$1006:AC1006),$AC$1006:$AS$1006,0)), HYPERLINK("#",""), HYPERLINK(CONCATENATE("#metadata!", ADDRESS(INDEX($X$2:$X$1001,MATCH(ROWS($V$2:V805),$V$2:$V$1001,0),0), INDEX($AC$1004:$AS$1004,1,MATCH(COLUMNS($AC$1006:AC1006),$AC$1006:$AS$1006,0)))),"Fix")))</f>
        <v xml:space="preserve"> </v>
      </c>
      <c r="C805" s="4" t="str">
        <f ca="1">IF(OR(INDEX($W$2:$W$1001,MATCH(ROWS($V$2:V805),$V$2:$V$1001,0),1)&gt;=100000,INDEX($AC$1005:$AS$1005,1,MATCH(COLUMNS($AC$1006:AD1006),$AC$1006:$AS$1006,0))&gt;=100000), " ",IF(INDEX($AC$2:$AS$1001,MATCH(ROWS($V$2:V805),$V$2:$V$1001,0),MATCH(COLUMNS($AC$1006:AD1006),$AC$1006:$AS$1006,0)), HYPERLINK("#",""), HYPERLINK(CONCATENATE("#metadata!", ADDRESS(INDEX($X$2:$X$1001,MATCH(ROWS($V$2:V805),$V$2:$V$1001,0),0), INDEX($AC$1004:$AS$1004,1,MATCH(COLUMNS($AC$1006:AD1006),$AC$1006:$AS$1006,0)))),"Fix")))</f>
        <v xml:space="preserve"> </v>
      </c>
      <c r="D805" s="4" t="str">
        <f ca="1">IF(OR(INDEX($W$2:$W$1001,MATCH(ROWS($V$2:V805),$V$2:$V$1001,0),1)&gt;=100000,INDEX($AC$1005:$AS$1005,1,MATCH(COLUMNS($AC$1006:AE1006),$AC$1006:$AS$1006,0))&gt;=100000), " ",IF(INDEX($AC$2:$AS$1001,MATCH(ROWS($V$2:V805),$V$2:$V$1001,0),MATCH(COLUMNS($AC$1006:AE1006),$AC$1006:$AS$1006,0)), HYPERLINK("#",""), HYPERLINK(CONCATENATE("#metadata!", ADDRESS(INDEX($X$2:$X$1001,MATCH(ROWS($V$2:V805),$V$2:$V$1001,0),0), INDEX($AC$1004:$AS$1004,1,MATCH(COLUMNS($AC$1006:AE1006),$AC$1006:$AS$1006,0)))),"Fix")))</f>
        <v xml:space="preserve"> </v>
      </c>
      <c r="E805" s="4" t="str">
        <f ca="1">IF(OR(INDEX($W$2:$W$1001,MATCH(ROWS($V$2:V805),$V$2:$V$1001,0),1)&gt;=100000,INDEX($AC$1005:$AS$1005,1,MATCH(COLUMNS($AC$1006:AF1006),$AC$1006:$AS$1006,0))&gt;=100000), " ",IF(INDEX($AC$2:$AS$1001,MATCH(ROWS($V$2:V805),$V$2:$V$1001,0),MATCH(COLUMNS($AC$1006:AF1006),$AC$1006:$AS$1006,0)), HYPERLINK("#",""), HYPERLINK(CONCATENATE("#metadata!", ADDRESS(INDEX($X$2:$X$1001,MATCH(ROWS($V$2:V805),$V$2:$V$1001,0),0), INDEX($AC$1004:$AS$1004,1,MATCH(COLUMNS($AC$1006:AF1006),$AC$1006:$AS$1006,0)))),"Fix")))</f>
        <v xml:space="preserve"> </v>
      </c>
      <c r="F805" s="4" t="str">
        <f ca="1">IF(OR(INDEX($W$2:$W$1001,MATCH(ROWS($V$2:V805),$V$2:$V$1001,0),1)&gt;=100000,INDEX($AC$1005:$AS$1005,1,MATCH(COLUMNS($AC$1006:AG1006),$AC$1006:$AS$1006,0))&gt;=100000), " ",IF(INDEX($AC$2:$AS$1001,MATCH(ROWS($V$2:V805),$V$2:$V$1001,0),MATCH(COLUMNS($AC$1006:AG1006),$AC$1006:$AS$1006,0)), HYPERLINK("#",""), HYPERLINK(CONCATENATE("#metadata!", ADDRESS(INDEX($X$2:$X$1001,MATCH(ROWS($V$2:V805),$V$2:$V$1001,0),0), INDEX($AC$1004:$AS$1004,1,MATCH(COLUMNS($AC$1006:AG1006),$AC$1006:$AS$1006,0)))),"Fix")))</f>
        <v xml:space="preserve"> </v>
      </c>
      <c r="G805" s="4" t="str">
        <f ca="1">IF(OR(INDEX($W$2:$W$1001,MATCH(ROWS($V$2:V805),$V$2:$V$1001,0),1)&gt;=100000,INDEX($AC$1005:$AS$1005,1,MATCH(COLUMNS($AC$1006:AH1006),$AC$1006:$AS$1006,0))&gt;=100000), " ",IF(INDEX($AC$2:$AS$1001,MATCH(ROWS($V$2:V805),$V$2:$V$1001,0),MATCH(COLUMNS($AC$1006:AH1006),$AC$1006:$AS$1006,0)), HYPERLINK("#",""), HYPERLINK(CONCATENATE("#metadata!", ADDRESS(INDEX($X$2:$X$1001,MATCH(ROWS($V$2:V805),$V$2:$V$1001,0),0), INDEX($AC$1004:$AS$1004,1,MATCH(COLUMNS($AC$1006:AH1006),$AC$1006:$AS$1006,0)))),"Fix")))</f>
        <v xml:space="preserve"> </v>
      </c>
      <c r="H805" s="4" t="str">
        <f ca="1">IF(OR(INDEX($W$2:$W$1001,MATCH(ROWS($V$2:V805),$V$2:$V$1001,0),1)&gt;=100000,INDEX($AC$1005:$AS$1005,1,MATCH(COLUMNS($AC$1006:AI1006),$AC$1006:$AS$1006,0))&gt;=100000), " ",IF(INDEX($AC$2:$AS$1001,MATCH(ROWS($V$2:V805),$V$2:$V$1001,0),MATCH(COLUMNS($AC$1006:AI1006),$AC$1006:$AS$1006,0)), HYPERLINK("#",""), HYPERLINK(CONCATENATE("#metadata!", ADDRESS(INDEX($X$2:$X$1001,MATCH(ROWS($V$2:V805),$V$2:$V$1001,0),0), INDEX($AC$1004:$AS$1004,1,MATCH(COLUMNS($AC$1006:AI1006),$AC$1006:$AS$1006,0)))),"Fix")))</f>
        <v xml:space="preserve"> </v>
      </c>
      <c r="I805" s="4" t="str">
        <f ca="1">IF(OR(INDEX($W$2:$W$1001,MATCH(ROWS($V$2:V805),$V$2:$V$1001,0),1)&gt;=100000,INDEX($AC$1005:$AS$1005,1,MATCH(COLUMNS($AC$1006:AJ1006),$AC$1006:$AS$1006,0))&gt;=100000), " ",IF(INDEX($AC$2:$AS$1001,MATCH(ROWS($V$2:V805),$V$2:$V$1001,0),MATCH(COLUMNS($AC$1006:AJ1006),$AC$1006:$AS$1006,0)), HYPERLINK("#",""), HYPERLINK(CONCATENATE("#metadata!", ADDRESS(INDEX($X$2:$X$1001,MATCH(ROWS($V$2:V805),$V$2:$V$1001,0),0), INDEX($AC$1004:$AS$1004,1,MATCH(COLUMNS($AC$1006:AJ1006),$AC$1006:$AS$1006,0)))),"Fix")))</f>
        <v xml:space="preserve"> </v>
      </c>
      <c r="J805" s="4" t="str">
        <f ca="1">IF(OR(INDEX($W$2:$W$1001,MATCH(ROWS($V$2:V805),$V$2:$V$1001,0),1)&gt;=100000,INDEX($AC$1005:$AS$1005,1,MATCH(COLUMNS($AC$1006:AK1006),$AC$1006:$AS$1006,0))&gt;=100000), " ",IF(INDEX($AC$2:$AS$1001,MATCH(ROWS($V$2:V805),$V$2:$V$1001,0),MATCH(COLUMNS($AC$1006:AK1006),$AC$1006:$AS$1006,0)), HYPERLINK("#",""), HYPERLINK(CONCATENATE("#metadata!", ADDRESS(INDEX($X$2:$X$1001,MATCH(ROWS($V$2:V805),$V$2:$V$1001,0),0), INDEX($AC$1004:$AS$1004,1,MATCH(COLUMNS($AC$1006:AK1006),$AC$1006:$AS$1006,0)))),"Fix")))</f>
        <v xml:space="preserve"> </v>
      </c>
      <c r="K805" s="4" t="str">
        <f ca="1">IF(OR(INDEX($W$2:$W$1001,MATCH(ROWS($V$2:V805),$V$2:$V$1001,0),1)&gt;=100000,INDEX($AC$1005:$AS$1005,1,MATCH(COLUMNS($AC$1006:AL1006),$AC$1006:$AS$1006,0))&gt;=100000), " ",IF(INDEX($AC$2:$AS$1001,MATCH(ROWS($V$2:V805),$V$2:$V$1001,0),MATCH(COLUMNS($AC$1006:AL1006),$AC$1006:$AS$1006,0)), HYPERLINK("#",""), HYPERLINK(CONCATENATE("#metadata!", ADDRESS(INDEX($X$2:$X$1001,MATCH(ROWS($V$2:V805),$V$2:$V$1001,0),0), INDEX($AC$1004:$AS$1004,1,MATCH(COLUMNS($AC$1006:AL1006),$AC$1006:$AS$1006,0)))),"Fix")))</f>
        <v xml:space="preserve"> </v>
      </c>
      <c r="L805" s="4" t="str">
        <f ca="1">IF(OR(INDEX($W$2:$W$1001,MATCH(ROWS($V$2:V805),$V$2:$V$1001,0),1)&gt;=100000,INDEX($AC$1005:$AS$1005,1,MATCH(COLUMNS($AC$1006:AM1006),$AC$1006:$AS$1006,0))&gt;=100000), " ",IF(INDEX($AC$2:$AS$1001,MATCH(ROWS($V$2:V805),$V$2:$V$1001,0),MATCH(COLUMNS($AC$1006:AM1006),$AC$1006:$AS$1006,0)), HYPERLINK("#",""), HYPERLINK(CONCATENATE("#metadata!", ADDRESS(INDEX($X$2:$X$1001,MATCH(ROWS($V$2:V805),$V$2:$V$1001,0),0), INDEX($AC$1004:$AS$1004,1,MATCH(COLUMNS($AC$1006:AM1006),$AC$1006:$AS$1006,0)))),"Fix")))</f>
        <v xml:space="preserve"> </v>
      </c>
      <c r="M805" s="4" t="str">
        <f ca="1">IF(OR(INDEX($W$2:$W$1001,MATCH(ROWS($V$2:V805),$V$2:$V$1001,0),1)&gt;=100000,INDEX($AC$1005:$AS$1005,1,MATCH(COLUMNS($AC$1006:AN1006),$AC$1006:$AS$1006,0))&gt;=100000), " ",IF(INDEX($AC$2:$AS$1001,MATCH(ROWS($V$2:V805),$V$2:$V$1001,0),MATCH(COLUMNS($AC$1006:AN1006),$AC$1006:$AS$1006,0)), HYPERLINK("#",""), HYPERLINK(CONCATENATE("#metadata!", ADDRESS(INDEX($X$2:$X$1001,MATCH(ROWS($V$2:V805),$V$2:$V$1001,0),0), INDEX($AC$1004:$AS$1004,1,MATCH(COLUMNS($AC$1006:AN1006),$AC$1006:$AS$1006,0)))),"Fix")))</f>
        <v xml:space="preserve"> </v>
      </c>
      <c r="N805" s="4" t="str">
        <f ca="1">IF(OR(INDEX($W$2:$W$1001,MATCH(ROWS($V$2:V805),$V$2:$V$1001,0),1)&gt;=100000,INDEX($AC$1005:$AS$1005,1,MATCH(COLUMNS($AC$1006:AO1006),$AC$1006:$AS$1006,0))&gt;=100000), " ",IF(INDEX($AC$2:$AS$1001,MATCH(ROWS($V$2:V805),$V$2:$V$1001,0),MATCH(COLUMNS($AC$1006:AO1006),$AC$1006:$AS$1006,0)), HYPERLINK("#",""), HYPERLINK(CONCATENATE("#metadata!", ADDRESS(INDEX($X$2:$X$1001,MATCH(ROWS($V$2:V805),$V$2:$V$1001,0),0), INDEX($AC$1004:$AS$1004,1,MATCH(COLUMNS($AC$1006:AO1006),$AC$1006:$AS$1006,0)))),"Fix")))</f>
        <v xml:space="preserve"> </v>
      </c>
      <c r="O805" s="4" t="str">
        <f ca="1">IF(OR(INDEX($W$2:$W$1001,MATCH(ROWS($V$2:V805),$V$2:$V$1001,0),1)&gt;=100000,INDEX($AC$1005:$AS$1005,1,MATCH(COLUMNS($AC$1006:AP1006),$AC$1006:$AS$1006,0))&gt;=100000), " ",IF(INDEX($AC$2:$AS$1001,MATCH(ROWS($V$2:V805),$V$2:$V$1001,0),MATCH(COLUMNS($AC$1006:AP1006),$AC$1006:$AS$1006,0)), HYPERLINK("#",""), HYPERLINK(CONCATENATE("#metadata!", ADDRESS(INDEX($X$2:$X$1001,MATCH(ROWS($V$2:V805),$V$2:$V$1001,0),0), INDEX($AC$1004:$AS$1004,1,MATCH(COLUMNS($AC$1006:AP1006),$AC$1006:$AS$1006,0)))),"Fix")))</f>
        <v xml:space="preserve"> </v>
      </c>
      <c r="P805" s="4" t="str">
        <f ca="1">IF(OR(INDEX($W$2:$W$1001,MATCH(ROWS($V$2:V805),$V$2:$V$1001,0),1)&gt;=100000,INDEX($AC$1005:$AS$1005,1,MATCH(COLUMNS($AC$1006:AQ1006),$AC$1006:$AS$1006,0))&gt;=100000), " ",IF(INDEX($AC$2:$AS$1001,MATCH(ROWS($V$2:V805),$V$2:$V$1001,0),MATCH(COLUMNS($AC$1006:AQ1006),$AC$1006:$AS$1006,0)), HYPERLINK("#",""), HYPERLINK(CONCATENATE("#metadata!", ADDRESS(INDEX($X$2:$X$1001,MATCH(ROWS($V$2:V805),$V$2:$V$1001,0),0), INDEX($AC$1004:$AS$1004,1,MATCH(COLUMNS($AC$1006:AQ1006),$AC$1006:$AS$1006,0)))),"Fix")))</f>
        <v xml:space="preserve"> </v>
      </c>
      <c r="Q805" s="4" t="str">
        <f ca="1">IF(OR(INDEX($W$2:$W$1001,MATCH(ROWS($V$2:V805),$V$2:$V$1001,0),1)&gt;=100000,INDEX($AC$1005:$AS$1005,1,MATCH(COLUMNS($AC$1006:AR1006),$AC$1006:$AS$1006,0))&gt;=100000), " ",IF(INDEX($AC$2:$AS$1001,MATCH(ROWS($V$2:V805),$V$2:$V$1001,0),MATCH(COLUMNS($AC$1006:AR1006),$AC$1006:$AS$1006,0)), HYPERLINK("#",""), HYPERLINK(CONCATENATE("#metadata!", ADDRESS(INDEX($X$2:$X$1001,MATCH(ROWS($V$2:V805),$V$2:$V$1001,0),0), INDEX($AC$1004:$AS$1004,1,MATCH(COLUMNS($AC$1006:AR1006),$AC$1006:$AS$1006,0)))),"Fix")))</f>
        <v xml:space="preserve"> </v>
      </c>
      <c r="R805" s="4" t="str">
        <f ca="1">IF(OR(INDEX($W$2:$W$1001,MATCH(ROWS($V$2:V805),$V$2:$V$1001,0),1)&gt;=100000,INDEX($AC$1005:$AS$1005,1,MATCH(COLUMNS($AC$1006:AS1006),$AC$1006:$AS$1006,0))&gt;=100000), " ",IF(INDEX($AC$2:$AS$1001,MATCH(ROWS($V$2:V805),$V$2:$V$1001,0),MATCH(COLUMNS($AC$1006:AS1006),$AC$1006:$AS$1006,0)), HYPERLINK("#",""), HYPERLINK(CONCATENATE("#metadata!", ADDRESS(INDEX($X$2:$X$1001,MATCH(ROWS($V$2:V805),$V$2:$V$1001,0),0), INDEX($AC$1004:$AS$1004,1,MATCH(COLUMNS($AC$1006:AS1006),$AC$1006:$AS$1006,0)))),"Fix")))</f>
        <v xml:space="preserve"> </v>
      </c>
      <c r="V805">
        <v>804</v>
      </c>
      <c r="W805">
        <v>100805</v>
      </c>
      <c r="X805">
        <v>805</v>
      </c>
      <c r="Y805" t="b">
        <f t="shared" si="12"/>
        <v>1</v>
      </c>
      <c r="Z805" t="b">
        <f>COUNTBLANK(metadata!B805:R805)=COLUMNS(metadata!B805:R805)</f>
        <v>1</v>
      </c>
      <c r="AA805" t="str">
        <v/>
      </c>
      <c r="AC805" t="b">
        <f ca="1"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AD805" t="b">
        <f>IF(metadata!C805="",FALSE,ISNUMBER(VALUE(metadata!C805)))</f>
        <v>0</v>
      </c>
      <c r="AE805" t="b">
        <f>AND(IF(metadata!D805="",FALSE,TRUE),EXACT(metadata!D805,"years"))</f>
        <v>0</v>
      </c>
      <c r="AF805" t="b">
        <f>OR(AND(IF(metadata!E805="",FALSE,TRUE),OR(EXACT(metadata!E805,"not applicable"),EXACT(metadata!E805,"missing: not collected"),EXACT(metadata!E805,"missing: not provided"),EXACT(metadata!E805,"missing: restricted access"))),AND(IF(metadata!E805="",FALSE,ISNUMBER(VALUE(metadata!E805))),metadata!E805&gt;0))</f>
        <v>0</v>
      </c>
      <c r="AG805" t="b">
        <f>AND(IF(metadata!F805="",FALSE,TRUE),EXACT(metadata!F805,"Not applicable"))</f>
        <v>0</v>
      </c>
      <c r="AH805" t="b">
        <f>AND(IF(metadata!G805="",FALSE,TRUE),EXACT(metadata!G805,"urban biome"))</f>
        <v>0</v>
      </c>
      <c r="AI805" t="b">
        <f>AND(IF(metadata!H805="",FALSE,TRUE),EXACT(metadata!H805,"human-associated habitat"))</f>
        <v>0</v>
      </c>
      <c r="AJ805" t="b">
        <f>AND(IF(metadata!I805="",FALSE,TRUE),OR(EXACT(metadata!I805,"human-associated"),EXACT(metadata!I805,"human-skin"),EXACT(metadata!I805,"human-oral"),EXACT(metadata!I805,"human-gut"),EXACT(metadata!I805,"human-vaginal")))</f>
        <v>0</v>
      </c>
      <c r="AK805" t="b">
        <f>IF(metadata!J805="",FALSE,ISNUMBER(VALUE(metadata!J805)))</f>
        <v>0</v>
      </c>
      <c r="AL805" t="b">
        <f>AND(IF(metadata!K805="",FALSE,TRUE),EXACT(metadata!K805,"cm"))</f>
        <v>0</v>
      </c>
      <c r="AM805" t="b">
        <f>AND(IF(metadata!L805="",FALSE,TRUE),EXACT(metadata!L805,"human"))</f>
        <v>0</v>
      </c>
      <c r="AN805" t="b">
        <f>AND(IF(metadata!M805="",FALSE,TRUE),EXACT(metadata!M805,"Homo sapiens"))</f>
        <v>0</v>
      </c>
      <c r="AO805" t="b">
        <f>AND(IF(metadata!N805="",FALSE,TRUE),EXACT(metadata!N805,"9606"))</f>
        <v>0</v>
      </c>
      <c r="AP805" t="b">
        <f>IF(metadata!O805="",FALSE,TRUE)</f>
        <v>0</v>
      </c>
      <c r="AQ805" t="b">
        <f>IF(metadata!P805="",FALSE,TRUE)</f>
        <v>0</v>
      </c>
      <c r="AR805" t="b">
        <f>IF(metadata!Q805="",FALSE,ISNUMBER(VALUE(metadata!Q805)))</f>
        <v>0</v>
      </c>
      <c r="AS805" t="b">
        <f>AND(IF(metadata!R805="",FALSE,TRUE),EXACT(metadata!R805,"kg"))</f>
        <v>0</v>
      </c>
    </row>
    <row r="806" spans="1:45" x14ac:dyDescent="0.2">
      <c r="A806" s="5" t="str">
        <f ca="1">IF(B806=" "," ",HYPERLINK(CONCATENATE("#metadata!",ADDRESS(INDEX($X$2:$X$1001,MATCH(ROWS($V$2:V806),$V$2:$V$1001,0),0),1)),INDEX($AA$2:$AA$1001,MATCH(ROWS($V$2:V806),$V$2:$V$1001,0),0)))</f>
        <v xml:space="preserve"> </v>
      </c>
      <c r="B806" s="4" t="str">
        <f ca="1">IF(OR(INDEX($W$2:$W$1001,MATCH(ROWS($V$2:V806),$V$2:$V$1001,0),1)&gt;=100000,INDEX($AC$1005:$AS$1005,1,MATCH(COLUMNS($AC$1006:AC1006),$AC$1006:$AS$1006,0))&gt;=100000), " ",IF(INDEX($AC$2:$AS$1001,MATCH(ROWS($V$2:V806),$V$2:$V$1001,0),MATCH(COLUMNS($AC$1006:AC1006),$AC$1006:$AS$1006,0)), HYPERLINK("#",""), HYPERLINK(CONCATENATE("#metadata!", ADDRESS(INDEX($X$2:$X$1001,MATCH(ROWS($V$2:V806),$V$2:$V$1001,0),0), INDEX($AC$1004:$AS$1004,1,MATCH(COLUMNS($AC$1006:AC1006),$AC$1006:$AS$1006,0)))),"Fix")))</f>
        <v xml:space="preserve"> </v>
      </c>
      <c r="C806" s="4" t="str">
        <f ca="1">IF(OR(INDEX($W$2:$W$1001,MATCH(ROWS($V$2:V806),$V$2:$V$1001,0),1)&gt;=100000,INDEX($AC$1005:$AS$1005,1,MATCH(COLUMNS($AC$1006:AD1006),$AC$1006:$AS$1006,0))&gt;=100000), " ",IF(INDEX($AC$2:$AS$1001,MATCH(ROWS($V$2:V806),$V$2:$V$1001,0),MATCH(COLUMNS($AC$1006:AD1006),$AC$1006:$AS$1006,0)), HYPERLINK("#",""), HYPERLINK(CONCATENATE("#metadata!", ADDRESS(INDEX($X$2:$X$1001,MATCH(ROWS($V$2:V806),$V$2:$V$1001,0),0), INDEX($AC$1004:$AS$1004,1,MATCH(COLUMNS($AC$1006:AD1006),$AC$1006:$AS$1006,0)))),"Fix")))</f>
        <v xml:space="preserve"> </v>
      </c>
      <c r="D806" s="4" t="str">
        <f ca="1">IF(OR(INDEX($W$2:$W$1001,MATCH(ROWS($V$2:V806),$V$2:$V$1001,0),1)&gt;=100000,INDEX($AC$1005:$AS$1005,1,MATCH(COLUMNS($AC$1006:AE1006),$AC$1006:$AS$1006,0))&gt;=100000), " ",IF(INDEX($AC$2:$AS$1001,MATCH(ROWS($V$2:V806),$V$2:$V$1001,0),MATCH(COLUMNS($AC$1006:AE1006),$AC$1006:$AS$1006,0)), HYPERLINK("#",""), HYPERLINK(CONCATENATE("#metadata!", ADDRESS(INDEX($X$2:$X$1001,MATCH(ROWS($V$2:V806),$V$2:$V$1001,0),0), INDEX($AC$1004:$AS$1004,1,MATCH(COLUMNS($AC$1006:AE1006),$AC$1006:$AS$1006,0)))),"Fix")))</f>
        <v xml:space="preserve"> </v>
      </c>
      <c r="E806" s="4" t="str">
        <f ca="1">IF(OR(INDEX($W$2:$W$1001,MATCH(ROWS($V$2:V806),$V$2:$V$1001,0),1)&gt;=100000,INDEX($AC$1005:$AS$1005,1,MATCH(COLUMNS($AC$1006:AF1006),$AC$1006:$AS$1006,0))&gt;=100000), " ",IF(INDEX($AC$2:$AS$1001,MATCH(ROWS($V$2:V806),$V$2:$V$1001,0),MATCH(COLUMNS($AC$1006:AF1006),$AC$1006:$AS$1006,0)), HYPERLINK("#",""), HYPERLINK(CONCATENATE("#metadata!", ADDRESS(INDEX($X$2:$X$1001,MATCH(ROWS($V$2:V806),$V$2:$V$1001,0),0), INDEX($AC$1004:$AS$1004,1,MATCH(COLUMNS($AC$1006:AF1006),$AC$1006:$AS$1006,0)))),"Fix")))</f>
        <v xml:space="preserve"> </v>
      </c>
      <c r="F806" s="4" t="str">
        <f ca="1">IF(OR(INDEX($W$2:$W$1001,MATCH(ROWS($V$2:V806),$V$2:$V$1001,0),1)&gt;=100000,INDEX($AC$1005:$AS$1005,1,MATCH(COLUMNS($AC$1006:AG1006),$AC$1006:$AS$1006,0))&gt;=100000), " ",IF(INDEX($AC$2:$AS$1001,MATCH(ROWS($V$2:V806),$V$2:$V$1001,0),MATCH(COLUMNS($AC$1006:AG1006),$AC$1006:$AS$1006,0)), HYPERLINK("#",""), HYPERLINK(CONCATENATE("#metadata!", ADDRESS(INDEX($X$2:$X$1001,MATCH(ROWS($V$2:V806),$V$2:$V$1001,0),0), INDEX($AC$1004:$AS$1004,1,MATCH(COLUMNS($AC$1006:AG1006),$AC$1006:$AS$1006,0)))),"Fix")))</f>
        <v xml:space="preserve"> </v>
      </c>
      <c r="G806" s="4" t="str">
        <f ca="1">IF(OR(INDEX($W$2:$W$1001,MATCH(ROWS($V$2:V806),$V$2:$V$1001,0),1)&gt;=100000,INDEX($AC$1005:$AS$1005,1,MATCH(COLUMNS($AC$1006:AH1006),$AC$1006:$AS$1006,0))&gt;=100000), " ",IF(INDEX($AC$2:$AS$1001,MATCH(ROWS($V$2:V806),$V$2:$V$1001,0),MATCH(COLUMNS($AC$1006:AH1006),$AC$1006:$AS$1006,0)), HYPERLINK("#",""), HYPERLINK(CONCATENATE("#metadata!", ADDRESS(INDEX($X$2:$X$1001,MATCH(ROWS($V$2:V806),$V$2:$V$1001,0),0), INDEX($AC$1004:$AS$1004,1,MATCH(COLUMNS($AC$1006:AH1006),$AC$1006:$AS$1006,0)))),"Fix")))</f>
        <v xml:space="preserve"> </v>
      </c>
      <c r="H806" s="4" t="str">
        <f ca="1">IF(OR(INDEX($W$2:$W$1001,MATCH(ROWS($V$2:V806),$V$2:$V$1001,0),1)&gt;=100000,INDEX($AC$1005:$AS$1005,1,MATCH(COLUMNS($AC$1006:AI1006),$AC$1006:$AS$1006,0))&gt;=100000), " ",IF(INDEX($AC$2:$AS$1001,MATCH(ROWS($V$2:V806),$V$2:$V$1001,0),MATCH(COLUMNS($AC$1006:AI1006),$AC$1006:$AS$1006,0)), HYPERLINK("#",""), HYPERLINK(CONCATENATE("#metadata!", ADDRESS(INDEX($X$2:$X$1001,MATCH(ROWS($V$2:V806),$V$2:$V$1001,0),0), INDEX($AC$1004:$AS$1004,1,MATCH(COLUMNS($AC$1006:AI1006),$AC$1006:$AS$1006,0)))),"Fix")))</f>
        <v xml:space="preserve"> </v>
      </c>
      <c r="I806" s="4" t="str">
        <f ca="1">IF(OR(INDEX($W$2:$W$1001,MATCH(ROWS($V$2:V806),$V$2:$V$1001,0),1)&gt;=100000,INDEX($AC$1005:$AS$1005,1,MATCH(COLUMNS($AC$1006:AJ1006),$AC$1006:$AS$1006,0))&gt;=100000), " ",IF(INDEX($AC$2:$AS$1001,MATCH(ROWS($V$2:V806),$V$2:$V$1001,0),MATCH(COLUMNS($AC$1006:AJ1006),$AC$1006:$AS$1006,0)), HYPERLINK("#",""), HYPERLINK(CONCATENATE("#metadata!", ADDRESS(INDEX($X$2:$X$1001,MATCH(ROWS($V$2:V806),$V$2:$V$1001,0),0), INDEX($AC$1004:$AS$1004,1,MATCH(COLUMNS($AC$1006:AJ1006),$AC$1006:$AS$1006,0)))),"Fix")))</f>
        <v xml:space="preserve"> </v>
      </c>
      <c r="J806" s="4" t="str">
        <f ca="1">IF(OR(INDEX($W$2:$W$1001,MATCH(ROWS($V$2:V806),$V$2:$V$1001,0),1)&gt;=100000,INDEX($AC$1005:$AS$1005,1,MATCH(COLUMNS($AC$1006:AK1006),$AC$1006:$AS$1006,0))&gt;=100000), " ",IF(INDEX($AC$2:$AS$1001,MATCH(ROWS($V$2:V806),$V$2:$V$1001,0),MATCH(COLUMNS($AC$1006:AK1006),$AC$1006:$AS$1006,0)), HYPERLINK("#",""), HYPERLINK(CONCATENATE("#metadata!", ADDRESS(INDEX($X$2:$X$1001,MATCH(ROWS($V$2:V806),$V$2:$V$1001,0),0), INDEX($AC$1004:$AS$1004,1,MATCH(COLUMNS($AC$1006:AK1006),$AC$1006:$AS$1006,0)))),"Fix")))</f>
        <v xml:space="preserve"> </v>
      </c>
      <c r="K806" s="4" t="str">
        <f ca="1">IF(OR(INDEX($W$2:$W$1001,MATCH(ROWS($V$2:V806),$V$2:$V$1001,0),1)&gt;=100000,INDEX($AC$1005:$AS$1005,1,MATCH(COLUMNS($AC$1006:AL1006),$AC$1006:$AS$1006,0))&gt;=100000), " ",IF(INDEX($AC$2:$AS$1001,MATCH(ROWS($V$2:V806),$V$2:$V$1001,0),MATCH(COLUMNS($AC$1006:AL1006),$AC$1006:$AS$1006,0)), HYPERLINK("#",""), HYPERLINK(CONCATENATE("#metadata!", ADDRESS(INDEX($X$2:$X$1001,MATCH(ROWS($V$2:V806),$V$2:$V$1001,0),0), INDEX($AC$1004:$AS$1004,1,MATCH(COLUMNS($AC$1006:AL1006),$AC$1006:$AS$1006,0)))),"Fix")))</f>
        <v xml:space="preserve"> </v>
      </c>
      <c r="L806" s="4" t="str">
        <f ca="1">IF(OR(INDEX($W$2:$W$1001,MATCH(ROWS($V$2:V806),$V$2:$V$1001,0),1)&gt;=100000,INDEX($AC$1005:$AS$1005,1,MATCH(COLUMNS($AC$1006:AM1006),$AC$1006:$AS$1006,0))&gt;=100000), " ",IF(INDEX($AC$2:$AS$1001,MATCH(ROWS($V$2:V806),$V$2:$V$1001,0),MATCH(COLUMNS($AC$1006:AM1006),$AC$1006:$AS$1006,0)), HYPERLINK("#",""), HYPERLINK(CONCATENATE("#metadata!", ADDRESS(INDEX($X$2:$X$1001,MATCH(ROWS($V$2:V806),$V$2:$V$1001,0),0), INDEX($AC$1004:$AS$1004,1,MATCH(COLUMNS($AC$1006:AM1006),$AC$1006:$AS$1006,0)))),"Fix")))</f>
        <v xml:space="preserve"> </v>
      </c>
      <c r="M806" s="4" t="str">
        <f ca="1">IF(OR(INDEX($W$2:$W$1001,MATCH(ROWS($V$2:V806),$V$2:$V$1001,0),1)&gt;=100000,INDEX($AC$1005:$AS$1005,1,MATCH(COLUMNS($AC$1006:AN1006),$AC$1006:$AS$1006,0))&gt;=100000), " ",IF(INDEX($AC$2:$AS$1001,MATCH(ROWS($V$2:V806),$V$2:$V$1001,0),MATCH(COLUMNS($AC$1006:AN1006),$AC$1006:$AS$1006,0)), HYPERLINK("#",""), HYPERLINK(CONCATENATE("#metadata!", ADDRESS(INDEX($X$2:$X$1001,MATCH(ROWS($V$2:V806),$V$2:$V$1001,0),0), INDEX($AC$1004:$AS$1004,1,MATCH(COLUMNS($AC$1006:AN1006),$AC$1006:$AS$1006,0)))),"Fix")))</f>
        <v xml:space="preserve"> </v>
      </c>
      <c r="N806" s="4" t="str">
        <f ca="1">IF(OR(INDEX($W$2:$W$1001,MATCH(ROWS($V$2:V806),$V$2:$V$1001,0),1)&gt;=100000,INDEX($AC$1005:$AS$1005,1,MATCH(COLUMNS($AC$1006:AO1006),$AC$1006:$AS$1006,0))&gt;=100000), " ",IF(INDEX($AC$2:$AS$1001,MATCH(ROWS($V$2:V806),$V$2:$V$1001,0),MATCH(COLUMNS($AC$1006:AO1006),$AC$1006:$AS$1006,0)), HYPERLINK("#",""), HYPERLINK(CONCATENATE("#metadata!", ADDRESS(INDEX($X$2:$X$1001,MATCH(ROWS($V$2:V806),$V$2:$V$1001,0),0), INDEX($AC$1004:$AS$1004,1,MATCH(COLUMNS($AC$1006:AO1006),$AC$1006:$AS$1006,0)))),"Fix")))</f>
        <v xml:space="preserve"> </v>
      </c>
      <c r="O806" s="4" t="str">
        <f ca="1">IF(OR(INDEX($W$2:$W$1001,MATCH(ROWS($V$2:V806),$V$2:$V$1001,0),1)&gt;=100000,INDEX($AC$1005:$AS$1005,1,MATCH(COLUMNS($AC$1006:AP1006),$AC$1006:$AS$1006,0))&gt;=100000), " ",IF(INDEX($AC$2:$AS$1001,MATCH(ROWS($V$2:V806),$V$2:$V$1001,0),MATCH(COLUMNS($AC$1006:AP1006),$AC$1006:$AS$1006,0)), HYPERLINK("#",""), HYPERLINK(CONCATENATE("#metadata!", ADDRESS(INDEX($X$2:$X$1001,MATCH(ROWS($V$2:V806),$V$2:$V$1001,0),0), INDEX($AC$1004:$AS$1004,1,MATCH(COLUMNS($AC$1006:AP1006),$AC$1006:$AS$1006,0)))),"Fix")))</f>
        <v xml:space="preserve"> </v>
      </c>
      <c r="P806" s="4" t="str">
        <f ca="1">IF(OR(INDEX($W$2:$W$1001,MATCH(ROWS($V$2:V806),$V$2:$V$1001,0),1)&gt;=100000,INDEX($AC$1005:$AS$1005,1,MATCH(COLUMNS($AC$1006:AQ1006),$AC$1006:$AS$1006,0))&gt;=100000), " ",IF(INDEX($AC$2:$AS$1001,MATCH(ROWS($V$2:V806),$V$2:$V$1001,0),MATCH(COLUMNS($AC$1006:AQ1006),$AC$1006:$AS$1006,0)), HYPERLINK("#",""), HYPERLINK(CONCATENATE("#metadata!", ADDRESS(INDEX($X$2:$X$1001,MATCH(ROWS($V$2:V806),$V$2:$V$1001,0),0), INDEX($AC$1004:$AS$1004,1,MATCH(COLUMNS($AC$1006:AQ1006),$AC$1006:$AS$1006,0)))),"Fix")))</f>
        <v xml:space="preserve"> </v>
      </c>
      <c r="Q806" s="4" t="str">
        <f ca="1">IF(OR(INDEX($W$2:$W$1001,MATCH(ROWS($V$2:V806),$V$2:$V$1001,0),1)&gt;=100000,INDEX($AC$1005:$AS$1005,1,MATCH(COLUMNS($AC$1006:AR1006),$AC$1006:$AS$1006,0))&gt;=100000), " ",IF(INDEX($AC$2:$AS$1001,MATCH(ROWS($V$2:V806),$V$2:$V$1001,0),MATCH(COLUMNS($AC$1006:AR1006),$AC$1006:$AS$1006,0)), HYPERLINK("#",""), HYPERLINK(CONCATENATE("#metadata!", ADDRESS(INDEX($X$2:$X$1001,MATCH(ROWS($V$2:V806),$V$2:$V$1001,0),0), INDEX($AC$1004:$AS$1004,1,MATCH(COLUMNS($AC$1006:AR1006),$AC$1006:$AS$1006,0)))),"Fix")))</f>
        <v xml:space="preserve"> </v>
      </c>
      <c r="R806" s="4" t="str">
        <f ca="1">IF(OR(INDEX($W$2:$W$1001,MATCH(ROWS($V$2:V806),$V$2:$V$1001,0),1)&gt;=100000,INDEX($AC$1005:$AS$1005,1,MATCH(COLUMNS($AC$1006:AS1006),$AC$1006:$AS$1006,0))&gt;=100000), " ",IF(INDEX($AC$2:$AS$1001,MATCH(ROWS($V$2:V806),$V$2:$V$1001,0),MATCH(COLUMNS($AC$1006:AS1006),$AC$1006:$AS$1006,0)), HYPERLINK("#",""), HYPERLINK(CONCATENATE("#metadata!", ADDRESS(INDEX($X$2:$X$1001,MATCH(ROWS($V$2:V806),$V$2:$V$1001,0),0), INDEX($AC$1004:$AS$1004,1,MATCH(COLUMNS($AC$1006:AS1006),$AC$1006:$AS$1006,0)))),"Fix")))</f>
        <v xml:space="preserve"> </v>
      </c>
      <c r="V806">
        <v>805</v>
      </c>
      <c r="W806">
        <v>100806</v>
      </c>
      <c r="X806">
        <v>806</v>
      </c>
      <c r="Y806" t="b">
        <f t="shared" si="12"/>
        <v>1</v>
      </c>
      <c r="Z806" t="b">
        <f>COUNTBLANK(metadata!B806:R806)=COLUMNS(metadata!B806:R806)</f>
        <v>1</v>
      </c>
      <c r="AA806" t="str">
        <v/>
      </c>
      <c r="AC806" t="b">
        <f ca="1"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AD806" t="b">
        <f>IF(metadata!C806="",FALSE,ISNUMBER(VALUE(metadata!C806)))</f>
        <v>0</v>
      </c>
      <c r="AE806" t="b">
        <f>AND(IF(metadata!D806="",FALSE,TRUE),EXACT(metadata!D806,"years"))</f>
        <v>0</v>
      </c>
      <c r="AF806" t="b">
        <f>OR(AND(IF(metadata!E806="",FALSE,TRUE),OR(EXACT(metadata!E806,"not applicable"),EXACT(metadata!E806,"missing: not collected"),EXACT(metadata!E806,"missing: not provided"),EXACT(metadata!E806,"missing: restricted access"))),AND(IF(metadata!E806="",FALSE,ISNUMBER(VALUE(metadata!E806))),metadata!E806&gt;0))</f>
        <v>0</v>
      </c>
      <c r="AG806" t="b">
        <f>AND(IF(metadata!F806="",FALSE,TRUE),EXACT(metadata!F806,"Not applicable"))</f>
        <v>0</v>
      </c>
      <c r="AH806" t="b">
        <f>AND(IF(metadata!G806="",FALSE,TRUE),EXACT(metadata!G806,"urban biome"))</f>
        <v>0</v>
      </c>
      <c r="AI806" t="b">
        <f>AND(IF(metadata!H806="",FALSE,TRUE),EXACT(metadata!H806,"human-associated habitat"))</f>
        <v>0</v>
      </c>
      <c r="AJ806" t="b">
        <f>AND(IF(metadata!I806="",FALSE,TRUE),OR(EXACT(metadata!I806,"human-associated"),EXACT(metadata!I806,"human-skin"),EXACT(metadata!I806,"human-oral"),EXACT(metadata!I806,"human-gut"),EXACT(metadata!I806,"human-vaginal")))</f>
        <v>0</v>
      </c>
      <c r="AK806" t="b">
        <f>IF(metadata!J806="",FALSE,ISNUMBER(VALUE(metadata!J806)))</f>
        <v>0</v>
      </c>
      <c r="AL806" t="b">
        <f>AND(IF(metadata!K806="",FALSE,TRUE),EXACT(metadata!K806,"cm"))</f>
        <v>0</v>
      </c>
      <c r="AM806" t="b">
        <f>AND(IF(metadata!L806="",FALSE,TRUE),EXACT(metadata!L806,"human"))</f>
        <v>0</v>
      </c>
      <c r="AN806" t="b">
        <f>AND(IF(metadata!M806="",FALSE,TRUE),EXACT(metadata!M806,"Homo sapiens"))</f>
        <v>0</v>
      </c>
      <c r="AO806" t="b">
        <f>AND(IF(metadata!N806="",FALSE,TRUE),EXACT(metadata!N806,"9606"))</f>
        <v>0</v>
      </c>
      <c r="AP806" t="b">
        <f>IF(metadata!O806="",FALSE,TRUE)</f>
        <v>0</v>
      </c>
      <c r="AQ806" t="b">
        <f>IF(metadata!P806="",FALSE,TRUE)</f>
        <v>0</v>
      </c>
      <c r="AR806" t="b">
        <f>IF(metadata!Q806="",FALSE,ISNUMBER(VALUE(metadata!Q806)))</f>
        <v>0</v>
      </c>
      <c r="AS806" t="b">
        <f>AND(IF(metadata!R806="",FALSE,TRUE),EXACT(metadata!R806,"kg"))</f>
        <v>0</v>
      </c>
    </row>
    <row r="807" spans="1:45" x14ac:dyDescent="0.2">
      <c r="A807" s="5" t="str">
        <f ca="1">IF(B807=" "," ",HYPERLINK(CONCATENATE("#metadata!",ADDRESS(INDEX($X$2:$X$1001,MATCH(ROWS($V$2:V807),$V$2:$V$1001,0),0),1)),INDEX($AA$2:$AA$1001,MATCH(ROWS($V$2:V807),$V$2:$V$1001,0),0)))</f>
        <v xml:space="preserve"> </v>
      </c>
      <c r="B807" s="4" t="str">
        <f ca="1">IF(OR(INDEX($W$2:$W$1001,MATCH(ROWS($V$2:V807),$V$2:$V$1001,0),1)&gt;=100000,INDEX($AC$1005:$AS$1005,1,MATCH(COLUMNS($AC$1006:AC1006),$AC$1006:$AS$1006,0))&gt;=100000), " ",IF(INDEX($AC$2:$AS$1001,MATCH(ROWS($V$2:V807),$V$2:$V$1001,0),MATCH(COLUMNS($AC$1006:AC1006),$AC$1006:$AS$1006,0)), HYPERLINK("#",""), HYPERLINK(CONCATENATE("#metadata!", ADDRESS(INDEX($X$2:$X$1001,MATCH(ROWS($V$2:V807),$V$2:$V$1001,0),0), INDEX($AC$1004:$AS$1004,1,MATCH(COLUMNS($AC$1006:AC1006),$AC$1006:$AS$1006,0)))),"Fix")))</f>
        <v xml:space="preserve"> </v>
      </c>
      <c r="C807" s="4" t="str">
        <f ca="1">IF(OR(INDEX($W$2:$W$1001,MATCH(ROWS($V$2:V807),$V$2:$V$1001,0),1)&gt;=100000,INDEX($AC$1005:$AS$1005,1,MATCH(COLUMNS($AC$1006:AD1006),$AC$1006:$AS$1006,0))&gt;=100000), " ",IF(INDEX($AC$2:$AS$1001,MATCH(ROWS($V$2:V807),$V$2:$V$1001,0),MATCH(COLUMNS($AC$1006:AD1006),$AC$1006:$AS$1006,0)), HYPERLINK("#",""), HYPERLINK(CONCATENATE("#metadata!", ADDRESS(INDEX($X$2:$X$1001,MATCH(ROWS($V$2:V807),$V$2:$V$1001,0),0), INDEX($AC$1004:$AS$1004,1,MATCH(COLUMNS($AC$1006:AD1006),$AC$1006:$AS$1006,0)))),"Fix")))</f>
        <v xml:space="preserve"> </v>
      </c>
      <c r="D807" s="4" t="str">
        <f ca="1">IF(OR(INDEX($W$2:$W$1001,MATCH(ROWS($V$2:V807),$V$2:$V$1001,0),1)&gt;=100000,INDEX($AC$1005:$AS$1005,1,MATCH(COLUMNS($AC$1006:AE1006),$AC$1006:$AS$1006,0))&gt;=100000), " ",IF(INDEX($AC$2:$AS$1001,MATCH(ROWS($V$2:V807),$V$2:$V$1001,0),MATCH(COLUMNS($AC$1006:AE1006),$AC$1006:$AS$1006,0)), HYPERLINK("#",""), HYPERLINK(CONCATENATE("#metadata!", ADDRESS(INDEX($X$2:$X$1001,MATCH(ROWS($V$2:V807),$V$2:$V$1001,0),0), INDEX($AC$1004:$AS$1004,1,MATCH(COLUMNS($AC$1006:AE1006),$AC$1006:$AS$1006,0)))),"Fix")))</f>
        <v xml:space="preserve"> </v>
      </c>
      <c r="E807" s="4" t="str">
        <f ca="1">IF(OR(INDEX($W$2:$W$1001,MATCH(ROWS($V$2:V807),$V$2:$V$1001,0),1)&gt;=100000,INDEX($AC$1005:$AS$1005,1,MATCH(COLUMNS($AC$1006:AF1006),$AC$1006:$AS$1006,0))&gt;=100000), " ",IF(INDEX($AC$2:$AS$1001,MATCH(ROWS($V$2:V807),$V$2:$V$1001,0),MATCH(COLUMNS($AC$1006:AF1006),$AC$1006:$AS$1006,0)), HYPERLINK("#",""), HYPERLINK(CONCATENATE("#metadata!", ADDRESS(INDEX($X$2:$X$1001,MATCH(ROWS($V$2:V807),$V$2:$V$1001,0),0), INDEX($AC$1004:$AS$1004,1,MATCH(COLUMNS($AC$1006:AF1006),$AC$1006:$AS$1006,0)))),"Fix")))</f>
        <v xml:space="preserve"> </v>
      </c>
      <c r="F807" s="4" t="str">
        <f ca="1">IF(OR(INDEX($W$2:$W$1001,MATCH(ROWS($V$2:V807),$V$2:$V$1001,0),1)&gt;=100000,INDEX($AC$1005:$AS$1005,1,MATCH(COLUMNS($AC$1006:AG1006),$AC$1006:$AS$1006,0))&gt;=100000), " ",IF(INDEX($AC$2:$AS$1001,MATCH(ROWS($V$2:V807),$V$2:$V$1001,0),MATCH(COLUMNS($AC$1006:AG1006),$AC$1006:$AS$1006,0)), HYPERLINK("#",""), HYPERLINK(CONCATENATE("#metadata!", ADDRESS(INDEX($X$2:$X$1001,MATCH(ROWS($V$2:V807),$V$2:$V$1001,0),0), INDEX($AC$1004:$AS$1004,1,MATCH(COLUMNS($AC$1006:AG1006),$AC$1006:$AS$1006,0)))),"Fix")))</f>
        <v xml:space="preserve"> </v>
      </c>
      <c r="G807" s="4" t="str">
        <f ca="1">IF(OR(INDEX($W$2:$W$1001,MATCH(ROWS($V$2:V807),$V$2:$V$1001,0),1)&gt;=100000,INDEX($AC$1005:$AS$1005,1,MATCH(COLUMNS($AC$1006:AH1006),$AC$1006:$AS$1006,0))&gt;=100000), " ",IF(INDEX($AC$2:$AS$1001,MATCH(ROWS($V$2:V807),$V$2:$V$1001,0),MATCH(COLUMNS($AC$1006:AH1006),$AC$1006:$AS$1006,0)), HYPERLINK("#",""), HYPERLINK(CONCATENATE("#metadata!", ADDRESS(INDEX($X$2:$X$1001,MATCH(ROWS($V$2:V807),$V$2:$V$1001,0),0), INDEX($AC$1004:$AS$1004,1,MATCH(COLUMNS($AC$1006:AH1006),$AC$1006:$AS$1006,0)))),"Fix")))</f>
        <v xml:space="preserve"> </v>
      </c>
      <c r="H807" s="4" t="str">
        <f ca="1">IF(OR(INDEX($W$2:$W$1001,MATCH(ROWS($V$2:V807),$V$2:$V$1001,0),1)&gt;=100000,INDEX($AC$1005:$AS$1005,1,MATCH(COLUMNS($AC$1006:AI1006),$AC$1006:$AS$1006,0))&gt;=100000), " ",IF(INDEX($AC$2:$AS$1001,MATCH(ROWS($V$2:V807),$V$2:$V$1001,0),MATCH(COLUMNS($AC$1006:AI1006),$AC$1006:$AS$1006,0)), HYPERLINK("#",""), HYPERLINK(CONCATENATE("#metadata!", ADDRESS(INDEX($X$2:$X$1001,MATCH(ROWS($V$2:V807),$V$2:$V$1001,0),0), INDEX($AC$1004:$AS$1004,1,MATCH(COLUMNS($AC$1006:AI1006),$AC$1006:$AS$1006,0)))),"Fix")))</f>
        <v xml:space="preserve"> </v>
      </c>
      <c r="I807" s="4" t="str">
        <f ca="1">IF(OR(INDEX($W$2:$W$1001,MATCH(ROWS($V$2:V807),$V$2:$V$1001,0),1)&gt;=100000,INDEX($AC$1005:$AS$1005,1,MATCH(COLUMNS($AC$1006:AJ1006),$AC$1006:$AS$1006,0))&gt;=100000), " ",IF(INDEX($AC$2:$AS$1001,MATCH(ROWS($V$2:V807),$V$2:$V$1001,0),MATCH(COLUMNS($AC$1006:AJ1006),$AC$1006:$AS$1006,0)), HYPERLINK("#",""), HYPERLINK(CONCATENATE("#metadata!", ADDRESS(INDEX($X$2:$X$1001,MATCH(ROWS($V$2:V807),$V$2:$V$1001,0),0), INDEX($AC$1004:$AS$1004,1,MATCH(COLUMNS($AC$1006:AJ1006),$AC$1006:$AS$1006,0)))),"Fix")))</f>
        <v xml:space="preserve"> </v>
      </c>
      <c r="J807" s="4" t="str">
        <f ca="1">IF(OR(INDEX($W$2:$W$1001,MATCH(ROWS($V$2:V807),$V$2:$V$1001,0),1)&gt;=100000,INDEX($AC$1005:$AS$1005,1,MATCH(COLUMNS($AC$1006:AK1006),$AC$1006:$AS$1006,0))&gt;=100000), " ",IF(INDEX($AC$2:$AS$1001,MATCH(ROWS($V$2:V807),$V$2:$V$1001,0),MATCH(COLUMNS($AC$1006:AK1006),$AC$1006:$AS$1006,0)), HYPERLINK("#",""), HYPERLINK(CONCATENATE("#metadata!", ADDRESS(INDEX($X$2:$X$1001,MATCH(ROWS($V$2:V807),$V$2:$V$1001,0),0), INDEX($AC$1004:$AS$1004,1,MATCH(COLUMNS($AC$1006:AK1006),$AC$1006:$AS$1006,0)))),"Fix")))</f>
        <v xml:space="preserve"> </v>
      </c>
      <c r="K807" s="4" t="str">
        <f ca="1">IF(OR(INDEX($W$2:$W$1001,MATCH(ROWS($V$2:V807),$V$2:$V$1001,0),1)&gt;=100000,INDEX($AC$1005:$AS$1005,1,MATCH(COLUMNS($AC$1006:AL1006),$AC$1006:$AS$1006,0))&gt;=100000), " ",IF(INDEX($AC$2:$AS$1001,MATCH(ROWS($V$2:V807),$V$2:$V$1001,0),MATCH(COLUMNS($AC$1006:AL1006),$AC$1006:$AS$1006,0)), HYPERLINK("#",""), HYPERLINK(CONCATENATE("#metadata!", ADDRESS(INDEX($X$2:$X$1001,MATCH(ROWS($V$2:V807),$V$2:$V$1001,0),0), INDEX($AC$1004:$AS$1004,1,MATCH(COLUMNS($AC$1006:AL1006),$AC$1006:$AS$1006,0)))),"Fix")))</f>
        <v xml:space="preserve"> </v>
      </c>
      <c r="L807" s="4" t="str">
        <f ca="1">IF(OR(INDEX($W$2:$W$1001,MATCH(ROWS($V$2:V807),$V$2:$V$1001,0),1)&gt;=100000,INDEX($AC$1005:$AS$1005,1,MATCH(COLUMNS($AC$1006:AM1006),$AC$1006:$AS$1006,0))&gt;=100000), " ",IF(INDEX($AC$2:$AS$1001,MATCH(ROWS($V$2:V807),$V$2:$V$1001,0),MATCH(COLUMNS($AC$1006:AM1006),$AC$1006:$AS$1006,0)), HYPERLINK("#",""), HYPERLINK(CONCATENATE("#metadata!", ADDRESS(INDEX($X$2:$X$1001,MATCH(ROWS($V$2:V807),$V$2:$V$1001,0),0), INDEX($AC$1004:$AS$1004,1,MATCH(COLUMNS($AC$1006:AM1006),$AC$1006:$AS$1006,0)))),"Fix")))</f>
        <v xml:space="preserve"> </v>
      </c>
      <c r="M807" s="4" t="str">
        <f ca="1">IF(OR(INDEX($W$2:$W$1001,MATCH(ROWS($V$2:V807),$V$2:$V$1001,0),1)&gt;=100000,INDEX($AC$1005:$AS$1005,1,MATCH(COLUMNS($AC$1006:AN1006),$AC$1006:$AS$1006,0))&gt;=100000), " ",IF(INDEX($AC$2:$AS$1001,MATCH(ROWS($V$2:V807),$V$2:$V$1001,0),MATCH(COLUMNS($AC$1006:AN1006),$AC$1006:$AS$1006,0)), HYPERLINK("#",""), HYPERLINK(CONCATENATE("#metadata!", ADDRESS(INDEX($X$2:$X$1001,MATCH(ROWS($V$2:V807),$V$2:$V$1001,0),0), INDEX($AC$1004:$AS$1004,1,MATCH(COLUMNS($AC$1006:AN1006),$AC$1006:$AS$1006,0)))),"Fix")))</f>
        <v xml:space="preserve"> </v>
      </c>
      <c r="N807" s="4" t="str">
        <f ca="1">IF(OR(INDEX($W$2:$W$1001,MATCH(ROWS($V$2:V807),$V$2:$V$1001,0),1)&gt;=100000,INDEX($AC$1005:$AS$1005,1,MATCH(COLUMNS($AC$1006:AO1006),$AC$1006:$AS$1006,0))&gt;=100000), " ",IF(INDEX($AC$2:$AS$1001,MATCH(ROWS($V$2:V807),$V$2:$V$1001,0),MATCH(COLUMNS($AC$1006:AO1006),$AC$1006:$AS$1006,0)), HYPERLINK("#",""), HYPERLINK(CONCATENATE("#metadata!", ADDRESS(INDEX($X$2:$X$1001,MATCH(ROWS($V$2:V807),$V$2:$V$1001,0),0), INDEX($AC$1004:$AS$1004,1,MATCH(COLUMNS($AC$1006:AO1006),$AC$1006:$AS$1006,0)))),"Fix")))</f>
        <v xml:space="preserve"> </v>
      </c>
      <c r="O807" s="4" t="str">
        <f ca="1">IF(OR(INDEX($W$2:$W$1001,MATCH(ROWS($V$2:V807),$V$2:$V$1001,0),1)&gt;=100000,INDEX($AC$1005:$AS$1005,1,MATCH(COLUMNS($AC$1006:AP1006),$AC$1006:$AS$1006,0))&gt;=100000), " ",IF(INDEX($AC$2:$AS$1001,MATCH(ROWS($V$2:V807),$V$2:$V$1001,0),MATCH(COLUMNS($AC$1006:AP1006),$AC$1006:$AS$1006,0)), HYPERLINK("#",""), HYPERLINK(CONCATENATE("#metadata!", ADDRESS(INDEX($X$2:$X$1001,MATCH(ROWS($V$2:V807),$V$2:$V$1001,0),0), INDEX($AC$1004:$AS$1004,1,MATCH(COLUMNS($AC$1006:AP1006),$AC$1006:$AS$1006,0)))),"Fix")))</f>
        <v xml:space="preserve"> </v>
      </c>
      <c r="P807" s="4" t="str">
        <f ca="1">IF(OR(INDEX($W$2:$W$1001,MATCH(ROWS($V$2:V807),$V$2:$V$1001,0),1)&gt;=100000,INDEX($AC$1005:$AS$1005,1,MATCH(COLUMNS($AC$1006:AQ1006),$AC$1006:$AS$1006,0))&gt;=100000), " ",IF(INDEX($AC$2:$AS$1001,MATCH(ROWS($V$2:V807),$V$2:$V$1001,0),MATCH(COLUMNS($AC$1006:AQ1006),$AC$1006:$AS$1006,0)), HYPERLINK("#",""), HYPERLINK(CONCATENATE("#metadata!", ADDRESS(INDEX($X$2:$X$1001,MATCH(ROWS($V$2:V807),$V$2:$V$1001,0),0), INDEX($AC$1004:$AS$1004,1,MATCH(COLUMNS($AC$1006:AQ1006),$AC$1006:$AS$1006,0)))),"Fix")))</f>
        <v xml:space="preserve"> </v>
      </c>
      <c r="Q807" s="4" t="str">
        <f ca="1">IF(OR(INDEX($W$2:$W$1001,MATCH(ROWS($V$2:V807),$V$2:$V$1001,0),1)&gt;=100000,INDEX($AC$1005:$AS$1005,1,MATCH(COLUMNS($AC$1006:AR1006),$AC$1006:$AS$1006,0))&gt;=100000), " ",IF(INDEX($AC$2:$AS$1001,MATCH(ROWS($V$2:V807),$V$2:$V$1001,0),MATCH(COLUMNS($AC$1006:AR1006),$AC$1006:$AS$1006,0)), HYPERLINK("#",""), HYPERLINK(CONCATENATE("#metadata!", ADDRESS(INDEX($X$2:$X$1001,MATCH(ROWS($V$2:V807),$V$2:$V$1001,0),0), INDEX($AC$1004:$AS$1004,1,MATCH(COLUMNS($AC$1006:AR1006),$AC$1006:$AS$1006,0)))),"Fix")))</f>
        <v xml:space="preserve"> </v>
      </c>
      <c r="R807" s="4" t="str">
        <f ca="1">IF(OR(INDEX($W$2:$W$1001,MATCH(ROWS($V$2:V807),$V$2:$V$1001,0),1)&gt;=100000,INDEX($AC$1005:$AS$1005,1,MATCH(COLUMNS($AC$1006:AS1006),$AC$1006:$AS$1006,0))&gt;=100000), " ",IF(INDEX($AC$2:$AS$1001,MATCH(ROWS($V$2:V807),$V$2:$V$1001,0),MATCH(COLUMNS($AC$1006:AS1006),$AC$1006:$AS$1006,0)), HYPERLINK("#",""), HYPERLINK(CONCATENATE("#metadata!", ADDRESS(INDEX($X$2:$X$1001,MATCH(ROWS($V$2:V807),$V$2:$V$1001,0),0), INDEX($AC$1004:$AS$1004,1,MATCH(COLUMNS($AC$1006:AS1006),$AC$1006:$AS$1006,0)))),"Fix")))</f>
        <v xml:space="preserve"> </v>
      </c>
      <c r="V807">
        <v>806</v>
      </c>
      <c r="W807">
        <v>100807</v>
      </c>
      <c r="X807">
        <v>807</v>
      </c>
      <c r="Y807" t="b">
        <f t="shared" si="12"/>
        <v>1</v>
      </c>
      <c r="Z807" t="b">
        <f>COUNTBLANK(metadata!B807:R807)=COLUMNS(metadata!B807:R807)</f>
        <v>1</v>
      </c>
      <c r="AA807" t="str">
        <v/>
      </c>
      <c r="AC807" t="b">
        <f ca="1"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AD807" t="b">
        <f>IF(metadata!C807="",FALSE,ISNUMBER(VALUE(metadata!C807)))</f>
        <v>0</v>
      </c>
      <c r="AE807" t="b">
        <f>AND(IF(metadata!D807="",FALSE,TRUE),EXACT(metadata!D807,"years"))</f>
        <v>0</v>
      </c>
      <c r="AF807" t="b">
        <f>OR(AND(IF(metadata!E807="",FALSE,TRUE),OR(EXACT(metadata!E807,"not applicable"),EXACT(metadata!E807,"missing: not collected"),EXACT(metadata!E807,"missing: not provided"),EXACT(metadata!E807,"missing: restricted access"))),AND(IF(metadata!E807="",FALSE,ISNUMBER(VALUE(metadata!E807))),metadata!E807&gt;0))</f>
        <v>0</v>
      </c>
      <c r="AG807" t="b">
        <f>AND(IF(metadata!F807="",FALSE,TRUE),EXACT(metadata!F807,"Not applicable"))</f>
        <v>0</v>
      </c>
      <c r="AH807" t="b">
        <f>AND(IF(metadata!G807="",FALSE,TRUE),EXACT(metadata!G807,"urban biome"))</f>
        <v>0</v>
      </c>
      <c r="AI807" t="b">
        <f>AND(IF(metadata!H807="",FALSE,TRUE),EXACT(metadata!H807,"human-associated habitat"))</f>
        <v>0</v>
      </c>
      <c r="AJ807" t="b">
        <f>AND(IF(metadata!I807="",FALSE,TRUE),OR(EXACT(metadata!I807,"human-associated"),EXACT(metadata!I807,"human-skin"),EXACT(metadata!I807,"human-oral"),EXACT(metadata!I807,"human-gut"),EXACT(metadata!I807,"human-vaginal")))</f>
        <v>0</v>
      </c>
      <c r="AK807" t="b">
        <f>IF(metadata!J807="",FALSE,ISNUMBER(VALUE(metadata!J807)))</f>
        <v>0</v>
      </c>
      <c r="AL807" t="b">
        <f>AND(IF(metadata!K807="",FALSE,TRUE),EXACT(metadata!K807,"cm"))</f>
        <v>0</v>
      </c>
      <c r="AM807" t="b">
        <f>AND(IF(metadata!L807="",FALSE,TRUE),EXACT(metadata!L807,"human"))</f>
        <v>0</v>
      </c>
      <c r="AN807" t="b">
        <f>AND(IF(metadata!M807="",FALSE,TRUE),EXACT(metadata!M807,"Homo sapiens"))</f>
        <v>0</v>
      </c>
      <c r="AO807" t="b">
        <f>AND(IF(metadata!N807="",FALSE,TRUE),EXACT(metadata!N807,"9606"))</f>
        <v>0</v>
      </c>
      <c r="AP807" t="b">
        <f>IF(metadata!O807="",FALSE,TRUE)</f>
        <v>0</v>
      </c>
      <c r="AQ807" t="b">
        <f>IF(metadata!P807="",FALSE,TRUE)</f>
        <v>0</v>
      </c>
      <c r="AR807" t="b">
        <f>IF(metadata!Q807="",FALSE,ISNUMBER(VALUE(metadata!Q807)))</f>
        <v>0</v>
      </c>
      <c r="AS807" t="b">
        <f>AND(IF(metadata!R807="",FALSE,TRUE),EXACT(metadata!R807,"kg"))</f>
        <v>0</v>
      </c>
    </row>
    <row r="808" spans="1:45" x14ac:dyDescent="0.2">
      <c r="A808" s="5" t="str">
        <f ca="1">IF(B808=" "," ",HYPERLINK(CONCATENATE("#metadata!",ADDRESS(INDEX($X$2:$X$1001,MATCH(ROWS($V$2:V808),$V$2:$V$1001,0),0),1)),INDEX($AA$2:$AA$1001,MATCH(ROWS($V$2:V808),$V$2:$V$1001,0),0)))</f>
        <v xml:space="preserve"> </v>
      </c>
      <c r="B808" s="4" t="str">
        <f ca="1">IF(OR(INDEX($W$2:$W$1001,MATCH(ROWS($V$2:V808),$V$2:$V$1001,0),1)&gt;=100000,INDEX($AC$1005:$AS$1005,1,MATCH(COLUMNS($AC$1006:AC1006),$AC$1006:$AS$1006,0))&gt;=100000), " ",IF(INDEX($AC$2:$AS$1001,MATCH(ROWS($V$2:V808),$V$2:$V$1001,0),MATCH(COLUMNS($AC$1006:AC1006),$AC$1006:$AS$1006,0)), HYPERLINK("#",""), HYPERLINK(CONCATENATE("#metadata!", ADDRESS(INDEX($X$2:$X$1001,MATCH(ROWS($V$2:V808),$V$2:$V$1001,0),0), INDEX($AC$1004:$AS$1004,1,MATCH(COLUMNS($AC$1006:AC1006),$AC$1006:$AS$1006,0)))),"Fix")))</f>
        <v xml:space="preserve"> </v>
      </c>
      <c r="C808" s="4" t="str">
        <f ca="1">IF(OR(INDEX($W$2:$W$1001,MATCH(ROWS($V$2:V808),$V$2:$V$1001,0),1)&gt;=100000,INDEX($AC$1005:$AS$1005,1,MATCH(COLUMNS($AC$1006:AD1006),$AC$1006:$AS$1006,0))&gt;=100000), " ",IF(INDEX($AC$2:$AS$1001,MATCH(ROWS($V$2:V808),$V$2:$V$1001,0),MATCH(COLUMNS($AC$1006:AD1006),$AC$1006:$AS$1006,0)), HYPERLINK("#",""), HYPERLINK(CONCATENATE("#metadata!", ADDRESS(INDEX($X$2:$X$1001,MATCH(ROWS($V$2:V808),$V$2:$V$1001,0),0), INDEX($AC$1004:$AS$1004,1,MATCH(COLUMNS($AC$1006:AD1006),$AC$1006:$AS$1006,0)))),"Fix")))</f>
        <v xml:space="preserve"> </v>
      </c>
      <c r="D808" s="4" t="str">
        <f ca="1">IF(OR(INDEX($W$2:$W$1001,MATCH(ROWS($V$2:V808),$V$2:$V$1001,0),1)&gt;=100000,INDEX($AC$1005:$AS$1005,1,MATCH(COLUMNS($AC$1006:AE1006),$AC$1006:$AS$1006,0))&gt;=100000), " ",IF(INDEX($AC$2:$AS$1001,MATCH(ROWS($V$2:V808),$V$2:$V$1001,0),MATCH(COLUMNS($AC$1006:AE1006),$AC$1006:$AS$1006,0)), HYPERLINK("#",""), HYPERLINK(CONCATENATE("#metadata!", ADDRESS(INDEX($X$2:$X$1001,MATCH(ROWS($V$2:V808),$V$2:$V$1001,0),0), INDEX($AC$1004:$AS$1004,1,MATCH(COLUMNS($AC$1006:AE1006),$AC$1006:$AS$1006,0)))),"Fix")))</f>
        <v xml:space="preserve"> </v>
      </c>
      <c r="E808" s="4" t="str">
        <f ca="1">IF(OR(INDEX($W$2:$W$1001,MATCH(ROWS($V$2:V808),$V$2:$V$1001,0),1)&gt;=100000,INDEX($AC$1005:$AS$1005,1,MATCH(COLUMNS($AC$1006:AF1006),$AC$1006:$AS$1006,0))&gt;=100000), " ",IF(INDEX($AC$2:$AS$1001,MATCH(ROWS($V$2:V808),$V$2:$V$1001,0),MATCH(COLUMNS($AC$1006:AF1006),$AC$1006:$AS$1006,0)), HYPERLINK("#",""), HYPERLINK(CONCATENATE("#metadata!", ADDRESS(INDEX($X$2:$X$1001,MATCH(ROWS($V$2:V808),$V$2:$V$1001,0),0), INDEX($AC$1004:$AS$1004,1,MATCH(COLUMNS($AC$1006:AF1006),$AC$1006:$AS$1006,0)))),"Fix")))</f>
        <v xml:space="preserve"> </v>
      </c>
      <c r="F808" s="4" t="str">
        <f ca="1">IF(OR(INDEX($W$2:$W$1001,MATCH(ROWS($V$2:V808),$V$2:$V$1001,0),1)&gt;=100000,INDEX($AC$1005:$AS$1005,1,MATCH(COLUMNS($AC$1006:AG1006),$AC$1006:$AS$1006,0))&gt;=100000), " ",IF(INDEX($AC$2:$AS$1001,MATCH(ROWS($V$2:V808),$V$2:$V$1001,0),MATCH(COLUMNS($AC$1006:AG1006),$AC$1006:$AS$1006,0)), HYPERLINK("#",""), HYPERLINK(CONCATENATE("#metadata!", ADDRESS(INDEX($X$2:$X$1001,MATCH(ROWS($V$2:V808),$V$2:$V$1001,0),0), INDEX($AC$1004:$AS$1004,1,MATCH(COLUMNS($AC$1006:AG1006),$AC$1006:$AS$1006,0)))),"Fix")))</f>
        <v xml:space="preserve"> </v>
      </c>
      <c r="G808" s="4" t="str">
        <f ca="1">IF(OR(INDEX($W$2:$W$1001,MATCH(ROWS($V$2:V808),$V$2:$V$1001,0),1)&gt;=100000,INDEX($AC$1005:$AS$1005,1,MATCH(COLUMNS($AC$1006:AH1006),$AC$1006:$AS$1006,0))&gt;=100000), " ",IF(INDEX($AC$2:$AS$1001,MATCH(ROWS($V$2:V808),$V$2:$V$1001,0),MATCH(COLUMNS($AC$1006:AH1006),$AC$1006:$AS$1006,0)), HYPERLINK("#",""), HYPERLINK(CONCATENATE("#metadata!", ADDRESS(INDEX($X$2:$X$1001,MATCH(ROWS($V$2:V808),$V$2:$V$1001,0),0), INDEX($AC$1004:$AS$1004,1,MATCH(COLUMNS($AC$1006:AH1006),$AC$1006:$AS$1006,0)))),"Fix")))</f>
        <v xml:space="preserve"> </v>
      </c>
      <c r="H808" s="4" t="str">
        <f ca="1">IF(OR(INDEX($W$2:$W$1001,MATCH(ROWS($V$2:V808),$V$2:$V$1001,0),1)&gt;=100000,INDEX($AC$1005:$AS$1005,1,MATCH(COLUMNS($AC$1006:AI1006),$AC$1006:$AS$1006,0))&gt;=100000), " ",IF(INDEX($AC$2:$AS$1001,MATCH(ROWS($V$2:V808),$V$2:$V$1001,0),MATCH(COLUMNS($AC$1006:AI1006),$AC$1006:$AS$1006,0)), HYPERLINK("#",""), HYPERLINK(CONCATENATE("#metadata!", ADDRESS(INDEX($X$2:$X$1001,MATCH(ROWS($V$2:V808),$V$2:$V$1001,0),0), INDEX($AC$1004:$AS$1004,1,MATCH(COLUMNS($AC$1006:AI1006),$AC$1006:$AS$1006,0)))),"Fix")))</f>
        <v xml:space="preserve"> </v>
      </c>
      <c r="I808" s="4" t="str">
        <f ca="1">IF(OR(INDEX($W$2:$W$1001,MATCH(ROWS($V$2:V808),$V$2:$V$1001,0),1)&gt;=100000,INDEX($AC$1005:$AS$1005,1,MATCH(COLUMNS($AC$1006:AJ1006),$AC$1006:$AS$1006,0))&gt;=100000), " ",IF(INDEX($AC$2:$AS$1001,MATCH(ROWS($V$2:V808),$V$2:$V$1001,0),MATCH(COLUMNS($AC$1006:AJ1006),$AC$1006:$AS$1006,0)), HYPERLINK("#",""), HYPERLINK(CONCATENATE("#metadata!", ADDRESS(INDEX($X$2:$X$1001,MATCH(ROWS($V$2:V808),$V$2:$V$1001,0),0), INDEX($AC$1004:$AS$1004,1,MATCH(COLUMNS($AC$1006:AJ1006),$AC$1006:$AS$1006,0)))),"Fix")))</f>
        <v xml:space="preserve"> </v>
      </c>
      <c r="J808" s="4" t="str">
        <f ca="1">IF(OR(INDEX($W$2:$W$1001,MATCH(ROWS($V$2:V808),$V$2:$V$1001,0),1)&gt;=100000,INDEX($AC$1005:$AS$1005,1,MATCH(COLUMNS($AC$1006:AK1006),$AC$1006:$AS$1006,0))&gt;=100000), " ",IF(INDEX($AC$2:$AS$1001,MATCH(ROWS($V$2:V808),$V$2:$V$1001,0),MATCH(COLUMNS($AC$1006:AK1006),$AC$1006:$AS$1006,0)), HYPERLINK("#",""), HYPERLINK(CONCATENATE("#metadata!", ADDRESS(INDEX($X$2:$X$1001,MATCH(ROWS($V$2:V808),$V$2:$V$1001,0),0), INDEX($AC$1004:$AS$1004,1,MATCH(COLUMNS($AC$1006:AK1006),$AC$1006:$AS$1006,0)))),"Fix")))</f>
        <v xml:space="preserve"> </v>
      </c>
      <c r="K808" s="4" t="str">
        <f ca="1">IF(OR(INDEX($W$2:$W$1001,MATCH(ROWS($V$2:V808),$V$2:$V$1001,0),1)&gt;=100000,INDEX($AC$1005:$AS$1005,1,MATCH(COLUMNS($AC$1006:AL1006),$AC$1006:$AS$1006,0))&gt;=100000), " ",IF(INDEX($AC$2:$AS$1001,MATCH(ROWS($V$2:V808),$V$2:$V$1001,0),MATCH(COLUMNS($AC$1006:AL1006),$AC$1006:$AS$1006,0)), HYPERLINK("#",""), HYPERLINK(CONCATENATE("#metadata!", ADDRESS(INDEX($X$2:$X$1001,MATCH(ROWS($V$2:V808),$V$2:$V$1001,0),0), INDEX($AC$1004:$AS$1004,1,MATCH(COLUMNS($AC$1006:AL1006),$AC$1006:$AS$1006,0)))),"Fix")))</f>
        <v xml:space="preserve"> </v>
      </c>
      <c r="L808" s="4" t="str">
        <f ca="1">IF(OR(INDEX($W$2:$W$1001,MATCH(ROWS($V$2:V808),$V$2:$V$1001,0),1)&gt;=100000,INDEX($AC$1005:$AS$1005,1,MATCH(COLUMNS($AC$1006:AM1006),$AC$1006:$AS$1006,0))&gt;=100000), " ",IF(INDEX($AC$2:$AS$1001,MATCH(ROWS($V$2:V808),$V$2:$V$1001,0),MATCH(COLUMNS($AC$1006:AM1006),$AC$1006:$AS$1006,0)), HYPERLINK("#",""), HYPERLINK(CONCATENATE("#metadata!", ADDRESS(INDEX($X$2:$X$1001,MATCH(ROWS($V$2:V808),$V$2:$V$1001,0),0), INDEX($AC$1004:$AS$1004,1,MATCH(COLUMNS($AC$1006:AM1006),$AC$1006:$AS$1006,0)))),"Fix")))</f>
        <v xml:space="preserve"> </v>
      </c>
      <c r="M808" s="4" t="str">
        <f ca="1">IF(OR(INDEX($W$2:$W$1001,MATCH(ROWS($V$2:V808),$V$2:$V$1001,0),1)&gt;=100000,INDEX($AC$1005:$AS$1005,1,MATCH(COLUMNS($AC$1006:AN1006),$AC$1006:$AS$1006,0))&gt;=100000), " ",IF(INDEX($AC$2:$AS$1001,MATCH(ROWS($V$2:V808),$V$2:$V$1001,0),MATCH(COLUMNS($AC$1006:AN1006),$AC$1006:$AS$1006,0)), HYPERLINK("#",""), HYPERLINK(CONCATENATE("#metadata!", ADDRESS(INDEX($X$2:$X$1001,MATCH(ROWS($V$2:V808),$V$2:$V$1001,0),0), INDEX($AC$1004:$AS$1004,1,MATCH(COLUMNS($AC$1006:AN1006),$AC$1006:$AS$1006,0)))),"Fix")))</f>
        <v xml:space="preserve"> </v>
      </c>
      <c r="N808" s="4" t="str">
        <f ca="1">IF(OR(INDEX($W$2:$W$1001,MATCH(ROWS($V$2:V808),$V$2:$V$1001,0),1)&gt;=100000,INDEX($AC$1005:$AS$1005,1,MATCH(COLUMNS($AC$1006:AO1006),$AC$1006:$AS$1006,0))&gt;=100000), " ",IF(INDEX($AC$2:$AS$1001,MATCH(ROWS($V$2:V808),$V$2:$V$1001,0),MATCH(COLUMNS($AC$1006:AO1006),$AC$1006:$AS$1006,0)), HYPERLINK("#",""), HYPERLINK(CONCATENATE("#metadata!", ADDRESS(INDEX($X$2:$X$1001,MATCH(ROWS($V$2:V808),$V$2:$V$1001,0),0), INDEX($AC$1004:$AS$1004,1,MATCH(COLUMNS($AC$1006:AO1006),$AC$1006:$AS$1006,0)))),"Fix")))</f>
        <v xml:space="preserve"> </v>
      </c>
      <c r="O808" s="4" t="str">
        <f ca="1">IF(OR(INDEX($W$2:$W$1001,MATCH(ROWS($V$2:V808),$V$2:$V$1001,0),1)&gt;=100000,INDEX($AC$1005:$AS$1005,1,MATCH(COLUMNS($AC$1006:AP1006),$AC$1006:$AS$1006,0))&gt;=100000), " ",IF(INDEX($AC$2:$AS$1001,MATCH(ROWS($V$2:V808),$V$2:$V$1001,0),MATCH(COLUMNS($AC$1006:AP1006),$AC$1006:$AS$1006,0)), HYPERLINK("#",""), HYPERLINK(CONCATENATE("#metadata!", ADDRESS(INDEX($X$2:$X$1001,MATCH(ROWS($V$2:V808),$V$2:$V$1001,0),0), INDEX($AC$1004:$AS$1004,1,MATCH(COLUMNS($AC$1006:AP1006),$AC$1006:$AS$1006,0)))),"Fix")))</f>
        <v xml:space="preserve"> </v>
      </c>
      <c r="P808" s="4" t="str">
        <f ca="1">IF(OR(INDEX($W$2:$W$1001,MATCH(ROWS($V$2:V808),$V$2:$V$1001,0),1)&gt;=100000,INDEX($AC$1005:$AS$1005,1,MATCH(COLUMNS($AC$1006:AQ1006),$AC$1006:$AS$1006,0))&gt;=100000), " ",IF(INDEX($AC$2:$AS$1001,MATCH(ROWS($V$2:V808),$V$2:$V$1001,0),MATCH(COLUMNS($AC$1006:AQ1006),$AC$1006:$AS$1006,0)), HYPERLINK("#",""), HYPERLINK(CONCATENATE("#metadata!", ADDRESS(INDEX($X$2:$X$1001,MATCH(ROWS($V$2:V808),$V$2:$V$1001,0),0), INDEX($AC$1004:$AS$1004,1,MATCH(COLUMNS($AC$1006:AQ1006),$AC$1006:$AS$1006,0)))),"Fix")))</f>
        <v xml:space="preserve"> </v>
      </c>
      <c r="Q808" s="4" t="str">
        <f ca="1">IF(OR(INDEX($W$2:$W$1001,MATCH(ROWS($V$2:V808),$V$2:$V$1001,0),1)&gt;=100000,INDEX($AC$1005:$AS$1005,1,MATCH(COLUMNS($AC$1006:AR1006),$AC$1006:$AS$1006,0))&gt;=100000), " ",IF(INDEX($AC$2:$AS$1001,MATCH(ROWS($V$2:V808),$V$2:$V$1001,0),MATCH(COLUMNS($AC$1006:AR1006),$AC$1006:$AS$1006,0)), HYPERLINK("#",""), HYPERLINK(CONCATENATE("#metadata!", ADDRESS(INDEX($X$2:$X$1001,MATCH(ROWS($V$2:V808),$V$2:$V$1001,0),0), INDEX($AC$1004:$AS$1004,1,MATCH(COLUMNS($AC$1006:AR1006),$AC$1006:$AS$1006,0)))),"Fix")))</f>
        <v xml:space="preserve"> </v>
      </c>
      <c r="R808" s="4" t="str">
        <f ca="1">IF(OR(INDEX($W$2:$W$1001,MATCH(ROWS($V$2:V808),$V$2:$V$1001,0),1)&gt;=100000,INDEX($AC$1005:$AS$1005,1,MATCH(COLUMNS($AC$1006:AS1006),$AC$1006:$AS$1006,0))&gt;=100000), " ",IF(INDEX($AC$2:$AS$1001,MATCH(ROWS($V$2:V808),$V$2:$V$1001,0),MATCH(COLUMNS($AC$1006:AS1006),$AC$1006:$AS$1006,0)), HYPERLINK("#",""), HYPERLINK(CONCATENATE("#metadata!", ADDRESS(INDEX($X$2:$X$1001,MATCH(ROWS($V$2:V808),$V$2:$V$1001,0),0), INDEX($AC$1004:$AS$1004,1,MATCH(COLUMNS($AC$1006:AS1006),$AC$1006:$AS$1006,0)))),"Fix")))</f>
        <v xml:space="preserve"> </v>
      </c>
      <c r="V808">
        <v>807</v>
      </c>
      <c r="W808">
        <v>100808</v>
      </c>
      <c r="X808">
        <v>808</v>
      </c>
      <c r="Y808" t="b">
        <f t="shared" si="12"/>
        <v>1</v>
      </c>
      <c r="Z808" t="b">
        <f>COUNTBLANK(metadata!B808:R808)=COLUMNS(metadata!B808:R808)</f>
        <v>1</v>
      </c>
      <c r="AA808" t="str">
        <v/>
      </c>
      <c r="AC808" t="b">
        <f ca="1"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AD808" t="b">
        <f>IF(metadata!C808="",FALSE,ISNUMBER(VALUE(metadata!C808)))</f>
        <v>0</v>
      </c>
      <c r="AE808" t="b">
        <f>AND(IF(metadata!D808="",FALSE,TRUE),EXACT(metadata!D808,"years"))</f>
        <v>0</v>
      </c>
      <c r="AF808" t="b">
        <f>OR(AND(IF(metadata!E808="",FALSE,TRUE),OR(EXACT(metadata!E808,"not applicable"),EXACT(metadata!E808,"missing: not collected"),EXACT(metadata!E808,"missing: not provided"),EXACT(metadata!E808,"missing: restricted access"))),AND(IF(metadata!E808="",FALSE,ISNUMBER(VALUE(metadata!E808))),metadata!E808&gt;0))</f>
        <v>0</v>
      </c>
      <c r="AG808" t="b">
        <f>AND(IF(metadata!F808="",FALSE,TRUE),EXACT(metadata!F808,"Not applicable"))</f>
        <v>0</v>
      </c>
      <c r="AH808" t="b">
        <f>AND(IF(metadata!G808="",FALSE,TRUE),EXACT(metadata!G808,"urban biome"))</f>
        <v>0</v>
      </c>
      <c r="AI808" t="b">
        <f>AND(IF(metadata!H808="",FALSE,TRUE),EXACT(metadata!H808,"human-associated habitat"))</f>
        <v>0</v>
      </c>
      <c r="AJ808" t="b">
        <f>AND(IF(metadata!I808="",FALSE,TRUE),OR(EXACT(metadata!I808,"human-associated"),EXACT(metadata!I808,"human-skin"),EXACT(metadata!I808,"human-oral"),EXACT(metadata!I808,"human-gut"),EXACT(metadata!I808,"human-vaginal")))</f>
        <v>0</v>
      </c>
      <c r="AK808" t="b">
        <f>IF(metadata!J808="",FALSE,ISNUMBER(VALUE(metadata!J808)))</f>
        <v>0</v>
      </c>
      <c r="AL808" t="b">
        <f>AND(IF(metadata!K808="",FALSE,TRUE),EXACT(metadata!K808,"cm"))</f>
        <v>0</v>
      </c>
      <c r="AM808" t="b">
        <f>AND(IF(metadata!L808="",FALSE,TRUE),EXACT(metadata!L808,"human"))</f>
        <v>0</v>
      </c>
      <c r="AN808" t="b">
        <f>AND(IF(metadata!M808="",FALSE,TRUE),EXACT(metadata!M808,"Homo sapiens"))</f>
        <v>0</v>
      </c>
      <c r="AO808" t="b">
        <f>AND(IF(metadata!N808="",FALSE,TRUE),EXACT(metadata!N808,"9606"))</f>
        <v>0</v>
      </c>
      <c r="AP808" t="b">
        <f>IF(metadata!O808="",FALSE,TRUE)</f>
        <v>0</v>
      </c>
      <c r="AQ808" t="b">
        <f>IF(metadata!P808="",FALSE,TRUE)</f>
        <v>0</v>
      </c>
      <c r="AR808" t="b">
        <f>IF(metadata!Q808="",FALSE,ISNUMBER(VALUE(metadata!Q808)))</f>
        <v>0</v>
      </c>
      <c r="AS808" t="b">
        <f>AND(IF(metadata!R808="",FALSE,TRUE),EXACT(metadata!R808,"kg"))</f>
        <v>0</v>
      </c>
    </row>
    <row r="809" spans="1:45" x14ac:dyDescent="0.2">
      <c r="A809" s="5" t="str">
        <f ca="1">IF(B809=" "," ",HYPERLINK(CONCATENATE("#metadata!",ADDRESS(INDEX($X$2:$X$1001,MATCH(ROWS($V$2:V809),$V$2:$V$1001,0),0),1)),INDEX($AA$2:$AA$1001,MATCH(ROWS($V$2:V809),$V$2:$V$1001,0),0)))</f>
        <v xml:space="preserve"> </v>
      </c>
      <c r="B809" s="4" t="str">
        <f ca="1">IF(OR(INDEX($W$2:$W$1001,MATCH(ROWS($V$2:V809),$V$2:$V$1001,0),1)&gt;=100000,INDEX($AC$1005:$AS$1005,1,MATCH(COLUMNS($AC$1006:AC1006),$AC$1006:$AS$1006,0))&gt;=100000), " ",IF(INDEX($AC$2:$AS$1001,MATCH(ROWS($V$2:V809),$V$2:$V$1001,0),MATCH(COLUMNS($AC$1006:AC1006),$AC$1006:$AS$1006,0)), HYPERLINK("#",""), HYPERLINK(CONCATENATE("#metadata!", ADDRESS(INDEX($X$2:$X$1001,MATCH(ROWS($V$2:V809),$V$2:$V$1001,0),0), INDEX($AC$1004:$AS$1004,1,MATCH(COLUMNS($AC$1006:AC1006),$AC$1006:$AS$1006,0)))),"Fix")))</f>
        <v xml:space="preserve"> </v>
      </c>
      <c r="C809" s="4" t="str">
        <f ca="1">IF(OR(INDEX($W$2:$W$1001,MATCH(ROWS($V$2:V809),$V$2:$V$1001,0),1)&gt;=100000,INDEX($AC$1005:$AS$1005,1,MATCH(COLUMNS($AC$1006:AD1006),$AC$1006:$AS$1006,0))&gt;=100000), " ",IF(INDEX($AC$2:$AS$1001,MATCH(ROWS($V$2:V809),$V$2:$V$1001,0),MATCH(COLUMNS($AC$1006:AD1006),$AC$1006:$AS$1006,0)), HYPERLINK("#",""), HYPERLINK(CONCATENATE("#metadata!", ADDRESS(INDEX($X$2:$X$1001,MATCH(ROWS($V$2:V809),$V$2:$V$1001,0),0), INDEX($AC$1004:$AS$1004,1,MATCH(COLUMNS($AC$1006:AD1006),$AC$1006:$AS$1006,0)))),"Fix")))</f>
        <v xml:space="preserve"> </v>
      </c>
      <c r="D809" s="4" t="str">
        <f ca="1">IF(OR(INDEX($W$2:$W$1001,MATCH(ROWS($V$2:V809),$V$2:$V$1001,0),1)&gt;=100000,INDEX($AC$1005:$AS$1005,1,MATCH(COLUMNS($AC$1006:AE1006),$AC$1006:$AS$1006,0))&gt;=100000), " ",IF(INDEX($AC$2:$AS$1001,MATCH(ROWS($V$2:V809),$V$2:$V$1001,0),MATCH(COLUMNS($AC$1006:AE1006),$AC$1006:$AS$1006,0)), HYPERLINK("#",""), HYPERLINK(CONCATENATE("#metadata!", ADDRESS(INDEX($X$2:$X$1001,MATCH(ROWS($V$2:V809),$V$2:$V$1001,0),0), INDEX($AC$1004:$AS$1004,1,MATCH(COLUMNS($AC$1006:AE1006),$AC$1006:$AS$1006,0)))),"Fix")))</f>
        <v xml:space="preserve"> </v>
      </c>
      <c r="E809" s="4" t="str">
        <f ca="1">IF(OR(INDEX($W$2:$W$1001,MATCH(ROWS($V$2:V809),$V$2:$V$1001,0),1)&gt;=100000,INDEX($AC$1005:$AS$1005,1,MATCH(COLUMNS($AC$1006:AF1006),$AC$1006:$AS$1006,0))&gt;=100000), " ",IF(INDEX($AC$2:$AS$1001,MATCH(ROWS($V$2:V809),$V$2:$V$1001,0),MATCH(COLUMNS($AC$1006:AF1006),$AC$1006:$AS$1006,0)), HYPERLINK("#",""), HYPERLINK(CONCATENATE("#metadata!", ADDRESS(INDEX($X$2:$X$1001,MATCH(ROWS($V$2:V809),$V$2:$V$1001,0),0), INDEX($AC$1004:$AS$1004,1,MATCH(COLUMNS($AC$1006:AF1006),$AC$1006:$AS$1006,0)))),"Fix")))</f>
        <v xml:space="preserve"> </v>
      </c>
      <c r="F809" s="4" t="str">
        <f ca="1">IF(OR(INDEX($W$2:$W$1001,MATCH(ROWS($V$2:V809),$V$2:$V$1001,0),1)&gt;=100000,INDEX($AC$1005:$AS$1005,1,MATCH(COLUMNS($AC$1006:AG1006),$AC$1006:$AS$1006,0))&gt;=100000), " ",IF(INDEX($AC$2:$AS$1001,MATCH(ROWS($V$2:V809),$V$2:$V$1001,0),MATCH(COLUMNS($AC$1006:AG1006),$AC$1006:$AS$1006,0)), HYPERLINK("#",""), HYPERLINK(CONCATENATE("#metadata!", ADDRESS(INDEX($X$2:$X$1001,MATCH(ROWS($V$2:V809),$V$2:$V$1001,0),0), INDEX($AC$1004:$AS$1004,1,MATCH(COLUMNS($AC$1006:AG1006),$AC$1006:$AS$1006,0)))),"Fix")))</f>
        <v xml:space="preserve"> </v>
      </c>
      <c r="G809" s="4" t="str">
        <f ca="1">IF(OR(INDEX($W$2:$W$1001,MATCH(ROWS($V$2:V809),$V$2:$V$1001,0),1)&gt;=100000,INDEX($AC$1005:$AS$1005,1,MATCH(COLUMNS($AC$1006:AH1006),$AC$1006:$AS$1006,0))&gt;=100000), " ",IF(INDEX($AC$2:$AS$1001,MATCH(ROWS($V$2:V809),$V$2:$V$1001,0),MATCH(COLUMNS($AC$1006:AH1006),$AC$1006:$AS$1006,0)), HYPERLINK("#",""), HYPERLINK(CONCATENATE("#metadata!", ADDRESS(INDEX($X$2:$X$1001,MATCH(ROWS($V$2:V809),$V$2:$V$1001,0),0), INDEX($AC$1004:$AS$1004,1,MATCH(COLUMNS($AC$1006:AH1006),$AC$1006:$AS$1006,0)))),"Fix")))</f>
        <v xml:space="preserve"> </v>
      </c>
      <c r="H809" s="4" t="str">
        <f ca="1">IF(OR(INDEX($W$2:$W$1001,MATCH(ROWS($V$2:V809),$V$2:$V$1001,0),1)&gt;=100000,INDEX($AC$1005:$AS$1005,1,MATCH(COLUMNS($AC$1006:AI1006),$AC$1006:$AS$1006,0))&gt;=100000), " ",IF(INDEX($AC$2:$AS$1001,MATCH(ROWS($V$2:V809),$V$2:$V$1001,0),MATCH(COLUMNS($AC$1006:AI1006),$AC$1006:$AS$1006,0)), HYPERLINK("#",""), HYPERLINK(CONCATENATE("#metadata!", ADDRESS(INDEX($X$2:$X$1001,MATCH(ROWS($V$2:V809),$V$2:$V$1001,0),0), INDEX($AC$1004:$AS$1004,1,MATCH(COLUMNS($AC$1006:AI1006),$AC$1006:$AS$1006,0)))),"Fix")))</f>
        <v xml:space="preserve"> </v>
      </c>
      <c r="I809" s="4" t="str">
        <f ca="1">IF(OR(INDEX($W$2:$W$1001,MATCH(ROWS($V$2:V809),$V$2:$V$1001,0),1)&gt;=100000,INDEX($AC$1005:$AS$1005,1,MATCH(COLUMNS($AC$1006:AJ1006),$AC$1006:$AS$1006,0))&gt;=100000), " ",IF(INDEX($AC$2:$AS$1001,MATCH(ROWS($V$2:V809),$V$2:$V$1001,0),MATCH(COLUMNS($AC$1006:AJ1006),$AC$1006:$AS$1006,0)), HYPERLINK("#",""), HYPERLINK(CONCATENATE("#metadata!", ADDRESS(INDEX($X$2:$X$1001,MATCH(ROWS($V$2:V809),$V$2:$V$1001,0),0), INDEX($AC$1004:$AS$1004,1,MATCH(COLUMNS($AC$1006:AJ1006),$AC$1006:$AS$1006,0)))),"Fix")))</f>
        <v xml:space="preserve"> </v>
      </c>
      <c r="J809" s="4" t="str">
        <f ca="1">IF(OR(INDEX($W$2:$W$1001,MATCH(ROWS($V$2:V809),$V$2:$V$1001,0),1)&gt;=100000,INDEX($AC$1005:$AS$1005,1,MATCH(COLUMNS($AC$1006:AK1006),$AC$1006:$AS$1006,0))&gt;=100000), " ",IF(INDEX($AC$2:$AS$1001,MATCH(ROWS($V$2:V809),$V$2:$V$1001,0),MATCH(COLUMNS($AC$1006:AK1006),$AC$1006:$AS$1006,0)), HYPERLINK("#",""), HYPERLINK(CONCATENATE("#metadata!", ADDRESS(INDEX($X$2:$X$1001,MATCH(ROWS($V$2:V809),$V$2:$V$1001,0),0), INDEX($AC$1004:$AS$1004,1,MATCH(COLUMNS($AC$1006:AK1006),$AC$1006:$AS$1006,0)))),"Fix")))</f>
        <v xml:space="preserve"> </v>
      </c>
      <c r="K809" s="4" t="str">
        <f ca="1">IF(OR(INDEX($W$2:$W$1001,MATCH(ROWS($V$2:V809),$V$2:$V$1001,0),1)&gt;=100000,INDEX($AC$1005:$AS$1005,1,MATCH(COLUMNS($AC$1006:AL1006),$AC$1006:$AS$1006,0))&gt;=100000), " ",IF(INDEX($AC$2:$AS$1001,MATCH(ROWS($V$2:V809),$V$2:$V$1001,0),MATCH(COLUMNS($AC$1006:AL1006),$AC$1006:$AS$1006,0)), HYPERLINK("#",""), HYPERLINK(CONCATENATE("#metadata!", ADDRESS(INDEX($X$2:$X$1001,MATCH(ROWS($V$2:V809),$V$2:$V$1001,0),0), INDEX($AC$1004:$AS$1004,1,MATCH(COLUMNS($AC$1006:AL1006),$AC$1006:$AS$1006,0)))),"Fix")))</f>
        <v xml:space="preserve"> </v>
      </c>
      <c r="L809" s="4" t="str">
        <f ca="1">IF(OR(INDEX($W$2:$W$1001,MATCH(ROWS($V$2:V809),$V$2:$V$1001,0),1)&gt;=100000,INDEX($AC$1005:$AS$1005,1,MATCH(COLUMNS($AC$1006:AM1006),$AC$1006:$AS$1006,0))&gt;=100000), " ",IF(INDEX($AC$2:$AS$1001,MATCH(ROWS($V$2:V809),$V$2:$V$1001,0),MATCH(COLUMNS($AC$1006:AM1006),$AC$1006:$AS$1006,0)), HYPERLINK("#",""), HYPERLINK(CONCATENATE("#metadata!", ADDRESS(INDEX($X$2:$X$1001,MATCH(ROWS($V$2:V809),$V$2:$V$1001,0),0), INDEX($AC$1004:$AS$1004,1,MATCH(COLUMNS($AC$1006:AM1006),$AC$1006:$AS$1006,0)))),"Fix")))</f>
        <v xml:space="preserve"> </v>
      </c>
      <c r="M809" s="4" t="str">
        <f ca="1">IF(OR(INDEX($W$2:$W$1001,MATCH(ROWS($V$2:V809),$V$2:$V$1001,0),1)&gt;=100000,INDEX($AC$1005:$AS$1005,1,MATCH(COLUMNS($AC$1006:AN1006),$AC$1006:$AS$1006,0))&gt;=100000), " ",IF(INDEX($AC$2:$AS$1001,MATCH(ROWS($V$2:V809),$V$2:$V$1001,0),MATCH(COLUMNS($AC$1006:AN1006),$AC$1006:$AS$1006,0)), HYPERLINK("#",""), HYPERLINK(CONCATENATE("#metadata!", ADDRESS(INDEX($X$2:$X$1001,MATCH(ROWS($V$2:V809),$V$2:$V$1001,0),0), INDEX($AC$1004:$AS$1004,1,MATCH(COLUMNS($AC$1006:AN1006),$AC$1006:$AS$1006,0)))),"Fix")))</f>
        <v xml:space="preserve"> </v>
      </c>
      <c r="N809" s="4" t="str">
        <f ca="1">IF(OR(INDEX($W$2:$W$1001,MATCH(ROWS($V$2:V809),$V$2:$V$1001,0),1)&gt;=100000,INDEX($AC$1005:$AS$1005,1,MATCH(COLUMNS($AC$1006:AO1006),$AC$1006:$AS$1006,0))&gt;=100000), " ",IF(INDEX($AC$2:$AS$1001,MATCH(ROWS($V$2:V809),$V$2:$V$1001,0),MATCH(COLUMNS($AC$1006:AO1006),$AC$1006:$AS$1006,0)), HYPERLINK("#",""), HYPERLINK(CONCATENATE("#metadata!", ADDRESS(INDEX($X$2:$X$1001,MATCH(ROWS($V$2:V809),$V$2:$V$1001,0),0), INDEX($AC$1004:$AS$1004,1,MATCH(COLUMNS($AC$1006:AO1006),$AC$1006:$AS$1006,0)))),"Fix")))</f>
        <v xml:space="preserve"> </v>
      </c>
      <c r="O809" s="4" t="str">
        <f ca="1">IF(OR(INDEX($W$2:$W$1001,MATCH(ROWS($V$2:V809),$V$2:$V$1001,0),1)&gt;=100000,INDEX($AC$1005:$AS$1005,1,MATCH(COLUMNS($AC$1006:AP1006),$AC$1006:$AS$1006,0))&gt;=100000), " ",IF(INDEX($AC$2:$AS$1001,MATCH(ROWS($V$2:V809),$V$2:$V$1001,0),MATCH(COLUMNS($AC$1006:AP1006),$AC$1006:$AS$1006,0)), HYPERLINK("#",""), HYPERLINK(CONCATENATE("#metadata!", ADDRESS(INDEX($X$2:$X$1001,MATCH(ROWS($V$2:V809),$V$2:$V$1001,0),0), INDEX($AC$1004:$AS$1004,1,MATCH(COLUMNS($AC$1006:AP1006),$AC$1006:$AS$1006,0)))),"Fix")))</f>
        <v xml:space="preserve"> </v>
      </c>
      <c r="P809" s="4" t="str">
        <f ca="1">IF(OR(INDEX($W$2:$W$1001,MATCH(ROWS($V$2:V809),$V$2:$V$1001,0),1)&gt;=100000,INDEX($AC$1005:$AS$1005,1,MATCH(COLUMNS($AC$1006:AQ1006),$AC$1006:$AS$1006,0))&gt;=100000), " ",IF(INDEX($AC$2:$AS$1001,MATCH(ROWS($V$2:V809),$V$2:$V$1001,0),MATCH(COLUMNS($AC$1006:AQ1006),$AC$1006:$AS$1006,0)), HYPERLINK("#",""), HYPERLINK(CONCATENATE("#metadata!", ADDRESS(INDEX($X$2:$X$1001,MATCH(ROWS($V$2:V809),$V$2:$V$1001,0),0), INDEX($AC$1004:$AS$1004,1,MATCH(COLUMNS($AC$1006:AQ1006),$AC$1006:$AS$1006,0)))),"Fix")))</f>
        <v xml:space="preserve"> </v>
      </c>
      <c r="Q809" s="4" t="str">
        <f ca="1">IF(OR(INDEX($W$2:$W$1001,MATCH(ROWS($V$2:V809),$V$2:$V$1001,0),1)&gt;=100000,INDEX($AC$1005:$AS$1005,1,MATCH(COLUMNS($AC$1006:AR1006),$AC$1006:$AS$1006,0))&gt;=100000), " ",IF(INDEX($AC$2:$AS$1001,MATCH(ROWS($V$2:V809),$V$2:$V$1001,0),MATCH(COLUMNS($AC$1006:AR1006),$AC$1006:$AS$1006,0)), HYPERLINK("#",""), HYPERLINK(CONCATENATE("#metadata!", ADDRESS(INDEX($X$2:$X$1001,MATCH(ROWS($V$2:V809),$V$2:$V$1001,0),0), INDEX($AC$1004:$AS$1004,1,MATCH(COLUMNS($AC$1006:AR1006),$AC$1006:$AS$1006,0)))),"Fix")))</f>
        <v xml:space="preserve"> </v>
      </c>
      <c r="R809" s="4" t="str">
        <f ca="1">IF(OR(INDEX($W$2:$W$1001,MATCH(ROWS($V$2:V809),$V$2:$V$1001,0),1)&gt;=100000,INDEX($AC$1005:$AS$1005,1,MATCH(COLUMNS($AC$1006:AS1006),$AC$1006:$AS$1006,0))&gt;=100000), " ",IF(INDEX($AC$2:$AS$1001,MATCH(ROWS($V$2:V809),$V$2:$V$1001,0),MATCH(COLUMNS($AC$1006:AS1006),$AC$1006:$AS$1006,0)), HYPERLINK("#",""), HYPERLINK(CONCATENATE("#metadata!", ADDRESS(INDEX($X$2:$X$1001,MATCH(ROWS($V$2:V809),$V$2:$V$1001,0),0), INDEX($AC$1004:$AS$1004,1,MATCH(COLUMNS($AC$1006:AS1006),$AC$1006:$AS$1006,0)))),"Fix")))</f>
        <v xml:space="preserve"> </v>
      </c>
      <c r="V809">
        <v>808</v>
      </c>
      <c r="W809">
        <v>100809</v>
      </c>
      <c r="X809">
        <v>809</v>
      </c>
      <c r="Y809" t="b">
        <f t="shared" si="12"/>
        <v>1</v>
      </c>
      <c r="Z809" t="b">
        <f>COUNTBLANK(metadata!B809:R809)=COLUMNS(metadata!B809:R809)</f>
        <v>1</v>
      </c>
      <c r="AA809" t="str">
        <v/>
      </c>
      <c r="AC809" t="b">
        <f ca="1"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AD809" t="b">
        <f>IF(metadata!C809="",FALSE,ISNUMBER(VALUE(metadata!C809)))</f>
        <v>0</v>
      </c>
      <c r="AE809" t="b">
        <f>AND(IF(metadata!D809="",FALSE,TRUE),EXACT(metadata!D809,"years"))</f>
        <v>0</v>
      </c>
      <c r="AF809" t="b">
        <f>OR(AND(IF(metadata!E809="",FALSE,TRUE),OR(EXACT(metadata!E809,"not applicable"),EXACT(metadata!E809,"missing: not collected"),EXACT(metadata!E809,"missing: not provided"),EXACT(metadata!E809,"missing: restricted access"))),AND(IF(metadata!E809="",FALSE,ISNUMBER(VALUE(metadata!E809))),metadata!E809&gt;0))</f>
        <v>0</v>
      </c>
      <c r="AG809" t="b">
        <f>AND(IF(metadata!F809="",FALSE,TRUE),EXACT(metadata!F809,"Not applicable"))</f>
        <v>0</v>
      </c>
      <c r="AH809" t="b">
        <f>AND(IF(metadata!G809="",FALSE,TRUE),EXACT(metadata!G809,"urban biome"))</f>
        <v>0</v>
      </c>
      <c r="AI809" t="b">
        <f>AND(IF(metadata!H809="",FALSE,TRUE),EXACT(metadata!H809,"human-associated habitat"))</f>
        <v>0</v>
      </c>
      <c r="AJ809" t="b">
        <f>AND(IF(metadata!I809="",FALSE,TRUE),OR(EXACT(metadata!I809,"human-associated"),EXACT(metadata!I809,"human-skin"),EXACT(metadata!I809,"human-oral"),EXACT(metadata!I809,"human-gut"),EXACT(metadata!I809,"human-vaginal")))</f>
        <v>0</v>
      </c>
      <c r="AK809" t="b">
        <f>IF(metadata!J809="",FALSE,ISNUMBER(VALUE(metadata!J809)))</f>
        <v>0</v>
      </c>
      <c r="AL809" t="b">
        <f>AND(IF(metadata!K809="",FALSE,TRUE),EXACT(metadata!K809,"cm"))</f>
        <v>0</v>
      </c>
      <c r="AM809" t="b">
        <f>AND(IF(metadata!L809="",FALSE,TRUE),EXACT(metadata!L809,"human"))</f>
        <v>0</v>
      </c>
      <c r="AN809" t="b">
        <f>AND(IF(metadata!M809="",FALSE,TRUE),EXACT(metadata!M809,"Homo sapiens"))</f>
        <v>0</v>
      </c>
      <c r="AO809" t="b">
        <f>AND(IF(metadata!N809="",FALSE,TRUE),EXACT(metadata!N809,"9606"))</f>
        <v>0</v>
      </c>
      <c r="AP809" t="b">
        <f>IF(metadata!O809="",FALSE,TRUE)</f>
        <v>0</v>
      </c>
      <c r="AQ809" t="b">
        <f>IF(metadata!P809="",FALSE,TRUE)</f>
        <v>0</v>
      </c>
      <c r="AR809" t="b">
        <f>IF(metadata!Q809="",FALSE,ISNUMBER(VALUE(metadata!Q809)))</f>
        <v>0</v>
      </c>
      <c r="AS809" t="b">
        <f>AND(IF(metadata!R809="",FALSE,TRUE),EXACT(metadata!R809,"kg"))</f>
        <v>0</v>
      </c>
    </row>
    <row r="810" spans="1:45" x14ac:dyDescent="0.2">
      <c r="A810" s="5" t="str">
        <f ca="1">IF(B810=" "," ",HYPERLINK(CONCATENATE("#metadata!",ADDRESS(INDEX($X$2:$X$1001,MATCH(ROWS($V$2:V810),$V$2:$V$1001,0),0),1)),INDEX($AA$2:$AA$1001,MATCH(ROWS($V$2:V810),$V$2:$V$1001,0),0)))</f>
        <v xml:space="preserve"> </v>
      </c>
      <c r="B810" s="4" t="str">
        <f ca="1">IF(OR(INDEX($W$2:$W$1001,MATCH(ROWS($V$2:V810),$V$2:$V$1001,0),1)&gt;=100000,INDEX($AC$1005:$AS$1005,1,MATCH(COLUMNS($AC$1006:AC1006),$AC$1006:$AS$1006,0))&gt;=100000), " ",IF(INDEX($AC$2:$AS$1001,MATCH(ROWS($V$2:V810),$V$2:$V$1001,0),MATCH(COLUMNS($AC$1006:AC1006),$AC$1006:$AS$1006,0)), HYPERLINK("#",""), HYPERLINK(CONCATENATE("#metadata!", ADDRESS(INDEX($X$2:$X$1001,MATCH(ROWS($V$2:V810),$V$2:$V$1001,0),0), INDEX($AC$1004:$AS$1004,1,MATCH(COLUMNS($AC$1006:AC1006),$AC$1006:$AS$1006,0)))),"Fix")))</f>
        <v xml:space="preserve"> </v>
      </c>
      <c r="C810" s="4" t="str">
        <f ca="1">IF(OR(INDEX($W$2:$W$1001,MATCH(ROWS($V$2:V810),$V$2:$V$1001,0),1)&gt;=100000,INDEX($AC$1005:$AS$1005,1,MATCH(COLUMNS($AC$1006:AD1006),$AC$1006:$AS$1006,0))&gt;=100000), " ",IF(INDEX($AC$2:$AS$1001,MATCH(ROWS($V$2:V810),$V$2:$V$1001,0),MATCH(COLUMNS($AC$1006:AD1006),$AC$1006:$AS$1006,0)), HYPERLINK("#",""), HYPERLINK(CONCATENATE("#metadata!", ADDRESS(INDEX($X$2:$X$1001,MATCH(ROWS($V$2:V810),$V$2:$V$1001,0),0), INDEX($AC$1004:$AS$1004,1,MATCH(COLUMNS($AC$1006:AD1006),$AC$1006:$AS$1006,0)))),"Fix")))</f>
        <v xml:space="preserve"> </v>
      </c>
      <c r="D810" s="4" t="str">
        <f ca="1">IF(OR(INDEX($W$2:$W$1001,MATCH(ROWS($V$2:V810),$V$2:$V$1001,0),1)&gt;=100000,INDEX($AC$1005:$AS$1005,1,MATCH(COLUMNS($AC$1006:AE1006),$AC$1006:$AS$1006,0))&gt;=100000), " ",IF(INDEX($AC$2:$AS$1001,MATCH(ROWS($V$2:V810),$V$2:$V$1001,0),MATCH(COLUMNS($AC$1006:AE1006),$AC$1006:$AS$1006,0)), HYPERLINK("#",""), HYPERLINK(CONCATENATE("#metadata!", ADDRESS(INDEX($X$2:$X$1001,MATCH(ROWS($V$2:V810),$V$2:$V$1001,0),0), INDEX($AC$1004:$AS$1004,1,MATCH(COLUMNS($AC$1006:AE1006),$AC$1006:$AS$1006,0)))),"Fix")))</f>
        <v xml:space="preserve"> </v>
      </c>
      <c r="E810" s="4" t="str">
        <f ca="1">IF(OR(INDEX($W$2:$W$1001,MATCH(ROWS($V$2:V810),$V$2:$V$1001,0),1)&gt;=100000,INDEX($AC$1005:$AS$1005,1,MATCH(COLUMNS($AC$1006:AF1006),$AC$1006:$AS$1006,0))&gt;=100000), " ",IF(INDEX($AC$2:$AS$1001,MATCH(ROWS($V$2:V810),$V$2:$V$1001,0),MATCH(COLUMNS($AC$1006:AF1006),$AC$1006:$AS$1006,0)), HYPERLINK("#",""), HYPERLINK(CONCATENATE("#metadata!", ADDRESS(INDEX($X$2:$X$1001,MATCH(ROWS($V$2:V810),$V$2:$V$1001,0),0), INDEX($AC$1004:$AS$1004,1,MATCH(COLUMNS($AC$1006:AF1006),$AC$1006:$AS$1006,0)))),"Fix")))</f>
        <v xml:space="preserve"> </v>
      </c>
      <c r="F810" s="4" t="str">
        <f ca="1">IF(OR(INDEX($W$2:$W$1001,MATCH(ROWS($V$2:V810),$V$2:$V$1001,0),1)&gt;=100000,INDEX($AC$1005:$AS$1005,1,MATCH(COLUMNS($AC$1006:AG1006),$AC$1006:$AS$1006,0))&gt;=100000), " ",IF(INDEX($AC$2:$AS$1001,MATCH(ROWS($V$2:V810),$V$2:$V$1001,0),MATCH(COLUMNS($AC$1006:AG1006),$AC$1006:$AS$1006,0)), HYPERLINK("#",""), HYPERLINK(CONCATENATE("#metadata!", ADDRESS(INDEX($X$2:$X$1001,MATCH(ROWS($V$2:V810),$V$2:$V$1001,0),0), INDEX($AC$1004:$AS$1004,1,MATCH(COLUMNS($AC$1006:AG1006),$AC$1006:$AS$1006,0)))),"Fix")))</f>
        <v xml:space="preserve"> </v>
      </c>
      <c r="G810" s="4" t="str">
        <f ca="1">IF(OR(INDEX($W$2:$W$1001,MATCH(ROWS($V$2:V810),$V$2:$V$1001,0),1)&gt;=100000,INDEX($AC$1005:$AS$1005,1,MATCH(COLUMNS($AC$1006:AH1006),$AC$1006:$AS$1006,0))&gt;=100000), " ",IF(INDEX($AC$2:$AS$1001,MATCH(ROWS($V$2:V810),$V$2:$V$1001,0),MATCH(COLUMNS($AC$1006:AH1006),$AC$1006:$AS$1006,0)), HYPERLINK("#",""), HYPERLINK(CONCATENATE("#metadata!", ADDRESS(INDEX($X$2:$X$1001,MATCH(ROWS($V$2:V810),$V$2:$V$1001,0),0), INDEX($AC$1004:$AS$1004,1,MATCH(COLUMNS($AC$1006:AH1006),$AC$1006:$AS$1006,0)))),"Fix")))</f>
        <v xml:space="preserve"> </v>
      </c>
      <c r="H810" s="4" t="str">
        <f ca="1">IF(OR(INDEX($W$2:$W$1001,MATCH(ROWS($V$2:V810),$V$2:$V$1001,0),1)&gt;=100000,INDEX($AC$1005:$AS$1005,1,MATCH(COLUMNS($AC$1006:AI1006),$AC$1006:$AS$1006,0))&gt;=100000), " ",IF(INDEX($AC$2:$AS$1001,MATCH(ROWS($V$2:V810),$V$2:$V$1001,0),MATCH(COLUMNS($AC$1006:AI1006),$AC$1006:$AS$1006,0)), HYPERLINK("#",""), HYPERLINK(CONCATENATE("#metadata!", ADDRESS(INDEX($X$2:$X$1001,MATCH(ROWS($V$2:V810),$V$2:$V$1001,0),0), INDEX($AC$1004:$AS$1004,1,MATCH(COLUMNS($AC$1006:AI1006),$AC$1006:$AS$1006,0)))),"Fix")))</f>
        <v xml:space="preserve"> </v>
      </c>
      <c r="I810" s="4" t="str">
        <f ca="1">IF(OR(INDEX($W$2:$W$1001,MATCH(ROWS($V$2:V810),$V$2:$V$1001,0),1)&gt;=100000,INDEX($AC$1005:$AS$1005,1,MATCH(COLUMNS($AC$1006:AJ1006),$AC$1006:$AS$1006,0))&gt;=100000), " ",IF(INDEX($AC$2:$AS$1001,MATCH(ROWS($V$2:V810),$V$2:$V$1001,0),MATCH(COLUMNS($AC$1006:AJ1006),$AC$1006:$AS$1006,0)), HYPERLINK("#",""), HYPERLINK(CONCATENATE("#metadata!", ADDRESS(INDEX($X$2:$X$1001,MATCH(ROWS($V$2:V810),$V$2:$V$1001,0),0), INDEX($AC$1004:$AS$1004,1,MATCH(COLUMNS($AC$1006:AJ1006),$AC$1006:$AS$1006,0)))),"Fix")))</f>
        <v xml:space="preserve"> </v>
      </c>
      <c r="J810" s="4" t="str">
        <f ca="1">IF(OR(INDEX($W$2:$W$1001,MATCH(ROWS($V$2:V810),$V$2:$V$1001,0),1)&gt;=100000,INDEX($AC$1005:$AS$1005,1,MATCH(COLUMNS($AC$1006:AK1006),$AC$1006:$AS$1006,0))&gt;=100000), " ",IF(INDEX($AC$2:$AS$1001,MATCH(ROWS($V$2:V810),$V$2:$V$1001,0),MATCH(COLUMNS($AC$1006:AK1006),$AC$1006:$AS$1006,0)), HYPERLINK("#",""), HYPERLINK(CONCATENATE("#metadata!", ADDRESS(INDEX($X$2:$X$1001,MATCH(ROWS($V$2:V810),$V$2:$V$1001,0),0), INDEX($AC$1004:$AS$1004,1,MATCH(COLUMNS($AC$1006:AK1006),$AC$1006:$AS$1006,0)))),"Fix")))</f>
        <v xml:space="preserve"> </v>
      </c>
      <c r="K810" s="4" t="str">
        <f ca="1">IF(OR(INDEX($W$2:$W$1001,MATCH(ROWS($V$2:V810),$V$2:$V$1001,0),1)&gt;=100000,INDEX($AC$1005:$AS$1005,1,MATCH(COLUMNS($AC$1006:AL1006),$AC$1006:$AS$1006,0))&gt;=100000), " ",IF(INDEX($AC$2:$AS$1001,MATCH(ROWS($V$2:V810),$V$2:$V$1001,0),MATCH(COLUMNS($AC$1006:AL1006),$AC$1006:$AS$1006,0)), HYPERLINK("#",""), HYPERLINK(CONCATENATE("#metadata!", ADDRESS(INDEX($X$2:$X$1001,MATCH(ROWS($V$2:V810),$V$2:$V$1001,0),0), INDEX($AC$1004:$AS$1004,1,MATCH(COLUMNS($AC$1006:AL1006),$AC$1006:$AS$1006,0)))),"Fix")))</f>
        <v xml:space="preserve"> </v>
      </c>
      <c r="L810" s="4" t="str">
        <f ca="1">IF(OR(INDEX($W$2:$W$1001,MATCH(ROWS($V$2:V810),$V$2:$V$1001,0),1)&gt;=100000,INDEX($AC$1005:$AS$1005,1,MATCH(COLUMNS($AC$1006:AM1006),$AC$1006:$AS$1006,0))&gt;=100000), " ",IF(INDEX($AC$2:$AS$1001,MATCH(ROWS($V$2:V810),$V$2:$V$1001,0),MATCH(COLUMNS($AC$1006:AM1006),$AC$1006:$AS$1006,0)), HYPERLINK("#",""), HYPERLINK(CONCATENATE("#metadata!", ADDRESS(INDEX($X$2:$X$1001,MATCH(ROWS($V$2:V810),$V$2:$V$1001,0),0), INDEX($AC$1004:$AS$1004,1,MATCH(COLUMNS($AC$1006:AM1006),$AC$1006:$AS$1006,0)))),"Fix")))</f>
        <v xml:space="preserve"> </v>
      </c>
      <c r="M810" s="4" t="str">
        <f ca="1">IF(OR(INDEX($W$2:$W$1001,MATCH(ROWS($V$2:V810),$V$2:$V$1001,0),1)&gt;=100000,INDEX($AC$1005:$AS$1005,1,MATCH(COLUMNS($AC$1006:AN1006),$AC$1006:$AS$1006,0))&gt;=100000), " ",IF(INDEX($AC$2:$AS$1001,MATCH(ROWS($V$2:V810),$V$2:$V$1001,0),MATCH(COLUMNS($AC$1006:AN1006),$AC$1006:$AS$1006,0)), HYPERLINK("#",""), HYPERLINK(CONCATENATE("#metadata!", ADDRESS(INDEX($X$2:$X$1001,MATCH(ROWS($V$2:V810),$V$2:$V$1001,0),0), INDEX($AC$1004:$AS$1004,1,MATCH(COLUMNS($AC$1006:AN1006),$AC$1006:$AS$1006,0)))),"Fix")))</f>
        <v xml:space="preserve"> </v>
      </c>
      <c r="N810" s="4" t="str">
        <f ca="1">IF(OR(INDEX($W$2:$W$1001,MATCH(ROWS($V$2:V810),$V$2:$V$1001,0),1)&gt;=100000,INDEX($AC$1005:$AS$1005,1,MATCH(COLUMNS($AC$1006:AO1006),$AC$1006:$AS$1006,0))&gt;=100000), " ",IF(INDEX($AC$2:$AS$1001,MATCH(ROWS($V$2:V810),$V$2:$V$1001,0),MATCH(COLUMNS($AC$1006:AO1006),$AC$1006:$AS$1006,0)), HYPERLINK("#",""), HYPERLINK(CONCATENATE("#metadata!", ADDRESS(INDEX($X$2:$X$1001,MATCH(ROWS($V$2:V810),$V$2:$V$1001,0),0), INDEX($AC$1004:$AS$1004,1,MATCH(COLUMNS($AC$1006:AO1006),$AC$1006:$AS$1006,0)))),"Fix")))</f>
        <v xml:space="preserve"> </v>
      </c>
      <c r="O810" s="4" t="str">
        <f ca="1">IF(OR(INDEX($W$2:$W$1001,MATCH(ROWS($V$2:V810),$V$2:$V$1001,0),1)&gt;=100000,INDEX($AC$1005:$AS$1005,1,MATCH(COLUMNS($AC$1006:AP1006),$AC$1006:$AS$1006,0))&gt;=100000), " ",IF(INDEX($AC$2:$AS$1001,MATCH(ROWS($V$2:V810),$V$2:$V$1001,0),MATCH(COLUMNS($AC$1006:AP1006),$AC$1006:$AS$1006,0)), HYPERLINK("#",""), HYPERLINK(CONCATENATE("#metadata!", ADDRESS(INDEX($X$2:$X$1001,MATCH(ROWS($V$2:V810),$V$2:$V$1001,0),0), INDEX($AC$1004:$AS$1004,1,MATCH(COLUMNS($AC$1006:AP1006),$AC$1006:$AS$1006,0)))),"Fix")))</f>
        <v xml:space="preserve"> </v>
      </c>
      <c r="P810" s="4" t="str">
        <f ca="1">IF(OR(INDEX($W$2:$W$1001,MATCH(ROWS($V$2:V810),$V$2:$V$1001,0),1)&gt;=100000,INDEX($AC$1005:$AS$1005,1,MATCH(COLUMNS($AC$1006:AQ1006),$AC$1006:$AS$1006,0))&gt;=100000), " ",IF(INDEX($AC$2:$AS$1001,MATCH(ROWS($V$2:V810),$V$2:$V$1001,0),MATCH(COLUMNS($AC$1006:AQ1006),$AC$1006:$AS$1006,0)), HYPERLINK("#",""), HYPERLINK(CONCATENATE("#metadata!", ADDRESS(INDEX($X$2:$X$1001,MATCH(ROWS($V$2:V810),$V$2:$V$1001,0),0), INDEX($AC$1004:$AS$1004,1,MATCH(COLUMNS($AC$1006:AQ1006),$AC$1006:$AS$1006,0)))),"Fix")))</f>
        <v xml:space="preserve"> </v>
      </c>
      <c r="Q810" s="4" t="str">
        <f ca="1">IF(OR(INDEX($W$2:$W$1001,MATCH(ROWS($V$2:V810),$V$2:$V$1001,0),1)&gt;=100000,INDEX($AC$1005:$AS$1005,1,MATCH(COLUMNS($AC$1006:AR1006),$AC$1006:$AS$1006,0))&gt;=100000), " ",IF(INDEX($AC$2:$AS$1001,MATCH(ROWS($V$2:V810),$V$2:$V$1001,0),MATCH(COLUMNS($AC$1006:AR1006),$AC$1006:$AS$1006,0)), HYPERLINK("#",""), HYPERLINK(CONCATENATE("#metadata!", ADDRESS(INDEX($X$2:$X$1001,MATCH(ROWS($V$2:V810),$V$2:$V$1001,0),0), INDEX($AC$1004:$AS$1004,1,MATCH(COLUMNS($AC$1006:AR1006),$AC$1006:$AS$1006,0)))),"Fix")))</f>
        <v xml:space="preserve"> </v>
      </c>
      <c r="R810" s="4" t="str">
        <f ca="1">IF(OR(INDEX($W$2:$W$1001,MATCH(ROWS($V$2:V810),$V$2:$V$1001,0),1)&gt;=100000,INDEX($AC$1005:$AS$1005,1,MATCH(COLUMNS($AC$1006:AS1006),$AC$1006:$AS$1006,0))&gt;=100000), " ",IF(INDEX($AC$2:$AS$1001,MATCH(ROWS($V$2:V810),$V$2:$V$1001,0),MATCH(COLUMNS($AC$1006:AS1006),$AC$1006:$AS$1006,0)), HYPERLINK("#",""), HYPERLINK(CONCATENATE("#metadata!", ADDRESS(INDEX($X$2:$X$1001,MATCH(ROWS($V$2:V810),$V$2:$V$1001,0),0), INDEX($AC$1004:$AS$1004,1,MATCH(COLUMNS($AC$1006:AS1006),$AC$1006:$AS$1006,0)))),"Fix")))</f>
        <v xml:space="preserve"> </v>
      </c>
      <c r="V810">
        <v>809</v>
      </c>
      <c r="W810">
        <v>100810</v>
      </c>
      <c r="X810">
        <v>810</v>
      </c>
      <c r="Y810" t="b">
        <f t="shared" si="12"/>
        <v>1</v>
      </c>
      <c r="Z810" t="b">
        <f>COUNTBLANK(metadata!B810:R810)=COLUMNS(metadata!B810:R810)</f>
        <v>1</v>
      </c>
      <c r="AA810" t="str">
        <v/>
      </c>
      <c r="AC810" t="b">
        <f ca="1"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AD810" t="b">
        <f>IF(metadata!C810="",FALSE,ISNUMBER(VALUE(metadata!C810)))</f>
        <v>0</v>
      </c>
      <c r="AE810" t="b">
        <f>AND(IF(metadata!D810="",FALSE,TRUE),EXACT(metadata!D810,"years"))</f>
        <v>0</v>
      </c>
      <c r="AF810" t="b">
        <f>OR(AND(IF(metadata!E810="",FALSE,TRUE),OR(EXACT(metadata!E810,"not applicable"),EXACT(metadata!E810,"missing: not collected"),EXACT(metadata!E810,"missing: not provided"),EXACT(metadata!E810,"missing: restricted access"))),AND(IF(metadata!E810="",FALSE,ISNUMBER(VALUE(metadata!E810))),metadata!E810&gt;0))</f>
        <v>0</v>
      </c>
      <c r="AG810" t="b">
        <f>AND(IF(metadata!F810="",FALSE,TRUE),EXACT(metadata!F810,"Not applicable"))</f>
        <v>0</v>
      </c>
      <c r="AH810" t="b">
        <f>AND(IF(metadata!G810="",FALSE,TRUE),EXACT(metadata!G810,"urban biome"))</f>
        <v>0</v>
      </c>
      <c r="AI810" t="b">
        <f>AND(IF(metadata!H810="",FALSE,TRUE),EXACT(metadata!H810,"human-associated habitat"))</f>
        <v>0</v>
      </c>
      <c r="AJ810" t="b">
        <f>AND(IF(metadata!I810="",FALSE,TRUE),OR(EXACT(metadata!I810,"human-associated"),EXACT(metadata!I810,"human-skin"),EXACT(metadata!I810,"human-oral"),EXACT(metadata!I810,"human-gut"),EXACT(metadata!I810,"human-vaginal")))</f>
        <v>0</v>
      </c>
      <c r="AK810" t="b">
        <f>IF(metadata!J810="",FALSE,ISNUMBER(VALUE(metadata!J810)))</f>
        <v>0</v>
      </c>
      <c r="AL810" t="b">
        <f>AND(IF(metadata!K810="",FALSE,TRUE),EXACT(metadata!K810,"cm"))</f>
        <v>0</v>
      </c>
      <c r="AM810" t="b">
        <f>AND(IF(metadata!L810="",FALSE,TRUE),EXACT(metadata!L810,"human"))</f>
        <v>0</v>
      </c>
      <c r="AN810" t="b">
        <f>AND(IF(metadata!M810="",FALSE,TRUE),EXACT(metadata!M810,"Homo sapiens"))</f>
        <v>0</v>
      </c>
      <c r="AO810" t="b">
        <f>AND(IF(metadata!N810="",FALSE,TRUE),EXACT(metadata!N810,"9606"))</f>
        <v>0</v>
      </c>
      <c r="AP810" t="b">
        <f>IF(metadata!O810="",FALSE,TRUE)</f>
        <v>0</v>
      </c>
      <c r="AQ810" t="b">
        <f>IF(metadata!P810="",FALSE,TRUE)</f>
        <v>0</v>
      </c>
      <c r="AR810" t="b">
        <f>IF(metadata!Q810="",FALSE,ISNUMBER(VALUE(metadata!Q810)))</f>
        <v>0</v>
      </c>
      <c r="AS810" t="b">
        <f>AND(IF(metadata!R810="",FALSE,TRUE),EXACT(metadata!R810,"kg"))</f>
        <v>0</v>
      </c>
    </row>
    <row r="811" spans="1:45" x14ac:dyDescent="0.2">
      <c r="A811" s="5" t="str">
        <f ca="1">IF(B811=" "," ",HYPERLINK(CONCATENATE("#metadata!",ADDRESS(INDEX($X$2:$X$1001,MATCH(ROWS($V$2:V811),$V$2:$V$1001,0),0),1)),INDEX($AA$2:$AA$1001,MATCH(ROWS($V$2:V811),$V$2:$V$1001,0),0)))</f>
        <v xml:space="preserve"> </v>
      </c>
      <c r="B811" s="4" t="str">
        <f ca="1">IF(OR(INDEX($W$2:$W$1001,MATCH(ROWS($V$2:V811),$V$2:$V$1001,0),1)&gt;=100000,INDEX($AC$1005:$AS$1005,1,MATCH(COLUMNS($AC$1006:AC1006),$AC$1006:$AS$1006,0))&gt;=100000), " ",IF(INDEX($AC$2:$AS$1001,MATCH(ROWS($V$2:V811),$V$2:$V$1001,0),MATCH(COLUMNS($AC$1006:AC1006),$AC$1006:$AS$1006,0)), HYPERLINK("#",""), HYPERLINK(CONCATENATE("#metadata!", ADDRESS(INDEX($X$2:$X$1001,MATCH(ROWS($V$2:V811),$V$2:$V$1001,0),0), INDEX($AC$1004:$AS$1004,1,MATCH(COLUMNS($AC$1006:AC1006),$AC$1006:$AS$1006,0)))),"Fix")))</f>
        <v xml:space="preserve"> </v>
      </c>
      <c r="C811" s="4" t="str">
        <f ca="1">IF(OR(INDEX($W$2:$W$1001,MATCH(ROWS($V$2:V811),$V$2:$V$1001,0),1)&gt;=100000,INDEX($AC$1005:$AS$1005,1,MATCH(COLUMNS($AC$1006:AD1006),$AC$1006:$AS$1006,0))&gt;=100000), " ",IF(INDEX($AC$2:$AS$1001,MATCH(ROWS($V$2:V811),$V$2:$V$1001,0),MATCH(COLUMNS($AC$1006:AD1006),$AC$1006:$AS$1006,0)), HYPERLINK("#",""), HYPERLINK(CONCATENATE("#metadata!", ADDRESS(INDEX($X$2:$X$1001,MATCH(ROWS($V$2:V811),$V$2:$V$1001,0),0), INDEX($AC$1004:$AS$1004,1,MATCH(COLUMNS($AC$1006:AD1006),$AC$1006:$AS$1006,0)))),"Fix")))</f>
        <v xml:space="preserve"> </v>
      </c>
      <c r="D811" s="4" t="str">
        <f ca="1">IF(OR(INDEX($W$2:$W$1001,MATCH(ROWS($V$2:V811),$V$2:$V$1001,0),1)&gt;=100000,INDEX($AC$1005:$AS$1005,1,MATCH(COLUMNS($AC$1006:AE1006),$AC$1006:$AS$1006,0))&gt;=100000), " ",IF(INDEX($AC$2:$AS$1001,MATCH(ROWS($V$2:V811),$V$2:$V$1001,0),MATCH(COLUMNS($AC$1006:AE1006),$AC$1006:$AS$1006,0)), HYPERLINK("#",""), HYPERLINK(CONCATENATE("#metadata!", ADDRESS(INDEX($X$2:$X$1001,MATCH(ROWS($V$2:V811),$V$2:$V$1001,0),0), INDEX($AC$1004:$AS$1004,1,MATCH(COLUMNS($AC$1006:AE1006),$AC$1006:$AS$1006,0)))),"Fix")))</f>
        <v xml:space="preserve"> </v>
      </c>
      <c r="E811" s="4" t="str">
        <f ca="1">IF(OR(INDEX($W$2:$W$1001,MATCH(ROWS($V$2:V811),$V$2:$V$1001,0),1)&gt;=100000,INDEX($AC$1005:$AS$1005,1,MATCH(COLUMNS($AC$1006:AF1006),$AC$1006:$AS$1006,0))&gt;=100000), " ",IF(INDEX($AC$2:$AS$1001,MATCH(ROWS($V$2:V811),$V$2:$V$1001,0),MATCH(COLUMNS($AC$1006:AF1006),$AC$1006:$AS$1006,0)), HYPERLINK("#",""), HYPERLINK(CONCATENATE("#metadata!", ADDRESS(INDEX($X$2:$X$1001,MATCH(ROWS($V$2:V811),$V$2:$V$1001,0),0), INDEX($AC$1004:$AS$1004,1,MATCH(COLUMNS($AC$1006:AF1006),$AC$1006:$AS$1006,0)))),"Fix")))</f>
        <v xml:space="preserve"> </v>
      </c>
      <c r="F811" s="4" t="str">
        <f ca="1">IF(OR(INDEX($W$2:$W$1001,MATCH(ROWS($V$2:V811),$V$2:$V$1001,0),1)&gt;=100000,INDEX($AC$1005:$AS$1005,1,MATCH(COLUMNS($AC$1006:AG1006),$AC$1006:$AS$1006,0))&gt;=100000), " ",IF(INDEX($AC$2:$AS$1001,MATCH(ROWS($V$2:V811),$V$2:$V$1001,0),MATCH(COLUMNS($AC$1006:AG1006),$AC$1006:$AS$1006,0)), HYPERLINK("#",""), HYPERLINK(CONCATENATE("#metadata!", ADDRESS(INDEX($X$2:$X$1001,MATCH(ROWS($V$2:V811),$V$2:$V$1001,0),0), INDEX($AC$1004:$AS$1004,1,MATCH(COLUMNS($AC$1006:AG1006),$AC$1006:$AS$1006,0)))),"Fix")))</f>
        <v xml:space="preserve"> </v>
      </c>
      <c r="G811" s="4" t="str">
        <f ca="1">IF(OR(INDEX($W$2:$W$1001,MATCH(ROWS($V$2:V811),$V$2:$V$1001,0),1)&gt;=100000,INDEX($AC$1005:$AS$1005,1,MATCH(COLUMNS($AC$1006:AH1006),$AC$1006:$AS$1006,0))&gt;=100000), " ",IF(INDEX($AC$2:$AS$1001,MATCH(ROWS($V$2:V811),$V$2:$V$1001,0),MATCH(COLUMNS($AC$1006:AH1006),$AC$1006:$AS$1006,0)), HYPERLINK("#",""), HYPERLINK(CONCATENATE("#metadata!", ADDRESS(INDEX($X$2:$X$1001,MATCH(ROWS($V$2:V811),$V$2:$V$1001,0),0), INDEX($AC$1004:$AS$1004,1,MATCH(COLUMNS($AC$1006:AH1006),$AC$1006:$AS$1006,0)))),"Fix")))</f>
        <v xml:space="preserve"> </v>
      </c>
      <c r="H811" s="4" t="str">
        <f ca="1">IF(OR(INDEX($W$2:$W$1001,MATCH(ROWS($V$2:V811),$V$2:$V$1001,0),1)&gt;=100000,INDEX($AC$1005:$AS$1005,1,MATCH(COLUMNS($AC$1006:AI1006),$AC$1006:$AS$1006,0))&gt;=100000), " ",IF(INDEX($AC$2:$AS$1001,MATCH(ROWS($V$2:V811),$V$2:$V$1001,0),MATCH(COLUMNS($AC$1006:AI1006),$AC$1006:$AS$1006,0)), HYPERLINK("#",""), HYPERLINK(CONCATENATE("#metadata!", ADDRESS(INDEX($X$2:$X$1001,MATCH(ROWS($V$2:V811),$V$2:$V$1001,0),0), INDEX($AC$1004:$AS$1004,1,MATCH(COLUMNS($AC$1006:AI1006),$AC$1006:$AS$1006,0)))),"Fix")))</f>
        <v xml:space="preserve"> </v>
      </c>
      <c r="I811" s="4" t="str">
        <f ca="1">IF(OR(INDEX($W$2:$W$1001,MATCH(ROWS($V$2:V811),$V$2:$V$1001,0),1)&gt;=100000,INDEX($AC$1005:$AS$1005,1,MATCH(COLUMNS($AC$1006:AJ1006),$AC$1006:$AS$1006,0))&gt;=100000), " ",IF(INDEX($AC$2:$AS$1001,MATCH(ROWS($V$2:V811),$V$2:$V$1001,0),MATCH(COLUMNS($AC$1006:AJ1006),$AC$1006:$AS$1006,0)), HYPERLINK("#",""), HYPERLINK(CONCATENATE("#metadata!", ADDRESS(INDEX($X$2:$X$1001,MATCH(ROWS($V$2:V811),$V$2:$V$1001,0),0), INDEX($AC$1004:$AS$1004,1,MATCH(COLUMNS($AC$1006:AJ1006),$AC$1006:$AS$1006,0)))),"Fix")))</f>
        <v xml:space="preserve"> </v>
      </c>
      <c r="J811" s="4" t="str">
        <f ca="1">IF(OR(INDEX($W$2:$W$1001,MATCH(ROWS($V$2:V811),$V$2:$V$1001,0),1)&gt;=100000,INDEX($AC$1005:$AS$1005,1,MATCH(COLUMNS($AC$1006:AK1006),$AC$1006:$AS$1006,0))&gt;=100000), " ",IF(INDEX($AC$2:$AS$1001,MATCH(ROWS($V$2:V811),$V$2:$V$1001,0),MATCH(COLUMNS($AC$1006:AK1006),$AC$1006:$AS$1006,0)), HYPERLINK("#",""), HYPERLINK(CONCATENATE("#metadata!", ADDRESS(INDEX($X$2:$X$1001,MATCH(ROWS($V$2:V811),$V$2:$V$1001,0),0), INDEX($AC$1004:$AS$1004,1,MATCH(COLUMNS($AC$1006:AK1006),$AC$1006:$AS$1006,0)))),"Fix")))</f>
        <v xml:space="preserve"> </v>
      </c>
      <c r="K811" s="4" t="str">
        <f ca="1">IF(OR(INDEX($W$2:$W$1001,MATCH(ROWS($V$2:V811),$V$2:$V$1001,0),1)&gt;=100000,INDEX($AC$1005:$AS$1005,1,MATCH(COLUMNS($AC$1006:AL1006),$AC$1006:$AS$1006,0))&gt;=100000), " ",IF(INDEX($AC$2:$AS$1001,MATCH(ROWS($V$2:V811),$V$2:$V$1001,0),MATCH(COLUMNS($AC$1006:AL1006),$AC$1006:$AS$1006,0)), HYPERLINK("#",""), HYPERLINK(CONCATENATE("#metadata!", ADDRESS(INDEX($X$2:$X$1001,MATCH(ROWS($V$2:V811),$V$2:$V$1001,0),0), INDEX($AC$1004:$AS$1004,1,MATCH(COLUMNS($AC$1006:AL1006),$AC$1006:$AS$1006,0)))),"Fix")))</f>
        <v xml:space="preserve"> </v>
      </c>
      <c r="L811" s="4" t="str">
        <f ca="1">IF(OR(INDEX($W$2:$W$1001,MATCH(ROWS($V$2:V811),$V$2:$V$1001,0),1)&gt;=100000,INDEX($AC$1005:$AS$1005,1,MATCH(COLUMNS($AC$1006:AM1006),$AC$1006:$AS$1006,0))&gt;=100000), " ",IF(INDEX($AC$2:$AS$1001,MATCH(ROWS($V$2:V811),$V$2:$V$1001,0),MATCH(COLUMNS($AC$1006:AM1006),$AC$1006:$AS$1006,0)), HYPERLINK("#",""), HYPERLINK(CONCATENATE("#metadata!", ADDRESS(INDEX($X$2:$X$1001,MATCH(ROWS($V$2:V811),$V$2:$V$1001,0),0), INDEX($AC$1004:$AS$1004,1,MATCH(COLUMNS($AC$1006:AM1006),$AC$1006:$AS$1006,0)))),"Fix")))</f>
        <v xml:space="preserve"> </v>
      </c>
      <c r="M811" s="4" t="str">
        <f ca="1">IF(OR(INDEX($W$2:$W$1001,MATCH(ROWS($V$2:V811),$V$2:$V$1001,0),1)&gt;=100000,INDEX($AC$1005:$AS$1005,1,MATCH(COLUMNS($AC$1006:AN1006),$AC$1006:$AS$1006,0))&gt;=100000), " ",IF(INDEX($AC$2:$AS$1001,MATCH(ROWS($V$2:V811),$V$2:$V$1001,0),MATCH(COLUMNS($AC$1006:AN1006),$AC$1006:$AS$1006,0)), HYPERLINK("#",""), HYPERLINK(CONCATENATE("#metadata!", ADDRESS(INDEX($X$2:$X$1001,MATCH(ROWS($V$2:V811),$V$2:$V$1001,0),0), INDEX($AC$1004:$AS$1004,1,MATCH(COLUMNS($AC$1006:AN1006),$AC$1006:$AS$1006,0)))),"Fix")))</f>
        <v xml:space="preserve"> </v>
      </c>
      <c r="N811" s="4" t="str">
        <f ca="1">IF(OR(INDEX($W$2:$W$1001,MATCH(ROWS($V$2:V811),$V$2:$V$1001,0),1)&gt;=100000,INDEX($AC$1005:$AS$1005,1,MATCH(COLUMNS($AC$1006:AO1006),$AC$1006:$AS$1006,0))&gt;=100000), " ",IF(INDEX($AC$2:$AS$1001,MATCH(ROWS($V$2:V811),$V$2:$V$1001,0),MATCH(COLUMNS($AC$1006:AO1006),$AC$1006:$AS$1006,0)), HYPERLINK("#",""), HYPERLINK(CONCATENATE("#metadata!", ADDRESS(INDEX($X$2:$X$1001,MATCH(ROWS($V$2:V811),$V$2:$V$1001,0),0), INDEX($AC$1004:$AS$1004,1,MATCH(COLUMNS($AC$1006:AO1006),$AC$1006:$AS$1006,0)))),"Fix")))</f>
        <v xml:space="preserve"> </v>
      </c>
      <c r="O811" s="4" t="str">
        <f ca="1">IF(OR(INDEX($W$2:$W$1001,MATCH(ROWS($V$2:V811),$V$2:$V$1001,0),1)&gt;=100000,INDEX($AC$1005:$AS$1005,1,MATCH(COLUMNS($AC$1006:AP1006),$AC$1006:$AS$1006,0))&gt;=100000), " ",IF(INDEX($AC$2:$AS$1001,MATCH(ROWS($V$2:V811),$V$2:$V$1001,0),MATCH(COLUMNS($AC$1006:AP1006),$AC$1006:$AS$1006,0)), HYPERLINK("#",""), HYPERLINK(CONCATENATE("#metadata!", ADDRESS(INDEX($X$2:$X$1001,MATCH(ROWS($V$2:V811),$V$2:$V$1001,0),0), INDEX($AC$1004:$AS$1004,1,MATCH(COLUMNS($AC$1006:AP1006),$AC$1006:$AS$1006,0)))),"Fix")))</f>
        <v xml:space="preserve"> </v>
      </c>
      <c r="P811" s="4" t="str">
        <f ca="1">IF(OR(INDEX($W$2:$W$1001,MATCH(ROWS($V$2:V811),$V$2:$V$1001,0),1)&gt;=100000,INDEX($AC$1005:$AS$1005,1,MATCH(COLUMNS($AC$1006:AQ1006),$AC$1006:$AS$1006,0))&gt;=100000), " ",IF(INDEX($AC$2:$AS$1001,MATCH(ROWS($V$2:V811),$V$2:$V$1001,0),MATCH(COLUMNS($AC$1006:AQ1006),$AC$1006:$AS$1006,0)), HYPERLINK("#",""), HYPERLINK(CONCATENATE("#metadata!", ADDRESS(INDEX($X$2:$X$1001,MATCH(ROWS($V$2:V811),$V$2:$V$1001,0),0), INDEX($AC$1004:$AS$1004,1,MATCH(COLUMNS($AC$1006:AQ1006),$AC$1006:$AS$1006,0)))),"Fix")))</f>
        <v xml:space="preserve"> </v>
      </c>
      <c r="Q811" s="4" t="str">
        <f ca="1">IF(OR(INDEX($W$2:$W$1001,MATCH(ROWS($V$2:V811),$V$2:$V$1001,0),1)&gt;=100000,INDEX($AC$1005:$AS$1005,1,MATCH(COLUMNS($AC$1006:AR1006),$AC$1006:$AS$1006,0))&gt;=100000), " ",IF(INDEX($AC$2:$AS$1001,MATCH(ROWS($V$2:V811),$V$2:$V$1001,0),MATCH(COLUMNS($AC$1006:AR1006),$AC$1006:$AS$1006,0)), HYPERLINK("#",""), HYPERLINK(CONCATENATE("#metadata!", ADDRESS(INDEX($X$2:$X$1001,MATCH(ROWS($V$2:V811),$V$2:$V$1001,0),0), INDEX($AC$1004:$AS$1004,1,MATCH(COLUMNS($AC$1006:AR1006),$AC$1006:$AS$1006,0)))),"Fix")))</f>
        <v xml:space="preserve"> </v>
      </c>
      <c r="R811" s="4" t="str">
        <f ca="1">IF(OR(INDEX($W$2:$W$1001,MATCH(ROWS($V$2:V811),$V$2:$V$1001,0),1)&gt;=100000,INDEX($AC$1005:$AS$1005,1,MATCH(COLUMNS($AC$1006:AS1006),$AC$1006:$AS$1006,0))&gt;=100000), " ",IF(INDEX($AC$2:$AS$1001,MATCH(ROWS($V$2:V811),$V$2:$V$1001,0),MATCH(COLUMNS($AC$1006:AS1006),$AC$1006:$AS$1006,0)), HYPERLINK("#",""), HYPERLINK(CONCATENATE("#metadata!", ADDRESS(INDEX($X$2:$X$1001,MATCH(ROWS($V$2:V811),$V$2:$V$1001,0),0), INDEX($AC$1004:$AS$1004,1,MATCH(COLUMNS($AC$1006:AS1006),$AC$1006:$AS$1006,0)))),"Fix")))</f>
        <v xml:space="preserve"> </v>
      </c>
      <c r="V811">
        <v>810</v>
      </c>
      <c r="W811">
        <v>100811</v>
      </c>
      <c r="X811">
        <v>811</v>
      </c>
      <c r="Y811" t="b">
        <f t="shared" si="12"/>
        <v>1</v>
      </c>
      <c r="Z811" t="b">
        <f>COUNTBLANK(metadata!B811:R811)=COLUMNS(metadata!B811:R811)</f>
        <v>1</v>
      </c>
      <c r="AA811" t="str">
        <v/>
      </c>
      <c r="AC811" t="b">
        <f ca="1"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AD811" t="b">
        <f>IF(metadata!C811="",FALSE,ISNUMBER(VALUE(metadata!C811)))</f>
        <v>0</v>
      </c>
      <c r="AE811" t="b">
        <f>AND(IF(metadata!D811="",FALSE,TRUE),EXACT(metadata!D811,"years"))</f>
        <v>0</v>
      </c>
      <c r="AF811" t="b">
        <f>OR(AND(IF(metadata!E811="",FALSE,TRUE),OR(EXACT(metadata!E811,"not applicable"),EXACT(metadata!E811,"missing: not collected"),EXACT(metadata!E811,"missing: not provided"),EXACT(metadata!E811,"missing: restricted access"))),AND(IF(metadata!E811="",FALSE,ISNUMBER(VALUE(metadata!E811))),metadata!E811&gt;0))</f>
        <v>0</v>
      </c>
      <c r="AG811" t="b">
        <f>AND(IF(metadata!F811="",FALSE,TRUE),EXACT(metadata!F811,"Not applicable"))</f>
        <v>0</v>
      </c>
      <c r="AH811" t="b">
        <f>AND(IF(metadata!G811="",FALSE,TRUE),EXACT(metadata!G811,"urban biome"))</f>
        <v>0</v>
      </c>
      <c r="AI811" t="b">
        <f>AND(IF(metadata!H811="",FALSE,TRUE),EXACT(metadata!H811,"human-associated habitat"))</f>
        <v>0</v>
      </c>
      <c r="AJ811" t="b">
        <f>AND(IF(metadata!I811="",FALSE,TRUE),OR(EXACT(metadata!I811,"human-associated"),EXACT(metadata!I811,"human-skin"),EXACT(metadata!I811,"human-oral"),EXACT(metadata!I811,"human-gut"),EXACT(metadata!I811,"human-vaginal")))</f>
        <v>0</v>
      </c>
      <c r="AK811" t="b">
        <f>IF(metadata!J811="",FALSE,ISNUMBER(VALUE(metadata!J811)))</f>
        <v>0</v>
      </c>
      <c r="AL811" t="b">
        <f>AND(IF(metadata!K811="",FALSE,TRUE),EXACT(metadata!K811,"cm"))</f>
        <v>0</v>
      </c>
      <c r="AM811" t="b">
        <f>AND(IF(metadata!L811="",FALSE,TRUE),EXACT(metadata!L811,"human"))</f>
        <v>0</v>
      </c>
      <c r="AN811" t="b">
        <f>AND(IF(metadata!M811="",FALSE,TRUE),EXACT(metadata!M811,"Homo sapiens"))</f>
        <v>0</v>
      </c>
      <c r="AO811" t="b">
        <f>AND(IF(metadata!N811="",FALSE,TRUE),EXACT(metadata!N811,"9606"))</f>
        <v>0</v>
      </c>
      <c r="AP811" t="b">
        <f>IF(metadata!O811="",FALSE,TRUE)</f>
        <v>0</v>
      </c>
      <c r="AQ811" t="b">
        <f>IF(metadata!P811="",FALSE,TRUE)</f>
        <v>0</v>
      </c>
      <c r="AR811" t="b">
        <f>IF(metadata!Q811="",FALSE,ISNUMBER(VALUE(metadata!Q811)))</f>
        <v>0</v>
      </c>
      <c r="AS811" t="b">
        <f>AND(IF(metadata!R811="",FALSE,TRUE),EXACT(metadata!R811,"kg"))</f>
        <v>0</v>
      </c>
    </row>
    <row r="812" spans="1:45" x14ac:dyDescent="0.2">
      <c r="A812" s="5" t="str">
        <f ca="1">IF(B812=" "," ",HYPERLINK(CONCATENATE("#metadata!",ADDRESS(INDEX($X$2:$X$1001,MATCH(ROWS($V$2:V812),$V$2:$V$1001,0),0),1)),INDEX($AA$2:$AA$1001,MATCH(ROWS($V$2:V812),$V$2:$V$1001,0),0)))</f>
        <v xml:space="preserve"> </v>
      </c>
      <c r="B812" s="4" t="str">
        <f ca="1">IF(OR(INDEX($W$2:$W$1001,MATCH(ROWS($V$2:V812),$V$2:$V$1001,0),1)&gt;=100000,INDEX($AC$1005:$AS$1005,1,MATCH(COLUMNS($AC$1006:AC1006),$AC$1006:$AS$1006,0))&gt;=100000), " ",IF(INDEX($AC$2:$AS$1001,MATCH(ROWS($V$2:V812),$V$2:$V$1001,0),MATCH(COLUMNS($AC$1006:AC1006),$AC$1006:$AS$1006,0)), HYPERLINK("#",""), HYPERLINK(CONCATENATE("#metadata!", ADDRESS(INDEX($X$2:$X$1001,MATCH(ROWS($V$2:V812),$V$2:$V$1001,0),0), INDEX($AC$1004:$AS$1004,1,MATCH(COLUMNS($AC$1006:AC1006),$AC$1006:$AS$1006,0)))),"Fix")))</f>
        <v xml:space="preserve"> </v>
      </c>
      <c r="C812" s="4" t="str">
        <f ca="1">IF(OR(INDEX($W$2:$W$1001,MATCH(ROWS($V$2:V812),$V$2:$V$1001,0),1)&gt;=100000,INDEX($AC$1005:$AS$1005,1,MATCH(COLUMNS($AC$1006:AD1006),$AC$1006:$AS$1006,0))&gt;=100000), " ",IF(INDEX($AC$2:$AS$1001,MATCH(ROWS($V$2:V812),$V$2:$V$1001,0),MATCH(COLUMNS($AC$1006:AD1006),$AC$1006:$AS$1006,0)), HYPERLINK("#",""), HYPERLINK(CONCATENATE("#metadata!", ADDRESS(INDEX($X$2:$X$1001,MATCH(ROWS($V$2:V812),$V$2:$V$1001,0),0), INDEX($AC$1004:$AS$1004,1,MATCH(COLUMNS($AC$1006:AD1006),$AC$1006:$AS$1006,0)))),"Fix")))</f>
        <v xml:space="preserve"> </v>
      </c>
      <c r="D812" s="4" t="str">
        <f ca="1">IF(OR(INDEX($W$2:$W$1001,MATCH(ROWS($V$2:V812),$V$2:$V$1001,0),1)&gt;=100000,INDEX($AC$1005:$AS$1005,1,MATCH(COLUMNS($AC$1006:AE1006),$AC$1006:$AS$1006,0))&gt;=100000), " ",IF(INDEX($AC$2:$AS$1001,MATCH(ROWS($V$2:V812),$V$2:$V$1001,0),MATCH(COLUMNS($AC$1006:AE1006),$AC$1006:$AS$1006,0)), HYPERLINK("#",""), HYPERLINK(CONCATENATE("#metadata!", ADDRESS(INDEX($X$2:$X$1001,MATCH(ROWS($V$2:V812),$V$2:$V$1001,0),0), INDEX($AC$1004:$AS$1004,1,MATCH(COLUMNS($AC$1006:AE1006),$AC$1006:$AS$1006,0)))),"Fix")))</f>
        <v xml:space="preserve"> </v>
      </c>
      <c r="E812" s="4" t="str">
        <f ca="1">IF(OR(INDEX($W$2:$W$1001,MATCH(ROWS($V$2:V812),$V$2:$V$1001,0),1)&gt;=100000,INDEX($AC$1005:$AS$1005,1,MATCH(COLUMNS($AC$1006:AF1006),$AC$1006:$AS$1006,0))&gt;=100000), " ",IF(INDEX($AC$2:$AS$1001,MATCH(ROWS($V$2:V812),$V$2:$V$1001,0),MATCH(COLUMNS($AC$1006:AF1006),$AC$1006:$AS$1006,0)), HYPERLINK("#",""), HYPERLINK(CONCATENATE("#metadata!", ADDRESS(INDEX($X$2:$X$1001,MATCH(ROWS($V$2:V812),$V$2:$V$1001,0),0), INDEX($AC$1004:$AS$1004,1,MATCH(COLUMNS($AC$1006:AF1006),$AC$1006:$AS$1006,0)))),"Fix")))</f>
        <v xml:space="preserve"> </v>
      </c>
      <c r="F812" s="4" t="str">
        <f ca="1">IF(OR(INDEX($W$2:$W$1001,MATCH(ROWS($V$2:V812),$V$2:$V$1001,0),1)&gt;=100000,INDEX($AC$1005:$AS$1005,1,MATCH(COLUMNS($AC$1006:AG1006),$AC$1006:$AS$1006,0))&gt;=100000), " ",IF(INDEX($AC$2:$AS$1001,MATCH(ROWS($V$2:V812),$V$2:$V$1001,0),MATCH(COLUMNS($AC$1006:AG1006),$AC$1006:$AS$1006,0)), HYPERLINK("#",""), HYPERLINK(CONCATENATE("#metadata!", ADDRESS(INDEX($X$2:$X$1001,MATCH(ROWS($V$2:V812),$V$2:$V$1001,0),0), INDEX($AC$1004:$AS$1004,1,MATCH(COLUMNS($AC$1006:AG1006),$AC$1006:$AS$1006,0)))),"Fix")))</f>
        <v xml:space="preserve"> </v>
      </c>
      <c r="G812" s="4" t="str">
        <f ca="1">IF(OR(INDEX($W$2:$W$1001,MATCH(ROWS($V$2:V812),$V$2:$V$1001,0),1)&gt;=100000,INDEX($AC$1005:$AS$1005,1,MATCH(COLUMNS($AC$1006:AH1006),$AC$1006:$AS$1006,0))&gt;=100000), " ",IF(INDEX($AC$2:$AS$1001,MATCH(ROWS($V$2:V812),$V$2:$V$1001,0),MATCH(COLUMNS($AC$1006:AH1006),$AC$1006:$AS$1006,0)), HYPERLINK("#",""), HYPERLINK(CONCATENATE("#metadata!", ADDRESS(INDEX($X$2:$X$1001,MATCH(ROWS($V$2:V812),$V$2:$V$1001,0),0), INDEX($AC$1004:$AS$1004,1,MATCH(COLUMNS($AC$1006:AH1006),$AC$1006:$AS$1006,0)))),"Fix")))</f>
        <v xml:space="preserve"> </v>
      </c>
      <c r="H812" s="4" t="str">
        <f ca="1">IF(OR(INDEX($W$2:$W$1001,MATCH(ROWS($V$2:V812),$V$2:$V$1001,0),1)&gt;=100000,INDEX($AC$1005:$AS$1005,1,MATCH(COLUMNS($AC$1006:AI1006),$AC$1006:$AS$1006,0))&gt;=100000), " ",IF(INDEX($AC$2:$AS$1001,MATCH(ROWS($V$2:V812),$V$2:$V$1001,0),MATCH(COLUMNS($AC$1006:AI1006),$AC$1006:$AS$1006,0)), HYPERLINK("#",""), HYPERLINK(CONCATENATE("#metadata!", ADDRESS(INDEX($X$2:$X$1001,MATCH(ROWS($V$2:V812),$V$2:$V$1001,0),0), INDEX($AC$1004:$AS$1004,1,MATCH(COLUMNS($AC$1006:AI1006),$AC$1006:$AS$1006,0)))),"Fix")))</f>
        <v xml:space="preserve"> </v>
      </c>
      <c r="I812" s="4" t="str">
        <f ca="1">IF(OR(INDEX($W$2:$W$1001,MATCH(ROWS($V$2:V812),$V$2:$V$1001,0),1)&gt;=100000,INDEX($AC$1005:$AS$1005,1,MATCH(COLUMNS($AC$1006:AJ1006),$AC$1006:$AS$1006,0))&gt;=100000), " ",IF(INDEX($AC$2:$AS$1001,MATCH(ROWS($V$2:V812),$V$2:$V$1001,0),MATCH(COLUMNS($AC$1006:AJ1006),$AC$1006:$AS$1006,0)), HYPERLINK("#",""), HYPERLINK(CONCATENATE("#metadata!", ADDRESS(INDEX($X$2:$X$1001,MATCH(ROWS($V$2:V812),$V$2:$V$1001,0),0), INDEX($AC$1004:$AS$1004,1,MATCH(COLUMNS($AC$1006:AJ1006),$AC$1006:$AS$1006,0)))),"Fix")))</f>
        <v xml:space="preserve"> </v>
      </c>
      <c r="J812" s="4" t="str">
        <f ca="1">IF(OR(INDEX($W$2:$W$1001,MATCH(ROWS($V$2:V812),$V$2:$V$1001,0),1)&gt;=100000,INDEX($AC$1005:$AS$1005,1,MATCH(COLUMNS($AC$1006:AK1006),$AC$1006:$AS$1006,0))&gt;=100000), " ",IF(INDEX($AC$2:$AS$1001,MATCH(ROWS($V$2:V812),$V$2:$V$1001,0),MATCH(COLUMNS($AC$1006:AK1006),$AC$1006:$AS$1006,0)), HYPERLINK("#",""), HYPERLINK(CONCATENATE("#metadata!", ADDRESS(INDEX($X$2:$X$1001,MATCH(ROWS($V$2:V812),$V$2:$V$1001,0),0), INDEX($AC$1004:$AS$1004,1,MATCH(COLUMNS($AC$1006:AK1006),$AC$1006:$AS$1006,0)))),"Fix")))</f>
        <v xml:space="preserve"> </v>
      </c>
      <c r="K812" s="4" t="str">
        <f ca="1">IF(OR(INDEX($W$2:$W$1001,MATCH(ROWS($V$2:V812),$V$2:$V$1001,0),1)&gt;=100000,INDEX($AC$1005:$AS$1005,1,MATCH(COLUMNS($AC$1006:AL1006),$AC$1006:$AS$1006,0))&gt;=100000), " ",IF(INDEX($AC$2:$AS$1001,MATCH(ROWS($V$2:V812),$V$2:$V$1001,0),MATCH(COLUMNS($AC$1006:AL1006),$AC$1006:$AS$1006,0)), HYPERLINK("#",""), HYPERLINK(CONCATENATE("#metadata!", ADDRESS(INDEX($X$2:$X$1001,MATCH(ROWS($V$2:V812),$V$2:$V$1001,0),0), INDEX($AC$1004:$AS$1004,1,MATCH(COLUMNS($AC$1006:AL1006),$AC$1006:$AS$1006,0)))),"Fix")))</f>
        <v xml:space="preserve"> </v>
      </c>
      <c r="L812" s="4" t="str">
        <f ca="1">IF(OR(INDEX($W$2:$W$1001,MATCH(ROWS($V$2:V812),$V$2:$V$1001,0),1)&gt;=100000,INDEX($AC$1005:$AS$1005,1,MATCH(COLUMNS($AC$1006:AM1006),$AC$1006:$AS$1006,0))&gt;=100000), " ",IF(INDEX($AC$2:$AS$1001,MATCH(ROWS($V$2:V812),$V$2:$V$1001,0),MATCH(COLUMNS($AC$1006:AM1006),$AC$1006:$AS$1006,0)), HYPERLINK("#",""), HYPERLINK(CONCATENATE("#metadata!", ADDRESS(INDEX($X$2:$X$1001,MATCH(ROWS($V$2:V812),$V$2:$V$1001,0),0), INDEX($AC$1004:$AS$1004,1,MATCH(COLUMNS($AC$1006:AM1006),$AC$1006:$AS$1006,0)))),"Fix")))</f>
        <v xml:space="preserve"> </v>
      </c>
      <c r="M812" s="4" t="str">
        <f ca="1">IF(OR(INDEX($W$2:$W$1001,MATCH(ROWS($V$2:V812),$V$2:$V$1001,0),1)&gt;=100000,INDEX($AC$1005:$AS$1005,1,MATCH(COLUMNS($AC$1006:AN1006),$AC$1006:$AS$1006,0))&gt;=100000), " ",IF(INDEX($AC$2:$AS$1001,MATCH(ROWS($V$2:V812),$V$2:$V$1001,0),MATCH(COLUMNS($AC$1006:AN1006),$AC$1006:$AS$1006,0)), HYPERLINK("#",""), HYPERLINK(CONCATENATE("#metadata!", ADDRESS(INDEX($X$2:$X$1001,MATCH(ROWS($V$2:V812),$V$2:$V$1001,0),0), INDEX($AC$1004:$AS$1004,1,MATCH(COLUMNS($AC$1006:AN1006),$AC$1006:$AS$1006,0)))),"Fix")))</f>
        <v xml:space="preserve"> </v>
      </c>
      <c r="N812" s="4" t="str">
        <f ca="1">IF(OR(INDEX($W$2:$W$1001,MATCH(ROWS($V$2:V812),$V$2:$V$1001,0),1)&gt;=100000,INDEX($AC$1005:$AS$1005,1,MATCH(COLUMNS($AC$1006:AO1006),$AC$1006:$AS$1006,0))&gt;=100000), " ",IF(INDEX($AC$2:$AS$1001,MATCH(ROWS($V$2:V812),$V$2:$V$1001,0),MATCH(COLUMNS($AC$1006:AO1006),$AC$1006:$AS$1006,0)), HYPERLINK("#",""), HYPERLINK(CONCATENATE("#metadata!", ADDRESS(INDEX($X$2:$X$1001,MATCH(ROWS($V$2:V812),$V$2:$V$1001,0),0), INDEX($AC$1004:$AS$1004,1,MATCH(COLUMNS($AC$1006:AO1006),$AC$1006:$AS$1006,0)))),"Fix")))</f>
        <v xml:space="preserve"> </v>
      </c>
      <c r="O812" s="4" t="str">
        <f ca="1">IF(OR(INDEX($W$2:$W$1001,MATCH(ROWS($V$2:V812),$V$2:$V$1001,0),1)&gt;=100000,INDEX($AC$1005:$AS$1005,1,MATCH(COLUMNS($AC$1006:AP1006),$AC$1006:$AS$1006,0))&gt;=100000), " ",IF(INDEX($AC$2:$AS$1001,MATCH(ROWS($V$2:V812),$V$2:$V$1001,0),MATCH(COLUMNS($AC$1006:AP1006),$AC$1006:$AS$1006,0)), HYPERLINK("#",""), HYPERLINK(CONCATENATE("#metadata!", ADDRESS(INDEX($X$2:$X$1001,MATCH(ROWS($V$2:V812),$V$2:$V$1001,0),0), INDEX($AC$1004:$AS$1004,1,MATCH(COLUMNS($AC$1006:AP1006),$AC$1006:$AS$1006,0)))),"Fix")))</f>
        <v xml:space="preserve"> </v>
      </c>
      <c r="P812" s="4" t="str">
        <f ca="1">IF(OR(INDEX($W$2:$W$1001,MATCH(ROWS($V$2:V812),$V$2:$V$1001,0),1)&gt;=100000,INDEX($AC$1005:$AS$1005,1,MATCH(COLUMNS($AC$1006:AQ1006),$AC$1006:$AS$1006,0))&gt;=100000), " ",IF(INDEX($AC$2:$AS$1001,MATCH(ROWS($V$2:V812),$V$2:$V$1001,0),MATCH(COLUMNS($AC$1006:AQ1006),$AC$1006:$AS$1006,0)), HYPERLINK("#",""), HYPERLINK(CONCATENATE("#metadata!", ADDRESS(INDEX($X$2:$X$1001,MATCH(ROWS($V$2:V812),$V$2:$V$1001,0),0), INDEX($AC$1004:$AS$1004,1,MATCH(COLUMNS($AC$1006:AQ1006),$AC$1006:$AS$1006,0)))),"Fix")))</f>
        <v xml:space="preserve"> </v>
      </c>
      <c r="Q812" s="4" t="str">
        <f ca="1">IF(OR(INDEX($W$2:$W$1001,MATCH(ROWS($V$2:V812),$V$2:$V$1001,0),1)&gt;=100000,INDEX($AC$1005:$AS$1005,1,MATCH(COLUMNS($AC$1006:AR1006),$AC$1006:$AS$1006,0))&gt;=100000), " ",IF(INDEX($AC$2:$AS$1001,MATCH(ROWS($V$2:V812),$V$2:$V$1001,0),MATCH(COLUMNS($AC$1006:AR1006),$AC$1006:$AS$1006,0)), HYPERLINK("#",""), HYPERLINK(CONCATENATE("#metadata!", ADDRESS(INDEX($X$2:$X$1001,MATCH(ROWS($V$2:V812),$V$2:$V$1001,0),0), INDEX($AC$1004:$AS$1004,1,MATCH(COLUMNS($AC$1006:AR1006),$AC$1006:$AS$1006,0)))),"Fix")))</f>
        <v xml:space="preserve"> </v>
      </c>
      <c r="R812" s="4" t="str">
        <f ca="1">IF(OR(INDEX($W$2:$W$1001,MATCH(ROWS($V$2:V812),$V$2:$V$1001,0),1)&gt;=100000,INDEX($AC$1005:$AS$1005,1,MATCH(COLUMNS($AC$1006:AS1006),$AC$1006:$AS$1006,0))&gt;=100000), " ",IF(INDEX($AC$2:$AS$1001,MATCH(ROWS($V$2:V812),$V$2:$V$1001,0),MATCH(COLUMNS($AC$1006:AS1006),$AC$1006:$AS$1006,0)), HYPERLINK("#",""), HYPERLINK(CONCATENATE("#metadata!", ADDRESS(INDEX($X$2:$X$1001,MATCH(ROWS($V$2:V812),$V$2:$V$1001,0),0), INDEX($AC$1004:$AS$1004,1,MATCH(COLUMNS($AC$1006:AS1006),$AC$1006:$AS$1006,0)))),"Fix")))</f>
        <v xml:space="preserve"> </v>
      </c>
      <c r="V812">
        <v>811</v>
      </c>
      <c r="W812">
        <v>100812</v>
      </c>
      <c r="X812">
        <v>812</v>
      </c>
      <c r="Y812" t="b">
        <f t="shared" si="12"/>
        <v>1</v>
      </c>
      <c r="Z812" t="b">
        <f>COUNTBLANK(metadata!B812:R812)=COLUMNS(metadata!B812:R812)</f>
        <v>1</v>
      </c>
      <c r="AA812" t="str">
        <v/>
      </c>
      <c r="AC812" t="b">
        <f ca="1"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AD812" t="b">
        <f>IF(metadata!C812="",FALSE,ISNUMBER(VALUE(metadata!C812)))</f>
        <v>0</v>
      </c>
      <c r="AE812" t="b">
        <f>AND(IF(metadata!D812="",FALSE,TRUE),EXACT(metadata!D812,"years"))</f>
        <v>0</v>
      </c>
      <c r="AF812" t="b">
        <f>OR(AND(IF(metadata!E812="",FALSE,TRUE),OR(EXACT(metadata!E812,"not applicable"),EXACT(metadata!E812,"missing: not collected"),EXACT(metadata!E812,"missing: not provided"),EXACT(metadata!E812,"missing: restricted access"))),AND(IF(metadata!E812="",FALSE,ISNUMBER(VALUE(metadata!E812))),metadata!E812&gt;0))</f>
        <v>0</v>
      </c>
      <c r="AG812" t="b">
        <f>AND(IF(metadata!F812="",FALSE,TRUE),EXACT(metadata!F812,"Not applicable"))</f>
        <v>0</v>
      </c>
      <c r="AH812" t="b">
        <f>AND(IF(metadata!G812="",FALSE,TRUE),EXACT(metadata!G812,"urban biome"))</f>
        <v>0</v>
      </c>
      <c r="AI812" t="b">
        <f>AND(IF(metadata!H812="",FALSE,TRUE),EXACT(metadata!H812,"human-associated habitat"))</f>
        <v>0</v>
      </c>
      <c r="AJ812" t="b">
        <f>AND(IF(metadata!I812="",FALSE,TRUE),OR(EXACT(metadata!I812,"human-associated"),EXACT(metadata!I812,"human-skin"),EXACT(metadata!I812,"human-oral"),EXACT(metadata!I812,"human-gut"),EXACT(metadata!I812,"human-vaginal")))</f>
        <v>0</v>
      </c>
      <c r="AK812" t="b">
        <f>IF(metadata!J812="",FALSE,ISNUMBER(VALUE(metadata!J812)))</f>
        <v>0</v>
      </c>
      <c r="AL812" t="b">
        <f>AND(IF(metadata!K812="",FALSE,TRUE),EXACT(metadata!K812,"cm"))</f>
        <v>0</v>
      </c>
      <c r="AM812" t="b">
        <f>AND(IF(metadata!L812="",FALSE,TRUE),EXACT(metadata!L812,"human"))</f>
        <v>0</v>
      </c>
      <c r="AN812" t="b">
        <f>AND(IF(metadata!M812="",FALSE,TRUE),EXACT(metadata!M812,"Homo sapiens"))</f>
        <v>0</v>
      </c>
      <c r="AO812" t="b">
        <f>AND(IF(metadata!N812="",FALSE,TRUE),EXACT(metadata!N812,"9606"))</f>
        <v>0</v>
      </c>
      <c r="AP812" t="b">
        <f>IF(metadata!O812="",FALSE,TRUE)</f>
        <v>0</v>
      </c>
      <c r="AQ812" t="b">
        <f>IF(metadata!P812="",FALSE,TRUE)</f>
        <v>0</v>
      </c>
      <c r="AR812" t="b">
        <f>IF(metadata!Q812="",FALSE,ISNUMBER(VALUE(metadata!Q812)))</f>
        <v>0</v>
      </c>
      <c r="AS812" t="b">
        <f>AND(IF(metadata!R812="",FALSE,TRUE),EXACT(metadata!R812,"kg"))</f>
        <v>0</v>
      </c>
    </row>
    <row r="813" spans="1:45" x14ac:dyDescent="0.2">
      <c r="A813" s="5" t="str">
        <f ca="1">IF(B813=" "," ",HYPERLINK(CONCATENATE("#metadata!",ADDRESS(INDEX($X$2:$X$1001,MATCH(ROWS($V$2:V813),$V$2:$V$1001,0),0),1)),INDEX($AA$2:$AA$1001,MATCH(ROWS($V$2:V813),$V$2:$V$1001,0),0)))</f>
        <v xml:space="preserve"> </v>
      </c>
      <c r="B813" s="4" t="str">
        <f ca="1">IF(OR(INDEX($W$2:$W$1001,MATCH(ROWS($V$2:V813),$V$2:$V$1001,0),1)&gt;=100000,INDEX($AC$1005:$AS$1005,1,MATCH(COLUMNS($AC$1006:AC1006),$AC$1006:$AS$1006,0))&gt;=100000), " ",IF(INDEX($AC$2:$AS$1001,MATCH(ROWS($V$2:V813),$V$2:$V$1001,0),MATCH(COLUMNS($AC$1006:AC1006),$AC$1006:$AS$1006,0)), HYPERLINK("#",""), HYPERLINK(CONCATENATE("#metadata!", ADDRESS(INDEX($X$2:$X$1001,MATCH(ROWS($V$2:V813),$V$2:$V$1001,0),0), INDEX($AC$1004:$AS$1004,1,MATCH(COLUMNS($AC$1006:AC1006),$AC$1006:$AS$1006,0)))),"Fix")))</f>
        <v xml:space="preserve"> </v>
      </c>
      <c r="C813" s="4" t="str">
        <f ca="1">IF(OR(INDEX($W$2:$W$1001,MATCH(ROWS($V$2:V813),$V$2:$V$1001,0),1)&gt;=100000,INDEX($AC$1005:$AS$1005,1,MATCH(COLUMNS($AC$1006:AD1006),$AC$1006:$AS$1006,0))&gt;=100000), " ",IF(INDEX($AC$2:$AS$1001,MATCH(ROWS($V$2:V813),$V$2:$V$1001,0),MATCH(COLUMNS($AC$1006:AD1006),$AC$1006:$AS$1006,0)), HYPERLINK("#",""), HYPERLINK(CONCATENATE("#metadata!", ADDRESS(INDEX($X$2:$X$1001,MATCH(ROWS($V$2:V813),$V$2:$V$1001,0),0), INDEX($AC$1004:$AS$1004,1,MATCH(COLUMNS($AC$1006:AD1006),$AC$1006:$AS$1006,0)))),"Fix")))</f>
        <v xml:space="preserve"> </v>
      </c>
      <c r="D813" s="4" t="str">
        <f ca="1">IF(OR(INDEX($W$2:$W$1001,MATCH(ROWS($V$2:V813),$V$2:$V$1001,0),1)&gt;=100000,INDEX($AC$1005:$AS$1005,1,MATCH(COLUMNS($AC$1006:AE1006),$AC$1006:$AS$1006,0))&gt;=100000), " ",IF(INDEX($AC$2:$AS$1001,MATCH(ROWS($V$2:V813),$V$2:$V$1001,0),MATCH(COLUMNS($AC$1006:AE1006),$AC$1006:$AS$1006,0)), HYPERLINK("#",""), HYPERLINK(CONCATENATE("#metadata!", ADDRESS(INDEX($X$2:$X$1001,MATCH(ROWS($V$2:V813),$V$2:$V$1001,0),0), INDEX($AC$1004:$AS$1004,1,MATCH(COLUMNS($AC$1006:AE1006),$AC$1006:$AS$1006,0)))),"Fix")))</f>
        <v xml:space="preserve"> </v>
      </c>
      <c r="E813" s="4" t="str">
        <f ca="1">IF(OR(INDEX($W$2:$W$1001,MATCH(ROWS($V$2:V813),$V$2:$V$1001,0),1)&gt;=100000,INDEX($AC$1005:$AS$1005,1,MATCH(COLUMNS($AC$1006:AF1006),$AC$1006:$AS$1006,0))&gt;=100000), " ",IF(INDEX($AC$2:$AS$1001,MATCH(ROWS($V$2:V813),$V$2:$V$1001,0),MATCH(COLUMNS($AC$1006:AF1006),$AC$1006:$AS$1006,0)), HYPERLINK("#",""), HYPERLINK(CONCATENATE("#metadata!", ADDRESS(INDEX($X$2:$X$1001,MATCH(ROWS($V$2:V813),$V$2:$V$1001,0),0), INDEX($AC$1004:$AS$1004,1,MATCH(COLUMNS($AC$1006:AF1006),$AC$1006:$AS$1006,0)))),"Fix")))</f>
        <v xml:space="preserve"> </v>
      </c>
      <c r="F813" s="4" t="str">
        <f ca="1">IF(OR(INDEX($W$2:$W$1001,MATCH(ROWS($V$2:V813),$V$2:$V$1001,0),1)&gt;=100000,INDEX($AC$1005:$AS$1005,1,MATCH(COLUMNS($AC$1006:AG1006),$AC$1006:$AS$1006,0))&gt;=100000), " ",IF(INDEX($AC$2:$AS$1001,MATCH(ROWS($V$2:V813),$V$2:$V$1001,0),MATCH(COLUMNS($AC$1006:AG1006),$AC$1006:$AS$1006,0)), HYPERLINK("#",""), HYPERLINK(CONCATENATE("#metadata!", ADDRESS(INDEX($X$2:$X$1001,MATCH(ROWS($V$2:V813),$V$2:$V$1001,0),0), INDEX($AC$1004:$AS$1004,1,MATCH(COLUMNS($AC$1006:AG1006),$AC$1006:$AS$1006,0)))),"Fix")))</f>
        <v xml:space="preserve"> </v>
      </c>
      <c r="G813" s="4" t="str">
        <f ca="1">IF(OR(INDEX($W$2:$W$1001,MATCH(ROWS($V$2:V813),$V$2:$V$1001,0),1)&gt;=100000,INDEX($AC$1005:$AS$1005,1,MATCH(COLUMNS($AC$1006:AH1006),$AC$1006:$AS$1006,0))&gt;=100000), " ",IF(INDEX($AC$2:$AS$1001,MATCH(ROWS($V$2:V813),$V$2:$V$1001,0),MATCH(COLUMNS($AC$1006:AH1006),$AC$1006:$AS$1006,0)), HYPERLINK("#",""), HYPERLINK(CONCATENATE("#metadata!", ADDRESS(INDEX($X$2:$X$1001,MATCH(ROWS($V$2:V813),$V$2:$V$1001,0),0), INDEX($AC$1004:$AS$1004,1,MATCH(COLUMNS($AC$1006:AH1006),$AC$1006:$AS$1006,0)))),"Fix")))</f>
        <v xml:space="preserve"> </v>
      </c>
      <c r="H813" s="4" t="str">
        <f ca="1">IF(OR(INDEX($W$2:$W$1001,MATCH(ROWS($V$2:V813),$V$2:$V$1001,0),1)&gt;=100000,INDEX($AC$1005:$AS$1005,1,MATCH(COLUMNS($AC$1006:AI1006),$AC$1006:$AS$1006,0))&gt;=100000), " ",IF(INDEX($AC$2:$AS$1001,MATCH(ROWS($V$2:V813),$V$2:$V$1001,0),MATCH(COLUMNS($AC$1006:AI1006),$AC$1006:$AS$1006,0)), HYPERLINK("#",""), HYPERLINK(CONCATENATE("#metadata!", ADDRESS(INDEX($X$2:$X$1001,MATCH(ROWS($V$2:V813),$V$2:$V$1001,0),0), INDEX($AC$1004:$AS$1004,1,MATCH(COLUMNS($AC$1006:AI1006),$AC$1006:$AS$1006,0)))),"Fix")))</f>
        <v xml:space="preserve"> </v>
      </c>
      <c r="I813" s="4" t="str">
        <f ca="1">IF(OR(INDEX($W$2:$W$1001,MATCH(ROWS($V$2:V813),$V$2:$V$1001,0),1)&gt;=100000,INDEX($AC$1005:$AS$1005,1,MATCH(COLUMNS($AC$1006:AJ1006),$AC$1006:$AS$1006,0))&gt;=100000), " ",IF(INDEX($AC$2:$AS$1001,MATCH(ROWS($V$2:V813),$V$2:$V$1001,0),MATCH(COLUMNS($AC$1006:AJ1006),$AC$1006:$AS$1006,0)), HYPERLINK("#",""), HYPERLINK(CONCATENATE("#metadata!", ADDRESS(INDEX($X$2:$X$1001,MATCH(ROWS($V$2:V813),$V$2:$V$1001,0),0), INDEX($AC$1004:$AS$1004,1,MATCH(COLUMNS($AC$1006:AJ1006),$AC$1006:$AS$1006,0)))),"Fix")))</f>
        <v xml:space="preserve"> </v>
      </c>
      <c r="J813" s="4" t="str">
        <f ca="1">IF(OR(INDEX($W$2:$W$1001,MATCH(ROWS($V$2:V813),$V$2:$V$1001,0),1)&gt;=100000,INDEX($AC$1005:$AS$1005,1,MATCH(COLUMNS($AC$1006:AK1006),$AC$1006:$AS$1006,0))&gt;=100000), " ",IF(INDEX($AC$2:$AS$1001,MATCH(ROWS($V$2:V813),$V$2:$V$1001,0),MATCH(COLUMNS($AC$1006:AK1006),$AC$1006:$AS$1006,0)), HYPERLINK("#",""), HYPERLINK(CONCATENATE("#metadata!", ADDRESS(INDEX($X$2:$X$1001,MATCH(ROWS($V$2:V813),$V$2:$V$1001,0),0), INDEX($AC$1004:$AS$1004,1,MATCH(COLUMNS($AC$1006:AK1006),$AC$1006:$AS$1006,0)))),"Fix")))</f>
        <v xml:space="preserve"> </v>
      </c>
      <c r="K813" s="4" t="str">
        <f ca="1">IF(OR(INDEX($W$2:$W$1001,MATCH(ROWS($V$2:V813),$V$2:$V$1001,0),1)&gt;=100000,INDEX($AC$1005:$AS$1005,1,MATCH(COLUMNS($AC$1006:AL1006),$AC$1006:$AS$1006,0))&gt;=100000), " ",IF(INDEX($AC$2:$AS$1001,MATCH(ROWS($V$2:V813),$V$2:$V$1001,0),MATCH(COLUMNS($AC$1006:AL1006),$AC$1006:$AS$1006,0)), HYPERLINK("#",""), HYPERLINK(CONCATENATE("#metadata!", ADDRESS(INDEX($X$2:$X$1001,MATCH(ROWS($V$2:V813),$V$2:$V$1001,0),0), INDEX($AC$1004:$AS$1004,1,MATCH(COLUMNS($AC$1006:AL1006),$AC$1006:$AS$1006,0)))),"Fix")))</f>
        <v xml:space="preserve"> </v>
      </c>
      <c r="L813" s="4" t="str">
        <f ca="1">IF(OR(INDEX($W$2:$W$1001,MATCH(ROWS($V$2:V813),$V$2:$V$1001,0),1)&gt;=100000,INDEX($AC$1005:$AS$1005,1,MATCH(COLUMNS($AC$1006:AM1006),$AC$1006:$AS$1006,0))&gt;=100000), " ",IF(INDEX($AC$2:$AS$1001,MATCH(ROWS($V$2:V813),$V$2:$V$1001,0),MATCH(COLUMNS($AC$1006:AM1006),$AC$1006:$AS$1006,0)), HYPERLINK("#",""), HYPERLINK(CONCATENATE("#metadata!", ADDRESS(INDEX($X$2:$X$1001,MATCH(ROWS($V$2:V813),$V$2:$V$1001,0),0), INDEX($AC$1004:$AS$1004,1,MATCH(COLUMNS($AC$1006:AM1006),$AC$1006:$AS$1006,0)))),"Fix")))</f>
        <v xml:space="preserve"> </v>
      </c>
      <c r="M813" s="4" t="str">
        <f ca="1">IF(OR(INDEX($W$2:$W$1001,MATCH(ROWS($V$2:V813),$V$2:$V$1001,0),1)&gt;=100000,INDEX($AC$1005:$AS$1005,1,MATCH(COLUMNS($AC$1006:AN1006),$AC$1006:$AS$1006,0))&gt;=100000), " ",IF(INDEX($AC$2:$AS$1001,MATCH(ROWS($V$2:V813),$V$2:$V$1001,0),MATCH(COLUMNS($AC$1006:AN1006),$AC$1006:$AS$1006,0)), HYPERLINK("#",""), HYPERLINK(CONCATENATE("#metadata!", ADDRESS(INDEX($X$2:$X$1001,MATCH(ROWS($V$2:V813),$V$2:$V$1001,0),0), INDEX($AC$1004:$AS$1004,1,MATCH(COLUMNS($AC$1006:AN1006),$AC$1006:$AS$1006,0)))),"Fix")))</f>
        <v xml:space="preserve"> </v>
      </c>
      <c r="N813" s="4" t="str">
        <f ca="1">IF(OR(INDEX($W$2:$W$1001,MATCH(ROWS($V$2:V813),$V$2:$V$1001,0),1)&gt;=100000,INDEX($AC$1005:$AS$1005,1,MATCH(COLUMNS($AC$1006:AO1006),$AC$1006:$AS$1006,0))&gt;=100000), " ",IF(INDEX($AC$2:$AS$1001,MATCH(ROWS($V$2:V813),$V$2:$V$1001,0),MATCH(COLUMNS($AC$1006:AO1006),$AC$1006:$AS$1006,0)), HYPERLINK("#",""), HYPERLINK(CONCATENATE("#metadata!", ADDRESS(INDEX($X$2:$X$1001,MATCH(ROWS($V$2:V813),$V$2:$V$1001,0),0), INDEX($AC$1004:$AS$1004,1,MATCH(COLUMNS($AC$1006:AO1006),$AC$1006:$AS$1006,0)))),"Fix")))</f>
        <v xml:space="preserve"> </v>
      </c>
      <c r="O813" s="4" t="str">
        <f ca="1">IF(OR(INDEX($W$2:$W$1001,MATCH(ROWS($V$2:V813),$V$2:$V$1001,0),1)&gt;=100000,INDEX($AC$1005:$AS$1005,1,MATCH(COLUMNS($AC$1006:AP1006),$AC$1006:$AS$1006,0))&gt;=100000), " ",IF(INDEX($AC$2:$AS$1001,MATCH(ROWS($V$2:V813),$V$2:$V$1001,0),MATCH(COLUMNS($AC$1006:AP1006),$AC$1006:$AS$1006,0)), HYPERLINK("#",""), HYPERLINK(CONCATENATE("#metadata!", ADDRESS(INDEX($X$2:$X$1001,MATCH(ROWS($V$2:V813),$V$2:$V$1001,0),0), INDEX($AC$1004:$AS$1004,1,MATCH(COLUMNS($AC$1006:AP1006),$AC$1006:$AS$1006,0)))),"Fix")))</f>
        <v xml:space="preserve"> </v>
      </c>
      <c r="P813" s="4" t="str">
        <f ca="1">IF(OR(INDEX($W$2:$W$1001,MATCH(ROWS($V$2:V813),$V$2:$V$1001,0),1)&gt;=100000,INDEX($AC$1005:$AS$1005,1,MATCH(COLUMNS($AC$1006:AQ1006),$AC$1006:$AS$1006,0))&gt;=100000), " ",IF(INDEX($AC$2:$AS$1001,MATCH(ROWS($V$2:V813),$V$2:$V$1001,0),MATCH(COLUMNS($AC$1006:AQ1006),$AC$1006:$AS$1006,0)), HYPERLINK("#",""), HYPERLINK(CONCATENATE("#metadata!", ADDRESS(INDEX($X$2:$X$1001,MATCH(ROWS($V$2:V813),$V$2:$V$1001,0),0), INDEX($AC$1004:$AS$1004,1,MATCH(COLUMNS($AC$1006:AQ1006),$AC$1006:$AS$1006,0)))),"Fix")))</f>
        <v xml:space="preserve"> </v>
      </c>
      <c r="Q813" s="4" t="str">
        <f ca="1">IF(OR(INDEX($W$2:$W$1001,MATCH(ROWS($V$2:V813),$V$2:$V$1001,0),1)&gt;=100000,INDEX($AC$1005:$AS$1005,1,MATCH(COLUMNS($AC$1006:AR1006),$AC$1006:$AS$1006,0))&gt;=100000), " ",IF(INDEX($AC$2:$AS$1001,MATCH(ROWS($V$2:V813),$V$2:$V$1001,0),MATCH(COLUMNS($AC$1006:AR1006),$AC$1006:$AS$1006,0)), HYPERLINK("#",""), HYPERLINK(CONCATENATE("#metadata!", ADDRESS(INDEX($X$2:$X$1001,MATCH(ROWS($V$2:V813),$V$2:$V$1001,0),0), INDEX($AC$1004:$AS$1004,1,MATCH(COLUMNS($AC$1006:AR1006),$AC$1006:$AS$1006,0)))),"Fix")))</f>
        <v xml:space="preserve"> </v>
      </c>
      <c r="R813" s="4" t="str">
        <f ca="1">IF(OR(INDEX($W$2:$W$1001,MATCH(ROWS($V$2:V813),$V$2:$V$1001,0),1)&gt;=100000,INDEX($AC$1005:$AS$1005,1,MATCH(COLUMNS($AC$1006:AS1006),$AC$1006:$AS$1006,0))&gt;=100000), " ",IF(INDEX($AC$2:$AS$1001,MATCH(ROWS($V$2:V813),$V$2:$V$1001,0),MATCH(COLUMNS($AC$1006:AS1006),$AC$1006:$AS$1006,0)), HYPERLINK("#",""), HYPERLINK(CONCATENATE("#metadata!", ADDRESS(INDEX($X$2:$X$1001,MATCH(ROWS($V$2:V813),$V$2:$V$1001,0),0), INDEX($AC$1004:$AS$1004,1,MATCH(COLUMNS($AC$1006:AS1006),$AC$1006:$AS$1006,0)))),"Fix")))</f>
        <v xml:space="preserve"> </v>
      </c>
      <c r="V813">
        <v>812</v>
      </c>
      <c r="W813">
        <v>100813</v>
      </c>
      <c r="X813">
        <v>813</v>
      </c>
      <c r="Y813" t="b">
        <f t="shared" si="12"/>
        <v>1</v>
      </c>
      <c r="Z813" t="b">
        <f>COUNTBLANK(metadata!B813:R813)=COLUMNS(metadata!B813:R813)</f>
        <v>1</v>
      </c>
      <c r="AA813" t="str">
        <v/>
      </c>
      <c r="AC813" t="b">
        <f ca="1"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AD813" t="b">
        <f>IF(metadata!C813="",FALSE,ISNUMBER(VALUE(metadata!C813)))</f>
        <v>0</v>
      </c>
      <c r="AE813" t="b">
        <f>AND(IF(metadata!D813="",FALSE,TRUE),EXACT(metadata!D813,"years"))</f>
        <v>0</v>
      </c>
      <c r="AF813" t="b">
        <f>OR(AND(IF(metadata!E813="",FALSE,TRUE),OR(EXACT(metadata!E813,"not applicable"),EXACT(metadata!E813,"missing: not collected"),EXACT(metadata!E813,"missing: not provided"),EXACT(metadata!E813,"missing: restricted access"))),AND(IF(metadata!E813="",FALSE,ISNUMBER(VALUE(metadata!E813))),metadata!E813&gt;0))</f>
        <v>0</v>
      </c>
      <c r="AG813" t="b">
        <f>AND(IF(metadata!F813="",FALSE,TRUE),EXACT(metadata!F813,"Not applicable"))</f>
        <v>0</v>
      </c>
      <c r="AH813" t="b">
        <f>AND(IF(metadata!G813="",FALSE,TRUE),EXACT(metadata!G813,"urban biome"))</f>
        <v>0</v>
      </c>
      <c r="AI813" t="b">
        <f>AND(IF(metadata!H813="",FALSE,TRUE),EXACT(metadata!H813,"human-associated habitat"))</f>
        <v>0</v>
      </c>
      <c r="AJ813" t="b">
        <f>AND(IF(metadata!I813="",FALSE,TRUE),OR(EXACT(metadata!I813,"human-associated"),EXACT(metadata!I813,"human-skin"),EXACT(metadata!I813,"human-oral"),EXACT(metadata!I813,"human-gut"),EXACT(metadata!I813,"human-vaginal")))</f>
        <v>0</v>
      </c>
      <c r="AK813" t="b">
        <f>IF(metadata!J813="",FALSE,ISNUMBER(VALUE(metadata!J813)))</f>
        <v>0</v>
      </c>
      <c r="AL813" t="b">
        <f>AND(IF(metadata!K813="",FALSE,TRUE),EXACT(metadata!K813,"cm"))</f>
        <v>0</v>
      </c>
      <c r="AM813" t="b">
        <f>AND(IF(metadata!L813="",FALSE,TRUE),EXACT(metadata!L813,"human"))</f>
        <v>0</v>
      </c>
      <c r="AN813" t="b">
        <f>AND(IF(metadata!M813="",FALSE,TRUE),EXACT(metadata!M813,"Homo sapiens"))</f>
        <v>0</v>
      </c>
      <c r="AO813" t="b">
        <f>AND(IF(metadata!N813="",FALSE,TRUE),EXACT(metadata!N813,"9606"))</f>
        <v>0</v>
      </c>
      <c r="AP813" t="b">
        <f>IF(metadata!O813="",FALSE,TRUE)</f>
        <v>0</v>
      </c>
      <c r="AQ813" t="b">
        <f>IF(metadata!P813="",FALSE,TRUE)</f>
        <v>0</v>
      </c>
      <c r="AR813" t="b">
        <f>IF(metadata!Q813="",FALSE,ISNUMBER(VALUE(metadata!Q813)))</f>
        <v>0</v>
      </c>
      <c r="AS813" t="b">
        <f>AND(IF(metadata!R813="",FALSE,TRUE),EXACT(metadata!R813,"kg"))</f>
        <v>0</v>
      </c>
    </row>
    <row r="814" spans="1:45" x14ac:dyDescent="0.2">
      <c r="A814" s="5" t="str">
        <f ca="1">IF(B814=" "," ",HYPERLINK(CONCATENATE("#metadata!",ADDRESS(INDEX($X$2:$X$1001,MATCH(ROWS($V$2:V814),$V$2:$V$1001,0),0),1)),INDEX($AA$2:$AA$1001,MATCH(ROWS($V$2:V814),$V$2:$V$1001,0),0)))</f>
        <v xml:space="preserve"> </v>
      </c>
      <c r="B814" s="4" t="str">
        <f ca="1">IF(OR(INDEX($W$2:$W$1001,MATCH(ROWS($V$2:V814),$V$2:$V$1001,0),1)&gt;=100000,INDEX($AC$1005:$AS$1005,1,MATCH(COLUMNS($AC$1006:AC1006),$AC$1006:$AS$1006,0))&gt;=100000), " ",IF(INDEX($AC$2:$AS$1001,MATCH(ROWS($V$2:V814),$V$2:$V$1001,0),MATCH(COLUMNS($AC$1006:AC1006),$AC$1006:$AS$1006,0)), HYPERLINK("#",""), HYPERLINK(CONCATENATE("#metadata!", ADDRESS(INDEX($X$2:$X$1001,MATCH(ROWS($V$2:V814),$V$2:$V$1001,0),0), INDEX($AC$1004:$AS$1004,1,MATCH(COLUMNS($AC$1006:AC1006),$AC$1006:$AS$1006,0)))),"Fix")))</f>
        <v xml:space="preserve"> </v>
      </c>
      <c r="C814" s="4" t="str">
        <f ca="1">IF(OR(INDEX($W$2:$W$1001,MATCH(ROWS($V$2:V814),$V$2:$V$1001,0),1)&gt;=100000,INDEX($AC$1005:$AS$1005,1,MATCH(COLUMNS($AC$1006:AD1006),$AC$1006:$AS$1006,0))&gt;=100000), " ",IF(INDEX($AC$2:$AS$1001,MATCH(ROWS($V$2:V814),$V$2:$V$1001,0),MATCH(COLUMNS($AC$1006:AD1006),$AC$1006:$AS$1006,0)), HYPERLINK("#",""), HYPERLINK(CONCATENATE("#metadata!", ADDRESS(INDEX($X$2:$X$1001,MATCH(ROWS($V$2:V814),$V$2:$V$1001,0),0), INDEX($AC$1004:$AS$1004,1,MATCH(COLUMNS($AC$1006:AD1006),$AC$1006:$AS$1006,0)))),"Fix")))</f>
        <v xml:space="preserve"> </v>
      </c>
      <c r="D814" s="4" t="str">
        <f ca="1">IF(OR(INDEX($W$2:$W$1001,MATCH(ROWS($V$2:V814),$V$2:$V$1001,0),1)&gt;=100000,INDEX($AC$1005:$AS$1005,1,MATCH(COLUMNS($AC$1006:AE1006),$AC$1006:$AS$1006,0))&gt;=100000), " ",IF(INDEX($AC$2:$AS$1001,MATCH(ROWS($V$2:V814),$V$2:$V$1001,0),MATCH(COLUMNS($AC$1006:AE1006),$AC$1006:$AS$1006,0)), HYPERLINK("#",""), HYPERLINK(CONCATENATE("#metadata!", ADDRESS(INDEX($X$2:$X$1001,MATCH(ROWS($V$2:V814),$V$2:$V$1001,0),0), INDEX($AC$1004:$AS$1004,1,MATCH(COLUMNS($AC$1006:AE1006),$AC$1006:$AS$1006,0)))),"Fix")))</f>
        <v xml:space="preserve"> </v>
      </c>
      <c r="E814" s="4" t="str">
        <f ca="1">IF(OR(INDEX($W$2:$W$1001,MATCH(ROWS($V$2:V814),$V$2:$V$1001,0),1)&gt;=100000,INDEX($AC$1005:$AS$1005,1,MATCH(COLUMNS($AC$1006:AF1006),$AC$1006:$AS$1006,0))&gt;=100000), " ",IF(INDEX($AC$2:$AS$1001,MATCH(ROWS($V$2:V814),$V$2:$V$1001,0),MATCH(COLUMNS($AC$1006:AF1006),$AC$1006:$AS$1006,0)), HYPERLINK("#",""), HYPERLINK(CONCATENATE("#metadata!", ADDRESS(INDEX($X$2:$X$1001,MATCH(ROWS($V$2:V814),$V$2:$V$1001,0),0), INDEX($AC$1004:$AS$1004,1,MATCH(COLUMNS($AC$1006:AF1006),$AC$1006:$AS$1006,0)))),"Fix")))</f>
        <v xml:space="preserve"> </v>
      </c>
      <c r="F814" s="4" t="str">
        <f ca="1">IF(OR(INDEX($W$2:$W$1001,MATCH(ROWS($V$2:V814),$V$2:$V$1001,0),1)&gt;=100000,INDEX($AC$1005:$AS$1005,1,MATCH(COLUMNS($AC$1006:AG1006),$AC$1006:$AS$1006,0))&gt;=100000), " ",IF(INDEX($AC$2:$AS$1001,MATCH(ROWS($V$2:V814),$V$2:$V$1001,0),MATCH(COLUMNS($AC$1006:AG1006),$AC$1006:$AS$1006,0)), HYPERLINK("#",""), HYPERLINK(CONCATENATE("#metadata!", ADDRESS(INDEX($X$2:$X$1001,MATCH(ROWS($V$2:V814),$V$2:$V$1001,0),0), INDEX($AC$1004:$AS$1004,1,MATCH(COLUMNS($AC$1006:AG1006),$AC$1006:$AS$1006,0)))),"Fix")))</f>
        <v xml:space="preserve"> </v>
      </c>
      <c r="G814" s="4" t="str">
        <f ca="1">IF(OR(INDEX($W$2:$W$1001,MATCH(ROWS($V$2:V814),$V$2:$V$1001,0),1)&gt;=100000,INDEX($AC$1005:$AS$1005,1,MATCH(COLUMNS($AC$1006:AH1006),$AC$1006:$AS$1006,0))&gt;=100000), " ",IF(INDEX($AC$2:$AS$1001,MATCH(ROWS($V$2:V814),$V$2:$V$1001,0),MATCH(COLUMNS($AC$1006:AH1006),$AC$1006:$AS$1006,0)), HYPERLINK("#",""), HYPERLINK(CONCATENATE("#metadata!", ADDRESS(INDEX($X$2:$X$1001,MATCH(ROWS($V$2:V814),$V$2:$V$1001,0),0), INDEX($AC$1004:$AS$1004,1,MATCH(COLUMNS($AC$1006:AH1006),$AC$1006:$AS$1006,0)))),"Fix")))</f>
        <v xml:space="preserve"> </v>
      </c>
      <c r="H814" s="4" t="str">
        <f ca="1">IF(OR(INDEX($W$2:$W$1001,MATCH(ROWS($V$2:V814),$V$2:$V$1001,0),1)&gt;=100000,INDEX($AC$1005:$AS$1005,1,MATCH(COLUMNS($AC$1006:AI1006),$AC$1006:$AS$1006,0))&gt;=100000), " ",IF(INDEX($AC$2:$AS$1001,MATCH(ROWS($V$2:V814),$V$2:$V$1001,0),MATCH(COLUMNS($AC$1006:AI1006),$AC$1006:$AS$1006,0)), HYPERLINK("#",""), HYPERLINK(CONCATENATE("#metadata!", ADDRESS(INDEX($X$2:$X$1001,MATCH(ROWS($V$2:V814),$V$2:$V$1001,0),0), INDEX($AC$1004:$AS$1004,1,MATCH(COLUMNS($AC$1006:AI1006),$AC$1006:$AS$1006,0)))),"Fix")))</f>
        <v xml:space="preserve"> </v>
      </c>
      <c r="I814" s="4" t="str">
        <f ca="1">IF(OR(INDEX($W$2:$W$1001,MATCH(ROWS($V$2:V814),$V$2:$V$1001,0),1)&gt;=100000,INDEX($AC$1005:$AS$1005,1,MATCH(COLUMNS($AC$1006:AJ1006),$AC$1006:$AS$1006,0))&gt;=100000), " ",IF(INDEX($AC$2:$AS$1001,MATCH(ROWS($V$2:V814),$V$2:$V$1001,0),MATCH(COLUMNS($AC$1006:AJ1006),$AC$1006:$AS$1006,0)), HYPERLINK("#",""), HYPERLINK(CONCATENATE("#metadata!", ADDRESS(INDEX($X$2:$X$1001,MATCH(ROWS($V$2:V814),$V$2:$V$1001,0),0), INDEX($AC$1004:$AS$1004,1,MATCH(COLUMNS($AC$1006:AJ1006),$AC$1006:$AS$1006,0)))),"Fix")))</f>
        <v xml:space="preserve"> </v>
      </c>
      <c r="J814" s="4" t="str">
        <f ca="1">IF(OR(INDEX($W$2:$W$1001,MATCH(ROWS($V$2:V814),$V$2:$V$1001,0),1)&gt;=100000,INDEX($AC$1005:$AS$1005,1,MATCH(COLUMNS($AC$1006:AK1006),$AC$1006:$AS$1006,0))&gt;=100000), " ",IF(INDEX($AC$2:$AS$1001,MATCH(ROWS($V$2:V814),$V$2:$V$1001,0),MATCH(COLUMNS($AC$1006:AK1006),$AC$1006:$AS$1006,0)), HYPERLINK("#",""), HYPERLINK(CONCATENATE("#metadata!", ADDRESS(INDEX($X$2:$X$1001,MATCH(ROWS($V$2:V814),$V$2:$V$1001,0),0), INDEX($AC$1004:$AS$1004,1,MATCH(COLUMNS($AC$1006:AK1006),$AC$1006:$AS$1006,0)))),"Fix")))</f>
        <v xml:space="preserve"> </v>
      </c>
      <c r="K814" s="4" t="str">
        <f ca="1">IF(OR(INDEX($W$2:$W$1001,MATCH(ROWS($V$2:V814),$V$2:$V$1001,0),1)&gt;=100000,INDEX($AC$1005:$AS$1005,1,MATCH(COLUMNS($AC$1006:AL1006),$AC$1006:$AS$1006,0))&gt;=100000), " ",IF(INDEX($AC$2:$AS$1001,MATCH(ROWS($V$2:V814),$V$2:$V$1001,0),MATCH(COLUMNS($AC$1006:AL1006),$AC$1006:$AS$1006,0)), HYPERLINK("#",""), HYPERLINK(CONCATENATE("#metadata!", ADDRESS(INDEX($X$2:$X$1001,MATCH(ROWS($V$2:V814),$V$2:$V$1001,0),0), INDEX($AC$1004:$AS$1004,1,MATCH(COLUMNS($AC$1006:AL1006),$AC$1006:$AS$1006,0)))),"Fix")))</f>
        <v xml:space="preserve"> </v>
      </c>
      <c r="L814" s="4" t="str">
        <f ca="1">IF(OR(INDEX($W$2:$W$1001,MATCH(ROWS($V$2:V814),$V$2:$V$1001,0),1)&gt;=100000,INDEX($AC$1005:$AS$1005,1,MATCH(COLUMNS($AC$1006:AM1006),$AC$1006:$AS$1006,0))&gt;=100000), " ",IF(INDEX($AC$2:$AS$1001,MATCH(ROWS($V$2:V814),$V$2:$V$1001,0),MATCH(COLUMNS($AC$1006:AM1006),$AC$1006:$AS$1006,0)), HYPERLINK("#",""), HYPERLINK(CONCATENATE("#metadata!", ADDRESS(INDEX($X$2:$X$1001,MATCH(ROWS($V$2:V814),$V$2:$V$1001,0),0), INDEX($AC$1004:$AS$1004,1,MATCH(COLUMNS($AC$1006:AM1006),$AC$1006:$AS$1006,0)))),"Fix")))</f>
        <v xml:space="preserve"> </v>
      </c>
      <c r="M814" s="4" t="str">
        <f ca="1">IF(OR(INDEX($W$2:$W$1001,MATCH(ROWS($V$2:V814),$V$2:$V$1001,0),1)&gt;=100000,INDEX($AC$1005:$AS$1005,1,MATCH(COLUMNS($AC$1006:AN1006),$AC$1006:$AS$1006,0))&gt;=100000), " ",IF(INDEX($AC$2:$AS$1001,MATCH(ROWS($V$2:V814),$V$2:$V$1001,0),MATCH(COLUMNS($AC$1006:AN1006),$AC$1006:$AS$1006,0)), HYPERLINK("#",""), HYPERLINK(CONCATENATE("#metadata!", ADDRESS(INDEX($X$2:$X$1001,MATCH(ROWS($V$2:V814),$V$2:$V$1001,0),0), INDEX($AC$1004:$AS$1004,1,MATCH(COLUMNS($AC$1006:AN1006),$AC$1006:$AS$1006,0)))),"Fix")))</f>
        <v xml:space="preserve"> </v>
      </c>
      <c r="N814" s="4" t="str">
        <f ca="1">IF(OR(INDEX($W$2:$W$1001,MATCH(ROWS($V$2:V814),$V$2:$V$1001,0),1)&gt;=100000,INDEX($AC$1005:$AS$1005,1,MATCH(COLUMNS($AC$1006:AO1006),$AC$1006:$AS$1006,0))&gt;=100000), " ",IF(INDEX($AC$2:$AS$1001,MATCH(ROWS($V$2:V814),$V$2:$V$1001,0),MATCH(COLUMNS($AC$1006:AO1006),$AC$1006:$AS$1006,0)), HYPERLINK("#",""), HYPERLINK(CONCATENATE("#metadata!", ADDRESS(INDEX($X$2:$X$1001,MATCH(ROWS($V$2:V814),$V$2:$V$1001,0),0), INDEX($AC$1004:$AS$1004,1,MATCH(COLUMNS($AC$1006:AO1006),$AC$1006:$AS$1006,0)))),"Fix")))</f>
        <v xml:space="preserve"> </v>
      </c>
      <c r="O814" s="4" t="str">
        <f ca="1">IF(OR(INDEX($W$2:$W$1001,MATCH(ROWS($V$2:V814),$V$2:$V$1001,0),1)&gt;=100000,INDEX($AC$1005:$AS$1005,1,MATCH(COLUMNS($AC$1006:AP1006),$AC$1006:$AS$1006,0))&gt;=100000), " ",IF(INDEX($AC$2:$AS$1001,MATCH(ROWS($V$2:V814),$V$2:$V$1001,0),MATCH(COLUMNS($AC$1006:AP1006),$AC$1006:$AS$1006,0)), HYPERLINK("#",""), HYPERLINK(CONCATENATE("#metadata!", ADDRESS(INDEX($X$2:$X$1001,MATCH(ROWS($V$2:V814),$V$2:$V$1001,0),0), INDEX($AC$1004:$AS$1004,1,MATCH(COLUMNS($AC$1006:AP1006),$AC$1006:$AS$1006,0)))),"Fix")))</f>
        <v xml:space="preserve"> </v>
      </c>
      <c r="P814" s="4" t="str">
        <f ca="1">IF(OR(INDEX($W$2:$W$1001,MATCH(ROWS($V$2:V814),$V$2:$V$1001,0),1)&gt;=100000,INDEX($AC$1005:$AS$1005,1,MATCH(COLUMNS($AC$1006:AQ1006),$AC$1006:$AS$1006,0))&gt;=100000), " ",IF(INDEX($AC$2:$AS$1001,MATCH(ROWS($V$2:V814),$V$2:$V$1001,0),MATCH(COLUMNS($AC$1006:AQ1006),$AC$1006:$AS$1006,0)), HYPERLINK("#",""), HYPERLINK(CONCATENATE("#metadata!", ADDRESS(INDEX($X$2:$X$1001,MATCH(ROWS($V$2:V814),$V$2:$V$1001,0),0), INDEX($AC$1004:$AS$1004,1,MATCH(COLUMNS($AC$1006:AQ1006),$AC$1006:$AS$1006,0)))),"Fix")))</f>
        <v xml:space="preserve"> </v>
      </c>
      <c r="Q814" s="4" t="str">
        <f ca="1">IF(OR(INDEX($W$2:$W$1001,MATCH(ROWS($V$2:V814),$V$2:$V$1001,0),1)&gt;=100000,INDEX($AC$1005:$AS$1005,1,MATCH(COLUMNS($AC$1006:AR1006),$AC$1006:$AS$1006,0))&gt;=100000), " ",IF(INDEX($AC$2:$AS$1001,MATCH(ROWS($V$2:V814),$V$2:$V$1001,0),MATCH(COLUMNS($AC$1006:AR1006),$AC$1006:$AS$1006,0)), HYPERLINK("#",""), HYPERLINK(CONCATENATE("#metadata!", ADDRESS(INDEX($X$2:$X$1001,MATCH(ROWS($V$2:V814),$V$2:$V$1001,0),0), INDEX($AC$1004:$AS$1004,1,MATCH(COLUMNS($AC$1006:AR1006),$AC$1006:$AS$1006,0)))),"Fix")))</f>
        <v xml:space="preserve"> </v>
      </c>
      <c r="R814" s="4" t="str">
        <f ca="1">IF(OR(INDEX($W$2:$W$1001,MATCH(ROWS($V$2:V814),$V$2:$V$1001,0),1)&gt;=100000,INDEX($AC$1005:$AS$1005,1,MATCH(COLUMNS($AC$1006:AS1006),$AC$1006:$AS$1006,0))&gt;=100000), " ",IF(INDEX($AC$2:$AS$1001,MATCH(ROWS($V$2:V814),$V$2:$V$1001,0),MATCH(COLUMNS($AC$1006:AS1006),$AC$1006:$AS$1006,0)), HYPERLINK("#",""), HYPERLINK(CONCATENATE("#metadata!", ADDRESS(INDEX($X$2:$X$1001,MATCH(ROWS($V$2:V814),$V$2:$V$1001,0),0), INDEX($AC$1004:$AS$1004,1,MATCH(COLUMNS($AC$1006:AS1006),$AC$1006:$AS$1006,0)))),"Fix")))</f>
        <v xml:space="preserve"> </v>
      </c>
      <c r="V814">
        <v>813</v>
      </c>
      <c r="W814">
        <v>100814</v>
      </c>
      <c r="X814">
        <v>814</v>
      </c>
      <c r="Y814" t="b">
        <f t="shared" si="12"/>
        <v>1</v>
      </c>
      <c r="Z814" t="b">
        <f>COUNTBLANK(metadata!B814:R814)=COLUMNS(metadata!B814:R814)</f>
        <v>1</v>
      </c>
      <c r="AA814" t="str">
        <v/>
      </c>
      <c r="AC814" t="b">
        <f ca="1"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AD814" t="b">
        <f>IF(metadata!C814="",FALSE,ISNUMBER(VALUE(metadata!C814)))</f>
        <v>0</v>
      </c>
      <c r="AE814" t="b">
        <f>AND(IF(metadata!D814="",FALSE,TRUE),EXACT(metadata!D814,"years"))</f>
        <v>0</v>
      </c>
      <c r="AF814" t="b">
        <f>OR(AND(IF(metadata!E814="",FALSE,TRUE),OR(EXACT(metadata!E814,"not applicable"),EXACT(metadata!E814,"missing: not collected"),EXACT(metadata!E814,"missing: not provided"),EXACT(metadata!E814,"missing: restricted access"))),AND(IF(metadata!E814="",FALSE,ISNUMBER(VALUE(metadata!E814))),metadata!E814&gt;0))</f>
        <v>0</v>
      </c>
      <c r="AG814" t="b">
        <f>AND(IF(metadata!F814="",FALSE,TRUE),EXACT(metadata!F814,"Not applicable"))</f>
        <v>0</v>
      </c>
      <c r="AH814" t="b">
        <f>AND(IF(metadata!G814="",FALSE,TRUE),EXACT(metadata!G814,"urban biome"))</f>
        <v>0</v>
      </c>
      <c r="AI814" t="b">
        <f>AND(IF(metadata!H814="",FALSE,TRUE),EXACT(metadata!H814,"human-associated habitat"))</f>
        <v>0</v>
      </c>
      <c r="AJ814" t="b">
        <f>AND(IF(metadata!I814="",FALSE,TRUE),OR(EXACT(metadata!I814,"human-associated"),EXACT(metadata!I814,"human-skin"),EXACT(metadata!I814,"human-oral"),EXACT(metadata!I814,"human-gut"),EXACT(metadata!I814,"human-vaginal")))</f>
        <v>0</v>
      </c>
      <c r="AK814" t="b">
        <f>IF(metadata!J814="",FALSE,ISNUMBER(VALUE(metadata!J814)))</f>
        <v>0</v>
      </c>
      <c r="AL814" t="b">
        <f>AND(IF(metadata!K814="",FALSE,TRUE),EXACT(metadata!K814,"cm"))</f>
        <v>0</v>
      </c>
      <c r="AM814" t="b">
        <f>AND(IF(metadata!L814="",FALSE,TRUE),EXACT(metadata!L814,"human"))</f>
        <v>0</v>
      </c>
      <c r="AN814" t="b">
        <f>AND(IF(metadata!M814="",FALSE,TRUE),EXACT(metadata!M814,"Homo sapiens"))</f>
        <v>0</v>
      </c>
      <c r="AO814" t="b">
        <f>AND(IF(metadata!N814="",FALSE,TRUE),EXACT(metadata!N814,"9606"))</f>
        <v>0</v>
      </c>
      <c r="AP814" t="b">
        <f>IF(metadata!O814="",FALSE,TRUE)</f>
        <v>0</v>
      </c>
      <c r="AQ814" t="b">
        <f>IF(metadata!P814="",FALSE,TRUE)</f>
        <v>0</v>
      </c>
      <c r="AR814" t="b">
        <f>IF(metadata!Q814="",FALSE,ISNUMBER(VALUE(metadata!Q814)))</f>
        <v>0</v>
      </c>
      <c r="AS814" t="b">
        <f>AND(IF(metadata!R814="",FALSE,TRUE),EXACT(metadata!R814,"kg"))</f>
        <v>0</v>
      </c>
    </row>
    <row r="815" spans="1:45" x14ac:dyDescent="0.2">
      <c r="A815" s="5" t="str">
        <f ca="1">IF(B815=" "," ",HYPERLINK(CONCATENATE("#metadata!",ADDRESS(INDEX($X$2:$X$1001,MATCH(ROWS($V$2:V815),$V$2:$V$1001,0),0),1)),INDEX($AA$2:$AA$1001,MATCH(ROWS($V$2:V815),$V$2:$V$1001,0),0)))</f>
        <v xml:space="preserve"> </v>
      </c>
      <c r="B815" s="4" t="str">
        <f ca="1">IF(OR(INDEX($W$2:$W$1001,MATCH(ROWS($V$2:V815),$V$2:$V$1001,0),1)&gt;=100000,INDEX($AC$1005:$AS$1005,1,MATCH(COLUMNS($AC$1006:AC1006),$AC$1006:$AS$1006,0))&gt;=100000), " ",IF(INDEX($AC$2:$AS$1001,MATCH(ROWS($V$2:V815),$V$2:$V$1001,0),MATCH(COLUMNS($AC$1006:AC1006),$AC$1006:$AS$1006,0)), HYPERLINK("#",""), HYPERLINK(CONCATENATE("#metadata!", ADDRESS(INDEX($X$2:$X$1001,MATCH(ROWS($V$2:V815),$V$2:$V$1001,0),0), INDEX($AC$1004:$AS$1004,1,MATCH(COLUMNS($AC$1006:AC1006),$AC$1006:$AS$1006,0)))),"Fix")))</f>
        <v xml:space="preserve"> </v>
      </c>
      <c r="C815" s="4" t="str">
        <f ca="1">IF(OR(INDEX($W$2:$W$1001,MATCH(ROWS($V$2:V815),$V$2:$V$1001,0),1)&gt;=100000,INDEX($AC$1005:$AS$1005,1,MATCH(COLUMNS($AC$1006:AD1006),$AC$1006:$AS$1006,0))&gt;=100000), " ",IF(INDEX($AC$2:$AS$1001,MATCH(ROWS($V$2:V815),$V$2:$V$1001,0),MATCH(COLUMNS($AC$1006:AD1006),$AC$1006:$AS$1006,0)), HYPERLINK("#",""), HYPERLINK(CONCATENATE("#metadata!", ADDRESS(INDEX($X$2:$X$1001,MATCH(ROWS($V$2:V815),$V$2:$V$1001,0),0), INDEX($AC$1004:$AS$1004,1,MATCH(COLUMNS($AC$1006:AD1006),$AC$1006:$AS$1006,0)))),"Fix")))</f>
        <v xml:space="preserve"> </v>
      </c>
      <c r="D815" s="4" t="str">
        <f ca="1">IF(OR(INDEX($W$2:$W$1001,MATCH(ROWS($V$2:V815),$V$2:$V$1001,0),1)&gt;=100000,INDEX($AC$1005:$AS$1005,1,MATCH(COLUMNS($AC$1006:AE1006),$AC$1006:$AS$1006,0))&gt;=100000), " ",IF(INDEX($AC$2:$AS$1001,MATCH(ROWS($V$2:V815),$V$2:$V$1001,0),MATCH(COLUMNS($AC$1006:AE1006),$AC$1006:$AS$1006,0)), HYPERLINK("#",""), HYPERLINK(CONCATENATE("#metadata!", ADDRESS(INDEX($X$2:$X$1001,MATCH(ROWS($V$2:V815),$V$2:$V$1001,0),0), INDEX($AC$1004:$AS$1004,1,MATCH(COLUMNS($AC$1006:AE1006),$AC$1006:$AS$1006,0)))),"Fix")))</f>
        <v xml:space="preserve"> </v>
      </c>
      <c r="E815" s="4" t="str">
        <f ca="1">IF(OR(INDEX($W$2:$W$1001,MATCH(ROWS($V$2:V815),$V$2:$V$1001,0),1)&gt;=100000,INDEX($AC$1005:$AS$1005,1,MATCH(COLUMNS($AC$1006:AF1006),$AC$1006:$AS$1006,0))&gt;=100000), " ",IF(INDEX($AC$2:$AS$1001,MATCH(ROWS($V$2:V815),$V$2:$V$1001,0),MATCH(COLUMNS($AC$1006:AF1006),$AC$1006:$AS$1006,0)), HYPERLINK("#",""), HYPERLINK(CONCATENATE("#metadata!", ADDRESS(INDEX($X$2:$X$1001,MATCH(ROWS($V$2:V815),$V$2:$V$1001,0),0), INDEX($AC$1004:$AS$1004,1,MATCH(COLUMNS($AC$1006:AF1006),$AC$1006:$AS$1006,0)))),"Fix")))</f>
        <v xml:space="preserve"> </v>
      </c>
      <c r="F815" s="4" t="str">
        <f ca="1">IF(OR(INDEX($W$2:$W$1001,MATCH(ROWS($V$2:V815),$V$2:$V$1001,0),1)&gt;=100000,INDEX($AC$1005:$AS$1005,1,MATCH(COLUMNS($AC$1006:AG1006),$AC$1006:$AS$1006,0))&gt;=100000), " ",IF(INDEX($AC$2:$AS$1001,MATCH(ROWS($V$2:V815),$V$2:$V$1001,0),MATCH(COLUMNS($AC$1006:AG1006),$AC$1006:$AS$1006,0)), HYPERLINK("#",""), HYPERLINK(CONCATENATE("#metadata!", ADDRESS(INDEX($X$2:$X$1001,MATCH(ROWS($V$2:V815),$V$2:$V$1001,0),0), INDEX($AC$1004:$AS$1004,1,MATCH(COLUMNS($AC$1006:AG1006),$AC$1006:$AS$1006,0)))),"Fix")))</f>
        <v xml:space="preserve"> </v>
      </c>
      <c r="G815" s="4" t="str">
        <f ca="1">IF(OR(INDEX($W$2:$W$1001,MATCH(ROWS($V$2:V815),$V$2:$V$1001,0),1)&gt;=100000,INDEX($AC$1005:$AS$1005,1,MATCH(COLUMNS($AC$1006:AH1006),$AC$1006:$AS$1006,0))&gt;=100000), " ",IF(INDEX($AC$2:$AS$1001,MATCH(ROWS($V$2:V815),$V$2:$V$1001,0),MATCH(COLUMNS($AC$1006:AH1006),$AC$1006:$AS$1006,0)), HYPERLINK("#",""), HYPERLINK(CONCATENATE("#metadata!", ADDRESS(INDEX($X$2:$X$1001,MATCH(ROWS($V$2:V815),$V$2:$V$1001,0),0), INDEX($AC$1004:$AS$1004,1,MATCH(COLUMNS($AC$1006:AH1006),$AC$1006:$AS$1006,0)))),"Fix")))</f>
        <v xml:space="preserve"> </v>
      </c>
      <c r="H815" s="4" t="str">
        <f ca="1">IF(OR(INDEX($W$2:$W$1001,MATCH(ROWS($V$2:V815),$V$2:$V$1001,0),1)&gt;=100000,INDEX($AC$1005:$AS$1005,1,MATCH(COLUMNS($AC$1006:AI1006),$AC$1006:$AS$1006,0))&gt;=100000), " ",IF(INDEX($AC$2:$AS$1001,MATCH(ROWS($V$2:V815),$V$2:$V$1001,0),MATCH(COLUMNS($AC$1006:AI1006),$AC$1006:$AS$1006,0)), HYPERLINK("#",""), HYPERLINK(CONCATENATE("#metadata!", ADDRESS(INDEX($X$2:$X$1001,MATCH(ROWS($V$2:V815),$V$2:$V$1001,0),0), INDEX($AC$1004:$AS$1004,1,MATCH(COLUMNS($AC$1006:AI1006),$AC$1006:$AS$1006,0)))),"Fix")))</f>
        <v xml:space="preserve"> </v>
      </c>
      <c r="I815" s="4" t="str">
        <f ca="1">IF(OR(INDEX($W$2:$W$1001,MATCH(ROWS($V$2:V815),$V$2:$V$1001,0),1)&gt;=100000,INDEX($AC$1005:$AS$1005,1,MATCH(COLUMNS($AC$1006:AJ1006),$AC$1006:$AS$1006,0))&gt;=100000), " ",IF(INDEX($AC$2:$AS$1001,MATCH(ROWS($V$2:V815),$V$2:$V$1001,0),MATCH(COLUMNS($AC$1006:AJ1006),$AC$1006:$AS$1006,0)), HYPERLINK("#",""), HYPERLINK(CONCATENATE("#metadata!", ADDRESS(INDEX($X$2:$X$1001,MATCH(ROWS($V$2:V815),$V$2:$V$1001,0),0), INDEX($AC$1004:$AS$1004,1,MATCH(COLUMNS($AC$1006:AJ1006),$AC$1006:$AS$1006,0)))),"Fix")))</f>
        <v xml:space="preserve"> </v>
      </c>
      <c r="J815" s="4" t="str">
        <f ca="1">IF(OR(INDEX($W$2:$W$1001,MATCH(ROWS($V$2:V815),$V$2:$V$1001,0),1)&gt;=100000,INDEX($AC$1005:$AS$1005,1,MATCH(COLUMNS($AC$1006:AK1006),$AC$1006:$AS$1006,0))&gt;=100000), " ",IF(INDEX($AC$2:$AS$1001,MATCH(ROWS($V$2:V815),$V$2:$V$1001,0),MATCH(COLUMNS($AC$1006:AK1006),$AC$1006:$AS$1006,0)), HYPERLINK("#",""), HYPERLINK(CONCATENATE("#metadata!", ADDRESS(INDEX($X$2:$X$1001,MATCH(ROWS($V$2:V815),$V$2:$V$1001,0),0), INDEX($AC$1004:$AS$1004,1,MATCH(COLUMNS($AC$1006:AK1006),$AC$1006:$AS$1006,0)))),"Fix")))</f>
        <v xml:space="preserve"> </v>
      </c>
      <c r="K815" s="4" t="str">
        <f ca="1">IF(OR(INDEX($W$2:$W$1001,MATCH(ROWS($V$2:V815),$V$2:$V$1001,0),1)&gt;=100000,INDEX($AC$1005:$AS$1005,1,MATCH(COLUMNS($AC$1006:AL1006),$AC$1006:$AS$1006,0))&gt;=100000), " ",IF(INDEX($AC$2:$AS$1001,MATCH(ROWS($V$2:V815),$V$2:$V$1001,0),MATCH(COLUMNS($AC$1006:AL1006),$AC$1006:$AS$1006,0)), HYPERLINK("#",""), HYPERLINK(CONCATENATE("#metadata!", ADDRESS(INDEX($X$2:$X$1001,MATCH(ROWS($V$2:V815),$V$2:$V$1001,0),0), INDEX($AC$1004:$AS$1004,1,MATCH(COLUMNS($AC$1006:AL1006),$AC$1006:$AS$1006,0)))),"Fix")))</f>
        <v xml:space="preserve"> </v>
      </c>
      <c r="L815" s="4" t="str">
        <f ca="1">IF(OR(INDEX($W$2:$W$1001,MATCH(ROWS($V$2:V815),$V$2:$V$1001,0),1)&gt;=100000,INDEX($AC$1005:$AS$1005,1,MATCH(COLUMNS($AC$1006:AM1006),$AC$1006:$AS$1006,0))&gt;=100000), " ",IF(INDEX($AC$2:$AS$1001,MATCH(ROWS($V$2:V815),$V$2:$V$1001,0),MATCH(COLUMNS($AC$1006:AM1006),$AC$1006:$AS$1006,0)), HYPERLINK("#",""), HYPERLINK(CONCATENATE("#metadata!", ADDRESS(INDEX($X$2:$X$1001,MATCH(ROWS($V$2:V815),$V$2:$V$1001,0),0), INDEX($AC$1004:$AS$1004,1,MATCH(COLUMNS($AC$1006:AM1006),$AC$1006:$AS$1006,0)))),"Fix")))</f>
        <v xml:space="preserve"> </v>
      </c>
      <c r="M815" s="4" t="str">
        <f ca="1">IF(OR(INDEX($W$2:$W$1001,MATCH(ROWS($V$2:V815),$V$2:$V$1001,0),1)&gt;=100000,INDEX($AC$1005:$AS$1005,1,MATCH(COLUMNS($AC$1006:AN1006),$AC$1006:$AS$1006,0))&gt;=100000), " ",IF(INDEX($AC$2:$AS$1001,MATCH(ROWS($V$2:V815),$V$2:$V$1001,0),MATCH(COLUMNS($AC$1006:AN1006),$AC$1006:$AS$1006,0)), HYPERLINK("#",""), HYPERLINK(CONCATENATE("#metadata!", ADDRESS(INDEX($X$2:$X$1001,MATCH(ROWS($V$2:V815),$V$2:$V$1001,0),0), INDEX($AC$1004:$AS$1004,1,MATCH(COLUMNS($AC$1006:AN1006),$AC$1006:$AS$1006,0)))),"Fix")))</f>
        <v xml:space="preserve"> </v>
      </c>
      <c r="N815" s="4" t="str">
        <f ca="1">IF(OR(INDEX($W$2:$W$1001,MATCH(ROWS($V$2:V815),$V$2:$V$1001,0),1)&gt;=100000,INDEX($AC$1005:$AS$1005,1,MATCH(COLUMNS($AC$1006:AO1006),$AC$1006:$AS$1006,0))&gt;=100000), " ",IF(INDEX($AC$2:$AS$1001,MATCH(ROWS($V$2:V815),$V$2:$V$1001,0),MATCH(COLUMNS($AC$1006:AO1006),$AC$1006:$AS$1006,0)), HYPERLINK("#",""), HYPERLINK(CONCATENATE("#metadata!", ADDRESS(INDEX($X$2:$X$1001,MATCH(ROWS($V$2:V815),$V$2:$V$1001,0),0), INDEX($AC$1004:$AS$1004,1,MATCH(COLUMNS($AC$1006:AO1006),$AC$1006:$AS$1006,0)))),"Fix")))</f>
        <v xml:space="preserve"> </v>
      </c>
      <c r="O815" s="4" t="str">
        <f ca="1">IF(OR(INDEX($W$2:$W$1001,MATCH(ROWS($V$2:V815),$V$2:$V$1001,0),1)&gt;=100000,INDEX($AC$1005:$AS$1005,1,MATCH(COLUMNS($AC$1006:AP1006),$AC$1006:$AS$1006,0))&gt;=100000), " ",IF(INDEX($AC$2:$AS$1001,MATCH(ROWS($V$2:V815),$V$2:$V$1001,0),MATCH(COLUMNS($AC$1006:AP1006),$AC$1006:$AS$1006,0)), HYPERLINK("#",""), HYPERLINK(CONCATENATE("#metadata!", ADDRESS(INDEX($X$2:$X$1001,MATCH(ROWS($V$2:V815),$V$2:$V$1001,0),0), INDEX($AC$1004:$AS$1004,1,MATCH(COLUMNS($AC$1006:AP1006),$AC$1006:$AS$1006,0)))),"Fix")))</f>
        <v xml:space="preserve"> </v>
      </c>
      <c r="P815" s="4" t="str">
        <f ca="1">IF(OR(INDEX($W$2:$W$1001,MATCH(ROWS($V$2:V815),$V$2:$V$1001,0),1)&gt;=100000,INDEX($AC$1005:$AS$1005,1,MATCH(COLUMNS($AC$1006:AQ1006),$AC$1006:$AS$1006,0))&gt;=100000), " ",IF(INDEX($AC$2:$AS$1001,MATCH(ROWS($V$2:V815),$V$2:$V$1001,0),MATCH(COLUMNS($AC$1006:AQ1006),$AC$1006:$AS$1006,0)), HYPERLINK("#",""), HYPERLINK(CONCATENATE("#metadata!", ADDRESS(INDEX($X$2:$X$1001,MATCH(ROWS($V$2:V815),$V$2:$V$1001,0),0), INDEX($AC$1004:$AS$1004,1,MATCH(COLUMNS($AC$1006:AQ1006),$AC$1006:$AS$1006,0)))),"Fix")))</f>
        <v xml:space="preserve"> </v>
      </c>
      <c r="Q815" s="4" t="str">
        <f ca="1">IF(OR(INDEX($W$2:$W$1001,MATCH(ROWS($V$2:V815),$V$2:$V$1001,0),1)&gt;=100000,INDEX($AC$1005:$AS$1005,1,MATCH(COLUMNS($AC$1006:AR1006),$AC$1006:$AS$1006,0))&gt;=100000), " ",IF(INDEX($AC$2:$AS$1001,MATCH(ROWS($V$2:V815),$V$2:$V$1001,0),MATCH(COLUMNS($AC$1006:AR1006),$AC$1006:$AS$1006,0)), HYPERLINK("#",""), HYPERLINK(CONCATENATE("#metadata!", ADDRESS(INDEX($X$2:$X$1001,MATCH(ROWS($V$2:V815),$V$2:$V$1001,0),0), INDEX($AC$1004:$AS$1004,1,MATCH(COLUMNS($AC$1006:AR1006),$AC$1006:$AS$1006,0)))),"Fix")))</f>
        <v xml:space="preserve"> </v>
      </c>
      <c r="R815" s="4" t="str">
        <f ca="1">IF(OR(INDEX($W$2:$W$1001,MATCH(ROWS($V$2:V815),$V$2:$V$1001,0),1)&gt;=100000,INDEX($AC$1005:$AS$1005,1,MATCH(COLUMNS($AC$1006:AS1006),$AC$1006:$AS$1006,0))&gt;=100000), " ",IF(INDEX($AC$2:$AS$1001,MATCH(ROWS($V$2:V815),$V$2:$V$1001,0),MATCH(COLUMNS($AC$1006:AS1006),$AC$1006:$AS$1006,0)), HYPERLINK("#",""), HYPERLINK(CONCATENATE("#metadata!", ADDRESS(INDEX($X$2:$X$1001,MATCH(ROWS($V$2:V815),$V$2:$V$1001,0),0), INDEX($AC$1004:$AS$1004,1,MATCH(COLUMNS($AC$1006:AS1006),$AC$1006:$AS$1006,0)))),"Fix")))</f>
        <v xml:space="preserve"> </v>
      </c>
      <c r="V815">
        <v>814</v>
      </c>
      <c r="W815">
        <v>100815</v>
      </c>
      <c r="X815">
        <v>815</v>
      </c>
      <c r="Y815" t="b">
        <f t="shared" si="12"/>
        <v>1</v>
      </c>
      <c r="Z815" t="b">
        <f>COUNTBLANK(metadata!B815:R815)=COLUMNS(metadata!B815:R815)</f>
        <v>1</v>
      </c>
      <c r="AA815" t="str">
        <v/>
      </c>
      <c r="AC815" t="b">
        <f ca="1"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AD815" t="b">
        <f>IF(metadata!C815="",FALSE,ISNUMBER(VALUE(metadata!C815)))</f>
        <v>0</v>
      </c>
      <c r="AE815" t="b">
        <f>AND(IF(metadata!D815="",FALSE,TRUE),EXACT(metadata!D815,"years"))</f>
        <v>0</v>
      </c>
      <c r="AF815" t="b">
        <f>OR(AND(IF(metadata!E815="",FALSE,TRUE),OR(EXACT(metadata!E815,"not applicable"),EXACT(metadata!E815,"missing: not collected"),EXACT(metadata!E815,"missing: not provided"),EXACT(metadata!E815,"missing: restricted access"))),AND(IF(metadata!E815="",FALSE,ISNUMBER(VALUE(metadata!E815))),metadata!E815&gt;0))</f>
        <v>0</v>
      </c>
      <c r="AG815" t="b">
        <f>AND(IF(metadata!F815="",FALSE,TRUE),EXACT(metadata!F815,"Not applicable"))</f>
        <v>0</v>
      </c>
      <c r="AH815" t="b">
        <f>AND(IF(metadata!G815="",FALSE,TRUE),EXACT(metadata!G815,"urban biome"))</f>
        <v>0</v>
      </c>
      <c r="AI815" t="b">
        <f>AND(IF(metadata!H815="",FALSE,TRUE),EXACT(metadata!H815,"human-associated habitat"))</f>
        <v>0</v>
      </c>
      <c r="AJ815" t="b">
        <f>AND(IF(metadata!I815="",FALSE,TRUE),OR(EXACT(metadata!I815,"human-associated"),EXACT(metadata!I815,"human-skin"),EXACT(metadata!I815,"human-oral"),EXACT(metadata!I815,"human-gut"),EXACT(metadata!I815,"human-vaginal")))</f>
        <v>0</v>
      </c>
      <c r="AK815" t="b">
        <f>IF(metadata!J815="",FALSE,ISNUMBER(VALUE(metadata!J815)))</f>
        <v>0</v>
      </c>
      <c r="AL815" t="b">
        <f>AND(IF(metadata!K815="",FALSE,TRUE),EXACT(metadata!K815,"cm"))</f>
        <v>0</v>
      </c>
      <c r="AM815" t="b">
        <f>AND(IF(metadata!L815="",FALSE,TRUE),EXACT(metadata!L815,"human"))</f>
        <v>0</v>
      </c>
      <c r="AN815" t="b">
        <f>AND(IF(metadata!M815="",FALSE,TRUE),EXACT(metadata!M815,"Homo sapiens"))</f>
        <v>0</v>
      </c>
      <c r="AO815" t="b">
        <f>AND(IF(metadata!N815="",FALSE,TRUE),EXACT(metadata!N815,"9606"))</f>
        <v>0</v>
      </c>
      <c r="AP815" t="b">
        <f>IF(metadata!O815="",FALSE,TRUE)</f>
        <v>0</v>
      </c>
      <c r="AQ815" t="b">
        <f>IF(metadata!P815="",FALSE,TRUE)</f>
        <v>0</v>
      </c>
      <c r="AR815" t="b">
        <f>IF(metadata!Q815="",FALSE,ISNUMBER(VALUE(metadata!Q815)))</f>
        <v>0</v>
      </c>
      <c r="AS815" t="b">
        <f>AND(IF(metadata!R815="",FALSE,TRUE),EXACT(metadata!R815,"kg"))</f>
        <v>0</v>
      </c>
    </row>
    <row r="816" spans="1:45" x14ac:dyDescent="0.2">
      <c r="A816" s="5" t="str">
        <f ca="1">IF(B816=" "," ",HYPERLINK(CONCATENATE("#metadata!",ADDRESS(INDEX($X$2:$X$1001,MATCH(ROWS($V$2:V816),$V$2:$V$1001,0),0),1)),INDEX($AA$2:$AA$1001,MATCH(ROWS($V$2:V816),$V$2:$V$1001,0),0)))</f>
        <v xml:space="preserve"> </v>
      </c>
      <c r="B816" s="4" t="str">
        <f ca="1">IF(OR(INDEX($W$2:$W$1001,MATCH(ROWS($V$2:V816),$V$2:$V$1001,0),1)&gt;=100000,INDEX($AC$1005:$AS$1005,1,MATCH(COLUMNS($AC$1006:AC1006),$AC$1006:$AS$1006,0))&gt;=100000), " ",IF(INDEX($AC$2:$AS$1001,MATCH(ROWS($V$2:V816),$V$2:$V$1001,0),MATCH(COLUMNS($AC$1006:AC1006),$AC$1006:$AS$1006,0)), HYPERLINK("#",""), HYPERLINK(CONCATENATE("#metadata!", ADDRESS(INDEX($X$2:$X$1001,MATCH(ROWS($V$2:V816),$V$2:$V$1001,0),0), INDEX($AC$1004:$AS$1004,1,MATCH(COLUMNS($AC$1006:AC1006),$AC$1006:$AS$1006,0)))),"Fix")))</f>
        <v xml:space="preserve"> </v>
      </c>
      <c r="C816" s="4" t="str">
        <f ca="1">IF(OR(INDEX($W$2:$W$1001,MATCH(ROWS($V$2:V816),$V$2:$V$1001,0),1)&gt;=100000,INDEX($AC$1005:$AS$1005,1,MATCH(COLUMNS($AC$1006:AD1006),$AC$1006:$AS$1006,0))&gt;=100000), " ",IF(INDEX($AC$2:$AS$1001,MATCH(ROWS($V$2:V816),$V$2:$V$1001,0),MATCH(COLUMNS($AC$1006:AD1006),$AC$1006:$AS$1006,0)), HYPERLINK("#",""), HYPERLINK(CONCATENATE("#metadata!", ADDRESS(INDEX($X$2:$X$1001,MATCH(ROWS($V$2:V816),$V$2:$V$1001,0),0), INDEX($AC$1004:$AS$1004,1,MATCH(COLUMNS($AC$1006:AD1006),$AC$1006:$AS$1006,0)))),"Fix")))</f>
        <v xml:space="preserve"> </v>
      </c>
      <c r="D816" s="4" t="str">
        <f ca="1">IF(OR(INDEX($W$2:$W$1001,MATCH(ROWS($V$2:V816),$V$2:$V$1001,0),1)&gt;=100000,INDEX($AC$1005:$AS$1005,1,MATCH(COLUMNS($AC$1006:AE1006),$AC$1006:$AS$1006,0))&gt;=100000), " ",IF(INDEX($AC$2:$AS$1001,MATCH(ROWS($V$2:V816),$V$2:$V$1001,0),MATCH(COLUMNS($AC$1006:AE1006),$AC$1006:$AS$1006,0)), HYPERLINK("#",""), HYPERLINK(CONCATENATE("#metadata!", ADDRESS(INDEX($X$2:$X$1001,MATCH(ROWS($V$2:V816),$V$2:$V$1001,0),0), INDEX($AC$1004:$AS$1004,1,MATCH(COLUMNS($AC$1006:AE1006),$AC$1006:$AS$1006,0)))),"Fix")))</f>
        <v xml:space="preserve"> </v>
      </c>
      <c r="E816" s="4" t="str">
        <f ca="1">IF(OR(INDEX($W$2:$W$1001,MATCH(ROWS($V$2:V816),$V$2:$V$1001,0),1)&gt;=100000,INDEX($AC$1005:$AS$1005,1,MATCH(COLUMNS($AC$1006:AF1006),$AC$1006:$AS$1006,0))&gt;=100000), " ",IF(INDEX($AC$2:$AS$1001,MATCH(ROWS($V$2:V816),$V$2:$V$1001,0),MATCH(COLUMNS($AC$1006:AF1006),$AC$1006:$AS$1006,0)), HYPERLINK("#",""), HYPERLINK(CONCATENATE("#metadata!", ADDRESS(INDEX($X$2:$X$1001,MATCH(ROWS($V$2:V816),$V$2:$V$1001,0),0), INDEX($AC$1004:$AS$1004,1,MATCH(COLUMNS($AC$1006:AF1006),$AC$1006:$AS$1006,0)))),"Fix")))</f>
        <v xml:space="preserve"> </v>
      </c>
      <c r="F816" s="4" t="str">
        <f ca="1">IF(OR(INDEX($W$2:$W$1001,MATCH(ROWS($V$2:V816),$V$2:$V$1001,0),1)&gt;=100000,INDEX($AC$1005:$AS$1005,1,MATCH(COLUMNS($AC$1006:AG1006),$AC$1006:$AS$1006,0))&gt;=100000), " ",IF(INDEX($AC$2:$AS$1001,MATCH(ROWS($V$2:V816),$V$2:$V$1001,0),MATCH(COLUMNS($AC$1006:AG1006),$AC$1006:$AS$1006,0)), HYPERLINK("#",""), HYPERLINK(CONCATENATE("#metadata!", ADDRESS(INDEX($X$2:$X$1001,MATCH(ROWS($V$2:V816),$V$2:$V$1001,0),0), INDEX($AC$1004:$AS$1004,1,MATCH(COLUMNS($AC$1006:AG1006),$AC$1006:$AS$1006,0)))),"Fix")))</f>
        <v xml:space="preserve"> </v>
      </c>
      <c r="G816" s="4" t="str">
        <f ca="1">IF(OR(INDEX($W$2:$W$1001,MATCH(ROWS($V$2:V816),$V$2:$V$1001,0),1)&gt;=100000,INDEX($AC$1005:$AS$1005,1,MATCH(COLUMNS($AC$1006:AH1006),$AC$1006:$AS$1006,0))&gt;=100000), " ",IF(INDEX($AC$2:$AS$1001,MATCH(ROWS($V$2:V816),$V$2:$V$1001,0),MATCH(COLUMNS($AC$1006:AH1006),$AC$1006:$AS$1006,0)), HYPERLINK("#",""), HYPERLINK(CONCATENATE("#metadata!", ADDRESS(INDEX($X$2:$X$1001,MATCH(ROWS($V$2:V816),$V$2:$V$1001,0),0), INDEX($AC$1004:$AS$1004,1,MATCH(COLUMNS($AC$1006:AH1006),$AC$1006:$AS$1006,0)))),"Fix")))</f>
        <v xml:space="preserve"> </v>
      </c>
      <c r="H816" s="4" t="str">
        <f ca="1">IF(OR(INDEX($W$2:$W$1001,MATCH(ROWS($V$2:V816),$V$2:$V$1001,0),1)&gt;=100000,INDEX($AC$1005:$AS$1005,1,MATCH(COLUMNS($AC$1006:AI1006),$AC$1006:$AS$1006,0))&gt;=100000), " ",IF(INDEX($AC$2:$AS$1001,MATCH(ROWS($V$2:V816),$V$2:$V$1001,0),MATCH(COLUMNS($AC$1006:AI1006),$AC$1006:$AS$1006,0)), HYPERLINK("#",""), HYPERLINK(CONCATENATE("#metadata!", ADDRESS(INDEX($X$2:$X$1001,MATCH(ROWS($V$2:V816),$V$2:$V$1001,0),0), INDEX($AC$1004:$AS$1004,1,MATCH(COLUMNS($AC$1006:AI1006),$AC$1006:$AS$1006,0)))),"Fix")))</f>
        <v xml:space="preserve"> </v>
      </c>
      <c r="I816" s="4" t="str">
        <f ca="1">IF(OR(INDEX($W$2:$W$1001,MATCH(ROWS($V$2:V816),$V$2:$V$1001,0),1)&gt;=100000,INDEX($AC$1005:$AS$1005,1,MATCH(COLUMNS($AC$1006:AJ1006),$AC$1006:$AS$1006,0))&gt;=100000), " ",IF(INDEX($AC$2:$AS$1001,MATCH(ROWS($V$2:V816),$V$2:$V$1001,0),MATCH(COLUMNS($AC$1006:AJ1006),$AC$1006:$AS$1006,0)), HYPERLINK("#",""), HYPERLINK(CONCATENATE("#metadata!", ADDRESS(INDEX($X$2:$X$1001,MATCH(ROWS($V$2:V816),$V$2:$V$1001,0),0), INDEX($AC$1004:$AS$1004,1,MATCH(COLUMNS($AC$1006:AJ1006),$AC$1006:$AS$1006,0)))),"Fix")))</f>
        <v xml:space="preserve"> </v>
      </c>
      <c r="J816" s="4" t="str">
        <f ca="1">IF(OR(INDEX($W$2:$W$1001,MATCH(ROWS($V$2:V816),$V$2:$V$1001,0),1)&gt;=100000,INDEX($AC$1005:$AS$1005,1,MATCH(COLUMNS($AC$1006:AK1006),$AC$1006:$AS$1006,0))&gt;=100000), " ",IF(INDEX($AC$2:$AS$1001,MATCH(ROWS($V$2:V816),$V$2:$V$1001,0),MATCH(COLUMNS($AC$1006:AK1006),$AC$1006:$AS$1006,0)), HYPERLINK("#",""), HYPERLINK(CONCATENATE("#metadata!", ADDRESS(INDEX($X$2:$X$1001,MATCH(ROWS($V$2:V816),$V$2:$V$1001,0),0), INDEX($AC$1004:$AS$1004,1,MATCH(COLUMNS($AC$1006:AK1006),$AC$1006:$AS$1006,0)))),"Fix")))</f>
        <v xml:space="preserve"> </v>
      </c>
      <c r="K816" s="4" t="str">
        <f ca="1">IF(OR(INDEX($W$2:$W$1001,MATCH(ROWS($V$2:V816),$V$2:$V$1001,0),1)&gt;=100000,INDEX($AC$1005:$AS$1005,1,MATCH(COLUMNS($AC$1006:AL1006),$AC$1006:$AS$1006,0))&gt;=100000), " ",IF(INDEX($AC$2:$AS$1001,MATCH(ROWS($V$2:V816),$V$2:$V$1001,0),MATCH(COLUMNS($AC$1006:AL1006),$AC$1006:$AS$1006,0)), HYPERLINK("#",""), HYPERLINK(CONCATENATE("#metadata!", ADDRESS(INDEX($X$2:$X$1001,MATCH(ROWS($V$2:V816),$V$2:$V$1001,0),0), INDEX($AC$1004:$AS$1004,1,MATCH(COLUMNS($AC$1006:AL1006),$AC$1006:$AS$1006,0)))),"Fix")))</f>
        <v xml:space="preserve"> </v>
      </c>
      <c r="L816" s="4" t="str">
        <f ca="1">IF(OR(INDEX($W$2:$W$1001,MATCH(ROWS($V$2:V816),$V$2:$V$1001,0),1)&gt;=100000,INDEX($AC$1005:$AS$1005,1,MATCH(COLUMNS($AC$1006:AM1006),$AC$1006:$AS$1006,0))&gt;=100000), " ",IF(INDEX($AC$2:$AS$1001,MATCH(ROWS($V$2:V816),$V$2:$V$1001,0),MATCH(COLUMNS($AC$1006:AM1006),$AC$1006:$AS$1006,0)), HYPERLINK("#",""), HYPERLINK(CONCATENATE("#metadata!", ADDRESS(INDEX($X$2:$X$1001,MATCH(ROWS($V$2:V816),$V$2:$V$1001,0),0), INDEX($AC$1004:$AS$1004,1,MATCH(COLUMNS($AC$1006:AM1006),$AC$1006:$AS$1006,0)))),"Fix")))</f>
        <v xml:space="preserve"> </v>
      </c>
      <c r="M816" s="4" t="str">
        <f ca="1">IF(OR(INDEX($W$2:$W$1001,MATCH(ROWS($V$2:V816),$V$2:$V$1001,0),1)&gt;=100000,INDEX($AC$1005:$AS$1005,1,MATCH(COLUMNS($AC$1006:AN1006),$AC$1006:$AS$1006,0))&gt;=100000), " ",IF(INDEX($AC$2:$AS$1001,MATCH(ROWS($V$2:V816),$V$2:$V$1001,0),MATCH(COLUMNS($AC$1006:AN1006),$AC$1006:$AS$1006,0)), HYPERLINK("#",""), HYPERLINK(CONCATENATE("#metadata!", ADDRESS(INDEX($X$2:$X$1001,MATCH(ROWS($V$2:V816),$V$2:$V$1001,0),0), INDEX($AC$1004:$AS$1004,1,MATCH(COLUMNS($AC$1006:AN1006),$AC$1006:$AS$1006,0)))),"Fix")))</f>
        <v xml:space="preserve"> </v>
      </c>
      <c r="N816" s="4" t="str">
        <f ca="1">IF(OR(INDEX($W$2:$W$1001,MATCH(ROWS($V$2:V816),$V$2:$V$1001,0),1)&gt;=100000,INDEX($AC$1005:$AS$1005,1,MATCH(COLUMNS($AC$1006:AO1006),$AC$1006:$AS$1006,0))&gt;=100000), " ",IF(INDEX($AC$2:$AS$1001,MATCH(ROWS($V$2:V816),$V$2:$V$1001,0),MATCH(COLUMNS($AC$1006:AO1006),$AC$1006:$AS$1006,0)), HYPERLINK("#",""), HYPERLINK(CONCATENATE("#metadata!", ADDRESS(INDEX($X$2:$X$1001,MATCH(ROWS($V$2:V816),$V$2:$V$1001,0),0), INDEX($AC$1004:$AS$1004,1,MATCH(COLUMNS($AC$1006:AO1006),$AC$1006:$AS$1006,0)))),"Fix")))</f>
        <v xml:space="preserve"> </v>
      </c>
      <c r="O816" s="4" t="str">
        <f ca="1">IF(OR(INDEX($W$2:$W$1001,MATCH(ROWS($V$2:V816),$V$2:$V$1001,0),1)&gt;=100000,INDEX($AC$1005:$AS$1005,1,MATCH(COLUMNS($AC$1006:AP1006),$AC$1006:$AS$1006,0))&gt;=100000), " ",IF(INDEX($AC$2:$AS$1001,MATCH(ROWS($V$2:V816),$V$2:$V$1001,0),MATCH(COLUMNS($AC$1006:AP1006),$AC$1006:$AS$1006,0)), HYPERLINK("#",""), HYPERLINK(CONCATENATE("#metadata!", ADDRESS(INDEX($X$2:$X$1001,MATCH(ROWS($V$2:V816),$V$2:$V$1001,0),0), INDEX($AC$1004:$AS$1004,1,MATCH(COLUMNS($AC$1006:AP1006),$AC$1006:$AS$1006,0)))),"Fix")))</f>
        <v xml:space="preserve"> </v>
      </c>
      <c r="P816" s="4" t="str">
        <f ca="1">IF(OR(INDEX($W$2:$W$1001,MATCH(ROWS($V$2:V816),$V$2:$V$1001,0),1)&gt;=100000,INDEX($AC$1005:$AS$1005,1,MATCH(COLUMNS($AC$1006:AQ1006),$AC$1006:$AS$1006,0))&gt;=100000), " ",IF(INDEX($AC$2:$AS$1001,MATCH(ROWS($V$2:V816),$V$2:$V$1001,0),MATCH(COLUMNS($AC$1006:AQ1006),$AC$1006:$AS$1006,0)), HYPERLINK("#",""), HYPERLINK(CONCATENATE("#metadata!", ADDRESS(INDEX($X$2:$X$1001,MATCH(ROWS($V$2:V816),$V$2:$V$1001,0),0), INDEX($AC$1004:$AS$1004,1,MATCH(COLUMNS($AC$1006:AQ1006),$AC$1006:$AS$1006,0)))),"Fix")))</f>
        <v xml:space="preserve"> </v>
      </c>
      <c r="Q816" s="4" t="str">
        <f ca="1">IF(OR(INDEX($W$2:$W$1001,MATCH(ROWS($V$2:V816),$V$2:$V$1001,0),1)&gt;=100000,INDEX($AC$1005:$AS$1005,1,MATCH(COLUMNS($AC$1006:AR1006),$AC$1006:$AS$1006,0))&gt;=100000), " ",IF(INDEX($AC$2:$AS$1001,MATCH(ROWS($V$2:V816),$V$2:$V$1001,0),MATCH(COLUMNS($AC$1006:AR1006),$AC$1006:$AS$1006,0)), HYPERLINK("#",""), HYPERLINK(CONCATENATE("#metadata!", ADDRESS(INDEX($X$2:$X$1001,MATCH(ROWS($V$2:V816),$V$2:$V$1001,0),0), INDEX($AC$1004:$AS$1004,1,MATCH(COLUMNS($AC$1006:AR1006),$AC$1006:$AS$1006,0)))),"Fix")))</f>
        <v xml:space="preserve"> </v>
      </c>
      <c r="R816" s="4" t="str">
        <f ca="1">IF(OR(INDEX($W$2:$W$1001,MATCH(ROWS($V$2:V816),$V$2:$V$1001,0),1)&gt;=100000,INDEX($AC$1005:$AS$1005,1,MATCH(COLUMNS($AC$1006:AS1006),$AC$1006:$AS$1006,0))&gt;=100000), " ",IF(INDEX($AC$2:$AS$1001,MATCH(ROWS($V$2:V816),$V$2:$V$1001,0),MATCH(COLUMNS($AC$1006:AS1006),$AC$1006:$AS$1006,0)), HYPERLINK("#",""), HYPERLINK(CONCATENATE("#metadata!", ADDRESS(INDEX($X$2:$X$1001,MATCH(ROWS($V$2:V816),$V$2:$V$1001,0),0), INDEX($AC$1004:$AS$1004,1,MATCH(COLUMNS($AC$1006:AS1006),$AC$1006:$AS$1006,0)))),"Fix")))</f>
        <v xml:space="preserve"> </v>
      </c>
      <c r="V816">
        <v>815</v>
      </c>
      <c r="W816">
        <v>100816</v>
      </c>
      <c r="X816">
        <v>816</v>
      </c>
      <c r="Y816" t="b">
        <f t="shared" si="12"/>
        <v>1</v>
      </c>
      <c r="Z816" t="b">
        <f>COUNTBLANK(metadata!B816:R816)=COLUMNS(metadata!B816:R816)</f>
        <v>1</v>
      </c>
      <c r="AA816" t="str">
        <v/>
      </c>
      <c r="AC816" t="b">
        <f ca="1"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AD816" t="b">
        <f>IF(metadata!C816="",FALSE,ISNUMBER(VALUE(metadata!C816)))</f>
        <v>0</v>
      </c>
      <c r="AE816" t="b">
        <f>AND(IF(metadata!D816="",FALSE,TRUE),EXACT(metadata!D816,"years"))</f>
        <v>0</v>
      </c>
      <c r="AF816" t="b">
        <f>OR(AND(IF(metadata!E816="",FALSE,TRUE),OR(EXACT(metadata!E816,"not applicable"),EXACT(metadata!E816,"missing: not collected"),EXACT(metadata!E816,"missing: not provided"),EXACT(metadata!E816,"missing: restricted access"))),AND(IF(metadata!E816="",FALSE,ISNUMBER(VALUE(metadata!E816))),metadata!E816&gt;0))</f>
        <v>0</v>
      </c>
      <c r="AG816" t="b">
        <f>AND(IF(metadata!F816="",FALSE,TRUE),EXACT(metadata!F816,"Not applicable"))</f>
        <v>0</v>
      </c>
      <c r="AH816" t="b">
        <f>AND(IF(metadata!G816="",FALSE,TRUE),EXACT(metadata!G816,"urban biome"))</f>
        <v>0</v>
      </c>
      <c r="AI816" t="b">
        <f>AND(IF(metadata!H816="",FALSE,TRUE),EXACT(metadata!H816,"human-associated habitat"))</f>
        <v>0</v>
      </c>
      <c r="AJ816" t="b">
        <f>AND(IF(metadata!I816="",FALSE,TRUE),OR(EXACT(metadata!I816,"human-associated"),EXACT(metadata!I816,"human-skin"),EXACT(metadata!I816,"human-oral"),EXACT(metadata!I816,"human-gut"),EXACT(metadata!I816,"human-vaginal")))</f>
        <v>0</v>
      </c>
      <c r="AK816" t="b">
        <f>IF(metadata!J816="",FALSE,ISNUMBER(VALUE(metadata!J816)))</f>
        <v>0</v>
      </c>
      <c r="AL816" t="b">
        <f>AND(IF(metadata!K816="",FALSE,TRUE),EXACT(metadata!K816,"cm"))</f>
        <v>0</v>
      </c>
      <c r="AM816" t="b">
        <f>AND(IF(metadata!L816="",FALSE,TRUE),EXACT(metadata!L816,"human"))</f>
        <v>0</v>
      </c>
      <c r="AN816" t="b">
        <f>AND(IF(metadata!M816="",FALSE,TRUE),EXACT(metadata!M816,"Homo sapiens"))</f>
        <v>0</v>
      </c>
      <c r="AO816" t="b">
        <f>AND(IF(metadata!N816="",FALSE,TRUE),EXACT(metadata!N816,"9606"))</f>
        <v>0</v>
      </c>
      <c r="AP816" t="b">
        <f>IF(metadata!O816="",FALSE,TRUE)</f>
        <v>0</v>
      </c>
      <c r="AQ816" t="b">
        <f>IF(metadata!P816="",FALSE,TRUE)</f>
        <v>0</v>
      </c>
      <c r="AR816" t="b">
        <f>IF(metadata!Q816="",FALSE,ISNUMBER(VALUE(metadata!Q816)))</f>
        <v>0</v>
      </c>
      <c r="AS816" t="b">
        <f>AND(IF(metadata!R816="",FALSE,TRUE),EXACT(metadata!R816,"kg"))</f>
        <v>0</v>
      </c>
    </row>
    <row r="817" spans="1:45" x14ac:dyDescent="0.2">
      <c r="A817" s="5" t="str">
        <f ca="1">IF(B817=" "," ",HYPERLINK(CONCATENATE("#metadata!",ADDRESS(INDEX($X$2:$X$1001,MATCH(ROWS($V$2:V817),$V$2:$V$1001,0),0),1)),INDEX($AA$2:$AA$1001,MATCH(ROWS($V$2:V817),$V$2:$V$1001,0),0)))</f>
        <v xml:space="preserve"> </v>
      </c>
      <c r="B817" s="4" t="str">
        <f ca="1">IF(OR(INDEX($W$2:$W$1001,MATCH(ROWS($V$2:V817),$V$2:$V$1001,0),1)&gt;=100000,INDEX($AC$1005:$AS$1005,1,MATCH(COLUMNS($AC$1006:AC1006),$AC$1006:$AS$1006,0))&gt;=100000), " ",IF(INDEX($AC$2:$AS$1001,MATCH(ROWS($V$2:V817),$V$2:$V$1001,0),MATCH(COLUMNS($AC$1006:AC1006),$AC$1006:$AS$1006,0)), HYPERLINK("#",""), HYPERLINK(CONCATENATE("#metadata!", ADDRESS(INDEX($X$2:$X$1001,MATCH(ROWS($V$2:V817),$V$2:$V$1001,0),0), INDEX($AC$1004:$AS$1004,1,MATCH(COLUMNS($AC$1006:AC1006),$AC$1006:$AS$1006,0)))),"Fix")))</f>
        <v xml:space="preserve"> </v>
      </c>
      <c r="C817" s="4" t="str">
        <f ca="1">IF(OR(INDEX($W$2:$W$1001,MATCH(ROWS($V$2:V817),$V$2:$V$1001,0),1)&gt;=100000,INDEX($AC$1005:$AS$1005,1,MATCH(COLUMNS($AC$1006:AD1006),$AC$1006:$AS$1006,0))&gt;=100000), " ",IF(INDEX($AC$2:$AS$1001,MATCH(ROWS($V$2:V817),$V$2:$V$1001,0),MATCH(COLUMNS($AC$1006:AD1006),$AC$1006:$AS$1006,0)), HYPERLINK("#",""), HYPERLINK(CONCATENATE("#metadata!", ADDRESS(INDEX($X$2:$X$1001,MATCH(ROWS($V$2:V817),$V$2:$V$1001,0),0), INDEX($AC$1004:$AS$1004,1,MATCH(COLUMNS($AC$1006:AD1006),$AC$1006:$AS$1006,0)))),"Fix")))</f>
        <v xml:space="preserve"> </v>
      </c>
      <c r="D817" s="4" t="str">
        <f ca="1">IF(OR(INDEX($W$2:$W$1001,MATCH(ROWS($V$2:V817),$V$2:$V$1001,0),1)&gt;=100000,INDEX($AC$1005:$AS$1005,1,MATCH(COLUMNS($AC$1006:AE1006),$AC$1006:$AS$1006,0))&gt;=100000), " ",IF(INDEX($AC$2:$AS$1001,MATCH(ROWS($V$2:V817),$V$2:$V$1001,0),MATCH(COLUMNS($AC$1006:AE1006),$AC$1006:$AS$1006,0)), HYPERLINK("#",""), HYPERLINK(CONCATENATE("#metadata!", ADDRESS(INDEX($X$2:$X$1001,MATCH(ROWS($V$2:V817),$V$2:$V$1001,0),0), INDEX($AC$1004:$AS$1004,1,MATCH(COLUMNS($AC$1006:AE1006),$AC$1006:$AS$1006,0)))),"Fix")))</f>
        <v xml:space="preserve"> </v>
      </c>
      <c r="E817" s="4" t="str">
        <f ca="1">IF(OR(INDEX($W$2:$W$1001,MATCH(ROWS($V$2:V817),$V$2:$V$1001,0),1)&gt;=100000,INDEX($AC$1005:$AS$1005,1,MATCH(COLUMNS($AC$1006:AF1006),$AC$1006:$AS$1006,0))&gt;=100000), " ",IF(INDEX($AC$2:$AS$1001,MATCH(ROWS($V$2:V817),$V$2:$V$1001,0),MATCH(COLUMNS($AC$1006:AF1006),$AC$1006:$AS$1006,0)), HYPERLINK("#",""), HYPERLINK(CONCATENATE("#metadata!", ADDRESS(INDEX($X$2:$X$1001,MATCH(ROWS($V$2:V817),$V$2:$V$1001,0),0), INDEX($AC$1004:$AS$1004,1,MATCH(COLUMNS($AC$1006:AF1006),$AC$1006:$AS$1006,0)))),"Fix")))</f>
        <v xml:space="preserve"> </v>
      </c>
      <c r="F817" s="4" t="str">
        <f ca="1">IF(OR(INDEX($W$2:$W$1001,MATCH(ROWS($V$2:V817),$V$2:$V$1001,0),1)&gt;=100000,INDEX($AC$1005:$AS$1005,1,MATCH(COLUMNS($AC$1006:AG1006),$AC$1006:$AS$1006,0))&gt;=100000), " ",IF(INDEX($AC$2:$AS$1001,MATCH(ROWS($V$2:V817),$V$2:$V$1001,0),MATCH(COLUMNS($AC$1006:AG1006),$AC$1006:$AS$1006,0)), HYPERLINK("#",""), HYPERLINK(CONCATENATE("#metadata!", ADDRESS(INDEX($X$2:$X$1001,MATCH(ROWS($V$2:V817),$V$2:$V$1001,0),0), INDEX($AC$1004:$AS$1004,1,MATCH(COLUMNS($AC$1006:AG1006),$AC$1006:$AS$1006,0)))),"Fix")))</f>
        <v xml:space="preserve"> </v>
      </c>
      <c r="G817" s="4" t="str">
        <f ca="1">IF(OR(INDEX($W$2:$W$1001,MATCH(ROWS($V$2:V817),$V$2:$V$1001,0),1)&gt;=100000,INDEX($AC$1005:$AS$1005,1,MATCH(COLUMNS($AC$1006:AH1006),$AC$1006:$AS$1006,0))&gt;=100000), " ",IF(INDEX($AC$2:$AS$1001,MATCH(ROWS($V$2:V817),$V$2:$V$1001,0),MATCH(COLUMNS($AC$1006:AH1006),$AC$1006:$AS$1006,0)), HYPERLINK("#",""), HYPERLINK(CONCATENATE("#metadata!", ADDRESS(INDEX($X$2:$X$1001,MATCH(ROWS($V$2:V817),$V$2:$V$1001,0),0), INDEX($AC$1004:$AS$1004,1,MATCH(COLUMNS($AC$1006:AH1006),$AC$1006:$AS$1006,0)))),"Fix")))</f>
        <v xml:space="preserve"> </v>
      </c>
      <c r="H817" s="4" t="str">
        <f ca="1">IF(OR(INDEX($W$2:$W$1001,MATCH(ROWS($V$2:V817),$V$2:$V$1001,0),1)&gt;=100000,INDEX($AC$1005:$AS$1005,1,MATCH(COLUMNS($AC$1006:AI1006),$AC$1006:$AS$1006,0))&gt;=100000), " ",IF(INDEX($AC$2:$AS$1001,MATCH(ROWS($V$2:V817),$V$2:$V$1001,0),MATCH(COLUMNS($AC$1006:AI1006),$AC$1006:$AS$1006,0)), HYPERLINK("#",""), HYPERLINK(CONCATENATE("#metadata!", ADDRESS(INDEX($X$2:$X$1001,MATCH(ROWS($V$2:V817),$V$2:$V$1001,0),0), INDEX($AC$1004:$AS$1004,1,MATCH(COLUMNS($AC$1006:AI1006),$AC$1006:$AS$1006,0)))),"Fix")))</f>
        <v xml:space="preserve"> </v>
      </c>
      <c r="I817" s="4" t="str">
        <f ca="1">IF(OR(INDEX($W$2:$W$1001,MATCH(ROWS($V$2:V817),$V$2:$V$1001,0),1)&gt;=100000,INDEX($AC$1005:$AS$1005,1,MATCH(COLUMNS($AC$1006:AJ1006),$AC$1006:$AS$1006,0))&gt;=100000), " ",IF(INDEX($AC$2:$AS$1001,MATCH(ROWS($V$2:V817),$V$2:$V$1001,0),MATCH(COLUMNS($AC$1006:AJ1006),$AC$1006:$AS$1006,0)), HYPERLINK("#",""), HYPERLINK(CONCATENATE("#metadata!", ADDRESS(INDEX($X$2:$X$1001,MATCH(ROWS($V$2:V817),$V$2:$V$1001,0),0), INDEX($AC$1004:$AS$1004,1,MATCH(COLUMNS($AC$1006:AJ1006),$AC$1006:$AS$1006,0)))),"Fix")))</f>
        <v xml:space="preserve"> </v>
      </c>
      <c r="J817" s="4" t="str">
        <f ca="1">IF(OR(INDEX($W$2:$W$1001,MATCH(ROWS($V$2:V817),$V$2:$V$1001,0),1)&gt;=100000,INDEX($AC$1005:$AS$1005,1,MATCH(COLUMNS($AC$1006:AK1006),$AC$1006:$AS$1006,0))&gt;=100000), " ",IF(INDEX($AC$2:$AS$1001,MATCH(ROWS($V$2:V817),$V$2:$V$1001,0),MATCH(COLUMNS($AC$1006:AK1006),$AC$1006:$AS$1006,0)), HYPERLINK("#",""), HYPERLINK(CONCATENATE("#metadata!", ADDRESS(INDEX($X$2:$X$1001,MATCH(ROWS($V$2:V817),$V$2:$V$1001,0),0), INDEX($AC$1004:$AS$1004,1,MATCH(COLUMNS($AC$1006:AK1006),$AC$1006:$AS$1006,0)))),"Fix")))</f>
        <v xml:space="preserve"> </v>
      </c>
      <c r="K817" s="4" t="str">
        <f ca="1">IF(OR(INDEX($W$2:$W$1001,MATCH(ROWS($V$2:V817),$V$2:$V$1001,0),1)&gt;=100000,INDEX($AC$1005:$AS$1005,1,MATCH(COLUMNS($AC$1006:AL1006),$AC$1006:$AS$1006,0))&gt;=100000), " ",IF(INDEX($AC$2:$AS$1001,MATCH(ROWS($V$2:V817),$V$2:$V$1001,0),MATCH(COLUMNS($AC$1006:AL1006),$AC$1006:$AS$1006,0)), HYPERLINK("#",""), HYPERLINK(CONCATENATE("#metadata!", ADDRESS(INDEX($X$2:$X$1001,MATCH(ROWS($V$2:V817),$V$2:$V$1001,0),0), INDEX($AC$1004:$AS$1004,1,MATCH(COLUMNS($AC$1006:AL1006),$AC$1006:$AS$1006,0)))),"Fix")))</f>
        <v xml:space="preserve"> </v>
      </c>
      <c r="L817" s="4" t="str">
        <f ca="1">IF(OR(INDEX($W$2:$W$1001,MATCH(ROWS($V$2:V817),$V$2:$V$1001,0),1)&gt;=100000,INDEX($AC$1005:$AS$1005,1,MATCH(COLUMNS($AC$1006:AM1006),$AC$1006:$AS$1006,0))&gt;=100000), " ",IF(INDEX($AC$2:$AS$1001,MATCH(ROWS($V$2:V817),$V$2:$V$1001,0),MATCH(COLUMNS($AC$1006:AM1006),$AC$1006:$AS$1006,0)), HYPERLINK("#",""), HYPERLINK(CONCATENATE("#metadata!", ADDRESS(INDEX($X$2:$X$1001,MATCH(ROWS($V$2:V817),$V$2:$V$1001,0),0), INDEX($AC$1004:$AS$1004,1,MATCH(COLUMNS($AC$1006:AM1006),$AC$1006:$AS$1006,0)))),"Fix")))</f>
        <v xml:space="preserve"> </v>
      </c>
      <c r="M817" s="4" t="str">
        <f ca="1">IF(OR(INDEX($W$2:$W$1001,MATCH(ROWS($V$2:V817),$V$2:$V$1001,0),1)&gt;=100000,INDEX($AC$1005:$AS$1005,1,MATCH(COLUMNS($AC$1006:AN1006),$AC$1006:$AS$1006,0))&gt;=100000), " ",IF(INDEX($AC$2:$AS$1001,MATCH(ROWS($V$2:V817),$V$2:$V$1001,0),MATCH(COLUMNS($AC$1006:AN1006),$AC$1006:$AS$1006,0)), HYPERLINK("#",""), HYPERLINK(CONCATENATE("#metadata!", ADDRESS(INDEX($X$2:$X$1001,MATCH(ROWS($V$2:V817),$V$2:$V$1001,0),0), INDEX($AC$1004:$AS$1004,1,MATCH(COLUMNS($AC$1006:AN1006),$AC$1006:$AS$1006,0)))),"Fix")))</f>
        <v xml:space="preserve"> </v>
      </c>
      <c r="N817" s="4" t="str">
        <f ca="1">IF(OR(INDEX($W$2:$W$1001,MATCH(ROWS($V$2:V817),$V$2:$V$1001,0),1)&gt;=100000,INDEX($AC$1005:$AS$1005,1,MATCH(COLUMNS($AC$1006:AO1006),$AC$1006:$AS$1006,0))&gt;=100000), " ",IF(INDEX($AC$2:$AS$1001,MATCH(ROWS($V$2:V817),$V$2:$V$1001,0),MATCH(COLUMNS($AC$1006:AO1006),$AC$1006:$AS$1006,0)), HYPERLINK("#",""), HYPERLINK(CONCATENATE("#metadata!", ADDRESS(INDEX($X$2:$X$1001,MATCH(ROWS($V$2:V817),$V$2:$V$1001,0),0), INDEX($AC$1004:$AS$1004,1,MATCH(COLUMNS($AC$1006:AO1006),$AC$1006:$AS$1006,0)))),"Fix")))</f>
        <v xml:space="preserve"> </v>
      </c>
      <c r="O817" s="4" t="str">
        <f ca="1">IF(OR(INDEX($W$2:$W$1001,MATCH(ROWS($V$2:V817),$V$2:$V$1001,0),1)&gt;=100000,INDEX($AC$1005:$AS$1005,1,MATCH(COLUMNS($AC$1006:AP1006),$AC$1006:$AS$1006,0))&gt;=100000), " ",IF(INDEX($AC$2:$AS$1001,MATCH(ROWS($V$2:V817),$V$2:$V$1001,0),MATCH(COLUMNS($AC$1006:AP1006),$AC$1006:$AS$1006,0)), HYPERLINK("#",""), HYPERLINK(CONCATENATE("#metadata!", ADDRESS(INDEX($X$2:$X$1001,MATCH(ROWS($V$2:V817),$V$2:$V$1001,0),0), INDEX($AC$1004:$AS$1004,1,MATCH(COLUMNS($AC$1006:AP1006),$AC$1006:$AS$1006,0)))),"Fix")))</f>
        <v xml:space="preserve"> </v>
      </c>
      <c r="P817" s="4" t="str">
        <f ca="1">IF(OR(INDEX($W$2:$W$1001,MATCH(ROWS($V$2:V817),$V$2:$V$1001,0),1)&gt;=100000,INDEX($AC$1005:$AS$1005,1,MATCH(COLUMNS($AC$1006:AQ1006),$AC$1006:$AS$1006,0))&gt;=100000), " ",IF(INDEX($AC$2:$AS$1001,MATCH(ROWS($V$2:V817),$V$2:$V$1001,0),MATCH(COLUMNS($AC$1006:AQ1006),$AC$1006:$AS$1006,0)), HYPERLINK("#",""), HYPERLINK(CONCATENATE("#metadata!", ADDRESS(INDEX($X$2:$X$1001,MATCH(ROWS($V$2:V817),$V$2:$V$1001,0),0), INDEX($AC$1004:$AS$1004,1,MATCH(COLUMNS($AC$1006:AQ1006),$AC$1006:$AS$1006,0)))),"Fix")))</f>
        <v xml:space="preserve"> </v>
      </c>
      <c r="Q817" s="4" t="str">
        <f ca="1">IF(OR(INDEX($W$2:$W$1001,MATCH(ROWS($V$2:V817),$V$2:$V$1001,0),1)&gt;=100000,INDEX($AC$1005:$AS$1005,1,MATCH(COLUMNS($AC$1006:AR1006),$AC$1006:$AS$1006,0))&gt;=100000), " ",IF(INDEX($AC$2:$AS$1001,MATCH(ROWS($V$2:V817),$V$2:$V$1001,0),MATCH(COLUMNS($AC$1006:AR1006),$AC$1006:$AS$1006,0)), HYPERLINK("#",""), HYPERLINK(CONCATENATE("#metadata!", ADDRESS(INDEX($X$2:$X$1001,MATCH(ROWS($V$2:V817),$V$2:$V$1001,0),0), INDEX($AC$1004:$AS$1004,1,MATCH(COLUMNS($AC$1006:AR1006),$AC$1006:$AS$1006,0)))),"Fix")))</f>
        <v xml:space="preserve"> </v>
      </c>
      <c r="R817" s="4" t="str">
        <f ca="1">IF(OR(INDEX($W$2:$W$1001,MATCH(ROWS($V$2:V817),$V$2:$V$1001,0),1)&gt;=100000,INDEX($AC$1005:$AS$1005,1,MATCH(COLUMNS($AC$1006:AS1006),$AC$1006:$AS$1006,0))&gt;=100000), " ",IF(INDEX($AC$2:$AS$1001,MATCH(ROWS($V$2:V817),$V$2:$V$1001,0),MATCH(COLUMNS($AC$1006:AS1006),$AC$1006:$AS$1006,0)), HYPERLINK("#",""), HYPERLINK(CONCATENATE("#metadata!", ADDRESS(INDEX($X$2:$X$1001,MATCH(ROWS($V$2:V817),$V$2:$V$1001,0),0), INDEX($AC$1004:$AS$1004,1,MATCH(COLUMNS($AC$1006:AS1006),$AC$1006:$AS$1006,0)))),"Fix")))</f>
        <v xml:space="preserve"> </v>
      </c>
      <c r="V817">
        <v>816</v>
      </c>
      <c r="W817">
        <v>100817</v>
      </c>
      <c r="X817">
        <v>817</v>
      </c>
      <c r="Y817" t="b">
        <f t="shared" si="12"/>
        <v>1</v>
      </c>
      <c r="Z817" t="b">
        <f>COUNTBLANK(metadata!B817:R817)=COLUMNS(metadata!B817:R817)</f>
        <v>1</v>
      </c>
      <c r="AA817" t="str">
        <v/>
      </c>
      <c r="AC817" t="b">
        <f ca="1"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AD817" t="b">
        <f>IF(metadata!C817="",FALSE,ISNUMBER(VALUE(metadata!C817)))</f>
        <v>0</v>
      </c>
      <c r="AE817" t="b">
        <f>AND(IF(metadata!D817="",FALSE,TRUE),EXACT(metadata!D817,"years"))</f>
        <v>0</v>
      </c>
      <c r="AF817" t="b">
        <f>OR(AND(IF(metadata!E817="",FALSE,TRUE),OR(EXACT(metadata!E817,"not applicable"),EXACT(metadata!E817,"missing: not collected"),EXACT(metadata!E817,"missing: not provided"),EXACT(metadata!E817,"missing: restricted access"))),AND(IF(metadata!E817="",FALSE,ISNUMBER(VALUE(metadata!E817))),metadata!E817&gt;0))</f>
        <v>0</v>
      </c>
      <c r="AG817" t="b">
        <f>AND(IF(metadata!F817="",FALSE,TRUE),EXACT(metadata!F817,"Not applicable"))</f>
        <v>0</v>
      </c>
      <c r="AH817" t="b">
        <f>AND(IF(metadata!G817="",FALSE,TRUE),EXACT(metadata!G817,"urban biome"))</f>
        <v>0</v>
      </c>
      <c r="AI817" t="b">
        <f>AND(IF(metadata!H817="",FALSE,TRUE),EXACT(metadata!H817,"human-associated habitat"))</f>
        <v>0</v>
      </c>
      <c r="AJ817" t="b">
        <f>AND(IF(metadata!I817="",FALSE,TRUE),OR(EXACT(metadata!I817,"human-associated"),EXACT(metadata!I817,"human-skin"),EXACT(metadata!I817,"human-oral"),EXACT(metadata!I817,"human-gut"),EXACT(metadata!I817,"human-vaginal")))</f>
        <v>0</v>
      </c>
      <c r="AK817" t="b">
        <f>IF(metadata!J817="",FALSE,ISNUMBER(VALUE(metadata!J817)))</f>
        <v>0</v>
      </c>
      <c r="AL817" t="b">
        <f>AND(IF(metadata!K817="",FALSE,TRUE),EXACT(metadata!K817,"cm"))</f>
        <v>0</v>
      </c>
      <c r="AM817" t="b">
        <f>AND(IF(metadata!L817="",FALSE,TRUE),EXACT(metadata!L817,"human"))</f>
        <v>0</v>
      </c>
      <c r="AN817" t="b">
        <f>AND(IF(metadata!M817="",FALSE,TRUE),EXACT(metadata!M817,"Homo sapiens"))</f>
        <v>0</v>
      </c>
      <c r="AO817" t="b">
        <f>AND(IF(metadata!N817="",FALSE,TRUE),EXACT(metadata!N817,"9606"))</f>
        <v>0</v>
      </c>
      <c r="AP817" t="b">
        <f>IF(metadata!O817="",FALSE,TRUE)</f>
        <v>0</v>
      </c>
      <c r="AQ817" t="b">
        <f>IF(metadata!P817="",FALSE,TRUE)</f>
        <v>0</v>
      </c>
      <c r="AR817" t="b">
        <f>IF(metadata!Q817="",FALSE,ISNUMBER(VALUE(metadata!Q817)))</f>
        <v>0</v>
      </c>
      <c r="AS817" t="b">
        <f>AND(IF(metadata!R817="",FALSE,TRUE),EXACT(metadata!R817,"kg"))</f>
        <v>0</v>
      </c>
    </row>
    <row r="818" spans="1:45" x14ac:dyDescent="0.2">
      <c r="A818" s="5" t="str">
        <f ca="1">IF(B818=" "," ",HYPERLINK(CONCATENATE("#metadata!",ADDRESS(INDEX($X$2:$X$1001,MATCH(ROWS($V$2:V818),$V$2:$V$1001,0),0),1)),INDEX($AA$2:$AA$1001,MATCH(ROWS($V$2:V818),$V$2:$V$1001,0),0)))</f>
        <v xml:space="preserve"> </v>
      </c>
      <c r="B818" s="4" t="str">
        <f ca="1">IF(OR(INDEX($W$2:$W$1001,MATCH(ROWS($V$2:V818),$V$2:$V$1001,0),1)&gt;=100000,INDEX($AC$1005:$AS$1005,1,MATCH(COLUMNS($AC$1006:AC1006),$AC$1006:$AS$1006,0))&gt;=100000), " ",IF(INDEX($AC$2:$AS$1001,MATCH(ROWS($V$2:V818),$V$2:$V$1001,0),MATCH(COLUMNS($AC$1006:AC1006),$AC$1006:$AS$1006,0)), HYPERLINK("#",""), HYPERLINK(CONCATENATE("#metadata!", ADDRESS(INDEX($X$2:$X$1001,MATCH(ROWS($V$2:V818),$V$2:$V$1001,0),0), INDEX($AC$1004:$AS$1004,1,MATCH(COLUMNS($AC$1006:AC1006),$AC$1006:$AS$1006,0)))),"Fix")))</f>
        <v xml:space="preserve"> </v>
      </c>
      <c r="C818" s="4" t="str">
        <f ca="1">IF(OR(INDEX($W$2:$W$1001,MATCH(ROWS($V$2:V818),$V$2:$V$1001,0),1)&gt;=100000,INDEX($AC$1005:$AS$1005,1,MATCH(COLUMNS($AC$1006:AD1006),$AC$1006:$AS$1006,0))&gt;=100000), " ",IF(INDEX($AC$2:$AS$1001,MATCH(ROWS($V$2:V818),$V$2:$V$1001,0),MATCH(COLUMNS($AC$1006:AD1006),$AC$1006:$AS$1006,0)), HYPERLINK("#",""), HYPERLINK(CONCATENATE("#metadata!", ADDRESS(INDEX($X$2:$X$1001,MATCH(ROWS($V$2:V818),$V$2:$V$1001,0),0), INDEX($AC$1004:$AS$1004,1,MATCH(COLUMNS($AC$1006:AD1006),$AC$1006:$AS$1006,0)))),"Fix")))</f>
        <v xml:space="preserve"> </v>
      </c>
      <c r="D818" s="4" t="str">
        <f ca="1">IF(OR(INDEX($W$2:$W$1001,MATCH(ROWS($V$2:V818),$V$2:$V$1001,0),1)&gt;=100000,INDEX($AC$1005:$AS$1005,1,MATCH(COLUMNS($AC$1006:AE1006),$AC$1006:$AS$1006,0))&gt;=100000), " ",IF(INDEX($AC$2:$AS$1001,MATCH(ROWS($V$2:V818),$V$2:$V$1001,0),MATCH(COLUMNS($AC$1006:AE1006),$AC$1006:$AS$1006,0)), HYPERLINK("#",""), HYPERLINK(CONCATENATE("#metadata!", ADDRESS(INDEX($X$2:$X$1001,MATCH(ROWS($V$2:V818),$V$2:$V$1001,0),0), INDEX($AC$1004:$AS$1004,1,MATCH(COLUMNS($AC$1006:AE1006),$AC$1006:$AS$1006,0)))),"Fix")))</f>
        <v xml:space="preserve"> </v>
      </c>
      <c r="E818" s="4" t="str">
        <f ca="1">IF(OR(INDEX($W$2:$W$1001,MATCH(ROWS($V$2:V818),$V$2:$V$1001,0),1)&gt;=100000,INDEX($AC$1005:$AS$1005,1,MATCH(COLUMNS($AC$1006:AF1006),$AC$1006:$AS$1006,0))&gt;=100000), " ",IF(INDEX($AC$2:$AS$1001,MATCH(ROWS($V$2:V818),$V$2:$V$1001,0),MATCH(COLUMNS($AC$1006:AF1006),$AC$1006:$AS$1006,0)), HYPERLINK("#",""), HYPERLINK(CONCATENATE("#metadata!", ADDRESS(INDEX($X$2:$X$1001,MATCH(ROWS($V$2:V818),$V$2:$V$1001,0),0), INDEX($AC$1004:$AS$1004,1,MATCH(COLUMNS($AC$1006:AF1006),$AC$1006:$AS$1006,0)))),"Fix")))</f>
        <v xml:space="preserve"> </v>
      </c>
      <c r="F818" s="4" t="str">
        <f ca="1">IF(OR(INDEX($W$2:$W$1001,MATCH(ROWS($V$2:V818),$V$2:$V$1001,0),1)&gt;=100000,INDEX($AC$1005:$AS$1005,1,MATCH(COLUMNS($AC$1006:AG1006),$AC$1006:$AS$1006,0))&gt;=100000), " ",IF(INDEX($AC$2:$AS$1001,MATCH(ROWS($V$2:V818),$V$2:$V$1001,0),MATCH(COLUMNS($AC$1006:AG1006),$AC$1006:$AS$1006,0)), HYPERLINK("#",""), HYPERLINK(CONCATENATE("#metadata!", ADDRESS(INDEX($X$2:$X$1001,MATCH(ROWS($V$2:V818),$V$2:$V$1001,0),0), INDEX($AC$1004:$AS$1004,1,MATCH(COLUMNS($AC$1006:AG1006),$AC$1006:$AS$1006,0)))),"Fix")))</f>
        <v xml:space="preserve"> </v>
      </c>
      <c r="G818" s="4" t="str">
        <f ca="1">IF(OR(INDEX($W$2:$W$1001,MATCH(ROWS($V$2:V818),$V$2:$V$1001,0),1)&gt;=100000,INDEX($AC$1005:$AS$1005,1,MATCH(COLUMNS($AC$1006:AH1006),$AC$1006:$AS$1006,0))&gt;=100000), " ",IF(INDEX($AC$2:$AS$1001,MATCH(ROWS($V$2:V818),$V$2:$V$1001,0),MATCH(COLUMNS($AC$1006:AH1006),$AC$1006:$AS$1006,0)), HYPERLINK("#",""), HYPERLINK(CONCATENATE("#metadata!", ADDRESS(INDEX($X$2:$X$1001,MATCH(ROWS($V$2:V818),$V$2:$V$1001,0),0), INDEX($AC$1004:$AS$1004,1,MATCH(COLUMNS($AC$1006:AH1006),$AC$1006:$AS$1006,0)))),"Fix")))</f>
        <v xml:space="preserve"> </v>
      </c>
      <c r="H818" s="4" t="str">
        <f ca="1">IF(OR(INDEX($W$2:$W$1001,MATCH(ROWS($V$2:V818),$V$2:$V$1001,0),1)&gt;=100000,INDEX($AC$1005:$AS$1005,1,MATCH(COLUMNS($AC$1006:AI1006),$AC$1006:$AS$1006,0))&gt;=100000), " ",IF(INDEX($AC$2:$AS$1001,MATCH(ROWS($V$2:V818),$V$2:$V$1001,0),MATCH(COLUMNS($AC$1006:AI1006),$AC$1006:$AS$1006,0)), HYPERLINK("#",""), HYPERLINK(CONCATENATE("#metadata!", ADDRESS(INDEX($X$2:$X$1001,MATCH(ROWS($V$2:V818),$V$2:$V$1001,0),0), INDEX($AC$1004:$AS$1004,1,MATCH(COLUMNS($AC$1006:AI1006),$AC$1006:$AS$1006,0)))),"Fix")))</f>
        <v xml:space="preserve"> </v>
      </c>
      <c r="I818" s="4" t="str">
        <f ca="1">IF(OR(INDEX($W$2:$W$1001,MATCH(ROWS($V$2:V818),$V$2:$V$1001,0),1)&gt;=100000,INDEX($AC$1005:$AS$1005,1,MATCH(COLUMNS($AC$1006:AJ1006),$AC$1006:$AS$1006,0))&gt;=100000), " ",IF(INDEX($AC$2:$AS$1001,MATCH(ROWS($V$2:V818),$V$2:$V$1001,0),MATCH(COLUMNS($AC$1006:AJ1006),$AC$1006:$AS$1006,0)), HYPERLINK("#",""), HYPERLINK(CONCATENATE("#metadata!", ADDRESS(INDEX($X$2:$X$1001,MATCH(ROWS($V$2:V818),$V$2:$V$1001,0),0), INDEX($AC$1004:$AS$1004,1,MATCH(COLUMNS($AC$1006:AJ1006),$AC$1006:$AS$1006,0)))),"Fix")))</f>
        <v xml:space="preserve"> </v>
      </c>
      <c r="J818" s="4" t="str">
        <f ca="1">IF(OR(INDEX($W$2:$W$1001,MATCH(ROWS($V$2:V818),$V$2:$V$1001,0),1)&gt;=100000,INDEX($AC$1005:$AS$1005,1,MATCH(COLUMNS($AC$1006:AK1006),$AC$1006:$AS$1006,0))&gt;=100000), " ",IF(INDEX($AC$2:$AS$1001,MATCH(ROWS($V$2:V818),$V$2:$V$1001,0),MATCH(COLUMNS($AC$1006:AK1006),$AC$1006:$AS$1006,0)), HYPERLINK("#",""), HYPERLINK(CONCATENATE("#metadata!", ADDRESS(INDEX($X$2:$X$1001,MATCH(ROWS($V$2:V818),$V$2:$V$1001,0),0), INDEX($AC$1004:$AS$1004,1,MATCH(COLUMNS($AC$1006:AK1006),$AC$1006:$AS$1006,0)))),"Fix")))</f>
        <v xml:space="preserve"> </v>
      </c>
      <c r="K818" s="4" t="str">
        <f ca="1">IF(OR(INDEX($W$2:$W$1001,MATCH(ROWS($V$2:V818),$V$2:$V$1001,0),1)&gt;=100000,INDEX($AC$1005:$AS$1005,1,MATCH(COLUMNS($AC$1006:AL1006),$AC$1006:$AS$1006,0))&gt;=100000), " ",IF(INDEX($AC$2:$AS$1001,MATCH(ROWS($V$2:V818),$V$2:$V$1001,0),MATCH(COLUMNS($AC$1006:AL1006),$AC$1006:$AS$1006,0)), HYPERLINK("#",""), HYPERLINK(CONCATENATE("#metadata!", ADDRESS(INDEX($X$2:$X$1001,MATCH(ROWS($V$2:V818),$V$2:$V$1001,0),0), INDEX($AC$1004:$AS$1004,1,MATCH(COLUMNS($AC$1006:AL1006),$AC$1006:$AS$1006,0)))),"Fix")))</f>
        <v xml:space="preserve"> </v>
      </c>
      <c r="L818" s="4" t="str">
        <f ca="1">IF(OR(INDEX($W$2:$W$1001,MATCH(ROWS($V$2:V818),$V$2:$V$1001,0),1)&gt;=100000,INDEX($AC$1005:$AS$1005,1,MATCH(COLUMNS($AC$1006:AM1006),$AC$1006:$AS$1006,0))&gt;=100000), " ",IF(INDEX($AC$2:$AS$1001,MATCH(ROWS($V$2:V818),$V$2:$V$1001,0),MATCH(COLUMNS($AC$1006:AM1006),$AC$1006:$AS$1006,0)), HYPERLINK("#",""), HYPERLINK(CONCATENATE("#metadata!", ADDRESS(INDEX($X$2:$X$1001,MATCH(ROWS($V$2:V818),$V$2:$V$1001,0),0), INDEX($AC$1004:$AS$1004,1,MATCH(COLUMNS($AC$1006:AM1006),$AC$1006:$AS$1006,0)))),"Fix")))</f>
        <v xml:space="preserve"> </v>
      </c>
      <c r="M818" s="4" t="str">
        <f ca="1">IF(OR(INDEX($W$2:$W$1001,MATCH(ROWS($V$2:V818),$V$2:$V$1001,0),1)&gt;=100000,INDEX($AC$1005:$AS$1005,1,MATCH(COLUMNS($AC$1006:AN1006),$AC$1006:$AS$1006,0))&gt;=100000), " ",IF(INDEX($AC$2:$AS$1001,MATCH(ROWS($V$2:V818),$V$2:$V$1001,0),MATCH(COLUMNS($AC$1006:AN1006),$AC$1006:$AS$1006,0)), HYPERLINK("#",""), HYPERLINK(CONCATENATE("#metadata!", ADDRESS(INDEX($X$2:$X$1001,MATCH(ROWS($V$2:V818),$V$2:$V$1001,0),0), INDEX($AC$1004:$AS$1004,1,MATCH(COLUMNS($AC$1006:AN1006),$AC$1006:$AS$1006,0)))),"Fix")))</f>
        <v xml:space="preserve"> </v>
      </c>
      <c r="N818" s="4" t="str">
        <f ca="1">IF(OR(INDEX($W$2:$W$1001,MATCH(ROWS($V$2:V818),$V$2:$V$1001,0),1)&gt;=100000,INDEX($AC$1005:$AS$1005,1,MATCH(COLUMNS($AC$1006:AO1006),$AC$1006:$AS$1006,0))&gt;=100000), " ",IF(INDEX($AC$2:$AS$1001,MATCH(ROWS($V$2:V818),$V$2:$V$1001,0),MATCH(COLUMNS($AC$1006:AO1006),$AC$1006:$AS$1006,0)), HYPERLINK("#",""), HYPERLINK(CONCATENATE("#metadata!", ADDRESS(INDEX($X$2:$X$1001,MATCH(ROWS($V$2:V818),$V$2:$V$1001,0),0), INDEX($AC$1004:$AS$1004,1,MATCH(COLUMNS($AC$1006:AO1006),$AC$1006:$AS$1006,0)))),"Fix")))</f>
        <v xml:space="preserve"> </v>
      </c>
      <c r="O818" s="4" t="str">
        <f ca="1">IF(OR(INDEX($W$2:$W$1001,MATCH(ROWS($V$2:V818),$V$2:$V$1001,0),1)&gt;=100000,INDEX($AC$1005:$AS$1005,1,MATCH(COLUMNS($AC$1006:AP1006),$AC$1006:$AS$1006,0))&gt;=100000), " ",IF(INDEX($AC$2:$AS$1001,MATCH(ROWS($V$2:V818),$V$2:$V$1001,0),MATCH(COLUMNS($AC$1006:AP1006),$AC$1006:$AS$1006,0)), HYPERLINK("#",""), HYPERLINK(CONCATENATE("#metadata!", ADDRESS(INDEX($X$2:$X$1001,MATCH(ROWS($V$2:V818),$V$2:$V$1001,0),0), INDEX($AC$1004:$AS$1004,1,MATCH(COLUMNS($AC$1006:AP1006),$AC$1006:$AS$1006,0)))),"Fix")))</f>
        <v xml:space="preserve"> </v>
      </c>
      <c r="P818" s="4" t="str">
        <f ca="1">IF(OR(INDEX($W$2:$W$1001,MATCH(ROWS($V$2:V818),$V$2:$V$1001,0),1)&gt;=100000,INDEX($AC$1005:$AS$1005,1,MATCH(COLUMNS($AC$1006:AQ1006),$AC$1006:$AS$1006,0))&gt;=100000), " ",IF(INDEX($AC$2:$AS$1001,MATCH(ROWS($V$2:V818),$V$2:$V$1001,0),MATCH(COLUMNS($AC$1006:AQ1006),$AC$1006:$AS$1006,0)), HYPERLINK("#",""), HYPERLINK(CONCATENATE("#metadata!", ADDRESS(INDEX($X$2:$X$1001,MATCH(ROWS($V$2:V818),$V$2:$V$1001,0),0), INDEX($AC$1004:$AS$1004,1,MATCH(COLUMNS($AC$1006:AQ1006),$AC$1006:$AS$1006,0)))),"Fix")))</f>
        <v xml:space="preserve"> </v>
      </c>
      <c r="Q818" s="4" t="str">
        <f ca="1">IF(OR(INDEX($W$2:$W$1001,MATCH(ROWS($V$2:V818),$V$2:$V$1001,0),1)&gt;=100000,INDEX($AC$1005:$AS$1005,1,MATCH(COLUMNS($AC$1006:AR1006),$AC$1006:$AS$1006,0))&gt;=100000), " ",IF(INDEX($AC$2:$AS$1001,MATCH(ROWS($V$2:V818),$V$2:$V$1001,0),MATCH(COLUMNS($AC$1006:AR1006),$AC$1006:$AS$1006,0)), HYPERLINK("#",""), HYPERLINK(CONCATENATE("#metadata!", ADDRESS(INDEX($X$2:$X$1001,MATCH(ROWS($V$2:V818),$V$2:$V$1001,0),0), INDEX($AC$1004:$AS$1004,1,MATCH(COLUMNS($AC$1006:AR1006),$AC$1006:$AS$1006,0)))),"Fix")))</f>
        <v xml:space="preserve"> </v>
      </c>
      <c r="R818" s="4" t="str">
        <f ca="1">IF(OR(INDEX($W$2:$W$1001,MATCH(ROWS($V$2:V818),$V$2:$V$1001,0),1)&gt;=100000,INDEX($AC$1005:$AS$1005,1,MATCH(COLUMNS($AC$1006:AS1006),$AC$1006:$AS$1006,0))&gt;=100000), " ",IF(INDEX($AC$2:$AS$1001,MATCH(ROWS($V$2:V818),$V$2:$V$1001,0),MATCH(COLUMNS($AC$1006:AS1006),$AC$1006:$AS$1006,0)), HYPERLINK("#",""), HYPERLINK(CONCATENATE("#metadata!", ADDRESS(INDEX($X$2:$X$1001,MATCH(ROWS($V$2:V818),$V$2:$V$1001,0),0), INDEX($AC$1004:$AS$1004,1,MATCH(COLUMNS($AC$1006:AS1006),$AC$1006:$AS$1006,0)))),"Fix")))</f>
        <v xml:space="preserve"> </v>
      </c>
      <c r="V818">
        <v>817</v>
      </c>
      <c r="W818">
        <v>100818</v>
      </c>
      <c r="X818">
        <v>818</v>
      </c>
      <c r="Y818" t="b">
        <f t="shared" si="12"/>
        <v>1</v>
      </c>
      <c r="Z818" t="b">
        <f>COUNTBLANK(metadata!B818:R818)=COLUMNS(metadata!B818:R818)</f>
        <v>1</v>
      </c>
      <c r="AA818" t="str">
        <v/>
      </c>
      <c r="AC818" t="b">
        <f ca="1"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AD818" t="b">
        <f>IF(metadata!C818="",FALSE,ISNUMBER(VALUE(metadata!C818)))</f>
        <v>0</v>
      </c>
      <c r="AE818" t="b">
        <f>AND(IF(metadata!D818="",FALSE,TRUE),EXACT(metadata!D818,"years"))</f>
        <v>0</v>
      </c>
      <c r="AF818" t="b">
        <f>OR(AND(IF(metadata!E818="",FALSE,TRUE),OR(EXACT(metadata!E818,"not applicable"),EXACT(metadata!E818,"missing: not collected"),EXACT(metadata!E818,"missing: not provided"),EXACT(metadata!E818,"missing: restricted access"))),AND(IF(metadata!E818="",FALSE,ISNUMBER(VALUE(metadata!E818))),metadata!E818&gt;0))</f>
        <v>0</v>
      </c>
      <c r="AG818" t="b">
        <f>AND(IF(metadata!F818="",FALSE,TRUE),EXACT(metadata!F818,"Not applicable"))</f>
        <v>0</v>
      </c>
      <c r="AH818" t="b">
        <f>AND(IF(metadata!G818="",FALSE,TRUE),EXACT(metadata!G818,"urban biome"))</f>
        <v>0</v>
      </c>
      <c r="AI818" t="b">
        <f>AND(IF(metadata!H818="",FALSE,TRUE),EXACT(metadata!H818,"human-associated habitat"))</f>
        <v>0</v>
      </c>
      <c r="AJ818" t="b">
        <f>AND(IF(metadata!I818="",FALSE,TRUE),OR(EXACT(metadata!I818,"human-associated"),EXACT(metadata!I818,"human-skin"),EXACT(metadata!I818,"human-oral"),EXACT(metadata!I818,"human-gut"),EXACT(metadata!I818,"human-vaginal")))</f>
        <v>0</v>
      </c>
      <c r="AK818" t="b">
        <f>IF(metadata!J818="",FALSE,ISNUMBER(VALUE(metadata!J818)))</f>
        <v>0</v>
      </c>
      <c r="AL818" t="b">
        <f>AND(IF(metadata!K818="",FALSE,TRUE),EXACT(metadata!K818,"cm"))</f>
        <v>0</v>
      </c>
      <c r="AM818" t="b">
        <f>AND(IF(metadata!L818="",FALSE,TRUE),EXACT(metadata!L818,"human"))</f>
        <v>0</v>
      </c>
      <c r="AN818" t="b">
        <f>AND(IF(metadata!M818="",FALSE,TRUE),EXACT(metadata!M818,"Homo sapiens"))</f>
        <v>0</v>
      </c>
      <c r="AO818" t="b">
        <f>AND(IF(metadata!N818="",FALSE,TRUE),EXACT(metadata!N818,"9606"))</f>
        <v>0</v>
      </c>
      <c r="AP818" t="b">
        <f>IF(metadata!O818="",FALSE,TRUE)</f>
        <v>0</v>
      </c>
      <c r="AQ818" t="b">
        <f>IF(metadata!P818="",FALSE,TRUE)</f>
        <v>0</v>
      </c>
      <c r="AR818" t="b">
        <f>IF(metadata!Q818="",FALSE,ISNUMBER(VALUE(metadata!Q818)))</f>
        <v>0</v>
      </c>
      <c r="AS818" t="b">
        <f>AND(IF(metadata!R818="",FALSE,TRUE),EXACT(metadata!R818,"kg"))</f>
        <v>0</v>
      </c>
    </row>
    <row r="819" spans="1:45" x14ac:dyDescent="0.2">
      <c r="A819" s="5" t="str">
        <f ca="1">IF(B819=" "," ",HYPERLINK(CONCATENATE("#metadata!",ADDRESS(INDEX($X$2:$X$1001,MATCH(ROWS($V$2:V819),$V$2:$V$1001,0),0),1)),INDEX($AA$2:$AA$1001,MATCH(ROWS($V$2:V819),$V$2:$V$1001,0),0)))</f>
        <v xml:space="preserve"> </v>
      </c>
      <c r="B819" s="4" t="str">
        <f ca="1">IF(OR(INDEX($W$2:$W$1001,MATCH(ROWS($V$2:V819),$V$2:$V$1001,0),1)&gt;=100000,INDEX($AC$1005:$AS$1005,1,MATCH(COLUMNS($AC$1006:AC1006),$AC$1006:$AS$1006,0))&gt;=100000), " ",IF(INDEX($AC$2:$AS$1001,MATCH(ROWS($V$2:V819),$V$2:$V$1001,0),MATCH(COLUMNS($AC$1006:AC1006),$AC$1006:$AS$1006,0)), HYPERLINK("#",""), HYPERLINK(CONCATENATE("#metadata!", ADDRESS(INDEX($X$2:$X$1001,MATCH(ROWS($V$2:V819),$V$2:$V$1001,0),0), INDEX($AC$1004:$AS$1004,1,MATCH(COLUMNS($AC$1006:AC1006),$AC$1006:$AS$1006,0)))),"Fix")))</f>
        <v xml:space="preserve"> </v>
      </c>
      <c r="C819" s="4" t="str">
        <f ca="1">IF(OR(INDEX($W$2:$W$1001,MATCH(ROWS($V$2:V819),$V$2:$V$1001,0),1)&gt;=100000,INDEX($AC$1005:$AS$1005,1,MATCH(COLUMNS($AC$1006:AD1006),$AC$1006:$AS$1006,0))&gt;=100000), " ",IF(INDEX($AC$2:$AS$1001,MATCH(ROWS($V$2:V819),$V$2:$V$1001,0),MATCH(COLUMNS($AC$1006:AD1006),$AC$1006:$AS$1006,0)), HYPERLINK("#",""), HYPERLINK(CONCATENATE("#metadata!", ADDRESS(INDEX($X$2:$X$1001,MATCH(ROWS($V$2:V819),$V$2:$V$1001,0),0), INDEX($AC$1004:$AS$1004,1,MATCH(COLUMNS($AC$1006:AD1006),$AC$1006:$AS$1006,0)))),"Fix")))</f>
        <v xml:space="preserve"> </v>
      </c>
      <c r="D819" s="4" t="str">
        <f ca="1">IF(OR(INDEX($W$2:$W$1001,MATCH(ROWS($V$2:V819),$V$2:$V$1001,0),1)&gt;=100000,INDEX($AC$1005:$AS$1005,1,MATCH(COLUMNS($AC$1006:AE1006),$AC$1006:$AS$1006,0))&gt;=100000), " ",IF(INDEX($AC$2:$AS$1001,MATCH(ROWS($V$2:V819),$V$2:$V$1001,0),MATCH(COLUMNS($AC$1006:AE1006),$AC$1006:$AS$1006,0)), HYPERLINK("#",""), HYPERLINK(CONCATENATE("#metadata!", ADDRESS(INDEX($X$2:$X$1001,MATCH(ROWS($V$2:V819),$V$2:$V$1001,0),0), INDEX($AC$1004:$AS$1004,1,MATCH(COLUMNS($AC$1006:AE1006),$AC$1006:$AS$1006,0)))),"Fix")))</f>
        <v xml:space="preserve"> </v>
      </c>
      <c r="E819" s="4" t="str">
        <f ca="1">IF(OR(INDEX($W$2:$W$1001,MATCH(ROWS($V$2:V819),$V$2:$V$1001,0),1)&gt;=100000,INDEX($AC$1005:$AS$1005,1,MATCH(COLUMNS($AC$1006:AF1006),$AC$1006:$AS$1006,0))&gt;=100000), " ",IF(INDEX($AC$2:$AS$1001,MATCH(ROWS($V$2:V819),$V$2:$V$1001,0),MATCH(COLUMNS($AC$1006:AF1006),$AC$1006:$AS$1006,0)), HYPERLINK("#",""), HYPERLINK(CONCATENATE("#metadata!", ADDRESS(INDEX($X$2:$X$1001,MATCH(ROWS($V$2:V819),$V$2:$V$1001,0),0), INDEX($AC$1004:$AS$1004,1,MATCH(COLUMNS($AC$1006:AF1006),$AC$1006:$AS$1006,0)))),"Fix")))</f>
        <v xml:space="preserve"> </v>
      </c>
      <c r="F819" s="4" t="str">
        <f ca="1">IF(OR(INDEX($W$2:$W$1001,MATCH(ROWS($V$2:V819),$V$2:$V$1001,0),1)&gt;=100000,INDEX($AC$1005:$AS$1005,1,MATCH(COLUMNS($AC$1006:AG1006),$AC$1006:$AS$1006,0))&gt;=100000), " ",IF(INDEX($AC$2:$AS$1001,MATCH(ROWS($V$2:V819),$V$2:$V$1001,0),MATCH(COLUMNS($AC$1006:AG1006),$AC$1006:$AS$1006,0)), HYPERLINK("#",""), HYPERLINK(CONCATENATE("#metadata!", ADDRESS(INDEX($X$2:$X$1001,MATCH(ROWS($V$2:V819),$V$2:$V$1001,0),0), INDEX($AC$1004:$AS$1004,1,MATCH(COLUMNS($AC$1006:AG1006),$AC$1006:$AS$1006,0)))),"Fix")))</f>
        <v xml:space="preserve"> </v>
      </c>
      <c r="G819" s="4" t="str">
        <f ca="1">IF(OR(INDEX($W$2:$W$1001,MATCH(ROWS($V$2:V819),$V$2:$V$1001,0),1)&gt;=100000,INDEX($AC$1005:$AS$1005,1,MATCH(COLUMNS($AC$1006:AH1006),$AC$1006:$AS$1006,0))&gt;=100000), " ",IF(INDEX($AC$2:$AS$1001,MATCH(ROWS($V$2:V819),$V$2:$V$1001,0),MATCH(COLUMNS($AC$1006:AH1006),$AC$1006:$AS$1006,0)), HYPERLINK("#",""), HYPERLINK(CONCATENATE("#metadata!", ADDRESS(INDEX($X$2:$X$1001,MATCH(ROWS($V$2:V819),$V$2:$V$1001,0),0), INDEX($AC$1004:$AS$1004,1,MATCH(COLUMNS($AC$1006:AH1006),$AC$1006:$AS$1006,0)))),"Fix")))</f>
        <v xml:space="preserve"> </v>
      </c>
      <c r="H819" s="4" t="str">
        <f ca="1">IF(OR(INDEX($W$2:$W$1001,MATCH(ROWS($V$2:V819),$V$2:$V$1001,0),1)&gt;=100000,INDEX($AC$1005:$AS$1005,1,MATCH(COLUMNS($AC$1006:AI1006),$AC$1006:$AS$1006,0))&gt;=100000), " ",IF(INDEX($AC$2:$AS$1001,MATCH(ROWS($V$2:V819),$V$2:$V$1001,0),MATCH(COLUMNS($AC$1006:AI1006),$AC$1006:$AS$1006,0)), HYPERLINK("#",""), HYPERLINK(CONCATENATE("#metadata!", ADDRESS(INDEX($X$2:$X$1001,MATCH(ROWS($V$2:V819),$V$2:$V$1001,0),0), INDEX($AC$1004:$AS$1004,1,MATCH(COLUMNS($AC$1006:AI1006),$AC$1006:$AS$1006,0)))),"Fix")))</f>
        <v xml:space="preserve"> </v>
      </c>
      <c r="I819" s="4" t="str">
        <f ca="1">IF(OR(INDEX($W$2:$W$1001,MATCH(ROWS($V$2:V819),$V$2:$V$1001,0),1)&gt;=100000,INDEX($AC$1005:$AS$1005,1,MATCH(COLUMNS($AC$1006:AJ1006),$AC$1006:$AS$1006,0))&gt;=100000), " ",IF(INDEX($AC$2:$AS$1001,MATCH(ROWS($V$2:V819),$V$2:$V$1001,0),MATCH(COLUMNS($AC$1006:AJ1006),$AC$1006:$AS$1006,0)), HYPERLINK("#",""), HYPERLINK(CONCATENATE("#metadata!", ADDRESS(INDEX($X$2:$X$1001,MATCH(ROWS($V$2:V819),$V$2:$V$1001,0),0), INDEX($AC$1004:$AS$1004,1,MATCH(COLUMNS($AC$1006:AJ1006),$AC$1006:$AS$1006,0)))),"Fix")))</f>
        <v xml:space="preserve"> </v>
      </c>
      <c r="J819" s="4" t="str">
        <f ca="1">IF(OR(INDEX($W$2:$W$1001,MATCH(ROWS($V$2:V819),$V$2:$V$1001,0),1)&gt;=100000,INDEX($AC$1005:$AS$1005,1,MATCH(COLUMNS($AC$1006:AK1006),$AC$1006:$AS$1006,0))&gt;=100000), " ",IF(INDEX($AC$2:$AS$1001,MATCH(ROWS($V$2:V819),$V$2:$V$1001,0),MATCH(COLUMNS($AC$1006:AK1006),$AC$1006:$AS$1006,0)), HYPERLINK("#",""), HYPERLINK(CONCATENATE("#metadata!", ADDRESS(INDEX($X$2:$X$1001,MATCH(ROWS($V$2:V819),$V$2:$V$1001,0),0), INDEX($AC$1004:$AS$1004,1,MATCH(COLUMNS($AC$1006:AK1006),$AC$1006:$AS$1006,0)))),"Fix")))</f>
        <v xml:space="preserve"> </v>
      </c>
      <c r="K819" s="4" t="str">
        <f ca="1">IF(OR(INDEX($W$2:$W$1001,MATCH(ROWS($V$2:V819),$V$2:$V$1001,0),1)&gt;=100000,INDEX($AC$1005:$AS$1005,1,MATCH(COLUMNS($AC$1006:AL1006),$AC$1006:$AS$1006,0))&gt;=100000), " ",IF(INDEX($AC$2:$AS$1001,MATCH(ROWS($V$2:V819),$V$2:$V$1001,0),MATCH(COLUMNS($AC$1006:AL1006),$AC$1006:$AS$1006,0)), HYPERLINK("#",""), HYPERLINK(CONCATENATE("#metadata!", ADDRESS(INDEX($X$2:$X$1001,MATCH(ROWS($V$2:V819),$V$2:$V$1001,0),0), INDEX($AC$1004:$AS$1004,1,MATCH(COLUMNS($AC$1006:AL1006),$AC$1006:$AS$1006,0)))),"Fix")))</f>
        <v xml:space="preserve"> </v>
      </c>
      <c r="L819" s="4" t="str">
        <f ca="1">IF(OR(INDEX($W$2:$W$1001,MATCH(ROWS($V$2:V819),$V$2:$V$1001,0),1)&gt;=100000,INDEX($AC$1005:$AS$1005,1,MATCH(COLUMNS($AC$1006:AM1006),$AC$1006:$AS$1006,0))&gt;=100000), " ",IF(INDEX($AC$2:$AS$1001,MATCH(ROWS($V$2:V819),$V$2:$V$1001,0),MATCH(COLUMNS($AC$1006:AM1006),$AC$1006:$AS$1006,0)), HYPERLINK("#",""), HYPERLINK(CONCATENATE("#metadata!", ADDRESS(INDEX($X$2:$X$1001,MATCH(ROWS($V$2:V819),$V$2:$V$1001,0),0), INDEX($AC$1004:$AS$1004,1,MATCH(COLUMNS($AC$1006:AM1006),$AC$1006:$AS$1006,0)))),"Fix")))</f>
        <v xml:space="preserve"> </v>
      </c>
      <c r="M819" s="4" t="str">
        <f ca="1">IF(OR(INDEX($W$2:$W$1001,MATCH(ROWS($V$2:V819),$V$2:$V$1001,0),1)&gt;=100000,INDEX($AC$1005:$AS$1005,1,MATCH(COLUMNS($AC$1006:AN1006),$AC$1006:$AS$1006,0))&gt;=100000), " ",IF(INDEX($AC$2:$AS$1001,MATCH(ROWS($V$2:V819),$V$2:$V$1001,0),MATCH(COLUMNS($AC$1006:AN1006),$AC$1006:$AS$1006,0)), HYPERLINK("#",""), HYPERLINK(CONCATENATE("#metadata!", ADDRESS(INDEX($X$2:$X$1001,MATCH(ROWS($V$2:V819),$V$2:$V$1001,0),0), INDEX($AC$1004:$AS$1004,1,MATCH(COLUMNS($AC$1006:AN1006),$AC$1006:$AS$1006,0)))),"Fix")))</f>
        <v xml:space="preserve"> </v>
      </c>
      <c r="N819" s="4" t="str">
        <f ca="1">IF(OR(INDEX($W$2:$W$1001,MATCH(ROWS($V$2:V819),$V$2:$V$1001,0),1)&gt;=100000,INDEX($AC$1005:$AS$1005,1,MATCH(COLUMNS($AC$1006:AO1006),$AC$1006:$AS$1006,0))&gt;=100000), " ",IF(INDEX($AC$2:$AS$1001,MATCH(ROWS($V$2:V819),$V$2:$V$1001,0),MATCH(COLUMNS($AC$1006:AO1006),$AC$1006:$AS$1006,0)), HYPERLINK("#",""), HYPERLINK(CONCATENATE("#metadata!", ADDRESS(INDEX($X$2:$X$1001,MATCH(ROWS($V$2:V819),$V$2:$V$1001,0),0), INDEX($AC$1004:$AS$1004,1,MATCH(COLUMNS($AC$1006:AO1006),$AC$1006:$AS$1006,0)))),"Fix")))</f>
        <v xml:space="preserve"> </v>
      </c>
      <c r="O819" s="4" t="str">
        <f ca="1">IF(OR(INDEX($W$2:$W$1001,MATCH(ROWS($V$2:V819),$V$2:$V$1001,0),1)&gt;=100000,INDEX($AC$1005:$AS$1005,1,MATCH(COLUMNS($AC$1006:AP1006),$AC$1006:$AS$1006,0))&gt;=100000), " ",IF(INDEX($AC$2:$AS$1001,MATCH(ROWS($V$2:V819),$V$2:$V$1001,0),MATCH(COLUMNS($AC$1006:AP1006),$AC$1006:$AS$1006,0)), HYPERLINK("#",""), HYPERLINK(CONCATENATE("#metadata!", ADDRESS(INDEX($X$2:$X$1001,MATCH(ROWS($V$2:V819),$V$2:$V$1001,0),0), INDEX($AC$1004:$AS$1004,1,MATCH(COLUMNS($AC$1006:AP1006),$AC$1006:$AS$1006,0)))),"Fix")))</f>
        <v xml:space="preserve"> </v>
      </c>
      <c r="P819" s="4" t="str">
        <f ca="1">IF(OR(INDEX($W$2:$W$1001,MATCH(ROWS($V$2:V819),$V$2:$V$1001,0),1)&gt;=100000,INDEX($AC$1005:$AS$1005,1,MATCH(COLUMNS($AC$1006:AQ1006),$AC$1006:$AS$1006,0))&gt;=100000), " ",IF(INDEX($AC$2:$AS$1001,MATCH(ROWS($V$2:V819),$V$2:$V$1001,0),MATCH(COLUMNS($AC$1006:AQ1006),$AC$1006:$AS$1006,0)), HYPERLINK("#",""), HYPERLINK(CONCATENATE("#metadata!", ADDRESS(INDEX($X$2:$X$1001,MATCH(ROWS($V$2:V819),$V$2:$V$1001,0),0), INDEX($AC$1004:$AS$1004,1,MATCH(COLUMNS($AC$1006:AQ1006),$AC$1006:$AS$1006,0)))),"Fix")))</f>
        <v xml:space="preserve"> </v>
      </c>
      <c r="Q819" s="4" t="str">
        <f ca="1">IF(OR(INDEX($W$2:$W$1001,MATCH(ROWS($V$2:V819),$V$2:$V$1001,0),1)&gt;=100000,INDEX($AC$1005:$AS$1005,1,MATCH(COLUMNS($AC$1006:AR1006),$AC$1006:$AS$1006,0))&gt;=100000), " ",IF(INDEX($AC$2:$AS$1001,MATCH(ROWS($V$2:V819),$V$2:$V$1001,0),MATCH(COLUMNS($AC$1006:AR1006),$AC$1006:$AS$1006,0)), HYPERLINK("#",""), HYPERLINK(CONCATENATE("#metadata!", ADDRESS(INDEX($X$2:$X$1001,MATCH(ROWS($V$2:V819),$V$2:$V$1001,0),0), INDEX($AC$1004:$AS$1004,1,MATCH(COLUMNS($AC$1006:AR1006),$AC$1006:$AS$1006,0)))),"Fix")))</f>
        <v xml:space="preserve"> </v>
      </c>
      <c r="R819" s="4" t="str">
        <f ca="1">IF(OR(INDEX($W$2:$W$1001,MATCH(ROWS($V$2:V819),$V$2:$V$1001,0),1)&gt;=100000,INDEX($AC$1005:$AS$1005,1,MATCH(COLUMNS($AC$1006:AS1006),$AC$1006:$AS$1006,0))&gt;=100000), " ",IF(INDEX($AC$2:$AS$1001,MATCH(ROWS($V$2:V819),$V$2:$V$1001,0),MATCH(COLUMNS($AC$1006:AS1006),$AC$1006:$AS$1006,0)), HYPERLINK("#",""), HYPERLINK(CONCATENATE("#metadata!", ADDRESS(INDEX($X$2:$X$1001,MATCH(ROWS($V$2:V819),$V$2:$V$1001,0),0), INDEX($AC$1004:$AS$1004,1,MATCH(COLUMNS($AC$1006:AS1006),$AC$1006:$AS$1006,0)))),"Fix")))</f>
        <v xml:space="preserve"> </v>
      </c>
      <c r="V819">
        <v>818</v>
      </c>
      <c r="W819">
        <v>100819</v>
      </c>
      <c r="X819">
        <v>819</v>
      </c>
      <c r="Y819" t="b">
        <f t="shared" si="12"/>
        <v>1</v>
      </c>
      <c r="Z819" t="b">
        <f>COUNTBLANK(metadata!B819:R819)=COLUMNS(metadata!B819:R819)</f>
        <v>1</v>
      </c>
      <c r="AA819" t="str">
        <v/>
      </c>
      <c r="AC819" t="b">
        <f ca="1"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AD819" t="b">
        <f>IF(metadata!C819="",FALSE,ISNUMBER(VALUE(metadata!C819)))</f>
        <v>0</v>
      </c>
      <c r="AE819" t="b">
        <f>AND(IF(metadata!D819="",FALSE,TRUE),EXACT(metadata!D819,"years"))</f>
        <v>0</v>
      </c>
      <c r="AF819" t="b">
        <f>OR(AND(IF(metadata!E819="",FALSE,TRUE),OR(EXACT(metadata!E819,"not applicable"),EXACT(metadata!E819,"missing: not collected"),EXACT(metadata!E819,"missing: not provided"),EXACT(metadata!E819,"missing: restricted access"))),AND(IF(metadata!E819="",FALSE,ISNUMBER(VALUE(metadata!E819))),metadata!E819&gt;0))</f>
        <v>0</v>
      </c>
      <c r="AG819" t="b">
        <f>AND(IF(metadata!F819="",FALSE,TRUE),EXACT(metadata!F819,"Not applicable"))</f>
        <v>0</v>
      </c>
      <c r="AH819" t="b">
        <f>AND(IF(metadata!G819="",FALSE,TRUE),EXACT(metadata!G819,"urban biome"))</f>
        <v>0</v>
      </c>
      <c r="AI819" t="b">
        <f>AND(IF(metadata!H819="",FALSE,TRUE),EXACT(metadata!H819,"human-associated habitat"))</f>
        <v>0</v>
      </c>
      <c r="AJ819" t="b">
        <f>AND(IF(metadata!I819="",FALSE,TRUE),OR(EXACT(metadata!I819,"human-associated"),EXACT(metadata!I819,"human-skin"),EXACT(metadata!I819,"human-oral"),EXACT(metadata!I819,"human-gut"),EXACT(metadata!I819,"human-vaginal")))</f>
        <v>0</v>
      </c>
      <c r="AK819" t="b">
        <f>IF(metadata!J819="",FALSE,ISNUMBER(VALUE(metadata!J819)))</f>
        <v>0</v>
      </c>
      <c r="AL819" t="b">
        <f>AND(IF(metadata!K819="",FALSE,TRUE),EXACT(metadata!K819,"cm"))</f>
        <v>0</v>
      </c>
      <c r="AM819" t="b">
        <f>AND(IF(metadata!L819="",FALSE,TRUE),EXACT(metadata!L819,"human"))</f>
        <v>0</v>
      </c>
      <c r="AN819" t="b">
        <f>AND(IF(metadata!M819="",FALSE,TRUE),EXACT(metadata!M819,"Homo sapiens"))</f>
        <v>0</v>
      </c>
      <c r="AO819" t="b">
        <f>AND(IF(metadata!N819="",FALSE,TRUE),EXACT(metadata!N819,"9606"))</f>
        <v>0</v>
      </c>
      <c r="AP819" t="b">
        <f>IF(metadata!O819="",FALSE,TRUE)</f>
        <v>0</v>
      </c>
      <c r="AQ819" t="b">
        <f>IF(metadata!P819="",FALSE,TRUE)</f>
        <v>0</v>
      </c>
      <c r="AR819" t="b">
        <f>IF(metadata!Q819="",FALSE,ISNUMBER(VALUE(metadata!Q819)))</f>
        <v>0</v>
      </c>
      <c r="AS819" t="b">
        <f>AND(IF(metadata!R819="",FALSE,TRUE),EXACT(metadata!R819,"kg"))</f>
        <v>0</v>
      </c>
    </row>
    <row r="820" spans="1:45" x14ac:dyDescent="0.2">
      <c r="A820" s="5" t="str">
        <f ca="1">IF(B820=" "," ",HYPERLINK(CONCATENATE("#metadata!",ADDRESS(INDEX($X$2:$X$1001,MATCH(ROWS($V$2:V820),$V$2:$V$1001,0),0),1)),INDEX($AA$2:$AA$1001,MATCH(ROWS($V$2:V820),$V$2:$V$1001,0),0)))</f>
        <v xml:space="preserve"> </v>
      </c>
      <c r="B820" s="4" t="str">
        <f ca="1">IF(OR(INDEX($W$2:$W$1001,MATCH(ROWS($V$2:V820),$V$2:$V$1001,0),1)&gt;=100000,INDEX($AC$1005:$AS$1005,1,MATCH(COLUMNS($AC$1006:AC1006),$AC$1006:$AS$1006,0))&gt;=100000), " ",IF(INDEX($AC$2:$AS$1001,MATCH(ROWS($V$2:V820),$V$2:$V$1001,0),MATCH(COLUMNS($AC$1006:AC1006),$AC$1006:$AS$1006,0)), HYPERLINK("#",""), HYPERLINK(CONCATENATE("#metadata!", ADDRESS(INDEX($X$2:$X$1001,MATCH(ROWS($V$2:V820),$V$2:$V$1001,0),0), INDEX($AC$1004:$AS$1004,1,MATCH(COLUMNS($AC$1006:AC1006),$AC$1006:$AS$1006,0)))),"Fix")))</f>
        <v xml:space="preserve"> </v>
      </c>
      <c r="C820" s="4" t="str">
        <f ca="1">IF(OR(INDEX($W$2:$W$1001,MATCH(ROWS($V$2:V820),$V$2:$V$1001,0),1)&gt;=100000,INDEX($AC$1005:$AS$1005,1,MATCH(COLUMNS($AC$1006:AD1006),$AC$1006:$AS$1006,0))&gt;=100000), " ",IF(INDEX($AC$2:$AS$1001,MATCH(ROWS($V$2:V820),$V$2:$V$1001,0),MATCH(COLUMNS($AC$1006:AD1006),$AC$1006:$AS$1006,0)), HYPERLINK("#",""), HYPERLINK(CONCATENATE("#metadata!", ADDRESS(INDEX($X$2:$X$1001,MATCH(ROWS($V$2:V820),$V$2:$V$1001,0),0), INDEX($AC$1004:$AS$1004,1,MATCH(COLUMNS($AC$1006:AD1006),$AC$1006:$AS$1006,0)))),"Fix")))</f>
        <v xml:space="preserve"> </v>
      </c>
      <c r="D820" s="4" t="str">
        <f ca="1">IF(OR(INDEX($W$2:$W$1001,MATCH(ROWS($V$2:V820),$V$2:$V$1001,0),1)&gt;=100000,INDEX($AC$1005:$AS$1005,1,MATCH(COLUMNS($AC$1006:AE1006),$AC$1006:$AS$1006,0))&gt;=100000), " ",IF(INDEX($AC$2:$AS$1001,MATCH(ROWS($V$2:V820),$V$2:$V$1001,0),MATCH(COLUMNS($AC$1006:AE1006),$AC$1006:$AS$1006,0)), HYPERLINK("#",""), HYPERLINK(CONCATENATE("#metadata!", ADDRESS(INDEX($X$2:$X$1001,MATCH(ROWS($V$2:V820),$V$2:$V$1001,0),0), INDEX($AC$1004:$AS$1004,1,MATCH(COLUMNS($AC$1006:AE1006),$AC$1006:$AS$1006,0)))),"Fix")))</f>
        <v xml:space="preserve"> </v>
      </c>
      <c r="E820" s="4" t="str">
        <f ca="1">IF(OR(INDEX($W$2:$W$1001,MATCH(ROWS($V$2:V820),$V$2:$V$1001,0),1)&gt;=100000,INDEX($AC$1005:$AS$1005,1,MATCH(COLUMNS($AC$1006:AF1006),$AC$1006:$AS$1006,0))&gt;=100000), " ",IF(INDEX($AC$2:$AS$1001,MATCH(ROWS($V$2:V820),$V$2:$V$1001,0),MATCH(COLUMNS($AC$1006:AF1006),$AC$1006:$AS$1006,0)), HYPERLINK("#",""), HYPERLINK(CONCATENATE("#metadata!", ADDRESS(INDEX($X$2:$X$1001,MATCH(ROWS($V$2:V820),$V$2:$V$1001,0),0), INDEX($AC$1004:$AS$1004,1,MATCH(COLUMNS($AC$1006:AF1006),$AC$1006:$AS$1006,0)))),"Fix")))</f>
        <v xml:space="preserve"> </v>
      </c>
      <c r="F820" s="4" t="str">
        <f ca="1">IF(OR(INDEX($W$2:$W$1001,MATCH(ROWS($V$2:V820),$V$2:$V$1001,0),1)&gt;=100000,INDEX($AC$1005:$AS$1005,1,MATCH(COLUMNS($AC$1006:AG1006),$AC$1006:$AS$1006,0))&gt;=100000), " ",IF(INDEX($AC$2:$AS$1001,MATCH(ROWS($V$2:V820),$V$2:$V$1001,0),MATCH(COLUMNS($AC$1006:AG1006),$AC$1006:$AS$1006,0)), HYPERLINK("#",""), HYPERLINK(CONCATENATE("#metadata!", ADDRESS(INDEX($X$2:$X$1001,MATCH(ROWS($V$2:V820),$V$2:$V$1001,0),0), INDEX($AC$1004:$AS$1004,1,MATCH(COLUMNS($AC$1006:AG1006),$AC$1006:$AS$1006,0)))),"Fix")))</f>
        <v xml:space="preserve"> </v>
      </c>
      <c r="G820" s="4" t="str">
        <f ca="1">IF(OR(INDEX($W$2:$W$1001,MATCH(ROWS($V$2:V820),$V$2:$V$1001,0),1)&gt;=100000,INDEX($AC$1005:$AS$1005,1,MATCH(COLUMNS($AC$1006:AH1006),$AC$1006:$AS$1006,0))&gt;=100000), " ",IF(INDEX($AC$2:$AS$1001,MATCH(ROWS($V$2:V820),$V$2:$V$1001,0),MATCH(COLUMNS($AC$1006:AH1006),$AC$1006:$AS$1006,0)), HYPERLINK("#",""), HYPERLINK(CONCATENATE("#metadata!", ADDRESS(INDEX($X$2:$X$1001,MATCH(ROWS($V$2:V820),$V$2:$V$1001,0),0), INDEX($AC$1004:$AS$1004,1,MATCH(COLUMNS($AC$1006:AH1006),$AC$1006:$AS$1006,0)))),"Fix")))</f>
        <v xml:space="preserve"> </v>
      </c>
      <c r="H820" s="4" t="str">
        <f ca="1">IF(OR(INDEX($W$2:$W$1001,MATCH(ROWS($V$2:V820),$V$2:$V$1001,0),1)&gt;=100000,INDEX($AC$1005:$AS$1005,1,MATCH(COLUMNS($AC$1006:AI1006),$AC$1006:$AS$1006,0))&gt;=100000), " ",IF(INDEX($AC$2:$AS$1001,MATCH(ROWS($V$2:V820),$V$2:$V$1001,0),MATCH(COLUMNS($AC$1006:AI1006),$AC$1006:$AS$1006,0)), HYPERLINK("#",""), HYPERLINK(CONCATENATE("#metadata!", ADDRESS(INDEX($X$2:$X$1001,MATCH(ROWS($V$2:V820),$V$2:$V$1001,0),0), INDEX($AC$1004:$AS$1004,1,MATCH(COLUMNS($AC$1006:AI1006),$AC$1006:$AS$1006,0)))),"Fix")))</f>
        <v xml:space="preserve"> </v>
      </c>
      <c r="I820" s="4" t="str">
        <f ca="1">IF(OR(INDEX($W$2:$W$1001,MATCH(ROWS($V$2:V820),$V$2:$V$1001,0),1)&gt;=100000,INDEX($AC$1005:$AS$1005,1,MATCH(COLUMNS($AC$1006:AJ1006),$AC$1006:$AS$1006,0))&gt;=100000), " ",IF(INDEX($AC$2:$AS$1001,MATCH(ROWS($V$2:V820),$V$2:$V$1001,0),MATCH(COLUMNS($AC$1006:AJ1006),$AC$1006:$AS$1006,0)), HYPERLINK("#",""), HYPERLINK(CONCATENATE("#metadata!", ADDRESS(INDEX($X$2:$X$1001,MATCH(ROWS($V$2:V820),$V$2:$V$1001,0),0), INDEX($AC$1004:$AS$1004,1,MATCH(COLUMNS($AC$1006:AJ1006),$AC$1006:$AS$1006,0)))),"Fix")))</f>
        <v xml:space="preserve"> </v>
      </c>
      <c r="J820" s="4" t="str">
        <f ca="1">IF(OR(INDEX($W$2:$W$1001,MATCH(ROWS($V$2:V820),$V$2:$V$1001,0),1)&gt;=100000,INDEX($AC$1005:$AS$1005,1,MATCH(COLUMNS($AC$1006:AK1006),$AC$1006:$AS$1006,0))&gt;=100000), " ",IF(INDEX($AC$2:$AS$1001,MATCH(ROWS($V$2:V820),$V$2:$V$1001,0),MATCH(COLUMNS($AC$1006:AK1006),$AC$1006:$AS$1006,0)), HYPERLINK("#",""), HYPERLINK(CONCATENATE("#metadata!", ADDRESS(INDEX($X$2:$X$1001,MATCH(ROWS($V$2:V820),$V$2:$V$1001,0),0), INDEX($AC$1004:$AS$1004,1,MATCH(COLUMNS($AC$1006:AK1006),$AC$1006:$AS$1006,0)))),"Fix")))</f>
        <v xml:space="preserve"> </v>
      </c>
      <c r="K820" s="4" t="str">
        <f ca="1">IF(OR(INDEX($W$2:$W$1001,MATCH(ROWS($V$2:V820),$V$2:$V$1001,0),1)&gt;=100000,INDEX($AC$1005:$AS$1005,1,MATCH(COLUMNS($AC$1006:AL1006),$AC$1006:$AS$1006,0))&gt;=100000), " ",IF(INDEX($AC$2:$AS$1001,MATCH(ROWS($V$2:V820),$V$2:$V$1001,0),MATCH(COLUMNS($AC$1006:AL1006),$AC$1006:$AS$1006,0)), HYPERLINK("#",""), HYPERLINK(CONCATENATE("#metadata!", ADDRESS(INDEX($X$2:$X$1001,MATCH(ROWS($V$2:V820),$V$2:$V$1001,0),0), INDEX($AC$1004:$AS$1004,1,MATCH(COLUMNS($AC$1006:AL1006),$AC$1006:$AS$1006,0)))),"Fix")))</f>
        <v xml:space="preserve"> </v>
      </c>
      <c r="L820" s="4" t="str">
        <f ca="1">IF(OR(INDEX($W$2:$W$1001,MATCH(ROWS($V$2:V820),$V$2:$V$1001,0),1)&gt;=100000,INDEX($AC$1005:$AS$1005,1,MATCH(COLUMNS($AC$1006:AM1006),$AC$1006:$AS$1006,0))&gt;=100000), " ",IF(INDEX($AC$2:$AS$1001,MATCH(ROWS($V$2:V820),$V$2:$V$1001,0),MATCH(COLUMNS($AC$1006:AM1006),$AC$1006:$AS$1006,0)), HYPERLINK("#",""), HYPERLINK(CONCATENATE("#metadata!", ADDRESS(INDEX($X$2:$X$1001,MATCH(ROWS($V$2:V820),$V$2:$V$1001,0),0), INDEX($AC$1004:$AS$1004,1,MATCH(COLUMNS($AC$1006:AM1006),$AC$1006:$AS$1006,0)))),"Fix")))</f>
        <v xml:space="preserve"> </v>
      </c>
      <c r="M820" s="4" t="str">
        <f ca="1">IF(OR(INDEX($W$2:$W$1001,MATCH(ROWS($V$2:V820),$V$2:$V$1001,0),1)&gt;=100000,INDEX($AC$1005:$AS$1005,1,MATCH(COLUMNS($AC$1006:AN1006),$AC$1006:$AS$1006,0))&gt;=100000), " ",IF(INDEX($AC$2:$AS$1001,MATCH(ROWS($V$2:V820),$V$2:$V$1001,0),MATCH(COLUMNS($AC$1006:AN1006),$AC$1006:$AS$1006,0)), HYPERLINK("#",""), HYPERLINK(CONCATENATE("#metadata!", ADDRESS(INDEX($X$2:$X$1001,MATCH(ROWS($V$2:V820),$V$2:$V$1001,0),0), INDEX($AC$1004:$AS$1004,1,MATCH(COLUMNS($AC$1006:AN1006),$AC$1006:$AS$1006,0)))),"Fix")))</f>
        <v xml:space="preserve"> </v>
      </c>
      <c r="N820" s="4" t="str">
        <f ca="1">IF(OR(INDEX($W$2:$W$1001,MATCH(ROWS($V$2:V820),$V$2:$V$1001,0),1)&gt;=100000,INDEX($AC$1005:$AS$1005,1,MATCH(COLUMNS($AC$1006:AO1006),$AC$1006:$AS$1006,0))&gt;=100000), " ",IF(INDEX($AC$2:$AS$1001,MATCH(ROWS($V$2:V820),$V$2:$V$1001,0),MATCH(COLUMNS($AC$1006:AO1006),$AC$1006:$AS$1006,0)), HYPERLINK("#",""), HYPERLINK(CONCATENATE("#metadata!", ADDRESS(INDEX($X$2:$X$1001,MATCH(ROWS($V$2:V820),$V$2:$V$1001,0),0), INDEX($AC$1004:$AS$1004,1,MATCH(COLUMNS($AC$1006:AO1006),$AC$1006:$AS$1006,0)))),"Fix")))</f>
        <v xml:space="preserve"> </v>
      </c>
      <c r="O820" s="4" t="str">
        <f ca="1">IF(OR(INDEX($W$2:$W$1001,MATCH(ROWS($V$2:V820),$V$2:$V$1001,0),1)&gt;=100000,INDEX($AC$1005:$AS$1005,1,MATCH(COLUMNS($AC$1006:AP1006),$AC$1006:$AS$1006,0))&gt;=100000), " ",IF(INDEX($AC$2:$AS$1001,MATCH(ROWS($V$2:V820),$V$2:$V$1001,0),MATCH(COLUMNS($AC$1006:AP1006),$AC$1006:$AS$1006,0)), HYPERLINK("#",""), HYPERLINK(CONCATENATE("#metadata!", ADDRESS(INDEX($X$2:$X$1001,MATCH(ROWS($V$2:V820),$V$2:$V$1001,0),0), INDEX($AC$1004:$AS$1004,1,MATCH(COLUMNS($AC$1006:AP1006),$AC$1006:$AS$1006,0)))),"Fix")))</f>
        <v xml:space="preserve"> </v>
      </c>
      <c r="P820" s="4" t="str">
        <f ca="1">IF(OR(INDEX($W$2:$W$1001,MATCH(ROWS($V$2:V820),$V$2:$V$1001,0),1)&gt;=100000,INDEX($AC$1005:$AS$1005,1,MATCH(COLUMNS($AC$1006:AQ1006),$AC$1006:$AS$1006,0))&gt;=100000), " ",IF(INDEX($AC$2:$AS$1001,MATCH(ROWS($V$2:V820),$V$2:$V$1001,0),MATCH(COLUMNS($AC$1006:AQ1006),$AC$1006:$AS$1006,0)), HYPERLINK("#",""), HYPERLINK(CONCATENATE("#metadata!", ADDRESS(INDEX($X$2:$X$1001,MATCH(ROWS($V$2:V820),$V$2:$V$1001,0),0), INDEX($AC$1004:$AS$1004,1,MATCH(COLUMNS($AC$1006:AQ1006),$AC$1006:$AS$1006,0)))),"Fix")))</f>
        <v xml:space="preserve"> </v>
      </c>
      <c r="Q820" s="4" t="str">
        <f ca="1">IF(OR(INDEX($W$2:$W$1001,MATCH(ROWS($V$2:V820),$V$2:$V$1001,0),1)&gt;=100000,INDEX($AC$1005:$AS$1005,1,MATCH(COLUMNS($AC$1006:AR1006),$AC$1006:$AS$1006,0))&gt;=100000), " ",IF(INDEX($AC$2:$AS$1001,MATCH(ROWS($V$2:V820),$V$2:$V$1001,0),MATCH(COLUMNS($AC$1006:AR1006),$AC$1006:$AS$1006,0)), HYPERLINK("#",""), HYPERLINK(CONCATENATE("#metadata!", ADDRESS(INDEX($X$2:$X$1001,MATCH(ROWS($V$2:V820),$V$2:$V$1001,0),0), INDEX($AC$1004:$AS$1004,1,MATCH(COLUMNS($AC$1006:AR1006),$AC$1006:$AS$1006,0)))),"Fix")))</f>
        <v xml:space="preserve"> </v>
      </c>
      <c r="R820" s="4" t="str">
        <f ca="1">IF(OR(INDEX($W$2:$W$1001,MATCH(ROWS($V$2:V820),$V$2:$V$1001,0),1)&gt;=100000,INDEX($AC$1005:$AS$1005,1,MATCH(COLUMNS($AC$1006:AS1006),$AC$1006:$AS$1006,0))&gt;=100000), " ",IF(INDEX($AC$2:$AS$1001,MATCH(ROWS($V$2:V820),$V$2:$V$1001,0),MATCH(COLUMNS($AC$1006:AS1006),$AC$1006:$AS$1006,0)), HYPERLINK("#",""), HYPERLINK(CONCATENATE("#metadata!", ADDRESS(INDEX($X$2:$X$1001,MATCH(ROWS($V$2:V820),$V$2:$V$1001,0),0), INDEX($AC$1004:$AS$1004,1,MATCH(COLUMNS($AC$1006:AS1006),$AC$1006:$AS$1006,0)))),"Fix")))</f>
        <v xml:space="preserve"> </v>
      </c>
      <c r="V820">
        <v>819</v>
      </c>
      <c r="W820">
        <v>100820</v>
      </c>
      <c r="X820">
        <v>820</v>
      </c>
      <c r="Y820" t="b">
        <f t="shared" si="12"/>
        <v>1</v>
      </c>
      <c r="Z820" t="b">
        <f>COUNTBLANK(metadata!B820:R820)=COLUMNS(metadata!B820:R820)</f>
        <v>1</v>
      </c>
      <c r="AA820" t="str">
        <v/>
      </c>
      <c r="AC820" t="b">
        <f ca="1"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AD820" t="b">
        <f>IF(metadata!C820="",FALSE,ISNUMBER(VALUE(metadata!C820)))</f>
        <v>0</v>
      </c>
      <c r="AE820" t="b">
        <f>AND(IF(metadata!D820="",FALSE,TRUE),EXACT(metadata!D820,"years"))</f>
        <v>0</v>
      </c>
      <c r="AF820" t="b">
        <f>OR(AND(IF(metadata!E820="",FALSE,TRUE),OR(EXACT(metadata!E820,"not applicable"),EXACT(metadata!E820,"missing: not collected"),EXACT(metadata!E820,"missing: not provided"),EXACT(metadata!E820,"missing: restricted access"))),AND(IF(metadata!E820="",FALSE,ISNUMBER(VALUE(metadata!E820))),metadata!E820&gt;0))</f>
        <v>0</v>
      </c>
      <c r="AG820" t="b">
        <f>AND(IF(metadata!F820="",FALSE,TRUE),EXACT(metadata!F820,"Not applicable"))</f>
        <v>0</v>
      </c>
      <c r="AH820" t="b">
        <f>AND(IF(metadata!G820="",FALSE,TRUE),EXACT(metadata!G820,"urban biome"))</f>
        <v>0</v>
      </c>
      <c r="AI820" t="b">
        <f>AND(IF(metadata!H820="",FALSE,TRUE),EXACT(metadata!H820,"human-associated habitat"))</f>
        <v>0</v>
      </c>
      <c r="AJ820" t="b">
        <f>AND(IF(metadata!I820="",FALSE,TRUE),OR(EXACT(metadata!I820,"human-associated"),EXACT(metadata!I820,"human-skin"),EXACT(metadata!I820,"human-oral"),EXACT(metadata!I820,"human-gut"),EXACT(metadata!I820,"human-vaginal")))</f>
        <v>0</v>
      </c>
      <c r="AK820" t="b">
        <f>IF(metadata!J820="",FALSE,ISNUMBER(VALUE(metadata!J820)))</f>
        <v>0</v>
      </c>
      <c r="AL820" t="b">
        <f>AND(IF(metadata!K820="",FALSE,TRUE),EXACT(metadata!K820,"cm"))</f>
        <v>0</v>
      </c>
      <c r="AM820" t="b">
        <f>AND(IF(metadata!L820="",FALSE,TRUE),EXACT(metadata!L820,"human"))</f>
        <v>0</v>
      </c>
      <c r="AN820" t="b">
        <f>AND(IF(metadata!M820="",FALSE,TRUE),EXACT(metadata!M820,"Homo sapiens"))</f>
        <v>0</v>
      </c>
      <c r="AO820" t="b">
        <f>AND(IF(metadata!N820="",FALSE,TRUE),EXACT(metadata!N820,"9606"))</f>
        <v>0</v>
      </c>
      <c r="AP820" t="b">
        <f>IF(metadata!O820="",FALSE,TRUE)</f>
        <v>0</v>
      </c>
      <c r="AQ820" t="b">
        <f>IF(metadata!P820="",FALSE,TRUE)</f>
        <v>0</v>
      </c>
      <c r="AR820" t="b">
        <f>IF(metadata!Q820="",FALSE,ISNUMBER(VALUE(metadata!Q820)))</f>
        <v>0</v>
      </c>
      <c r="AS820" t="b">
        <f>AND(IF(metadata!R820="",FALSE,TRUE),EXACT(metadata!R820,"kg"))</f>
        <v>0</v>
      </c>
    </row>
    <row r="821" spans="1:45" x14ac:dyDescent="0.2">
      <c r="A821" s="5" t="str">
        <f ca="1">IF(B821=" "," ",HYPERLINK(CONCATENATE("#metadata!",ADDRESS(INDEX($X$2:$X$1001,MATCH(ROWS($V$2:V821),$V$2:$V$1001,0),0),1)),INDEX($AA$2:$AA$1001,MATCH(ROWS($V$2:V821),$V$2:$V$1001,0),0)))</f>
        <v xml:space="preserve"> </v>
      </c>
      <c r="B821" s="4" t="str">
        <f ca="1">IF(OR(INDEX($W$2:$W$1001,MATCH(ROWS($V$2:V821),$V$2:$V$1001,0),1)&gt;=100000,INDEX($AC$1005:$AS$1005,1,MATCH(COLUMNS($AC$1006:AC1006),$AC$1006:$AS$1006,0))&gt;=100000), " ",IF(INDEX($AC$2:$AS$1001,MATCH(ROWS($V$2:V821),$V$2:$V$1001,0),MATCH(COLUMNS($AC$1006:AC1006),$AC$1006:$AS$1006,0)), HYPERLINK("#",""), HYPERLINK(CONCATENATE("#metadata!", ADDRESS(INDEX($X$2:$X$1001,MATCH(ROWS($V$2:V821),$V$2:$V$1001,0),0), INDEX($AC$1004:$AS$1004,1,MATCH(COLUMNS($AC$1006:AC1006),$AC$1006:$AS$1006,0)))),"Fix")))</f>
        <v xml:space="preserve"> </v>
      </c>
      <c r="C821" s="4" t="str">
        <f ca="1">IF(OR(INDEX($W$2:$W$1001,MATCH(ROWS($V$2:V821),$V$2:$V$1001,0),1)&gt;=100000,INDEX($AC$1005:$AS$1005,1,MATCH(COLUMNS($AC$1006:AD1006),$AC$1006:$AS$1006,0))&gt;=100000), " ",IF(INDEX($AC$2:$AS$1001,MATCH(ROWS($V$2:V821),$V$2:$V$1001,0),MATCH(COLUMNS($AC$1006:AD1006),$AC$1006:$AS$1006,0)), HYPERLINK("#",""), HYPERLINK(CONCATENATE("#metadata!", ADDRESS(INDEX($X$2:$X$1001,MATCH(ROWS($V$2:V821),$V$2:$V$1001,0),0), INDEX($AC$1004:$AS$1004,1,MATCH(COLUMNS($AC$1006:AD1006),$AC$1006:$AS$1006,0)))),"Fix")))</f>
        <v xml:space="preserve"> </v>
      </c>
      <c r="D821" s="4" t="str">
        <f ca="1">IF(OR(INDEX($W$2:$W$1001,MATCH(ROWS($V$2:V821),$V$2:$V$1001,0),1)&gt;=100000,INDEX($AC$1005:$AS$1005,1,MATCH(COLUMNS($AC$1006:AE1006),$AC$1006:$AS$1006,0))&gt;=100000), " ",IF(INDEX($AC$2:$AS$1001,MATCH(ROWS($V$2:V821),$V$2:$V$1001,0),MATCH(COLUMNS($AC$1006:AE1006),$AC$1006:$AS$1006,0)), HYPERLINK("#",""), HYPERLINK(CONCATENATE("#metadata!", ADDRESS(INDEX($X$2:$X$1001,MATCH(ROWS($V$2:V821),$V$2:$V$1001,0),0), INDEX($AC$1004:$AS$1004,1,MATCH(COLUMNS($AC$1006:AE1006),$AC$1006:$AS$1006,0)))),"Fix")))</f>
        <v xml:space="preserve"> </v>
      </c>
      <c r="E821" s="4" t="str">
        <f ca="1">IF(OR(INDEX($W$2:$W$1001,MATCH(ROWS($V$2:V821),$V$2:$V$1001,0),1)&gt;=100000,INDEX($AC$1005:$AS$1005,1,MATCH(COLUMNS($AC$1006:AF1006),$AC$1006:$AS$1006,0))&gt;=100000), " ",IF(INDEX($AC$2:$AS$1001,MATCH(ROWS($V$2:V821),$V$2:$V$1001,0),MATCH(COLUMNS($AC$1006:AF1006),$AC$1006:$AS$1006,0)), HYPERLINK("#",""), HYPERLINK(CONCATENATE("#metadata!", ADDRESS(INDEX($X$2:$X$1001,MATCH(ROWS($V$2:V821),$V$2:$V$1001,0),0), INDEX($AC$1004:$AS$1004,1,MATCH(COLUMNS($AC$1006:AF1006),$AC$1006:$AS$1006,0)))),"Fix")))</f>
        <v xml:space="preserve"> </v>
      </c>
      <c r="F821" s="4" t="str">
        <f ca="1">IF(OR(INDEX($W$2:$W$1001,MATCH(ROWS($V$2:V821),$V$2:$V$1001,0),1)&gt;=100000,INDEX($AC$1005:$AS$1005,1,MATCH(COLUMNS($AC$1006:AG1006),$AC$1006:$AS$1006,0))&gt;=100000), " ",IF(INDEX($AC$2:$AS$1001,MATCH(ROWS($V$2:V821),$V$2:$V$1001,0),MATCH(COLUMNS($AC$1006:AG1006),$AC$1006:$AS$1006,0)), HYPERLINK("#",""), HYPERLINK(CONCATENATE("#metadata!", ADDRESS(INDEX($X$2:$X$1001,MATCH(ROWS($V$2:V821),$V$2:$V$1001,0),0), INDEX($AC$1004:$AS$1004,1,MATCH(COLUMNS($AC$1006:AG1006),$AC$1006:$AS$1006,0)))),"Fix")))</f>
        <v xml:space="preserve"> </v>
      </c>
      <c r="G821" s="4" t="str">
        <f ca="1">IF(OR(INDEX($W$2:$W$1001,MATCH(ROWS($V$2:V821),$V$2:$V$1001,0),1)&gt;=100000,INDEX($AC$1005:$AS$1005,1,MATCH(COLUMNS($AC$1006:AH1006),$AC$1006:$AS$1006,0))&gt;=100000), " ",IF(INDEX($AC$2:$AS$1001,MATCH(ROWS($V$2:V821),$V$2:$V$1001,0),MATCH(COLUMNS($AC$1006:AH1006),$AC$1006:$AS$1006,0)), HYPERLINK("#",""), HYPERLINK(CONCATENATE("#metadata!", ADDRESS(INDEX($X$2:$X$1001,MATCH(ROWS($V$2:V821),$V$2:$V$1001,0),0), INDEX($AC$1004:$AS$1004,1,MATCH(COLUMNS($AC$1006:AH1006),$AC$1006:$AS$1006,0)))),"Fix")))</f>
        <v xml:space="preserve"> </v>
      </c>
      <c r="H821" s="4" t="str">
        <f ca="1">IF(OR(INDEX($W$2:$W$1001,MATCH(ROWS($V$2:V821),$V$2:$V$1001,0),1)&gt;=100000,INDEX($AC$1005:$AS$1005,1,MATCH(COLUMNS($AC$1006:AI1006),$AC$1006:$AS$1006,0))&gt;=100000), " ",IF(INDEX($AC$2:$AS$1001,MATCH(ROWS($V$2:V821),$V$2:$V$1001,0),MATCH(COLUMNS($AC$1006:AI1006),$AC$1006:$AS$1006,0)), HYPERLINK("#",""), HYPERLINK(CONCATENATE("#metadata!", ADDRESS(INDEX($X$2:$X$1001,MATCH(ROWS($V$2:V821),$V$2:$V$1001,0),0), INDEX($AC$1004:$AS$1004,1,MATCH(COLUMNS($AC$1006:AI1006),$AC$1006:$AS$1006,0)))),"Fix")))</f>
        <v xml:space="preserve"> </v>
      </c>
      <c r="I821" s="4" t="str">
        <f ca="1">IF(OR(INDEX($W$2:$W$1001,MATCH(ROWS($V$2:V821),$V$2:$V$1001,0),1)&gt;=100000,INDEX($AC$1005:$AS$1005,1,MATCH(COLUMNS($AC$1006:AJ1006),$AC$1006:$AS$1006,0))&gt;=100000), " ",IF(INDEX($AC$2:$AS$1001,MATCH(ROWS($V$2:V821),$V$2:$V$1001,0),MATCH(COLUMNS($AC$1006:AJ1006),$AC$1006:$AS$1006,0)), HYPERLINK("#",""), HYPERLINK(CONCATENATE("#metadata!", ADDRESS(INDEX($X$2:$X$1001,MATCH(ROWS($V$2:V821),$V$2:$V$1001,0),0), INDEX($AC$1004:$AS$1004,1,MATCH(COLUMNS($AC$1006:AJ1006),$AC$1006:$AS$1006,0)))),"Fix")))</f>
        <v xml:space="preserve"> </v>
      </c>
      <c r="J821" s="4" t="str">
        <f ca="1">IF(OR(INDEX($W$2:$W$1001,MATCH(ROWS($V$2:V821),$V$2:$V$1001,0),1)&gt;=100000,INDEX($AC$1005:$AS$1005,1,MATCH(COLUMNS($AC$1006:AK1006),$AC$1006:$AS$1006,0))&gt;=100000), " ",IF(INDEX($AC$2:$AS$1001,MATCH(ROWS($V$2:V821),$V$2:$V$1001,0),MATCH(COLUMNS($AC$1006:AK1006),$AC$1006:$AS$1006,0)), HYPERLINK("#",""), HYPERLINK(CONCATENATE("#metadata!", ADDRESS(INDEX($X$2:$X$1001,MATCH(ROWS($V$2:V821),$V$2:$V$1001,0),0), INDEX($AC$1004:$AS$1004,1,MATCH(COLUMNS($AC$1006:AK1006),$AC$1006:$AS$1006,0)))),"Fix")))</f>
        <v xml:space="preserve"> </v>
      </c>
      <c r="K821" s="4" t="str">
        <f ca="1">IF(OR(INDEX($W$2:$W$1001,MATCH(ROWS($V$2:V821),$V$2:$V$1001,0),1)&gt;=100000,INDEX($AC$1005:$AS$1005,1,MATCH(COLUMNS($AC$1006:AL1006),$AC$1006:$AS$1006,0))&gt;=100000), " ",IF(INDEX($AC$2:$AS$1001,MATCH(ROWS($V$2:V821),$V$2:$V$1001,0),MATCH(COLUMNS($AC$1006:AL1006),$AC$1006:$AS$1006,0)), HYPERLINK("#",""), HYPERLINK(CONCATENATE("#metadata!", ADDRESS(INDEX($X$2:$X$1001,MATCH(ROWS($V$2:V821),$V$2:$V$1001,0),0), INDEX($AC$1004:$AS$1004,1,MATCH(COLUMNS($AC$1006:AL1006),$AC$1006:$AS$1006,0)))),"Fix")))</f>
        <v xml:space="preserve"> </v>
      </c>
      <c r="L821" s="4" t="str">
        <f ca="1">IF(OR(INDEX($W$2:$W$1001,MATCH(ROWS($V$2:V821),$V$2:$V$1001,0),1)&gt;=100000,INDEX($AC$1005:$AS$1005,1,MATCH(COLUMNS($AC$1006:AM1006),$AC$1006:$AS$1006,0))&gt;=100000), " ",IF(INDEX($AC$2:$AS$1001,MATCH(ROWS($V$2:V821),$V$2:$V$1001,0),MATCH(COLUMNS($AC$1006:AM1006),$AC$1006:$AS$1006,0)), HYPERLINK("#",""), HYPERLINK(CONCATENATE("#metadata!", ADDRESS(INDEX($X$2:$X$1001,MATCH(ROWS($V$2:V821),$V$2:$V$1001,0),0), INDEX($AC$1004:$AS$1004,1,MATCH(COLUMNS($AC$1006:AM1006),$AC$1006:$AS$1006,0)))),"Fix")))</f>
        <v xml:space="preserve"> </v>
      </c>
      <c r="M821" s="4" t="str">
        <f ca="1">IF(OR(INDEX($W$2:$W$1001,MATCH(ROWS($V$2:V821),$V$2:$V$1001,0),1)&gt;=100000,INDEX($AC$1005:$AS$1005,1,MATCH(COLUMNS($AC$1006:AN1006),$AC$1006:$AS$1006,0))&gt;=100000), " ",IF(INDEX($AC$2:$AS$1001,MATCH(ROWS($V$2:V821),$V$2:$V$1001,0),MATCH(COLUMNS($AC$1006:AN1006),$AC$1006:$AS$1006,0)), HYPERLINK("#",""), HYPERLINK(CONCATENATE("#metadata!", ADDRESS(INDEX($X$2:$X$1001,MATCH(ROWS($V$2:V821),$V$2:$V$1001,0),0), INDEX($AC$1004:$AS$1004,1,MATCH(COLUMNS($AC$1006:AN1006),$AC$1006:$AS$1006,0)))),"Fix")))</f>
        <v xml:space="preserve"> </v>
      </c>
      <c r="N821" s="4" t="str">
        <f ca="1">IF(OR(INDEX($W$2:$W$1001,MATCH(ROWS($V$2:V821),$V$2:$V$1001,0),1)&gt;=100000,INDEX($AC$1005:$AS$1005,1,MATCH(COLUMNS($AC$1006:AO1006),$AC$1006:$AS$1006,0))&gt;=100000), " ",IF(INDEX($AC$2:$AS$1001,MATCH(ROWS($V$2:V821),$V$2:$V$1001,0),MATCH(COLUMNS($AC$1006:AO1006),$AC$1006:$AS$1006,0)), HYPERLINK("#",""), HYPERLINK(CONCATENATE("#metadata!", ADDRESS(INDEX($X$2:$X$1001,MATCH(ROWS($V$2:V821),$V$2:$V$1001,0),0), INDEX($AC$1004:$AS$1004,1,MATCH(COLUMNS($AC$1006:AO1006),$AC$1006:$AS$1006,0)))),"Fix")))</f>
        <v xml:space="preserve"> </v>
      </c>
      <c r="O821" s="4" t="str">
        <f ca="1">IF(OR(INDEX($W$2:$W$1001,MATCH(ROWS($V$2:V821),$V$2:$V$1001,0),1)&gt;=100000,INDEX($AC$1005:$AS$1005,1,MATCH(COLUMNS($AC$1006:AP1006),$AC$1006:$AS$1006,0))&gt;=100000), " ",IF(INDEX($AC$2:$AS$1001,MATCH(ROWS($V$2:V821),$V$2:$V$1001,0),MATCH(COLUMNS($AC$1006:AP1006),$AC$1006:$AS$1006,0)), HYPERLINK("#",""), HYPERLINK(CONCATENATE("#metadata!", ADDRESS(INDEX($X$2:$X$1001,MATCH(ROWS($V$2:V821),$V$2:$V$1001,0),0), INDEX($AC$1004:$AS$1004,1,MATCH(COLUMNS($AC$1006:AP1006),$AC$1006:$AS$1006,0)))),"Fix")))</f>
        <v xml:space="preserve"> </v>
      </c>
      <c r="P821" s="4" t="str">
        <f ca="1">IF(OR(INDEX($W$2:$W$1001,MATCH(ROWS($V$2:V821),$V$2:$V$1001,0),1)&gt;=100000,INDEX($AC$1005:$AS$1005,1,MATCH(COLUMNS($AC$1006:AQ1006),$AC$1006:$AS$1006,0))&gt;=100000), " ",IF(INDEX($AC$2:$AS$1001,MATCH(ROWS($V$2:V821),$V$2:$V$1001,0),MATCH(COLUMNS($AC$1006:AQ1006),$AC$1006:$AS$1006,0)), HYPERLINK("#",""), HYPERLINK(CONCATENATE("#metadata!", ADDRESS(INDEX($X$2:$X$1001,MATCH(ROWS($V$2:V821),$V$2:$V$1001,0),0), INDEX($AC$1004:$AS$1004,1,MATCH(COLUMNS($AC$1006:AQ1006),$AC$1006:$AS$1006,0)))),"Fix")))</f>
        <v xml:space="preserve"> </v>
      </c>
      <c r="Q821" s="4" t="str">
        <f ca="1">IF(OR(INDEX($W$2:$W$1001,MATCH(ROWS($V$2:V821),$V$2:$V$1001,0),1)&gt;=100000,INDEX($AC$1005:$AS$1005,1,MATCH(COLUMNS($AC$1006:AR1006),$AC$1006:$AS$1006,0))&gt;=100000), " ",IF(INDEX($AC$2:$AS$1001,MATCH(ROWS($V$2:V821),$V$2:$V$1001,0),MATCH(COLUMNS($AC$1006:AR1006),$AC$1006:$AS$1006,0)), HYPERLINK("#",""), HYPERLINK(CONCATENATE("#metadata!", ADDRESS(INDEX($X$2:$X$1001,MATCH(ROWS($V$2:V821),$V$2:$V$1001,0),0), INDEX($AC$1004:$AS$1004,1,MATCH(COLUMNS($AC$1006:AR1006),$AC$1006:$AS$1006,0)))),"Fix")))</f>
        <v xml:space="preserve"> </v>
      </c>
      <c r="R821" s="4" t="str">
        <f ca="1">IF(OR(INDEX($W$2:$W$1001,MATCH(ROWS($V$2:V821),$V$2:$V$1001,0),1)&gt;=100000,INDEX($AC$1005:$AS$1005,1,MATCH(COLUMNS($AC$1006:AS1006),$AC$1006:$AS$1006,0))&gt;=100000), " ",IF(INDEX($AC$2:$AS$1001,MATCH(ROWS($V$2:V821),$V$2:$V$1001,0),MATCH(COLUMNS($AC$1006:AS1006),$AC$1006:$AS$1006,0)), HYPERLINK("#",""), HYPERLINK(CONCATENATE("#metadata!", ADDRESS(INDEX($X$2:$X$1001,MATCH(ROWS($V$2:V821),$V$2:$V$1001,0),0), INDEX($AC$1004:$AS$1004,1,MATCH(COLUMNS($AC$1006:AS1006),$AC$1006:$AS$1006,0)))),"Fix")))</f>
        <v xml:space="preserve"> </v>
      </c>
      <c r="V821">
        <v>820</v>
      </c>
      <c r="W821">
        <v>100821</v>
      </c>
      <c r="X821">
        <v>821</v>
      </c>
      <c r="Y821" t="b">
        <f t="shared" si="12"/>
        <v>1</v>
      </c>
      <c r="Z821" t="b">
        <f>COUNTBLANK(metadata!B821:R821)=COLUMNS(metadata!B821:R821)</f>
        <v>1</v>
      </c>
      <c r="AA821" t="str">
        <v/>
      </c>
      <c r="AC821" t="b">
        <f ca="1"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AD821" t="b">
        <f>IF(metadata!C821="",FALSE,ISNUMBER(VALUE(metadata!C821)))</f>
        <v>0</v>
      </c>
      <c r="AE821" t="b">
        <f>AND(IF(metadata!D821="",FALSE,TRUE),EXACT(metadata!D821,"years"))</f>
        <v>0</v>
      </c>
      <c r="AF821" t="b">
        <f>OR(AND(IF(metadata!E821="",FALSE,TRUE),OR(EXACT(metadata!E821,"not applicable"),EXACT(metadata!E821,"missing: not collected"),EXACT(metadata!E821,"missing: not provided"),EXACT(metadata!E821,"missing: restricted access"))),AND(IF(metadata!E821="",FALSE,ISNUMBER(VALUE(metadata!E821))),metadata!E821&gt;0))</f>
        <v>0</v>
      </c>
      <c r="AG821" t="b">
        <f>AND(IF(metadata!F821="",FALSE,TRUE),EXACT(metadata!F821,"Not applicable"))</f>
        <v>0</v>
      </c>
      <c r="AH821" t="b">
        <f>AND(IF(metadata!G821="",FALSE,TRUE),EXACT(metadata!G821,"urban biome"))</f>
        <v>0</v>
      </c>
      <c r="AI821" t="b">
        <f>AND(IF(metadata!H821="",FALSE,TRUE),EXACT(metadata!H821,"human-associated habitat"))</f>
        <v>0</v>
      </c>
      <c r="AJ821" t="b">
        <f>AND(IF(metadata!I821="",FALSE,TRUE),OR(EXACT(metadata!I821,"human-associated"),EXACT(metadata!I821,"human-skin"),EXACT(metadata!I821,"human-oral"),EXACT(metadata!I821,"human-gut"),EXACT(metadata!I821,"human-vaginal")))</f>
        <v>0</v>
      </c>
      <c r="AK821" t="b">
        <f>IF(metadata!J821="",FALSE,ISNUMBER(VALUE(metadata!J821)))</f>
        <v>0</v>
      </c>
      <c r="AL821" t="b">
        <f>AND(IF(metadata!K821="",FALSE,TRUE),EXACT(metadata!K821,"cm"))</f>
        <v>0</v>
      </c>
      <c r="AM821" t="b">
        <f>AND(IF(metadata!L821="",FALSE,TRUE),EXACT(metadata!L821,"human"))</f>
        <v>0</v>
      </c>
      <c r="AN821" t="b">
        <f>AND(IF(metadata!M821="",FALSE,TRUE),EXACT(metadata!M821,"Homo sapiens"))</f>
        <v>0</v>
      </c>
      <c r="AO821" t="b">
        <f>AND(IF(metadata!N821="",FALSE,TRUE),EXACT(metadata!N821,"9606"))</f>
        <v>0</v>
      </c>
      <c r="AP821" t="b">
        <f>IF(metadata!O821="",FALSE,TRUE)</f>
        <v>0</v>
      </c>
      <c r="AQ821" t="b">
        <f>IF(metadata!P821="",FALSE,TRUE)</f>
        <v>0</v>
      </c>
      <c r="AR821" t="b">
        <f>IF(metadata!Q821="",FALSE,ISNUMBER(VALUE(metadata!Q821)))</f>
        <v>0</v>
      </c>
      <c r="AS821" t="b">
        <f>AND(IF(metadata!R821="",FALSE,TRUE),EXACT(metadata!R821,"kg"))</f>
        <v>0</v>
      </c>
    </row>
    <row r="822" spans="1:45" x14ac:dyDescent="0.2">
      <c r="A822" s="5" t="str">
        <f ca="1">IF(B822=" "," ",HYPERLINK(CONCATENATE("#metadata!",ADDRESS(INDEX($X$2:$X$1001,MATCH(ROWS($V$2:V822),$V$2:$V$1001,0),0),1)),INDEX($AA$2:$AA$1001,MATCH(ROWS($V$2:V822),$V$2:$V$1001,0),0)))</f>
        <v xml:space="preserve"> </v>
      </c>
      <c r="B822" s="4" t="str">
        <f ca="1">IF(OR(INDEX($W$2:$W$1001,MATCH(ROWS($V$2:V822),$V$2:$V$1001,0),1)&gt;=100000,INDEX($AC$1005:$AS$1005,1,MATCH(COLUMNS($AC$1006:AC1006),$AC$1006:$AS$1006,0))&gt;=100000), " ",IF(INDEX($AC$2:$AS$1001,MATCH(ROWS($V$2:V822),$V$2:$V$1001,0),MATCH(COLUMNS($AC$1006:AC1006),$AC$1006:$AS$1006,0)), HYPERLINK("#",""), HYPERLINK(CONCATENATE("#metadata!", ADDRESS(INDEX($X$2:$X$1001,MATCH(ROWS($V$2:V822),$V$2:$V$1001,0),0), INDEX($AC$1004:$AS$1004,1,MATCH(COLUMNS($AC$1006:AC1006),$AC$1006:$AS$1006,0)))),"Fix")))</f>
        <v xml:space="preserve"> </v>
      </c>
      <c r="C822" s="4" t="str">
        <f ca="1">IF(OR(INDEX($W$2:$W$1001,MATCH(ROWS($V$2:V822),$V$2:$V$1001,0),1)&gt;=100000,INDEX($AC$1005:$AS$1005,1,MATCH(COLUMNS($AC$1006:AD1006),$AC$1006:$AS$1006,0))&gt;=100000), " ",IF(INDEX($AC$2:$AS$1001,MATCH(ROWS($V$2:V822),$V$2:$V$1001,0),MATCH(COLUMNS($AC$1006:AD1006),$AC$1006:$AS$1006,0)), HYPERLINK("#",""), HYPERLINK(CONCATENATE("#metadata!", ADDRESS(INDEX($X$2:$X$1001,MATCH(ROWS($V$2:V822),$V$2:$V$1001,0),0), INDEX($AC$1004:$AS$1004,1,MATCH(COLUMNS($AC$1006:AD1006),$AC$1006:$AS$1006,0)))),"Fix")))</f>
        <v xml:space="preserve"> </v>
      </c>
      <c r="D822" s="4" t="str">
        <f ca="1">IF(OR(INDEX($W$2:$W$1001,MATCH(ROWS($V$2:V822),$V$2:$V$1001,0),1)&gt;=100000,INDEX($AC$1005:$AS$1005,1,MATCH(COLUMNS($AC$1006:AE1006),$AC$1006:$AS$1006,0))&gt;=100000), " ",IF(INDEX($AC$2:$AS$1001,MATCH(ROWS($V$2:V822),$V$2:$V$1001,0),MATCH(COLUMNS($AC$1006:AE1006),$AC$1006:$AS$1006,0)), HYPERLINK("#",""), HYPERLINK(CONCATENATE("#metadata!", ADDRESS(INDEX($X$2:$X$1001,MATCH(ROWS($V$2:V822),$V$2:$V$1001,0),0), INDEX($AC$1004:$AS$1004,1,MATCH(COLUMNS($AC$1006:AE1006),$AC$1006:$AS$1006,0)))),"Fix")))</f>
        <v xml:space="preserve"> </v>
      </c>
      <c r="E822" s="4" t="str">
        <f ca="1">IF(OR(INDEX($W$2:$W$1001,MATCH(ROWS($V$2:V822),$V$2:$V$1001,0),1)&gt;=100000,INDEX($AC$1005:$AS$1005,1,MATCH(COLUMNS($AC$1006:AF1006),$AC$1006:$AS$1006,0))&gt;=100000), " ",IF(INDEX($AC$2:$AS$1001,MATCH(ROWS($V$2:V822),$V$2:$V$1001,0),MATCH(COLUMNS($AC$1006:AF1006),$AC$1006:$AS$1006,0)), HYPERLINK("#",""), HYPERLINK(CONCATENATE("#metadata!", ADDRESS(INDEX($X$2:$X$1001,MATCH(ROWS($V$2:V822),$V$2:$V$1001,0),0), INDEX($AC$1004:$AS$1004,1,MATCH(COLUMNS($AC$1006:AF1006),$AC$1006:$AS$1006,0)))),"Fix")))</f>
        <v xml:space="preserve"> </v>
      </c>
      <c r="F822" s="4" t="str">
        <f ca="1">IF(OR(INDEX($W$2:$W$1001,MATCH(ROWS($V$2:V822),$V$2:$V$1001,0),1)&gt;=100000,INDEX($AC$1005:$AS$1005,1,MATCH(COLUMNS($AC$1006:AG1006),$AC$1006:$AS$1006,0))&gt;=100000), " ",IF(INDEX($AC$2:$AS$1001,MATCH(ROWS($V$2:V822),$V$2:$V$1001,0),MATCH(COLUMNS($AC$1006:AG1006),$AC$1006:$AS$1006,0)), HYPERLINK("#",""), HYPERLINK(CONCATENATE("#metadata!", ADDRESS(INDEX($X$2:$X$1001,MATCH(ROWS($V$2:V822),$V$2:$V$1001,0),0), INDEX($AC$1004:$AS$1004,1,MATCH(COLUMNS($AC$1006:AG1006),$AC$1006:$AS$1006,0)))),"Fix")))</f>
        <v xml:space="preserve"> </v>
      </c>
      <c r="G822" s="4" t="str">
        <f ca="1">IF(OR(INDEX($W$2:$W$1001,MATCH(ROWS($V$2:V822),$V$2:$V$1001,0),1)&gt;=100000,INDEX($AC$1005:$AS$1005,1,MATCH(COLUMNS($AC$1006:AH1006),$AC$1006:$AS$1006,0))&gt;=100000), " ",IF(INDEX($AC$2:$AS$1001,MATCH(ROWS($V$2:V822),$V$2:$V$1001,0),MATCH(COLUMNS($AC$1006:AH1006),$AC$1006:$AS$1006,0)), HYPERLINK("#",""), HYPERLINK(CONCATENATE("#metadata!", ADDRESS(INDEX($X$2:$X$1001,MATCH(ROWS($V$2:V822),$V$2:$V$1001,0),0), INDEX($AC$1004:$AS$1004,1,MATCH(COLUMNS($AC$1006:AH1006),$AC$1006:$AS$1006,0)))),"Fix")))</f>
        <v xml:space="preserve"> </v>
      </c>
      <c r="H822" s="4" t="str">
        <f ca="1">IF(OR(INDEX($W$2:$W$1001,MATCH(ROWS($V$2:V822),$V$2:$V$1001,0),1)&gt;=100000,INDEX($AC$1005:$AS$1005,1,MATCH(COLUMNS($AC$1006:AI1006),$AC$1006:$AS$1006,0))&gt;=100000), " ",IF(INDEX($AC$2:$AS$1001,MATCH(ROWS($V$2:V822),$V$2:$V$1001,0),MATCH(COLUMNS($AC$1006:AI1006),$AC$1006:$AS$1006,0)), HYPERLINK("#",""), HYPERLINK(CONCATENATE("#metadata!", ADDRESS(INDEX($X$2:$X$1001,MATCH(ROWS($V$2:V822),$V$2:$V$1001,0),0), INDEX($AC$1004:$AS$1004,1,MATCH(COLUMNS($AC$1006:AI1006),$AC$1006:$AS$1006,0)))),"Fix")))</f>
        <v xml:space="preserve"> </v>
      </c>
      <c r="I822" s="4" t="str">
        <f ca="1">IF(OR(INDEX($W$2:$W$1001,MATCH(ROWS($V$2:V822),$V$2:$V$1001,0),1)&gt;=100000,INDEX($AC$1005:$AS$1005,1,MATCH(COLUMNS($AC$1006:AJ1006),$AC$1006:$AS$1006,0))&gt;=100000), " ",IF(INDEX($AC$2:$AS$1001,MATCH(ROWS($V$2:V822),$V$2:$V$1001,0),MATCH(COLUMNS($AC$1006:AJ1006),$AC$1006:$AS$1006,0)), HYPERLINK("#",""), HYPERLINK(CONCATENATE("#metadata!", ADDRESS(INDEX($X$2:$X$1001,MATCH(ROWS($V$2:V822),$V$2:$V$1001,0),0), INDEX($AC$1004:$AS$1004,1,MATCH(COLUMNS($AC$1006:AJ1006),$AC$1006:$AS$1006,0)))),"Fix")))</f>
        <v xml:space="preserve"> </v>
      </c>
      <c r="J822" s="4" t="str">
        <f ca="1">IF(OR(INDEX($W$2:$W$1001,MATCH(ROWS($V$2:V822),$V$2:$V$1001,0),1)&gt;=100000,INDEX($AC$1005:$AS$1005,1,MATCH(COLUMNS($AC$1006:AK1006),$AC$1006:$AS$1006,0))&gt;=100000), " ",IF(INDEX($AC$2:$AS$1001,MATCH(ROWS($V$2:V822),$V$2:$V$1001,0),MATCH(COLUMNS($AC$1006:AK1006),$AC$1006:$AS$1006,0)), HYPERLINK("#",""), HYPERLINK(CONCATENATE("#metadata!", ADDRESS(INDEX($X$2:$X$1001,MATCH(ROWS($V$2:V822),$V$2:$V$1001,0),0), INDEX($AC$1004:$AS$1004,1,MATCH(COLUMNS($AC$1006:AK1006),$AC$1006:$AS$1006,0)))),"Fix")))</f>
        <v xml:space="preserve"> </v>
      </c>
      <c r="K822" s="4" t="str">
        <f ca="1">IF(OR(INDEX($W$2:$W$1001,MATCH(ROWS($V$2:V822),$V$2:$V$1001,0),1)&gt;=100000,INDEX($AC$1005:$AS$1005,1,MATCH(COLUMNS($AC$1006:AL1006),$AC$1006:$AS$1006,0))&gt;=100000), " ",IF(INDEX($AC$2:$AS$1001,MATCH(ROWS($V$2:V822),$V$2:$V$1001,0),MATCH(COLUMNS($AC$1006:AL1006),$AC$1006:$AS$1006,0)), HYPERLINK("#",""), HYPERLINK(CONCATENATE("#metadata!", ADDRESS(INDEX($X$2:$X$1001,MATCH(ROWS($V$2:V822),$V$2:$V$1001,0),0), INDEX($AC$1004:$AS$1004,1,MATCH(COLUMNS($AC$1006:AL1006),$AC$1006:$AS$1006,0)))),"Fix")))</f>
        <v xml:space="preserve"> </v>
      </c>
      <c r="L822" s="4" t="str">
        <f ca="1">IF(OR(INDEX($W$2:$W$1001,MATCH(ROWS($V$2:V822),$V$2:$V$1001,0),1)&gt;=100000,INDEX($AC$1005:$AS$1005,1,MATCH(COLUMNS($AC$1006:AM1006),$AC$1006:$AS$1006,0))&gt;=100000), " ",IF(INDEX($AC$2:$AS$1001,MATCH(ROWS($V$2:V822),$V$2:$V$1001,0),MATCH(COLUMNS($AC$1006:AM1006),$AC$1006:$AS$1006,0)), HYPERLINK("#",""), HYPERLINK(CONCATENATE("#metadata!", ADDRESS(INDEX($X$2:$X$1001,MATCH(ROWS($V$2:V822),$V$2:$V$1001,0),0), INDEX($AC$1004:$AS$1004,1,MATCH(COLUMNS($AC$1006:AM1006),$AC$1006:$AS$1006,0)))),"Fix")))</f>
        <v xml:space="preserve"> </v>
      </c>
      <c r="M822" s="4" t="str">
        <f ca="1">IF(OR(INDEX($W$2:$W$1001,MATCH(ROWS($V$2:V822),$V$2:$V$1001,0),1)&gt;=100000,INDEX($AC$1005:$AS$1005,1,MATCH(COLUMNS($AC$1006:AN1006),$AC$1006:$AS$1006,0))&gt;=100000), " ",IF(INDEX($AC$2:$AS$1001,MATCH(ROWS($V$2:V822),$V$2:$V$1001,0),MATCH(COLUMNS($AC$1006:AN1006),$AC$1006:$AS$1006,0)), HYPERLINK("#",""), HYPERLINK(CONCATENATE("#metadata!", ADDRESS(INDEX($X$2:$X$1001,MATCH(ROWS($V$2:V822),$V$2:$V$1001,0),0), INDEX($AC$1004:$AS$1004,1,MATCH(COLUMNS($AC$1006:AN1006),$AC$1006:$AS$1006,0)))),"Fix")))</f>
        <v xml:space="preserve"> </v>
      </c>
      <c r="N822" s="4" t="str">
        <f ca="1">IF(OR(INDEX($W$2:$W$1001,MATCH(ROWS($V$2:V822),$V$2:$V$1001,0),1)&gt;=100000,INDEX($AC$1005:$AS$1005,1,MATCH(COLUMNS($AC$1006:AO1006),$AC$1006:$AS$1006,0))&gt;=100000), " ",IF(INDEX($AC$2:$AS$1001,MATCH(ROWS($V$2:V822),$V$2:$V$1001,0),MATCH(COLUMNS($AC$1006:AO1006),$AC$1006:$AS$1006,0)), HYPERLINK("#",""), HYPERLINK(CONCATENATE("#metadata!", ADDRESS(INDEX($X$2:$X$1001,MATCH(ROWS($V$2:V822),$V$2:$V$1001,0),0), INDEX($AC$1004:$AS$1004,1,MATCH(COLUMNS($AC$1006:AO1006),$AC$1006:$AS$1006,0)))),"Fix")))</f>
        <v xml:space="preserve"> </v>
      </c>
      <c r="O822" s="4" t="str">
        <f ca="1">IF(OR(INDEX($W$2:$W$1001,MATCH(ROWS($V$2:V822),$V$2:$V$1001,0),1)&gt;=100000,INDEX($AC$1005:$AS$1005,1,MATCH(COLUMNS($AC$1006:AP1006),$AC$1006:$AS$1006,0))&gt;=100000), " ",IF(INDEX($AC$2:$AS$1001,MATCH(ROWS($V$2:V822),$V$2:$V$1001,0),MATCH(COLUMNS($AC$1006:AP1006),$AC$1006:$AS$1006,0)), HYPERLINK("#",""), HYPERLINK(CONCATENATE("#metadata!", ADDRESS(INDEX($X$2:$X$1001,MATCH(ROWS($V$2:V822),$V$2:$V$1001,0),0), INDEX($AC$1004:$AS$1004,1,MATCH(COLUMNS($AC$1006:AP1006),$AC$1006:$AS$1006,0)))),"Fix")))</f>
        <v xml:space="preserve"> </v>
      </c>
      <c r="P822" s="4" t="str">
        <f ca="1">IF(OR(INDEX($W$2:$W$1001,MATCH(ROWS($V$2:V822),$V$2:$V$1001,0),1)&gt;=100000,INDEX($AC$1005:$AS$1005,1,MATCH(COLUMNS($AC$1006:AQ1006),$AC$1006:$AS$1006,0))&gt;=100000), " ",IF(INDEX($AC$2:$AS$1001,MATCH(ROWS($V$2:V822),$V$2:$V$1001,0),MATCH(COLUMNS($AC$1006:AQ1006),$AC$1006:$AS$1006,0)), HYPERLINK("#",""), HYPERLINK(CONCATENATE("#metadata!", ADDRESS(INDEX($X$2:$X$1001,MATCH(ROWS($V$2:V822),$V$2:$V$1001,0),0), INDEX($AC$1004:$AS$1004,1,MATCH(COLUMNS($AC$1006:AQ1006),$AC$1006:$AS$1006,0)))),"Fix")))</f>
        <v xml:space="preserve"> </v>
      </c>
      <c r="Q822" s="4" t="str">
        <f ca="1">IF(OR(INDEX($W$2:$W$1001,MATCH(ROWS($V$2:V822),$V$2:$V$1001,0),1)&gt;=100000,INDEX($AC$1005:$AS$1005,1,MATCH(COLUMNS($AC$1006:AR1006),$AC$1006:$AS$1006,0))&gt;=100000), " ",IF(INDEX($AC$2:$AS$1001,MATCH(ROWS($V$2:V822),$V$2:$V$1001,0),MATCH(COLUMNS($AC$1006:AR1006),$AC$1006:$AS$1006,0)), HYPERLINK("#",""), HYPERLINK(CONCATENATE("#metadata!", ADDRESS(INDEX($X$2:$X$1001,MATCH(ROWS($V$2:V822),$V$2:$V$1001,0),0), INDEX($AC$1004:$AS$1004,1,MATCH(COLUMNS($AC$1006:AR1006),$AC$1006:$AS$1006,0)))),"Fix")))</f>
        <v xml:space="preserve"> </v>
      </c>
      <c r="R822" s="4" t="str">
        <f ca="1">IF(OR(INDEX($W$2:$W$1001,MATCH(ROWS($V$2:V822),$V$2:$V$1001,0),1)&gt;=100000,INDEX($AC$1005:$AS$1005,1,MATCH(COLUMNS($AC$1006:AS1006),$AC$1006:$AS$1006,0))&gt;=100000), " ",IF(INDEX($AC$2:$AS$1001,MATCH(ROWS($V$2:V822),$V$2:$V$1001,0),MATCH(COLUMNS($AC$1006:AS1006),$AC$1006:$AS$1006,0)), HYPERLINK("#",""), HYPERLINK(CONCATENATE("#metadata!", ADDRESS(INDEX($X$2:$X$1001,MATCH(ROWS($V$2:V822),$V$2:$V$1001,0),0), INDEX($AC$1004:$AS$1004,1,MATCH(COLUMNS($AC$1006:AS1006),$AC$1006:$AS$1006,0)))),"Fix")))</f>
        <v xml:space="preserve"> </v>
      </c>
      <c r="V822">
        <v>821</v>
      </c>
      <c r="W822">
        <v>100822</v>
      </c>
      <c r="X822">
        <v>822</v>
      </c>
      <c r="Y822" t="b">
        <f t="shared" si="12"/>
        <v>1</v>
      </c>
      <c r="Z822" t="b">
        <f>COUNTBLANK(metadata!B822:R822)=COLUMNS(metadata!B822:R822)</f>
        <v>1</v>
      </c>
      <c r="AA822" t="str">
        <v/>
      </c>
      <c r="AC822" t="b">
        <f ca="1"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AD822" t="b">
        <f>IF(metadata!C822="",FALSE,ISNUMBER(VALUE(metadata!C822)))</f>
        <v>0</v>
      </c>
      <c r="AE822" t="b">
        <f>AND(IF(metadata!D822="",FALSE,TRUE),EXACT(metadata!D822,"years"))</f>
        <v>0</v>
      </c>
      <c r="AF822" t="b">
        <f>OR(AND(IF(metadata!E822="",FALSE,TRUE),OR(EXACT(metadata!E822,"not applicable"),EXACT(metadata!E822,"missing: not collected"),EXACT(metadata!E822,"missing: not provided"),EXACT(metadata!E822,"missing: restricted access"))),AND(IF(metadata!E822="",FALSE,ISNUMBER(VALUE(metadata!E822))),metadata!E822&gt;0))</f>
        <v>0</v>
      </c>
      <c r="AG822" t="b">
        <f>AND(IF(metadata!F822="",FALSE,TRUE),EXACT(metadata!F822,"Not applicable"))</f>
        <v>0</v>
      </c>
      <c r="AH822" t="b">
        <f>AND(IF(metadata!G822="",FALSE,TRUE),EXACT(metadata!G822,"urban biome"))</f>
        <v>0</v>
      </c>
      <c r="AI822" t="b">
        <f>AND(IF(metadata!H822="",FALSE,TRUE),EXACT(metadata!H822,"human-associated habitat"))</f>
        <v>0</v>
      </c>
      <c r="AJ822" t="b">
        <f>AND(IF(metadata!I822="",FALSE,TRUE),OR(EXACT(metadata!I822,"human-associated"),EXACT(metadata!I822,"human-skin"),EXACT(metadata!I822,"human-oral"),EXACT(metadata!I822,"human-gut"),EXACT(metadata!I822,"human-vaginal")))</f>
        <v>0</v>
      </c>
      <c r="AK822" t="b">
        <f>IF(metadata!J822="",FALSE,ISNUMBER(VALUE(metadata!J822)))</f>
        <v>0</v>
      </c>
      <c r="AL822" t="b">
        <f>AND(IF(metadata!K822="",FALSE,TRUE),EXACT(metadata!K822,"cm"))</f>
        <v>0</v>
      </c>
      <c r="AM822" t="b">
        <f>AND(IF(metadata!L822="",FALSE,TRUE),EXACT(metadata!L822,"human"))</f>
        <v>0</v>
      </c>
      <c r="AN822" t="b">
        <f>AND(IF(metadata!M822="",FALSE,TRUE),EXACT(metadata!M822,"Homo sapiens"))</f>
        <v>0</v>
      </c>
      <c r="AO822" t="b">
        <f>AND(IF(metadata!N822="",FALSE,TRUE),EXACT(metadata!N822,"9606"))</f>
        <v>0</v>
      </c>
      <c r="AP822" t="b">
        <f>IF(metadata!O822="",FALSE,TRUE)</f>
        <v>0</v>
      </c>
      <c r="AQ822" t="b">
        <f>IF(metadata!P822="",FALSE,TRUE)</f>
        <v>0</v>
      </c>
      <c r="AR822" t="b">
        <f>IF(metadata!Q822="",FALSE,ISNUMBER(VALUE(metadata!Q822)))</f>
        <v>0</v>
      </c>
      <c r="AS822" t="b">
        <f>AND(IF(metadata!R822="",FALSE,TRUE),EXACT(metadata!R822,"kg"))</f>
        <v>0</v>
      </c>
    </row>
    <row r="823" spans="1:45" x14ac:dyDescent="0.2">
      <c r="A823" s="5" t="str">
        <f ca="1">IF(B823=" "," ",HYPERLINK(CONCATENATE("#metadata!",ADDRESS(INDEX($X$2:$X$1001,MATCH(ROWS($V$2:V823),$V$2:$V$1001,0),0),1)),INDEX($AA$2:$AA$1001,MATCH(ROWS($V$2:V823),$V$2:$V$1001,0),0)))</f>
        <v xml:space="preserve"> </v>
      </c>
      <c r="B823" s="4" t="str">
        <f ca="1">IF(OR(INDEX($W$2:$W$1001,MATCH(ROWS($V$2:V823),$V$2:$V$1001,0),1)&gt;=100000,INDEX($AC$1005:$AS$1005,1,MATCH(COLUMNS($AC$1006:AC1006),$AC$1006:$AS$1006,0))&gt;=100000), " ",IF(INDEX($AC$2:$AS$1001,MATCH(ROWS($V$2:V823),$V$2:$V$1001,0),MATCH(COLUMNS($AC$1006:AC1006),$AC$1006:$AS$1006,0)), HYPERLINK("#",""), HYPERLINK(CONCATENATE("#metadata!", ADDRESS(INDEX($X$2:$X$1001,MATCH(ROWS($V$2:V823),$V$2:$V$1001,0),0), INDEX($AC$1004:$AS$1004,1,MATCH(COLUMNS($AC$1006:AC1006),$AC$1006:$AS$1006,0)))),"Fix")))</f>
        <v xml:space="preserve"> </v>
      </c>
      <c r="C823" s="4" t="str">
        <f ca="1">IF(OR(INDEX($W$2:$W$1001,MATCH(ROWS($V$2:V823),$V$2:$V$1001,0),1)&gt;=100000,INDEX($AC$1005:$AS$1005,1,MATCH(COLUMNS($AC$1006:AD1006),$AC$1006:$AS$1006,0))&gt;=100000), " ",IF(INDEX($AC$2:$AS$1001,MATCH(ROWS($V$2:V823),$V$2:$V$1001,0),MATCH(COLUMNS($AC$1006:AD1006),$AC$1006:$AS$1006,0)), HYPERLINK("#",""), HYPERLINK(CONCATENATE("#metadata!", ADDRESS(INDEX($X$2:$X$1001,MATCH(ROWS($V$2:V823),$V$2:$V$1001,0),0), INDEX($AC$1004:$AS$1004,1,MATCH(COLUMNS($AC$1006:AD1006),$AC$1006:$AS$1006,0)))),"Fix")))</f>
        <v xml:space="preserve"> </v>
      </c>
      <c r="D823" s="4" t="str">
        <f ca="1">IF(OR(INDEX($W$2:$W$1001,MATCH(ROWS($V$2:V823),$V$2:$V$1001,0),1)&gt;=100000,INDEX($AC$1005:$AS$1005,1,MATCH(COLUMNS($AC$1006:AE1006),$AC$1006:$AS$1006,0))&gt;=100000), " ",IF(INDEX($AC$2:$AS$1001,MATCH(ROWS($V$2:V823),$V$2:$V$1001,0),MATCH(COLUMNS($AC$1006:AE1006),$AC$1006:$AS$1006,0)), HYPERLINK("#",""), HYPERLINK(CONCATENATE("#metadata!", ADDRESS(INDEX($X$2:$X$1001,MATCH(ROWS($V$2:V823),$V$2:$V$1001,0),0), INDEX($AC$1004:$AS$1004,1,MATCH(COLUMNS($AC$1006:AE1006),$AC$1006:$AS$1006,0)))),"Fix")))</f>
        <v xml:space="preserve"> </v>
      </c>
      <c r="E823" s="4" t="str">
        <f ca="1">IF(OR(INDEX($W$2:$W$1001,MATCH(ROWS($V$2:V823),$V$2:$V$1001,0),1)&gt;=100000,INDEX($AC$1005:$AS$1005,1,MATCH(COLUMNS($AC$1006:AF1006),$AC$1006:$AS$1006,0))&gt;=100000), " ",IF(INDEX($AC$2:$AS$1001,MATCH(ROWS($V$2:V823),$V$2:$V$1001,0),MATCH(COLUMNS($AC$1006:AF1006),$AC$1006:$AS$1006,0)), HYPERLINK("#",""), HYPERLINK(CONCATENATE("#metadata!", ADDRESS(INDEX($X$2:$X$1001,MATCH(ROWS($V$2:V823),$V$2:$V$1001,0),0), INDEX($AC$1004:$AS$1004,1,MATCH(COLUMNS($AC$1006:AF1006),$AC$1006:$AS$1006,0)))),"Fix")))</f>
        <v xml:space="preserve"> </v>
      </c>
      <c r="F823" s="4" t="str">
        <f ca="1">IF(OR(INDEX($W$2:$W$1001,MATCH(ROWS($V$2:V823),$V$2:$V$1001,0),1)&gt;=100000,INDEX($AC$1005:$AS$1005,1,MATCH(COLUMNS($AC$1006:AG1006),$AC$1006:$AS$1006,0))&gt;=100000), " ",IF(INDEX($AC$2:$AS$1001,MATCH(ROWS($V$2:V823),$V$2:$V$1001,0),MATCH(COLUMNS($AC$1006:AG1006),$AC$1006:$AS$1006,0)), HYPERLINK("#",""), HYPERLINK(CONCATENATE("#metadata!", ADDRESS(INDEX($X$2:$X$1001,MATCH(ROWS($V$2:V823),$V$2:$V$1001,0),0), INDEX($AC$1004:$AS$1004,1,MATCH(COLUMNS($AC$1006:AG1006),$AC$1006:$AS$1006,0)))),"Fix")))</f>
        <v xml:space="preserve"> </v>
      </c>
      <c r="G823" s="4" t="str">
        <f ca="1">IF(OR(INDEX($W$2:$W$1001,MATCH(ROWS($V$2:V823),$V$2:$V$1001,0),1)&gt;=100000,INDEX($AC$1005:$AS$1005,1,MATCH(COLUMNS($AC$1006:AH1006),$AC$1006:$AS$1006,0))&gt;=100000), " ",IF(INDEX($AC$2:$AS$1001,MATCH(ROWS($V$2:V823),$V$2:$V$1001,0),MATCH(COLUMNS($AC$1006:AH1006),$AC$1006:$AS$1006,0)), HYPERLINK("#",""), HYPERLINK(CONCATENATE("#metadata!", ADDRESS(INDEX($X$2:$X$1001,MATCH(ROWS($V$2:V823),$V$2:$V$1001,0),0), INDEX($AC$1004:$AS$1004,1,MATCH(COLUMNS($AC$1006:AH1006),$AC$1006:$AS$1006,0)))),"Fix")))</f>
        <v xml:space="preserve"> </v>
      </c>
      <c r="H823" s="4" t="str">
        <f ca="1">IF(OR(INDEX($W$2:$W$1001,MATCH(ROWS($V$2:V823),$V$2:$V$1001,0),1)&gt;=100000,INDEX($AC$1005:$AS$1005,1,MATCH(COLUMNS($AC$1006:AI1006),$AC$1006:$AS$1006,0))&gt;=100000), " ",IF(INDEX($AC$2:$AS$1001,MATCH(ROWS($V$2:V823),$V$2:$V$1001,0),MATCH(COLUMNS($AC$1006:AI1006),$AC$1006:$AS$1006,0)), HYPERLINK("#",""), HYPERLINK(CONCATENATE("#metadata!", ADDRESS(INDEX($X$2:$X$1001,MATCH(ROWS($V$2:V823),$V$2:$V$1001,0),0), INDEX($AC$1004:$AS$1004,1,MATCH(COLUMNS($AC$1006:AI1006),$AC$1006:$AS$1006,0)))),"Fix")))</f>
        <v xml:space="preserve"> </v>
      </c>
      <c r="I823" s="4" t="str">
        <f ca="1">IF(OR(INDEX($W$2:$W$1001,MATCH(ROWS($V$2:V823),$V$2:$V$1001,0),1)&gt;=100000,INDEX($AC$1005:$AS$1005,1,MATCH(COLUMNS($AC$1006:AJ1006),$AC$1006:$AS$1006,0))&gt;=100000), " ",IF(INDEX($AC$2:$AS$1001,MATCH(ROWS($V$2:V823),$V$2:$V$1001,0),MATCH(COLUMNS($AC$1006:AJ1006),$AC$1006:$AS$1006,0)), HYPERLINK("#",""), HYPERLINK(CONCATENATE("#metadata!", ADDRESS(INDEX($X$2:$X$1001,MATCH(ROWS($V$2:V823),$V$2:$V$1001,0),0), INDEX($AC$1004:$AS$1004,1,MATCH(COLUMNS($AC$1006:AJ1006),$AC$1006:$AS$1006,0)))),"Fix")))</f>
        <v xml:space="preserve"> </v>
      </c>
      <c r="J823" s="4" t="str">
        <f ca="1">IF(OR(INDEX($W$2:$W$1001,MATCH(ROWS($V$2:V823),$V$2:$V$1001,0),1)&gt;=100000,INDEX($AC$1005:$AS$1005,1,MATCH(COLUMNS($AC$1006:AK1006),$AC$1006:$AS$1006,0))&gt;=100000), " ",IF(INDEX($AC$2:$AS$1001,MATCH(ROWS($V$2:V823),$V$2:$V$1001,0),MATCH(COLUMNS($AC$1006:AK1006),$AC$1006:$AS$1006,0)), HYPERLINK("#",""), HYPERLINK(CONCATENATE("#metadata!", ADDRESS(INDEX($X$2:$X$1001,MATCH(ROWS($V$2:V823),$V$2:$V$1001,0),0), INDEX($AC$1004:$AS$1004,1,MATCH(COLUMNS($AC$1006:AK1006),$AC$1006:$AS$1006,0)))),"Fix")))</f>
        <v xml:space="preserve"> </v>
      </c>
      <c r="K823" s="4" t="str">
        <f ca="1">IF(OR(INDEX($W$2:$W$1001,MATCH(ROWS($V$2:V823),$V$2:$V$1001,0),1)&gt;=100000,INDEX($AC$1005:$AS$1005,1,MATCH(COLUMNS($AC$1006:AL1006),$AC$1006:$AS$1006,0))&gt;=100000), " ",IF(INDEX($AC$2:$AS$1001,MATCH(ROWS($V$2:V823),$V$2:$V$1001,0),MATCH(COLUMNS($AC$1006:AL1006),$AC$1006:$AS$1006,0)), HYPERLINK("#",""), HYPERLINK(CONCATENATE("#metadata!", ADDRESS(INDEX($X$2:$X$1001,MATCH(ROWS($V$2:V823),$V$2:$V$1001,0),0), INDEX($AC$1004:$AS$1004,1,MATCH(COLUMNS($AC$1006:AL1006),$AC$1006:$AS$1006,0)))),"Fix")))</f>
        <v xml:space="preserve"> </v>
      </c>
      <c r="L823" s="4" t="str">
        <f ca="1">IF(OR(INDEX($W$2:$W$1001,MATCH(ROWS($V$2:V823),$V$2:$V$1001,0),1)&gt;=100000,INDEX($AC$1005:$AS$1005,1,MATCH(COLUMNS($AC$1006:AM1006),$AC$1006:$AS$1006,0))&gt;=100000), " ",IF(INDEX($AC$2:$AS$1001,MATCH(ROWS($V$2:V823),$V$2:$V$1001,0),MATCH(COLUMNS($AC$1006:AM1006),$AC$1006:$AS$1006,0)), HYPERLINK("#",""), HYPERLINK(CONCATENATE("#metadata!", ADDRESS(INDEX($X$2:$X$1001,MATCH(ROWS($V$2:V823),$V$2:$V$1001,0),0), INDEX($AC$1004:$AS$1004,1,MATCH(COLUMNS($AC$1006:AM1006),$AC$1006:$AS$1006,0)))),"Fix")))</f>
        <v xml:space="preserve"> </v>
      </c>
      <c r="M823" s="4" t="str">
        <f ca="1">IF(OR(INDEX($W$2:$W$1001,MATCH(ROWS($V$2:V823),$V$2:$V$1001,0),1)&gt;=100000,INDEX($AC$1005:$AS$1005,1,MATCH(COLUMNS($AC$1006:AN1006),$AC$1006:$AS$1006,0))&gt;=100000), " ",IF(INDEX($AC$2:$AS$1001,MATCH(ROWS($V$2:V823),$V$2:$V$1001,0),MATCH(COLUMNS($AC$1006:AN1006),$AC$1006:$AS$1006,0)), HYPERLINK("#",""), HYPERLINK(CONCATENATE("#metadata!", ADDRESS(INDEX($X$2:$X$1001,MATCH(ROWS($V$2:V823),$V$2:$V$1001,0),0), INDEX($AC$1004:$AS$1004,1,MATCH(COLUMNS($AC$1006:AN1006),$AC$1006:$AS$1006,0)))),"Fix")))</f>
        <v xml:space="preserve"> </v>
      </c>
      <c r="N823" s="4" t="str">
        <f ca="1">IF(OR(INDEX($W$2:$W$1001,MATCH(ROWS($V$2:V823),$V$2:$V$1001,0),1)&gt;=100000,INDEX($AC$1005:$AS$1005,1,MATCH(COLUMNS($AC$1006:AO1006),$AC$1006:$AS$1006,0))&gt;=100000), " ",IF(INDEX($AC$2:$AS$1001,MATCH(ROWS($V$2:V823),$V$2:$V$1001,0),MATCH(COLUMNS($AC$1006:AO1006),$AC$1006:$AS$1006,0)), HYPERLINK("#",""), HYPERLINK(CONCATENATE("#metadata!", ADDRESS(INDEX($X$2:$X$1001,MATCH(ROWS($V$2:V823),$V$2:$V$1001,0),0), INDEX($AC$1004:$AS$1004,1,MATCH(COLUMNS($AC$1006:AO1006),$AC$1006:$AS$1006,0)))),"Fix")))</f>
        <v xml:space="preserve"> </v>
      </c>
      <c r="O823" s="4" t="str">
        <f ca="1">IF(OR(INDEX($W$2:$W$1001,MATCH(ROWS($V$2:V823),$V$2:$V$1001,0),1)&gt;=100000,INDEX($AC$1005:$AS$1005,1,MATCH(COLUMNS($AC$1006:AP1006),$AC$1006:$AS$1006,0))&gt;=100000), " ",IF(INDEX($AC$2:$AS$1001,MATCH(ROWS($V$2:V823),$V$2:$V$1001,0),MATCH(COLUMNS($AC$1006:AP1006),$AC$1006:$AS$1006,0)), HYPERLINK("#",""), HYPERLINK(CONCATENATE("#metadata!", ADDRESS(INDEX($X$2:$X$1001,MATCH(ROWS($V$2:V823),$V$2:$V$1001,0),0), INDEX($AC$1004:$AS$1004,1,MATCH(COLUMNS($AC$1006:AP1006),$AC$1006:$AS$1006,0)))),"Fix")))</f>
        <v xml:space="preserve"> </v>
      </c>
      <c r="P823" s="4" t="str">
        <f ca="1">IF(OR(INDEX($W$2:$W$1001,MATCH(ROWS($V$2:V823),$V$2:$V$1001,0),1)&gt;=100000,INDEX($AC$1005:$AS$1005,1,MATCH(COLUMNS($AC$1006:AQ1006),$AC$1006:$AS$1006,0))&gt;=100000), " ",IF(INDEX($AC$2:$AS$1001,MATCH(ROWS($V$2:V823),$V$2:$V$1001,0),MATCH(COLUMNS($AC$1006:AQ1006),$AC$1006:$AS$1006,0)), HYPERLINK("#",""), HYPERLINK(CONCATENATE("#metadata!", ADDRESS(INDEX($X$2:$X$1001,MATCH(ROWS($V$2:V823),$V$2:$V$1001,0),0), INDEX($AC$1004:$AS$1004,1,MATCH(COLUMNS($AC$1006:AQ1006),$AC$1006:$AS$1006,0)))),"Fix")))</f>
        <v xml:space="preserve"> </v>
      </c>
      <c r="Q823" s="4" t="str">
        <f ca="1">IF(OR(INDEX($W$2:$W$1001,MATCH(ROWS($V$2:V823),$V$2:$V$1001,0),1)&gt;=100000,INDEX($AC$1005:$AS$1005,1,MATCH(COLUMNS($AC$1006:AR1006),$AC$1006:$AS$1006,0))&gt;=100000), " ",IF(INDEX($AC$2:$AS$1001,MATCH(ROWS($V$2:V823),$V$2:$V$1001,0),MATCH(COLUMNS($AC$1006:AR1006),$AC$1006:$AS$1006,0)), HYPERLINK("#",""), HYPERLINK(CONCATENATE("#metadata!", ADDRESS(INDEX($X$2:$X$1001,MATCH(ROWS($V$2:V823),$V$2:$V$1001,0),0), INDEX($AC$1004:$AS$1004,1,MATCH(COLUMNS($AC$1006:AR1006),$AC$1006:$AS$1006,0)))),"Fix")))</f>
        <v xml:space="preserve"> </v>
      </c>
      <c r="R823" s="4" t="str">
        <f ca="1">IF(OR(INDEX($W$2:$W$1001,MATCH(ROWS($V$2:V823),$V$2:$V$1001,0),1)&gt;=100000,INDEX($AC$1005:$AS$1005,1,MATCH(COLUMNS($AC$1006:AS1006),$AC$1006:$AS$1006,0))&gt;=100000), " ",IF(INDEX($AC$2:$AS$1001,MATCH(ROWS($V$2:V823),$V$2:$V$1001,0),MATCH(COLUMNS($AC$1006:AS1006),$AC$1006:$AS$1006,0)), HYPERLINK("#",""), HYPERLINK(CONCATENATE("#metadata!", ADDRESS(INDEX($X$2:$X$1001,MATCH(ROWS($V$2:V823),$V$2:$V$1001,0),0), INDEX($AC$1004:$AS$1004,1,MATCH(COLUMNS($AC$1006:AS1006),$AC$1006:$AS$1006,0)))),"Fix")))</f>
        <v xml:space="preserve"> </v>
      </c>
      <c r="V823">
        <v>822</v>
      </c>
      <c r="W823">
        <v>100823</v>
      </c>
      <c r="X823">
        <v>823</v>
      </c>
      <c r="Y823" t="b">
        <f t="shared" si="12"/>
        <v>1</v>
      </c>
      <c r="Z823" t="b">
        <f>COUNTBLANK(metadata!B823:R823)=COLUMNS(metadata!B823:R823)</f>
        <v>1</v>
      </c>
      <c r="AA823" t="str">
        <v/>
      </c>
      <c r="AC823" t="b">
        <f ca="1"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AD823" t="b">
        <f>IF(metadata!C823="",FALSE,ISNUMBER(VALUE(metadata!C823)))</f>
        <v>0</v>
      </c>
      <c r="AE823" t="b">
        <f>AND(IF(metadata!D823="",FALSE,TRUE),EXACT(metadata!D823,"years"))</f>
        <v>0</v>
      </c>
      <c r="AF823" t="b">
        <f>OR(AND(IF(metadata!E823="",FALSE,TRUE),OR(EXACT(metadata!E823,"not applicable"),EXACT(metadata!E823,"missing: not collected"),EXACT(metadata!E823,"missing: not provided"),EXACT(metadata!E823,"missing: restricted access"))),AND(IF(metadata!E823="",FALSE,ISNUMBER(VALUE(metadata!E823))),metadata!E823&gt;0))</f>
        <v>0</v>
      </c>
      <c r="AG823" t="b">
        <f>AND(IF(metadata!F823="",FALSE,TRUE),EXACT(metadata!F823,"Not applicable"))</f>
        <v>0</v>
      </c>
      <c r="AH823" t="b">
        <f>AND(IF(metadata!G823="",FALSE,TRUE),EXACT(metadata!G823,"urban biome"))</f>
        <v>0</v>
      </c>
      <c r="AI823" t="b">
        <f>AND(IF(metadata!H823="",FALSE,TRUE),EXACT(metadata!H823,"human-associated habitat"))</f>
        <v>0</v>
      </c>
      <c r="AJ823" t="b">
        <f>AND(IF(metadata!I823="",FALSE,TRUE),OR(EXACT(metadata!I823,"human-associated"),EXACT(metadata!I823,"human-skin"),EXACT(metadata!I823,"human-oral"),EXACT(metadata!I823,"human-gut"),EXACT(metadata!I823,"human-vaginal")))</f>
        <v>0</v>
      </c>
      <c r="AK823" t="b">
        <f>IF(metadata!J823="",FALSE,ISNUMBER(VALUE(metadata!J823)))</f>
        <v>0</v>
      </c>
      <c r="AL823" t="b">
        <f>AND(IF(metadata!K823="",FALSE,TRUE),EXACT(metadata!K823,"cm"))</f>
        <v>0</v>
      </c>
      <c r="AM823" t="b">
        <f>AND(IF(metadata!L823="",FALSE,TRUE),EXACT(metadata!L823,"human"))</f>
        <v>0</v>
      </c>
      <c r="AN823" t="b">
        <f>AND(IF(metadata!M823="",FALSE,TRUE),EXACT(metadata!M823,"Homo sapiens"))</f>
        <v>0</v>
      </c>
      <c r="AO823" t="b">
        <f>AND(IF(metadata!N823="",FALSE,TRUE),EXACT(metadata!N823,"9606"))</f>
        <v>0</v>
      </c>
      <c r="AP823" t="b">
        <f>IF(metadata!O823="",FALSE,TRUE)</f>
        <v>0</v>
      </c>
      <c r="AQ823" t="b">
        <f>IF(metadata!P823="",FALSE,TRUE)</f>
        <v>0</v>
      </c>
      <c r="AR823" t="b">
        <f>IF(metadata!Q823="",FALSE,ISNUMBER(VALUE(metadata!Q823)))</f>
        <v>0</v>
      </c>
      <c r="AS823" t="b">
        <f>AND(IF(metadata!R823="",FALSE,TRUE),EXACT(metadata!R823,"kg"))</f>
        <v>0</v>
      </c>
    </row>
    <row r="824" spans="1:45" x14ac:dyDescent="0.2">
      <c r="A824" s="5" t="str">
        <f ca="1">IF(B824=" "," ",HYPERLINK(CONCATENATE("#metadata!",ADDRESS(INDEX($X$2:$X$1001,MATCH(ROWS($V$2:V824),$V$2:$V$1001,0),0),1)),INDEX($AA$2:$AA$1001,MATCH(ROWS($V$2:V824),$V$2:$V$1001,0),0)))</f>
        <v xml:space="preserve"> </v>
      </c>
      <c r="B824" s="4" t="str">
        <f ca="1">IF(OR(INDEX($W$2:$W$1001,MATCH(ROWS($V$2:V824),$V$2:$V$1001,0),1)&gt;=100000,INDEX($AC$1005:$AS$1005,1,MATCH(COLUMNS($AC$1006:AC1006),$AC$1006:$AS$1006,0))&gt;=100000), " ",IF(INDEX($AC$2:$AS$1001,MATCH(ROWS($V$2:V824),$V$2:$V$1001,0),MATCH(COLUMNS($AC$1006:AC1006),$AC$1006:$AS$1006,0)), HYPERLINK("#",""), HYPERLINK(CONCATENATE("#metadata!", ADDRESS(INDEX($X$2:$X$1001,MATCH(ROWS($V$2:V824),$V$2:$V$1001,0),0), INDEX($AC$1004:$AS$1004,1,MATCH(COLUMNS($AC$1006:AC1006),$AC$1006:$AS$1006,0)))),"Fix")))</f>
        <v xml:space="preserve"> </v>
      </c>
      <c r="C824" s="4" t="str">
        <f ca="1">IF(OR(INDEX($W$2:$W$1001,MATCH(ROWS($V$2:V824),$V$2:$V$1001,0),1)&gt;=100000,INDEX($AC$1005:$AS$1005,1,MATCH(COLUMNS($AC$1006:AD1006),$AC$1006:$AS$1006,0))&gt;=100000), " ",IF(INDEX($AC$2:$AS$1001,MATCH(ROWS($V$2:V824),$V$2:$V$1001,0),MATCH(COLUMNS($AC$1006:AD1006),$AC$1006:$AS$1006,0)), HYPERLINK("#",""), HYPERLINK(CONCATENATE("#metadata!", ADDRESS(INDEX($X$2:$X$1001,MATCH(ROWS($V$2:V824),$V$2:$V$1001,0),0), INDEX($AC$1004:$AS$1004,1,MATCH(COLUMNS($AC$1006:AD1006),$AC$1006:$AS$1006,0)))),"Fix")))</f>
        <v xml:space="preserve"> </v>
      </c>
      <c r="D824" s="4" t="str">
        <f ca="1">IF(OR(INDEX($W$2:$W$1001,MATCH(ROWS($V$2:V824),$V$2:$V$1001,0),1)&gt;=100000,INDEX($AC$1005:$AS$1005,1,MATCH(COLUMNS($AC$1006:AE1006),$AC$1006:$AS$1006,0))&gt;=100000), " ",IF(INDEX($AC$2:$AS$1001,MATCH(ROWS($V$2:V824),$V$2:$V$1001,0),MATCH(COLUMNS($AC$1006:AE1006),$AC$1006:$AS$1006,0)), HYPERLINK("#",""), HYPERLINK(CONCATENATE("#metadata!", ADDRESS(INDEX($X$2:$X$1001,MATCH(ROWS($V$2:V824),$V$2:$V$1001,0),0), INDEX($AC$1004:$AS$1004,1,MATCH(COLUMNS($AC$1006:AE1006),$AC$1006:$AS$1006,0)))),"Fix")))</f>
        <v xml:space="preserve"> </v>
      </c>
      <c r="E824" s="4" t="str">
        <f ca="1">IF(OR(INDEX($W$2:$W$1001,MATCH(ROWS($V$2:V824),$V$2:$V$1001,0),1)&gt;=100000,INDEX($AC$1005:$AS$1005,1,MATCH(COLUMNS($AC$1006:AF1006),$AC$1006:$AS$1006,0))&gt;=100000), " ",IF(INDEX($AC$2:$AS$1001,MATCH(ROWS($V$2:V824),$V$2:$V$1001,0),MATCH(COLUMNS($AC$1006:AF1006),$AC$1006:$AS$1006,0)), HYPERLINK("#",""), HYPERLINK(CONCATENATE("#metadata!", ADDRESS(INDEX($X$2:$X$1001,MATCH(ROWS($V$2:V824),$V$2:$V$1001,0),0), INDEX($AC$1004:$AS$1004,1,MATCH(COLUMNS($AC$1006:AF1006),$AC$1006:$AS$1006,0)))),"Fix")))</f>
        <v xml:space="preserve"> </v>
      </c>
      <c r="F824" s="4" t="str">
        <f ca="1">IF(OR(INDEX($W$2:$W$1001,MATCH(ROWS($V$2:V824),$V$2:$V$1001,0),1)&gt;=100000,INDEX($AC$1005:$AS$1005,1,MATCH(COLUMNS($AC$1006:AG1006),$AC$1006:$AS$1006,0))&gt;=100000), " ",IF(INDEX($AC$2:$AS$1001,MATCH(ROWS($V$2:V824),$V$2:$V$1001,0),MATCH(COLUMNS($AC$1006:AG1006),$AC$1006:$AS$1006,0)), HYPERLINK("#",""), HYPERLINK(CONCATENATE("#metadata!", ADDRESS(INDEX($X$2:$X$1001,MATCH(ROWS($V$2:V824),$V$2:$V$1001,0),0), INDEX($AC$1004:$AS$1004,1,MATCH(COLUMNS($AC$1006:AG1006),$AC$1006:$AS$1006,0)))),"Fix")))</f>
        <v xml:space="preserve"> </v>
      </c>
      <c r="G824" s="4" t="str">
        <f ca="1">IF(OR(INDEX($W$2:$W$1001,MATCH(ROWS($V$2:V824),$V$2:$V$1001,0),1)&gt;=100000,INDEX($AC$1005:$AS$1005,1,MATCH(COLUMNS($AC$1006:AH1006),$AC$1006:$AS$1006,0))&gt;=100000), " ",IF(INDEX($AC$2:$AS$1001,MATCH(ROWS($V$2:V824),$V$2:$V$1001,0),MATCH(COLUMNS($AC$1006:AH1006),$AC$1006:$AS$1006,0)), HYPERLINK("#",""), HYPERLINK(CONCATENATE("#metadata!", ADDRESS(INDEX($X$2:$X$1001,MATCH(ROWS($V$2:V824),$V$2:$V$1001,0),0), INDEX($AC$1004:$AS$1004,1,MATCH(COLUMNS($AC$1006:AH1006),$AC$1006:$AS$1006,0)))),"Fix")))</f>
        <v xml:space="preserve"> </v>
      </c>
      <c r="H824" s="4" t="str">
        <f ca="1">IF(OR(INDEX($W$2:$W$1001,MATCH(ROWS($V$2:V824),$V$2:$V$1001,0),1)&gt;=100000,INDEX($AC$1005:$AS$1005,1,MATCH(COLUMNS($AC$1006:AI1006),$AC$1006:$AS$1006,0))&gt;=100000), " ",IF(INDEX($AC$2:$AS$1001,MATCH(ROWS($V$2:V824),$V$2:$V$1001,0),MATCH(COLUMNS($AC$1006:AI1006),$AC$1006:$AS$1006,0)), HYPERLINK("#",""), HYPERLINK(CONCATENATE("#metadata!", ADDRESS(INDEX($X$2:$X$1001,MATCH(ROWS($V$2:V824),$V$2:$V$1001,0),0), INDEX($AC$1004:$AS$1004,1,MATCH(COLUMNS($AC$1006:AI1006),$AC$1006:$AS$1006,0)))),"Fix")))</f>
        <v xml:space="preserve"> </v>
      </c>
      <c r="I824" s="4" t="str">
        <f ca="1">IF(OR(INDEX($W$2:$W$1001,MATCH(ROWS($V$2:V824),$V$2:$V$1001,0),1)&gt;=100000,INDEX($AC$1005:$AS$1005,1,MATCH(COLUMNS($AC$1006:AJ1006),$AC$1006:$AS$1006,0))&gt;=100000), " ",IF(INDEX($AC$2:$AS$1001,MATCH(ROWS($V$2:V824),$V$2:$V$1001,0),MATCH(COLUMNS($AC$1006:AJ1006),$AC$1006:$AS$1006,0)), HYPERLINK("#",""), HYPERLINK(CONCATENATE("#metadata!", ADDRESS(INDEX($X$2:$X$1001,MATCH(ROWS($V$2:V824),$V$2:$V$1001,0),0), INDEX($AC$1004:$AS$1004,1,MATCH(COLUMNS($AC$1006:AJ1006),$AC$1006:$AS$1006,0)))),"Fix")))</f>
        <v xml:space="preserve"> </v>
      </c>
      <c r="J824" s="4" t="str">
        <f ca="1">IF(OR(INDEX($W$2:$W$1001,MATCH(ROWS($V$2:V824),$V$2:$V$1001,0),1)&gt;=100000,INDEX($AC$1005:$AS$1005,1,MATCH(COLUMNS($AC$1006:AK1006),$AC$1006:$AS$1006,0))&gt;=100000), " ",IF(INDEX($AC$2:$AS$1001,MATCH(ROWS($V$2:V824),$V$2:$V$1001,0),MATCH(COLUMNS($AC$1006:AK1006),$AC$1006:$AS$1006,0)), HYPERLINK("#",""), HYPERLINK(CONCATENATE("#metadata!", ADDRESS(INDEX($X$2:$X$1001,MATCH(ROWS($V$2:V824),$V$2:$V$1001,0),0), INDEX($AC$1004:$AS$1004,1,MATCH(COLUMNS($AC$1006:AK1006),$AC$1006:$AS$1006,0)))),"Fix")))</f>
        <v xml:space="preserve"> </v>
      </c>
      <c r="K824" s="4" t="str">
        <f ca="1">IF(OR(INDEX($W$2:$W$1001,MATCH(ROWS($V$2:V824),$V$2:$V$1001,0),1)&gt;=100000,INDEX($AC$1005:$AS$1005,1,MATCH(COLUMNS($AC$1006:AL1006),$AC$1006:$AS$1006,0))&gt;=100000), " ",IF(INDEX($AC$2:$AS$1001,MATCH(ROWS($V$2:V824),$V$2:$V$1001,0),MATCH(COLUMNS($AC$1006:AL1006),$AC$1006:$AS$1006,0)), HYPERLINK("#",""), HYPERLINK(CONCATENATE("#metadata!", ADDRESS(INDEX($X$2:$X$1001,MATCH(ROWS($V$2:V824),$V$2:$V$1001,0),0), INDEX($AC$1004:$AS$1004,1,MATCH(COLUMNS($AC$1006:AL1006),$AC$1006:$AS$1006,0)))),"Fix")))</f>
        <v xml:space="preserve"> </v>
      </c>
      <c r="L824" s="4" t="str">
        <f ca="1">IF(OR(INDEX($W$2:$W$1001,MATCH(ROWS($V$2:V824),$V$2:$V$1001,0),1)&gt;=100000,INDEX($AC$1005:$AS$1005,1,MATCH(COLUMNS($AC$1006:AM1006),$AC$1006:$AS$1006,0))&gt;=100000), " ",IF(INDEX($AC$2:$AS$1001,MATCH(ROWS($V$2:V824),$V$2:$V$1001,0),MATCH(COLUMNS($AC$1006:AM1006),$AC$1006:$AS$1006,0)), HYPERLINK("#",""), HYPERLINK(CONCATENATE("#metadata!", ADDRESS(INDEX($X$2:$X$1001,MATCH(ROWS($V$2:V824),$V$2:$V$1001,0),0), INDEX($AC$1004:$AS$1004,1,MATCH(COLUMNS($AC$1006:AM1006),$AC$1006:$AS$1006,0)))),"Fix")))</f>
        <v xml:space="preserve"> </v>
      </c>
      <c r="M824" s="4" t="str">
        <f ca="1">IF(OR(INDEX($W$2:$W$1001,MATCH(ROWS($V$2:V824),$V$2:$V$1001,0),1)&gt;=100000,INDEX($AC$1005:$AS$1005,1,MATCH(COLUMNS($AC$1006:AN1006),$AC$1006:$AS$1006,0))&gt;=100000), " ",IF(INDEX($AC$2:$AS$1001,MATCH(ROWS($V$2:V824),$V$2:$V$1001,0),MATCH(COLUMNS($AC$1006:AN1006),$AC$1006:$AS$1006,0)), HYPERLINK("#",""), HYPERLINK(CONCATENATE("#metadata!", ADDRESS(INDEX($X$2:$X$1001,MATCH(ROWS($V$2:V824),$V$2:$V$1001,0),0), INDEX($AC$1004:$AS$1004,1,MATCH(COLUMNS($AC$1006:AN1006),$AC$1006:$AS$1006,0)))),"Fix")))</f>
        <v xml:space="preserve"> </v>
      </c>
      <c r="N824" s="4" t="str">
        <f ca="1">IF(OR(INDEX($W$2:$W$1001,MATCH(ROWS($V$2:V824),$V$2:$V$1001,0),1)&gt;=100000,INDEX($AC$1005:$AS$1005,1,MATCH(COLUMNS($AC$1006:AO1006),$AC$1006:$AS$1006,0))&gt;=100000), " ",IF(INDEX($AC$2:$AS$1001,MATCH(ROWS($V$2:V824),$V$2:$V$1001,0),MATCH(COLUMNS($AC$1006:AO1006),$AC$1006:$AS$1006,0)), HYPERLINK("#",""), HYPERLINK(CONCATENATE("#metadata!", ADDRESS(INDEX($X$2:$X$1001,MATCH(ROWS($V$2:V824),$V$2:$V$1001,0),0), INDEX($AC$1004:$AS$1004,1,MATCH(COLUMNS($AC$1006:AO1006),$AC$1006:$AS$1006,0)))),"Fix")))</f>
        <v xml:space="preserve"> </v>
      </c>
      <c r="O824" s="4" t="str">
        <f ca="1">IF(OR(INDEX($W$2:$W$1001,MATCH(ROWS($V$2:V824),$V$2:$V$1001,0),1)&gt;=100000,INDEX($AC$1005:$AS$1005,1,MATCH(COLUMNS($AC$1006:AP1006),$AC$1006:$AS$1006,0))&gt;=100000), " ",IF(INDEX($AC$2:$AS$1001,MATCH(ROWS($V$2:V824),$V$2:$V$1001,0),MATCH(COLUMNS($AC$1006:AP1006),$AC$1006:$AS$1006,0)), HYPERLINK("#",""), HYPERLINK(CONCATENATE("#metadata!", ADDRESS(INDEX($X$2:$X$1001,MATCH(ROWS($V$2:V824),$V$2:$V$1001,0),0), INDEX($AC$1004:$AS$1004,1,MATCH(COLUMNS($AC$1006:AP1006),$AC$1006:$AS$1006,0)))),"Fix")))</f>
        <v xml:space="preserve"> </v>
      </c>
      <c r="P824" s="4" t="str">
        <f ca="1">IF(OR(INDEX($W$2:$W$1001,MATCH(ROWS($V$2:V824),$V$2:$V$1001,0),1)&gt;=100000,INDEX($AC$1005:$AS$1005,1,MATCH(COLUMNS($AC$1006:AQ1006),$AC$1006:$AS$1006,0))&gt;=100000), " ",IF(INDEX($AC$2:$AS$1001,MATCH(ROWS($V$2:V824),$V$2:$V$1001,0),MATCH(COLUMNS($AC$1006:AQ1006),$AC$1006:$AS$1006,0)), HYPERLINK("#",""), HYPERLINK(CONCATENATE("#metadata!", ADDRESS(INDEX($X$2:$X$1001,MATCH(ROWS($V$2:V824),$V$2:$V$1001,0),0), INDEX($AC$1004:$AS$1004,1,MATCH(COLUMNS($AC$1006:AQ1006),$AC$1006:$AS$1006,0)))),"Fix")))</f>
        <v xml:space="preserve"> </v>
      </c>
      <c r="Q824" s="4" t="str">
        <f ca="1">IF(OR(INDEX($W$2:$W$1001,MATCH(ROWS($V$2:V824),$V$2:$V$1001,0),1)&gt;=100000,INDEX($AC$1005:$AS$1005,1,MATCH(COLUMNS($AC$1006:AR1006),$AC$1006:$AS$1006,0))&gt;=100000), " ",IF(INDEX($AC$2:$AS$1001,MATCH(ROWS($V$2:V824),$V$2:$V$1001,0),MATCH(COLUMNS($AC$1006:AR1006),$AC$1006:$AS$1006,0)), HYPERLINK("#",""), HYPERLINK(CONCATENATE("#metadata!", ADDRESS(INDEX($X$2:$X$1001,MATCH(ROWS($V$2:V824),$V$2:$V$1001,0),0), INDEX($AC$1004:$AS$1004,1,MATCH(COLUMNS($AC$1006:AR1006),$AC$1006:$AS$1006,0)))),"Fix")))</f>
        <v xml:space="preserve"> </v>
      </c>
      <c r="R824" s="4" t="str">
        <f ca="1">IF(OR(INDEX($W$2:$W$1001,MATCH(ROWS($V$2:V824),$V$2:$V$1001,0),1)&gt;=100000,INDEX($AC$1005:$AS$1005,1,MATCH(COLUMNS($AC$1006:AS1006),$AC$1006:$AS$1006,0))&gt;=100000), " ",IF(INDEX($AC$2:$AS$1001,MATCH(ROWS($V$2:V824),$V$2:$V$1001,0),MATCH(COLUMNS($AC$1006:AS1006),$AC$1006:$AS$1006,0)), HYPERLINK("#",""), HYPERLINK(CONCATENATE("#metadata!", ADDRESS(INDEX($X$2:$X$1001,MATCH(ROWS($V$2:V824),$V$2:$V$1001,0),0), INDEX($AC$1004:$AS$1004,1,MATCH(COLUMNS($AC$1006:AS1006),$AC$1006:$AS$1006,0)))),"Fix")))</f>
        <v xml:space="preserve"> </v>
      </c>
      <c r="V824">
        <v>823</v>
      </c>
      <c r="W824">
        <v>100824</v>
      </c>
      <c r="X824">
        <v>824</v>
      </c>
      <c r="Y824" t="b">
        <f t="shared" si="12"/>
        <v>1</v>
      </c>
      <c r="Z824" t="b">
        <f>COUNTBLANK(metadata!B824:R824)=COLUMNS(metadata!B824:R824)</f>
        <v>1</v>
      </c>
      <c r="AA824" t="str">
        <v/>
      </c>
      <c r="AC824" t="b">
        <f ca="1"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AD824" t="b">
        <f>IF(metadata!C824="",FALSE,ISNUMBER(VALUE(metadata!C824)))</f>
        <v>0</v>
      </c>
      <c r="AE824" t="b">
        <f>AND(IF(metadata!D824="",FALSE,TRUE),EXACT(metadata!D824,"years"))</f>
        <v>0</v>
      </c>
      <c r="AF824" t="b">
        <f>OR(AND(IF(metadata!E824="",FALSE,TRUE),OR(EXACT(metadata!E824,"not applicable"),EXACT(metadata!E824,"missing: not collected"),EXACT(metadata!E824,"missing: not provided"),EXACT(metadata!E824,"missing: restricted access"))),AND(IF(metadata!E824="",FALSE,ISNUMBER(VALUE(metadata!E824))),metadata!E824&gt;0))</f>
        <v>0</v>
      </c>
      <c r="AG824" t="b">
        <f>AND(IF(metadata!F824="",FALSE,TRUE),EXACT(metadata!F824,"Not applicable"))</f>
        <v>0</v>
      </c>
      <c r="AH824" t="b">
        <f>AND(IF(metadata!G824="",FALSE,TRUE),EXACT(metadata!G824,"urban biome"))</f>
        <v>0</v>
      </c>
      <c r="AI824" t="b">
        <f>AND(IF(metadata!H824="",FALSE,TRUE),EXACT(metadata!H824,"human-associated habitat"))</f>
        <v>0</v>
      </c>
      <c r="AJ824" t="b">
        <f>AND(IF(metadata!I824="",FALSE,TRUE),OR(EXACT(metadata!I824,"human-associated"),EXACT(metadata!I824,"human-skin"),EXACT(metadata!I824,"human-oral"),EXACT(metadata!I824,"human-gut"),EXACT(metadata!I824,"human-vaginal")))</f>
        <v>0</v>
      </c>
      <c r="AK824" t="b">
        <f>IF(metadata!J824="",FALSE,ISNUMBER(VALUE(metadata!J824)))</f>
        <v>0</v>
      </c>
      <c r="AL824" t="b">
        <f>AND(IF(metadata!K824="",FALSE,TRUE),EXACT(metadata!K824,"cm"))</f>
        <v>0</v>
      </c>
      <c r="AM824" t="b">
        <f>AND(IF(metadata!L824="",FALSE,TRUE),EXACT(metadata!L824,"human"))</f>
        <v>0</v>
      </c>
      <c r="AN824" t="b">
        <f>AND(IF(metadata!M824="",FALSE,TRUE),EXACT(metadata!M824,"Homo sapiens"))</f>
        <v>0</v>
      </c>
      <c r="AO824" t="b">
        <f>AND(IF(metadata!N824="",FALSE,TRUE),EXACT(metadata!N824,"9606"))</f>
        <v>0</v>
      </c>
      <c r="AP824" t="b">
        <f>IF(metadata!O824="",FALSE,TRUE)</f>
        <v>0</v>
      </c>
      <c r="AQ824" t="b">
        <f>IF(metadata!P824="",FALSE,TRUE)</f>
        <v>0</v>
      </c>
      <c r="AR824" t="b">
        <f>IF(metadata!Q824="",FALSE,ISNUMBER(VALUE(metadata!Q824)))</f>
        <v>0</v>
      </c>
      <c r="AS824" t="b">
        <f>AND(IF(metadata!R824="",FALSE,TRUE),EXACT(metadata!R824,"kg"))</f>
        <v>0</v>
      </c>
    </row>
    <row r="825" spans="1:45" x14ac:dyDescent="0.2">
      <c r="A825" s="5" t="str">
        <f ca="1">IF(B825=" "," ",HYPERLINK(CONCATENATE("#metadata!",ADDRESS(INDEX($X$2:$X$1001,MATCH(ROWS($V$2:V825),$V$2:$V$1001,0),0),1)),INDEX($AA$2:$AA$1001,MATCH(ROWS($V$2:V825),$V$2:$V$1001,0),0)))</f>
        <v xml:space="preserve"> </v>
      </c>
      <c r="B825" s="4" t="str">
        <f ca="1">IF(OR(INDEX($W$2:$W$1001,MATCH(ROWS($V$2:V825),$V$2:$V$1001,0),1)&gt;=100000,INDEX($AC$1005:$AS$1005,1,MATCH(COLUMNS($AC$1006:AC1006),$AC$1006:$AS$1006,0))&gt;=100000), " ",IF(INDEX($AC$2:$AS$1001,MATCH(ROWS($V$2:V825),$V$2:$V$1001,0),MATCH(COLUMNS($AC$1006:AC1006),$AC$1006:$AS$1006,0)), HYPERLINK("#",""), HYPERLINK(CONCATENATE("#metadata!", ADDRESS(INDEX($X$2:$X$1001,MATCH(ROWS($V$2:V825),$V$2:$V$1001,0),0), INDEX($AC$1004:$AS$1004,1,MATCH(COLUMNS($AC$1006:AC1006),$AC$1006:$AS$1006,0)))),"Fix")))</f>
        <v xml:space="preserve"> </v>
      </c>
      <c r="C825" s="4" t="str">
        <f ca="1">IF(OR(INDEX($W$2:$W$1001,MATCH(ROWS($V$2:V825),$V$2:$V$1001,0),1)&gt;=100000,INDEX($AC$1005:$AS$1005,1,MATCH(COLUMNS($AC$1006:AD1006),$AC$1006:$AS$1006,0))&gt;=100000), " ",IF(INDEX($AC$2:$AS$1001,MATCH(ROWS($V$2:V825),$V$2:$V$1001,0),MATCH(COLUMNS($AC$1006:AD1006),$AC$1006:$AS$1006,0)), HYPERLINK("#",""), HYPERLINK(CONCATENATE("#metadata!", ADDRESS(INDEX($X$2:$X$1001,MATCH(ROWS($V$2:V825),$V$2:$V$1001,0),0), INDEX($AC$1004:$AS$1004,1,MATCH(COLUMNS($AC$1006:AD1006),$AC$1006:$AS$1006,0)))),"Fix")))</f>
        <v xml:space="preserve"> </v>
      </c>
      <c r="D825" s="4" t="str">
        <f ca="1">IF(OR(INDEX($W$2:$W$1001,MATCH(ROWS($V$2:V825),$V$2:$V$1001,0),1)&gt;=100000,INDEX($AC$1005:$AS$1005,1,MATCH(COLUMNS($AC$1006:AE1006),$AC$1006:$AS$1006,0))&gt;=100000), " ",IF(INDEX($AC$2:$AS$1001,MATCH(ROWS($V$2:V825),$V$2:$V$1001,0),MATCH(COLUMNS($AC$1006:AE1006),$AC$1006:$AS$1006,0)), HYPERLINK("#",""), HYPERLINK(CONCATENATE("#metadata!", ADDRESS(INDEX($X$2:$X$1001,MATCH(ROWS($V$2:V825),$V$2:$V$1001,0),0), INDEX($AC$1004:$AS$1004,1,MATCH(COLUMNS($AC$1006:AE1006),$AC$1006:$AS$1006,0)))),"Fix")))</f>
        <v xml:space="preserve"> </v>
      </c>
      <c r="E825" s="4" t="str">
        <f ca="1">IF(OR(INDEX($W$2:$W$1001,MATCH(ROWS($V$2:V825),$V$2:$V$1001,0),1)&gt;=100000,INDEX($AC$1005:$AS$1005,1,MATCH(COLUMNS($AC$1006:AF1006),$AC$1006:$AS$1006,0))&gt;=100000), " ",IF(INDEX($AC$2:$AS$1001,MATCH(ROWS($V$2:V825),$V$2:$V$1001,0),MATCH(COLUMNS($AC$1006:AF1006),$AC$1006:$AS$1006,0)), HYPERLINK("#",""), HYPERLINK(CONCATENATE("#metadata!", ADDRESS(INDEX($X$2:$X$1001,MATCH(ROWS($V$2:V825),$V$2:$V$1001,0),0), INDEX($AC$1004:$AS$1004,1,MATCH(COLUMNS($AC$1006:AF1006),$AC$1006:$AS$1006,0)))),"Fix")))</f>
        <v xml:space="preserve"> </v>
      </c>
      <c r="F825" s="4" t="str">
        <f ca="1">IF(OR(INDEX($W$2:$W$1001,MATCH(ROWS($V$2:V825),$V$2:$V$1001,0),1)&gt;=100000,INDEX($AC$1005:$AS$1005,1,MATCH(COLUMNS($AC$1006:AG1006),$AC$1006:$AS$1006,0))&gt;=100000), " ",IF(INDEX($AC$2:$AS$1001,MATCH(ROWS($V$2:V825),$V$2:$V$1001,0),MATCH(COLUMNS($AC$1006:AG1006),$AC$1006:$AS$1006,0)), HYPERLINK("#",""), HYPERLINK(CONCATENATE("#metadata!", ADDRESS(INDEX($X$2:$X$1001,MATCH(ROWS($V$2:V825),$V$2:$V$1001,0),0), INDEX($AC$1004:$AS$1004,1,MATCH(COLUMNS($AC$1006:AG1006),$AC$1006:$AS$1006,0)))),"Fix")))</f>
        <v xml:space="preserve"> </v>
      </c>
      <c r="G825" s="4" t="str">
        <f ca="1">IF(OR(INDEX($W$2:$W$1001,MATCH(ROWS($V$2:V825),$V$2:$V$1001,0),1)&gt;=100000,INDEX($AC$1005:$AS$1005,1,MATCH(COLUMNS($AC$1006:AH1006),$AC$1006:$AS$1006,0))&gt;=100000), " ",IF(INDEX($AC$2:$AS$1001,MATCH(ROWS($V$2:V825),$V$2:$V$1001,0),MATCH(COLUMNS($AC$1006:AH1006),$AC$1006:$AS$1006,0)), HYPERLINK("#",""), HYPERLINK(CONCATENATE("#metadata!", ADDRESS(INDEX($X$2:$X$1001,MATCH(ROWS($V$2:V825),$V$2:$V$1001,0),0), INDEX($AC$1004:$AS$1004,1,MATCH(COLUMNS($AC$1006:AH1006),$AC$1006:$AS$1006,0)))),"Fix")))</f>
        <v xml:space="preserve"> </v>
      </c>
      <c r="H825" s="4" t="str">
        <f ca="1">IF(OR(INDEX($W$2:$W$1001,MATCH(ROWS($V$2:V825),$V$2:$V$1001,0),1)&gt;=100000,INDEX($AC$1005:$AS$1005,1,MATCH(COLUMNS($AC$1006:AI1006),$AC$1006:$AS$1006,0))&gt;=100000), " ",IF(INDEX($AC$2:$AS$1001,MATCH(ROWS($V$2:V825),$V$2:$V$1001,0),MATCH(COLUMNS($AC$1006:AI1006),$AC$1006:$AS$1006,0)), HYPERLINK("#",""), HYPERLINK(CONCATENATE("#metadata!", ADDRESS(INDEX($X$2:$X$1001,MATCH(ROWS($V$2:V825),$V$2:$V$1001,0),0), INDEX($AC$1004:$AS$1004,1,MATCH(COLUMNS($AC$1006:AI1006),$AC$1006:$AS$1006,0)))),"Fix")))</f>
        <v xml:space="preserve"> </v>
      </c>
      <c r="I825" s="4" t="str">
        <f ca="1">IF(OR(INDEX($W$2:$W$1001,MATCH(ROWS($V$2:V825),$V$2:$V$1001,0),1)&gt;=100000,INDEX($AC$1005:$AS$1005,1,MATCH(COLUMNS($AC$1006:AJ1006),$AC$1006:$AS$1006,0))&gt;=100000), " ",IF(INDEX($AC$2:$AS$1001,MATCH(ROWS($V$2:V825),$V$2:$V$1001,0),MATCH(COLUMNS($AC$1006:AJ1006),$AC$1006:$AS$1006,0)), HYPERLINK("#",""), HYPERLINK(CONCATENATE("#metadata!", ADDRESS(INDEX($X$2:$X$1001,MATCH(ROWS($V$2:V825),$V$2:$V$1001,0),0), INDEX($AC$1004:$AS$1004,1,MATCH(COLUMNS($AC$1006:AJ1006),$AC$1006:$AS$1006,0)))),"Fix")))</f>
        <v xml:space="preserve"> </v>
      </c>
      <c r="J825" s="4" t="str">
        <f ca="1">IF(OR(INDEX($W$2:$W$1001,MATCH(ROWS($V$2:V825),$V$2:$V$1001,0),1)&gt;=100000,INDEX($AC$1005:$AS$1005,1,MATCH(COLUMNS($AC$1006:AK1006),$AC$1006:$AS$1006,0))&gt;=100000), " ",IF(INDEX($AC$2:$AS$1001,MATCH(ROWS($V$2:V825),$V$2:$V$1001,0),MATCH(COLUMNS($AC$1006:AK1006),$AC$1006:$AS$1006,0)), HYPERLINK("#",""), HYPERLINK(CONCATENATE("#metadata!", ADDRESS(INDEX($X$2:$X$1001,MATCH(ROWS($V$2:V825),$V$2:$V$1001,0),0), INDEX($AC$1004:$AS$1004,1,MATCH(COLUMNS($AC$1006:AK1006),$AC$1006:$AS$1006,0)))),"Fix")))</f>
        <v xml:space="preserve"> </v>
      </c>
      <c r="K825" s="4" t="str">
        <f ca="1">IF(OR(INDEX($W$2:$W$1001,MATCH(ROWS($V$2:V825),$V$2:$V$1001,0),1)&gt;=100000,INDEX($AC$1005:$AS$1005,1,MATCH(COLUMNS($AC$1006:AL1006),$AC$1006:$AS$1006,0))&gt;=100000), " ",IF(INDEX($AC$2:$AS$1001,MATCH(ROWS($V$2:V825),$V$2:$V$1001,0),MATCH(COLUMNS($AC$1006:AL1006),$AC$1006:$AS$1006,0)), HYPERLINK("#",""), HYPERLINK(CONCATENATE("#metadata!", ADDRESS(INDEX($X$2:$X$1001,MATCH(ROWS($V$2:V825),$V$2:$V$1001,0),0), INDEX($AC$1004:$AS$1004,1,MATCH(COLUMNS($AC$1006:AL1006),$AC$1006:$AS$1006,0)))),"Fix")))</f>
        <v xml:space="preserve"> </v>
      </c>
      <c r="L825" s="4" t="str">
        <f ca="1">IF(OR(INDEX($W$2:$W$1001,MATCH(ROWS($V$2:V825),$V$2:$V$1001,0),1)&gt;=100000,INDEX($AC$1005:$AS$1005,1,MATCH(COLUMNS($AC$1006:AM1006),$AC$1006:$AS$1006,0))&gt;=100000), " ",IF(INDEX($AC$2:$AS$1001,MATCH(ROWS($V$2:V825),$V$2:$V$1001,0),MATCH(COLUMNS($AC$1006:AM1006),$AC$1006:$AS$1006,0)), HYPERLINK("#",""), HYPERLINK(CONCATENATE("#metadata!", ADDRESS(INDEX($X$2:$X$1001,MATCH(ROWS($V$2:V825),$V$2:$V$1001,0),0), INDEX($AC$1004:$AS$1004,1,MATCH(COLUMNS($AC$1006:AM1006),$AC$1006:$AS$1006,0)))),"Fix")))</f>
        <v xml:space="preserve"> </v>
      </c>
      <c r="M825" s="4" t="str">
        <f ca="1">IF(OR(INDEX($W$2:$W$1001,MATCH(ROWS($V$2:V825),$V$2:$V$1001,0),1)&gt;=100000,INDEX($AC$1005:$AS$1005,1,MATCH(COLUMNS($AC$1006:AN1006),$AC$1006:$AS$1006,0))&gt;=100000), " ",IF(INDEX($AC$2:$AS$1001,MATCH(ROWS($V$2:V825),$V$2:$V$1001,0),MATCH(COLUMNS($AC$1006:AN1006),$AC$1006:$AS$1006,0)), HYPERLINK("#",""), HYPERLINK(CONCATENATE("#metadata!", ADDRESS(INDEX($X$2:$X$1001,MATCH(ROWS($V$2:V825),$V$2:$V$1001,0),0), INDEX($AC$1004:$AS$1004,1,MATCH(COLUMNS($AC$1006:AN1006),$AC$1006:$AS$1006,0)))),"Fix")))</f>
        <v xml:space="preserve"> </v>
      </c>
      <c r="N825" s="4" t="str">
        <f ca="1">IF(OR(INDEX($W$2:$W$1001,MATCH(ROWS($V$2:V825),$V$2:$V$1001,0),1)&gt;=100000,INDEX($AC$1005:$AS$1005,1,MATCH(COLUMNS($AC$1006:AO1006),$AC$1006:$AS$1006,0))&gt;=100000), " ",IF(INDEX($AC$2:$AS$1001,MATCH(ROWS($V$2:V825),$V$2:$V$1001,0),MATCH(COLUMNS($AC$1006:AO1006),$AC$1006:$AS$1006,0)), HYPERLINK("#",""), HYPERLINK(CONCATENATE("#metadata!", ADDRESS(INDEX($X$2:$X$1001,MATCH(ROWS($V$2:V825),$V$2:$V$1001,0),0), INDEX($AC$1004:$AS$1004,1,MATCH(COLUMNS($AC$1006:AO1006),$AC$1006:$AS$1006,0)))),"Fix")))</f>
        <v xml:space="preserve"> </v>
      </c>
      <c r="O825" s="4" t="str">
        <f ca="1">IF(OR(INDEX($W$2:$W$1001,MATCH(ROWS($V$2:V825),$V$2:$V$1001,0),1)&gt;=100000,INDEX($AC$1005:$AS$1005,1,MATCH(COLUMNS($AC$1006:AP1006),$AC$1006:$AS$1006,0))&gt;=100000), " ",IF(INDEX($AC$2:$AS$1001,MATCH(ROWS($V$2:V825),$V$2:$V$1001,0),MATCH(COLUMNS($AC$1006:AP1006),$AC$1006:$AS$1006,0)), HYPERLINK("#",""), HYPERLINK(CONCATENATE("#metadata!", ADDRESS(INDEX($X$2:$X$1001,MATCH(ROWS($V$2:V825),$V$2:$V$1001,0),0), INDEX($AC$1004:$AS$1004,1,MATCH(COLUMNS($AC$1006:AP1006),$AC$1006:$AS$1006,0)))),"Fix")))</f>
        <v xml:space="preserve"> </v>
      </c>
      <c r="P825" s="4" t="str">
        <f ca="1">IF(OR(INDEX($W$2:$W$1001,MATCH(ROWS($V$2:V825),$V$2:$V$1001,0),1)&gt;=100000,INDEX($AC$1005:$AS$1005,1,MATCH(COLUMNS($AC$1006:AQ1006),$AC$1006:$AS$1006,0))&gt;=100000), " ",IF(INDEX($AC$2:$AS$1001,MATCH(ROWS($V$2:V825),$V$2:$V$1001,0),MATCH(COLUMNS($AC$1006:AQ1006),$AC$1006:$AS$1006,0)), HYPERLINK("#",""), HYPERLINK(CONCATENATE("#metadata!", ADDRESS(INDEX($X$2:$X$1001,MATCH(ROWS($V$2:V825),$V$2:$V$1001,0),0), INDEX($AC$1004:$AS$1004,1,MATCH(COLUMNS($AC$1006:AQ1006),$AC$1006:$AS$1006,0)))),"Fix")))</f>
        <v xml:space="preserve"> </v>
      </c>
      <c r="Q825" s="4" t="str">
        <f ca="1">IF(OR(INDEX($W$2:$W$1001,MATCH(ROWS($V$2:V825),$V$2:$V$1001,0),1)&gt;=100000,INDEX($AC$1005:$AS$1005,1,MATCH(COLUMNS($AC$1006:AR1006),$AC$1006:$AS$1006,0))&gt;=100000), " ",IF(INDEX($AC$2:$AS$1001,MATCH(ROWS($V$2:V825),$V$2:$V$1001,0),MATCH(COLUMNS($AC$1006:AR1006),$AC$1006:$AS$1006,0)), HYPERLINK("#",""), HYPERLINK(CONCATENATE("#metadata!", ADDRESS(INDEX($X$2:$X$1001,MATCH(ROWS($V$2:V825),$V$2:$V$1001,0),0), INDEX($AC$1004:$AS$1004,1,MATCH(COLUMNS($AC$1006:AR1006),$AC$1006:$AS$1006,0)))),"Fix")))</f>
        <v xml:space="preserve"> </v>
      </c>
      <c r="R825" s="4" t="str">
        <f ca="1">IF(OR(INDEX($W$2:$W$1001,MATCH(ROWS($V$2:V825),$V$2:$V$1001,0),1)&gt;=100000,INDEX($AC$1005:$AS$1005,1,MATCH(COLUMNS($AC$1006:AS1006),$AC$1006:$AS$1006,0))&gt;=100000), " ",IF(INDEX($AC$2:$AS$1001,MATCH(ROWS($V$2:V825),$V$2:$V$1001,0),MATCH(COLUMNS($AC$1006:AS1006),$AC$1006:$AS$1006,0)), HYPERLINK("#",""), HYPERLINK(CONCATENATE("#metadata!", ADDRESS(INDEX($X$2:$X$1001,MATCH(ROWS($V$2:V825),$V$2:$V$1001,0),0), INDEX($AC$1004:$AS$1004,1,MATCH(COLUMNS($AC$1006:AS1006),$AC$1006:$AS$1006,0)))),"Fix")))</f>
        <v xml:space="preserve"> </v>
      </c>
      <c r="V825">
        <v>824</v>
      </c>
      <c r="W825">
        <v>100825</v>
      </c>
      <c r="X825">
        <v>825</v>
      </c>
      <c r="Y825" t="b">
        <f t="shared" si="12"/>
        <v>1</v>
      </c>
      <c r="Z825" t="b">
        <f>COUNTBLANK(metadata!B825:R825)=COLUMNS(metadata!B825:R825)</f>
        <v>1</v>
      </c>
      <c r="AA825" t="str">
        <v/>
      </c>
      <c r="AC825" t="b">
        <f ca="1"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AD825" t="b">
        <f>IF(metadata!C825="",FALSE,ISNUMBER(VALUE(metadata!C825)))</f>
        <v>0</v>
      </c>
      <c r="AE825" t="b">
        <f>AND(IF(metadata!D825="",FALSE,TRUE),EXACT(metadata!D825,"years"))</f>
        <v>0</v>
      </c>
      <c r="AF825" t="b">
        <f>OR(AND(IF(metadata!E825="",FALSE,TRUE),OR(EXACT(metadata!E825,"not applicable"),EXACT(metadata!E825,"missing: not collected"),EXACT(metadata!E825,"missing: not provided"),EXACT(metadata!E825,"missing: restricted access"))),AND(IF(metadata!E825="",FALSE,ISNUMBER(VALUE(metadata!E825))),metadata!E825&gt;0))</f>
        <v>0</v>
      </c>
      <c r="AG825" t="b">
        <f>AND(IF(metadata!F825="",FALSE,TRUE),EXACT(metadata!F825,"Not applicable"))</f>
        <v>0</v>
      </c>
      <c r="AH825" t="b">
        <f>AND(IF(metadata!G825="",FALSE,TRUE),EXACT(metadata!G825,"urban biome"))</f>
        <v>0</v>
      </c>
      <c r="AI825" t="b">
        <f>AND(IF(metadata!H825="",FALSE,TRUE),EXACT(metadata!H825,"human-associated habitat"))</f>
        <v>0</v>
      </c>
      <c r="AJ825" t="b">
        <f>AND(IF(metadata!I825="",FALSE,TRUE),OR(EXACT(metadata!I825,"human-associated"),EXACT(metadata!I825,"human-skin"),EXACT(metadata!I825,"human-oral"),EXACT(metadata!I825,"human-gut"),EXACT(metadata!I825,"human-vaginal")))</f>
        <v>0</v>
      </c>
      <c r="AK825" t="b">
        <f>IF(metadata!J825="",FALSE,ISNUMBER(VALUE(metadata!J825)))</f>
        <v>0</v>
      </c>
      <c r="AL825" t="b">
        <f>AND(IF(metadata!K825="",FALSE,TRUE),EXACT(metadata!K825,"cm"))</f>
        <v>0</v>
      </c>
      <c r="AM825" t="b">
        <f>AND(IF(metadata!L825="",FALSE,TRUE),EXACT(metadata!L825,"human"))</f>
        <v>0</v>
      </c>
      <c r="AN825" t="b">
        <f>AND(IF(metadata!M825="",FALSE,TRUE),EXACT(metadata!M825,"Homo sapiens"))</f>
        <v>0</v>
      </c>
      <c r="AO825" t="b">
        <f>AND(IF(metadata!N825="",FALSE,TRUE),EXACT(metadata!N825,"9606"))</f>
        <v>0</v>
      </c>
      <c r="AP825" t="b">
        <f>IF(metadata!O825="",FALSE,TRUE)</f>
        <v>0</v>
      </c>
      <c r="AQ825" t="b">
        <f>IF(metadata!P825="",FALSE,TRUE)</f>
        <v>0</v>
      </c>
      <c r="AR825" t="b">
        <f>IF(metadata!Q825="",FALSE,ISNUMBER(VALUE(metadata!Q825)))</f>
        <v>0</v>
      </c>
      <c r="AS825" t="b">
        <f>AND(IF(metadata!R825="",FALSE,TRUE),EXACT(metadata!R825,"kg"))</f>
        <v>0</v>
      </c>
    </row>
    <row r="826" spans="1:45" x14ac:dyDescent="0.2">
      <c r="A826" s="5" t="str">
        <f ca="1">IF(B826=" "," ",HYPERLINK(CONCATENATE("#metadata!",ADDRESS(INDEX($X$2:$X$1001,MATCH(ROWS($V$2:V826),$V$2:$V$1001,0),0),1)),INDEX($AA$2:$AA$1001,MATCH(ROWS($V$2:V826),$V$2:$V$1001,0),0)))</f>
        <v xml:space="preserve"> </v>
      </c>
      <c r="B826" s="4" t="str">
        <f ca="1">IF(OR(INDEX($W$2:$W$1001,MATCH(ROWS($V$2:V826),$V$2:$V$1001,0),1)&gt;=100000,INDEX($AC$1005:$AS$1005,1,MATCH(COLUMNS($AC$1006:AC1006),$AC$1006:$AS$1006,0))&gt;=100000), " ",IF(INDEX($AC$2:$AS$1001,MATCH(ROWS($V$2:V826),$V$2:$V$1001,0),MATCH(COLUMNS($AC$1006:AC1006),$AC$1006:$AS$1006,0)), HYPERLINK("#",""), HYPERLINK(CONCATENATE("#metadata!", ADDRESS(INDEX($X$2:$X$1001,MATCH(ROWS($V$2:V826),$V$2:$V$1001,0),0), INDEX($AC$1004:$AS$1004,1,MATCH(COLUMNS($AC$1006:AC1006),$AC$1006:$AS$1006,0)))),"Fix")))</f>
        <v xml:space="preserve"> </v>
      </c>
      <c r="C826" s="4" t="str">
        <f ca="1">IF(OR(INDEX($W$2:$W$1001,MATCH(ROWS($V$2:V826),$V$2:$V$1001,0),1)&gt;=100000,INDEX($AC$1005:$AS$1005,1,MATCH(COLUMNS($AC$1006:AD1006),$AC$1006:$AS$1006,0))&gt;=100000), " ",IF(INDEX($AC$2:$AS$1001,MATCH(ROWS($V$2:V826),$V$2:$V$1001,0),MATCH(COLUMNS($AC$1006:AD1006),$AC$1006:$AS$1006,0)), HYPERLINK("#",""), HYPERLINK(CONCATENATE("#metadata!", ADDRESS(INDEX($X$2:$X$1001,MATCH(ROWS($V$2:V826),$V$2:$V$1001,0),0), INDEX($AC$1004:$AS$1004,1,MATCH(COLUMNS($AC$1006:AD1006),$AC$1006:$AS$1006,0)))),"Fix")))</f>
        <v xml:space="preserve"> </v>
      </c>
      <c r="D826" s="4" t="str">
        <f ca="1">IF(OR(INDEX($W$2:$W$1001,MATCH(ROWS($V$2:V826),$V$2:$V$1001,0),1)&gt;=100000,INDEX($AC$1005:$AS$1005,1,MATCH(COLUMNS($AC$1006:AE1006),$AC$1006:$AS$1006,0))&gt;=100000), " ",IF(INDEX($AC$2:$AS$1001,MATCH(ROWS($V$2:V826),$V$2:$V$1001,0),MATCH(COLUMNS($AC$1006:AE1006),$AC$1006:$AS$1006,0)), HYPERLINK("#",""), HYPERLINK(CONCATENATE("#metadata!", ADDRESS(INDEX($X$2:$X$1001,MATCH(ROWS($V$2:V826),$V$2:$V$1001,0),0), INDEX($AC$1004:$AS$1004,1,MATCH(COLUMNS($AC$1006:AE1006),$AC$1006:$AS$1006,0)))),"Fix")))</f>
        <v xml:space="preserve"> </v>
      </c>
      <c r="E826" s="4" t="str">
        <f ca="1">IF(OR(INDEX($W$2:$W$1001,MATCH(ROWS($V$2:V826),$V$2:$V$1001,0),1)&gt;=100000,INDEX($AC$1005:$AS$1005,1,MATCH(COLUMNS($AC$1006:AF1006),$AC$1006:$AS$1006,0))&gt;=100000), " ",IF(INDEX($AC$2:$AS$1001,MATCH(ROWS($V$2:V826),$V$2:$V$1001,0),MATCH(COLUMNS($AC$1006:AF1006),$AC$1006:$AS$1006,0)), HYPERLINK("#",""), HYPERLINK(CONCATENATE("#metadata!", ADDRESS(INDEX($X$2:$X$1001,MATCH(ROWS($V$2:V826),$V$2:$V$1001,0),0), INDEX($AC$1004:$AS$1004,1,MATCH(COLUMNS($AC$1006:AF1006),$AC$1006:$AS$1006,0)))),"Fix")))</f>
        <v xml:space="preserve"> </v>
      </c>
      <c r="F826" s="4" t="str">
        <f ca="1">IF(OR(INDEX($W$2:$W$1001,MATCH(ROWS($V$2:V826),$V$2:$V$1001,0),1)&gt;=100000,INDEX($AC$1005:$AS$1005,1,MATCH(COLUMNS($AC$1006:AG1006),$AC$1006:$AS$1006,0))&gt;=100000), " ",IF(INDEX($AC$2:$AS$1001,MATCH(ROWS($V$2:V826),$V$2:$V$1001,0),MATCH(COLUMNS($AC$1006:AG1006),$AC$1006:$AS$1006,0)), HYPERLINK("#",""), HYPERLINK(CONCATENATE("#metadata!", ADDRESS(INDEX($X$2:$X$1001,MATCH(ROWS($V$2:V826),$V$2:$V$1001,0),0), INDEX($AC$1004:$AS$1004,1,MATCH(COLUMNS($AC$1006:AG1006),$AC$1006:$AS$1006,0)))),"Fix")))</f>
        <v xml:space="preserve"> </v>
      </c>
      <c r="G826" s="4" t="str">
        <f ca="1">IF(OR(INDEX($W$2:$W$1001,MATCH(ROWS($V$2:V826),$V$2:$V$1001,0),1)&gt;=100000,INDEX($AC$1005:$AS$1005,1,MATCH(COLUMNS($AC$1006:AH1006),$AC$1006:$AS$1006,0))&gt;=100000), " ",IF(INDEX($AC$2:$AS$1001,MATCH(ROWS($V$2:V826),$V$2:$V$1001,0),MATCH(COLUMNS($AC$1006:AH1006),$AC$1006:$AS$1006,0)), HYPERLINK("#",""), HYPERLINK(CONCATENATE("#metadata!", ADDRESS(INDEX($X$2:$X$1001,MATCH(ROWS($V$2:V826),$V$2:$V$1001,0),0), INDEX($AC$1004:$AS$1004,1,MATCH(COLUMNS($AC$1006:AH1006),$AC$1006:$AS$1006,0)))),"Fix")))</f>
        <v xml:space="preserve"> </v>
      </c>
      <c r="H826" s="4" t="str">
        <f ca="1">IF(OR(INDEX($W$2:$W$1001,MATCH(ROWS($V$2:V826),$V$2:$V$1001,0),1)&gt;=100000,INDEX($AC$1005:$AS$1005,1,MATCH(COLUMNS($AC$1006:AI1006),$AC$1006:$AS$1006,0))&gt;=100000), " ",IF(INDEX($AC$2:$AS$1001,MATCH(ROWS($V$2:V826),$V$2:$V$1001,0),MATCH(COLUMNS($AC$1006:AI1006),$AC$1006:$AS$1006,0)), HYPERLINK("#",""), HYPERLINK(CONCATENATE("#metadata!", ADDRESS(INDEX($X$2:$X$1001,MATCH(ROWS($V$2:V826),$V$2:$V$1001,0),0), INDEX($AC$1004:$AS$1004,1,MATCH(COLUMNS($AC$1006:AI1006),$AC$1006:$AS$1006,0)))),"Fix")))</f>
        <v xml:space="preserve"> </v>
      </c>
      <c r="I826" s="4" t="str">
        <f ca="1">IF(OR(INDEX($W$2:$W$1001,MATCH(ROWS($V$2:V826),$V$2:$V$1001,0),1)&gt;=100000,INDEX($AC$1005:$AS$1005,1,MATCH(COLUMNS($AC$1006:AJ1006),$AC$1006:$AS$1006,0))&gt;=100000), " ",IF(INDEX($AC$2:$AS$1001,MATCH(ROWS($V$2:V826),$V$2:$V$1001,0),MATCH(COLUMNS($AC$1006:AJ1006),$AC$1006:$AS$1006,0)), HYPERLINK("#",""), HYPERLINK(CONCATENATE("#metadata!", ADDRESS(INDEX($X$2:$X$1001,MATCH(ROWS($V$2:V826),$V$2:$V$1001,0),0), INDEX($AC$1004:$AS$1004,1,MATCH(COLUMNS($AC$1006:AJ1006),$AC$1006:$AS$1006,0)))),"Fix")))</f>
        <v xml:space="preserve"> </v>
      </c>
      <c r="J826" s="4" t="str">
        <f ca="1">IF(OR(INDEX($W$2:$W$1001,MATCH(ROWS($V$2:V826),$V$2:$V$1001,0),1)&gt;=100000,INDEX($AC$1005:$AS$1005,1,MATCH(COLUMNS($AC$1006:AK1006),$AC$1006:$AS$1006,0))&gt;=100000), " ",IF(INDEX($AC$2:$AS$1001,MATCH(ROWS($V$2:V826),$V$2:$V$1001,0),MATCH(COLUMNS($AC$1006:AK1006),$AC$1006:$AS$1006,0)), HYPERLINK("#",""), HYPERLINK(CONCATENATE("#metadata!", ADDRESS(INDEX($X$2:$X$1001,MATCH(ROWS($V$2:V826),$V$2:$V$1001,0),0), INDEX($AC$1004:$AS$1004,1,MATCH(COLUMNS($AC$1006:AK1006),$AC$1006:$AS$1006,0)))),"Fix")))</f>
        <v xml:space="preserve"> </v>
      </c>
      <c r="K826" s="4" t="str">
        <f ca="1">IF(OR(INDEX($W$2:$W$1001,MATCH(ROWS($V$2:V826),$V$2:$V$1001,0),1)&gt;=100000,INDEX($AC$1005:$AS$1005,1,MATCH(COLUMNS($AC$1006:AL1006),$AC$1006:$AS$1006,0))&gt;=100000), " ",IF(INDEX($AC$2:$AS$1001,MATCH(ROWS($V$2:V826),$V$2:$V$1001,0),MATCH(COLUMNS($AC$1006:AL1006),$AC$1006:$AS$1006,0)), HYPERLINK("#",""), HYPERLINK(CONCATENATE("#metadata!", ADDRESS(INDEX($X$2:$X$1001,MATCH(ROWS($V$2:V826),$V$2:$V$1001,0),0), INDEX($AC$1004:$AS$1004,1,MATCH(COLUMNS($AC$1006:AL1006),$AC$1006:$AS$1006,0)))),"Fix")))</f>
        <v xml:space="preserve"> </v>
      </c>
      <c r="L826" s="4" t="str">
        <f ca="1">IF(OR(INDEX($W$2:$W$1001,MATCH(ROWS($V$2:V826),$V$2:$V$1001,0),1)&gt;=100000,INDEX($AC$1005:$AS$1005,1,MATCH(COLUMNS($AC$1006:AM1006),$AC$1006:$AS$1006,0))&gt;=100000), " ",IF(INDEX($AC$2:$AS$1001,MATCH(ROWS($V$2:V826),$V$2:$V$1001,0),MATCH(COLUMNS($AC$1006:AM1006),$AC$1006:$AS$1006,0)), HYPERLINK("#",""), HYPERLINK(CONCATENATE("#metadata!", ADDRESS(INDEX($X$2:$X$1001,MATCH(ROWS($V$2:V826),$V$2:$V$1001,0),0), INDEX($AC$1004:$AS$1004,1,MATCH(COLUMNS($AC$1006:AM1006),$AC$1006:$AS$1006,0)))),"Fix")))</f>
        <v xml:space="preserve"> </v>
      </c>
      <c r="M826" s="4" t="str">
        <f ca="1">IF(OR(INDEX($W$2:$W$1001,MATCH(ROWS($V$2:V826),$V$2:$V$1001,0),1)&gt;=100000,INDEX($AC$1005:$AS$1005,1,MATCH(COLUMNS($AC$1006:AN1006),$AC$1006:$AS$1006,0))&gt;=100000), " ",IF(INDEX($AC$2:$AS$1001,MATCH(ROWS($V$2:V826),$V$2:$V$1001,0),MATCH(COLUMNS($AC$1006:AN1006),$AC$1006:$AS$1006,0)), HYPERLINK("#",""), HYPERLINK(CONCATENATE("#metadata!", ADDRESS(INDEX($X$2:$X$1001,MATCH(ROWS($V$2:V826),$V$2:$V$1001,0),0), INDEX($AC$1004:$AS$1004,1,MATCH(COLUMNS($AC$1006:AN1006),$AC$1006:$AS$1006,0)))),"Fix")))</f>
        <v xml:space="preserve"> </v>
      </c>
      <c r="N826" s="4" t="str">
        <f ca="1">IF(OR(INDEX($W$2:$W$1001,MATCH(ROWS($V$2:V826),$V$2:$V$1001,0),1)&gt;=100000,INDEX($AC$1005:$AS$1005,1,MATCH(COLUMNS($AC$1006:AO1006),$AC$1006:$AS$1006,0))&gt;=100000), " ",IF(INDEX($AC$2:$AS$1001,MATCH(ROWS($V$2:V826),$V$2:$V$1001,0),MATCH(COLUMNS($AC$1006:AO1006),$AC$1006:$AS$1006,0)), HYPERLINK("#",""), HYPERLINK(CONCATENATE("#metadata!", ADDRESS(INDEX($X$2:$X$1001,MATCH(ROWS($V$2:V826),$V$2:$V$1001,0),0), INDEX($AC$1004:$AS$1004,1,MATCH(COLUMNS($AC$1006:AO1006),$AC$1006:$AS$1006,0)))),"Fix")))</f>
        <v xml:space="preserve"> </v>
      </c>
      <c r="O826" s="4" t="str">
        <f ca="1">IF(OR(INDEX($W$2:$W$1001,MATCH(ROWS($V$2:V826),$V$2:$V$1001,0),1)&gt;=100000,INDEX($AC$1005:$AS$1005,1,MATCH(COLUMNS($AC$1006:AP1006),$AC$1006:$AS$1006,0))&gt;=100000), " ",IF(INDEX($AC$2:$AS$1001,MATCH(ROWS($V$2:V826),$V$2:$V$1001,0),MATCH(COLUMNS($AC$1006:AP1006),$AC$1006:$AS$1006,0)), HYPERLINK("#",""), HYPERLINK(CONCATENATE("#metadata!", ADDRESS(INDEX($X$2:$X$1001,MATCH(ROWS($V$2:V826),$V$2:$V$1001,0),0), INDEX($AC$1004:$AS$1004,1,MATCH(COLUMNS($AC$1006:AP1006),$AC$1006:$AS$1006,0)))),"Fix")))</f>
        <v xml:space="preserve"> </v>
      </c>
      <c r="P826" s="4" t="str">
        <f ca="1">IF(OR(INDEX($W$2:$W$1001,MATCH(ROWS($V$2:V826),$V$2:$V$1001,0),1)&gt;=100000,INDEX($AC$1005:$AS$1005,1,MATCH(COLUMNS($AC$1006:AQ1006),$AC$1006:$AS$1006,0))&gt;=100000), " ",IF(INDEX($AC$2:$AS$1001,MATCH(ROWS($V$2:V826),$V$2:$V$1001,0),MATCH(COLUMNS($AC$1006:AQ1006),$AC$1006:$AS$1006,0)), HYPERLINK("#",""), HYPERLINK(CONCATENATE("#metadata!", ADDRESS(INDEX($X$2:$X$1001,MATCH(ROWS($V$2:V826),$V$2:$V$1001,0),0), INDEX($AC$1004:$AS$1004,1,MATCH(COLUMNS($AC$1006:AQ1006),$AC$1006:$AS$1006,0)))),"Fix")))</f>
        <v xml:space="preserve"> </v>
      </c>
      <c r="Q826" s="4" t="str">
        <f ca="1">IF(OR(INDEX($W$2:$W$1001,MATCH(ROWS($V$2:V826),$V$2:$V$1001,0),1)&gt;=100000,INDEX($AC$1005:$AS$1005,1,MATCH(COLUMNS($AC$1006:AR1006),$AC$1006:$AS$1006,0))&gt;=100000), " ",IF(INDEX($AC$2:$AS$1001,MATCH(ROWS($V$2:V826),$V$2:$V$1001,0),MATCH(COLUMNS($AC$1006:AR1006),$AC$1006:$AS$1006,0)), HYPERLINK("#",""), HYPERLINK(CONCATENATE("#metadata!", ADDRESS(INDEX($X$2:$X$1001,MATCH(ROWS($V$2:V826),$V$2:$V$1001,0),0), INDEX($AC$1004:$AS$1004,1,MATCH(COLUMNS($AC$1006:AR1006),$AC$1006:$AS$1006,0)))),"Fix")))</f>
        <v xml:space="preserve"> </v>
      </c>
      <c r="R826" s="4" t="str">
        <f ca="1">IF(OR(INDEX($W$2:$W$1001,MATCH(ROWS($V$2:V826),$V$2:$V$1001,0),1)&gt;=100000,INDEX($AC$1005:$AS$1005,1,MATCH(COLUMNS($AC$1006:AS1006),$AC$1006:$AS$1006,0))&gt;=100000), " ",IF(INDEX($AC$2:$AS$1001,MATCH(ROWS($V$2:V826),$V$2:$V$1001,0),MATCH(COLUMNS($AC$1006:AS1006),$AC$1006:$AS$1006,0)), HYPERLINK("#",""), HYPERLINK(CONCATENATE("#metadata!", ADDRESS(INDEX($X$2:$X$1001,MATCH(ROWS($V$2:V826),$V$2:$V$1001,0),0), INDEX($AC$1004:$AS$1004,1,MATCH(COLUMNS($AC$1006:AS1006),$AC$1006:$AS$1006,0)))),"Fix")))</f>
        <v xml:space="preserve"> </v>
      </c>
      <c r="V826">
        <v>825</v>
      </c>
      <c r="W826">
        <v>100826</v>
      </c>
      <c r="X826">
        <v>826</v>
      </c>
      <c r="Y826" t="b">
        <f t="shared" si="12"/>
        <v>1</v>
      </c>
      <c r="Z826" t="b">
        <f>COUNTBLANK(metadata!B826:R826)=COLUMNS(metadata!B826:R826)</f>
        <v>1</v>
      </c>
      <c r="AA826" t="str">
        <v/>
      </c>
      <c r="AC826" t="b">
        <f ca="1"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AD826" t="b">
        <f>IF(metadata!C826="",FALSE,ISNUMBER(VALUE(metadata!C826)))</f>
        <v>0</v>
      </c>
      <c r="AE826" t="b">
        <f>AND(IF(metadata!D826="",FALSE,TRUE),EXACT(metadata!D826,"years"))</f>
        <v>0</v>
      </c>
      <c r="AF826" t="b">
        <f>OR(AND(IF(metadata!E826="",FALSE,TRUE),OR(EXACT(metadata!E826,"not applicable"),EXACT(metadata!E826,"missing: not collected"),EXACT(metadata!E826,"missing: not provided"),EXACT(metadata!E826,"missing: restricted access"))),AND(IF(metadata!E826="",FALSE,ISNUMBER(VALUE(metadata!E826))),metadata!E826&gt;0))</f>
        <v>0</v>
      </c>
      <c r="AG826" t="b">
        <f>AND(IF(metadata!F826="",FALSE,TRUE),EXACT(metadata!F826,"Not applicable"))</f>
        <v>0</v>
      </c>
      <c r="AH826" t="b">
        <f>AND(IF(metadata!G826="",FALSE,TRUE),EXACT(metadata!G826,"urban biome"))</f>
        <v>0</v>
      </c>
      <c r="AI826" t="b">
        <f>AND(IF(metadata!H826="",FALSE,TRUE),EXACT(metadata!H826,"human-associated habitat"))</f>
        <v>0</v>
      </c>
      <c r="AJ826" t="b">
        <f>AND(IF(metadata!I826="",FALSE,TRUE),OR(EXACT(metadata!I826,"human-associated"),EXACT(metadata!I826,"human-skin"),EXACT(metadata!I826,"human-oral"),EXACT(metadata!I826,"human-gut"),EXACT(metadata!I826,"human-vaginal")))</f>
        <v>0</v>
      </c>
      <c r="AK826" t="b">
        <f>IF(metadata!J826="",FALSE,ISNUMBER(VALUE(metadata!J826)))</f>
        <v>0</v>
      </c>
      <c r="AL826" t="b">
        <f>AND(IF(metadata!K826="",FALSE,TRUE),EXACT(metadata!K826,"cm"))</f>
        <v>0</v>
      </c>
      <c r="AM826" t="b">
        <f>AND(IF(metadata!L826="",FALSE,TRUE),EXACT(metadata!L826,"human"))</f>
        <v>0</v>
      </c>
      <c r="AN826" t="b">
        <f>AND(IF(metadata!M826="",FALSE,TRUE),EXACT(metadata!M826,"Homo sapiens"))</f>
        <v>0</v>
      </c>
      <c r="AO826" t="b">
        <f>AND(IF(metadata!N826="",FALSE,TRUE),EXACT(metadata!N826,"9606"))</f>
        <v>0</v>
      </c>
      <c r="AP826" t="b">
        <f>IF(metadata!O826="",FALSE,TRUE)</f>
        <v>0</v>
      </c>
      <c r="AQ826" t="b">
        <f>IF(metadata!P826="",FALSE,TRUE)</f>
        <v>0</v>
      </c>
      <c r="AR826" t="b">
        <f>IF(metadata!Q826="",FALSE,ISNUMBER(VALUE(metadata!Q826)))</f>
        <v>0</v>
      </c>
      <c r="AS826" t="b">
        <f>AND(IF(metadata!R826="",FALSE,TRUE),EXACT(metadata!R826,"kg"))</f>
        <v>0</v>
      </c>
    </row>
    <row r="827" spans="1:45" x14ac:dyDescent="0.2">
      <c r="A827" s="5" t="str">
        <f ca="1">IF(B827=" "," ",HYPERLINK(CONCATENATE("#metadata!",ADDRESS(INDEX($X$2:$X$1001,MATCH(ROWS($V$2:V827),$V$2:$V$1001,0),0),1)),INDEX($AA$2:$AA$1001,MATCH(ROWS($V$2:V827),$V$2:$V$1001,0),0)))</f>
        <v xml:space="preserve"> </v>
      </c>
      <c r="B827" s="4" t="str">
        <f ca="1">IF(OR(INDEX($W$2:$W$1001,MATCH(ROWS($V$2:V827),$V$2:$V$1001,0),1)&gt;=100000,INDEX($AC$1005:$AS$1005,1,MATCH(COLUMNS($AC$1006:AC1006),$AC$1006:$AS$1006,0))&gt;=100000), " ",IF(INDEX($AC$2:$AS$1001,MATCH(ROWS($V$2:V827),$V$2:$V$1001,0),MATCH(COLUMNS($AC$1006:AC1006),$AC$1006:$AS$1006,0)), HYPERLINK("#",""), HYPERLINK(CONCATENATE("#metadata!", ADDRESS(INDEX($X$2:$X$1001,MATCH(ROWS($V$2:V827),$V$2:$V$1001,0),0), INDEX($AC$1004:$AS$1004,1,MATCH(COLUMNS($AC$1006:AC1006),$AC$1006:$AS$1006,0)))),"Fix")))</f>
        <v xml:space="preserve"> </v>
      </c>
      <c r="C827" s="4" t="str">
        <f ca="1">IF(OR(INDEX($W$2:$W$1001,MATCH(ROWS($V$2:V827),$V$2:$V$1001,0),1)&gt;=100000,INDEX($AC$1005:$AS$1005,1,MATCH(COLUMNS($AC$1006:AD1006),$AC$1006:$AS$1006,0))&gt;=100000), " ",IF(INDEX($AC$2:$AS$1001,MATCH(ROWS($V$2:V827),$V$2:$V$1001,0),MATCH(COLUMNS($AC$1006:AD1006),$AC$1006:$AS$1006,0)), HYPERLINK("#",""), HYPERLINK(CONCATENATE("#metadata!", ADDRESS(INDEX($X$2:$X$1001,MATCH(ROWS($V$2:V827),$V$2:$V$1001,0),0), INDEX($AC$1004:$AS$1004,1,MATCH(COLUMNS($AC$1006:AD1006),$AC$1006:$AS$1006,0)))),"Fix")))</f>
        <v xml:space="preserve"> </v>
      </c>
      <c r="D827" s="4" t="str">
        <f ca="1">IF(OR(INDEX($W$2:$W$1001,MATCH(ROWS($V$2:V827),$V$2:$V$1001,0),1)&gt;=100000,INDEX($AC$1005:$AS$1005,1,MATCH(COLUMNS($AC$1006:AE1006),$AC$1006:$AS$1006,0))&gt;=100000), " ",IF(INDEX($AC$2:$AS$1001,MATCH(ROWS($V$2:V827),$V$2:$V$1001,0),MATCH(COLUMNS($AC$1006:AE1006),$AC$1006:$AS$1006,0)), HYPERLINK("#",""), HYPERLINK(CONCATENATE("#metadata!", ADDRESS(INDEX($X$2:$X$1001,MATCH(ROWS($V$2:V827),$V$2:$V$1001,0),0), INDEX($AC$1004:$AS$1004,1,MATCH(COLUMNS($AC$1006:AE1006),$AC$1006:$AS$1006,0)))),"Fix")))</f>
        <v xml:space="preserve"> </v>
      </c>
      <c r="E827" s="4" t="str">
        <f ca="1">IF(OR(INDEX($W$2:$W$1001,MATCH(ROWS($V$2:V827),$V$2:$V$1001,0),1)&gt;=100000,INDEX($AC$1005:$AS$1005,1,MATCH(COLUMNS($AC$1006:AF1006),$AC$1006:$AS$1006,0))&gt;=100000), " ",IF(INDEX($AC$2:$AS$1001,MATCH(ROWS($V$2:V827),$V$2:$V$1001,0),MATCH(COLUMNS($AC$1006:AF1006),$AC$1006:$AS$1006,0)), HYPERLINK("#",""), HYPERLINK(CONCATENATE("#metadata!", ADDRESS(INDEX($X$2:$X$1001,MATCH(ROWS($V$2:V827),$V$2:$V$1001,0),0), INDEX($AC$1004:$AS$1004,1,MATCH(COLUMNS($AC$1006:AF1006),$AC$1006:$AS$1006,0)))),"Fix")))</f>
        <v xml:space="preserve"> </v>
      </c>
      <c r="F827" s="4" t="str">
        <f ca="1">IF(OR(INDEX($W$2:$W$1001,MATCH(ROWS($V$2:V827),$V$2:$V$1001,0),1)&gt;=100000,INDEX($AC$1005:$AS$1005,1,MATCH(COLUMNS($AC$1006:AG1006),$AC$1006:$AS$1006,0))&gt;=100000), " ",IF(INDEX($AC$2:$AS$1001,MATCH(ROWS($V$2:V827),$V$2:$V$1001,0),MATCH(COLUMNS($AC$1006:AG1006),$AC$1006:$AS$1006,0)), HYPERLINK("#",""), HYPERLINK(CONCATENATE("#metadata!", ADDRESS(INDEX($X$2:$X$1001,MATCH(ROWS($V$2:V827),$V$2:$V$1001,0),0), INDEX($AC$1004:$AS$1004,1,MATCH(COLUMNS($AC$1006:AG1006),$AC$1006:$AS$1006,0)))),"Fix")))</f>
        <v xml:space="preserve"> </v>
      </c>
      <c r="G827" s="4" t="str">
        <f ca="1">IF(OR(INDEX($W$2:$W$1001,MATCH(ROWS($V$2:V827),$V$2:$V$1001,0),1)&gt;=100000,INDEX($AC$1005:$AS$1005,1,MATCH(COLUMNS($AC$1006:AH1006),$AC$1006:$AS$1006,0))&gt;=100000), " ",IF(INDEX($AC$2:$AS$1001,MATCH(ROWS($V$2:V827),$V$2:$V$1001,0),MATCH(COLUMNS($AC$1006:AH1006),$AC$1006:$AS$1006,0)), HYPERLINK("#",""), HYPERLINK(CONCATENATE("#metadata!", ADDRESS(INDEX($X$2:$X$1001,MATCH(ROWS($V$2:V827),$V$2:$V$1001,0),0), INDEX($AC$1004:$AS$1004,1,MATCH(COLUMNS($AC$1006:AH1006),$AC$1006:$AS$1006,0)))),"Fix")))</f>
        <v xml:space="preserve"> </v>
      </c>
      <c r="H827" s="4" t="str">
        <f ca="1">IF(OR(INDEX($W$2:$W$1001,MATCH(ROWS($V$2:V827),$V$2:$V$1001,0),1)&gt;=100000,INDEX($AC$1005:$AS$1005,1,MATCH(COLUMNS($AC$1006:AI1006),$AC$1006:$AS$1006,0))&gt;=100000), " ",IF(INDEX($AC$2:$AS$1001,MATCH(ROWS($V$2:V827),$V$2:$V$1001,0),MATCH(COLUMNS($AC$1006:AI1006),$AC$1006:$AS$1006,0)), HYPERLINK("#",""), HYPERLINK(CONCATENATE("#metadata!", ADDRESS(INDEX($X$2:$X$1001,MATCH(ROWS($V$2:V827),$V$2:$V$1001,0),0), INDEX($AC$1004:$AS$1004,1,MATCH(COLUMNS($AC$1006:AI1006),$AC$1006:$AS$1006,0)))),"Fix")))</f>
        <v xml:space="preserve"> </v>
      </c>
      <c r="I827" s="4" t="str">
        <f ca="1">IF(OR(INDEX($W$2:$W$1001,MATCH(ROWS($V$2:V827),$V$2:$V$1001,0),1)&gt;=100000,INDEX($AC$1005:$AS$1005,1,MATCH(COLUMNS($AC$1006:AJ1006),$AC$1006:$AS$1006,0))&gt;=100000), " ",IF(INDEX($AC$2:$AS$1001,MATCH(ROWS($V$2:V827),$V$2:$V$1001,0),MATCH(COLUMNS($AC$1006:AJ1006),$AC$1006:$AS$1006,0)), HYPERLINK("#",""), HYPERLINK(CONCATENATE("#metadata!", ADDRESS(INDEX($X$2:$X$1001,MATCH(ROWS($V$2:V827),$V$2:$V$1001,0),0), INDEX($AC$1004:$AS$1004,1,MATCH(COLUMNS($AC$1006:AJ1006),$AC$1006:$AS$1006,0)))),"Fix")))</f>
        <v xml:space="preserve"> </v>
      </c>
      <c r="J827" s="4" t="str">
        <f ca="1">IF(OR(INDEX($W$2:$W$1001,MATCH(ROWS($V$2:V827),$V$2:$V$1001,0),1)&gt;=100000,INDEX($AC$1005:$AS$1005,1,MATCH(COLUMNS($AC$1006:AK1006),$AC$1006:$AS$1006,0))&gt;=100000), " ",IF(INDEX($AC$2:$AS$1001,MATCH(ROWS($V$2:V827),$V$2:$V$1001,0),MATCH(COLUMNS($AC$1006:AK1006),$AC$1006:$AS$1006,0)), HYPERLINK("#",""), HYPERLINK(CONCATENATE("#metadata!", ADDRESS(INDEX($X$2:$X$1001,MATCH(ROWS($V$2:V827),$V$2:$V$1001,0),0), INDEX($AC$1004:$AS$1004,1,MATCH(COLUMNS($AC$1006:AK1006),$AC$1006:$AS$1006,0)))),"Fix")))</f>
        <v xml:space="preserve"> </v>
      </c>
      <c r="K827" s="4" t="str">
        <f ca="1">IF(OR(INDEX($W$2:$W$1001,MATCH(ROWS($V$2:V827),$V$2:$V$1001,0),1)&gt;=100000,INDEX($AC$1005:$AS$1005,1,MATCH(COLUMNS($AC$1006:AL1006),$AC$1006:$AS$1006,0))&gt;=100000), " ",IF(INDEX($AC$2:$AS$1001,MATCH(ROWS($V$2:V827),$V$2:$V$1001,0),MATCH(COLUMNS($AC$1006:AL1006),$AC$1006:$AS$1006,0)), HYPERLINK("#",""), HYPERLINK(CONCATENATE("#metadata!", ADDRESS(INDEX($X$2:$X$1001,MATCH(ROWS($V$2:V827),$V$2:$V$1001,0),0), INDEX($AC$1004:$AS$1004,1,MATCH(COLUMNS($AC$1006:AL1006),$AC$1006:$AS$1006,0)))),"Fix")))</f>
        <v xml:space="preserve"> </v>
      </c>
      <c r="L827" s="4" t="str">
        <f ca="1">IF(OR(INDEX($W$2:$W$1001,MATCH(ROWS($V$2:V827),$V$2:$V$1001,0),1)&gt;=100000,INDEX($AC$1005:$AS$1005,1,MATCH(COLUMNS($AC$1006:AM1006),$AC$1006:$AS$1006,0))&gt;=100000), " ",IF(INDEX($AC$2:$AS$1001,MATCH(ROWS($V$2:V827),$V$2:$V$1001,0),MATCH(COLUMNS($AC$1006:AM1006),$AC$1006:$AS$1006,0)), HYPERLINK("#",""), HYPERLINK(CONCATENATE("#metadata!", ADDRESS(INDEX($X$2:$X$1001,MATCH(ROWS($V$2:V827),$V$2:$V$1001,0),0), INDEX($AC$1004:$AS$1004,1,MATCH(COLUMNS($AC$1006:AM1006),$AC$1006:$AS$1006,0)))),"Fix")))</f>
        <v xml:space="preserve"> </v>
      </c>
      <c r="M827" s="4" t="str">
        <f ca="1">IF(OR(INDEX($W$2:$W$1001,MATCH(ROWS($V$2:V827),$V$2:$V$1001,0),1)&gt;=100000,INDEX($AC$1005:$AS$1005,1,MATCH(COLUMNS($AC$1006:AN1006),$AC$1006:$AS$1006,0))&gt;=100000), " ",IF(INDEX($AC$2:$AS$1001,MATCH(ROWS($V$2:V827),$V$2:$V$1001,0),MATCH(COLUMNS($AC$1006:AN1006),$AC$1006:$AS$1006,0)), HYPERLINK("#",""), HYPERLINK(CONCATENATE("#metadata!", ADDRESS(INDEX($X$2:$X$1001,MATCH(ROWS($V$2:V827),$V$2:$V$1001,0),0), INDEX($AC$1004:$AS$1004,1,MATCH(COLUMNS($AC$1006:AN1006),$AC$1006:$AS$1006,0)))),"Fix")))</f>
        <v xml:space="preserve"> </v>
      </c>
      <c r="N827" s="4" t="str">
        <f ca="1">IF(OR(INDEX($W$2:$W$1001,MATCH(ROWS($V$2:V827),$V$2:$V$1001,0),1)&gt;=100000,INDEX($AC$1005:$AS$1005,1,MATCH(COLUMNS($AC$1006:AO1006),$AC$1006:$AS$1006,0))&gt;=100000), " ",IF(INDEX($AC$2:$AS$1001,MATCH(ROWS($V$2:V827),$V$2:$V$1001,0),MATCH(COLUMNS($AC$1006:AO1006),$AC$1006:$AS$1006,0)), HYPERLINK("#",""), HYPERLINK(CONCATENATE("#metadata!", ADDRESS(INDEX($X$2:$X$1001,MATCH(ROWS($V$2:V827),$V$2:$V$1001,0),0), INDEX($AC$1004:$AS$1004,1,MATCH(COLUMNS($AC$1006:AO1006),$AC$1006:$AS$1006,0)))),"Fix")))</f>
        <v xml:space="preserve"> </v>
      </c>
      <c r="O827" s="4" t="str">
        <f ca="1">IF(OR(INDEX($W$2:$W$1001,MATCH(ROWS($V$2:V827),$V$2:$V$1001,0),1)&gt;=100000,INDEX($AC$1005:$AS$1005,1,MATCH(COLUMNS($AC$1006:AP1006),$AC$1006:$AS$1006,0))&gt;=100000), " ",IF(INDEX($AC$2:$AS$1001,MATCH(ROWS($V$2:V827),$V$2:$V$1001,0),MATCH(COLUMNS($AC$1006:AP1006),$AC$1006:$AS$1006,0)), HYPERLINK("#",""), HYPERLINK(CONCATENATE("#metadata!", ADDRESS(INDEX($X$2:$X$1001,MATCH(ROWS($V$2:V827),$V$2:$V$1001,0),0), INDEX($AC$1004:$AS$1004,1,MATCH(COLUMNS($AC$1006:AP1006),$AC$1006:$AS$1006,0)))),"Fix")))</f>
        <v xml:space="preserve"> </v>
      </c>
      <c r="P827" s="4" t="str">
        <f ca="1">IF(OR(INDEX($W$2:$W$1001,MATCH(ROWS($V$2:V827),$V$2:$V$1001,0),1)&gt;=100000,INDEX($AC$1005:$AS$1005,1,MATCH(COLUMNS($AC$1006:AQ1006),$AC$1006:$AS$1006,0))&gt;=100000), " ",IF(INDEX($AC$2:$AS$1001,MATCH(ROWS($V$2:V827),$V$2:$V$1001,0),MATCH(COLUMNS($AC$1006:AQ1006),$AC$1006:$AS$1006,0)), HYPERLINK("#",""), HYPERLINK(CONCATENATE("#metadata!", ADDRESS(INDEX($X$2:$X$1001,MATCH(ROWS($V$2:V827),$V$2:$V$1001,0),0), INDEX($AC$1004:$AS$1004,1,MATCH(COLUMNS($AC$1006:AQ1006),$AC$1006:$AS$1006,0)))),"Fix")))</f>
        <v xml:space="preserve"> </v>
      </c>
      <c r="Q827" s="4" t="str">
        <f ca="1">IF(OR(INDEX($W$2:$W$1001,MATCH(ROWS($V$2:V827),$V$2:$V$1001,0),1)&gt;=100000,INDEX($AC$1005:$AS$1005,1,MATCH(COLUMNS($AC$1006:AR1006),$AC$1006:$AS$1006,0))&gt;=100000), " ",IF(INDEX($AC$2:$AS$1001,MATCH(ROWS($V$2:V827),$V$2:$V$1001,0),MATCH(COLUMNS($AC$1006:AR1006),$AC$1006:$AS$1006,0)), HYPERLINK("#",""), HYPERLINK(CONCATENATE("#metadata!", ADDRESS(INDEX($X$2:$X$1001,MATCH(ROWS($V$2:V827),$V$2:$V$1001,0),0), INDEX($AC$1004:$AS$1004,1,MATCH(COLUMNS($AC$1006:AR1006),$AC$1006:$AS$1006,0)))),"Fix")))</f>
        <v xml:space="preserve"> </v>
      </c>
      <c r="R827" s="4" t="str">
        <f ca="1">IF(OR(INDEX($W$2:$W$1001,MATCH(ROWS($V$2:V827),$V$2:$V$1001,0),1)&gt;=100000,INDEX($AC$1005:$AS$1005,1,MATCH(COLUMNS($AC$1006:AS1006),$AC$1006:$AS$1006,0))&gt;=100000), " ",IF(INDEX($AC$2:$AS$1001,MATCH(ROWS($V$2:V827),$V$2:$V$1001,0),MATCH(COLUMNS($AC$1006:AS1006),$AC$1006:$AS$1006,0)), HYPERLINK("#",""), HYPERLINK(CONCATENATE("#metadata!", ADDRESS(INDEX($X$2:$X$1001,MATCH(ROWS($V$2:V827),$V$2:$V$1001,0),0), INDEX($AC$1004:$AS$1004,1,MATCH(COLUMNS($AC$1006:AS1006),$AC$1006:$AS$1006,0)))),"Fix")))</f>
        <v xml:space="preserve"> </v>
      </c>
      <c r="V827">
        <v>826</v>
      </c>
      <c r="W827">
        <v>100827</v>
      </c>
      <c r="X827">
        <v>827</v>
      </c>
      <c r="Y827" t="b">
        <f t="shared" si="12"/>
        <v>1</v>
      </c>
      <c r="Z827" t="b">
        <f>COUNTBLANK(metadata!B827:R827)=COLUMNS(metadata!B827:R827)</f>
        <v>1</v>
      </c>
      <c r="AA827" t="str">
        <v/>
      </c>
      <c r="AC827" t="b">
        <f ca="1"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AD827" t="b">
        <f>IF(metadata!C827="",FALSE,ISNUMBER(VALUE(metadata!C827)))</f>
        <v>0</v>
      </c>
      <c r="AE827" t="b">
        <f>AND(IF(metadata!D827="",FALSE,TRUE),EXACT(metadata!D827,"years"))</f>
        <v>0</v>
      </c>
      <c r="AF827" t="b">
        <f>OR(AND(IF(metadata!E827="",FALSE,TRUE),OR(EXACT(metadata!E827,"not applicable"),EXACT(metadata!E827,"missing: not collected"),EXACT(metadata!E827,"missing: not provided"),EXACT(metadata!E827,"missing: restricted access"))),AND(IF(metadata!E827="",FALSE,ISNUMBER(VALUE(metadata!E827))),metadata!E827&gt;0))</f>
        <v>0</v>
      </c>
      <c r="AG827" t="b">
        <f>AND(IF(metadata!F827="",FALSE,TRUE),EXACT(metadata!F827,"Not applicable"))</f>
        <v>0</v>
      </c>
      <c r="AH827" t="b">
        <f>AND(IF(metadata!G827="",FALSE,TRUE),EXACT(metadata!G827,"urban biome"))</f>
        <v>0</v>
      </c>
      <c r="AI827" t="b">
        <f>AND(IF(metadata!H827="",FALSE,TRUE),EXACT(metadata!H827,"human-associated habitat"))</f>
        <v>0</v>
      </c>
      <c r="AJ827" t="b">
        <f>AND(IF(metadata!I827="",FALSE,TRUE),OR(EXACT(metadata!I827,"human-associated"),EXACT(metadata!I827,"human-skin"),EXACT(metadata!I827,"human-oral"),EXACT(metadata!I827,"human-gut"),EXACT(metadata!I827,"human-vaginal")))</f>
        <v>0</v>
      </c>
      <c r="AK827" t="b">
        <f>IF(metadata!J827="",FALSE,ISNUMBER(VALUE(metadata!J827)))</f>
        <v>0</v>
      </c>
      <c r="AL827" t="b">
        <f>AND(IF(metadata!K827="",FALSE,TRUE),EXACT(metadata!K827,"cm"))</f>
        <v>0</v>
      </c>
      <c r="AM827" t="b">
        <f>AND(IF(metadata!L827="",FALSE,TRUE),EXACT(metadata!L827,"human"))</f>
        <v>0</v>
      </c>
      <c r="AN827" t="b">
        <f>AND(IF(metadata!M827="",FALSE,TRUE),EXACT(metadata!M827,"Homo sapiens"))</f>
        <v>0</v>
      </c>
      <c r="AO827" t="b">
        <f>AND(IF(metadata!N827="",FALSE,TRUE),EXACT(metadata!N827,"9606"))</f>
        <v>0</v>
      </c>
      <c r="AP827" t="b">
        <f>IF(metadata!O827="",FALSE,TRUE)</f>
        <v>0</v>
      </c>
      <c r="AQ827" t="b">
        <f>IF(metadata!P827="",FALSE,TRUE)</f>
        <v>0</v>
      </c>
      <c r="AR827" t="b">
        <f>IF(metadata!Q827="",FALSE,ISNUMBER(VALUE(metadata!Q827)))</f>
        <v>0</v>
      </c>
      <c r="AS827" t="b">
        <f>AND(IF(metadata!R827="",FALSE,TRUE),EXACT(metadata!R827,"kg"))</f>
        <v>0</v>
      </c>
    </row>
    <row r="828" spans="1:45" x14ac:dyDescent="0.2">
      <c r="A828" s="5" t="str">
        <f ca="1">IF(B828=" "," ",HYPERLINK(CONCATENATE("#metadata!",ADDRESS(INDEX($X$2:$X$1001,MATCH(ROWS($V$2:V828),$V$2:$V$1001,0),0),1)),INDEX($AA$2:$AA$1001,MATCH(ROWS($V$2:V828),$V$2:$V$1001,0),0)))</f>
        <v xml:space="preserve"> </v>
      </c>
      <c r="B828" s="4" t="str">
        <f ca="1">IF(OR(INDEX($W$2:$W$1001,MATCH(ROWS($V$2:V828),$V$2:$V$1001,0),1)&gt;=100000,INDEX($AC$1005:$AS$1005,1,MATCH(COLUMNS($AC$1006:AC1006),$AC$1006:$AS$1006,0))&gt;=100000), " ",IF(INDEX($AC$2:$AS$1001,MATCH(ROWS($V$2:V828),$V$2:$V$1001,0),MATCH(COLUMNS($AC$1006:AC1006),$AC$1006:$AS$1006,0)), HYPERLINK("#",""), HYPERLINK(CONCATENATE("#metadata!", ADDRESS(INDEX($X$2:$X$1001,MATCH(ROWS($V$2:V828),$V$2:$V$1001,0),0), INDEX($AC$1004:$AS$1004,1,MATCH(COLUMNS($AC$1006:AC1006),$AC$1006:$AS$1006,0)))),"Fix")))</f>
        <v xml:space="preserve"> </v>
      </c>
      <c r="C828" s="4" t="str">
        <f ca="1">IF(OR(INDEX($W$2:$W$1001,MATCH(ROWS($V$2:V828),$V$2:$V$1001,0),1)&gt;=100000,INDEX($AC$1005:$AS$1005,1,MATCH(COLUMNS($AC$1006:AD1006),$AC$1006:$AS$1006,0))&gt;=100000), " ",IF(INDEX($AC$2:$AS$1001,MATCH(ROWS($V$2:V828),$V$2:$V$1001,0),MATCH(COLUMNS($AC$1006:AD1006),$AC$1006:$AS$1006,0)), HYPERLINK("#",""), HYPERLINK(CONCATENATE("#metadata!", ADDRESS(INDEX($X$2:$X$1001,MATCH(ROWS($V$2:V828),$V$2:$V$1001,0),0), INDEX($AC$1004:$AS$1004,1,MATCH(COLUMNS($AC$1006:AD1006),$AC$1006:$AS$1006,0)))),"Fix")))</f>
        <v xml:space="preserve"> </v>
      </c>
      <c r="D828" s="4" t="str">
        <f ca="1">IF(OR(INDEX($W$2:$W$1001,MATCH(ROWS($V$2:V828),$V$2:$V$1001,0),1)&gt;=100000,INDEX($AC$1005:$AS$1005,1,MATCH(COLUMNS($AC$1006:AE1006),$AC$1006:$AS$1006,0))&gt;=100000), " ",IF(INDEX($AC$2:$AS$1001,MATCH(ROWS($V$2:V828),$V$2:$V$1001,0),MATCH(COLUMNS($AC$1006:AE1006),$AC$1006:$AS$1006,0)), HYPERLINK("#",""), HYPERLINK(CONCATENATE("#metadata!", ADDRESS(INDEX($X$2:$X$1001,MATCH(ROWS($V$2:V828),$V$2:$V$1001,0),0), INDEX($AC$1004:$AS$1004,1,MATCH(COLUMNS($AC$1006:AE1006),$AC$1006:$AS$1006,0)))),"Fix")))</f>
        <v xml:space="preserve"> </v>
      </c>
      <c r="E828" s="4" t="str">
        <f ca="1">IF(OR(INDEX($W$2:$W$1001,MATCH(ROWS($V$2:V828),$V$2:$V$1001,0),1)&gt;=100000,INDEX($AC$1005:$AS$1005,1,MATCH(COLUMNS($AC$1006:AF1006),$AC$1006:$AS$1006,0))&gt;=100000), " ",IF(INDEX($AC$2:$AS$1001,MATCH(ROWS($V$2:V828),$V$2:$V$1001,0),MATCH(COLUMNS($AC$1006:AF1006),$AC$1006:$AS$1006,0)), HYPERLINK("#",""), HYPERLINK(CONCATENATE("#metadata!", ADDRESS(INDEX($X$2:$X$1001,MATCH(ROWS($V$2:V828),$V$2:$V$1001,0),0), INDEX($AC$1004:$AS$1004,1,MATCH(COLUMNS($AC$1006:AF1006),$AC$1006:$AS$1006,0)))),"Fix")))</f>
        <v xml:space="preserve"> </v>
      </c>
      <c r="F828" s="4" t="str">
        <f ca="1">IF(OR(INDEX($W$2:$W$1001,MATCH(ROWS($V$2:V828),$V$2:$V$1001,0),1)&gt;=100000,INDEX($AC$1005:$AS$1005,1,MATCH(COLUMNS($AC$1006:AG1006),$AC$1006:$AS$1006,0))&gt;=100000), " ",IF(INDEX($AC$2:$AS$1001,MATCH(ROWS($V$2:V828),$V$2:$V$1001,0),MATCH(COLUMNS($AC$1006:AG1006),$AC$1006:$AS$1006,0)), HYPERLINK("#",""), HYPERLINK(CONCATENATE("#metadata!", ADDRESS(INDEX($X$2:$X$1001,MATCH(ROWS($V$2:V828),$V$2:$V$1001,0),0), INDEX($AC$1004:$AS$1004,1,MATCH(COLUMNS($AC$1006:AG1006),$AC$1006:$AS$1006,0)))),"Fix")))</f>
        <v xml:space="preserve"> </v>
      </c>
      <c r="G828" s="4" t="str">
        <f ca="1">IF(OR(INDEX($W$2:$W$1001,MATCH(ROWS($V$2:V828),$V$2:$V$1001,0),1)&gt;=100000,INDEX($AC$1005:$AS$1005,1,MATCH(COLUMNS($AC$1006:AH1006),$AC$1006:$AS$1006,0))&gt;=100000), " ",IF(INDEX($AC$2:$AS$1001,MATCH(ROWS($V$2:V828),$V$2:$V$1001,0),MATCH(COLUMNS($AC$1006:AH1006),$AC$1006:$AS$1006,0)), HYPERLINK("#",""), HYPERLINK(CONCATENATE("#metadata!", ADDRESS(INDEX($X$2:$X$1001,MATCH(ROWS($V$2:V828),$V$2:$V$1001,0),0), INDEX($AC$1004:$AS$1004,1,MATCH(COLUMNS($AC$1006:AH1006),$AC$1006:$AS$1006,0)))),"Fix")))</f>
        <v xml:space="preserve"> </v>
      </c>
      <c r="H828" s="4" t="str">
        <f ca="1">IF(OR(INDEX($W$2:$W$1001,MATCH(ROWS($V$2:V828),$V$2:$V$1001,0),1)&gt;=100000,INDEX($AC$1005:$AS$1005,1,MATCH(COLUMNS($AC$1006:AI1006),$AC$1006:$AS$1006,0))&gt;=100000), " ",IF(INDEX($AC$2:$AS$1001,MATCH(ROWS($V$2:V828),$V$2:$V$1001,0),MATCH(COLUMNS($AC$1006:AI1006),$AC$1006:$AS$1006,0)), HYPERLINK("#",""), HYPERLINK(CONCATENATE("#metadata!", ADDRESS(INDEX($X$2:$X$1001,MATCH(ROWS($V$2:V828),$V$2:$V$1001,0),0), INDEX($AC$1004:$AS$1004,1,MATCH(COLUMNS($AC$1006:AI1006),$AC$1006:$AS$1006,0)))),"Fix")))</f>
        <v xml:space="preserve"> </v>
      </c>
      <c r="I828" s="4" t="str">
        <f ca="1">IF(OR(INDEX($W$2:$W$1001,MATCH(ROWS($V$2:V828),$V$2:$V$1001,0),1)&gt;=100000,INDEX($AC$1005:$AS$1005,1,MATCH(COLUMNS($AC$1006:AJ1006),$AC$1006:$AS$1006,0))&gt;=100000), " ",IF(INDEX($AC$2:$AS$1001,MATCH(ROWS($V$2:V828),$V$2:$V$1001,0),MATCH(COLUMNS($AC$1006:AJ1006),$AC$1006:$AS$1006,0)), HYPERLINK("#",""), HYPERLINK(CONCATENATE("#metadata!", ADDRESS(INDEX($X$2:$X$1001,MATCH(ROWS($V$2:V828),$V$2:$V$1001,0),0), INDEX($AC$1004:$AS$1004,1,MATCH(COLUMNS($AC$1006:AJ1006),$AC$1006:$AS$1006,0)))),"Fix")))</f>
        <v xml:space="preserve"> </v>
      </c>
      <c r="J828" s="4" t="str">
        <f ca="1">IF(OR(INDEX($W$2:$W$1001,MATCH(ROWS($V$2:V828),$V$2:$V$1001,0),1)&gt;=100000,INDEX($AC$1005:$AS$1005,1,MATCH(COLUMNS($AC$1006:AK1006),$AC$1006:$AS$1006,0))&gt;=100000), " ",IF(INDEX($AC$2:$AS$1001,MATCH(ROWS($V$2:V828),$V$2:$V$1001,0),MATCH(COLUMNS($AC$1006:AK1006),$AC$1006:$AS$1006,0)), HYPERLINK("#",""), HYPERLINK(CONCATENATE("#metadata!", ADDRESS(INDEX($X$2:$X$1001,MATCH(ROWS($V$2:V828),$V$2:$V$1001,0),0), INDEX($AC$1004:$AS$1004,1,MATCH(COLUMNS($AC$1006:AK1006),$AC$1006:$AS$1006,0)))),"Fix")))</f>
        <v xml:space="preserve"> </v>
      </c>
      <c r="K828" s="4" t="str">
        <f ca="1">IF(OR(INDEX($W$2:$W$1001,MATCH(ROWS($V$2:V828),$V$2:$V$1001,0),1)&gt;=100000,INDEX($AC$1005:$AS$1005,1,MATCH(COLUMNS($AC$1006:AL1006),$AC$1006:$AS$1006,0))&gt;=100000), " ",IF(INDEX($AC$2:$AS$1001,MATCH(ROWS($V$2:V828),$V$2:$V$1001,0),MATCH(COLUMNS($AC$1006:AL1006),$AC$1006:$AS$1006,0)), HYPERLINK("#",""), HYPERLINK(CONCATENATE("#metadata!", ADDRESS(INDEX($X$2:$X$1001,MATCH(ROWS($V$2:V828),$V$2:$V$1001,0),0), INDEX($AC$1004:$AS$1004,1,MATCH(COLUMNS($AC$1006:AL1006),$AC$1006:$AS$1006,0)))),"Fix")))</f>
        <v xml:space="preserve"> </v>
      </c>
      <c r="L828" s="4" t="str">
        <f ca="1">IF(OR(INDEX($W$2:$W$1001,MATCH(ROWS($V$2:V828),$V$2:$V$1001,0),1)&gt;=100000,INDEX($AC$1005:$AS$1005,1,MATCH(COLUMNS($AC$1006:AM1006),$AC$1006:$AS$1006,0))&gt;=100000), " ",IF(INDEX($AC$2:$AS$1001,MATCH(ROWS($V$2:V828),$V$2:$V$1001,0),MATCH(COLUMNS($AC$1006:AM1006),$AC$1006:$AS$1006,0)), HYPERLINK("#",""), HYPERLINK(CONCATENATE("#metadata!", ADDRESS(INDEX($X$2:$X$1001,MATCH(ROWS($V$2:V828),$V$2:$V$1001,0),0), INDEX($AC$1004:$AS$1004,1,MATCH(COLUMNS($AC$1006:AM1006),$AC$1006:$AS$1006,0)))),"Fix")))</f>
        <v xml:space="preserve"> </v>
      </c>
      <c r="M828" s="4" t="str">
        <f ca="1">IF(OR(INDEX($W$2:$W$1001,MATCH(ROWS($V$2:V828),$V$2:$V$1001,0),1)&gt;=100000,INDEX($AC$1005:$AS$1005,1,MATCH(COLUMNS($AC$1006:AN1006),$AC$1006:$AS$1006,0))&gt;=100000), " ",IF(INDEX($AC$2:$AS$1001,MATCH(ROWS($V$2:V828),$V$2:$V$1001,0),MATCH(COLUMNS($AC$1006:AN1006),$AC$1006:$AS$1006,0)), HYPERLINK("#",""), HYPERLINK(CONCATENATE("#metadata!", ADDRESS(INDEX($X$2:$X$1001,MATCH(ROWS($V$2:V828),$V$2:$V$1001,0),0), INDEX($AC$1004:$AS$1004,1,MATCH(COLUMNS($AC$1006:AN1006),$AC$1006:$AS$1006,0)))),"Fix")))</f>
        <v xml:space="preserve"> </v>
      </c>
      <c r="N828" s="4" t="str">
        <f ca="1">IF(OR(INDEX($W$2:$W$1001,MATCH(ROWS($V$2:V828),$V$2:$V$1001,0),1)&gt;=100000,INDEX($AC$1005:$AS$1005,1,MATCH(COLUMNS($AC$1006:AO1006),$AC$1006:$AS$1006,0))&gt;=100000), " ",IF(INDEX($AC$2:$AS$1001,MATCH(ROWS($V$2:V828),$V$2:$V$1001,0),MATCH(COLUMNS($AC$1006:AO1006),$AC$1006:$AS$1006,0)), HYPERLINK("#",""), HYPERLINK(CONCATENATE("#metadata!", ADDRESS(INDEX($X$2:$X$1001,MATCH(ROWS($V$2:V828),$V$2:$V$1001,0),0), INDEX($AC$1004:$AS$1004,1,MATCH(COLUMNS($AC$1006:AO1006),$AC$1006:$AS$1006,0)))),"Fix")))</f>
        <v xml:space="preserve"> </v>
      </c>
      <c r="O828" s="4" t="str">
        <f ca="1">IF(OR(INDEX($W$2:$W$1001,MATCH(ROWS($V$2:V828),$V$2:$V$1001,0),1)&gt;=100000,INDEX($AC$1005:$AS$1005,1,MATCH(COLUMNS($AC$1006:AP1006),$AC$1006:$AS$1006,0))&gt;=100000), " ",IF(INDEX($AC$2:$AS$1001,MATCH(ROWS($V$2:V828),$V$2:$V$1001,0),MATCH(COLUMNS($AC$1006:AP1006),$AC$1006:$AS$1006,0)), HYPERLINK("#",""), HYPERLINK(CONCATENATE("#metadata!", ADDRESS(INDEX($X$2:$X$1001,MATCH(ROWS($V$2:V828),$V$2:$V$1001,0),0), INDEX($AC$1004:$AS$1004,1,MATCH(COLUMNS($AC$1006:AP1006),$AC$1006:$AS$1006,0)))),"Fix")))</f>
        <v xml:space="preserve"> </v>
      </c>
      <c r="P828" s="4" t="str">
        <f ca="1">IF(OR(INDEX($W$2:$W$1001,MATCH(ROWS($V$2:V828),$V$2:$V$1001,0),1)&gt;=100000,INDEX($AC$1005:$AS$1005,1,MATCH(COLUMNS($AC$1006:AQ1006),$AC$1006:$AS$1006,0))&gt;=100000), " ",IF(INDEX($AC$2:$AS$1001,MATCH(ROWS($V$2:V828),$V$2:$V$1001,0),MATCH(COLUMNS($AC$1006:AQ1006),$AC$1006:$AS$1006,0)), HYPERLINK("#",""), HYPERLINK(CONCATENATE("#metadata!", ADDRESS(INDEX($X$2:$X$1001,MATCH(ROWS($V$2:V828),$V$2:$V$1001,0),0), INDEX($AC$1004:$AS$1004,1,MATCH(COLUMNS($AC$1006:AQ1006),$AC$1006:$AS$1006,0)))),"Fix")))</f>
        <v xml:space="preserve"> </v>
      </c>
      <c r="Q828" s="4" t="str">
        <f ca="1">IF(OR(INDEX($W$2:$W$1001,MATCH(ROWS($V$2:V828),$V$2:$V$1001,0),1)&gt;=100000,INDEX($AC$1005:$AS$1005,1,MATCH(COLUMNS($AC$1006:AR1006),$AC$1006:$AS$1006,0))&gt;=100000), " ",IF(INDEX($AC$2:$AS$1001,MATCH(ROWS($V$2:V828),$V$2:$V$1001,0),MATCH(COLUMNS($AC$1006:AR1006),$AC$1006:$AS$1006,0)), HYPERLINK("#",""), HYPERLINK(CONCATENATE("#metadata!", ADDRESS(INDEX($X$2:$X$1001,MATCH(ROWS($V$2:V828),$V$2:$V$1001,0),0), INDEX($AC$1004:$AS$1004,1,MATCH(COLUMNS($AC$1006:AR1006),$AC$1006:$AS$1006,0)))),"Fix")))</f>
        <v xml:space="preserve"> </v>
      </c>
      <c r="R828" s="4" t="str">
        <f ca="1">IF(OR(INDEX($W$2:$W$1001,MATCH(ROWS($V$2:V828),$V$2:$V$1001,0),1)&gt;=100000,INDEX($AC$1005:$AS$1005,1,MATCH(COLUMNS($AC$1006:AS1006),$AC$1006:$AS$1006,0))&gt;=100000), " ",IF(INDEX($AC$2:$AS$1001,MATCH(ROWS($V$2:V828),$V$2:$V$1001,0),MATCH(COLUMNS($AC$1006:AS1006),$AC$1006:$AS$1006,0)), HYPERLINK("#",""), HYPERLINK(CONCATENATE("#metadata!", ADDRESS(INDEX($X$2:$X$1001,MATCH(ROWS($V$2:V828),$V$2:$V$1001,0),0), INDEX($AC$1004:$AS$1004,1,MATCH(COLUMNS($AC$1006:AS1006),$AC$1006:$AS$1006,0)))),"Fix")))</f>
        <v xml:space="preserve"> </v>
      </c>
      <c r="V828">
        <v>827</v>
      </c>
      <c r="W828">
        <v>100828</v>
      </c>
      <c r="X828">
        <v>828</v>
      </c>
      <c r="Y828" t="b">
        <f t="shared" si="12"/>
        <v>1</v>
      </c>
      <c r="Z828" t="b">
        <f>COUNTBLANK(metadata!B828:R828)=COLUMNS(metadata!B828:R828)</f>
        <v>1</v>
      </c>
      <c r="AA828" t="str">
        <v/>
      </c>
      <c r="AC828" t="b">
        <f ca="1"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AD828" t="b">
        <f>IF(metadata!C828="",FALSE,ISNUMBER(VALUE(metadata!C828)))</f>
        <v>0</v>
      </c>
      <c r="AE828" t="b">
        <f>AND(IF(metadata!D828="",FALSE,TRUE),EXACT(metadata!D828,"years"))</f>
        <v>0</v>
      </c>
      <c r="AF828" t="b">
        <f>OR(AND(IF(metadata!E828="",FALSE,TRUE),OR(EXACT(metadata!E828,"not applicable"),EXACT(metadata!E828,"missing: not collected"),EXACT(metadata!E828,"missing: not provided"),EXACT(metadata!E828,"missing: restricted access"))),AND(IF(metadata!E828="",FALSE,ISNUMBER(VALUE(metadata!E828))),metadata!E828&gt;0))</f>
        <v>0</v>
      </c>
      <c r="AG828" t="b">
        <f>AND(IF(metadata!F828="",FALSE,TRUE),EXACT(metadata!F828,"Not applicable"))</f>
        <v>0</v>
      </c>
      <c r="AH828" t="b">
        <f>AND(IF(metadata!G828="",FALSE,TRUE),EXACT(metadata!G828,"urban biome"))</f>
        <v>0</v>
      </c>
      <c r="AI828" t="b">
        <f>AND(IF(metadata!H828="",FALSE,TRUE),EXACT(metadata!H828,"human-associated habitat"))</f>
        <v>0</v>
      </c>
      <c r="AJ828" t="b">
        <f>AND(IF(metadata!I828="",FALSE,TRUE),OR(EXACT(metadata!I828,"human-associated"),EXACT(metadata!I828,"human-skin"),EXACT(metadata!I828,"human-oral"),EXACT(metadata!I828,"human-gut"),EXACT(metadata!I828,"human-vaginal")))</f>
        <v>0</v>
      </c>
      <c r="AK828" t="b">
        <f>IF(metadata!J828="",FALSE,ISNUMBER(VALUE(metadata!J828)))</f>
        <v>0</v>
      </c>
      <c r="AL828" t="b">
        <f>AND(IF(metadata!K828="",FALSE,TRUE),EXACT(metadata!K828,"cm"))</f>
        <v>0</v>
      </c>
      <c r="AM828" t="b">
        <f>AND(IF(metadata!L828="",FALSE,TRUE),EXACT(metadata!L828,"human"))</f>
        <v>0</v>
      </c>
      <c r="AN828" t="b">
        <f>AND(IF(metadata!M828="",FALSE,TRUE),EXACT(metadata!M828,"Homo sapiens"))</f>
        <v>0</v>
      </c>
      <c r="AO828" t="b">
        <f>AND(IF(metadata!N828="",FALSE,TRUE),EXACT(metadata!N828,"9606"))</f>
        <v>0</v>
      </c>
      <c r="AP828" t="b">
        <f>IF(metadata!O828="",FALSE,TRUE)</f>
        <v>0</v>
      </c>
      <c r="AQ828" t="b">
        <f>IF(metadata!P828="",FALSE,TRUE)</f>
        <v>0</v>
      </c>
      <c r="AR828" t="b">
        <f>IF(metadata!Q828="",FALSE,ISNUMBER(VALUE(metadata!Q828)))</f>
        <v>0</v>
      </c>
      <c r="AS828" t="b">
        <f>AND(IF(metadata!R828="",FALSE,TRUE),EXACT(metadata!R828,"kg"))</f>
        <v>0</v>
      </c>
    </row>
    <row r="829" spans="1:45" x14ac:dyDescent="0.2">
      <c r="A829" s="5" t="str">
        <f ca="1">IF(B829=" "," ",HYPERLINK(CONCATENATE("#metadata!",ADDRESS(INDEX($X$2:$X$1001,MATCH(ROWS($V$2:V829),$V$2:$V$1001,0),0),1)),INDEX($AA$2:$AA$1001,MATCH(ROWS($V$2:V829),$V$2:$V$1001,0),0)))</f>
        <v xml:space="preserve"> </v>
      </c>
      <c r="B829" s="4" t="str">
        <f ca="1">IF(OR(INDEX($W$2:$W$1001,MATCH(ROWS($V$2:V829),$V$2:$V$1001,0),1)&gt;=100000,INDEX($AC$1005:$AS$1005,1,MATCH(COLUMNS($AC$1006:AC1006),$AC$1006:$AS$1006,0))&gt;=100000), " ",IF(INDEX($AC$2:$AS$1001,MATCH(ROWS($V$2:V829),$V$2:$V$1001,0),MATCH(COLUMNS($AC$1006:AC1006),$AC$1006:$AS$1006,0)), HYPERLINK("#",""), HYPERLINK(CONCATENATE("#metadata!", ADDRESS(INDEX($X$2:$X$1001,MATCH(ROWS($V$2:V829),$V$2:$V$1001,0),0), INDEX($AC$1004:$AS$1004,1,MATCH(COLUMNS($AC$1006:AC1006),$AC$1006:$AS$1006,0)))),"Fix")))</f>
        <v xml:space="preserve"> </v>
      </c>
      <c r="C829" s="4" t="str">
        <f ca="1">IF(OR(INDEX($W$2:$W$1001,MATCH(ROWS($V$2:V829),$V$2:$V$1001,0),1)&gt;=100000,INDEX($AC$1005:$AS$1005,1,MATCH(COLUMNS($AC$1006:AD1006),$AC$1006:$AS$1006,0))&gt;=100000), " ",IF(INDEX($AC$2:$AS$1001,MATCH(ROWS($V$2:V829),$V$2:$V$1001,0),MATCH(COLUMNS($AC$1006:AD1006),$AC$1006:$AS$1006,0)), HYPERLINK("#",""), HYPERLINK(CONCATENATE("#metadata!", ADDRESS(INDEX($X$2:$X$1001,MATCH(ROWS($V$2:V829),$V$2:$V$1001,0),0), INDEX($AC$1004:$AS$1004,1,MATCH(COLUMNS($AC$1006:AD1006),$AC$1006:$AS$1006,0)))),"Fix")))</f>
        <v xml:space="preserve"> </v>
      </c>
      <c r="D829" s="4" t="str">
        <f ca="1">IF(OR(INDEX($W$2:$W$1001,MATCH(ROWS($V$2:V829),$V$2:$V$1001,0),1)&gt;=100000,INDEX($AC$1005:$AS$1005,1,MATCH(COLUMNS($AC$1006:AE1006),$AC$1006:$AS$1006,0))&gt;=100000), " ",IF(INDEX($AC$2:$AS$1001,MATCH(ROWS($V$2:V829),$V$2:$V$1001,0),MATCH(COLUMNS($AC$1006:AE1006),$AC$1006:$AS$1006,0)), HYPERLINK("#",""), HYPERLINK(CONCATENATE("#metadata!", ADDRESS(INDEX($X$2:$X$1001,MATCH(ROWS($V$2:V829),$V$2:$V$1001,0),0), INDEX($AC$1004:$AS$1004,1,MATCH(COLUMNS($AC$1006:AE1006),$AC$1006:$AS$1006,0)))),"Fix")))</f>
        <v xml:space="preserve"> </v>
      </c>
      <c r="E829" s="4" t="str">
        <f ca="1">IF(OR(INDEX($W$2:$W$1001,MATCH(ROWS($V$2:V829),$V$2:$V$1001,0),1)&gt;=100000,INDEX($AC$1005:$AS$1005,1,MATCH(COLUMNS($AC$1006:AF1006),$AC$1006:$AS$1006,0))&gt;=100000), " ",IF(INDEX($AC$2:$AS$1001,MATCH(ROWS($V$2:V829),$V$2:$V$1001,0),MATCH(COLUMNS($AC$1006:AF1006),$AC$1006:$AS$1006,0)), HYPERLINK("#",""), HYPERLINK(CONCATENATE("#metadata!", ADDRESS(INDEX($X$2:$X$1001,MATCH(ROWS($V$2:V829),$V$2:$V$1001,0),0), INDEX($AC$1004:$AS$1004,1,MATCH(COLUMNS($AC$1006:AF1006),$AC$1006:$AS$1006,0)))),"Fix")))</f>
        <v xml:space="preserve"> </v>
      </c>
      <c r="F829" s="4" t="str">
        <f ca="1">IF(OR(INDEX($W$2:$W$1001,MATCH(ROWS($V$2:V829),$V$2:$V$1001,0),1)&gt;=100000,INDEX($AC$1005:$AS$1005,1,MATCH(COLUMNS($AC$1006:AG1006),$AC$1006:$AS$1006,0))&gt;=100000), " ",IF(INDEX($AC$2:$AS$1001,MATCH(ROWS($V$2:V829),$V$2:$V$1001,0),MATCH(COLUMNS($AC$1006:AG1006),$AC$1006:$AS$1006,0)), HYPERLINK("#",""), HYPERLINK(CONCATENATE("#metadata!", ADDRESS(INDEX($X$2:$X$1001,MATCH(ROWS($V$2:V829),$V$2:$V$1001,0),0), INDEX($AC$1004:$AS$1004,1,MATCH(COLUMNS($AC$1006:AG1006),$AC$1006:$AS$1006,0)))),"Fix")))</f>
        <v xml:space="preserve"> </v>
      </c>
      <c r="G829" s="4" t="str">
        <f ca="1">IF(OR(INDEX($W$2:$W$1001,MATCH(ROWS($V$2:V829),$V$2:$V$1001,0),1)&gt;=100000,INDEX($AC$1005:$AS$1005,1,MATCH(COLUMNS($AC$1006:AH1006),$AC$1006:$AS$1006,0))&gt;=100000), " ",IF(INDEX($AC$2:$AS$1001,MATCH(ROWS($V$2:V829),$V$2:$V$1001,0),MATCH(COLUMNS($AC$1006:AH1006),$AC$1006:$AS$1006,0)), HYPERLINK("#",""), HYPERLINK(CONCATENATE("#metadata!", ADDRESS(INDEX($X$2:$X$1001,MATCH(ROWS($V$2:V829),$V$2:$V$1001,0),0), INDEX($AC$1004:$AS$1004,1,MATCH(COLUMNS($AC$1006:AH1006),$AC$1006:$AS$1006,0)))),"Fix")))</f>
        <v xml:space="preserve"> </v>
      </c>
      <c r="H829" s="4" t="str">
        <f ca="1">IF(OR(INDEX($W$2:$W$1001,MATCH(ROWS($V$2:V829),$V$2:$V$1001,0),1)&gt;=100000,INDEX($AC$1005:$AS$1005,1,MATCH(COLUMNS($AC$1006:AI1006),$AC$1006:$AS$1006,0))&gt;=100000), " ",IF(INDEX($AC$2:$AS$1001,MATCH(ROWS($V$2:V829),$V$2:$V$1001,0),MATCH(COLUMNS($AC$1006:AI1006),$AC$1006:$AS$1006,0)), HYPERLINK("#",""), HYPERLINK(CONCATENATE("#metadata!", ADDRESS(INDEX($X$2:$X$1001,MATCH(ROWS($V$2:V829),$V$2:$V$1001,0),0), INDEX($AC$1004:$AS$1004,1,MATCH(COLUMNS($AC$1006:AI1006),$AC$1006:$AS$1006,0)))),"Fix")))</f>
        <v xml:space="preserve"> </v>
      </c>
      <c r="I829" s="4" t="str">
        <f ca="1">IF(OR(INDEX($W$2:$W$1001,MATCH(ROWS($V$2:V829),$V$2:$V$1001,0),1)&gt;=100000,INDEX($AC$1005:$AS$1005,1,MATCH(COLUMNS($AC$1006:AJ1006),$AC$1006:$AS$1006,0))&gt;=100000), " ",IF(INDEX($AC$2:$AS$1001,MATCH(ROWS($V$2:V829),$V$2:$V$1001,0),MATCH(COLUMNS($AC$1006:AJ1006),$AC$1006:$AS$1006,0)), HYPERLINK("#",""), HYPERLINK(CONCATENATE("#metadata!", ADDRESS(INDEX($X$2:$X$1001,MATCH(ROWS($V$2:V829),$V$2:$V$1001,0),0), INDEX($AC$1004:$AS$1004,1,MATCH(COLUMNS($AC$1006:AJ1006),$AC$1006:$AS$1006,0)))),"Fix")))</f>
        <v xml:space="preserve"> </v>
      </c>
      <c r="J829" s="4" t="str">
        <f ca="1">IF(OR(INDEX($W$2:$W$1001,MATCH(ROWS($V$2:V829),$V$2:$V$1001,0),1)&gt;=100000,INDEX($AC$1005:$AS$1005,1,MATCH(COLUMNS($AC$1006:AK1006),$AC$1006:$AS$1006,0))&gt;=100000), " ",IF(INDEX($AC$2:$AS$1001,MATCH(ROWS($V$2:V829),$V$2:$V$1001,0),MATCH(COLUMNS($AC$1006:AK1006),$AC$1006:$AS$1006,0)), HYPERLINK("#",""), HYPERLINK(CONCATENATE("#metadata!", ADDRESS(INDEX($X$2:$X$1001,MATCH(ROWS($V$2:V829),$V$2:$V$1001,0),0), INDEX($AC$1004:$AS$1004,1,MATCH(COLUMNS($AC$1006:AK1006),$AC$1006:$AS$1006,0)))),"Fix")))</f>
        <v xml:space="preserve"> </v>
      </c>
      <c r="K829" s="4" t="str">
        <f ca="1">IF(OR(INDEX($W$2:$W$1001,MATCH(ROWS($V$2:V829),$V$2:$V$1001,0),1)&gt;=100000,INDEX($AC$1005:$AS$1005,1,MATCH(COLUMNS($AC$1006:AL1006),$AC$1006:$AS$1006,0))&gt;=100000), " ",IF(INDEX($AC$2:$AS$1001,MATCH(ROWS($V$2:V829),$V$2:$V$1001,0),MATCH(COLUMNS($AC$1006:AL1006),$AC$1006:$AS$1006,0)), HYPERLINK("#",""), HYPERLINK(CONCATENATE("#metadata!", ADDRESS(INDEX($X$2:$X$1001,MATCH(ROWS($V$2:V829),$V$2:$V$1001,0),0), INDEX($AC$1004:$AS$1004,1,MATCH(COLUMNS($AC$1006:AL1006),$AC$1006:$AS$1006,0)))),"Fix")))</f>
        <v xml:space="preserve"> </v>
      </c>
      <c r="L829" s="4" t="str">
        <f ca="1">IF(OR(INDEX($W$2:$W$1001,MATCH(ROWS($V$2:V829),$V$2:$V$1001,0),1)&gt;=100000,INDEX($AC$1005:$AS$1005,1,MATCH(COLUMNS($AC$1006:AM1006),$AC$1006:$AS$1006,0))&gt;=100000), " ",IF(INDEX($AC$2:$AS$1001,MATCH(ROWS($V$2:V829),$V$2:$V$1001,0),MATCH(COLUMNS($AC$1006:AM1006),$AC$1006:$AS$1006,0)), HYPERLINK("#",""), HYPERLINK(CONCATENATE("#metadata!", ADDRESS(INDEX($X$2:$X$1001,MATCH(ROWS($V$2:V829),$V$2:$V$1001,0),0), INDEX($AC$1004:$AS$1004,1,MATCH(COLUMNS($AC$1006:AM1006),$AC$1006:$AS$1006,0)))),"Fix")))</f>
        <v xml:space="preserve"> </v>
      </c>
      <c r="M829" s="4" t="str">
        <f ca="1">IF(OR(INDEX($W$2:$W$1001,MATCH(ROWS($V$2:V829),$V$2:$V$1001,0),1)&gt;=100000,INDEX($AC$1005:$AS$1005,1,MATCH(COLUMNS($AC$1006:AN1006),$AC$1006:$AS$1006,0))&gt;=100000), " ",IF(INDEX($AC$2:$AS$1001,MATCH(ROWS($V$2:V829),$V$2:$V$1001,0),MATCH(COLUMNS($AC$1006:AN1006),$AC$1006:$AS$1006,0)), HYPERLINK("#",""), HYPERLINK(CONCATENATE("#metadata!", ADDRESS(INDEX($X$2:$X$1001,MATCH(ROWS($V$2:V829),$V$2:$V$1001,0),0), INDEX($AC$1004:$AS$1004,1,MATCH(COLUMNS($AC$1006:AN1006),$AC$1006:$AS$1006,0)))),"Fix")))</f>
        <v xml:space="preserve"> </v>
      </c>
      <c r="N829" s="4" t="str">
        <f ca="1">IF(OR(INDEX($W$2:$W$1001,MATCH(ROWS($V$2:V829),$V$2:$V$1001,0),1)&gt;=100000,INDEX($AC$1005:$AS$1005,1,MATCH(COLUMNS($AC$1006:AO1006),$AC$1006:$AS$1006,0))&gt;=100000), " ",IF(INDEX($AC$2:$AS$1001,MATCH(ROWS($V$2:V829),$V$2:$V$1001,0),MATCH(COLUMNS($AC$1006:AO1006),$AC$1006:$AS$1006,0)), HYPERLINK("#",""), HYPERLINK(CONCATENATE("#metadata!", ADDRESS(INDEX($X$2:$X$1001,MATCH(ROWS($V$2:V829),$V$2:$V$1001,0),0), INDEX($AC$1004:$AS$1004,1,MATCH(COLUMNS($AC$1006:AO1006),$AC$1006:$AS$1006,0)))),"Fix")))</f>
        <v xml:space="preserve"> </v>
      </c>
      <c r="O829" s="4" t="str">
        <f ca="1">IF(OR(INDEX($W$2:$W$1001,MATCH(ROWS($V$2:V829),$V$2:$V$1001,0),1)&gt;=100000,INDEX($AC$1005:$AS$1005,1,MATCH(COLUMNS($AC$1006:AP1006),$AC$1006:$AS$1006,0))&gt;=100000), " ",IF(INDEX($AC$2:$AS$1001,MATCH(ROWS($V$2:V829),$V$2:$V$1001,0),MATCH(COLUMNS($AC$1006:AP1006),$AC$1006:$AS$1006,0)), HYPERLINK("#",""), HYPERLINK(CONCATENATE("#metadata!", ADDRESS(INDEX($X$2:$X$1001,MATCH(ROWS($V$2:V829),$V$2:$V$1001,0),0), INDEX($AC$1004:$AS$1004,1,MATCH(COLUMNS($AC$1006:AP1006),$AC$1006:$AS$1006,0)))),"Fix")))</f>
        <v xml:space="preserve"> </v>
      </c>
      <c r="P829" s="4" t="str">
        <f ca="1">IF(OR(INDEX($W$2:$W$1001,MATCH(ROWS($V$2:V829),$V$2:$V$1001,0),1)&gt;=100000,INDEX($AC$1005:$AS$1005,1,MATCH(COLUMNS($AC$1006:AQ1006),$AC$1006:$AS$1006,0))&gt;=100000), " ",IF(INDEX($AC$2:$AS$1001,MATCH(ROWS($V$2:V829),$V$2:$V$1001,0),MATCH(COLUMNS($AC$1006:AQ1006),$AC$1006:$AS$1006,0)), HYPERLINK("#",""), HYPERLINK(CONCATENATE("#metadata!", ADDRESS(INDEX($X$2:$X$1001,MATCH(ROWS($V$2:V829),$V$2:$V$1001,0),0), INDEX($AC$1004:$AS$1004,1,MATCH(COLUMNS($AC$1006:AQ1006),$AC$1006:$AS$1006,0)))),"Fix")))</f>
        <v xml:space="preserve"> </v>
      </c>
      <c r="Q829" s="4" t="str">
        <f ca="1">IF(OR(INDEX($W$2:$W$1001,MATCH(ROWS($V$2:V829),$V$2:$V$1001,0),1)&gt;=100000,INDEX($AC$1005:$AS$1005,1,MATCH(COLUMNS($AC$1006:AR1006),$AC$1006:$AS$1006,0))&gt;=100000), " ",IF(INDEX($AC$2:$AS$1001,MATCH(ROWS($V$2:V829),$V$2:$V$1001,0),MATCH(COLUMNS($AC$1006:AR1006),$AC$1006:$AS$1006,0)), HYPERLINK("#",""), HYPERLINK(CONCATENATE("#metadata!", ADDRESS(INDEX($X$2:$X$1001,MATCH(ROWS($V$2:V829),$V$2:$V$1001,0),0), INDEX($AC$1004:$AS$1004,1,MATCH(COLUMNS($AC$1006:AR1006),$AC$1006:$AS$1006,0)))),"Fix")))</f>
        <v xml:space="preserve"> </v>
      </c>
      <c r="R829" s="4" t="str">
        <f ca="1">IF(OR(INDEX($W$2:$W$1001,MATCH(ROWS($V$2:V829),$V$2:$V$1001,0),1)&gt;=100000,INDEX($AC$1005:$AS$1005,1,MATCH(COLUMNS($AC$1006:AS1006),$AC$1006:$AS$1006,0))&gt;=100000), " ",IF(INDEX($AC$2:$AS$1001,MATCH(ROWS($V$2:V829),$V$2:$V$1001,0),MATCH(COLUMNS($AC$1006:AS1006),$AC$1006:$AS$1006,0)), HYPERLINK("#",""), HYPERLINK(CONCATENATE("#metadata!", ADDRESS(INDEX($X$2:$X$1001,MATCH(ROWS($V$2:V829),$V$2:$V$1001,0),0), INDEX($AC$1004:$AS$1004,1,MATCH(COLUMNS($AC$1006:AS1006),$AC$1006:$AS$1006,0)))),"Fix")))</f>
        <v xml:space="preserve"> </v>
      </c>
      <c r="V829">
        <v>828</v>
      </c>
      <c r="W829">
        <v>100829</v>
      </c>
      <c r="X829">
        <v>829</v>
      </c>
      <c r="Y829" t="b">
        <f t="shared" si="12"/>
        <v>1</v>
      </c>
      <c r="Z829" t="b">
        <f>COUNTBLANK(metadata!B829:R829)=COLUMNS(metadata!B829:R829)</f>
        <v>1</v>
      </c>
      <c r="AA829" t="str">
        <v/>
      </c>
      <c r="AC829" t="b">
        <f ca="1"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AD829" t="b">
        <f>IF(metadata!C829="",FALSE,ISNUMBER(VALUE(metadata!C829)))</f>
        <v>0</v>
      </c>
      <c r="AE829" t="b">
        <f>AND(IF(metadata!D829="",FALSE,TRUE),EXACT(metadata!D829,"years"))</f>
        <v>0</v>
      </c>
      <c r="AF829" t="b">
        <f>OR(AND(IF(metadata!E829="",FALSE,TRUE),OR(EXACT(metadata!E829,"not applicable"),EXACT(metadata!E829,"missing: not collected"),EXACT(metadata!E829,"missing: not provided"),EXACT(metadata!E829,"missing: restricted access"))),AND(IF(metadata!E829="",FALSE,ISNUMBER(VALUE(metadata!E829))),metadata!E829&gt;0))</f>
        <v>0</v>
      </c>
      <c r="AG829" t="b">
        <f>AND(IF(metadata!F829="",FALSE,TRUE),EXACT(metadata!F829,"Not applicable"))</f>
        <v>0</v>
      </c>
      <c r="AH829" t="b">
        <f>AND(IF(metadata!G829="",FALSE,TRUE),EXACT(metadata!G829,"urban biome"))</f>
        <v>0</v>
      </c>
      <c r="AI829" t="b">
        <f>AND(IF(metadata!H829="",FALSE,TRUE),EXACT(metadata!H829,"human-associated habitat"))</f>
        <v>0</v>
      </c>
      <c r="AJ829" t="b">
        <f>AND(IF(metadata!I829="",FALSE,TRUE),OR(EXACT(metadata!I829,"human-associated"),EXACT(metadata!I829,"human-skin"),EXACT(metadata!I829,"human-oral"),EXACT(metadata!I829,"human-gut"),EXACT(metadata!I829,"human-vaginal")))</f>
        <v>0</v>
      </c>
      <c r="AK829" t="b">
        <f>IF(metadata!J829="",FALSE,ISNUMBER(VALUE(metadata!J829)))</f>
        <v>0</v>
      </c>
      <c r="AL829" t="b">
        <f>AND(IF(metadata!K829="",FALSE,TRUE),EXACT(metadata!K829,"cm"))</f>
        <v>0</v>
      </c>
      <c r="AM829" t="b">
        <f>AND(IF(metadata!L829="",FALSE,TRUE),EXACT(metadata!L829,"human"))</f>
        <v>0</v>
      </c>
      <c r="AN829" t="b">
        <f>AND(IF(metadata!M829="",FALSE,TRUE),EXACT(metadata!M829,"Homo sapiens"))</f>
        <v>0</v>
      </c>
      <c r="AO829" t="b">
        <f>AND(IF(metadata!N829="",FALSE,TRUE),EXACT(metadata!N829,"9606"))</f>
        <v>0</v>
      </c>
      <c r="AP829" t="b">
        <f>IF(metadata!O829="",FALSE,TRUE)</f>
        <v>0</v>
      </c>
      <c r="AQ829" t="b">
        <f>IF(metadata!P829="",FALSE,TRUE)</f>
        <v>0</v>
      </c>
      <c r="AR829" t="b">
        <f>IF(metadata!Q829="",FALSE,ISNUMBER(VALUE(metadata!Q829)))</f>
        <v>0</v>
      </c>
      <c r="AS829" t="b">
        <f>AND(IF(metadata!R829="",FALSE,TRUE),EXACT(metadata!R829,"kg"))</f>
        <v>0</v>
      </c>
    </row>
    <row r="830" spans="1:45" x14ac:dyDescent="0.2">
      <c r="A830" s="5" t="str">
        <f ca="1">IF(B830=" "," ",HYPERLINK(CONCATENATE("#metadata!",ADDRESS(INDEX($X$2:$X$1001,MATCH(ROWS($V$2:V830),$V$2:$V$1001,0),0),1)),INDEX($AA$2:$AA$1001,MATCH(ROWS($V$2:V830),$V$2:$V$1001,0),0)))</f>
        <v xml:space="preserve"> </v>
      </c>
      <c r="B830" s="4" t="str">
        <f ca="1">IF(OR(INDEX($W$2:$W$1001,MATCH(ROWS($V$2:V830),$V$2:$V$1001,0),1)&gt;=100000,INDEX($AC$1005:$AS$1005,1,MATCH(COLUMNS($AC$1006:AC1006),$AC$1006:$AS$1006,0))&gt;=100000), " ",IF(INDEX($AC$2:$AS$1001,MATCH(ROWS($V$2:V830),$V$2:$V$1001,0),MATCH(COLUMNS($AC$1006:AC1006),$AC$1006:$AS$1006,0)), HYPERLINK("#",""), HYPERLINK(CONCATENATE("#metadata!", ADDRESS(INDEX($X$2:$X$1001,MATCH(ROWS($V$2:V830),$V$2:$V$1001,0),0), INDEX($AC$1004:$AS$1004,1,MATCH(COLUMNS($AC$1006:AC1006),$AC$1006:$AS$1006,0)))),"Fix")))</f>
        <v xml:space="preserve"> </v>
      </c>
      <c r="C830" s="4" t="str">
        <f ca="1">IF(OR(INDEX($W$2:$W$1001,MATCH(ROWS($V$2:V830),$V$2:$V$1001,0),1)&gt;=100000,INDEX($AC$1005:$AS$1005,1,MATCH(COLUMNS($AC$1006:AD1006),$AC$1006:$AS$1006,0))&gt;=100000), " ",IF(INDEX($AC$2:$AS$1001,MATCH(ROWS($V$2:V830),$V$2:$V$1001,0),MATCH(COLUMNS($AC$1006:AD1006),$AC$1006:$AS$1006,0)), HYPERLINK("#",""), HYPERLINK(CONCATENATE("#metadata!", ADDRESS(INDEX($X$2:$X$1001,MATCH(ROWS($V$2:V830),$V$2:$V$1001,0),0), INDEX($AC$1004:$AS$1004,1,MATCH(COLUMNS($AC$1006:AD1006),$AC$1006:$AS$1006,0)))),"Fix")))</f>
        <v xml:space="preserve"> </v>
      </c>
      <c r="D830" s="4" t="str">
        <f ca="1">IF(OR(INDEX($W$2:$W$1001,MATCH(ROWS($V$2:V830),$V$2:$V$1001,0),1)&gt;=100000,INDEX($AC$1005:$AS$1005,1,MATCH(COLUMNS($AC$1006:AE1006),$AC$1006:$AS$1006,0))&gt;=100000), " ",IF(INDEX($AC$2:$AS$1001,MATCH(ROWS($V$2:V830),$V$2:$V$1001,0),MATCH(COLUMNS($AC$1006:AE1006),$AC$1006:$AS$1006,0)), HYPERLINK("#",""), HYPERLINK(CONCATENATE("#metadata!", ADDRESS(INDEX($X$2:$X$1001,MATCH(ROWS($V$2:V830),$V$2:$V$1001,0),0), INDEX($AC$1004:$AS$1004,1,MATCH(COLUMNS($AC$1006:AE1006),$AC$1006:$AS$1006,0)))),"Fix")))</f>
        <v xml:space="preserve"> </v>
      </c>
      <c r="E830" s="4" t="str">
        <f ca="1">IF(OR(INDEX($W$2:$W$1001,MATCH(ROWS($V$2:V830),$V$2:$V$1001,0),1)&gt;=100000,INDEX($AC$1005:$AS$1005,1,MATCH(COLUMNS($AC$1006:AF1006),$AC$1006:$AS$1006,0))&gt;=100000), " ",IF(INDEX($AC$2:$AS$1001,MATCH(ROWS($V$2:V830),$V$2:$V$1001,0),MATCH(COLUMNS($AC$1006:AF1006),$AC$1006:$AS$1006,0)), HYPERLINK("#",""), HYPERLINK(CONCATENATE("#metadata!", ADDRESS(INDEX($X$2:$X$1001,MATCH(ROWS($V$2:V830),$V$2:$V$1001,0),0), INDEX($AC$1004:$AS$1004,1,MATCH(COLUMNS($AC$1006:AF1006),$AC$1006:$AS$1006,0)))),"Fix")))</f>
        <v xml:space="preserve"> </v>
      </c>
      <c r="F830" s="4" t="str">
        <f ca="1">IF(OR(INDEX($W$2:$W$1001,MATCH(ROWS($V$2:V830),$V$2:$V$1001,0),1)&gt;=100000,INDEX($AC$1005:$AS$1005,1,MATCH(COLUMNS($AC$1006:AG1006),$AC$1006:$AS$1006,0))&gt;=100000), " ",IF(INDEX($AC$2:$AS$1001,MATCH(ROWS($V$2:V830),$V$2:$V$1001,0),MATCH(COLUMNS($AC$1006:AG1006),$AC$1006:$AS$1006,0)), HYPERLINK("#",""), HYPERLINK(CONCATENATE("#metadata!", ADDRESS(INDEX($X$2:$X$1001,MATCH(ROWS($V$2:V830),$V$2:$V$1001,0),0), INDEX($AC$1004:$AS$1004,1,MATCH(COLUMNS($AC$1006:AG1006),$AC$1006:$AS$1006,0)))),"Fix")))</f>
        <v xml:space="preserve"> </v>
      </c>
      <c r="G830" s="4" t="str">
        <f ca="1">IF(OR(INDEX($W$2:$W$1001,MATCH(ROWS($V$2:V830),$V$2:$V$1001,0),1)&gt;=100000,INDEX($AC$1005:$AS$1005,1,MATCH(COLUMNS($AC$1006:AH1006),$AC$1006:$AS$1006,0))&gt;=100000), " ",IF(INDEX($AC$2:$AS$1001,MATCH(ROWS($V$2:V830),$V$2:$V$1001,0),MATCH(COLUMNS($AC$1006:AH1006),$AC$1006:$AS$1006,0)), HYPERLINK("#",""), HYPERLINK(CONCATENATE("#metadata!", ADDRESS(INDEX($X$2:$X$1001,MATCH(ROWS($V$2:V830),$V$2:$V$1001,0),0), INDEX($AC$1004:$AS$1004,1,MATCH(COLUMNS($AC$1006:AH1006),$AC$1006:$AS$1006,0)))),"Fix")))</f>
        <v xml:space="preserve"> </v>
      </c>
      <c r="H830" s="4" t="str">
        <f ca="1">IF(OR(INDEX($W$2:$W$1001,MATCH(ROWS($V$2:V830),$V$2:$V$1001,0),1)&gt;=100000,INDEX($AC$1005:$AS$1005,1,MATCH(COLUMNS($AC$1006:AI1006),$AC$1006:$AS$1006,0))&gt;=100000), " ",IF(INDEX($AC$2:$AS$1001,MATCH(ROWS($V$2:V830),$V$2:$V$1001,0),MATCH(COLUMNS($AC$1006:AI1006),$AC$1006:$AS$1006,0)), HYPERLINK("#",""), HYPERLINK(CONCATENATE("#metadata!", ADDRESS(INDEX($X$2:$X$1001,MATCH(ROWS($V$2:V830),$V$2:$V$1001,0),0), INDEX($AC$1004:$AS$1004,1,MATCH(COLUMNS($AC$1006:AI1006),$AC$1006:$AS$1006,0)))),"Fix")))</f>
        <v xml:space="preserve"> </v>
      </c>
      <c r="I830" s="4" t="str">
        <f ca="1">IF(OR(INDEX($W$2:$W$1001,MATCH(ROWS($V$2:V830),$V$2:$V$1001,0),1)&gt;=100000,INDEX($AC$1005:$AS$1005,1,MATCH(COLUMNS($AC$1006:AJ1006),$AC$1006:$AS$1006,0))&gt;=100000), " ",IF(INDEX($AC$2:$AS$1001,MATCH(ROWS($V$2:V830),$V$2:$V$1001,0),MATCH(COLUMNS($AC$1006:AJ1006),$AC$1006:$AS$1006,0)), HYPERLINK("#",""), HYPERLINK(CONCATENATE("#metadata!", ADDRESS(INDEX($X$2:$X$1001,MATCH(ROWS($V$2:V830),$V$2:$V$1001,0),0), INDEX($AC$1004:$AS$1004,1,MATCH(COLUMNS($AC$1006:AJ1006),$AC$1006:$AS$1006,0)))),"Fix")))</f>
        <v xml:space="preserve"> </v>
      </c>
      <c r="J830" s="4" t="str">
        <f ca="1">IF(OR(INDEX($W$2:$W$1001,MATCH(ROWS($V$2:V830),$V$2:$V$1001,0),1)&gt;=100000,INDEX($AC$1005:$AS$1005,1,MATCH(COLUMNS($AC$1006:AK1006),$AC$1006:$AS$1006,0))&gt;=100000), " ",IF(INDEX($AC$2:$AS$1001,MATCH(ROWS($V$2:V830),$V$2:$V$1001,0),MATCH(COLUMNS($AC$1006:AK1006),$AC$1006:$AS$1006,0)), HYPERLINK("#",""), HYPERLINK(CONCATENATE("#metadata!", ADDRESS(INDEX($X$2:$X$1001,MATCH(ROWS($V$2:V830),$V$2:$V$1001,0),0), INDEX($AC$1004:$AS$1004,1,MATCH(COLUMNS($AC$1006:AK1006),$AC$1006:$AS$1006,0)))),"Fix")))</f>
        <v xml:space="preserve"> </v>
      </c>
      <c r="K830" s="4" t="str">
        <f ca="1">IF(OR(INDEX($W$2:$W$1001,MATCH(ROWS($V$2:V830),$V$2:$V$1001,0),1)&gt;=100000,INDEX($AC$1005:$AS$1005,1,MATCH(COLUMNS($AC$1006:AL1006),$AC$1006:$AS$1006,0))&gt;=100000), " ",IF(INDEX($AC$2:$AS$1001,MATCH(ROWS($V$2:V830),$V$2:$V$1001,0),MATCH(COLUMNS($AC$1006:AL1006),$AC$1006:$AS$1006,0)), HYPERLINK("#",""), HYPERLINK(CONCATENATE("#metadata!", ADDRESS(INDEX($X$2:$X$1001,MATCH(ROWS($V$2:V830),$V$2:$V$1001,0),0), INDEX($AC$1004:$AS$1004,1,MATCH(COLUMNS($AC$1006:AL1006),$AC$1006:$AS$1006,0)))),"Fix")))</f>
        <v xml:space="preserve"> </v>
      </c>
      <c r="L830" s="4" t="str">
        <f ca="1">IF(OR(INDEX($W$2:$W$1001,MATCH(ROWS($V$2:V830),$V$2:$V$1001,0),1)&gt;=100000,INDEX($AC$1005:$AS$1005,1,MATCH(COLUMNS($AC$1006:AM1006),$AC$1006:$AS$1006,0))&gt;=100000), " ",IF(INDEX($AC$2:$AS$1001,MATCH(ROWS($V$2:V830),$V$2:$V$1001,0),MATCH(COLUMNS($AC$1006:AM1006),$AC$1006:$AS$1006,0)), HYPERLINK("#",""), HYPERLINK(CONCATENATE("#metadata!", ADDRESS(INDEX($X$2:$X$1001,MATCH(ROWS($V$2:V830),$V$2:$V$1001,0),0), INDEX($AC$1004:$AS$1004,1,MATCH(COLUMNS($AC$1006:AM1006),$AC$1006:$AS$1006,0)))),"Fix")))</f>
        <v xml:space="preserve"> </v>
      </c>
      <c r="M830" s="4" t="str">
        <f ca="1">IF(OR(INDEX($W$2:$W$1001,MATCH(ROWS($V$2:V830),$V$2:$V$1001,0),1)&gt;=100000,INDEX($AC$1005:$AS$1005,1,MATCH(COLUMNS($AC$1006:AN1006),$AC$1006:$AS$1006,0))&gt;=100000), " ",IF(INDEX($AC$2:$AS$1001,MATCH(ROWS($V$2:V830),$V$2:$V$1001,0),MATCH(COLUMNS($AC$1006:AN1006),$AC$1006:$AS$1006,0)), HYPERLINK("#",""), HYPERLINK(CONCATENATE("#metadata!", ADDRESS(INDEX($X$2:$X$1001,MATCH(ROWS($V$2:V830),$V$2:$V$1001,0),0), INDEX($AC$1004:$AS$1004,1,MATCH(COLUMNS($AC$1006:AN1006),$AC$1006:$AS$1006,0)))),"Fix")))</f>
        <v xml:space="preserve"> </v>
      </c>
      <c r="N830" s="4" t="str">
        <f ca="1">IF(OR(INDEX($W$2:$W$1001,MATCH(ROWS($V$2:V830),$V$2:$V$1001,0),1)&gt;=100000,INDEX($AC$1005:$AS$1005,1,MATCH(COLUMNS($AC$1006:AO1006),$AC$1006:$AS$1006,0))&gt;=100000), " ",IF(INDEX($AC$2:$AS$1001,MATCH(ROWS($V$2:V830),$V$2:$V$1001,0),MATCH(COLUMNS($AC$1006:AO1006),$AC$1006:$AS$1006,0)), HYPERLINK("#",""), HYPERLINK(CONCATENATE("#metadata!", ADDRESS(INDEX($X$2:$X$1001,MATCH(ROWS($V$2:V830),$V$2:$V$1001,0),0), INDEX($AC$1004:$AS$1004,1,MATCH(COLUMNS($AC$1006:AO1006),$AC$1006:$AS$1006,0)))),"Fix")))</f>
        <v xml:space="preserve"> </v>
      </c>
      <c r="O830" s="4" t="str">
        <f ca="1">IF(OR(INDEX($W$2:$W$1001,MATCH(ROWS($V$2:V830),$V$2:$V$1001,0),1)&gt;=100000,INDEX($AC$1005:$AS$1005,1,MATCH(COLUMNS($AC$1006:AP1006),$AC$1006:$AS$1006,0))&gt;=100000), " ",IF(INDEX($AC$2:$AS$1001,MATCH(ROWS($V$2:V830),$V$2:$V$1001,0),MATCH(COLUMNS($AC$1006:AP1006),$AC$1006:$AS$1006,0)), HYPERLINK("#",""), HYPERLINK(CONCATENATE("#metadata!", ADDRESS(INDEX($X$2:$X$1001,MATCH(ROWS($V$2:V830),$V$2:$V$1001,0),0), INDEX($AC$1004:$AS$1004,1,MATCH(COLUMNS($AC$1006:AP1006),$AC$1006:$AS$1006,0)))),"Fix")))</f>
        <v xml:space="preserve"> </v>
      </c>
      <c r="P830" s="4" t="str">
        <f ca="1">IF(OR(INDEX($W$2:$W$1001,MATCH(ROWS($V$2:V830),$V$2:$V$1001,0),1)&gt;=100000,INDEX($AC$1005:$AS$1005,1,MATCH(COLUMNS($AC$1006:AQ1006),$AC$1006:$AS$1006,0))&gt;=100000), " ",IF(INDEX($AC$2:$AS$1001,MATCH(ROWS($V$2:V830),$V$2:$V$1001,0),MATCH(COLUMNS($AC$1006:AQ1006),$AC$1006:$AS$1006,0)), HYPERLINK("#",""), HYPERLINK(CONCATENATE("#metadata!", ADDRESS(INDEX($X$2:$X$1001,MATCH(ROWS($V$2:V830),$V$2:$V$1001,0),0), INDEX($AC$1004:$AS$1004,1,MATCH(COLUMNS($AC$1006:AQ1006),$AC$1006:$AS$1006,0)))),"Fix")))</f>
        <v xml:space="preserve"> </v>
      </c>
      <c r="Q830" s="4" t="str">
        <f ca="1">IF(OR(INDEX($W$2:$W$1001,MATCH(ROWS($V$2:V830),$V$2:$V$1001,0),1)&gt;=100000,INDEX($AC$1005:$AS$1005,1,MATCH(COLUMNS($AC$1006:AR1006),$AC$1006:$AS$1006,0))&gt;=100000), " ",IF(INDEX($AC$2:$AS$1001,MATCH(ROWS($V$2:V830),$V$2:$V$1001,0),MATCH(COLUMNS($AC$1006:AR1006),$AC$1006:$AS$1006,0)), HYPERLINK("#",""), HYPERLINK(CONCATENATE("#metadata!", ADDRESS(INDEX($X$2:$X$1001,MATCH(ROWS($V$2:V830),$V$2:$V$1001,0),0), INDEX($AC$1004:$AS$1004,1,MATCH(COLUMNS($AC$1006:AR1006),$AC$1006:$AS$1006,0)))),"Fix")))</f>
        <v xml:space="preserve"> </v>
      </c>
      <c r="R830" s="4" t="str">
        <f ca="1">IF(OR(INDEX($W$2:$W$1001,MATCH(ROWS($V$2:V830),$V$2:$V$1001,0),1)&gt;=100000,INDEX($AC$1005:$AS$1005,1,MATCH(COLUMNS($AC$1006:AS1006),$AC$1006:$AS$1006,0))&gt;=100000), " ",IF(INDEX($AC$2:$AS$1001,MATCH(ROWS($V$2:V830),$V$2:$V$1001,0),MATCH(COLUMNS($AC$1006:AS1006),$AC$1006:$AS$1006,0)), HYPERLINK("#",""), HYPERLINK(CONCATENATE("#metadata!", ADDRESS(INDEX($X$2:$X$1001,MATCH(ROWS($V$2:V830),$V$2:$V$1001,0),0), INDEX($AC$1004:$AS$1004,1,MATCH(COLUMNS($AC$1006:AS1006),$AC$1006:$AS$1006,0)))),"Fix")))</f>
        <v xml:space="preserve"> </v>
      </c>
      <c r="V830">
        <v>829</v>
      </c>
      <c r="W830">
        <v>100830</v>
      </c>
      <c r="X830">
        <v>830</v>
      </c>
      <c r="Y830" t="b">
        <f t="shared" si="12"/>
        <v>1</v>
      </c>
      <c r="Z830" t="b">
        <f>COUNTBLANK(metadata!B830:R830)=COLUMNS(metadata!B830:R830)</f>
        <v>1</v>
      </c>
      <c r="AA830" t="str">
        <v/>
      </c>
      <c r="AC830" t="b">
        <f ca="1"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AD830" t="b">
        <f>IF(metadata!C830="",FALSE,ISNUMBER(VALUE(metadata!C830)))</f>
        <v>0</v>
      </c>
      <c r="AE830" t="b">
        <f>AND(IF(metadata!D830="",FALSE,TRUE),EXACT(metadata!D830,"years"))</f>
        <v>0</v>
      </c>
      <c r="AF830" t="b">
        <f>OR(AND(IF(metadata!E830="",FALSE,TRUE),OR(EXACT(metadata!E830,"not applicable"),EXACT(metadata!E830,"missing: not collected"),EXACT(metadata!E830,"missing: not provided"),EXACT(metadata!E830,"missing: restricted access"))),AND(IF(metadata!E830="",FALSE,ISNUMBER(VALUE(metadata!E830))),metadata!E830&gt;0))</f>
        <v>0</v>
      </c>
      <c r="AG830" t="b">
        <f>AND(IF(metadata!F830="",FALSE,TRUE),EXACT(metadata!F830,"Not applicable"))</f>
        <v>0</v>
      </c>
      <c r="AH830" t="b">
        <f>AND(IF(metadata!G830="",FALSE,TRUE),EXACT(metadata!G830,"urban biome"))</f>
        <v>0</v>
      </c>
      <c r="AI830" t="b">
        <f>AND(IF(metadata!H830="",FALSE,TRUE),EXACT(metadata!H830,"human-associated habitat"))</f>
        <v>0</v>
      </c>
      <c r="AJ830" t="b">
        <f>AND(IF(metadata!I830="",FALSE,TRUE),OR(EXACT(metadata!I830,"human-associated"),EXACT(metadata!I830,"human-skin"),EXACT(metadata!I830,"human-oral"),EXACT(metadata!I830,"human-gut"),EXACT(metadata!I830,"human-vaginal")))</f>
        <v>0</v>
      </c>
      <c r="AK830" t="b">
        <f>IF(metadata!J830="",FALSE,ISNUMBER(VALUE(metadata!J830)))</f>
        <v>0</v>
      </c>
      <c r="AL830" t="b">
        <f>AND(IF(metadata!K830="",FALSE,TRUE),EXACT(metadata!K830,"cm"))</f>
        <v>0</v>
      </c>
      <c r="AM830" t="b">
        <f>AND(IF(metadata!L830="",FALSE,TRUE),EXACT(metadata!L830,"human"))</f>
        <v>0</v>
      </c>
      <c r="AN830" t="b">
        <f>AND(IF(metadata!M830="",FALSE,TRUE),EXACT(metadata!M830,"Homo sapiens"))</f>
        <v>0</v>
      </c>
      <c r="AO830" t="b">
        <f>AND(IF(metadata!N830="",FALSE,TRUE),EXACT(metadata!N830,"9606"))</f>
        <v>0</v>
      </c>
      <c r="AP830" t="b">
        <f>IF(metadata!O830="",FALSE,TRUE)</f>
        <v>0</v>
      </c>
      <c r="AQ830" t="b">
        <f>IF(metadata!P830="",FALSE,TRUE)</f>
        <v>0</v>
      </c>
      <c r="AR830" t="b">
        <f>IF(metadata!Q830="",FALSE,ISNUMBER(VALUE(metadata!Q830)))</f>
        <v>0</v>
      </c>
      <c r="AS830" t="b">
        <f>AND(IF(metadata!R830="",FALSE,TRUE),EXACT(metadata!R830,"kg"))</f>
        <v>0</v>
      </c>
    </row>
    <row r="831" spans="1:45" x14ac:dyDescent="0.2">
      <c r="A831" s="5" t="str">
        <f ca="1">IF(B831=" "," ",HYPERLINK(CONCATENATE("#metadata!",ADDRESS(INDEX($X$2:$X$1001,MATCH(ROWS($V$2:V831),$V$2:$V$1001,0),0),1)),INDEX($AA$2:$AA$1001,MATCH(ROWS($V$2:V831),$V$2:$V$1001,0),0)))</f>
        <v xml:space="preserve"> </v>
      </c>
      <c r="B831" s="4" t="str">
        <f ca="1">IF(OR(INDEX($W$2:$W$1001,MATCH(ROWS($V$2:V831),$V$2:$V$1001,0),1)&gt;=100000,INDEX($AC$1005:$AS$1005,1,MATCH(COLUMNS($AC$1006:AC1006),$AC$1006:$AS$1006,0))&gt;=100000), " ",IF(INDEX($AC$2:$AS$1001,MATCH(ROWS($V$2:V831),$V$2:$V$1001,0),MATCH(COLUMNS($AC$1006:AC1006),$AC$1006:$AS$1006,0)), HYPERLINK("#",""), HYPERLINK(CONCATENATE("#metadata!", ADDRESS(INDEX($X$2:$X$1001,MATCH(ROWS($V$2:V831),$V$2:$V$1001,0),0), INDEX($AC$1004:$AS$1004,1,MATCH(COLUMNS($AC$1006:AC1006),$AC$1006:$AS$1006,0)))),"Fix")))</f>
        <v xml:space="preserve"> </v>
      </c>
      <c r="C831" s="4" t="str">
        <f ca="1">IF(OR(INDEX($W$2:$W$1001,MATCH(ROWS($V$2:V831),$V$2:$V$1001,0),1)&gt;=100000,INDEX($AC$1005:$AS$1005,1,MATCH(COLUMNS($AC$1006:AD1006),$AC$1006:$AS$1006,0))&gt;=100000), " ",IF(INDEX($AC$2:$AS$1001,MATCH(ROWS($V$2:V831),$V$2:$V$1001,0),MATCH(COLUMNS($AC$1006:AD1006),$AC$1006:$AS$1006,0)), HYPERLINK("#",""), HYPERLINK(CONCATENATE("#metadata!", ADDRESS(INDEX($X$2:$X$1001,MATCH(ROWS($V$2:V831),$V$2:$V$1001,0),0), INDEX($AC$1004:$AS$1004,1,MATCH(COLUMNS($AC$1006:AD1006),$AC$1006:$AS$1006,0)))),"Fix")))</f>
        <v xml:space="preserve"> </v>
      </c>
      <c r="D831" s="4" t="str">
        <f ca="1">IF(OR(INDEX($W$2:$W$1001,MATCH(ROWS($V$2:V831),$V$2:$V$1001,0),1)&gt;=100000,INDEX($AC$1005:$AS$1005,1,MATCH(COLUMNS($AC$1006:AE1006),$AC$1006:$AS$1006,0))&gt;=100000), " ",IF(INDEX($AC$2:$AS$1001,MATCH(ROWS($V$2:V831),$V$2:$V$1001,0),MATCH(COLUMNS($AC$1006:AE1006),$AC$1006:$AS$1006,0)), HYPERLINK("#",""), HYPERLINK(CONCATENATE("#metadata!", ADDRESS(INDEX($X$2:$X$1001,MATCH(ROWS($V$2:V831),$V$2:$V$1001,0),0), INDEX($AC$1004:$AS$1004,1,MATCH(COLUMNS($AC$1006:AE1006),$AC$1006:$AS$1006,0)))),"Fix")))</f>
        <v xml:space="preserve"> </v>
      </c>
      <c r="E831" s="4" t="str">
        <f ca="1">IF(OR(INDEX($W$2:$W$1001,MATCH(ROWS($V$2:V831),$V$2:$V$1001,0),1)&gt;=100000,INDEX($AC$1005:$AS$1005,1,MATCH(COLUMNS($AC$1006:AF1006),$AC$1006:$AS$1006,0))&gt;=100000), " ",IF(INDEX($AC$2:$AS$1001,MATCH(ROWS($V$2:V831),$V$2:$V$1001,0),MATCH(COLUMNS($AC$1006:AF1006),$AC$1006:$AS$1006,0)), HYPERLINK("#",""), HYPERLINK(CONCATENATE("#metadata!", ADDRESS(INDEX($X$2:$X$1001,MATCH(ROWS($V$2:V831),$V$2:$V$1001,0),0), INDEX($AC$1004:$AS$1004,1,MATCH(COLUMNS($AC$1006:AF1006),$AC$1006:$AS$1006,0)))),"Fix")))</f>
        <v xml:space="preserve"> </v>
      </c>
      <c r="F831" s="4" t="str">
        <f ca="1">IF(OR(INDEX($W$2:$W$1001,MATCH(ROWS($V$2:V831),$V$2:$V$1001,0),1)&gt;=100000,INDEX($AC$1005:$AS$1005,1,MATCH(COLUMNS($AC$1006:AG1006),$AC$1006:$AS$1006,0))&gt;=100000), " ",IF(INDEX($AC$2:$AS$1001,MATCH(ROWS($V$2:V831),$V$2:$V$1001,0),MATCH(COLUMNS($AC$1006:AG1006),$AC$1006:$AS$1006,0)), HYPERLINK("#",""), HYPERLINK(CONCATENATE("#metadata!", ADDRESS(INDEX($X$2:$X$1001,MATCH(ROWS($V$2:V831),$V$2:$V$1001,0),0), INDEX($AC$1004:$AS$1004,1,MATCH(COLUMNS($AC$1006:AG1006),$AC$1006:$AS$1006,0)))),"Fix")))</f>
        <v xml:space="preserve"> </v>
      </c>
      <c r="G831" s="4" t="str">
        <f ca="1">IF(OR(INDEX($W$2:$W$1001,MATCH(ROWS($V$2:V831),$V$2:$V$1001,0),1)&gt;=100000,INDEX($AC$1005:$AS$1005,1,MATCH(COLUMNS($AC$1006:AH1006),$AC$1006:$AS$1006,0))&gt;=100000), " ",IF(INDEX($AC$2:$AS$1001,MATCH(ROWS($V$2:V831),$V$2:$V$1001,0),MATCH(COLUMNS($AC$1006:AH1006),$AC$1006:$AS$1006,0)), HYPERLINK("#",""), HYPERLINK(CONCATENATE("#metadata!", ADDRESS(INDEX($X$2:$X$1001,MATCH(ROWS($V$2:V831),$V$2:$V$1001,0),0), INDEX($AC$1004:$AS$1004,1,MATCH(COLUMNS($AC$1006:AH1006),$AC$1006:$AS$1006,0)))),"Fix")))</f>
        <v xml:space="preserve"> </v>
      </c>
      <c r="H831" s="4" t="str">
        <f ca="1">IF(OR(INDEX($W$2:$W$1001,MATCH(ROWS($V$2:V831),$V$2:$V$1001,0),1)&gt;=100000,INDEX($AC$1005:$AS$1005,1,MATCH(COLUMNS($AC$1006:AI1006),$AC$1006:$AS$1006,0))&gt;=100000), " ",IF(INDEX($AC$2:$AS$1001,MATCH(ROWS($V$2:V831),$V$2:$V$1001,0),MATCH(COLUMNS($AC$1006:AI1006),$AC$1006:$AS$1006,0)), HYPERLINK("#",""), HYPERLINK(CONCATENATE("#metadata!", ADDRESS(INDEX($X$2:$X$1001,MATCH(ROWS($V$2:V831),$V$2:$V$1001,0),0), INDEX($AC$1004:$AS$1004,1,MATCH(COLUMNS($AC$1006:AI1006),$AC$1006:$AS$1006,0)))),"Fix")))</f>
        <v xml:space="preserve"> </v>
      </c>
      <c r="I831" s="4" t="str">
        <f ca="1">IF(OR(INDEX($W$2:$W$1001,MATCH(ROWS($V$2:V831),$V$2:$V$1001,0),1)&gt;=100000,INDEX($AC$1005:$AS$1005,1,MATCH(COLUMNS($AC$1006:AJ1006),$AC$1006:$AS$1006,0))&gt;=100000), " ",IF(INDEX($AC$2:$AS$1001,MATCH(ROWS($V$2:V831),$V$2:$V$1001,0),MATCH(COLUMNS($AC$1006:AJ1006),$AC$1006:$AS$1006,0)), HYPERLINK("#",""), HYPERLINK(CONCATENATE("#metadata!", ADDRESS(INDEX($X$2:$X$1001,MATCH(ROWS($V$2:V831),$V$2:$V$1001,0),0), INDEX($AC$1004:$AS$1004,1,MATCH(COLUMNS($AC$1006:AJ1006),$AC$1006:$AS$1006,0)))),"Fix")))</f>
        <v xml:space="preserve"> </v>
      </c>
      <c r="J831" s="4" t="str">
        <f ca="1">IF(OR(INDEX($W$2:$W$1001,MATCH(ROWS($V$2:V831),$V$2:$V$1001,0),1)&gt;=100000,INDEX($AC$1005:$AS$1005,1,MATCH(COLUMNS($AC$1006:AK1006),$AC$1006:$AS$1006,0))&gt;=100000), " ",IF(INDEX($AC$2:$AS$1001,MATCH(ROWS($V$2:V831),$V$2:$V$1001,0),MATCH(COLUMNS($AC$1006:AK1006),$AC$1006:$AS$1006,0)), HYPERLINK("#",""), HYPERLINK(CONCATENATE("#metadata!", ADDRESS(INDEX($X$2:$X$1001,MATCH(ROWS($V$2:V831),$V$2:$V$1001,0),0), INDEX($AC$1004:$AS$1004,1,MATCH(COLUMNS($AC$1006:AK1006),$AC$1006:$AS$1006,0)))),"Fix")))</f>
        <v xml:space="preserve"> </v>
      </c>
      <c r="K831" s="4" t="str">
        <f ca="1">IF(OR(INDEX($W$2:$W$1001,MATCH(ROWS($V$2:V831),$V$2:$V$1001,0),1)&gt;=100000,INDEX($AC$1005:$AS$1005,1,MATCH(COLUMNS($AC$1006:AL1006),$AC$1006:$AS$1006,0))&gt;=100000), " ",IF(INDEX($AC$2:$AS$1001,MATCH(ROWS($V$2:V831),$V$2:$V$1001,0),MATCH(COLUMNS($AC$1006:AL1006),$AC$1006:$AS$1006,0)), HYPERLINK("#",""), HYPERLINK(CONCATENATE("#metadata!", ADDRESS(INDEX($X$2:$X$1001,MATCH(ROWS($V$2:V831),$V$2:$V$1001,0),0), INDEX($AC$1004:$AS$1004,1,MATCH(COLUMNS($AC$1006:AL1006),$AC$1006:$AS$1006,0)))),"Fix")))</f>
        <v xml:space="preserve"> </v>
      </c>
      <c r="L831" s="4" t="str">
        <f ca="1">IF(OR(INDEX($W$2:$W$1001,MATCH(ROWS($V$2:V831),$V$2:$V$1001,0),1)&gt;=100000,INDEX($AC$1005:$AS$1005,1,MATCH(COLUMNS($AC$1006:AM1006),$AC$1006:$AS$1006,0))&gt;=100000), " ",IF(INDEX($AC$2:$AS$1001,MATCH(ROWS($V$2:V831),$V$2:$V$1001,0),MATCH(COLUMNS($AC$1006:AM1006),$AC$1006:$AS$1006,0)), HYPERLINK("#",""), HYPERLINK(CONCATENATE("#metadata!", ADDRESS(INDEX($X$2:$X$1001,MATCH(ROWS($V$2:V831),$V$2:$V$1001,0),0), INDEX($AC$1004:$AS$1004,1,MATCH(COLUMNS($AC$1006:AM1006),$AC$1006:$AS$1006,0)))),"Fix")))</f>
        <v xml:space="preserve"> </v>
      </c>
      <c r="M831" s="4" t="str">
        <f ca="1">IF(OR(INDEX($W$2:$W$1001,MATCH(ROWS($V$2:V831),$V$2:$V$1001,0),1)&gt;=100000,INDEX($AC$1005:$AS$1005,1,MATCH(COLUMNS($AC$1006:AN1006),$AC$1006:$AS$1006,0))&gt;=100000), " ",IF(INDEX($AC$2:$AS$1001,MATCH(ROWS($V$2:V831),$V$2:$V$1001,0),MATCH(COLUMNS($AC$1006:AN1006),$AC$1006:$AS$1006,0)), HYPERLINK("#",""), HYPERLINK(CONCATENATE("#metadata!", ADDRESS(INDEX($X$2:$X$1001,MATCH(ROWS($V$2:V831),$V$2:$V$1001,0),0), INDEX($AC$1004:$AS$1004,1,MATCH(COLUMNS($AC$1006:AN1006),$AC$1006:$AS$1006,0)))),"Fix")))</f>
        <v xml:space="preserve"> </v>
      </c>
      <c r="N831" s="4" t="str">
        <f ca="1">IF(OR(INDEX($W$2:$W$1001,MATCH(ROWS($V$2:V831),$V$2:$V$1001,0),1)&gt;=100000,INDEX($AC$1005:$AS$1005,1,MATCH(COLUMNS($AC$1006:AO1006),$AC$1006:$AS$1006,0))&gt;=100000), " ",IF(INDEX($AC$2:$AS$1001,MATCH(ROWS($V$2:V831),$V$2:$V$1001,0),MATCH(COLUMNS($AC$1006:AO1006),$AC$1006:$AS$1006,0)), HYPERLINK("#",""), HYPERLINK(CONCATENATE("#metadata!", ADDRESS(INDEX($X$2:$X$1001,MATCH(ROWS($V$2:V831),$V$2:$V$1001,0),0), INDEX($AC$1004:$AS$1004,1,MATCH(COLUMNS($AC$1006:AO1006),$AC$1006:$AS$1006,0)))),"Fix")))</f>
        <v xml:space="preserve"> </v>
      </c>
      <c r="O831" s="4" t="str">
        <f ca="1">IF(OR(INDEX($W$2:$W$1001,MATCH(ROWS($V$2:V831),$V$2:$V$1001,0),1)&gt;=100000,INDEX($AC$1005:$AS$1005,1,MATCH(COLUMNS($AC$1006:AP1006),$AC$1006:$AS$1006,0))&gt;=100000), " ",IF(INDEX($AC$2:$AS$1001,MATCH(ROWS($V$2:V831),$V$2:$V$1001,0),MATCH(COLUMNS($AC$1006:AP1006),$AC$1006:$AS$1006,0)), HYPERLINK("#",""), HYPERLINK(CONCATENATE("#metadata!", ADDRESS(INDEX($X$2:$X$1001,MATCH(ROWS($V$2:V831),$V$2:$V$1001,0),0), INDEX($AC$1004:$AS$1004,1,MATCH(COLUMNS($AC$1006:AP1006),$AC$1006:$AS$1006,0)))),"Fix")))</f>
        <v xml:space="preserve"> </v>
      </c>
      <c r="P831" s="4" t="str">
        <f ca="1">IF(OR(INDEX($W$2:$W$1001,MATCH(ROWS($V$2:V831),$V$2:$V$1001,0),1)&gt;=100000,INDEX($AC$1005:$AS$1005,1,MATCH(COLUMNS($AC$1006:AQ1006),$AC$1006:$AS$1006,0))&gt;=100000), " ",IF(INDEX($AC$2:$AS$1001,MATCH(ROWS($V$2:V831),$V$2:$V$1001,0),MATCH(COLUMNS($AC$1006:AQ1006),$AC$1006:$AS$1006,0)), HYPERLINK("#",""), HYPERLINK(CONCATENATE("#metadata!", ADDRESS(INDEX($X$2:$X$1001,MATCH(ROWS($V$2:V831),$V$2:$V$1001,0),0), INDEX($AC$1004:$AS$1004,1,MATCH(COLUMNS($AC$1006:AQ1006),$AC$1006:$AS$1006,0)))),"Fix")))</f>
        <v xml:space="preserve"> </v>
      </c>
      <c r="Q831" s="4" t="str">
        <f ca="1">IF(OR(INDEX($W$2:$W$1001,MATCH(ROWS($V$2:V831),$V$2:$V$1001,0),1)&gt;=100000,INDEX($AC$1005:$AS$1005,1,MATCH(COLUMNS($AC$1006:AR1006),$AC$1006:$AS$1006,0))&gt;=100000), " ",IF(INDEX($AC$2:$AS$1001,MATCH(ROWS($V$2:V831),$V$2:$V$1001,0),MATCH(COLUMNS($AC$1006:AR1006),$AC$1006:$AS$1006,0)), HYPERLINK("#",""), HYPERLINK(CONCATENATE("#metadata!", ADDRESS(INDEX($X$2:$X$1001,MATCH(ROWS($V$2:V831),$V$2:$V$1001,0),0), INDEX($AC$1004:$AS$1004,1,MATCH(COLUMNS($AC$1006:AR1006),$AC$1006:$AS$1006,0)))),"Fix")))</f>
        <v xml:space="preserve"> </v>
      </c>
      <c r="R831" s="4" t="str">
        <f ca="1">IF(OR(INDEX($W$2:$W$1001,MATCH(ROWS($V$2:V831),$V$2:$V$1001,0),1)&gt;=100000,INDEX($AC$1005:$AS$1005,1,MATCH(COLUMNS($AC$1006:AS1006),$AC$1006:$AS$1006,0))&gt;=100000), " ",IF(INDEX($AC$2:$AS$1001,MATCH(ROWS($V$2:V831),$V$2:$V$1001,0),MATCH(COLUMNS($AC$1006:AS1006),$AC$1006:$AS$1006,0)), HYPERLINK("#",""), HYPERLINK(CONCATENATE("#metadata!", ADDRESS(INDEX($X$2:$X$1001,MATCH(ROWS($V$2:V831),$V$2:$V$1001,0),0), INDEX($AC$1004:$AS$1004,1,MATCH(COLUMNS($AC$1006:AS1006),$AC$1006:$AS$1006,0)))),"Fix")))</f>
        <v xml:space="preserve"> </v>
      </c>
      <c r="V831">
        <v>830</v>
      </c>
      <c r="W831">
        <v>100831</v>
      </c>
      <c r="X831">
        <v>831</v>
      </c>
      <c r="Y831" t="b">
        <f t="shared" si="12"/>
        <v>1</v>
      </c>
      <c r="Z831" t="b">
        <f>COUNTBLANK(metadata!B831:R831)=COLUMNS(metadata!B831:R831)</f>
        <v>1</v>
      </c>
      <c r="AA831" t="str">
        <v/>
      </c>
      <c r="AC831" t="b">
        <f ca="1"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AD831" t="b">
        <f>IF(metadata!C831="",FALSE,ISNUMBER(VALUE(metadata!C831)))</f>
        <v>0</v>
      </c>
      <c r="AE831" t="b">
        <f>AND(IF(metadata!D831="",FALSE,TRUE),EXACT(metadata!D831,"years"))</f>
        <v>0</v>
      </c>
      <c r="AF831" t="b">
        <f>OR(AND(IF(metadata!E831="",FALSE,TRUE),OR(EXACT(metadata!E831,"not applicable"),EXACT(metadata!E831,"missing: not collected"),EXACT(metadata!E831,"missing: not provided"),EXACT(metadata!E831,"missing: restricted access"))),AND(IF(metadata!E831="",FALSE,ISNUMBER(VALUE(metadata!E831))),metadata!E831&gt;0))</f>
        <v>0</v>
      </c>
      <c r="AG831" t="b">
        <f>AND(IF(metadata!F831="",FALSE,TRUE),EXACT(metadata!F831,"Not applicable"))</f>
        <v>0</v>
      </c>
      <c r="AH831" t="b">
        <f>AND(IF(metadata!G831="",FALSE,TRUE),EXACT(metadata!G831,"urban biome"))</f>
        <v>0</v>
      </c>
      <c r="AI831" t="b">
        <f>AND(IF(metadata!H831="",FALSE,TRUE),EXACT(metadata!H831,"human-associated habitat"))</f>
        <v>0</v>
      </c>
      <c r="AJ831" t="b">
        <f>AND(IF(metadata!I831="",FALSE,TRUE),OR(EXACT(metadata!I831,"human-associated"),EXACT(metadata!I831,"human-skin"),EXACT(metadata!I831,"human-oral"),EXACT(metadata!I831,"human-gut"),EXACT(metadata!I831,"human-vaginal")))</f>
        <v>0</v>
      </c>
      <c r="AK831" t="b">
        <f>IF(metadata!J831="",FALSE,ISNUMBER(VALUE(metadata!J831)))</f>
        <v>0</v>
      </c>
      <c r="AL831" t="b">
        <f>AND(IF(metadata!K831="",FALSE,TRUE),EXACT(metadata!K831,"cm"))</f>
        <v>0</v>
      </c>
      <c r="AM831" t="b">
        <f>AND(IF(metadata!L831="",FALSE,TRUE),EXACT(metadata!L831,"human"))</f>
        <v>0</v>
      </c>
      <c r="AN831" t="b">
        <f>AND(IF(metadata!M831="",FALSE,TRUE),EXACT(metadata!M831,"Homo sapiens"))</f>
        <v>0</v>
      </c>
      <c r="AO831" t="b">
        <f>AND(IF(metadata!N831="",FALSE,TRUE),EXACT(metadata!N831,"9606"))</f>
        <v>0</v>
      </c>
      <c r="AP831" t="b">
        <f>IF(metadata!O831="",FALSE,TRUE)</f>
        <v>0</v>
      </c>
      <c r="AQ831" t="b">
        <f>IF(metadata!P831="",FALSE,TRUE)</f>
        <v>0</v>
      </c>
      <c r="AR831" t="b">
        <f>IF(metadata!Q831="",FALSE,ISNUMBER(VALUE(metadata!Q831)))</f>
        <v>0</v>
      </c>
      <c r="AS831" t="b">
        <f>AND(IF(metadata!R831="",FALSE,TRUE),EXACT(metadata!R831,"kg"))</f>
        <v>0</v>
      </c>
    </row>
    <row r="832" spans="1:45" x14ac:dyDescent="0.2">
      <c r="A832" s="5" t="str">
        <f ca="1">IF(B832=" "," ",HYPERLINK(CONCATENATE("#metadata!",ADDRESS(INDEX($X$2:$X$1001,MATCH(ROWS($V$2:V832),$V$2:$V$1001,0),0),1)),INDEX($AA$2:$AA$1001,MATCH(ROWS($V$2:V832),$V$2:$V$1001,0),0)))</f>
        <v xml:space="preserve"> </v>
      </c>
      <c r="B832" s="4" t="str">
        <f ca="1">IF(OR(INDEX($W$2:$W$1001,MATCH(ROWS($V$2:V832),$V$2:$V$1001,0),1)&gt;=100000,INDEX($AC$1005:$AS$1005,1,MATCH(COLUMNS($AC$1006:AC1006),$AC$1006:$AS$1006,0))&gt;=100000), " ",IF(INDEX($AC$2:$AS$1001,MATCH(ROWS($V$2:V832),$V$2:$V$1001,0),MATCH(COLUMNS($AC$1006:AC1006),$AC$1006:$AS$1006,0)), HYPERLINK("#",""), HYPERLINK(CONCATENATE("#metadata!", ADDRESS(INDEX($X$2:$X$1001,MATCH(ROWS($V$2:V832),$V$2:$V$1001,0),0), INDEX($AC$1004:$AS$1004,1,MATCH(COLUMNS($AC$1006:AC1006),$AC$1006:$AS$1006,0)))),"Fix")))</f>
        <v xml:space="preserve"> </v>
      </c>
      <c r="C832" s="4" t="str">
        <f ca="1">IF(OR(INDEX($W$2:$W$1001,MATCH(ROWS($V$2:V832),$V$2:$V$1001,0),1)&gt;=100000,INDEX($AC$1005:$AS$1005,1,MATCH(COLUMNS($AC$1006:AD1006),$AC$1006:$AS$1006,0))&gt;=100000), " ",IF(INDEX($AC$2:$AS$1001,MATCH(ROWS($V$2:V832),$V$2:$V$1001,0),MATCH(COLUMNS($AC$1006:AD1006),$AC$1006:$AS$1006,0)), HYPERLINK("#",""), HYPERLINK(CONCATENATE("#metadata!", ADDRESS(INDEX($X$2:$X$1001,MATCH(ROWS($V$2:V832),$V$2:$V$1001,0),0), INDEX($AC$1004:$AS$1004,1,MATCH(COLUMNS($AC$1006:AD1006),$AC$1006:$AS$1006,0)))),"Fix")))</f>
        <v xml:space="preserve"> </v>
      </c>
      <c r="D832" s="4" t="str">
        <f ca="1">IF(OR(INDEX($W$2:$W$1001,MATCH(ROWS($V$2:V832),$V$2:$V$1001,0),1)&gt;=100000,INDEX($AC$1005:$AS$1005,1,MATCH(COLUMNS($AC$1006:AE1006),$AC$1006:$AS$1006,0))&gt;=100000), " ",IF(INDEX($AC$2:$AS$1001,MATCH(ROWS($V$2:V832),$V$2:$V$1001,0),MATCH(COLUMNS($AC$1006:AE1006),$AC$1006:$AS$1006,0)), HYPERLINK("#",""), HYPERLINK(CONCATENATE("#metadata!", ADDRESS(INDEX($X$2:$X$1001,MATCH(ROWS($V$2:V832),$V$2:$V$1001,0),0), INDEX($AC$1004:$AS$1004,1,MATCH(COLUMNS($AC$1006:AE1006),$AC$1006:$AS$1006,0)))),"Fix")))</f>
        <v xml:space="preserve"> </v>
      </c>
      <c r="E832" s="4" t="str">
        <f ca="1">IF(OR(INDEX($W$2:$W$1001,MATCH(ROWS($V$2:V832),$V$2:$V$1001,0),1)&gt;=100000,INDEX($AC$1005:$AS$1005,1,MATCH(COLUMNS($AC$1006:AF1006),$AC$1006:$AS$1006,0))&gt;=100000), " ",IF(INDEX($AC$2:$AS$1001,MATCH(ROWS($V$2:V832),$V$2:$V$1001,0),MATCH(COLUMNS($AC$1006:AF1006),$AC$1006:$AS$1006,0)), HYPERLINK("#",""), HYPERLINK(CONCATENATE("#metadata!", ADDRESS(INDEX($X$2:$X$1001,MATCH(ROWS($V$2:V832),$V$2:$V$1001,0),0), INDEX($AC$1004:$AS$1004,1,MATCH(COLUMNS($AC$1006:AF1006),$AC$1006:$AS$1006,0)))),"Fix")))</f>
        <v xml:space="preserve"> </v>
      </c>
      <c r="F832" s="4" t="str">
        <f ca="1">IF(OR(INDEX($W$2:$W$1001,MATCH(ROWS($V$2:V832),$V$2:$V$1001,0),1)&gt;=100000,INDEX($AC$1005:$AS$1005,1,MATCH(COLUMNS($AC$1006:AG1006),$AC$1006:$AS$1006,0))&gt;=100000), " ",IF(INDEX($AC$2:$AS$1001,MATCH(ROWS($V$2:V832),$V$2:$V$1001,0),MATCH(COLUMNS($AC$1006:AG1006),$AC$1006:$AS$1006,0)), HYPERLINK("#",""), HYPERLINK(CONCATENATE("#metadata!", ADDRESS(INDEX($X$2:$X$1001,MATCH(ROWS($V$2:V832),$V$2:$V$1001,0),0), INDEX($AC$1004:$AS$1004,1,MATCH(COLUMNS($AC$1006:AG1006),$AC$1006:$AS$1006,0)))),"Fix")))</f>
        <v xml:space="preserve"> </v>
      </c>
      <c r="G832" s="4" t="str">
        <f ca="1">IF(OR(INDEX($W$2:$W$1001,MATCH(ROWS($V$2:V832),$V$2:$V$1001,0),1)&gt;=100000,INDEX($AC$1005:$AS$1005,1,MATCH(COLUMNS($AC$1006:AH1006),$AC$1006:$AS$1006,0))&gt;=100000), " ",IF(INDEX($AC$2:$AS$1001,MATCH(ROWS($V$2:V832),$V$2:$V$1001,0),MATCH(COLUMNS($AC$1006:AH1006),$AC$1006:$AS$1006,0)), HYPERLINK("#",""), HYPERLINK(CONCATENATE("#metadata!", ADDRESS(INDEX($X$2:$X$1001,MATCH(ROWS($V$2:V832),$V$2:$V$1001,0),0), INDEX($AC$1004:$AS$1004,1,MATCH(COLUMNS($AC$1006:AH1006),$AC$1006:$AS$1006,0)))),"Fix")))</f>
        <v xml:space="preserve"> </v>
      </c>
      <c r="H832" s="4" t="str">
        <f ca="1">IF(OR(INDEX($W$2:$W$1001,MATCH(ROWS($V$2:V832),$V$2:$V$1001,0),1)&gt;=100000,INDEX($AC$1005:$AS$1005,1,MATCH(COLUMNS($AC$1006:AI1006),$AC$1006:$AS$1006,0))&gt;=100000), " ",IF(INDEX($AC$2:$AS$1001,MATCH(ROWS($V$2:V832),$V$2:$V$1001,0),MATCH(COLUMNS($AC$1006:AI1006),$AC$1006:$AS$1006,0)), HYPERLINK("#",""), HYPERLINK(CONCATENATE("#metadata!", ADDRESS(INDEX($X$2:$X$1001,MATCH(ROWS($V$2:V832),$V$2:$V$1001,0),0), INDEX($AC$1004:$AS$1004,1,MATCH(COLUMNS($AC$1006:AI1006),$AC$1006:$AS$1006,0)))),"Fix")))</f>
        <v xml:space="preserve"> </v>
      </c>
      <c r="I832" s="4" t="str">
        <f ca="1">IF(OR(INDEX($W$2:$W$1001,MATCH(ROWS($V$2:V832),$V$2:$V$1001,0),1)&gt;=100000,INDEX($AC$1005:$AS$1005,1,MATCH(COLUMNS($AC$1006:AJ1006),$AC$1006:$AS$1006,0))&gt;=100000), " ",IF(INDEX($AC$2:$AS$1001,MATCH(ROWS($V$2:V832),$V$2:$V$1001,0),MATCH(COLUMNS($AC$1006:AJ1006),$AC$1006:$AS$1006,0)), HYPERLINK("#",""), HYPERLINK(CONCATENATE("#metadata!", ADDRESS(INDEX($X$2:$X$1001,MATCH(ROWS($V$2:V832),$V$2:$V$1001,0),0), INDEX($AC$1004:$AS$1004,1,MATCH(COLUMNS($AC$1006:AJ1006),$AC$1006:$AS$1006,0)))),"Fix")))</f>
        <v xml:space="preserve"> </v>
      </c>
      <c r="J832" s="4" t="str">
        <f ca="1">IF(OR(INDEX($W$2:$W$1001,MATCH(ROWS($V$2:V832),$V$2:$V$1001,0),1)&gt;=100000,INDEX($AC$1005:$AS$1005,1,MATCH(COLUMNS($AC$1006:AK1006),$AC$1006:$AS$1006,0))&gt;=100000), " ",IF(INDEX($AC$2:$AS$1001,MATCH(ROWS($V$2:V832),$V$2:$V$1001,0),MATCH(COLUMNS($AC$1006:AK1006),$AC$1006:$AS$1006,0)), HYPERLINK("#",""), HYPERLINK(CONCATENATE("#metadata!", ADDRESS(INDEX($X$2:$X$1001,MATCH(ROWS($V$2:V832),$V$2:$V$1001,0),0), INDEX($AC$1004:$AS$1004,1,MATCH(COLUMNS($AC$1006:AK1006),$AC$1006:$AS$1006,0)))),"Fix")))</f>
        <v xml:space="preserve"> </v>
      </c>
      <c r="K832" s="4" t="str">
        <f ca="1">IF(OR(INDEX($W$2:$W$1001,MATCH(ROWS($V$2:V832),$V$2:$V$1001,0),1)&gt;=100000,INDEX($AC$1005:$AS$1005,1,MATCH(COLUMNS($AC$1006:AL1006),$AC$1006:$AS$1006,0))&gt;=100000), " ",IF(INDEX($AC$2:$AS$1001,MATCH(ROWS($V$2:V832),$V$2:$V$1001,0),MATCH(COLUMNS($AC$1006:AL1006),$AC$1006:$AS$1006,0)), HYPERLINK("#",""), HYPERLINK(CONCATENATE("#metadata!", ADDRESS(INDEX($X$2:$X$1001,MATCH(ROWS($V$2:V832),$V$2:$V$1001,0),0), INDEX($AC$1004:$AS$1004,1,MATCH(COLUMNS($AC$1006:AL1006),$AC$1006:$AS$1006,0)))),"Fix")))</f>
        <v xml:space="preserve"> </v>
      </c>
      <c r="L832" s="4" t="str">
        <f ca="1">IF(OR(INDEX($W$2:$W$1001,MATCH(ROWS($V$2:V832),$V$2:$V$1001,0),1)&gt;=100000,INDEX($AC$1005:$AS$1005,1,MATCH(COLUMNS($AC$1006:AM1006),$AC$1006:$AS$1006,0))&gt;=100000), " ",IF(INDEX($AC$2:$AS$1001,MATCH(ROWS($V$2:V832),$V$2:$V$1001,0),MATCH(COLUMNS($AC$1006:AM1006),$AC$1006:$AS$1006,0)), HYPERLINK("#",""), HYPERLINK(CONCATENATE("#metadata!", ADDRESS(INDEX($X$2:$X$1001,MATCH(ROWS($V$2:V832),$V$2:$V$1001,0),0), INDEX($AC$1004:$AS$1004,1,MATCH(COLUMNS($AC$1006:AM1006),$AC$1006:$AS$1006,0)))),"Fix")))</f>
        <v xml:space="preserve"> </v>
      </c>
      <c r="M832" s="4" t="str">
        <f ca="1">IF(OR(INDEX($W$2:$W$1001,MATCH(ROWS($V$2:V832),$V$2:$V$1001,0),1)&gt;=100000,INDEX($AC$1005:$AS$1005,1,MATCH(COLUMNS($AC$1006:AN1006),$AC$1006:$AS$1006,0))&gt;=100000), " ",IF(INDEX($AC$2:$AS$1001,MATCH(ROWS($V$2:V832),$V$2:$V$1001,0),MATCH(COLUMNS($AC$1006:AN1006),$AC$1006:$AS$1006,0)), HYPERLINK("#",""), HYPERLINK(CONCATENATE("#metadata!", ADDRESS(INDEX($X$2:$X$1001,MATCH(ROWS($V$2:V832),$V$2:$V$1001,0),0), INDEX($AC$1004:$AS$1004,1,MATCH(COLUMNS($AC$1006:AN1006),$AC$1006:$AS$1006,0)))),"Fix")))</f>
        <v xml:space="preserve"> </v>
      </c>
      <c r="N832" s="4" t="str">
        <f ca="1">IF(OR(INDEX($W$2:$W$1001,MATCH(ROWS($V$2:V832),$V$2:$V$1001,0),1)&gt;=100000,INDEX($AC$1005:$AS$1005,1,MATCH(COLUMNS($AC$1006:AO1006),$AC$1006:$AS$1006,0))&gt;=100000), " ",IF(INDEX($AC$2:$AS$1001,MATCH(ROWS($V$2:V832),$V$2:$V$1001,0),MATCH(COLUMNS($AC$1006:AO1006),$AC$1006:$AS$1006,0)), HYPERLINK("#",""), HYPERLINK(CONCATENATE("#metadata!", ADDRESS(INDEX($X$2:$X$1001,MATCH(ROWS($V$2:V832),$V$2:$V$1001,0),0), INDEX($AC$1004:$AS$1004,1,MATCH(COLUMNS($AC$1006:AO1006),$AC$1006:$AS$1006,0)))),"Fix")))</f>
        <v xml:space="preserve"> </v>
      </c>
      <c r="O832" s="4" t="str">
        <f ca="1">IF(OR(INDEX($W$2:$W$1001,MATCH(ROWS($V$2:V832),$V$2:$V$1001,0),1)&gt;=100000,INDEX($AC$1005:$AS$1005,1,MATCH(COLUMNS($AC$1006:AP1006),$AC$1006:$AS$1006,0))&gt;=100000), " ",IF(INDEX($AC$2:$AS$1001,MATCH(ROWS($V$2:V832),$V$2:$V$1001,0),MATCH(COLUMNS($AC$1006:AP1006),$AC$1006:$AS$1006,0)), HYPERLINK("#",""), HYPERLINK(CONCATENATE("#metadata!", ADDRESS(INDEX($X$2:$X$1001,MATCH(ROWS($V$2:V832),$V$2:$V$1001,0),0), INDEX($AC$1004:$AS$1004,1,MATCH(COLUMNS($AC$1006:AP1006),$AC$1006:$AS$1006,0)))),"Fix")))</f>
        <v xml:space="preserve"> </v>
      </c>
      <c r="P832" s="4" t="str">
        <f ca="1">IF(OR(INDEX($W$2:$W$1001,MATCH(ROWS($V$2:V832),$V$2:$V$1001,0),1)&gt;=100000,INDEX($AC$1005:$AS$1005,1,MATCH(COLUMNS($AC$1006:AQ1006),$AC$1006:$AS$1006,0))&gt;=100000), " ",IF(INDEX($AC$2:$AS$1001,MATCH(ROWS($V$2:V832),$V$2:$V$1001,0),MATCH(COLUMNS($AC$1006:AQ1006),$AC$1006:$AS$1006,0)), HYPERLINK("#",""), HYPERLINK(CONCATENATE("#metadata!", ADDRESS(INDEX($X$2:$X$1001,MATCH(ROWS($V$2:V832),$V$2:$V$1001,0),0), INDEX($AC$1004:$AS$1004,1,MATCH(COLUMNS($AC$1006:AQ1006),$AC$1006:$AS$1006,0)))),"Fix")))</f>
        <v xml:space="preserve"> </v>
      </c>
      <c r="Q832" s="4" t="str">
        <f ca="1">IF(OR(INDEX($W$2:$W$1001,MATCH(ROWS($V$2:V832),$V$2:$V$1001,0),1)&gt;=100000,INDEX($AC$1005:$AS$1005,1,MATCH(COLUMNS($AC$1006:AR1006),$AC$1006:$AS$1006,0))&gt;=100000), " ",IF(INDEX($AC$2:$AS$1001,MATCH(ROWS($V$2:V832),$V$2:$V$1001,0),MATCH(COLUMNS($AC$1006:AR1006),$AC$1006:$AS$1006,0)), HYPERLINK("#",""), HYPERLINK(CONCATENATE("#metadata!", ADDRESS(INDEX($X$2:$X$1001,MATCH(ROWS($V$2:V832),$V$2:$V$1001,0),0), INDEX($AC$1004:$AS$1004,1,MATCH(COLUMNS($AC$1006:AR1006),$AC$1006:$AS$1006,0)))),"Fix")))</f>
        <v xml:space="preserve"> </v>
      </c>
      <c r="R832" s="4" t="str">
        <f ca="1">IF(OR(INDEX($W$2:$W$1001,MATCH(ROWS($V$2:V832),$V$2:$V$1001,0),1)&gt;=100000,INDEX($AC$1005:$AS$1005,1,MATCH(COLUMNS($AC$1006:AS1006),$AC$1006:$AS$1006,0))&gt;=100000), " ",IF(INDEX($AC$2:$AS$1001,MATCH(ROWS($V$2:V832),$V$2:$V$1001,0),MATCH(COLUMNS($AC$1006:AS1006),$AC$1006:$AS$1006,0)), HYPERLINK("#",""), HYPERLINK(CONCATENATE("#metadata!", ADDRESS(INDEX($X$2:$X$1001,MATCH(ROWS($V$2:V832),$V$2:$V$1001,0),0), INDEX($AC$1004:$AS$1004,1,MATCH(COLUMNS($AC$1006:AS1006),$AC$1006:$AS$1006,0)))),"Fix")))</f>
        <v xml:space="preserve"> </v>
      </c>
      <c r="V832">
        <v>831</v>
      </c>
      <c r="W832">
        <v>100832</v>
      </c>
      <c r="X832">
        <v>832</v>
      </c>
      <c r="Y832" t="b">
        <f t="shared" si="12"/>
        <v>1</v>
      </c>
      <c r="Z832" t="b">
        <f>COUNTBLANK(metadata!B832:R832)=COLUMNS(metadata!B832:R832)</f>
        <v>1</v>
      </c>
      <c r="AA832" t="str">
        <v/>
      </c>
      <c r="AC832" t="b">
        <f ca="1"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AD832" t="b">
        <f>IF(metadata!C832="",FALSE,ISNUMBER(VALUE(metadata!C832)))</f>
        <v>0</v>
      </c>
      <c r="AE832" t="b">
        <f>AND(IF(metadata!D832="",FALSE,TRUE),EXACT(metadata!D832,"years"))</f>
        <v>0</v>
      </c>
      <c r="AF832" t="b">
        <f>OR(AND(IF(metadata!E832="",FALSE,TRUE),OR(EXACT(metadata!E832,"not applicable"),EXACT(metadata!E832,"missing: not collected"),EXACT(metadata!E832,"missing: not provided"),EXACT(metadata!E832,"missing: restricted access"))),AND(IF(metadata!E832="",FALSE,ISNUMBER(VALUE(metadata!E832))),metadata!E832&gt;0))</f>
        <v>0</v>
      </c>
      <c r="AG832" t="b">
        <f>AND(IF(metadata!F832="",FALSE,TRUE),EXACT(metadata!F832,"Not applicable"))</f>
        <v>0</v>
      </c>
      <c r="AH832" t="b">
        <f>AND(IF(metadata!G832="",FALSE,TRUE),EXACT(metadata!G832,"urban biome"))</f>
        <v>0</v>
      </c>
      <c r="AI832" t="b">
        <f>AND(IF(metadata!H832="",FALSE,TRUE),EXACT(metadata!H832,"human-associated habitat"))</f>
        <v>0</v>
      </c>
      <c r="AJ832" t="b">
        <f>AND(IF(metadata!I832="",FALSE,TRUE),OR(EXACT(metadata!I832,"human-associated"),EXACT(metadata!I832,"human-skin"),EXACT(metadata!I832,"human-oral"),EXACT(metadata!I832,"human-gut"),EXACT(metadata!I832,"human-vaginal")))</f>
        <v>0</v>
      </c>
      <c r="AK832" t="b">
        <f>IF(metadata!J832="",FALSE,ISNUMBER(VALUE(metadata!J832)))</f>
        <v>0</v>
      </c>
      <c r="AL832" t="b">
        <f>AND(IF(metadata!K832="",FALSE,TRUE),EXACT(metadata!K832,"cm"))</f>
        <v>0</v>
      </c>
      <c r="AM832" t="b">
        <f>AND(IF(metadata!L832="",FALSE,TRUE),EXACT(metadata!L832,"human"))</f>
        <v>0</v>
      </c>
      <c r="AN832" t="b">
        <f>AND(IF(metadata!M832="",FALSE,TRUE),EXACT(metadata!M832,"Homo sapiens"))</f>
        <v>0</v>
      </c>
      <c r="AO832" t="b">
        <f>AND(IF(metadata!N832="",FALSE,TRUE),EXACT(metadata!N832,"9606"))</f>
        <v>0</v>
      </c>
      <c r="AP832" t="b">
        <f>IF(metadata!O832="",FALSE,TRUE)</f>
        <v>0</v>
      </c>
      <c r="AQ832" t="b">
        <f>IF(metadata!P832="",FALSE,TRUE)</f>
        <v>0</v>
      </c>
      <c r="AR832" t="b">
        <f>IF(metadata!Q832="",FALSE,ISNUMBER(VALUE(metadata!Q832)))</f>
        <v>0</v>
      </c>
      <c r="AS832" t="b">
        <f>AND(IF(metadata!R832="",FALSE,TRUE),EXACT(metadata!R832,"kg"))</f>
        <v>0</v>
      </c>
    </row>
    <row r="833" spans="1:45" x14ac:dyDescent="0.2">
      <c r="A833" s="5" t="str">
        <f ca="1">IF(B833=" "," ",HYPERLINK(CONCATENATE("#metadata!",ADDRESS(INDEX($X$2:$X$1001,MATCH(ROWS($V$2:V833),$V$2:$V$1001,0),0),1)),INDEX($AA$2:$AA$1001,MATCH(ROWS($V$2:V833),$V$2:$V$1001,0),0)))</f>
        <v xml:space="preserve"> </v>
      </c>
      <c r="B833" s="4" t="str">
        <f ca="1">IF(OR(INDEX($W$2:$W$1001,MATCH(ROWS($V$2:V833),$V$2:$V$1001,0),1)&gt;=100000,INDEX($AC$1005:$AS$1005,1,MATCH(COLUMNS($AC$1006:AC1006),$AC$1006:$AS$1006,0))&gt;=100000), " ",IF(INDEX($AC$2:$AS$1001,MATCH(ROWS($V$2:V833),$V$2:$V$1001,0),MATCH(COLUMNS($AC$1006:AC1006),$AC$1006:$AS$1006,0)), HYPERLINK("#",""), HYPERLINK(CONCATENATE("#metadata!", ADDRESS(INDEX($X$2:$X$1001,MATCH(ROWS($V$2:V833),$V$2:$V$1001,0),0), INDEX($AC$1004:$AS$1004,1,MATCH(COLUMNS($AC$1006:AC1006),$AC$1006:$AS$1006,0)))),"Fix")))</f>
        <v xml:space="preserve"> </v>
      </c>
      <c r="C833" s="4" t="str">
        <f ca="1">IF(OR(INDEX($W$2:$W$1001,MATCH(ROWS($V$2:V833),$V$2:$V$1001,0),1)&gt;=100000,INDEX($AC$1005:$AS$1005,1,MATCH(COLUMNS($AC$1006:AD1006),$AC$1006:$AS$1006,0))&gt;=100000), " ",IF(INDEX($AC$2:$AS$1001,MATCH(ROWS($V$2:V833),$V$2:$V$1001,0),MATCH(COLUMNS($AC$1006:AD1006),$AC$1006:$AS$1006,0)), HYPERLINK("#",""), HYPERLINK(CONCATENATE("#metadata!", ADDRESS(INDEX($X$2:$X$1001,MATCH(ROWS($V$2:V833),$V$2:$V$1001,0),0), INDEX($AC$1004:$AS$1004,1,MATCH(COLUMNS($AC$1006:AD1006),$AC$1006:$AS$1006,0)))),"Fix")))</f>
        <v xml:space="preserve"> </v>
      </c>
      <c r="D833" s="4" t="str">
        <f ca="1">IF(OR(INDEX($W$2:$W$1001,MATCH(ROWS($V$2:V833),$V$2:$V$1001,0),1)&gt;=100000,INDEX($AC$1005:$AS$1005,1,MATCH(COLUMNS($AC$1006:AE1006),$AC$1006:$AS$1006,0))&gt;=100000), " ",IF(INDEX($AC$2:$AS$1001,MATCH(ROWS($V$2:V833),$V$2:$V$1001,0),MATCH(COLUMNS($AC$1006:AE1006),$AC$1006:$AS$1006,0)), HYPERLINK("#",""), HYPERLINK(CONCATENATE("#metadata!", ADDRESS(INDEX($X$2:$X$1001,MATCH(ROWS($V$2:V833),$V$2:$V$1001,0),0), INDEX($AC$1004:$AS$1004,1,MATCH(COLUMNS($AC$1006:AE1006),$AC$1006:$AS$1006,0)))),"Fix")))</f>
        <v xml:space="preserve"> </v>
      </c>
      <c r="E833" s="4" t="str">
        <f ca="1">IF(OR(INDEX($W$2:$W$1001,MATCH(ROWS($V$2:V833),$V$2:$V$1001,0),1)&gt;=100000,INDEX($AC$1005:$AS$1005,1,MATCH(COLUMNS($AC$1006:AF1006),$AC$1006:$AS$1006,0))&gt;=100000), " ",IF(INDEX($AC$2:$AS$1001,MATCH(ROWS($V$2:V833),$V$2:$V$1001,0),MATCH(COLUMNS($AC$1006:AF1006),$AC$1006:$AS$1006,0)), HYPERLINK("#",""), HYPERLINK(CONCATENATE("#metadata!", ADDRESS(INDEX($X$2:$X$1001,MATCH(ROWS($V$2:V833),$V$2:$V$1001,0),0), INDEX($AC$1004:$AS$1004,1,MATCH(COLUMNS($AC$1006:AF1006),$AC$1006:$AS$1006,0)))),"Fix")))</f>
        <v xml:space="preserve"> </v>
      </c>
      <c r="F833" s="4" t="str">
        <f ca="1">IF(OR(INDEX($W$2:$W$1001,MATCH(ROWS($V$2:V833),$V$2:$V$1001,0),1)&gt;=100000,INDEX($AC$1005:$AS$1005,1,MATCH(COLUMNS($AC$1006:AG1006),$AC$1006:$AS$1006,0))&gt;=100000), " ",IF(INDEX($AC$2:$AS$1001,MATCH(ROWS($V$2:V833),$V$2:$V$1001,0),MATCH(COLUMNS($AC$1006:AG1006),$AC$1006:$AS$1006,0)), HYPERLINK("#",""), HYPERLINK(CONCATENATE("#metadata!", ADDRESS(INDEX($X$2:$X$1001,MATCH(ROWS($V$2:V833),$V$2:$V$1001,0),0), INDEX($AC$1004:$AS$1004,1,MATCH(COLUMNS($AC$1006:AG1006),$AC$1006:$AS$1006,0)))),"Fix")))</f>
        <v xml:space="preserve"> </v>
      </c>
      <c r="G833" s="4" t="str">
        <f ca="1">IF(OR(INDEX($W$2:$W$1001,MATCH(ROWS($V$2:V833),$V$2:$V$1001,0),1)&gt;=100000,INDEX($AC$1005:$AS$1005,1,MATCH(COLUMNS($AC$1006:AH1006),$AC$1006:$AS$1006,0))&gt;=100000), " ",IF(INDEX($AC$2:$AS$1001,MATCH(ROWS($V$2:V833),$V$2:$V$1001,0),MATCH(COLUMNS($AC$1006:AH1006),$AC$1006:$AS$1006,0)), HYPERLINK("#",""), HYPERLINK(CONCATENATE("#metadata!", ADDRESS(INDEX($X$2:$X$1001,MATCH(ROWS($V$2:V833),$V$2:$V$1001,0),0), INDEX($AC$1004:$AS$1004,1,MATCH(COLUMNS($AC$1006:AH1006),$AC$1006:$AS$1006,0)))),"Fix")))</f>
        <v xml:space="preserve"> </v>
      </c>
      <c r="H833" s="4" t="str">
        <f ca="1">IF(OR(INDEX($W$2:$W$1001,MATCH(ROWS($V$2:V833),$V$2:$V$1001,0),1)&gt;=100000,INDEX($AC$1005:$AS$1005,1,MATCH(COLUMNS($AC$1006:AI1006),$AC$1006:$AS$1006,0))&gt;=100000), " ",IF(INDEX($AC$2:$AS$1001,MATCH(ROWS($V$2:V833),$V$2:$V$1001,0),MATCH(COLUMNS($AC$1006:AI1006),$AC$1006:$AS$1006,0)), HYPERLINK("#",""), HYPERLINK(CONCATENATE("#metadata!", ADDRESS(INDEX($X$2:$X$1001,MATCH(ROWS($V$2:V833),$V$2:$V$1001,0),0), INDEX($AC$1004:$AS$1004,1,MATCH(COLUMNS($AC$1006:AI1006),$AC$1006:$AS$1006,0)))),"Fix")))</f>
        <v xml:space="preserve"> </v>
      </c>
      <c r="I833" s="4" t="str">
        <f ca="1">IF(OR(INDEX($W$2:$W$1001,MATCH(ROWS($V$2:V833),$V$2:$V$1001,0),1)&gt;=100000,INDEX($AC$1005:$AS$1005,1,MATCH(COLUMNS($AC$1006:AJ1006),$AC$1006:$AS$1006,0))&gt;=100000), " ",IF(INDEX($AC$2:$AS$1001,MATCH(ROWS($V$2:V833),$V$2:$V$1001,0),MATCH(COLUMNS($AC$1006:AJ1006),$AC$1006:$AS$1006,0)), HYPERLINK("#",""), HYPERLINK(CONCATENATE("#metadata!", ADDRESS(INDEX($X$2:$X$1001,MATCH(ROWS($V$2:V833),$V$2:$V$1001,0),0), INDEX($AC$1004:$AS$1004,1,MATCH(COLUMNS($AC$1006:AJ1006),$AC$1006:$AS$1006,0)))),"Fix")))</f>
        <v xml:space="preserve"> </v>
      </c>
      <c r="J833" s="4" t="str">
        <f ca="1">IF(OR(INDEX($W$2:$W$1001,MATCH(ROWS($V$2:V833),$V$2:$V$1001,0),1)&gt;=100000,INDEX($AC$1005:$AS$1005,1,MATCH(COLUMNS($AC$1006:AK1006),$AC$1006:$AS$1006,0))&gt;=100000), " ",IF(INDEX($AC$2:$AS$1001,MATCH(ROWS($V$2:V833),$V$2:$V$1001,0),MATCH(COLUMNS($AC$1006:AK1006),$AC$1006:$AS$1006,0)), HYPERLINK("#",""), HYPERLINK(CONCATENATE("#metadata!", ADDRESS(INDEX($X$2:$X$1001,MATCH(ROWS($V$2:V833),$V$2:$V$1001,0),0), INDEX($AC$1004:$AS$1004,1,MATCH(COLUMNS($AC$1006:AK1006),$AC$1006:$AS$1006,0)))),"Fix")))</f>
        <v xml:space="preserve"> </v>
      </c>
      <c r="K833" s="4" t="str">
        <f ca="1">IF(OR(INDEX($W$2:$W$1001,MATCH(ROWS($V$2:V833),$V$2:$V$1001,0),1)&gt;=100000,INDEX($AC$1005:$AS$1005,1,MATCH(COLUMNS($AC$1006:AL1006),$AC$1006:$AS$1006,0))&gt;=100000), " ",IF(INDEX($AC$2:$AS$1001,MATCH(ROWS($V$2:V833),$V$2:$V$1001,0),MATCH(COLUMNS($AC$1006:AL1006),$AC$1006:$AS$1006,0)), HYPERLINK("#",""), HYPERLINK(CONCATENATE("#metadata!", ADDRESS(INDEX($X$2:$X$1001,MATCH(ROWS($V$2:V833),$V$2:$V$1001,0),0), INDEX($AC$1004:$AS$1004,1,MATCH(COLUMNS($AC$1006:AL1006),$AC$1006:$AS$1006,0)))),"Fix")))</f>
        <v xml:space="preserve"> </v>
      </c>
      <c r="L833" s="4" t="str">
        <f ca="1">IF(OR(INDEX($W$2:$W$1001,MATCH(ROWS($V$2:V833),$V$2:$V$1001,0),1)&gt;=100000,INDEX($AC$1005:$AS$1005,1,MATCH(COLUMNS($AC$1006:AM1006),$AC$1006:$AS$1006,0))&gt;=100000), " ",IF(INDEX($AC$2:$AS$1001,MATCH(ROWS($V$2:V833),$V$2:$V$1001,0),MATCH(COLUMNS($AC$1006:AM1006),$AC$1006:$AS$1006,0)), HYPERLINK("#",""), HYPERLINK(CONCATENATE("#metadata!", ADDRESS(INDEX($X$2:$X$1001,MATCH(ROWS($V$2:V833),$V$2:$V$1001,0),0), INDEX($AC$1004:$AS$1004,1,MATCH(COLUMNS($AC$1006:AM1006),$AC$1006:$AS$1006,0)))),"Fix")))</f>
        <v xml:space="preserve"> </v>
      </c>
      <c r="M833" s="4" t="str">
        <f ca="1">IF(OR(INDEX($W$2:$W$1001,MATCH(ROWS($V$2:V833),$V$2:$V$1001,0),1)&gt;=100000,INDEX($AC$1005:$AS$1005,1,MATCH(COLUMNS($AC$1006:AN1006),$AC$1006:$AS$1006,0))&gt;=100000), " ",IF(INDEX($AC$2:$AS$1001,MATCH(ROWS($V$2:V833),$V$2:$V$1001,0),MATCH(COLUMNS($AC$1006:AN1006),$AC$1006:$AS$1006,0)), HYPERLINK("#",""), HYPERLINK(CONCATENATE("#metadata!", ADDRESS(INDEX($X$2:$X$1001,MATCH(ROWS($V$2:V833),$V$2:$V$1001,0),0), INDEX($AC$1004:$AS$1004,1,MATCH(COLUMNS($AC$1006:AN1006),$AC$1006:$AS$1006,0)))),"Fix")))</f>
        <v xml:space="preserve"> </v>
      </c>
      <c r="N833" s="4" t="str">
        <f ca="1">IF(OR(INDEX($W$2:$W$1001,MATCH(ROWS($V$2:V833),$V$2:$V$1001,0),1)&gt;=100000,INDEX($AC$1005:$AS$1005,1,MATCH(COLUMNS($AC$1006:AO1006),$AC$1006:$AS$1006,0))&gt;=100000), " ",IF(INDEX($AC$2:$AS$1001,MATCH(ROWS($V$2:V833),$V$2:$V$1001,0),MATCH(COLUMNS($AC$1006:AO1006),$AC$1006:$AS$1006,0)), HYPERLINK("#",""), HYPERLINK(CONCATENATE("#metadata!", ADDRESS(INDEX($X$2:$X$1001,MATCH(ROWS($V$2:V833),$V$2:$V$1001,0),0), INDEX($AC$1004:$AS$1004,1,MATCH(COLUMNS($AC$1006:AO1006),$AC$1006:$AS$1006,0)))),"Fix")))</f>
        <v xml:space="preserve"> </v>
      </c>
      <c r="O833" s="4" t="str">
        <f ca="1">IF(OR(INDEX($W$2:$W$1001,MATCH(ROWS($V$2:V833),$V$2:$V$1001,0),1)&gt;=100000,INDEX($AC$1005:$AS$1005,1,MATCH(COLUMNS($AC$1006:AP1006),$AC$1006:$AS$1006,0))&gt;=100000), " ",IF(INDEX($AC$2:$AS$1001,MATCH(ROWS($V$2:V833),$V$2:$V$1001,0),MATCH(COLUMNS($AC$1006:AP1006),$AC$1006:$AS$1006,0)), HYPERLINK("#",""), HYPERLINK(CONCATENATE("#metadata!", ADDRESS(INDEX($X$2:$X$1001,MATCH(ROWS($V$2:V833),$V$2:$V$1001,0),0), INDEX($AC$1004:$AS$1004,1,MATCH(COLUMNS($AC$1006:AP1006),$AC$1006:$AS$1006,0)))),"Fix")))</f>
        <v xml:space="preserve"> </v>
      </c>
      <c r="P833" s="4" t="str">
        <f ca="1">IF(OR(INDEX($W$2:$W$1001,MATCH(ROWS($V$2:V833),$V$2:$V$1001,0),1)&gt;=100000,INDEX($AC$1005:$AS$1005,1,MATCH(COLUMNS($AC$1006:AQ1006),$AC$1006:$AS$1006,0))&gt;=100000), " ",IF(INDEX($AC$2:$AS$1001,MATCH(ROWS($V$2:V833),$V$2:$V$1001,0),MATCH(COLUMNS($AC$1006:AQ1006),$AC$1006:$AS$1006,0)), HYPERLINK("#",""), HYPERLINK(CONCATENATE("#metadata!", ADDRESS(INDEX($X$2:$X$1001,MATCH(ROWS($V$2:V833),$V$2:$V$1001,0),0), INDEX($AC$1004:$AS$1004,1,MATCH(COLUMNS($AC$1006:AQ1006),$AC$1006:$AS$1006,0)))),"Fix")))</f>
        <v xml:space="preserve"> </v>
      </c>
      <c r="Q833" s="4" t="str">
        <f ca="1">IF(OR(INDEX($W$2:$W$1001,MATCH(ROWS($V$2:V833),$V$2:$V$1001,0),1)&gt;=100000,INDEX($AC$1005:$AS$1005,1,MATCH(COLUMNS($AC$1006:AR1006),$AC$1006:$AS$1006,0))&gt;=100000), " ",IF(INDEX($AC$2:$AS$1001,MATCH(ROWS($V$2:V833),$V$2:$V$1001,0),MATCH(COLUMNS($AC$1006:AR1006),$AC$1006:$AS$1006,0)), HYPERLINK("#",""), HYPERLINK(CONCATENATE("#metadata!", ADDRESS(INDEX($X$2:$X$1001,MATCH(ROWS($V$2:V833),$V$2:$V$1001,0),0), INDEX($AC$1004:$AS$1004,1,MATCH(COLUMNS($AC$1006:AR1006),$AC$1006:$AS$1006,0)))),"Fix")))</f>
        <v xml:space="preserve"> </v>
      </c>
      <c r="R833" s="4" t="str">
        <f ca="1">IF(OR(INDEX($W$2:$W$1001,MATCH(ROWS($V$2:V833),$V$2:$V$1001,0),1)&gt;=100000,INDEX($AC$1005:$AS$1005,1,MATCH(COLUMNS($AC$1006:AS1006),$AC$1006:$AS$1006,0))&gt;=100000), " ",IF(INDEX($AC$2:$AS$1001,MATCH(ROWS($V$2:V833),$V$2:$V$1001,0),MATCH(COLUMNS($AC$1006:AS1006),$AC$1006:$AS$1006,0)), HYPERLINK("#",""), HYPERLINK(CONCATENATE("#metadata!", ADDRESS(INDEX($X$2:$X$1001,MATCH(ROWS($V$2:V833),$V$2:$V$1001,0),0), INDEX($AC$1004:$AS$1004,1,MATCH(COLUMNS($AC$1006:AS1006),$AC$1006:$AS$1006,0)))),"Fix")))</f>
        <v xml:space="preserve"> </v>
      </c>
      <c r="V833">
        <v>832</v>
      </c>
      <c r="W833">
        <v>100833</v>
      </c>
      <c r="X833">
        <v>833</v>
      </c>
      <c r="Y833" t="b">
        <f t="shared" si="12"/>
        <v>1</v>
      </c>
      <c r="Z833" t="b">
        <f>COUNTBLANK(metadata!B833:R833)=COLUMNS(metadata!B833:R833)</f>
        <v>1</v>
      </c>
      <c r="AA833" t="str">
        <v/>
      </c>
      <c r="AC833" t="b">
        <f ca="1"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AD833" t="b">
        <f>IF(metadata!C833="",FALSE,ISNUMBER(VALUE(metadata!C833)))</f>
        <v>0</v>
      </c>
      <c r="AE833" t="b">
        <f>AND(IF(metadata!D833="",FALSE,TRUE),EXACT(metadata!D833,"years"))</f>
        <v>0</v>
      </c>
      <c r="AF833" t="b">
        <f>OR(AND(IF(metadata!E833="",FALSE,TRUE),OR(EXACT(metadata!E833,"not applicable"),EXACT(metadata!E833,"missing: not collected"),EXACT(metadata!E833,"missing: not provided"),EXACT(metadata!E833,"missing: restricted access"))),AND(IF(metadata!E833="",FALSE,ISNUMBER(VALUE(metadata!E833))),metadata!E833&gt;0))</f>
        <v>0</v>
      </c>
      <c r="AG833" t="b">
        <f>AND(IF(metadata!F833="",FALSE,TRUE),EXACT(metadata!F833,"Not applicable"))</f>
        <v>0</v>
      </c>
      <c r="AH833" t="b">
        <f>AND(IF(metadata!G833="",FALSE,TRUE),EXACT(metadata!G833,"urban biome"))</f>
        <v>0</v>
      </c>
      <c r="AI833" t="b">
        <f>AND(IF(metadata!H833="",FALSE,TRUE),EXACT(metadata!H833,"human-associated habitat"))</f>
        <v>0</v>
      </c>
      <c r="AJ833" t="b">
        <f>AND(IF(metadata!I833="",FALSE,TRUE),OR(EXACT(metadata!I833,"human-associated"),EXACT(metadata!I833,"human-skin"),EXACT(metadata!I833,"human-oral"),EXACT(metadata!I833,"human-gut"),EXACT(metadata!I833,"human-vaginal")))</f>
        <v>0</v>
      </c>
      <c r="AK833" t="b">
        <f>IF(metadata!J833="",FALSE,ISNUMBER(VALUE(metadata!J833)))</f>
        <v>0</v>
      </c>
      <c r="AL833" t="b">
        <f>AND(IF(metadata!K833="",FALSE,TRUE),EXACT(metadata!K833,"cm"))</f>
        <v>0</v>
      </c>
      <c r="AM833" t="b">
        <f>AND(IF(metadata!L833="",FALSE,TRUE),EXACT(metadata!L833,"human"))</f>
        <v>0</v>
      </c>
      <c r="AN833" t="b">
        <f>AND(IF(metadata!M833="",FALSE,TRUE),EXACT(metadata!M833,"Homo sapiens"))</f>
        <v>0</v>
      </c>
      <c r="AO833" t="b">
        <f>AND(IF(metadata!N833="",FALSE,TRUE),EXACT(metadata!N833,"9606"))</f>
        <v>0</v>
      </c>
      <c r="AP833" t="b">
        <f>IF(metadata!O833="",FALSE,TRUE)</f>
        <v>0</v>
      </c>
      <c r="AQ833" t="b">
        <f>IF(metadata!P833="",FALSE,TRUE)</f>
        <v>0</v>
      </c>
      <c r="AR833" t="b">
        <f>IF(metadata!Q833="",FALSE,ISNUMBER(VALUE(metadata!Q833)))</f>
        <v>0</v>
      </c>
      <c r="AS833" t="b">
        <f>AND(IF(metadata!R833="",FALSE,TRUE),EXACT(metadata!R833,"kg"))</f>
        <v>0</v>
      </c>
    </row>
    <row r="834" spans="1:45" x14ac:dyDescent="0.2">
      <c r="A834" s="5" t="str">
        <f ca="1">IF(B834=" "," ",HYPERLINK(CONCATENATE("#metadata!",ADDRESS(INDEX($X$2:$X$1001,MATCH(ROWS($V$2:V834),$V$2:$V$1001,0),0),1)),INDEX($AA$2:$AA$1001,MATCH(ROWS($V$2:V834),$V$2:$V$1001,0),0)))</f>
        <v xml:space="preserve"> </v>
      </c>
      <c r="B834" s="4" t="str">
        <f ca="1">IF(OR(INDEX($W$2:$W$1001,MATCH(ROWS($V$2:V834),$V$2:$V$1001,0),1)&gt;=100000,INDEX($AC$1005:$AS$1005,1,MATCH(COLUMNS($AC$1006:AC1006),$AC$1006:$AS$1006,0))&gt;=100000), " ",IF(INDEX($AC$2:$AS$1001,MATCH(ROWS($V$2:V834),$V$2:$V$1001,0),MATCH(COLUMNS($AC$1006:AC1006),$AC$1006:$AS$1006,0)), HYPERLINK("#",""), HYPERLINK(CONCATENATE("#metadata!", ADDRESS(INDEX($X$2:$X$1001,MATCH(ROWS($V$2:V834),$V$2:$V$1001,0),0), INDEX($AC$1004:$AS$1004,1,MATCH(COLUMNS($AC$1006:AC1006),$AC$1006:$AS$1006,0)))),"Fix")))</f>
        <v xml:space="preserve"> </v>
      </c>
      <c r="C834" s="4" t="str">
        <f ca="1">IF(OR(INDEX($W$2:$W$1001,MATCH(ROWS($V$2:V834),$V$2:$V$1001,0),1)&gt;=100000,INDEX($AC$1005:$AS$1005,1,MATCH(COLUMNS($AC$1006:AD1006),$AC$1006:$AS$1006,0))&gt;=100000), " ",IF(INDEX($AC$2:$AS$1001,MATCH(ROWS($V$2:V834),$V$2:$V$1001,0),MATCH(COLUMNS($AC$1006:AD1006),$AC$1006:$AS$1006,0)), HYPERLINK("#",""), HYPERLINK(CONCATENATE("#metadata!", ADDRESS(INDEX($X$2:$X$1001,MATCH(ROWS($V$2:V834),$V$2:$V$1001,0),0), INDEX($AC$1004:$AS$1004,1,MATCH(COLUMNS($AC$1006:AD1006),$AC$1006:$AS$1006,0)))),"Fix")))</f>
        <v xml:space="preserve"> </v>
      </c>
      <c r="D834" s="4" t="str">
        <f ca="1">IF(OR(INDEX($W$2:$W$1001,MATCH(ROWS($V$2:V834),$V$2:$V$1001,0),1)&gt;=100000,INDEX($AC$1005:$AS$1005,1,MATCH(COLUMNS($AC$1006:AE1006),$AC$1006:$AS$1006,0))&gt;=100000), " ",IF(INDEX($AC$2:$AS$1001,MATCH(ROWS($V$2:V834),$V$2:$V$1001,0),MATCH(COLUMNS($AC$1006:AE1006),$AC$1006:$AS$1006,0)), HYPERLINK("#",""), HYPERLINK(CONCATENATE("#metadata!", ADDRESS(INDEX($X$2:$X$1001,MATCH(ROWS($V$2:V834),$V$2:$V$1001,0),0), INDEX($AC$1004:$AS$1004,1,MATCH(COLUMNS($AC$1006:AE1006),$AC$1006:$AS$1006,0)))),"Fix")))</f>
        <v xml:space="preserve"> </v>
      </c>
      <c r="E834" s="4" t="str">
        <f ca="1">IF(OR(INDEX($W$2:$W$1001,MATCH(ROWS($V$2:V834),$V$2:$V$1001,0),1)&gt;=100000,INDEX($AC$1005:$AS$1005,1,MATCH(COLUMNS($AC$1006:AF1006),$AC$1006:$AS$1006,0))&gt;=100000), " ",IF(INDEX($AC$2:$AS$1001,MATCH(ROWS($V$2:V834),$V$2:$V$1001,0),MATCH(COLUMNS($AC$1006:AF1006),$AC$1006:$AS$1006,0)), HYPERLINK("#",""), HYPERLINK(CONCATENATE("#metadata!", ADDRESS(INDEX($X$2:$X$1001,MATCH(ROWS($V$2:V834),$V$2:$V$1001,0),0), INDEX($AC$1004:$AS$1004,1,MATCH(COLUMNS($AC$1006:AF1006),$AC$1006:$AS$1006,0)))),"Fix")))</f>
        <v xml:space="preserve"> </v>
      </c>
      <c r="F834" s="4" t="str">
        <f ca="1">IF(OR(INDEX($W$2:$W$1001,MATCH(ROWS($V$2:V834),$V$2:$V$1001,0),1)&gt;=100000,INDEX($AC$1005:$AS$1005,1,MATCH(COLUMNS($AC$1006:AG1006),$AC$1006:$AS$1006,0))&gt;=100000), " ",IF(INDEX($AC$2:$AS$1001,MATCH(ROWS($V$2:V834),$V$2:$V$1001,0),MATCH(COLUMNS($AC$1006:AG1006),$AC$1006:$AS$1006,0)), HYPERLINK("#",""), HYPERLINK(CONCATENATE("#metadata!", ADDRESS(INDEX($X$2:$X$1001,MATCH(ROWS($V$2:V834),$V$2:$V$1001,0),0), INDEX($AC$1004:$AS$1004,1,MATCH(COLUMNS($AC$1006:AG1006),$AC$1006:$AS$1006,0)))),"Fix")))</f>
        <v xml:space="preserve"> </v>
      </c>
      <c r="G834" s="4" t="str">
        <f ca="1">IF(OR(INDEX($W$2:$W$1001,MATCH(ROWS($V$2:V834),$V$2:$V$1001,0),1)&gt;=100000,INDEX($AC$1005:$AS$1005,1,MATCH(COLUMNS($AC$1006:AH1006),$AC$1006:$AS$1006,0))&gt;=100000), " ",IF(INDEX($AC$2:$AS$1001,MATCH(ROWS($V$2:V834),$V$2:$V$1001,0),MATCH(COLUMNS($AC$1006:AH1006),$AC$1006:$AS$1006,0)), HYPERLINK("#",""), HYPERLINK(CONCATENATE("#metadata!", ADDRESS(INDEX($X$2:$X$1001,MATCH(ROWS($V$2:V834),$V$2:$V$1001,0),0), INDEX($AC$1004:$AS$1004,1,MATCH(COLUMNS($AC$1006:AH1006),$AC$1006:$AS$1006,0)))),"Fix")))</f>
        <v xml:space="preserve"> </v>
      </c>
      <c r="H834" s="4" t="str">
        <f ca="1">IF(OR(INDEX($W$2:$W$1001,MATCH(ROWS($V$2:V834),$V$2:$V$1001,0),1)&gt;=100000,INDEX($AC$1005:$AS$1005,1,MATCH(COLUMNS($AC$1006:AI1006),$AC$1006:$AS$1006,0))&gt;=100000), " ",IF(INDEX($AC$2:$AS$1001,MATCH(ROWS($V$2:V834),$V$2:$V$1001,0),MATCH(COLUMNS($AC$1006:AI1006),$AC$1006:$AS$1006,0)), HYPERLINK("#",""), HYPERLINK(CONCATENATE("#metadata!", ADDRESS(INDEX($X$2:$X$1001,MATCH(ROWS($V$2:V834),$V$2:$V$1001,0),0), INDEX($AC$1004:$AS$1004,1,MATCH(COLUMNS($AC$1006:AI1006),$AC$1006:$AS$1006,0)))),"Fix")))</f>
        <v xml:space="preserve"> </v>
      </c>
      <c r="I834" s="4" t="str">
        <f ca="1">IF(OR(INDEX($W$2:$W$1001,MATCH(ROWS($V$2:V834),$V$2:$V$1001,0),1)&gt;=100000,INDEX($AC$1005:$AS$1005,1,MATCH(COLUMNS($AC$1006:AJ1006),$AC$1006:$AS$1006,0))&gt;=100000), " ",IF(INDEX($AC$2:$AS$1001,MATCH(ROWS($V$2:V834),$V$2:$V$1001,0),MATCH(COLUMNS($AC$1006:AJ1006),$AC$1006:$AS$1006,0)), HYPERLINK("#",""), HYPERLINK(CONCATENATE("#metadata!", ADDRESS(INDEX($X$2:$X$1001,MATCH(ROWS($V$2:V834),$V$2:$V$1001,0),0), INDEX($AC$1004:$AS$1004,1,MATCH(COLUMNS($AC$1006:AJ1006),$AC$1006:$AS$1006,0)))),"Fix")))</f>
        <v xml:space="preserve"> </v>
      </c>
      <c r="J834" s="4" t="str">
        <f ca="1">IF(OR(INDEX($W$2:$W$1001,MATCH(ROWS($V$2:V834),$V$2:$V$1001,0),1)&gt;=100000,INDEX($AC$1005:$AS$1005,1,MATCH(COLUMNS($AC$1006:AK1006),$AC$1006:$AS$1006,0))&gt;=100000), " ",IF(INDEX($AC$2:$AS$1001,MATCH(ROWS($V$2:V834),$V$2:$V$1001,0),MATCH(COLUMNS($AC$1006:AK1006),$AC$1006:$AS$1006,0)), HYPERLINK("#",""), HYPERLINK(CONCATENATE("#metadata!", ADDRESS(INDEX($X$2:$X$1001,MATCH(ROWS($V$2:V834),$V$2:$V$1001,0),0), INDEX($AC$1004:$AS$1004,1,MATCH(COLUMNS($AC$1006:AK1006),$AC$1006:$AS$1006,0)))),"Fix")))</f>
        <v xml:space="preserve"> </v>
      </c>
      <c r="K834" s="4" t="str">
        <f ca="1">IF(OR(INDEX($W$2:$W$1001,MATCH(ROWS($V$2:V834),$V$2:$V$1001,0),1)&gt;=100000,INDEX($AC$1005:$AS$1005,1,MATCH(COLUMNS($AC$1006:AL1006),$AC$1006:$AS$1006,0))&gt;=100000), " ",IF(INDEX($AC$2:$AS$1001,MATCH(ROWS($V$2:V834),$V$2:$V$1001,0),MATCH(COLUMNS($AC$1006:AL1006),$AC$1006:$AS$1006,0)), HYPERLINK("#",""), HYPERLINK(CONCATENATE("#metadata!", ADDRESS(INDEX($X$2:$X$1001,MATCH(ROWS($V$2:V834),$V$2:$V$1001,0),0), INDEX($AC$1004:$AS$1004,1,MATCH(COLUMNS($AC$1006:AL1006),$AC$1006:$AS$1006,0)))),"Fix")))</f>
        <v xml:space="preserve"> </v>
      </c>
      <c r="L834" s="4" t="str">
        <f ca="1">IF(OR(INDEX($W$2:$W$1001,MATCH(ROWS($V$2:V834),$V$2:$V$1001,0),1)&gt;=100000,INDEX($AC$1005:$AS$1005,1,MATCH(COLUMNS($AC$1006:AM1006),$AC$1006:$AS$1006,0))&gt;=100000), " ",IF(INDEX($AC$2:$AS$1001,MATCH(ROWS($V$2:V834),$V$2:$V$1001,0),MATCH(COLUMNS($AC$1006:AM1006),$AC$1006:$AS$1006,0)), HYPERLINK("#",""), HYPERLINK(CONCATENATE("#metadata!", ADDRESS(INDEX($X$2:$X$1001,MATCH(ROWS($V$2:V834),$V$2:$V$1001,0),0), INDEX($AC$1004:$AS$1004,1,MATCH(COLUMNS($AC$1006:AM1006),$AC$1006:$AS$1006,0)))),"Fix")))</f>
        <v xml:space="preserve"> </v>
      </c>
      <c r="M834" s="4" t="str">
        <f ca="1">IF(OR(INDEX($W$2:$W$1001,MATCH(ROWS($V$2:V834),$V$2:$V$1001,0),1)&gt;=100000,INDEX($AC$1005:$AS$1005,1,MATCH(COLUMNS($AC$1006:AN1006),$AC$1006:$AS$1006,0))&gt;=100000), " ",IF(INDEX($AC$2:$AS$1001,MATCH(ROWS($V$2:V834),$V$2:$V$1001,0),MATCH(COLUMNS($AC$1006:AN1006),$AC$1006:$AS$1006,0)), HYPERLINK("#",""), HYPERLINK(CONCATENATE("#metadata!", ADDRESS(INDEX($X$2:$X$1001,MATCH(ROWS($V$2:V834),$V$2:$V$1001,0),0), INDEX($AC$1004:$AS$1004,1,MATCH(COLUMNS($AC$1006:AN1006),$AC$1006:$AS$1006,0)))),"Fix")))</f>
        <v xml:space="preserve"> </v>
      </c>
      <c r="N834" s="4" t="str">
        <f ca="1">IF(OR(INDEX($W$2:$W$1001,MATCH(ROWS($V$2:V834),$V$2:$V$1001,0),1)&gt;=100000,INDEX($AC$1005:$AS$1005,1,MATCH(COLUMNS($AC$1006:AO1006),$AC$1006:$AS$1006,0))&gt;=100000), " ",IF(INDEX($AC$2:$AS$1001,MATCH(ROWS($V$2:V834),$V$2:$V$1001,0),MATCH(COLUMNS($AC$1006:AO1006),$AC$1006:$AS$1006,0)), HYPERLINK("#",""), HYPERLINK(CONCATENATE("#metadata!", ADDRESS(INDEX($X$2:$X$1001,MATCH(ROWS($V$2:V834),$V$2:$V$1001,0),0), INDEX($AC$1004:$AS$1004,1,MATCH(COLUMNS($AC$1006:AO1006),$AC$1006:$AS$1006,0)))),"Fix")))</f>
        <v xml:space="preserve"> </v>
      </c>
      <c r="O834" s="4" t="str">
        <f ca="1">IF(OR(INDEX($W$2:$W$1001,MATCH(ROWS($V$2:V834),$V$2:$V$1001,0),1)&gt;=100000,INDEX($AC$1005:$AS$1005,1,MATCH(COLUMNS($AC$1006:AP1006),$AC$1006:$AS$1006,0))&gt;=100000), " ",IF(INDEX($AC$2:$AS$1001,MATCH(ROWS($V$2:V834),$V$2:$V$1001,0),MATCH(COLUMNS($AC$1006:AP1006),$AC$1006:$AS$1006,0)), HYPERLINK("#",""), HYPERLINK(CONCATENATE("#metadata!", ADDRESS(INDEX($X$2:$X$1001,MATCH(ROWS($V$2:V834),$V$2:$V$1001,0),0), INDEX($AC$1004:$AS$1004,1,MATCH(COLUMNS($AC$1006:AP1006),$AC$1006:$AS$1006,0)))),"Fix")))</f>
        <v xml:space="preserve"> </v>
      </c>
      <c r="P834" s="4" t="str">
        <f ca="1">IF(OR(INDEX($W$2:$W$1001,MATCH(ROWS($V$2:V834),$V$2:$V$1001,0),1)&gt;=100000,INDEX($AC$1005:$AS$1005,1,MATCH(COLUMNS($AC$1006:AQ1006),$AC$1006:$AS$1006,0))&gt;=100000), " ",IF(INDEX($AC$2:$AS$1001,MATCH(ROWS($V$2:V834),$V$2:$V$1001,0),MATCH(COLUMNS($AC$1006:AQ1006),$AC$1006:$AS$1006,0)), HYPERLINK("#",""), HYPERLINK(CONCATENATE("#metadata!", ADDRESS(INDEX($X$2:$X$1001,MATCH(ROWS($V$2:V834),$V$2:$V$1001,0),0), INDEX($AC$1004:$AS$1004,1,MATCH(COLUMNS($AC$1006:AQ1006),$AC$1006:$AS$1006,0)))),"Fix")))</f>
        <v xml:space="preserve"> </v>
      </c>
      <c r="Q834" s="4" t="str">
        <f ca="1">IF(OR(INDEX($W$2:$W$1001,MATCH(ROWS($V$2:V834),$V$2:$V$1001,0),1)&gt;=100000,INDEX($AC$1005:$AS$1005,1,MATCH(COLUMNS($AC$1006:AR1006),$AC$1006:$AS$1006,0))&gt;=100000), " ",IF(INDEX($AC$2:$AS$1001,MATCH(ROWS($V$2:V834),$V$2:$V$1001,0),MATCH(COLUMNS($AC$1006:AR1006),$AC$1006:$AS$1006,0)), HYPERLINK("#",""), HYPERLINK(CONCATENATE("#metadata!", ADDRESS(INDEX($X$2:$X$1001,MATCH(ROWS($V$2:V834),$V$2:$V$1001,0),0), INDEX($AC$1004:$AS$1004,1,MATCH(COLUMNS($AC$1006:AR1006),$AC$1006:$AS$1006,0)))),"Fix")))</f>
        <v xml:space="preserve"> </v>
      </c>
      <c r="R834" s="4" t="str">
        <f ca="1">IF(OR(INDEX($W$2:$W$1001,MATCH(ROWS($V$2:V834),$V$2:$V$1001,0),1)&gt;=100000,INDEX($AC$1005:$AS$1005,1,MATCH(COLUMNS($AC$1006:AS1006),$AC$1006:$AS$1006,0))&gt;=100000), " ",IF(INDEX($AC$2:$AS$1001,MATCH(ROWS($V$2:V834),$V$2:$V$1001,0),MATCH(COLUMNS($AC$1006:AS1006),$AC$1006:$AS$1006,0)), HYPERLINK("#",""), HYPERLINK(CONCATENATE("#metadata!", ADDRESS(INDEX($X$2:$X$1001,MATCH(ROWS($V$2:V834),$V$2:$V$1001,0),0), INDEX($AC$1004:$AS$1004,1,MATCH(COLUMNS($AC$1006:AS1006),$AC$1006:$AS$1006,0)))),"Fix")))</f>
        <v xml:space="preserve"> </v>
      </c>
      <c r="V834">
        <v>833</v>
      </c>
      <c r="W834">
        <v>100834</v>
      </c>
      <c r="X834">
        <v>834</v>
      </c>
      <c r="Y834" t="b">
        <f t="shared" ref="Y834:Y897" si="13">IF(Z834,TRUE,AND(AC834:AS834))</f>
        <v>1</v>
      </c>
      <c r="Z834" t="b">
        <f>COUNTBLANK(metadata!B834:R834)=COLUMNS(metadata!B834:R834)</f>
        <v>1</v>
      </c>
      <c r="AA834" t="str">
        <v/>
      </c>
      <c r="AC834" t="b">
        <f ca="1"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AD834" t="b">
        <f>IF(metadata!C834="",FALSE,ISNUMBER(VALUE(metadata!C834)))</f>
        <v>0</v>
      </c>
      <c r="AE834" t="b">
        <f>AND(IF(metadata!D834="",FALSE,TRUE),EXACT(metadata!D834,"years"))</f>
        <v>0</v>
      </c>
      <c r="AF834" t="b">
        <f>OR(AND(IF(metadata!E834="",FALSE,TRUE),OR(EXACT(metadata!E834,"not applicable"),EXACT(metadata!E834,"missing: not collected"),EXACT(metadata!E834,"missing: not provided"),EXACT(metadata!E834,"missing: restricted access"))),AND(IF(metadata!E834="",FALSE,ISNUMBER(VALUE(metadata!E834))),metadata!E834&gt;0))</f>
        <v>0</v>
      </c>
      <c r="AG834" t="b">
        <f>AND(IF(metadata!F834="",FALSE,TRUE),EXACT(metadata!F834,"Not applicable"))</f>
        <v>0</v>
      </c>
      <c r="AH834" t="b">
        <f>AND(IF(metadata!G834="",FALSE,TRUE),EXACT(metadata!G834,"urban biome"))</f>
        <v>0</v>
      </c>
      <c r="AI834" t="b">
        <f>AND(IF(metadata!H834="",FALSE,TRUE),EXACT(metadata!H834,"human-associated habitat"))</f>
        <v>0</v>
      </c>
      <c r="AJ834" t="b">
        <f>AND(IF(metadata!I834="",FALSE,TRUE),OR(EXACT(metadata!I834,"human-associated"),EXACT(metadata!I834,"human-skin"),EXACT(metadata!I834,"human-oral"),EXACT(metadata!I834,"human-gut"),EXACT(metadata!I834,"human-vaginal")))</f>
        <v>0</v>
      </c>
      <c r="AK834" t="b">
        <f>IF(metadata!J834="",FALSE,ISNUMBER(VALUE(metadata!J834)))</f>
        <v>0</v>
      </c>
      <c r="AL834" t="b">
        <f>AND(IF(metadata!K834="",FALSE,TRUE),EXACT(metadata!K834,"cm"))</f>
        <v>0</v>
      </c>
      <c r="AM834" t="b">
        <f>AND(IF(metadata!L834="",FALSE,TRUE),EXACT(metadata!L834,"human"))</f>
        <v>0</v>
      </c>
      <c r="AN834" t="b">
        <f>AND(IF(metadata!M834="",FALSE,TRUE),EXACT(metadata!M834,"Homo sapiens"))</f>
        <v>0</v>
      </c>
      <c r="AO834" t="b">
        <f>AND(IF(metadata!N834="",FALSE,TRUE),EXACT(metadata!N834,"9606"))</f>
        <v>0</v>
      </c>
      <c r="AP834" t="b">
        <f>IF(metadata!O834="",FALSE,TRUE)</f>
        <v>0</v>
      </c>
      <c r="AQ834" t="b">
        <f>IF(metadata!P834="",FALSE,TRUE)</f>
        <v>0</v>
      </c>
      <c r="AR834" t="b">
        <f>IF(metadata!Q834="",FALSE,ISNUMBER(VALUE(metadata!Q834)))</f>
        <v>0</v>
      </c>
      <c r="AS834" t="b">
        <f>AND(IF(metadata!R834="",FALSE,TRUE),EXACT(metadata!R834,"kg"))</f>
        <v>0</v>
      </c>
    </row>
    <row r="835" spans="1:45" x14ac:dyDescent="0.2">
      <c r="A835" s="5" t="str">
        <f ca="1">IF(B835=" "," ",HYPERLINK(CONCATENATE("#metadata!",ADDRESS(INDEX($X$2:$X$1001,MATCH(ROWS($V$2:V835),$V$2:$V$1001,0),0),1)),INDEX($AA$2:$AA$1001,MATCH(ROWS($V$2:V835),$V$2:$V$1001,0),0)))</f>
        <v xml:space="preserve"> </v>
      </c>
      <c r="B835" s="4" t="str">
        <f ca="1">IF(OR(INDEX($W$2:$W$1001,MATCH(ROWS($V$2:V835),$V$2:$V$1001,0),1)&gt;=100000,INDEX($AC$1005:$AS$1005,1,MATCH(COLUMNS($AC$1006:AC1006),$AC$1006:$AS$1006,0))&gt;=100000), " ",IF(INDEX($AC$2:$AS$1001,MATCH(ROWS($V$2:V835),$V$2:$V$1001,0),MATCH(COLUMNS($AC$1006:AC1006),$AC$1006:$AS$1006,0)), HYPERLINK("#",""), HYPERLINK(CONCATENATE("#metadata!", ADDRESS(INDEX($X$2:$X$1001,MATCH(ROWS($V$2:V835),$V$2:$V$1001,0),0), INDEX($AC$1004:$AS$1004,1,MATCH(COLUMNS($AC$1006:AC1006),$AC$1006:$AS$1006,0)))),"Fix")))</f>
        <v xml:space="preserve"> </v>
      </c>
      <c r="C835" s="4" t="str">
        <f ca="1">IF(OR(INDEX($W$2:$W$1001,MATCH(ROWS($V$2:V835),$V$2:$V$1001,0),1)&gt;=100000,INDEX($AC$1005:$AS$1005,1,MATCH(COLUMNS($AC$1006:AD1006),$AC$1006:$AS$1006,0))&gt;=100000), " ",IF(INDEX($AC$2:$AS$1001,MATCH(ROWS($V$2:V835),$V$2:$V$1001,0),MATCH(COLUMNS($AC$1006:AD1006),$AC$1006:$AS$1006,0)), HYPERLINK("#",""), HYPERLINK(CONCATENATE("#metadata!", ADDRESS(INDEX($X$2:$X$1001,MATCH(ROWS($V$2:V835),$V$2:$V$1001,0),0), INDEX($AC$1004:$AS$1004,1,MATCH(COLUMNS($AC$1006:AD1006),$AC$1006:$AS$1006,0)))),"Fix")))</f>
        <v xml:space="preserve"> </v>
      </c>
      <c r="D835" s="4" t="str">
        <f ca="1">IF(OR(INDEX($W$2:$W$1001,MATCH(ROWS($V$2:V835),$V$2:$V$1001,0),1)&gt;=100000,INDEX($AC$1005:$AS$1005,1,MATCH(COLUMNS($AC$1006:AE1006),$AC$1006:$AS$1006,0))&gt;=100000), " ",IF(INDEX($AC$2:$AS$1001,MATCH(ROWS($V$2:V835),$V$2:$V$1001,0),MATCH(COLUMNS($AC$1006:AE1006),$AC$1006:$AS$1006,0)), HYPERLINK("#",""), HYPERLINK(CONCATENATE("#metadata!", ADDRESS(INDEX($X$2:$X$1001,MATCH(ROWS($V$2:V835),$V$2:$V$1001,0),0), INDEX($AC$1004:$AS$1004,1,MATCH(COLUMNS($AC$1006:AE1006),$AC$1006:$AS$1006,0)))),"Fix")))</f>
        <v xml:space="preserve"> </v>
      </c>
      <c r="E835" s="4" t="str">
        <f ca="1">IF(OR(INDEX($W$2:$W$1001,MATCH(ROWS($V$2:V835),$V$2:$V$1001,0),1)&gt;=100000,INDEX($AC$1005:$AS$1005,1,MATCH(COLUMNS($AC$1006:AF1006),$AC$1006:$AS$1006,0))&gt;=100000), " ",IF(INDEX($AC$2:$AS$1001,MATCH(ROWS($V$2:V835),$V$2:$V$1001,0),MATCH(COLUMNS($AC$1006:AF1006),$AC$1006:$AS$1006,0)), HYPERLINK("#",""), HYPERLINK(CONCATENATE("#metadata!", ADDRESS(INDEX($X$2:$X$1001,MATCH(ROWS($V$2:V835),$V$2:$V$1001,0),0), INDEX($AC$1004:$AS$1004,1,MATCH(COLUMNS($AC$1006:AF1006),$AC$1006:$AS$1006,0)))),"Fix")))</f>
        <v xml:space="preserve"> </v>
      </c>
      <c r="F835" s="4" t="str">
        <f ca="1">IF(OR(INDEX($W$2:$W$1001,MATCH(ROWS($V$2:V835),$V$2:$V$1001,0),1)&gt;=100000,INDEX($AC$1005:$AS$1005,1,MATCH(COLUMNS($AC$1006:AG1006),$AC$1006:$AS$1006,0))&gt;=100000), " ",IF(INDEX($AC$2:$AS$1001,MATCH(ROWS($V$2:V835),$V$2:$V$1001,0),MATCH(COLUMNS($AC$1006:AG1006),$AC$1006:$AS$1006,0)), HYPERLINK("#",""), HYPERLINK(CONCATENATE("#metadata!", ADDRESS(INDEX($X$2:$X$1001,MATCH(ROWS($V$2:V835),$V$2:$V$1001,0),0), INDEX($AC$1004:$AS$1004,1,MATCH(COLUMNS($AC$1006:AG1006),$AC$1006:$AS$1006,0)))),"Fix")))</f>
        <v xml:space="preserve"> </v>
      </c>
      <c r="G835" s="4" t="str">
        <f ca="1">IF(OR(INDEX($W$2:$W$1001,MATCH(ROWS($V$2:V835),$V$2:$V$1001,0),1)&gt;=100000,INDEX($AC$1005:$AS$1005,1,MATCH(COLUMNS($AC$1006:AH1006),$AC$1006:$AS$1006,0))&gt;=100000), " ",IF(INDEX($AC$2:$AS$1001,MATCH(ROWS($V$2:V835),$V$2:$V$1001,0),MATCH(COLUMNS($AC$1006:AH1006),$AC$1006:$AS$1006,0)), HYPERLINK("#",""), HYPERLINK(CONCATENATE("#metadata!", ADDRESS(INDEX($X$2:$X$1001,MATCH(ROWS($V$2:V835),$V$2:$V$1001,0),0), INDEX($AC$1004:$AS$1004,1,MATCH(COLUMNS($AC$1006:AH1006),$AC$1006:$AS$1006,0)))),"Fix")))</f>
        <v xml:space="preserve"> </v>
      </c>
      <c r="H835" s="4" t="str">
        <f ca="1">IF(OR(INDEX($W$2:$W$1001,MATCH(ROWS($V$2:V835),$V$2:$V$1001,0),1)&gt;=100000,INDEX($AC$1005:$AS$1005,1,MATCH(COLUMNS($AC$1006:AI1006),$AC$1006:$AS$1006,0))&gt;=100000), " ",IF(INDEX($AC$2:$AS$1001,MATCH(ROWS($V$2:V835),$V$2:$V$1001,0),MATCH(COLUMNS($AC$1006:AI1006),$AC$1006:$AS$1006,0)), HYPERLINK("#",""), HYPERLINK(CONCATENATE("#metadata!", ADDRESS(INDEX($X$2:$X$1001,MATCH(ROWS($V$2:V835),$V$2:$V$1001,0),0), INDEX($AC$1004:$AS$1004,1,MATCH(COLUMNS($AC$1006:AI1006),$AC$1006:$AS$1006,0)))),"Fix")))</f>
        <v xml:space="preserve"> </v>
      </c>
      <c r="I835" s="4" t="str">
        <f ca="1">IF(OR(INDEX($W$2:$W$1001,MATCH(ROWS($V$2:V835),$V$2:$V$1001,0),1)&gt;=100000,INDEX($AC$1005:$AS$1005,1,MATCH(COLUMNS($AC$1006:AJ1006),$AC$1006:$AS$1006,0))&gt;=100000), " ",IF(INDEX($AC$2:$AS$1001,MATCH(ROWS($V$2:V835),$V$2:$V$1001,0),MATCH(COLUMNS($AC$1006:AJ1006),$AC$1006:$AS$1006,0)), HYPERLINK("#",""), HYPERLINK(CONCATENATE("#metadata!", ADDRESS(INDEX($X$2:$X$1001,MATCH(ROWS($V$2:V835),$V$2:$V$1001,0),0), INDEX($AC$1004:$AS$1004,1,MATCH(COLUMNS($AC$1006:AJ1006),$AC$1006:$AS$1006,0)))),"Fix")))</f>
        <v xml:space="preserve"> </v>
      </c>
      <c r="J835" s="4" t="str">
        <f ca="1">IF(OR(INDEX($W$2:$W$1001,MATCH(ROWS($V$2:V835),$V$2:$V$1001,0),1)&gt;=100000,INDEX($AC$1005:$AS$1005,1,MATCH(COLUMNS($AC$1006:AK1006),$AC$1006:$AS$1006,0))&gt;=100000), " ",IF(INDEX($AC$2:$AS$1001,MATCH(ROWS($V$2:V835),$V$2:$V$1001,0),MATCH(COLUMNS($AC$1006:AK1006),$AC$1006:$AS$1006,0)), HYPERLINK("#",""), HYPERLINK(CONCATENATE("#metadata!", ADDRESS(INDEX($X$2:$X$1001,MATCH(ROWS($V$2:V835),$V$2:$V$1001,0),0), INDEX($AC$1004:$AS$1004,1,MATCH(COLUMNS($AC$1006:AK1006),$AC$1006:$AS$1006,0)))),"Fix")))</f>
        <v xml:space="preserve"> </v>
      </c>
      <c r="K835" s="4" t="str">
        <f ca="1">IF(OR(INDEX($W$2:$W$1001,MATCH(ROWS($V$2:V835),$V$2:$V$1001,0),1)&gt;=100000,INDEX($AC$1005:$AS$1005,1,MATCH(COLUMNS($AC$1006:AL1006),$AC$1006:$AS$1006,0))&gt;=100000), " ",IF(INDEX($AC$2:$AS$1001,MATCH(ROWS($V$2:V835),$V$2:$V$1001,0),MATCH(COLUMNS($AC$1006:AL1006),$AC$1006:$AS$1006,0)), HYPERLINK("#",""), HYPERLINK(CONCATENATE("#metadata!", ADDRESS(INDEX($X$2:$X$1001,MATCH(ROWS($V$2:V835),$V$2:$V$1001,0),0), INDEX($AC$1004:$AS$1004,1,MATCH(COLUMNS($AC$1006:AL1006),$AC$1006:$AS$1006,0)))),"Fix")))</f>
        <v xml:space="preserve"> </v>
      </c>
      <c r="L835" s="4" t="str">
        <f ca="1">IF(OR(INDEX($W$2:$W$1001,MATCH(ROWS($V$2:V835),$V$2:$V$1001,0),1)&gt;=100000,INDEX($AC$1005:$AS$1005,1,MATCH(COLUMNS($AC$1006:AM1006),$AC$1006:$AS$1006,0))&gt;=100000), " ",IF(INDEX($AC$2:$AS$1001,MATCH(ROWS($V$2:V835),$V$2:$V$1001,0),MATCH(COLUMNS($AC$1006:AM1006),$AC$1006:$AS$1006,0)), HYPERLINK("#",""), HYPERLINK(CONCATENATE("#metadata!", ADDRESS(INDEX($X$2:$X$1001,MATCH(ROWS($V$2:V835),$V$2:$V$1001,0),0), INDEX($AC$1004:$AS$1004,1,MATCH(COLUMNS($AC$1006:AM1006),$AC$1006:$AS$1006,0)))),"Fix")))</f>
        <v xml:space="preserve"> </v>
      </c>
      <c r="M835" s="4" t="str">
        <f ca="1">IF(OR(INDEX($W$2:$W$1001,MATCH(ROWS($V$2:V835),$V$2:$V$1001,0),1)&gt;=100000,INDEX($AC$1005:$AS$1005,1,MATCH(COLUMNS($AC$1006:AN1006),$AC$1006:$AS$1006,0))&gt;=100000), " ",IF(INDEX($AC$2:$AS$1001,MATCH(ROWS($V$2:V835),$V$2:$V$1001,0),MATCH(COLUMNS($AC$1006:AN1006),$AC$1006:$AS$1006,0)), HYPERLINK("#",""), HYPERLINK(CONCATENATE("#metadata!", ADDRESS(INDEX($X$2:$X$1001,MATCH(ROWS($V$2:V835),$V$2:$V$1001,0),0), INDEX($AC$1004:$AS$1004,1,MATCH(COLUMNS($AC$1006:AN1006),$AC$1006:$AS$1006,0)))),"Fix")))</f>
        <v xml:space="preserve"> </v>
      </c>
      <c r="N835" s="4" t="str">
        <f ca="1">IF(OR(INDEX($W$2:$W$1001,MATCH(ROWS($V$2:V835),$V$2:$V$1001,0),1)&gt;=100000,INDEX($AC$1005:$AS$1005,1,MATCH(COLUMNS($AC$1006:AO1006),$AC$1006:$AS$1006,0))&gt;=100000), " ",IF(INDEX($AC$2:$AS$1001,MATCH(ROWS($V$2:V835),$V$2:$V$1001,0),MATCH(COLUMNS($AC$1006:AO1006),$AC$1006:$AS$1006,0)), HYPERLINK("#",""), HYPERLINK(CONCATENATE("#metadata!", ADDRESS(INDEX($X$2:$X$1001,MATCH(ROWS($V$2:V835),$V$2:$V$1001,0),0), INDEX($AC$1004:$AS$1004,1,MATCH(COLUMNS($AC$1006:AO1006),$AC$1006:$AS$1006,0)))),"Fix")))</f>
        <v xml:space="preserve"> </v>
      </c>
      <c r="O835" s="4" t="str">
        <f ca="1">IF(OR(INDEX($W$2:$W$1001,MATCH(ROWS($V$2:V835),$V$2:$V$1001,0),1)&gt;=100000,INDEX($AC$1005:$AS$1005,1,MATCH(COLUMNS($AC$1006:AP1006),$AC$1006:$AS$1006,0))&gt;=100000), " ",IF(INDEX($AC$2:$AS$1001,MATCH(ROWS($V$2:V835),$V$2:$V$1001,0),MATCH(COLUMNS($AC$1006:AP1006),$AC$1006:$AS$1006,0)), HYPERLINK("#",""), HYPERLINK(CONCATENATE("#metadata!", ADDRESS(INDEX($X$2:$X$1001,MATCH(ROWS($V$2:V835),$V$2:$V$1001,0),0), INDEX($AC$1004:$AS$1004,1,MATCH(COLUMNS($AC$1006:AP1006),$AC$1006:$AS$1006,0)))),"Fix")))</f>
        <v xml:space="preserve"> </v>
      </c>
      <c r="P835" s="4" t="str">
        <f ca="1">IF(OR(INDEX($W$2:$W$1001,MATCH(ROWS($V$2:V835),$V$2:$V$1001,0),1)&gt;=100000,INDEX($AC$1005:$AS$1005,1,MATCH(COLUMNS($AC$1006:AQ1006),$AC$1006:$AS$1006,0))&gt;=100000), " ",IF(INDEX($AC$2:$AS$1001,MATCH(ROWS($V$2:V835),$V$2:$V$1001,0),MATCH(COLUMNS($AC$1006:AQ1006),$AC$1006:$AS$1006,0)), HYPERLINK("#",""), HYPERLINK(CONCATENATE("#metadata!", ADDRESS(INDEX($X$2:$X$1001,MATCH(ROWS($V$2:V835),$V$2:$V$1001,0),0), INDEX($AC$1004:$AS$1004,1,MATCH(COLUMNS($AC$1006:AQ1006),$AC$1006:$AS$1006,0)))),"Fix")))</f>
        <v xml:space="preserve"> </v>
      </c>
      <c r="Q835" s="4" t="str">
        <f ca="1">IF(OR(INDEX($W$2:$W$1001,MATCH(ROWS($V$2:V835),$V$2:$V$1001,0),1)&gt;=100000,INDEX($AC$1005:$AS$1005,1,MATCH(COLUMNS($AC$1006:AR1006),$AC$1006:$AS$1006,0))&gt;=100000), " ",IF(INDEX($AC$2:$AS$1001,MATCH(ROWS($V$2:V835),$V$2:$V$1001,0),MATCH(COLUMNS($AC$1006:AR1006),$AC$1006:$AS$1006,0)), HYPERLINK("#",""), HYPERLINK(CONCATENATE("#metadata!", ADDRESS(INDEX($X$2:$X$1001,MATCH(ROWS($V$2:V835),$V$2:$V$1001,0),0), INDEX($AC$1004:$AS$1004,1,MATCH(COLUMNS($AC$1006:AR1006),$AC$1006:$AS$1006,0)))),"Fix")))</f>
        <v xml:space="preserve"> </v>
      </c>
      <c r="R835" s="4" t="str">
        <f ca="1">IF(OR(INDEX($W$2:$W$1001,MATCH(ROWS($V$2:V835),$V$2:$V$1001,0),1)&gt;=100000,INDEX($AC$1005:$AS$1005,1,MATCH(COLUMNS($AC$1006:AS1006),$AC$1006:$AS$1006,0))&gt;=100000), " ",IF(INDEX($AC$2:$AS$1001,MATCH(ROWS($V$2:V835),$V$2:$V$1001,0),MATCH(COLUMNS($AC$1006:AS1006),$AC$1006:$AS$1006,0)), HYPERLINK("#",""), HYPERLINK(CONCATENATE("#metadata!", ADDRESS(INDEX($X$2:$X$1001,MATCH(ROWS($V$2:V835),$V$2:$V$1001,0),0), INDEX($AC$1004:$AS$1004,1,MATCH(COLUMNS($AC$1006:AS1006),$AC$1006:$AS$1006,0)))),"Fix")))</f>
        <v xml:space="preserve"> </v>
      </c>
      <c r="V835">
        <v>834</v>
      </c>
      <c r="W835">
        <v>100835</v>
      </c>
      <c r="X835">
        <v>835</v>
      </c>
      <c r="Y835" t="b">
        <f t="shared" si="13"/>
        <v>1</v>
      </c>
      <c r="Z835" t="b">
        <f>COUNTBLANK(metadata!B835:R835)=COLUMNS(metadata!B835:R835)</f>
        <v>1</v>
      </c>
      <c r="AA835" t="str">
        <v/>
      </c>
      <c r="AC835" t="b">
        <f ca="1"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AD835" t="b">
        <f>IF(metadata!C835="",FALSE,ISNUMBER(VALUE(metadata!C835)))</f>
        <v>0</v>
      </c>
      <c r="AE835" t="b">
        <f>AND(IF(metadata!D835="",FALSE,TRUE),EXACT(metadata!D835,"years"))</f>
        <v>0</v>
      </c>
      <c r="AF835" t="b">
        <f>OR(AND(IF(metadata!E835="",FALSE,TRUE),OR(EXACT(metadata!E835,"not applicable"),EXACT(metadata!E835,"missing: not collected"),EXACT(metadata!E835,"missing: not provided"),EXACT(metadata!E835,"missing: restricted access"))),AND(IF(metadata!E835="",FALSE,ISNUMBER(VALUE(metadata!E835))),metadata!E835&gt;0))</f>
        <v>0</v>
      </c>
      <c r="AG835" t="b">
        <f>AND(IF(metadata!F835="",FALSE,TRUE),EXACT(metadata!F835,"Not applicable"))</f>
        <v>0</v>
      </c>
      <c r="AH835" t="b">
        <f>AND(IF(metadata!G835="",FALSE,TRUE),EXACT(metadata!G835,"urban biome"))</f>
        <v>0</v>
      </c>
      <c r="AI835" t="b">
        <f>AND(IF(metadata!H835="",FALSE,TRUE),EXACT(metadata!H835,"human-associated habitat"))</f>
        <v>0</v>
      </c>
      <c r="AJ835" t="b">
        <f>AND(IF(metadata!I835="",FALSE,TRUE),OR(EXACT(metadata!I835,"human-associated"),EXACT(metadata!I835,"human-skin"),EXACT(metadata!I835,"human-oral"),EXACT(metadata!I835,"human-gut"),EXACT(metadata!I835,"human-vaginal")))</f>
        <v>0</v>
      </c>
      <c r="AK835" t="b">
        <f>IF(metadata!J835="",FALSE,ISNUMBER(VALUE(metadata!J835)))</f>
        <v>0</v>
      </c>
      <c r="AL835" t="b">
        <f>AND(IF(metadata!K835="",FALSE,TRUE),EXACT(metadata!K835,"cm"))</f>
        <v>0</v>
      </c>
      <c r="AM835" t="b">
        <f>AND(IF(metadata!L835="",FALSE,TRUE),EXACT(metadata!L835,"human"))</f>
        <v>0</v>
      </c>
      <c r="AN835" t="b">
        <f>AND(IF(metadata!M835="",FALSE,TRUE),EXACT(metadata!M835,"Homo sapiens"))</f>
        <v>0</v>
      </c>
      <c r="AO835" t="b">
        <f>AND(IF(metadata!N835="",FALSE,TRUE),EXACT(metadata!N835,"9606"))</f>
        <v>0</v>
      </c>
      <c r="AP835" t="b">
        <f>IF(metadata!O835="",FALSE,TRUE)</f>
        <v>0</v>
      </c>
      <c r="AQ835" t="b">
        <f>IF(metadata!P835="",FALSE,TRUE)</f>
        <v>0</v>
      </c>
      <c r="AR835" t="b">
        <f>IF(metadata!Q835="",FALSE,ISNUMBER(VALUE(metadata!Q835)))</f>
        <v>0</v>
      </c>
      <c r="AS835" t="b">
        <f>AND(IF(metadata!R835="",FALSE,TRUE),EXACT(metadata!R835,"kg"))</f>
        <v>0</v>
      </c>
    </row>
    <row r="836" spans="1:45" x14ac:dyDescent="0.2">
      <c r="A836" s="5" t="str">
        <f ca="1">IF(B836=" "," ",HYPERLINK(CONCATENATE("#metadata!",ADDRESS(INDEX($X$2:$X$1001,MATCH(ROWS($V$2:V836),$V$2:$V$1001,0),0),1)),INDEX($AA$2:$AA$1001,MATCH(ROWS($V$2:V836),$V$2:$V$1001,0),0)))</f>
        <v xml:space="preserve"> </v>
      </c>
      <c r="B836" s="4" t="str">
        <f ca="1">IF(OR(INDEX($W$2:$W$1001,MATCH(ROWS($V$2:V836),$V$2:$V$1001,0),1)&gt;=100000,INDEX($AC$1005:$AS$1005,1,MATCH(COLUMNS($AC$1006:AC1006),$AC$1006:$AS$1006,0))&gt;=100000), " ",IF(INDEX($AC$2:$AS$1001,MATCH(ROWS($V$2:V836),$V$2:$V$1001,0),MATCH(COLUMNS($AC$1006:AC1006),$AC$1006:$AS$1006,0)), HYPERLINK("#",""), HYPERLINK(CONCATENATE("#metadata!", ADDRESS(INDEX($X$2:$X$1001,MATCH(ROWS($V$2:V836),$V$2:$V$1001,0),0), INDEX($AC$1004:$AS$1004,1,MATCH(COLUMNS($AC$1006:AC1006),$AC$1006:$AS$1006,0)))),"Fix")))</f>
        <v xml:space="preserve"> </v>
      </c>
      <c r="C836" s="4" t="str">
        <f ca="1">IF(OR(INDEX($W$2:$W$1001,MATCH(ROWS($V$2:V836),$V$2:$V$1001,0),1)&gt;=100000,INDEX($AC$1005:$AS$1005,1,MATCH(COLUMNS($AC$1006:AD1006),$AC$1006:$AS$1006,0))&gt;=100000), " ",IF(INDEX($AC$2:$AS$1001,MATCH(ROWS($V$2:V836),$V$2:$V$1001,0),MATCH(COLUMNS($AC$1006:AD1006),$AC$1006:$AS$1006,0)), HYPERLINK("#",""), HYPERLINK(CONCATENATE("#metadata!", ADDRESS(INDEX($X$2:$X$1001,MATCH(ROWS($V$2:V836),$V$2:$V$1001,0),0), INDEX($AC$1004:$AS$1004,1,MATCH(COLUMNS($AC$1006:AD1006),$AC$1006:$AS$1006,0)))),"Fix")))</f>
        <v xml:space="preserve"> </v>
      </c>
      <c r="D836" s="4" t="str">
        <f ca="1">IF(OR(INDEX($W$2:$W$1001,MATCH(ROWS($V$2:V836),$V$2:$V$1001,0),1)&gt;=100000,INDEX($AC$1005:$AS$1005,1,MATCH(COLUMNS($AC$1006:AE1006),$AC$1006:$AS$1006,0))&gt;=100000), " ",IF(INDEX($AC$2:$AS$1001,MATCH(ROWS($V$2:V836),$V$2:$V$1001,0),MATCH(COLUMNS($AC$1006:AE1006),$AC$1006:$AS$1006,0)), HYPERLINK("#",""), HYPERLINK(CONCATENATE("#metadata!", ADDRESS(INDEX($X$2:$X$1001,MATCH(ROWS($V$2:V836),$V$2:$V$1001,0),0), INDEX($AC$1004:$AS$1004,1,MATCH(COLUMNS($AC$1006:AE1006),$AC$1006:$AS$1006,0)))),"Fix")))</f>
        <v xml:space="preserve"> </v>
      </c>
      <c r="E836" s="4" t="str">
        <f ca="1">IF(OR(INDEX($W$2:$W$1001,MATCH(ROWS($V$2:V836),$V$2:$V$1001,0),1)&gt;=100000,INDEX($AC$1005:$AS$1005,1,MATCH(COLUMNS($AC$1006:AF1006),$AC$1006:$AS$1006,0))&gt;=100000), " ",IF(INDEX($AC$2:$AS$1001,MATCH(ROWS($V$2:V836),$V$2:$V$1001,0),MATCH(COLUMNS($AC$1006:AF1006),$AC$1006:$AS$1006,0)), HYPERLINK("#",""), HYPERLINK(CONCATENATE("#metadata!", ADDRESS(INDEX($X$2:$X$1001,MATCH(ROWS($V$2:V836),$V$2:$V$1001,0),0), INDEX($AC$1004:$AS$1004,1,MATCH(COLUMNS($AC$1006:AF1006),$AC$1006:$AS$1006,0)))),"Fix")))</f>
        <v xml:space="preserve"> </v>
      </c>
      <c r="F836" s="4" t="str">
        <f ca="1">IF(OR(INDEX($W$2:$W$1001,MATCH(ROWS($V$2:V836),$V$2:$V$1001,0),1)&gt;=100000,INDEX($AC$1005:$AS$1005,1,MATCH(COLUMNS($AC$1006:AG1006),$AC$1006:$AS$1006,0))&gt;=100000), " ",IF(INDEX($AC$2:$AS$1001,MATCH(ROWS($V$2:V836),$V$2:$V$1001,0),MATCH(COLUMNS($AC$1006:AG1006),$AC$1006:$AS$1006,0)), HYPERLINK("#",""), HYPERLINK(CONCATENATE("#metadata!", ADDRESS(INDEX($X$2:$X$1001,MATCH(ROWS($V$2:V836),$V$2:$V$1001,0),0), INDEX($AC$1004:$AS$1004,1,MATCH(COLUMNS($AC$1006:AG1006),$AC$1006:$AS$1006,0)))),"Fix")))</f>
        <v xml:space="preserve"> </v>
      </c>
      <c r="G836" s="4" t="str">
        <f ca="1">IF(OR(INDEX($W$2:$W$1001,MATCH(ROWS($V$2:V836),$V$2:$V$1001,0),1)&gt;=100000,INDEX($AC$1005:$AS$1005,1,MATCH(COLUMNS($AC$1006:AH1006),$AC$1006:$AS$1006,0))&gt;=100000), " ",IF(INDEX($AC$2:$AS$1001,MATCH(ROWS($V$2:V836),$V$2:$V$1001,0),MATCH(COLUMNS($AC$1006:AH1006),$AC$1006:$AS$1006,0)), HYPERLINK("#",""), HYPERLINK(CONCATENATE("#metadata!", ADDRESS(INDEX($X$2:$X$1001,MATCH(ROWS($V$2:V836),$V$2:$V$1001,0),0), INDEX($AC$1004:$AS$1004,1,MATCH(COLUMNS($AC$1006:AH1006),$AC$1006:$AS$1006,0)))),"Fix")))</f>
        <v xml:space="preserve"> </v>
      </c>
      <c r="H836" s="4" t="str">
        <f ca="1">IF(OR(INDEX($W$2:$W$1001,MATCH(ROWS($V$2:V836),$V$2:$V$1001,0),1)&gt;=100000,INDEX($AC$1005:$AS$1005,1,MATCH(COLUMNS($AC$1006:AI1006),$AC$1006:$AS$1006,0))&gt;=100000), " ",IF(INDEX($AC$2:$AS$1001,MATCH(ROWS($V$2:V836),$V$2:$V$1001,0),MATCH(COLUMNS($AC$1006:AI1006),$AC$1006:$AS$1006,0)), HYPERLINK("#",""), HYPERLINK(CONCATENATE("#metadata!", ADDRESS(INDEX($X$2:$X$1001,MATCH(ROWS($V$2:V836),$V$2:$V$1001,0),0), INDEX($AC$1004:$AS$1004,1,MATCH(COLUMNS($AC$1006:AI1006),$AC$1006:$AS$1006,0)))),"Fix")))</f>
        <v xml:space="preserve"> </v>
      </c>
      <c r="I836" s="4" t="str">
        <f ca="1">IF(OR(INDEX($W$2:$W$1001,MATCH(ROWS($V$2:V836),$V$2:$V$1001,0),1)&gt;=100000,INDEX($AC$1005:$AS$1005,1,MATCH(COLUMNS($AC$1006:AJ1006),$AC$1006:$AS$1006,0))&gt;=100000), " ",IF(INDEX($AC$2:$AS$1001,MATCH(ROWS($V$2:V836),$V$2:$V$1001,0),MATCH(COLUMNS($AC$1006:AJ1006),$AC$1006:$AS$1006,0)), HYPERLINK("#",""), HYPERLINK(CONCATENATE("#metadata!", ADDRESS(INDEX($X$2:$X$1001,MATCH(ROWS($V$2:V836),$V$2:$V$1001,0),0), INDEX($AC$1004:$AS$1004,1,MATCH(COLUMNS($AC$1006:AJ1006),$AC$1006:$AS$1006,0)))),"Fix")))</f>
        <v xml:space="preserve"> </v>
      </c>
      <c r="J836" s="4" t="str">
        <f ca="1">IF(OR(INDEX($W$2:$W$1001,MATCH(ROWS($V$2:V836),$V$2:$V$1001,0),1)&gt;=100000,INDEX($AC$1005:$AS$1005,1,MATCH(COLUMNS($AC$1006:AK1006),$AC$1006:$AS$1006,0))&gt;=100000), " ",IF(INDEX($AC$2:$AS$1001,MATCH(ROWS($V$2:V836),$V$2:$V$1001,0),MATCH(COLUMNS($AC$1006:AK1006),$AC$1006:$AS$1006,0)), HYPERLINK("#",""), HYPERLINK(CONCATENATE("#metadata!", ADDRESS(INDEX($X$2:$X$1001,MATCH(ROWS($V$2:V836),$V$2:$V$1001,0),0), INDEX($AC$1004:$AS$1004,1,MATCH(COLUMNS($AC$1006:AK1006),$AC$1006:$AS$1006,0)))),"Fix")))</f>
        <v xml:space="preserve"> </v>
      </c>
      <c r="K836" s="4" t="str">
        <f ca="1">IF(OR(INDEX($W$2:$W$1001,MATCH(ROWS($V$2:V836),$V$2:$V$1001,0),1)&gt;=100000,INDEX($AC$1005:$AS$1005,1,MATCH(COLUMNS($AC$1006:AL1006),$AC$1006:$AS$1006,0))&gt;=100000), " ",IF(INDEX($AC$2:$AS$1001,MATCH(ROWS($V$2:V836),$V$2:$V$1001,0),MATCH(COLUMNS($AC$1006:AL1006),$AC$1006:$AS$1006,0)), HYPERLINK("#",""), HYPERLINK(CONCATENATE("#metadata!", ADDRESS(INDEX($X$2:$X$1001,MATCH(ROWS($V$2:V836),$V$2:$V$1001,0),0), INDEX($AC$1004:$AS$1004,1,MATCH(COLUMNS($AC$1006:AL1006),$AC$1006:$AS$1006,0)))),"Fix")))</f>
        <v xml:space="preserve"> </v>
      </c>
      <c r="L836" s="4" t="str">
        <f ca="1">IF(OR(INDEX($W$2:$W$1001,MATCH(ROWS($V$2:V836),$V$2:$V$1001,0),1)&gt;=100000,INDEX($AC$1005:$AS$1005,1,MATCH(COLUMNS($AC$1006:AM1006),$AC$1006:$AS$1006,0))&gt;=100000), " ",IF(INDEX($AC$2:$AS$1001,MATCH(ROWS($V$2:V836),$V$2:$V$1001,0),MATCH(COLUMNS($AC$1006:AM1006),$AC$1006:$AS$1006,0)), HYPERLINK("#",""), HYPERLINK(CONCATENATE("#metadata!", ADDRESS(INDEX($X$2:$X$1001,MATCH(ROWS($V$2:V836),$V$2:$V$1001,0),0), INDEX($AC$1004:$AS$1004,1,MATCH(COLUMNS($AC$1006:AM1006),$AC$1006:$AS$1006,0)))),"Fix")))</f>
        <v xml:space="preserve"> </v>
      </c>
      <c r="M836" s="4" t="str">
        <f ca="1">IF(OR(INDEX($W$2:$W$1001,MATCH(ROWS($V$2:V836),$V$2:$V$1001,0),1)&gt;=100000,INDEX($AC$1005:$AS$1005,1,MATCH(COLUMNS($AC$1006:AN1006),$AC$1006:$AS$1006,0))&gt;=100000), " ",IF(INDEX($AC$2:$AS$1001,MATCH(ROWS($V$2:V836),$V$2:$V$1001,0),MATCH(COLUMNS($AC$1006:AN1006),$AC$1006:$AS$1006,0)), HYPERLINK("#",""), HYPERLINK(CONCATENATE("#metadata!", ADDRESS(INDEX($X$2:$X$1001,MATCH(ROWS($V$2:V836),$V$2:$V$1001,0),0), INDEX($AC$1004:$AS$1004,1,MATCH(COLUMNS($AC$1006:AN1006),$AC$1006:$AS$1006,0)))),"Fix")))</f>
        <v xml:space="preserve"> </v>
      </c>
      <c r="N836" s="4" t="str">
        <f ca="1">IF(OR(INDEX($W$2:$W$1001,MATCH(ROWS($V$2:V836),$V$2:$V$1001,0),1)&gt;=100000,INDEX($AC$1005:$AS$1005,1,MATCH(COLUMNS($AC$1006:AO1006),$AC$1006:$AS$1006,0))&gt;=100000), " ",IF(INDEX($AC$2:$AS$1001,MATCH(ROWS($V$2:V836),$V$2:$V$1001,0),MATCH(COLUMNS($AC$1006:AO1006),$AC$1006:$AS$1006,0)), HYPERLINK("#",""), HYPERLINK(CONCATENATE("#metadata!", ADDRESS(INDEX($X$2:$X$1001,MATCH(ROWS($V$2:V836),$V$2:$V$1001,0),0), INDEX($AC$1004:$AS$1004,1,MATCH(COLUMNS($AC$1006:AO1006),$AC$1006:$AS$1006,0)))),"Fix")))</f>
        <v xml:space="preserve"> </v>
      </c>
      <c r="O836" s="4" t="str">
        <f ca="1">IF(OR(INDEX($W$2:$W$1001,MATCH(ROWS($V$2:V836),$V$2:$V$1001,0),1)&gt;=100000,INDEX($AC$1005:$AS$1005,1,MATCH(COLUMNS($AC$1006:AP1006),$AC$1006:$AS$1006,0))&gt;=100000), " ",IF(INDEX($AC$2:$AS$1001,MATCH(ROWS($V$2:V836),$V$2:$V$1001,0),MATCH(COLUMNS($AC$1006:AP1006),$AC$1006:$AS$1006,0)), HYPERLINK("#",""), HYPERLINK(CONCATENATE("#metadata!", ADDRESS(INDEX($X$2:$X$1001,MATCH(ROWS($V$2:V836),$V$2:$V$1001,0),0), INDEX($AC$1004:$AS$1004,1,MATCH(COLUMNS($AC$1006:AP1006),$AC$1006:$AS$1006,0)))),"Fix")))</f>
        <v xml:space="preserve"> </v>
      </c>
      <c r="P836" s="4" t="str">
        <f ca="1">IF(OR(INDEX($W$2:$W$1001,MATCH(ROWS($V$2:V836),$V$2:$V$1001,0),1)&gt;=100000,INDEX($AC$1005:$AS$1005,1,MATCH(COLUMNS($AC$1006:AQ1006),$AC$1006:$AS$1006,0))&gt;=100000), " ",IF(INDEX($AC$2:$AS$1001,MATCH(ROWS($V$2:V836),$V$2:$V$1001,0),MATCH(COLUMNS($AC$1006:AQ1006),$AC$1006:$AS$1006,0)), HYPERLINK("#",""), HYPERLINK(CONCATENATE("#metadata!", ADDRESS(INDEX($X$2:$X$1001,MATCH(ROWS($V$2:V836),$V$2:$V$1001,0),0), INDEX($AC$1004:$AS$1004,1,MATCH(COLUMNS($AC$1006:AQ1006),$AC$1006:$AS$1006,0)))),"Fix")))</f>
        <v xml:space="preserve"> </v>
      </c>
      <c r="Q836" s="4" t="str">
        <f ca="1">IF(OR(INDEX($W$2:$W$1001,MATCH(ROWS($V$2:V836),$V$2:$V$1001,0),1)&gt;=100000,INDEX($AC$1005:$AS$1005,1,MATCH(COLUMNS($AC$1006:AR1006),$AC$1006:$AS$1006,0))&gt;=100000), " ",IF(INDEX($AC$2:$AS$1001,MATCH(ROWS($V$2:V836),$V$2:$V$1001,0),MATCH(COLUMNS($AC$1006:AR1006),$AC$1006:$AS$1006,0)), HYPERLINK("#",""), HYPERLINK(CONCATENATE("#metadata!", ADDRESS(INDEX($X$2:$X$1001,MATCH(ROWS($V$2:V836),$V$2:$V$1001,0),0), INDEX($AC$1004:$AS$1004,1,MATCH(COLUMNS($AC$1006:AR1006),$AC$1006:$AS$1006,0)))),"Fix")))</f>
        <v xml:space="preserve"> </v>
      </c>
      <c r="R836" s="4" t="str">
        <f ca="1">IF(OR(INDEX($W$2:$W$1001,MATCH(ROWS($V$2:V836),$V$2:$V$1001,0),1)&gt;=100000,INDEX($AC$1005:$AS$1005,1,MATCH(COLUMNS($AC$1006:AS1006),$AC$1006:$AS$1006,0))&gt;=100000), " ",IF(INDEX($AC$2:$AS$1001,MATCH(ROWS($V$2:V836),$V$2:$V$1001,0),MATCH(COLUMNS($AC$1006:AS1006),$AC$1006:$AS$1006,0)), HYPERLINK("#",""), HYPERLINK(CONCATENATE("#metadata!", ADDRESS(INDEX($X$2:$X$1001,MATCH(ROWS($V$2:V836),$V$2:$V$1001,0),0), INDEX($AC$1004:$AS$1004,1,MATCH(COLUMNS($AC$1006:AS1006),$AC$1006:$AS$1006,0)))),"Fix")))</f>
        <v xml:space="preserve"> </v>
      </c>
      <c r="V836">
        <v>835</v>
      </c>
      <c r="W836">
        <v>100836</v>
      </c>
      <c r="X836">
        <v>836</v>
      </c>
      <c r="Y836" t="b">
        <f t="shared" si="13"/>
        <v>1</v>
      </c>
      <c r="Z836" t="b">
        <f>COUNTBLANK(metadata!B836:R836)=COLUMNS(metadata!B836:R836)</f>
        <v>1</v>
      </c>
      <c r="AA836" t="str">
        <v/>
      </c>
      <c r="AC836" t="b">
        <f ca="1"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AD836" t="b">
        <f>IF(metadata!C836="",FALSE,ISNUMBER(VALUE(metadata!C836)))</f>
        <v>0</v>
      </c>
      <c r="AE836" t="b">
        <f>AND(IF(metadata!D836="",FALSE,TRUE),EXACT(metadata!D836,"years"))</f>
        <v>0</v>
      </c>
      <c r="AF836" t="b">
        <f>OR(AND(IF(metadata!E836="",FALSE,TRUE),OR(EXACT(metadata!E836,"not applicable"),EXACT(metadata!E836,"missing: not collected"),EXACT(metadata!E836,"missing: not provided"),EXACT(metadata!E836,"missing: restricted access"))),AND(IF(metadata!E836="",FALSE,ISNUMBER(VALUE(metadata!E836))),metadata!E836&gt;0))</f>
        <v>0</v>
      </c>
      <c r="AG836" t="b">
        <f>AND(IF(metadata!F836="",FALSE,TRUE),EXACT(metadata!F836,"Not applicable"))</f>
        <v>0</v>
      </c>
      <c r="AH836" t="b">
        <f>AND(IF(metadata!G836="",FALSE,TRUE),EXACT(metadata!G836,"urban biome"))</f>
        <v>0</v>
      </c>
      <c r="AI836" t="b">
        <f>AND(IF(metadata!H836="",FALSE,TRUE),EXACT(metadata!H836,"human-associated habitat"))</f>
        <v>0</v>
      </c>
      <c r="AJ836" t="b">
        <f>AND(IF(metadata!I836="",FALSE,TRUE),OR(EXACT(metadata!I836,"human-associated"),EXACT(metadata!I836,"human-skin"),EXACT(metadata!I836,"human-oral"),EXACT(metadata!I836,"human-gut"),EXACT(metadata!I836,"human-vaginal")))</f>
        <v>0</v>
      </c>
      <c r="AK836" t="b">
        <f>IF(metadata!J836="",FALSE,ISNUMBER(VALUE(metadata!J836)))</f>
        <v>0</v>
      </c>
      <c r="AL836" t="b">
        <f>AND(IF(metadata!K836="",FALSE,TRUE),EXACT(metadata!K836,"cm"))</f>
        <v>0</v>
      </c>
      <c r="AM836" t="b">
        <f>AND(IF(metadata!L836="",FALSE,TRUE),EXACT(metadata!L836,"human"))</f>
        <v>0</v>
      </c>
      <c r="AN836" t="b">
        <f>AND(IF(metadata!M836="",FALSE,TRUE),EXACT(metadata!M836,"Homo sapiens"))</f>
        <v>0</v>
      </c>
      <c r="AO836" t="b">
        <f>AND(IF(metadata!N836="",FALSE,TRUE),EXACT(metadata!N836,"9606"))</f>
        <v>0</v>
      </c>
      <c r="AP836" t="b">
        <f>IF(metadata!O836="",FALSE,TRUE)</f>
        <v>0</v>
      </c>
      <c r="AQ836" t="b">
        <f>IF(metadata!P836="",FALSE,TRUE)</f>
        <v>0</v>
      </c>
      <c r="AR836" t="b">
        <f>IF(metadata!Q836="",FALSE,ISNUMBER(VALUE(metadata!Q836)))</f>
        <v>0</v>
      </c>
      <c r="AS836" t="b">
        <f>AND(IF(metadata!R836="",FALSE,TRUE),EXACT(metadata!R836,"kg"))</f>
        <v>0</v>
      </c>
    </row>
    <row r="837" spans="1:45" x14ac:dyDescent="0.2">
      <c r="A837" s="5" t="str">
        <f ca="1">IF(B837=" "," ",HYPERLINK(CONCATENATE("#metadata!",ADDRESS(INDEX($X$2:$X$1001,MATCH(ROWS($V$2:V837),$V$2:$V$1001,0),0),1)),INDEX($AA$2:$AA$1001,MATCH(ROWS($V$2:V837),$V$2:$V$1001,0),0)))</f>
        <v xml:space="preserve"> </v>
      </c>
      <c r="B837" s="4" t="str">
        <f ca="1">IF(OR(INDEX($W$2:$W$1001,MATCH(ROWS($V$2:V837),$V$2:$V$1001,0),1)&gt;=100000,INDEX($AC$1005:$AS$1005,1,MATCH(COLUMNS($AC$1006:AC1006),$AC$1006:$AS$1006,0))&gt;=100000), " ",IF(INDEX($AC$2:$AS$1001,MATCH(ROWS($V$2:V837),$V$2:$V$1001,0),MATCH(COLUMNS($AC$1006:AC1006),$AC$1006:$AS$1006,0)), HYPERLINK("#",""), HYPERLINK(CONCATENATE("#metadata!", ADDRESS(INDEX($X$2:$X$1001,MATCH(ROWS($V$2:V837),$V$2:$V$1001,0),0), INDEX($AC$1004:$AS$1004,1,MATCH(COLUMNS($AC$1006:AC1006),$AC$1006:$AS$1006,0)))),"Fix")))</f>
        <v xml:space="preserve"> </v>
      </c>
      <c r="C837" s="4" t="str">
        <f ca="1">IF(OR(INDEX($W$2:$W$1001,MATCH(ROWS($V$2:V837),$V$2:$V$1001,0),1)&gt;=100000,INDEX($AC$1005:$AS$1005,1,MATCH(COLUMNS($AC$1006:AD1006),$AC$1006:$AS$1006,0))&gt;=100000), " ",IF(INDEX($AC$2:$AS$1001,MATCH(ROWS($V$2:V837),$V$2:$V$1001,0),MATCH(COLUMNS($AC$1006:AD1006),$AC$1006:$AS$1006,0)), HYPERLINK("#",""), HYPERLINK(CONCATENATE("#metadata!", ADDRESS(INDEX($X$2:$X$1001,MATCH(ROWS($V$2:V837),$V$2:$V$1001,0),0), INDEX($AC$1004:$AS$1004,1,MATCH(COLUMNS($AC$1006:AD1006),$AC$1006:$AS$1006,0)))),"Fix")))</f>
        <v xml:space="preserve"> </v>
      </c>
      <c r="D837" s="4" t="str">
        <f ca="1">IF(OR(INDEX($W$2:$W$1001,MATCH(ROWS($V$2:V837),$V$2:$V$1001,0),1)&gt;=100000,INDEX($AC$1005:$AS$1005,1,MATCH(COLUMNS($AC$1006:AE1006),$AC$1006:$AS$1006,0))&gt;=100000), " ",IF(INDEX($AC$2:$AS$1001,MATCH(ROWS($V$2:V837),$V$2:$V$1001,0),MATCH(COLUMNS($AC$1006:AE1006),$AC$1006:$AS$1006,0)), HYPERLINK("#",""), HYPERLINK(CONCATENATE("#metadata!", ADDRESS(INDEX($X$2:$X$1001,MATCH(ROWS($V$2:V837),$V$2:$V$1001,0),0), INDEX($AC$1004:$AS$1004,1,MATCH(COLUMNS($AC$1006:AE1006),$AC$1006:$AS$1006,0)))),"Fix")))</f>
        <v xml:space="preserve"> </v>
      </c>
      <c r="E837" s="4" t="str">
        <f ca="1">IF(OR(INDEX($W$2:$W$1001,MATCH(ROWS($V$2:V837),$V$2:$V$1001,0),1)&gt;=100000,INDEX($AC$1005:$AS$1005,1,MATCH(COLUMNS($AC$1006:AF1006),$AC$1006:$AS$1006,0))&gt;=100000), " ",IF(INDEX($AC$2:$AS$1001,MATCH(ROWS($V$2:V837),$V$2:$V$1001,0),MATCH(COLUMNS($AC$1006:AF1006),$AC$1006:$AS$1006,0)), HYPERLINK("#",""), HYPERLINK(CONCATENATE("#metadata!", ADDRESS(INDEX($X$2:$X$1001,MATCH(ROWS($V$2:V837),$V$2:$V$1001,0),0), INDEX($AC$1004:$AS$1004,1,MATCH(COLUMNS($AC$1006:AF1006),$AC$1006:$AS$1006,0)))),"Fix")))</f>
        <v xml:space="preserve"> </v>
      </c>
      <c r="F837" s="4" t="str">
        <f ca="1">IF(OR(INDEX($W$2:$W$1001,MATCH(ROWS($V$2:V837),$V$2:$V$1001,0),1)&gt;=100000,INDEX($AC$1005:$AS$1005,1,MATCH(COLUMNS($AC$1006:AG1006),$AC$1006:$AS$1006,0))&gt;=100000), " ",IF(INDEX($AC$2:$AS$1001,MATCH(ROWS($V$2:V837),$V$2:$V$1001,0),MATCH(COLUMNS($AC$1006:AG1006),$AC$1006:$AS$1006,0)), HYPERLINK("#",""), HYPERLINK(CONCATENATE("#metadata!", ADDRESS(INDEX($X$2:$X$1001,MATCH(ROWS($V$2:V837),$V$2:$V$1001,0),0), INDEX($AC$1004:$AS$1004,1,MATCH(COLUMNS($AC$1006:AG1006),$AC$1006:$AS$1006,0)))),"Fix")))</f>
        <v xml:space="preserve"> </v>
      </c>
      <c r="G837" s="4" t="str">
        <f ca="1">IF(OR(INDEX($W$2:$W$1001,MATCH(ROWS($V$2:V837),$V$2:$V$1001,0),1)&gt;=100000,INDEX($AC$1005:$AS$1005,1,MATCH(COLUMNS($AC$1006:AH1006),$AC$1006:$AS$1006,0))&gt;=100000), " ",IF(INDEX($AC$2:$AS$1001,MATCH(ROWS($V$2:V837),$V$2:$V$1001,0),MATCH(COLUMNS($AC$1006:AH1006),$AC$1006:$AS$1006,0)), HYPERLINK("#",""), HYPERLINK(CONCATENATE("#metadata!", ADDRESS(INDEX($X$2:$X$1001,MATCH(ROWS($V$2:V837),$V$2:$V$1001,0),0), INDEX($AC$1004:$AS$1004,1,MATCH(COLUMNS($AC$1006:AH1006),$AC$1006:$AS$1006,0)))),"Fix")))</f>
        <v xml:space="preserve"> </v>
      </c>
      <c r="H837" s="4" t="str">
        <f ca="1">IF(OR(INDEX($W$2:$W$1001,MATCH(ROWS($V$2:V837),$V$2:$V$1001,0),1)&gt;=100000,INDEX($AC$1005:$AS$1005,1,MATCH(COLUMNS($AC$1006:AI1006),$AC$1006:$AS$1006,0))&gt;=100000), " ",IF(INDEX($AC$2:$AS$1001,MATCH(ROWS($V$2:V837),$V$2:$V$1001,0),MATCH(COLUMNS($AC$1006:AI1006),$AC$1006:$AS$1006,0)), HYPERLINK("#",""), HYPERLINK(CONCATENATE("#metadata!", ADDRESS(INDEX($X$2:$X$1001,MATCH(ROWS($V$2:V837),$V$2:$V$1001,0),0), INDEX($AC$1004:$AS$1004,1,MATCH(COLUMNS($AC$1006:AI1006),$AC$1006:$AS$1006,0)))),"Fix")))</f>
        <v xml:space="preserve"> </v>
      </c>
      <c r="I837" s="4" t="str">
        <f ca="1">IF(OR(INDEX($W$2:$W$1001,MATCH(ROWS($V$2:V837),$V$2:$V$1001,0),1)&gt;=100000,INDEX($AC$1005:$AS$1005,1,MATCH(COLUMNS($AC$1006:AJ1006),$AC$1006:$AS$1006,0))&gt;=100000), " ",IF(INDEX($AC$2:$AS$1001,MATCH(ROWS($V$2:V837),$V$2:$V$1001,0),MATCH(COLUMNS($AC$1006:AJ1006),$AC$1006:$AS$1006,0)), HYPERLINK("#",""), HYPERLINK(CONCATENATE("#metadata!", ADDRESS(INDEX($X$2:$X$1001,MATCH(ROWS($V$2:V837),$V$2:$V$1001,0),0), INDEX($AC$1004:$AS$1004,1,MATCH(COLUMNS($AC$1006:AJ1006),$AC$1006:$AS$1006,0)))),"Fix")))</f>
        <v xml:space="preserve"> </v>
      </c>
      <c r="J837" s="4" t="str">
        <f ca="1">IF(OR(INDEX($W$2:$W$1001,MATCH(ROWS($V$2:V837),$V$2:$V$1001,0),1)&gt;=100000,INDEX($AC$1005:$AS$1005,1,MATCH(COLUMNS($AC$1006:AK1006),$AC$1006:$AS$1006,0))&gt;=100000), " ",IF(INDEX($AC$2:$AS$1001,MATCH(ROWS($V$2:V837),$V$2:$V$1001,0),MATCH(COLUMNS($AC$1006:AK1006),$AC$1006:$AS$1006,0)), HYPERLINK("#",""), HYPERLINK(CONCATENATE("#metadata!", ADDRESS(INDEX($X$2:$X$1001,MATCH(ROWS($V$2:V837),$V$2:$V$1001,0),0), INDEX($AC$1004:$AS$1004,1,MATCH(COLUMNS($AC$1006:AK1006),$AC$1006:$AS$1006,0)))),"Fix")))</f>
        <v xml:space="preserve"> </v>
      </c>
      <c r="K837" s="4" t="str">
        <f ca="1">IF(OR(INDEX($W$2:$W$1001,MATCH(ROWS($V$2:V837),$V$2:$V$1001,0),1)&gt;=100000,INDEX($AC$1005:$AS$1005,1,MATCH(COLUMNS($AC$1006:AL1006),$AC$1006:$AS$1006,0))&gt;=100000), " ",IF(INDEX($AC$2:$AS$1001,MATCH(ROWS($V$2:V837),$V$2:$V$1001,0),MATCH(COLUMNS($AC$1006:AL1006),$AC$1006:$AS$1006,0)), HYPERLINK("#",""), HYPERLINK(CONCATENATE("#metadata!", ADDRESS(INDEX($X$2:$X$1001,MATCH(ROWS($V$2:V837),$V$2:$V$1001,0),0), INDEX($AC$1004:$AS$1004,1,MATCH(COLUMNS($AC$1006:AL1006),$AC$1006:$AS$1006,0)))),"Fix")))</f>
        <v xml:space="preserve"> </v>
      </c>
      <c r="L837" s="4" t="str">
        <f ca="1">IF(OR(INDEX($W$2:$W$1001,MATCH(ROWS($V$2:V837),$V$2:$V$1001,0),1)&gt;=100000,INDEX($AC$1005:$AS$1005,1,MATCH(COLUMNS($AC$1006:AM1006),$AC$1006:$AS$1006,0))&gt;=100000), " ",IF(INDEX($AC$2:$AS$1001,MATCH(ROWS($V$2:V837),$V$2:$V$1001,0),MATCH(COLUMNS($AC$1006:AM1006),$AC$1006:$AS$1006,0)), HYPERLINK("#",""), HYPERLINK(CONCATENATE("#metadata!", ADDRESS(INDEX($X$2:$X$1001,MATCH(ROWS($V$2:V837),$V$2:$V$1001,0),0), INDEX($AC$1004:$AS$1004,1,MATCH(COLUMNS($AC$1006:AM1006),$AC$1006:$AS$1006,0)))),"Fix")))</f>
        <v xml:space="preserve"> </v>
      </c>
      <c r="M837" s="4" t="str">
        <f ca="1">IF(OR(INDEX($W$2:$W$1001,MATCH(ROWS($V$2:V837),$V$2:$V$1001,0),1)&gt;=100000,INDEX($AC$1005:$AS$1005,1,MATCH(COLUMNS($AC$1006:AN1006),$AC$1006:$AS$1006,0))&gt;=100000), " ",IF(INDEX($AC$2:$AS$1001,MATCH(ROWS($V$2:V837),$V$2:$V$1001,0),MATCH(COLUMNS($AC$1006:AN1006),$AC$1006:$AS$1006,0)), HYPERLINK("#",""), HYPERLINK(CONCATENATE("#metadata!", ADDRESS(INDEX($X$2:$X$1001,MATCH(ROWS($V$2:V837),$V$2:$V$1001,0),0), INDEX($AC$1004:$AS$1004,1,MATCH(COLUMNS($AC$1006:AN1006),$AC$1006:$AS$1006,0)))),"Fix")))</f>
        <v xml:space="preserve"> </v>
      </c>
      <c r="N837" s="4" t="str">
        <f ca="1">IF(OR(INDEX($W$2:$W$1001,MATCH(ROWS($V$2:V837),$V$2:$V$1001,0),1)&gt;=100000,INDEX($AC$1005:$AS$1005,1,MATCH(COLUMNS($AC$1006:AO1006),$AC$1006:$AS$1006,0))&gt;=100000), " ",IF(INDEX($AC$2:$AS$1001,MATCH(ROWS($V$2:V837),$V$2:$V$1001,0),MATCH(COLUMNS($AC$1006:AO1006),$AC$1006:$AS$1006,0)), HYPERLINK("#",""), HYPERLINK(CONCATENATE("#metadata!", ADDRESS(INDEX($X$2:$X$1001,MATCH(ROWS($V$2:V837),$V$2:$V$1001,0),0), INDEX($AC$1004:$AS$1004,1,MATCH(COLUMNS($AC$1006:AO1006),$AC$1006:$AS$1006,0)))),"Fix")))</f>
        <v xml:space="preserve"> </v>
      </c>
      <c r="O837" s="4" t="str">
        <f ca="1">IF(OR(INDEX($W$2:$W$1001,MATCH(ROWS($V$2:V837),$V$2:$V$1001,0),1)&gt;=100000,INDEX($AC$1005:$AS$1005,1,MATCH(COLUMNS($AC$1006:AP1006),$AC$1006:$AS$1006,0))&gt;=100000), " ",IF(INDEX($AC$2:$AS$1001,MATCH(ROWS($V$2:V837),$V$2:$V$1001,0),MATCH(COLUMNS($AC$1006:AP1006),$AC$1006:$AS$1006,0)), HYPERLINK("#",""), HYPERLINK(CONCATENATE("#metadata!", ADDRESS(INDEX($X$2:$X$1001,MATCH(ROWS($V$2:V837),$V$2:$V$1001,0),0), INDEX($AC$1004:$AS$1004,1,MATCH(COLUMNS($AC$1006:AP1006),$AC$1006:$AS$1006,0)))),"Fix")))</f>
        <v xml:space="preserve"> </v>
      </c>
      <c r="P837" s="4" t="str">
        <f ca="1">IF(OR(INDEX($W$2:$W$1001,MATCH(ROWS($V$2:V837),$V$2:$V$1001,0),1)&gt;=100000,INDEX($AC$1005:$AS$1005,1,MATCH(COLUMNS($AC$1006:AQ1006),$AC$1006:$AS$1006,0))&gt;=100000), " ",IF(INDEX($AC$2:$AS$1001,MATCH(ROWS($V$2:V837),$V$2:$V$1001,0),MATCH(COLUMNS($AC$1006:AQ1006),$AC$1006:$AS$1006,0)), HYPERLINK("#",""), HYPERLINK(CONCATENATE("#metadata!", ADDRESS(INDEX($X$2:$X$1001,MATCH(ROWS($V$2:V837),$V$2:$V$1001,0),0), INDEX($AC$1004:$AS$1004,1,MATCH(COLUMNS($AC$1006:AQ1006),$AC$1006:$AS$1006,0)))),"Fix")))</f>
        <v xml:space="preserve"> </v>
      </c>
      <c r="Q837" s="4" t="str">
        <f ca="1">IF(OR(INDEX($W$2:$W$1001,MATCH(ROWS($V$2:V837),$V$2:$V$1001,0),1)&gt;=100000,INDEX($AC$1005:$AS$1005,1,MATCH(COLUMNS($AC$1006:AR1006),$AC$1006:$AS$1006,0))&gt;=100000), " ",IF(INDEX($AC$2:$AS$1001,MATCH(ROWS($V$2:V837),$V$2:$V$1001,0),MATCH(COLUMNS($AC$1006:AR1006),$AC$1006:$AS$1006,0)), HYPERLINK("#",""), HYPERLINK(CONCATENATE("#metadata!", ADDRESS(INDEX($X$2:$X$1001,MATCH(ROWS($V$2:V837),$V$2:$V$1001,0),0), INDEX($AC$1004:$AS$1004,1,MATCH(COLUMNS($AC$1006:AR1006),$AC$1006:$AS$1006,0)))),"Fix")))</f>
        <v xml:space="preserve"> </v>
      </c>
      <c r="R837" s="4" t="str">
        <f ca="1">IF(OR(INDEX($W$2:$W$1001,MATCH(ROWS($V$2:V837),$V$2:$V$1001,0),1)&gt;=100000,INDEX($AC$1005:$AS$1005,1,MATCH(COLUMNS($AC$1006:AS1006),$AC$1006:$AS$1006,0))&gt;=100000), " ",IF(INDEX($AC$2:$AS$1001,MATCH(ROWS($V$2:V837),$V$2:$V$1001,0),MATCH(COLUMNS($AC$1006:AS1006),$AC$1006:$AS$1006,0)), HYPERLINK("#",""), HYPERLINK(CONCATENATE("#metadata!", ADDRESS(INDEX($X$2:$X$1001,MATCH(ROWS($V$2:V837),$V$2:$V$1001,0),0), INDEX($AC$1004:$AS$1004,1,MATCH(COLUMNS($AC$1006:AS1006),$AC$1006:$AS$1006,0)))),"Fix")))</f>
        <v xml:space="preserve"> </v>
      </c>
      <c r="V837">
        <v>836</v>
      </c>
      <c r="W837">
        <v>100837</v>
      </c>
      <c r="X837">
        <v>837</v>
      </c>
      <c r="Y837" t="b">
        <f t="shared" si="13"/>
        <v>1</v>
      </c>
      <c r="Z837" t="b">
        <f>COUNTBLANK(metadata!B837:R837)=COLUMNS(metadata!B837:R837)</f>
        <v>1</v>
      </c>
      <c r="AA837" t="str">
        <v/>
      </c>
      <c r="AC837" t="b">
        <f ca="1"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AD837" t="b">
        <f>IF(metadata!C837="",FALSE,ISNUMBER(VALUE(metadata!C837)))</f>
        <v>0</v>
      </c>
      <c r="AE837" t="b">
        <f>AND(IF(metadata!D837="",FALSE,TRUE),EXACT(metadata!D837,"years"))</f>
        <v>0</v>
      </c>
      <c r="AF837" t="b">
        <f>OR(AND(IF(metadata!E837="",FALSE,TRUE),OR(EXACT(metadata!E837,"not applicable"),EXACT(metadata!E837,"missing: not collected"),EXACT(metadata!E837,"missing: not provided"),EXACT(metadata!E837,"missing: restricted access"))),AND(IF(metadata!E837="",FALSE,ISNUMBER(VALUE(metadata!E837))),metadata!E837&gt;0))</f>
        <v>0</v>
      </c>
      <c r="AG837" t="b">
        <f>AND(IF(metadata!F837="",FALSE,TRUE),EXACT(metadata!F837,"Not applicable"))</f>
        <v>0</v>
      </c>
      <c r="AH837" t="b">
        <f>AND(IF(metadata!G837="",FALSE,TRUE),EXACT(metadata!G837,"urban biome"))</f>
        <v>0</v>
      </c>
      <c r="AI837" t="b">
        <f>AND(IF(metadata!H837="",FALSE,TRUE),EXACT(metadata!H837,"human-associated habitat"))</f>
        <v>0</v>
      </c>
      <c r="AJ837" t="b">
        <f>AND(IF(metadata!I837="",FALSE,TRUE),OR(EXACT(metadata!I837,"human-associated"),EXACT(metadata!I837,"human-skin"),EXACT(metadata!I837,"human-oral"),EXACT(metadata!I837,"human-gut"),EXACT(metadata!I837,"human-vaginal")))</f>
        <v>0</v>
      </c>
      <c r="AK837" t="b">
        <f>IF(metadata!J837="",FALSE,ISNUMBER(VALUE(metadata!J837)))</f>
        <v>0</v>
      </c>
      <c r="AL837" t="b">
        <f>AND(IF(metadata!K837="",FALSE,TRUE),EXACT(metadata!K837,"cm"))</f>
        <v>0</v>
      </c>
      <c r="AM837" t="b">
        <f>AND(IF(metadata!L837="",FALSE,TRUE),EXACT(metadata!L837,"human"))</f>
        <v>0</v>
      </c>
      <c r="AN837" t="b">
        <f>AND(IF(metadata!M837="",FALSE,TRUE),EXACT(metadata!M837,"Homo sapiens"))</f>
        <v>0</v>
      </c>
      <c r="AO837" t="b">
        <f>AND(IF(metadata!N837="",FALSE,TRUE),EXACT(metadata!N837,"9606"))</f>
        <v>0</v>
      </c>
      <c r="AP837" t="b">
        <f>IF(metadata!O837="",FALSE,TRUE)</f>
        <v>0</v>
      </c>
      <c r="AQ837" t="b">
        <f>IF(metadata!P837="",FALSE,TRUE)</f>
        <v>0</v>
      </c>
      <c r="AR837" t="b">
        <f>IF(metadata!Q837="",FALSE,ISNUMBER(VALUE(metadata!Q837)))</f>
        <v>0</v>
      </c>
      <c r="AS837" t="b">
        <f>AND(IF(metadata!R837="",FALSE,TRUE),EXACT(metadata!R837,"kg"))</f>
        <v>0</v>
      </c>
    </row>
    <row r="838" spans="1:45" x14ac:dyDescent="0.2">
      <c r="A838" s="5" t="str">
        <f ca="1">IF(B838=" "," ",HYPERLINK(CONCATENATE("#metadata!",ADDRESS(INDEX($X$2:$X$1001,MATCH(ROWS($V$2:V838),$V$2:$V$1001,0),0),1)),INDEX($AA$2:$AA$1001,MATCH(ROWS($V$2:V838),$V$2:$V$1001,0),0)))</f>
        <v xml:space="preserve"> </v>
      </c>
      <c r="B838" s="4" t="str">
        <f ca="1">IF(OR(INDEX($W$2:$W$1001,MATCH(ROWS($V$2:V838),$V$2:$V$1001,0),1)&gt;=100000,INDEX($AC$1005:$AS$1005,1,MATCH(COLUMNS($AC$1006:AC1006),$AC$1006:$AS$1006,0))&gt;=100000), " ",IF(INDEX($AC$2:$AS$1001,MATCH(ROWS($V$2:V838),$V$2:$V$1001,0),MATCH(COLUMNS($AC$1006:AC1006),$AC$1006:$AS$1006,0)), HYPERLINK("#",""), HYPERLINK(CONCATENATE("#metadata!", ADDRESS(INDEX($X$2:$X$1001,MATCH(ROWS($V$2:V838),$V$2:$V$1001,0),0), INDEX($AC$1004:$AS$1004,1,MATCH(COLUMNS($AC$1006:AC1006),$AC$1006:$AS$1006,0)))),"Fix")))</f>
        <v xml:space="preserve"> </v>
      </c>
      <c r="C838" s="4" t="str">
        <f ca="1">IF(OR(INDEX($W$2:$W$1001,MATCH(ROWS($V$2:V838),$V$2:$V$1001,0),1)&gt;=100000,INDEX($AC$1005:$AS$1005,1,MATCH(COLUMNS($AC$1006:AD1006),$AC$1006:$AS$1006,0))&gt;=100000), " ",IF(INDEX($AC$2:$AS$1001,MATCH(ROWS($V$2:V838),$V$2:$V$1001,0),MATCH(COLUMNS($AC$1006:AD1006),$AC$1006:$AS$1006,0)), HYPERLINK("#",""), HYPERLINK(CONCATENATE("#metadata!", ADDRESS(INDEX($X$2:$X$1001,MATCH(ROWS($V$2:V838),$V$2:$V$1001,0),0), INDEX($AC$1004:$AS$1004,1,MATCH(COLUMNS($AC$1006:AD1006),$AC$1006:$AS$1006,0)))),"Fix")))</f>
        <v xml:space="preserve"> </v>
      </c>
      <c r="D838" s="4" t="str">
        <f ca="1">IF(OR(INDEX($W$2:$W$1001,MATCH(ROWS($V$2:V838),$V$2:$V$1001,0),1)&gt;=100000,INDEX($AC$1005:$AS$1005,1,MATCH(COLUMNS($AC$1006:AE1006),$AC$1006:$AS$1006,0))&gt;=100000), " ",IF(INDEX($AC$2:$AS$1001,MATCH(ROWS($V$2:V838),$V$2:$V$1001,0),MATCH(COLUMNS($AC$1006:AE1006),$AC$1006:$AS$1006,0)), HYPERLINK("#",""), HYPERLINK(CONCATENATE("#metadata!", ADDRESS(INDEX($X$2:$X$1001,MATCH(ROWS($V$2:V838),$V$2:$V$1001,0),0), INDEX($AC$1004:$AS$1004,1,MATCH(COLUMNS($AC$1006:AE1006),$AC$1006:$AS$1006,0)))),"Fix")))</f>
        <v xml:space="preserve"> </v>
      </c>
      <c r="E838" s="4" t="str">
        <f ca="1">IF(OR(INDEX($W$2:$W$1001,MATCH(ROWS($V$2:V838),$V$2:$V$1001,0),1)&gt;=100000,INDEX($AC$1005:$AS$1005,1,MATCH(COLUMNS($AC$1006:AF1006),$AC$1006:$AS$1006,0))&gt;=100000), " ",IF(INDEX($AC$2:$AS$1001,MATCH(ROWS($V$2:V838),$V$2:$V$1001,0),MATCH(COLUMNS($AC$1006:AF1006),$AC$1006:$AS$1006,0)), HYPERLINK("#",""), HYPERLINK(CONCATENATE("#metadata!", ADDRESS(INDEX($X$2:$X$1001,MATCH(ROWS($V$2:V838),$V$2:$V$1001,0),0), INDEX($AC$1004:$AS$1004,1,MATCH(COLUMNS($AC$1006:AF1006),$AC$1006:$AS$1006,0)))),"Fix")))</f>
        <v xml:space="preserve"> </v>
      </c>
      <c r="F838" s="4" t="str">
        <f ca="1">IF(OR(INDEX($W$2:$W$1001,MATCH(ROWS($V$2:V838),$V$2:$V$1001,0),1)&gt;=100000,INDEX($AC$1005:$AS$1005,1,MATCH(COLUMNS($AC$1006:AG1006),$AC$1006:$AS$1006,0))&gt;=100000), " ",IF(INDEX($AC$2:$AS$1001,MATCH(ROWS($V$2:V838),$V$2:$V$1001,0),MATCH(COLUMNS($AC$1006:AG1006),$AC$1006:$AS$1006,0)), HYPERLINK("#",""), HYPERLINK(CONCATENATE("#metadata!", ADDRESS(INDEX($X$2:$X$1001,MATCH(ROWS($V$2:V838),$V$2:$V$1001,0),0), INDEX($AC$1004:$AS$1004,1,MATCH(COLUMNS($AC$1006:AG1006),$AC$1006:$AS$1006,0)))),"Fix")))</f>
        <v xml:space="preserve"> </v>
      </c>
      <c r="G838" s="4" t="str">
        <f ca="1">IF(OR(INDEX($W$2:$W$1001,MATCH(ROWS($V$2:V838),$V$2:$V$1001,0),1)&gt;=100000,INDEX($AC$1005:$AS$1005,1,MATCH(COLUMNS($AC$1006:AH1006),$AC$1006:$AS$1006,0))&gt;=100000), " ",IF(INDEX($AC$2:$AS$1001,MATCH(ROWS($V$2:V838),$V$2:$V$1001,0),MATCH(COLUMNS($AC$1006:AH1006),$AC$1006:$AS$1006,0)), HYPERLINK("#",""), HYPERLINK(CONCATENATE("#metadata!", ADDRESS(INDEX($X$2:$X$1001,MATCH(ROWS($V$2:V838),$V$2:$V$1001,0),0), INDEX($AC$1004:$AS$1004,1,MATCH(COLUMNS($AC$1006:AH1006),$AC$1006:$AS$1006,0)))),"Fix")))</f>
        <v xml:space="preserve"> </v>
      </c>
      <c r="H838" s="4" t="str">
        <f ca="1">IF(OR(INDEX($W$2:$W$1001,MATCH(ROWS($V$2:V838),$V$2:$V$1001,0),1)&gt;=100000,INDEX($AC$1005:$AS$1005,1,MATCH(COLUMNS($AC$1006:AI1006),$AC$1006:$AS$1006,0))&gt;=100000), " ",IF(INDEX($AC$2:$AS$1001,MATCH(ROWS($V$2:V838),$V$2:$V$1001,0),MATCH(COLUMNS($AC$1006:AI1006),$AC$1006:$AS$1006,0)), HYPERLINK("#",""), HYPERLINK(CONCATENATE("#metadata!", ADDRESS(INDEX($X$2:$X$1001,MATCH(ROWS($V$2:V838),$V$2:$V$1001,0),0), INDEX($AC$1004:$AS$1004,1,MATCH(COLUMNS($AC$1006:AI1006),$AC$1006:$AS$1006,0)))),"Fix")))</f>
        <v xml:space="preserve"> </v>
      </c>
      <c r="I838" s="4" t="str">
        <f ca="1">IF(OR(INDEX($W$2:$W$1001,MATCH(ROWS($V$2:V838),$V$2:$V$1001,0),1)&gt;=100000,INDEX($AC$1005:$AS$1005,1,MATCH(COLUMNS($AC$1006:AJ1006),$AC$1006:$AS$1006,0))&gt;=100000), " ",IF(INDEX($AC$2:$AS$1001,MATCH(ROWS($V$2:V838),$V$2:$V$1001,0),MATCH(COLUMNS($AC$1006:AJ1006),$AC$1006:$AS$1006,0)), HYPERLINK("#",""), HYPERLINK(CONCATENATE("#metadata!", ADDRESS(INDEX($X$2:$X$1001,MATCH(ROWS($V$2:V838),$V$2:$V$1001,0),0), INDEX($AC$1004:$AS$1004,1,MATCH(COLUMNS($AC$1006:AJ1006),$AC$1006:$AS$1006,0)))),"Fix")))</f>
        <v xml:space="preserve"> </v>
      </c>
      <c r="J838" s="4" t="str">
        <f ca="1">IF(OR(INDEX($W$2:$W$1001,MATCH(ROWS($V$2:V838),$V$2:$V$1001,0),1)&gt;=100000,INDEX($AC$1005:$AS$1005,1,MATCH(COLUMNS($AC$1006:AK1006),$AC$1006:$AS$1006,0))&gt;=100000), " ",IF(INDEX($AC$2:$AS$1001,MATCH(ROWS($V$2:V838),$V$2:$V$1001,0),MATCH(COLUMNS($AC$1006:AK1006),$AC$1006:$AS$1006,0)), HYPERLINK("#",""), HYPERLINK(CONCATENATE("#metadata!", ADDRESS(INDEX($X$2:$X$1001,MATCH(ROWS($V$2:V838),$V$2:$V$1001,0),0), INDEX($AC$1004:$AS$1004,1,MATCH(COLUMNS($AC$1006:AK1006),$AC$1006:$AS$1006,0)))),"Fix")))</f>
        <v xml:space="preserve"> </v>
      </c>
      <c r="K838" s="4" t="str">
        <f ca="1">IF(OR(INDEX($W$2:$W$1001,MATCH(ROWS($V$2:V838),$V$2:$V$1001,0),1)&gt;=100000,INDEX($AC$1005:$AS$1005,1,MATCH(COLUMNS($AC$1006:AL1006),$AC$1006:$AS$1006,0))&gt;=100000), " ",IF(INDEX($AC$2:$AS$1001,MATCH(ROWS($V$2:V838),$V$2:$V$1001,0),MATCH(COLUMNS($AC$1006:AL1006),$AC$1006:$AS$1006,0)), HYPERLINK("#",""), HYPERLINK(CONCATENATE("#metadata!", ADDRESS(INDEX($X$2:$X$1001,MATCH(ROWS($V$2:V838),$V$2:$V$1001,0),0), INDEX($AC$1004:$AS$1004,1,MATCH(COLUMNS($AC$1006:AL1006),$AC$1006:$AS$1006,0)))),"Fix")))</f>
        <v xml:space="preserve"> </v>
      </c>
      <c r="L838" s="4" t="str">
        <f ca="1">IF(OR(INDEX($W$2:$W$1001,MATCH(ROWS($V$2:V838),$V$2:$V$1001,0),1)&gt;=100000,INDEX($AC$1005:$AS$1005,1,MATCH(COLUMNS($AC$1006:AM1006),$AC$1006:$AS$1006,0))&gt;=100000), " ",IF(INDEX($AC$2:$AS$1001,MATCH(ROWS($V$2:V838),$V$2:$V$1001,0),MATCH(COLUMNS($AC$1006:AM1006),$AC$1006:$AS$1006,0)), HYPERLINK("#",""), HYPERLINK(CONCATENATE("#metadata!", ADDRESS(INDEX($X$2:$X$1001,MATCH(ROWS($V$2:V838),$V$2:$V$1001,0),0), INDEX($AC$1004:$AS$1004,1,MATCH(COLUMNS($AC$1006:AM1006),$AC$1006:$AS$1006,0)))),"Fix")))</f>
        <v xml:space="preserve"> </v>
      </c>
      <c r="M838" s="4" t="str">
        <f ca="1">IF(OR(INDEX($W$2:$W$1001,MATCH(ROWS($V$2:V838),$V$2:$V$1001,0),1)&gt;=100000,INDEX($AC$1005:$AS$1005,1,MATCH(COLUMNS($AC$1006:AN1006),$AC$1006:$AS$1006,0))&gt;=100000), " ",IF(INDEX($AC$2:$AS$1001,MATCH(ROWS($V$2:V838),$V$2:$V$1001,0),MATCH(COLUMNS($AC$1006:AN1006),$AC$1006:$AS$1006,0)), HYPERLINK("#",""), HYPERLINK(CONCATENATE("#metadata!", ADDRESS(INDEX($X$2:$X$1001,MATCH(ROWS($V$2:V838),$V$2:$V$1001,0),0), INDEX($AC$1004:$AS$1004,1,MATCH(COLUMNS($AC$1006:AN1006),$AC$1006:$AS$1006,0)))),"Fix")))</f>
        <v xml:space="preserve"> </v>
      </c>
      <c r="N838" s="4" t="str">
        <f ca="1">IF(OR(INDEX($W$2:$W$1001,MATCH(ROWS($V$2:V838),$V$2:$V$1001,0),1)&gt;=100000,INDEX($AC$1005:$AS$1005,1,MATCH(COLUMNS($AC$1006:AO1006),$AC$1006:$AS$1006,0))&gt;=100000), " ",IF(INDEX($AC$2:$AS$1001,MATCH(ROWS($V$2:V838),$V$2:$V$1001,0),MATCH(COLUMNS($AC$1006:AO1006),$AC$1006:$AS$1006,0)), HYPERLINK("#",""), HYPERLINK(CONCATENATE("#metadata!", ADDRESS(INDEX($X$2:$X$1001,MATCH(ROWS($V$2:V838),$V$2:$V$1001,0),0), INDEX($AC$1004:$AS$1004,1,MATCH(COLUMNS($AC$1006:AO1006),$AC$1006:$AS$1006,0)))),"Fix")))</f>
        <v xml:space="preserve"> </v>
      </c>
      <c r="O838" s="4" t="str">
        <f ca="1">IF(OR(INDEX($W$2:$W$1001,MATCH(ROWS($V$2:V838),$V$2:$V$1001,0),1)&gt;=100000,INDEX($AC$1005:$AS$1005,1,MATCH(COLUMNS($AC$1006:AP1006),$AC$1006:$AS$1006,0))&gt;=100000), " ",IF(INDEX($AC$2:$AS$1001,MATCH(ROWS($V$2:V838),$V$2:$V$1001,0),MATCH(COLUMNS($AC$1006:AP1006),$AC$1006:$AS$1006,0)), HYPERLINK("#",""), HYPERLINK(CONCATENATE("#metadata!", ADDRESS(INDEX($X$2:$X$1001,MATCH(ROWS($V$2:V838),$V$2:$V$1001,0),0), INDEX($AC$1004:$AS$1004,1,MATCH(COLUMNS($AC$1006:AP1006),$AC$1006:$AS$1006,0)))),"Fix")))</f>
        <v xml:space="preserve"> </v>
      </c>
      <c r="P838" s="4" t="str">
        <f ca="1">IF(OR(INDEX($W$2:$W$1001,MATCH(ROWS($V$2:V838),$V$2:$V$1001,0),1)&gt;=100000,INDEX($AC$1005:$AS$1005,1,MATCH(COLUMNS($AC$1006:AQ1006),$AC$1006:$AS$1006,0))&gt;=100000), " ",IF(INDEX($AC$2:$AS$1001,MATCH(ROWS($V$2:V838),$V$2:$V$1001,0),MATCH(COLUMNS($AC$1006:AQ1006),$AC$1006:$AS$1006,0)), HYPERLINK("#",""), HYPERLINK(CONCATENATE("#metadata!", ADDRESS(INDEX($X$2:$X$1001,MATCH(ROWS($V$2:V838),$V$2:$V$1001,0),0), INDEX($AC$1004:$AS$1004,1,MATCH(COLUMNS($AC$1006:AQ1006),$AC$1006:$AS$1006,0)))),"Fix")))</f>
        <v xml:space="preserve"> </v>
      </c>
      <c r="Q838" s="4" t="str">
        <f ca="1">IF(OR(INDEX($W$2:$W$1001,MATCH(ROWS($V$2:V838),$V$2:$V$1001,0),1)&gt;=100000,INDEX($AC$1005:$AS$1005,1,MATCH(COLUMNS($AC$1006:AR1006),$AC$1006:$AS$1006,0))&gt;=100000), " ",IF(INDEX($AC$2:$AS$1001,MATCH(ROWS($V$2:V838),$V$2:$V$1001,0),MATCH(COLUMNS($AC$1006:AR1006),$AC$1006:$AS$1006,0)), HYPERLINK("#",""), HYPERLINK(CONCATENATE("#metadata!", ADDRESS(INDEX($X$2:$X$1001,MATCH(ROWS($V$2:V838),$V$2:$V$1001,0),0), INDEX($AC$1004:$AS$1004,1,MATCH(COLUMNS($AC$1006:AR1006),$AC$1006:$AS$1006,0)))),"Fix")))</f>
        <v xml:space="preserve"> </v>
      </c>
      <c r="R838" s="4" t="str">
        <f ca="1">IF(OR(INDEX($W$2:$W$1001,MATCH(ROWS($V$2:V838),$V$2:$V$1001,0),1)&gt;=100000,INDEX($AC$1005:$AS$1005,1,MATCH(COLUMNS($AC$1006:AS1006),$AC$1006:$AS$1006,0))&gt;=100000), " ",IF(INDEX($AC$2:$AS$1001,MATCH(ROWS($V$2:V838),$V$2:$V$1001,0),MATCH(COLUMNS($AC$1006:AS1006),$AC$1006:$AS$1006,0)), HYPERLINK("#",""), HYPERLINK(CONCATENATE("#metadata!", ADDRESS(INDEX($X$2:$X$1001,MATCH(ROWS($V$2:V838),$V$2:$V$1001,0),0), INDEX($AC$1004:$AS$1004,1,MATCH(COLUMNS($AC$1006:AS1006),$AC$1006:$AS$1006,0)))),"Fix")))</f>
        <v xml:space="preserve"> </v>
      </c>
      <c r="V838">
        <v>837</v>
      </c>
      <c r="W838">
        <v>100838</v>
      </c>
      <c r="X838">
        <v>838</v>
      </c>
      <c r="Y838" t="b">
        <f t="shared" si="13"/>
        <v>1</v>
      </c>
      <c r="Z838" t="b">
        <f>COUNTBLANK(metadata!B838:R838)=COLUMNS(metadata!B838:R838)</f>
        <v>1</v>
      </c>
      <c r="AA838" t="str">
        <v/>
      </c>
      <c r="AC838" t="b">
        <f ca="1"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AD838" t="b">
        <f>IF(metadata!C838="",FALSE,ISNUMBER(VALUE(metadata!C838)))</f>
        <v>0</v>
      </c>
      <c r="AE838" t="b">
        <f>AND(IF(metadata!D838="",FALSE,TRUE),EXACT(metadata!D838,"years"))</f>
        <v>0</v>
      </c>
      <c r="AF838" t="b">
        <f>OR(AND(IF(metadata!E838="",FALSE,TRUE),OR(EXACT(metadata!E838,"not applicable"),EXACT(metadata!E838,"missing: not collected"),EXACT(metadata!E838,"missing: not provided"),EXACT(metadata!E838,"missing: restricted access"))),AND(IF(metadata!E838="",FALSE,ISNUMBER(VALUE(metadata!E838))),metadata!E838&gt;0))</f>
        <v>0</v>
      </c>
      <c r="AG838" t="b">
        <f>AND(IF(metadata!F838="",FALSE,TRUE),EXACT(metadata!F838,"Not applicable"))</f>
        <v>0</v>
      </c>
      <c r="AH838" t="b">
        <f>AND(IF(metadata!G838="",FALSE,TRUE),EXACT(metadata!G838,"urban biome"))</f>
        <v>0</v>
      </c>
      <c r="AI838" t="b">
        <f>AND(IF(metadata!H838="",FALSE,TRUE),EXACT(metadata!H838,"human-associated habitat"))</f>
        <v>0</v>
      </c>
      <c r="AJ838" t="b">
        <f>AND(IF(metadata!I838="",FALSE,TRUE),OR(EXACT(metadata!I838,"human-associated"),EXACT(metadata!I838,"human-skin"),EXACT(metadata!I838,"human-oral"),EXACT(metadata!I838,"human-gut"),EXACT(metadata!I838,"human-vaginal")))</f>
        <v>0</v>
      </c>
      <c r="AK838" t="b">
        <f>IF(metadata!J838="",FALSE,ISNUMBER(VALUE(metadata!J838)))</f>
        <v>0</v>
      </c>
      <c r="AL838" t="b">
        <f>AND(IF(metadata!K838="",FALSE,TRUE),EXACT(metadata!K838,"cm"))</f>
        <v>0</v>
      </c>
      <c r="AM838" t="b">
        <f>AND(IF(metadata!L838="",FALSE,TRUE),EXACT(metadata!L838,"human"))</f>
        <v>0</v>
      </c>
      <c r="AN838" t="b">
        <f>AND(IF(metadata!M838="",FALSE,TRUE),EXACT(metadata!M838,"Homo sapiens"))</f>
        <v>0</v>
      </c>
      <c r="AO838" t="b">
        <f>AND(IF(metadata!N838="",FALSE,TRUE),EXACT(metadata!N838,"9606"))</f>
        <v>0</v>
      </c>
      <c r="AP838" t="b">
        <f>IF(metadata!O838="",FALSE,TRUE)</f>
        <v>0</v>
      </c>
      <c r="AQ838" t="b">
        <f>IF(metadata!P838="",FALSE,TRUE)</f>
        <v>0</v>
      </c>
      <c r="AR838" t="b">
        <f>IF(metadata!Q838="",FALSE,ISNUMBER(VALUE(metadata!Q838)))</f>
        <v>0</v>
      </c>
      <c r="AS838" t="b">
        <f>AND(IF(metadata!R838="",FALSE,TRUE),EXACT(metadata!R838,"kg"))</f>
        <v>0</v>
      </c>
    </row>
    <row r="839" spans="1:45" x14ac:dyDescent="0.2">
      <c r="A839" s="5" t="str">
        <f ca="1">IF(B839=" "," ",HYPERLINK(CONCATENATE("#metadata!",ADDRESS(INDEX($X$2:$X$1001,MATCH(ROWS($V$2:V839),$V$2:$V$1001,0),0),1)),INDEX($AA$2:$AA$1001,MATCH(ROWS($V$2:V839),$V$2:$V$1001,0),0)))</f>
        <v xml:space="preserve"> </v>
      </c>
      <c r="B839" s="4" t="str">
        <f ca="1">IF(OR(INDEX($W$2:$W$1001,MATCH(ROWS($V$2:V839),$V$2:$V$1001,0),1)&gt;=100000,INDEX($AC$1005:$AS$1005,1,MATCH(COLUMNS($AC$1006:AC1006),$AC$1006:$AS$1006,0))&gt;=100000), " ",IF(INDEX($AC$2:$AS$1001,MATCH(ROWS($V$2:V839),$V$2:$V$1001,0),MATCH(COLUMNS($AC$1006:AC1006),$AC$1006:$AS$1006,0)), HYPERLINK("#",""), HYPERLINK(CONCATENATE("#metadata!", ADDRESS(INDEX($X$2:$X$1001,MATCH(ROWS($V$2:V839),$V$2:$V$1001,0),0), INDEX($AC$1004:$AS$1004,1,MATCH(COLUMNS($AC$1006:AC1006),$AC$1006:$AS$1006,0)))),"Fix")))</f>
        <v xml:space="preserve"> </v>
      </c>
      <c r="C839" s="4" t="str">
        <f ca="1">IF(OR(INDEX($W$2:$W$1001,MATCH(ROWS($V$2:V839),$V$2:$V$1001,0),1)&gt;=100000,INDEX($AC$1005:$AS$1005,1,MATCH(COLUMNS($AC$1006:AD1006),$AC$1006:$AS$1006,0))&gt;=100000), " ",IF(INDEX($AC$2:$AS$1001,MATCH(ROWS($V$2:V839),$V$2:$V$1001,0),MATCH(COLUMNS($AC$1006:AD1006),$AC$1006:$AS$1006,0)), HYPERLINK("#",""), HYPERLINK(CONCATENATE("#metadata!", ADDRESS(INDEX($X$2:$X$1001,MATCH(ROWS($V$2:V839),$V$2:$V$1001,0),0), INDEX($AC$1004:$AS$1004,1,MATCH(COLUMNS($AC$1006:AD1006),$AC$1006:$AS$1006,0)))),"Fix")))</f>
        <v xml:space="preserve"> </v>
      </c>
      <c r="D839" s="4" t="str">
        <f ca="1">IF(OR(INDEX($W$2:$W$1001,MATCH(ROWS($V$2:V839),$V$2:$V$1001,0),1)&gt;=100000,INDEX($AC$1005:$AS$1005,1,MATCH(COLUMNS($AC$1006:AE1006),$AC$1006:$AS$1006,0))&gt;=100000), " ",IF(INDEX($AC$2:$AS$1001,MATCH(ROWS($V$2:V839),$V$2:$V$1001,0),MATCH(COLUMNS($AC$1006:AE1006),$AC$1006:$AS$1006,0)), HYPERLINK("#",""), HYPERLINK(CONCATENATE("#metadata!", ADDRESS(INDEX($X$2:$X$1001,MATCH(ROWS($V$2:V839),$V$2:$V$1001,0),0), INDEX($AC$1004:$AS$1004,1,MATCH(COLUMNS($AC$1006:AE1006),$AC$1006:$AS$1006,0)))),"Fix")))</f>
        <v xml:space="preserve"> </v>
      </c>
      <c r="E839" s="4" t="str">
        <f ca="1">IF(OR(INDEX($W$2:$W$1001,MATCH(ROWS($V$2:V839),$V$2:$V$1001,0),1)&gt;=100000,INDEX($AC$1005:$AS$1005,1,MATCH(COLUMNS($AC$1006:AF1006),$AC$1006:$AS$1006,0))&gt;=100000), " ",IF(INDEX($AC$2:$AS$1001,MATCH(ROWS($V$2:V839),$V$2:$V$1001,0),MATCH(COLUMNS($AC$1006:AF1006),$AC$1006:$AS$1006,0)), HYPERLINK("#",""), HYPERLINK(CONCATENATE("#metadata!", ADDRESS(INDEX($X$2:$X$1001,MATCH(ROWS($V$2:V839),$V$2:$V$1001,0),0), INDEX($AC$1004:$AS$1004,1,MATCH(COLUMNS($AC$1006:AF1006),$AC$1006:$AS$1006,0)))),"Fix")))</f>
        <v xml:space="preserve"> </v>
      </c>
      <c r="F839" s="4" t="str">
        <f ca="1">IF(OR(INDEX($W$2:$W$1001,MATCH(ROWS($V$2:V839),$V$2:$V$1001,0),1)&gt;=100000,INDEX($AC$1005:$AS$1005,1,MATCH(COLUMNS($AC$1006:AG1006),$AC$1006:$AS$1006,0))&gt;=100000), " ",IF(INDEX($AC$2:$AS$1001,MATCH(ROWS($V$2:V839),$V$2:$V$1001,0),MATCH(COLUMNS($AC$1006:AG1006),$AC$1006:$AS$1006,0)), HYPERLINK("#",""), HYPERLINK(CONCATENATE("#metadata!", ADDRESS(INDEX($X$2:$X$1001,MATCH(ROWS($V$2:V839),$V$2:$V$1001,0),0), INDEX($AC$1004:$AS$1004,1,MATCH(COLUMNS($AC$1006:AG1006),$AC$1006:$AS$1006,0)))),"Fix")))</f>
        <v xml:space="preserve"> </v>
      </c>
      <c r="G839" s="4" t="str">
        <f ca="1">IF(OR(INDEX($W$2:$W$1001,MATCH(ROWS($V$2:V839),$V$2:$V$1001,0),1)&gt;=100000,INDEX($AC$1005:$AS$1005,1,MATCH(COLUMNS($AC$1006:AH1006),$AC$1006:$AS$1006,0))&gt;=100000), " ",IF(INDEX($AC$2:$AS$1001,MATCH(ROWS($V$2:V839),$V$2:$V$1001,0),MATCH(COLUMNS($AC$1006:AH1006),$AC$1006:$AS$1006,0)), HYPERLINK("#",""), HYPERLINK(CONCATENATE("#metadata!", ADDRESS(INDEX($X$2:$X$1001,MATCH(ROWS($V$2:V839),$V$2:$V$1001,0),0), INDEX($AC$1004:$AS$1004,1,MATCH(COLUMNS($AC$1006:AH1006),$AC$1006:$AS$1006,0)))),"Fix")))</f>
        <v xml:space="preserve"> </v>
      </c>
      <c r="H839" s="4" t="str">
        <f ca="1">IF(OR(INDEX($W$2:$W$1001,MATCH(ROWS($V$2:V839),$V$2:$V$1001,0),1)&gt;=100000,INDEX($AC$1005:$AS$1005,1,MATCH(COLUMNS($AC$1006:AI1006),$AC$1006:$AS$1006,0))&gt;=100000), " ",IF(INDEX($AC$2:$AS$1001,MATCH(ROWS($V$2:V839),$V$2:$V$1001,0),MATCH(COLUMNS($AC$1006:AI1006),$AC$1006:$AS$1006,0)), HYPERLINK("#",""), HYPERLINK(CONCATENATE("#metadata!", ADDRESS(INDEX($X$2:$X$1001,MATCH(ROWS($V$2:V839),$V$2:$V$1001,0),0), INDEX($AC$1004:$AS$1004,1,MATCH(COLUMNS($AC$1006:AI1006),$AC$1006:$AS$1006,0)))),"Fix")))</f>
        <v xml:space="preserve"> </v>
      </c>
      <c r="I839" s="4" t="str">
        <f ca="1">IF(OR(INDEX($W$2:$W$1001,MATCH(ROWS($V$2:V839),$V$2:$V$1001,0),1)&gt;=100000,INDEX($AC$1005:$AS$1005,1,MATCH(COLUMNS($AC$1006:AJ1006),$AC$1006:$AS$1006,0))&gt;=100000), " ",IF(INDEX($AC$2:$AS$1001,MATCH(ROWS($V$2:V839),$V$2:$V$1001,0),MATCH(COLUMNS($AC$1006:AJ1006),$AC$1006:$AS$1006,0)), HYPERLINK("#",""), HYPERLINK(CONCATENATE("#metadata!", ADDRESS(INDEX($X$2:$X$1001,MATCH(ROWS($V$2:V839),$V$2:$V$1001,0),0), INDEX($AC$1004:$AS$1004,1,MATCH(COLUMNS($AC$1006:AJ1006),$AC$1006:$AS$1006,0)))),"Fix")))</f>
        <v xml:space="preserve"> </v>
      </c>
      <c r="J839" s="4" t="str">
        <f ca="1">IF(OR(INDEX($W$2:$W$1001,MATCH(ROWS($V$2:V839),$V$2:$V$1001,0),1)&gt;=100000,INDEX($AC$1005:$AS$1005,1,MATCH(COLUMNS($AC$1006:AK1006),$AC$1006:$AS$1006,0))&gt;=100000), " ",IF(INDEX($AC$2:$AS$1001,MATCH(ROWS($V$2:V839),$V$2:$V$1001,0),MATCH(COLUMNS($AC$1006:AK1006),$AC$1006:$AS$1006,0)), HYPERLINK("#",""), HYPERLINK(CONCATENATE("#metadata!", ADDRESS(INDEX($X$2:$X$1001,MATCH(ROWS($V$2:V839),$V$2:$V$1001,0),0), INDEX($AC$1004:$AS$1004,1,MATCH(COLUMNS($AC$1006:AK1006),$AC$1006:$AS$1006,0)))),"Fix")))</f>
        <v xml:space="preserve"> </v>
      </c>
      <c r="K839" s="4" t="str">
        <f ca="1">IF(OR(INDEX($W$2:$W$1001,MATCH(ROWS($V$2:V839),$V$2:$V$1001,0),1)&gt;=100000,INDEX($AC$1005:$AS$1005,1,MATCH(COLUMNS($AC$1006:AL1006),$AC$1006:$AS$1006,0))&gt;=100000), " ",IF(INDEX($AC$2:$AS$1001,MATCH(ROWS($V$2:V839),$V$2:$V$1001,0),MATCH(COLUMNS($AC$1006:AL1006),$AC$1006:$AS$1006,0)), HYPERLINK("#",""), HYPERLINK(CONCATENATE("#metadata!", ADDRESS(INDEX($X$2:$X$1001,MATCH(ROWS($V$2:V839),$V$2:$V$1001,0),0), INDEX($AC$1004:$AS$1004,1,MATCH(COLUMNS($AC$1006:AL1006),$AC$1006:$AS$1006,0)))),"Fix")))</f>
        <v xml:space="preserve"> </v>
      </c>
      <c r="L839" s="4" t="str">
        <f ca="1">IF(OR(INDEX($W$2:$W$1001,MATCH(ROWS($V$2:V839),$V$2:$V$1001,0),1)&gt;=100000,INDEX($AC$1005:$AS$1005,1,MATCH(COLUMNS($AC$1006:AM1006),$AC$1006:$AS$1006,0))&gt;=100000), " ",IF(INDEX($AC$2:$AS$1001,MATCH(ROWS($V$2:V839),$V$2:$V$1001,0),MATCH(COLUMNS($AC$1006:AM1006),$AC$1006:$AS$1006,0)), HYPERLINK("#",""), HYPERLINK(CONCATENATE("#metadata!", ADDRESS(INDEX($X$2:$X$1001,MATCH(ROWS($V$2:V839),$V$2:$V$1001,0),0), INDEX($AC$1004:$AS$1004,1,MATCH(COLUMNS($AC$1006:AM1006),$AC$1006:$AS$1006,0)))),"Fix")))</f>
        <v xml:space="preserve"> </v>
      </c>
      <c r="M839" s="4" t="str">
        <f ca="1">IF(OR(INDEX($W$2:$W$1001,MATCH(ROWS($V$2:V839),$V$2:$V$1001,0),1)&gt;=100000,INDEX($AC$1005:$AS$1005,1,MATCH(COLUMNS($AC$1006:AN1006),$AC$1006:$AS$1006,0))&gt;=100000), " ",IF(INDEX($AC$2:$AS$1001,MATCH(ROWS($V$2:V839),$V$2:$V$1001,0),MATCH(COLUMNS($AC$1006:AN1006),$AC$1006:$AS$1006,0)), HYPERLINK("#",""), HYPERLINK(CONCATENATE("#metadata!", ADDRESS(INDEX($X$2:$X$1001,MATCH(ROWS($V$2:V839),$V$2:$V$1001,0),0), INDEX($AC$1004:$AS$1004,1,MATCH(COLUMNS($AC$1006:AN1006),$AC$1006:$AS$1006,0)))),"Fix")))</f>
        <v xml:space="preserve"> </v>
      </c>
      <c r="N839" s="4" t="str">
        <f ca="1">IF(OR(INDEX($W$2:$W$1001,MATCH(ROWS($V$2:V839),$V$2:$V$1001,0),1)&gt;=100000,INDEX($AC$1005:$AS$1005,1,MATCH(COLUMNS($AC$1006:AO1006),$AC$1006:$AS$1006,0))&gt;=100000), " ",IF(INDEX($AC$2:$AS$1001,MATCH(ROWS($V$2:V839),$V$2:$V$1001,0),MATCH(COLUMNS($AC$1006:AO1006),$AC$1006:$AS$1006,0)), HYPERLINK("#",""), HYPERLINK(CONCATENATE("#metadata!", ADDRESS(INDEX($X$2:$X$1001,MATCH(ROWS($V$2:V839),$V$2:$V$1001,0),0), INDEX($AC$1004:$AS$1004,1,MATCH(COLUMNS($AC$1006:AO1006),$AC$1006:$AS$1006,0)))),"Fix")))</f>
        <v xml:space="preserve"> </v>
      </c>
      <c r="O839" s="4" t="str">
        <f ca="1">IF(OR(INDEX($W$2:$W$1001,MATCH(ROWS($V$2:V839),$V$2:$V$1001,0),1)&gt;=100000,INDEX($AC$1005:$AS$1005,1,MATCH(COLUMNS($AC$1006:AP1006),$AC$1006:$AS$1006,0))&gt;=100000), " ",IF(INDEX($AC$2:$AS$1001,MATCH(ROWS($V$2:V839),$V$2:$V$1001,0),MATCH(COLUMNS($AC$1006:AP1006),$AC$1006:$AS$1006,0)), HYPERLINK("#",""), HYPERLINK(CONCATENATE("#metadata!", ADDRESS(INDEX($X$2:$X$1001,MATCH(ROWS($V$2:V839),$V$2:$V$1001,0),0), INDEX($AC$1004:$AS$1004,1,MATCH(COLUMNS($AC$1006:AP1006),$AC$1006:$AS$1006,0)))),"Fix")))</f>
        <v xml:space="preserve"> </v>
      </c>
      <c r="P839" s="4" t="str">
        <f ca="1">IF(OR(INDEX($W$2:$W$1001,MATCH(ROWS($V$2:V839),$V$2:$V$1001,0),1)&gt;=100000,INDEX($AC$1005:$AS$1005,1,MATCH(COLUMNS($AC$1006:AQ1006),$AC$1006:$AS$1006,0))&gt;=100000), " ",IF(INDEX($AC$2:$AS$1001,MATCH(ROWS($V$2:V839),$V$2:$V$1001,0),MATCH(COLUMNS($AC$1006:AQ1006),$AC$1006:$AS$1006,0)), HYPERLINK("#",""), HYPERLINK(CONCATENATE("#metadata!", ADDRESS(INDEX($X$2:$X$1001,MATCH(ROWS($V$2:V839),$V$2:$V$1001,0),0), INDEX($AC$1004:$AS$1004,1,MATCH(COLUMNS($AC$1006:AQ1006),$AC$1006:$AS$1006,0)))),"Fix")))</f>
        <v xml:space="preserve"> </v>
      </c>
      <c r="Q839" s="4" t="str">
        <f ca="1">IF(OR(INDEX($W$2:$W$1001,MATCH(ROWS($V$2:V839),$V$2:$V$1001,0),1)&gt;=100000,INDEX($AC$1005:$AS$1005,1,MATCH(COLUMNS($AC$1006:AR1006),$AC$1006:$AS$1006,0))&gt;=100000), " ",IF(INDEX($AC$2:$AS$1001,MATCH(ROWS($V$2:V839),$V$2:$V$1001,0),MATCH(COLUMNS($AC$1006:AR1006),$AC$1006:$AS$1006,0)), HYPERLINK("#",""), HYPERLINK(CONCATENATE("#metadata!", ADDRESS(INDEX($X$2:$X$1001,MATCH(ROWS($V$2:V839),$V$2:$V$1001,0),0), INDEX($AC$1004:$AS$1004,1,MATCH(COLUMNS($AC$1006:AR1006),$AC$1006:$AS$1006,0)))),"Fix")))</f>
        <v xml:space="preserve"> </v>
      </c>
      <c r="R839" s="4" t="str">
        <f ca="1">IF(OR(INDEX($W$2:$W$1001,MATCH(ROWS($V$2:V839),$V$2:$V$1001,0),1)&gt;=100000,INDEX($AC$1005:$AS$1005,1,MATCH(COLUMNS($AC$1006:AS1006),$AC$1006:$AS$1006,0))&gt;=100000), " ",IF(INDEX($AC$2:$AS$1001,MATCH(ROWS($V$2:V839),$V$2:$V$1001,0),MATCH(COLUMNS($AC$1006:AS1006),$AC$1006:$AS$1006,0)), HYPERLINK("#",""), HYPERLINK(CONCATENATE("#metadata!", ADDRESS(INDEX($X$2:$X$1001,MATCH(ROWS($V$2:V839),$V$2:$V$1001,0),0), INDEX($AC$1004:$AS$1004,1,MATCH(COLUMNS($AC$1006:AS1006),$AC$1006:$AS$1006,0)))),"Fix")))</f>
        <v xml:space="preserve"> </v>
      </c>
      <c r="V839">
        <v>838</v>
      </c>
      <c r="W839">
        <v>100839</v>
      </c>
      <c r="X839">
        <v>839</v>
      </c>
      <c r="Y839" t="b">
        <f t="shared" si="13"/>
        <v>1</v>
      </c>
      <c r="Z839" t="b">
        <f>COUNTBLANK(metadata!B839:R839)=COLUMNS(metadata!B839:R839)</f>
        <v>1</v>
      </c>
      <c r="AA839" t="str">
        <v/>
      </c>
      <c r="AC839" t="b">
        <f ca="1"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AD839" t="b">
        <f>IF(metadata!C839="",FALSE,ISNUMBER(VALUE(metadata!C839)))</f>
        <v>0</v>
      </c>
      <c r="AE839" t="b">
        <f>AND(IF(metadata!D839="",FALSE,TRUE),EXACT(metadata!D839,"years"))</f>
        <v>0</v>
      </c>
      <c r="AF839" t="b">
        <f>OR(AND(IF(metadata!E839="",FALSE,TRUE),OR(EXACT(metadata!E839,"not applicable"),EXACT(metadata!E839,"missing: not collected"),EXACT(metadata!E839,"missing: not provided"),EXACT(metadata!E839,"missing: restricted access"))),AND(IF(metadata!E839="",FALSE,ISNUMBER(VALUE(metadata!E839))),metadata!E839&gt;0))</f>
        <v>0</v>
      </c>
      <c r="AG839" t="b">
        <f>AND(IF(metadata!F839="",FALSE,TRUE),EXACT(metadata!F839,"Not applicable"))</f>
        <v>0</v>
      </c>
      <c r="AH839" t="b">
        <f>AND(IF(metadata!G839="",FALSE,TRUE),EXACT(metadata!G839,"urban biome"))</f>
        <v>0</v>
      </c>
      <c r="AI839" t="b">
        <f>AND(IF(metadata!H839="",FALSE,TRUE),EXACT(metadata!H839,"human-associated habitat"))</f>
        <v>0</v>
      </c>
      <c r="AJ839" t="b">
        <f>AND(IF(metadata!I839="",FALSE,TRUE),OR(EXACT(metadata!I839,"human-associated"),EXACT(metadata!I839,"human-skin"),EXACT(metadata!I839,"human-oral"),EXACT(metadata!I839,"human-gut"),EXACT(metadata!I839,"human-vaginal")))</f>
        <v>0</v>
      </c>
      <c r="AK839" t="b">
        <f>IF(metadata!J839="",FALSE,ISNUMBER(VALUE(metadata!J839)))</f>
        <v>0</v>
      </c>
      <c r="AL839" t="b">
        <f>AND(IF(metadata!K839="",FALSE,TRUE),EXACT(metadata!K839,"cm"))</f>
        <v>0</v>
      </c>
      <c r="AM839" t="b">
        <f>AND(IF(metadata!L839="",FALSE,TRUE),EXACT(metadata!L839,"human"))</f>
        <v>0</v>
      </c>
      <c r="AN839" t="b">
        <f>AND(IF(metadata!M839="",FALSE,TRUE),EXACT(metadata!M839,"Homo sapiens"))</f>
        <v>0</v>
      </c>
      <c r="AO839" t="b">
        <f>AND(IF(metadata!N839="",FALSE,TRUE),EXACT(metadata!N839,"9606"))</f>
        <v>0</v>
      </c>
      <c r="AP839" t="b">
        <f>IF(metadata!O839="",FALSE,TRUE)</f>
        <v>0</v>
      </c>
      <c r="AQ839" t="b">
        <f>IF(metadata!P839="",FALSE,TRUE)</f>
        <v>0</v>
      </c>
      <c r="AR839" t="b">
        <f>IF(metadata!Q839="",FALSE,ISNUMBER(VALUE(metadata!Q839)))</f>
        <v>0</v>
      </c>
      <c r="AS839" t="b">
        <f>AND(IF(metadata!R839="",FALSE,TRUE),EXACT(metadata!R839,"kg"))</f>
        <v>0</v>
      </c>
    </row>
    <row r="840" spans="1:45" x14ac:dyDescent="0.2">
      <c r="A840" s="5" t="str">
        <f ca="1">IF(B840=" "," ",HYPERLINK(CONCATENATE("#metadata!",ADDRESS(INDEX($X$2:$X$1001,MATCH(ROWS($V$2:V840),$V$2:$V$1001,0),0),1)),INDEX($AA$2:$AA$1001,MATCH(ROWS($V$2:V840),$V$2:$V$1001,0),0)))</f>
        <v xml:space="preserve"> </v>
      </c>
      <c r="B840" s="4" t="str">
        <f ca="1">IF(OR(INDEX($W$2:$W$1001,MATCH(ROWS($V$2:V840),$V$2:$V$1001,0),1)&gt;=100000,INDEX($AC$1005:$AS$1005,1,MATCH(COLUMNS($AC$1006:AC1006),$AC$1006:$AS$1006,0))&gt;=100000), " ",IF(INDEX($AC$2:$AS$1001,MATCH(ROWS($V$2:V840),$V$2:$V$1001,0),MATCH(COLUMNS($AC$1006:AC1006),$AC$1006:$AS$1006,0)), HYPERLINK("#",""), HYPERLINK(CONCATENATE("#metadata!", ADDRESS(INDEX($X$2:$X$1001,MATCH(ROWS($V$2:V840),$V$2:$V$1001,0),0), INDEX($AC$1004:$AS$1004,1,MATCH(COLUMNS($AC$1006:AC1006),$AC$1006:$AS$1006,0)))),"Fix")))</f>
        <v xml:space="preserve"> </v>
      </c>
      <c r="C840" s="4" t="str">
        <f ca="1">IF(OR(INDEX($W$2:$W$1001,MATCH(ROWS($V$2:V840),$V$2:$V$1001,0),1)&gt;=100000,INDEX($AC$1005:$AS$1005,1,MATCH(COLUMNS($AC$1006:AD1006),$AC$1006:$AS$1006,0))&gt;=100000), " ",IF(INDEX($AC$2:$AS$1001,MATCH(ROWS($V$2:V840),$V$2:$V$1001,0),MATCH(COLUMNS($AC$1006:AD1006),$AC$1006:$AS$1006,0)), HYPERLINK("#",""), HYPERLINK(CONCATENATE("#metadata!", ADDRESS(INDEX($X$2:$X$1001,MATCH(ROWS($V$2:V840),$V$2:$V$1001,0),0), INDEX($AC$1004:$AS$1004,1,MATCH(COLUMNS($AC$1006:AD1006),$AC$1006:$AS$1006,0)))),"Fix")))</f>
        <v xml:space="preserve"> </v>
      </c>
      <c r="D840" s="4" t="str">
        <f ca="1">IF(OR(INDEX($W$2:$W$1001,MATCH(ROWS($V$2:V840),$V$2:$V$1001,0),1)&gt;=100000,INDEX($AC$1005:$AS$1005,1,MATCH(COLUMNS($AC$1006:AE1006),$AC$1006:$AS$1006,0))&gt;=100000), " ",IF(INDEX($AC$2:$AS$1001,MATCH(ROWS($V$2:V840),$V$2:$V$1001,0),MATCH(COLUMNS($AC$1006:AE1006),$AC$1006:$AS$1006,0)), HYPERLINK("#",""), HYPERLINK(CONCATENATE("#metadata!", ADDRESS(INDEX($X$2:$X$1001,MATCH(ROWS($V$2:V840),$V$2:$V$1001,0),0), INDEX($AC$1004:$AS$1004,1,MATCH(COLUMNS($AC$1006:AE1006),$AC$1006:$AS$1006,0)))),"Fix")))</f>
        <v xml:space="preserve"> </v>
      </c>
      <c r="E840" s="4" t="str">
        <f ca="1">IF(OR(INDEX($W$2:$W$1001,MATCH(ROWS($V$2:V840),$V$2:$V$1001,0),1)&gt;=100000,INDEX($AC$1005:$AS$1005,1,MATCH(COLUMNS($AC$1006:AF1006),$AC$1006:$AS$1006,0))&gt;=100000), " ",IF(INDEX($AC$2:$AS$1001,MATCH(ROWS($V$2:V840),$V$2:$V$1001,0),MATCH(COLUMNS($AC$1006:AF1006),$AC$1006:$AS$1006,0)), HYPERLINK("#",""), HYPERLINK(CONCATENATE("#metadata!", ADDRESS(INDEX($X$2:$X$1001,MATCH(ROWS($V$2:V840),$V$2:$V$1001,0),0), INDEX($AC$1004:$AS$1004,1,MATCH(COLUMNS($AC$1006:AF1006),$AC$1006:$AS$1006,0)))),"Fix")))</f>
        <v xml:space="preserve"> </v>
      </c>
      <c r="F840" s="4" t="str">
        <f ca="1">IF(OR(INDEX($W$2:$W$1001,MATCH(ROWS($V$2:V840),$V$2:$V$1001,0),1)&gt;=100000,INDEX($AC$1005:$AS$1005,1,MATCH(COLUMNS($AC$1006:AG1006),$AC$1006:$AS$1006,0))&gt;=100000), " ",IF(INDEX($AC$2:$AS$1001,MATCH(ROWS($V$2:V840),$V$2:$V$1001,0),MATCH(COLUMNS($AC$1006:AG1006),$AC$1006:$AS$1006,0)), HYPERLINK("#",""), HYPERLINK(CONCATENATE("#metadata!", ADDRESS(INDEX($X$2:$X$1001,MATCH(ROWS($V$2:V840),$V$2:$V$1001,0),0), INDEX($AC$1004:$AS$1004,1,MATCH(COLUMNS($AC$1006:AG1006),$AC$1006:$AS$1006,0)))),"Fix")))</f>
        <v xml:space="preserve"> </v>
      </c>
      <c r="G840" s="4" t="str">
        <f ca="1">IF(OR(INDEX($W$2:$W$1001,MATCH(ROWS($V$2:V840),$V$2:$V$1001,0),1)&gt;=100000,INDEX($AC$1005:$AS$1005,1,MATCH(COLUMNS($AC$1006:AH1006),$AC$1006:$AS$1006,0))&gt;=100000), " ",IF(INDEX($AC$2:$AS$1001,MATCH(ROWS($V$2:V840),$V$2:$V$1001,0),MATCH(COLUMNS($AC$1006:AH1006),$AC$1006:$AS$1006,0)), HYPERLINK("#",""), HYPERLINK(CONCATENATE("#metadata!", ADDRESS(INDEX($X$2:$X$1001,MATCH(ROWS($V$2:V840),$V$2:$V$1001,0),0), INDEX($AC$1004:$AS$1004,1,MATCH(COLUMNS($AC$1006:AH1006),$AC$1006:$AS$1006,0)))),"Fix")))</f>
        <v xml:space="preserve"> </v>
      </c>
      <c r="H840" s="4" t="str">
        <f ca="1">IF(OR(INDEX($W$2:$W$1001,MATCH(ROWS($V$2:V840),$V$2:$V$1001,0),1)&gt;=100000,INDEX($AC$1005:$AS$1005,1,MATCH(COLUMNS($AC$1006:AI1006),$AC$1006:$AS$1006,0))&gt;=100000), " ",IF(INDEX($AC$2:$AS$1001,MATCH(ROWS($V$2:V840),$V$2:$V$1001,0),MATCH(COLUMNS($AC$1006:AI1006),$AC$1006:$AS$1006,0)), HYPERLINK("#",""), HYPERLINK(CONCATENATE("#metadata!", ADDRESS(INDEX($X$2:$X$1001,MATCH(ROWS($V$2:V840),$V$2:$V$1001,0),0), INDEX($AC$1004:$AS$1004,1,MATCH(COLUMNS($AC$1006:AI1006),$AC$1006:$AS$1006,0)))),"Fix")))</f>
        <v xml:space="preserve"> </v>
      </c>
      <c r="I840" s="4" t="str">
        <f ca="1">IF(OR(INDEX($W$2:$W$1001,MATCH(ROWS($V$2:V840),$V$2:$V$1001,0),1)&gt;=100000,INDEX($AC$1005:$AS$1005,1,MATCH(COLUMNS($AC$1006:AJ1006),$AC$1006:$AS$1006,0))&gt;=100000), " ",IF(INDEX($AC$2:$AS$1001,MATCH(ROWS($V$2:V840),$V$2:$V$1001,0),MATCH(COLUMNS($AC$1006:AJ1006),$AC$1006:$AS$1006,0)), HYPERLINK("#",""), HYPERLINK(CONCATENATE("#metadata!", ADDRESS(INDEX($X$2:$X$1001,MATCH(ROWS($V$2:V840),$V$2:$V$1001,0),0), INDEX($AC$1004:$AS$1004,1,MATCH(COLUMNS($AC$1006:AJ1006),$AC$1006:$AS$1006,0)))),"Fix")))</f>
        <v xml:space="preserve"> </v>
      </c>
      <c r="J840" s="4" t="str">
        <f ca="1">IF(OR(INDEX($W$2:$W$1001,MATCH(ROWS($V$2:V840),$V$2:$V$1001,0),1)&gt;=100000,INDEX($AC$1005:$AS$1005,1,MATCH(COLUMNS($AC$1006:AK1006),$AC$1006:$AS$1006,0))&gt;=100000), " ",IF(INDEX($AC$2:$AS$1001,MATCH(ROWS($V$2:V840),$V$2:$V$1001,0),MATCH(COLUMNS($AC$1006:AK1006),$AC$1006:$AS$1006,0)), HYPERLINK("#",""), HYPERLINK(CONCATENATE("#metadata!", ADDRESS(INDEX($X$2:$X$1001,MATCH(ROWS($V$2:V840),$V$2:$V$1001,0),0), INDEX($AC$1004:$AS$1004,1,MATCH(COLUMNS($AC$1006:AK1006),$AC$1006:$AS$1006,0)))),"Fix")))</f>
        <v xml:space="preserve"> </v>
      </c>
      <c r="K840" s="4" t="str">
        <f ca="1">IF(OR(INDEX($W$2:$W$1001,MATCH(ROWS($V$2:V840),$V$2:$V$1001,0),1)&gt;=100000,INDEX($AC$1005:$AS$1005,1,MATCH(COLUMNS($AC$1006:AL1006),$AC$1006:$AS$1006,0))&gt;=100000), " ",IF(INDEX($AC$2:$AS$1001,MATCH(ROWS($V$2:V840),$V$2:$V$1001,0),MATCH(COLUMNS($AC$1006:AL1006),$AC$1006:$AS$1006,0)), HYPERLINK("#",""), HYPERLINK(CONCATENATE("#metadata!", ADDRESS(INDEX($X$2:$X$1001,MATCH(ROWS($V$2:V840),$V$2:$V$1001,0),0), INDEX($AC$1004:$AS$1004,1,MATCH(COLUMNS($AC$1006:AL1006),$AC$1006:$AS$1006,0)))),"Fix")))</f>
        <v xml:space="preserve"> </v>
      </c>
      <c r="L840" s="4" t="str">
        <f ca="1">IF(OR(INDEX($W$2:$W$1001,MATCH(ROWS($V$2:V840),$V$2:$V$1001,0),1)&gt;=100000,INDEX($AC$1005:$AS$1005,1,MATCH(COLUMNS($AC$1006:AM1006),$AC$1006:$AS$1006,0))&gt;=100000), " ",IF(INDEX($AC$2:$AS$1001,MATCH(ROWS($V$2:V840),$V$2:$V$1001,0),MATCH(COLUMNS($AC$1006:AM1006),$AC$1006:$AS$1006,0)), HYPERLINK("#",""), HYPERLINK(CONCATENATE("#metadata!", ADDRESS(INDEX($X$2:$X$1001,MATCH(ROWS($V$2:V840),$V$2:$V$1001,0),0), INDEX($AC$1004:$AS$1004,1,MATCH(COLUMNS($AC$1006:AM1006),$AC$1006:$AS$1006,0)))),"Fix")))</f>
        <v xml:space="preserve"> </v>
      </c>
      <c r="M840" s="4" t="str">
        <f ca="1">IF(OR(INDEX($W$2:$W$1001,MATCH(ROWS($V$2:V840),$V$2:$V$1001,0),1)&gt;=100000,INDEX($AC$1005:$AS$1005,1,MATCH(COLUMNS($AC$1006:AN1006),$AC$1006:$AS$1006,0))&gt;=100000), " ",IF(INDEX($AC$2:$AS$1001,MATCH(ROWS($V$2:V840),$V$2:$V$1001,0),MATCH(COLUMNS($AC$1006:AN1006),$AC$1006:$AS$1006,0)), HYPERLINK("#",""), HYPERLINK(CONCATENATE("#metadata!", ADDRESS(INDEX($X$2:$X$1001,MATCH(ROWS($V$2:V840),$V$2:$V$1001,0),0), INDEX($AC$1004:$AS$1004,1,MATCH(COLUMNS($AC$1006:AN1006),$AC$1006:$AS$1006,0)))),"Fix")))</f>
        <v xml:space="preserve"> </v>
      </c>
      <c r="N840" s="4" t="str">
        <f ca="1">IF(OR(INDEX($W$2:$W$1001,MATCH(ROWS($V$2:V840),$V$2:$V$1001,0),1)&gt;=100000,INDEX($AC$1005:$AS$1005,1,MATCH(COLUMNS($AC$1006:AO1006),$AC$1006:$AS$1006,0))&gt;=100000), " ",IF(INDEX($AC$2:$AS$1001,MATCH(ROWS($V$2:V840),$V$2:$V$1001,0),MATCH(COLUMNS($AC$1006:AO1006),$AC$1006:$AS$1006,0)), HYPERLINK("#",""), HYPERLINK(CONCATENATE("#metadata!", ADDRESS(INDEX($X$2:$X$1001,MATCH(ROWS($V$2:V840),$V$2:$V$1001,0),0), INDEX($AC$1004:$AS$1004,1,MATCH(COLUMNS($AC$1006:AO1006),$AC$1006:$AS$1006,0)))),"Fix")))</f>
        <v xml:space="preserve"> </v>
      </c>
      <c r="O840" s="4" t="str">
        <f ca="1">IF(OR(INDEX($W$2:$W$1001,MATCH(ROWS($V$2:V840),$V$2:$V$1001,0),1)&gt;=100000,INDEX($AC$1005:$AS$1005,1,MATCH(COLUMNS($AC$1006:AP1006),$AC$1006:$AS$1006,0))&gt;=100000), " ",IF(INDEX($AC$2:$AS$1001,MATCH(ROWS($V$2:V840),$V$2:$V$1001,0),MATCH(COLUMNS($AC$1006:AP1006),$AC$1006:$AS$1006,0)), HYPERLINK("#",""), HYPERLINK(CONCATENATE("#metadata!", ADDRESS(INDEX($X$2:$X$1001,MATCH(ROWS($V$2:V840),$V$2:$V$1001,0),0), INDEX($AC$1004:$AS$1004,1,MATCH(COLUMNS($AC$1006:AP1006),$AC$1006:$AS$1006,0)))),"Fix")))</f>
        <v xml:space="preserve"> </v>
      </c>
      <c r="P840" s="4" t="str">
        <f ca="1">IF(OR(INDEX($W$2:$W$1001,MATCH(ROWS($V$2:V840),$V$2:$V$1001,0),1)&gt;=100000,INDEX($AC$1005:$AS$1005,1,MATCH(COLUMNS($AC$1006:AQ1006),$AC$1006:$AS$1006,0))&gt;=100000), " ",IF(INDEX($AC$2:$AS$1001,MATCH(ROWS($V$2:V840),$V$2:$V$1001,0),MATCH(COLUMNS($AC$1006:AQ1006),$AC$1006:$AS$1006,0)), HYPERLINK("#",""), HYPERLINK(CONCATENATE("#metadata!", ADDRESS(INDEX($X$2:$X$1001,MATCH(ROWS($V$2:V840),$V$2:$V$1001,0),0), INDEX($AC$1004:$AS$1004,1,MATCH(COLUMNS($AC$1006:AQ1006),$AC$1006:$AS$1006,0)))),"Fix")))</f>
        <v xml:space="preserve"> </v>
      </c>
      <c r="Q840" s="4" t="str">
        <f ca="1">IF(OR(INDEX($W$2:$W$1001,MATCH(ROWS($V$2:V840),$V$2:$V$1001,0),1)&gt;=100000,INDEX($AC$1005:$AS$1005,1,MATCH(COLUMNS($AC$1006:AR1006),$AC$1006:$AS$1006,0))&gt;=100000), " ",IF(INDEX($AC$2:$AS$1001,MATCH(ROWS($V$2:V840),$V$2:$V$1001,0),MATCH(COLUMNS($AC$1006:AR1006),$AC$1006:$AS$1006,0)), HYPERLINK("#",""), HYPERLINK(CONCATENATE("#metadata!", ADDRESS(INDEX($X$2:$X$1001,MATCH(ROWS($V$2:V840),$V$2:$V$1001,0),0), INDEX($AC$1004:$AS$1004,1,MATCH(COLUMNS($AC$1006:AR1006),$AC$1006:$AS$1006,0)))),"Fix")))</f>
        <v xml:space="preserve"> </v>
      </c>
      <c r="R840" s="4" t="str">
        <f ca="1">IF(OR(INDEX($W$2:$W$1001,MATCH(ROWS($V$2:V840),$V$2:$V$1001,0),1)&gt;=100000,INDEX($AC$1005:$AS$1005,1,MATCH(COLUMNS($AC$1006:AS1006),$AC$1006:$AS$1006,0))&gt;=100000), " ",IF(INDEX($AC$2:$AS$1001,MATCH(ROWS($V$2:V840),$V$2:$V$1001,0),MATCH(COLUMNS($AC$1006:AS1006),$AC$1006:$AS$1006,0)), HYPERLINK("#",""), HYPERLINK(CONCATENATE("#metadata!", ADDRESS(INDEX($X$2:$X$1001,MATCH(ROWS($V$2:V840),$V$2:$V$1001,0),0), INDEX($AC$1004:$AS$1004,1,MATCH(COLUMNS($AC$1006:AS1006),$AC$1006:$AS$1006,0)))),"Fix")))</f>
        <v xml:space="preserve"> </v>
      </c>
      <c r="V840">
        <v>839</v>
      </c>
      <c r="W840">
        <v>100840</v>
      </c>
      <c r="X840">
        <v>840</v>
      </c>
      <c r="Y840" t="b">
        <f t="shared" si="13"/>
        <v>1</v>
      </c>
      <c r="Z840" t="b">
        <f>COUNTBLANK(metadata!B840:R840)=COLUMNS(metadata!B840:R840)</f>
        <v>1</v>
      </c>
      <c r="AA840" t="str">
        <v/>
      </c>
      <c r="AC840" t="b">
        <f ca="1"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AD840" t="b">
        <f>IF(metadata!C840="",FALSE,ISNUMBER(VALUE(metadata!C840)))</f>
        <v>0</v>
      </c>
      <c r="AE840" t="b">
        <f>AND(IF(metadata!D840="",FALSE,TRUE),EXACT(metadata!D840,"years"))</f>
        <v>0</v>
      </c>
      <c r="AF840" t="b">
        <f>OR(AND(IF(metadata!E840="",FALSE,TRUE),OR(EXACT(metadata!E840,"not applicable"),EXACT(metadata!E840,"missing: not collected"),EXACT(metadata!E840,"missing: not provided"),EXACT(metadata!E840,"missing: restricted access"))),AND(IF(metadata!E840="",FALSE,ISNUMBER(VALUE(metadata!E840))),metadata!E840&gt;0))</f>
        <v>0</v>
      </c>
      <c r="AG840" t="b">
        <f>AND(IF(metadata!F840="",FALSE,TRUE),EXACT(metadata!F840,"Not applicable"))</f>
        <v>0</v>
      </c>
      <c r="AH840" t="b">
        <f>AND(IF(metadata!G840="",FALSE,TRUE),EXACT(metadata!G840,"urban biome"))</f>
        <v>0</v>
      </c>
      <c r="AI840" t="b">
        <f>AND(IF(metadata!H840="",FALSE,TRUE),EXACT(metadata!H840,"human-associated habitat"))</f>
        <v>0</v>
      </c>
      <c r="AJ840" t="b">
        <f>AND(IF(metadata!I840="",FALSE,TRUE),OR(EXACT(metadata!I840,"human-associated"),EXACT(metadata!I840,"human-skin"),EXACT(metadata!I840,"human-oral"),EXACT(metadata!I840,"human-gut"),EXACT(metadata!I840,"human-vaginal")))</f>
        <v>0</v>
      </c>
      <c r="AK840" t="b">
        <f>IF(metadata!J840="",FALSE,ISNUMBER(VALUE(metadata!J840)))</f>
        <v>0</v>
      </c>
      <c r="AL840" t="b">
        <f>AND(IF(metadata!K840="",FALSE,TRUE),EXACT(metadata!K840,"cm"))</f>
        <v>0</v>
      </c>
      <c r="AM840" t="b">
        <f>AND(IF(metadata!L840="",FALSE,TRUE),EXACT(metadata!L840,"human"))</f>
        <v>0</v>
      </c>
      <c r="AN840" t="b">
        <f>AND(IF(metadata!M840="",FALSE,TRUE),EXACT(metadata!M840,"Homo sapiens"))</f>
        <v>0</v>
      </c>
      <c r="AO840" t="b">
        <f>AND(IF(metadata!N840="",FALSE,TRUE),EXACT(metadata!N840,"9606"))</f>
        <v>0</v>
      </c>
      <c r="AP840" t="b">
        <f>IF(metadata!O840="",FALSE,TRUE)</f>
        <v>0</v>
      </c>
      <c r="AQ840" t="b">
        <f>IF(metadata!P840="",FALSE,TRUE)</f>
        <v>0</v>
      </c>
      <c r="AR840" t="b">
        <f>IF(metadata!Q840="",FALSE,ISNUMBER(VALUE(metadata!Q840)))</f>
        <v>0</v>
      </c>
      <c r="AS840" t="b">
        <f>AND(IF(metadata!R840="",FALSE,TRUE),EXACT(metadata!R840,"kg"))</f>
        <v>0</v>
      </c>
    </row>
    <row r="841" spans="1:45" x14ac:dyDescent="0.2">
      <c r="A841" s="5" t="str">
        <f ca="1">IF(B841=" "," ",HYPERLINK(CONCATENATE("#metadata!",ADDRESS(INDEX($X$2:$X$1001,MATCH(ROWS($V$2:V841),$V$2:$V$1001,0),0),1)),INDEX($AA$2:$AA$1001,MATCH(ROWS($V$2:V841),$V$2:$V$1001,0),0)))</f>
        <v xml:space="preserve"> </v>
      </c>
      <c r="B841" s="4" t="str">
        <f ca="1">IF(OR(INDEX($W$2:$W$1001,MATCH(ROWS($V$2:V841),$V$2:$V$1001,0),1)&gt;=100000,INDEX($AC$1005:$AS$1005,1,MATCH(COLUMNS($AC$1006:AC1006),$AC$1006:$AS$1006,0))&gt;=100000), " ",IF(INDEX($AC$2:$AS$1001,MATCH(ROWS($V$2:V841),$V$2:$V$1001,0),MATCH(COLUMNS($AC$1006:AC1006),$AC$1006:$AS$1006,0)), HYPERLINK("#",""), HYPERLINK(CONCATENATE("#metadata!", ADDRESS(INDEX($X$2:$X$1001,MATCH(ROWS($V$2:V841),$V$2:$V$1001,0),0), INDEX($AC$1004:$AS$1004,1,MATCH(COLUMNS($AC$1006:AC1006),$AC$1006:$AS$1006,0)))),"Fix")))</f>
        <v xml:space="preserve"> </v>
      </c>
      <c r="C841" s="4" t="str">
        <f ca="1">IF(OR(INDEX($W$2:$W$1001,MATCH(ROWS($V$2:V841),$V$2:$V$1001,0),1)&gt;=100000,INDEX($AC$1005:$AS$1005,1,MATCH(COLUMNS($AC$1006:AD1006),$AC$1006:$AS$1006,0))&gt;=100000), " ",IF(INDEX($AC$2:$AS$1001,MATCH(ROWS($V$2:V841),$V$2:$V$1001,0),MATCH(COLUMNS($AC$1006:AD1006),$AC$1006:$AS$1006,0)), HYPERLINK("#",""), HYPERLINK(CONCATENATE("#metadata!", ADDRESS(INDEX($X$2:$X$1001,MATCH(ROWS($V$2:V841),$V$2:$V$1001,0),0), INDEX($AC$1004:$AS$1004,1,MATCH(COLUMNS($AC$1006:AD1006),$AC$1006:$AS$1006,0)))),"Fix")))</f>
        <v xml:space="preserve"> </v>
      </c>
      <c r="D841" s="4" t="str">
        <f ca="1">IF(OR(INDEX($W$2:$W$1001,MATCH(ROWS($V$2:V841),$V$2:$V$1001,0),1)&gt;=100000,INDEX($AC$1005:$AS$1005,1,MATCH(COLUMNS($AC$1006:AE1006),$AC$1006:$AS$1006,0))&gt;=100000), " ",IF(INDEX($AC$2:$AS$1001,MATCH(ROWS($V$2:V841),$V$2:$V$1001,0),MATCH(COLUMNS($AC$1006:AE1006),$AC$1006:$AS$1006,0)), HYPERLINK("#",""), HYPERLINK(CONCATENATE("#metadata!", ADDRESS(INDEX($X$2:$X$1001,MATCH(ROWS($V$2:V841),$V$2:$V$1001,0),0), INDEX($AC$1004:$AS$1004,1,MATCH(COLUMNS($AC$1006:AE1006),$AC$1006:$AS$1006,0)))),"Fix")))</f>
        <v xml:space="preserve"> </v>
      </c>
      <c r="E841" s="4" t="str">
        <f ca="1">IF(OR(INDEX($W$2:$W$1001,MATCH(ROWS($V$2:V841),$V$2:$V$1001,0),1)&gt;=100000,INDEX($AC$1005:$AS$1005,1,MATCH(COLUMNS($AC$1006:AF1006),$AC$1006:$AS$1006,0))&gt;=100000), " ",IF(INDEX($AC$2:$AS$1001,MATCH(ROWS($V$2:V841),$V$2:$V$1001,0),MATCH(COLUMNS($AC$1006:AF1006),$AC$1006:$AS$1006,0)), HYPERLINK("#",""), HYPERLINK(CONCATENATE("#metadata!", ADDRESS(INDEX($X$2:$X$1001,MATCH(ROWS($V$2:V841),$V$2:$V$1001,0),0), INDEX($AC$1004:$AS$1004,1,MATCH(COLUMNS($AC$1006:AF1006),$AC$1006:$AS$1006,0)))),"Fix")))</f>
        <v xml:space="preserve"> </v>
      </c>
      <c r="F841" s="4" t="str">
        <f ca="1">IF(OR(INDEX($W$2:$W$1001,MATCH(ROWS($V$2:V841),$V$2:$V$1001,0),1)&gt;=100000,INDEX($AC$1005:$AS$1005,1,MATCH(COLUMNS($AC$1006:AG1006),$AC$1006:$AS$1006,0))&gt;=100000), " ",IF(INDEX($AC$2:$AS$1001,MATCH(ROWS($V$2:V841),$V$2:$V$1001,0),MATCH(COLUMNS($AC$1006:AG1006),$AC$1006:$AS$1006,0)), HYPERLINK("#",""), HYPERLINK(CONCATENATE("#metadata!", ADDRESS(INDEX($X$2:$X$1001,MATCH(ROWS($V$2:V841),$V$2:$V$1001,0),0), INDEX($AC$1004:$AS$1004,1,MATCH(COLUMNS($AC$1006:AG1006),$AC$1006:$AS$1006,0)))),"Fix")))</f>
        <v xml:space="preserve"> </v>
      </c>
      <c r="G841" s="4" t="str">
        <f ca="1">IF(OR(INDEX($W$2:$W$1001,MATCH(ROWS($V$2:V841),$V$2:$V$1001,0),1)&gt;=100000,INDEX($AC$1005:$AS$1005,1,MATCH(COLUMNS($AC$1006:AH1006),$AC$1006:$AS$1006,0))&gt;=100000), " ",IF(INDEX($AC$2:$AS$1001,MATCH(ROWS($V$2:V841),$V$2:$V$1001,0),MATCH(COLUMNS($AC$1006:AH1006),$AC$1006:$AS$1006,0)), HYPERLINK("#",""), HYPERLINK(CONCATENATE("#metadata!", ADDRESS(INDEX($X$2:$X$1001,MATCH(ROWS($V$2:V841),$V$2:$V$1001,0),0), INDEX($AC$1004:$AS$1004,1,MATCH(COLUMNS($AC$1006:AH1006),$AC$1006:$AS$1006,0)))),"Fix")))</f>
        <v xml:space="preserve"> </v>
      </c>
      <c r="H841" s="4" t="str">
        <f ca="1">IF(OR(INDEX($W$2:$W$1001,MATCH(ROWS($V$2:V841),$V$2:$V$1001,0),1)&gt;=100000,INDEX($AC$1005:$AS$1005,1,MATCH(COLUMNS($AC$1006:AI1006),$AC$1006:$AS$1006,0))&gt;=100000), " ",IF(INDEX($AC$2:$AS$1001,MATCH(ROWS($V$2:V841),$V$2:$V$1001,0),MATCH(COLUMNS($AC$1006:AI1006),$AC$1006:$AS$1006,0)), HYPERLINK("#",""), HYPERLINK(CONCATENATE("#metadata!", ADDRESS(INDEX($X$2:$X$1001,MATCH(ROWS($V$2:V841),$V$2:$V$1001,0),0), INDEX($AC$1004:$AS$1004,1,MATCH(COLUMNS($AC$1006:AI1006),$AC$1006:$AS$1006,0)))),"Fix")))</f>
        <v xml:space="preserve"> </v>
      </c>
      <c r="I841" s="4" t="str">
        <f ca="1">IF(OR(INDEX($W$2:$W$1001,MATCH(ROWS($V$2:V841),$V$2:$V$1001,0),1)&gt;=100000,INDEX($AC$1005:$AS$1005,1,MATCH(COLUMNS($AC$1006:AJ1006),$AC$1006:$AS$1006,0))&gt;=100000), " ",IF(INDEX($AC$2:$AS$1001,MATCH(ROWS($V$2:V841),$V$2:$V$1001,0),MATCH(COLUMNS($AC$1006:AJ1006),$AC$1006:$AS$1006,0)), HYPERLINK("#",""), HYPERLINK(CONCATENATE("#metadata!", ADDRESS(INDEX($X$2:$X$1001,MATCH(ROWS($V$2:V841),$V$2:$V$1001,0),0), INDEX($AC$1004:$AS$1004,1,MATCH(COLUMNS($AC$1006:AJ1006),$AC$1006:$AS$1006,0)))),"Fix")))</f>
        <v xml:space="preserve"> </v>
      </c>
      <c r="J841" s="4" t="str">
        <f ca="1">IF(OR(INDEX($W$2:$W$1001,MATCH(ROWS($V$2:V841),$V$2:$V$1001,0),1)&gt;=100000,INDEX($AC$1005:$AS$1005,1,MATCH(COLUMNS($AC$1006:AK1006),$AC$1006:$AS$1006,0))&gt;=100000), " ",IF(INDEX($AC$2:$AS$1001,MATCH(ROWS($V$2:V841),$V$2:$V$1001,0),MATCH(COLUMNS($AC$1006:AK1006),$AC$1006:$AS$1006,0)), HYPERLINK("#",""), HYPERLINK(CONCATENATE("#metadata!", ADDRESS(INDEX($X$2:$X$1001,MATCH(ROWS($V$2:V841),$V$2:$V$1001,0),0), INDEX($AC$1004:$AS$1004,1,MATCH(COLUMNS($AC$1006:AK1006),$AC$1006:$AS$1006,0)))),"Fix")))</f>
        <v xml:space="preserve"> </v>
      </c>
      <c r="K841" s="4" t="str">
        <f ca="1">IF(OR(INDEX($W$2:$W$1001,MATCH(ROWS($V$2:V841),$V$2:$V$1001,0),1)&gt;=100000,INDEX($AC$1005:$AS$1005,1,MATCH(COLUMNS($AC$1006:AL1006),$AC$1006:$AS$1006,0))&gt;=100000), " ",IF(INDEX($AC$2:$AS$1001,MATCH(ROWS($V$2:V841),$V$2:$V$1001,0),MATCH(COLUMNS($AC$1006:AL1006),$AC$1006:$AS$1006,0)), HYPERLINK("#",""), HYPERLINK(CONCATENATE("#metadata!", ADDRESS(INDEX($X$2:$X$1001,MATCH(ROWS($V$2:V841),$V$2:$V$1001,0),0), INDEX($AC$1004:$AS$1004,1,MATCH(COLUMNS($AC$1006:AL1006),$AC$1006:$AS$1006,0)))),"Fix")))</f>
        <v xml:space="preserve"> </v>
      </c>
      <c r="L841" s="4" t="str">
        <f ca="1">IF(OR(INDEX($W$2:$W$1001,MATCH(ROWS($V$2:V841),$V$2:$V$1001,0),1)&gt;=100000,INDEX($AC$1005:$AS$1005,1,MATCH(COLUMNS($AC$1006:AM1006),$AC$1006:$AS$1006,0))&gt;=100000), " ",IF(INDEX($AC$2:$AS$1001,MATCH(ROWS($V$2:V841),$V$2:$V$1001,0),MATCH(COLUMNS($AC$1006:AM1006),$AC$1006:$AS$1006,0)), HYPERLINK("#",""), HYPERLINK(CONCATENATE("#metadata!", ADDRESS(INDEX($X$2:$X$1001,MATCH(ROWS($V$2:V841),$V$2:$V$1001,0),0), INDEX($AC$1004:$AS$1004,1,MATCH(COLUMNS($AC$1006:AM1006),$AC$1006:$AS$1006,0)))),"Fix")))</f>
        <v xml:space="preserve"> </v>
      </c>
      <c r="M841" s="4" t="str">
        <f ca="1">IF(OR(INDEX($W$2:$W$1001,MATCH(ROWS($V$2:V841),$V$2:$V$1001,0),1)&gt;=100000,INDEX($AC$1005:$AS$1005,1,MATCH(COLUMNS($AC$1006:AN1006),$AC$1006:$AS$1006,0))&gt;=100000), " ",IF(INDEX($AC$2:$AS$1001,MATCH(ROWS($V$2:V841),$V$2:$V$1001,0),MATCH(COLUMNS($AC$1006:AN1006),$AC$1006:$AS$1006,0)), HYPERLINK("#",""), HYPERLINK(CONCATENATE("#metadata!", ADDRESS(INDEX($X$2:$X$1001,MATCH(ROWS($V$2:V841),$V$2:$V$1001,0),0), INDEX($AC$1004:$AS$1004,1,MATCH(COLUMNS($AC$1006:AN1006),$AC$1006:$AS$1006,0)))),"Fix")))</f>
        <v xml:space="preserve"> </v>
      </c>
      <c r="N841" s="4" t="str">
        <f ca="1">IF(OR(INDEX($W$2:$W$1001,MATCH(ROWS($V$2:V841),$V$2:$V$1001,0),1)&gt;=100000,INDEX($AC$1005:$AS$1005,1,MATCH(COLUMNS($AC$1006:AO1006),$AC$1006:$AS$1006,0))&gt;=100000), " ",IF(INDEX($AC$2:$AS$1001,MATCH(ROWS($V$2:V841),$V$2:$V$1001,0),MATCH(COLUMNS($AC$1006:AO1006),$AC$1006:$AS$1006,0)), HYPERLINK("#",""), HYPERLINK(CONCATENATE("#metadata!", ADDRESS(INDEX($X$2:$X$1001,MATCH(ROWS($V$2:V841),$V$2:$V$1001,0),0), INDEX($AC$1004:$AS$1004,1,MATCH(COLUMNS($AC$1006:AO1006),$AC$1006:$AS$1006,0)))),"Fix")))</f>
        <v xml:space="preserve"> </v>
      </c>
      <c r="O841" s="4" t="str">
        <f ca="1">IF(OR(INDEX($W$2:$W$1001,MATCH(ROWS($V$2:V841),$V$2:$V$1001,0),1)&gt;=100000,INDEX($AC$1005:$AS$1005,1,MATCH(COLUMNS($AC$1006:AP1006),$AC$1006:$AS$1006,0))&gt;=100000), " ",IF(INDEX($AC$2:$AS$1001,MATCH(ROWS($V$2:V841),$V$2:$V$1001,0),MATCH(COLUMNS($AC$1006:AP1006),$AC$1006:$AS$1006,0)), HYPERLINK("#",""), HYPERLINK(CONCATENATE("#metadata!", ADDRESS(INDEX($X$2:$X$1001,MATCH(ROWS($V$2:V841),$V$2:$V$1001,0),0), INDEX($AC$1004:$AS$1004,1,MATCH(COLUMNS($AC$1006:AP1006),$AC$1006:$AS$1006,0)))),"Fix")))</f>
        <v xml:space="preserve"> </v>
      </c>
      <c r="P841" s="4" t="str">
        <f ca="1">IF(OR(INDEX($W$2:$W$1001,MATCH(ROWS($V$2:V841),$V$2:$V$1001,0),1)&gt;=100000,INDEX($AC$1005:$AS$1005,1,MATCH(COLUMNS($AC$1006:AQ1006),$AC$1006:$AS$1006,0))&gt;=100000), " ",IF(INDEX($AC$2:$AS$1001,MATCH(ROWS($V$2:V841),$V$2:$V$1001,0),MATCH(COLUMNS($AC$1006:AQ1006),$AC$1006:$AS$1006,0)), HYPERLINK("#",""), HYPERLINK(CONCATENATE("#metadata!", ADDRESS(INDEX($X$2:$X$1001,MATCH(ROWS($V$2:V841),$V$2:$V$1001,0),0), INDEX($AC$1004:$AS$1004,1,MATCH(COLUMNS($AC$1006:AQ1006),$AC$1006:$AS$1006,0)))),"Fix")))</f>
        <v xml:space="preserve"> </v>
      </c>
      <c r="Q841" s="4" t="str">
        <f ca="1">IF(OR(INDEX($W$2:$W$1001,MATCH(ROWS($V$2:V841),$V$2:$V$1001,0),1)&gt;=100000,INDEX($AC$1005:$AS$1005,1,MATCH(COLUMNS($AC$1006:AR1006),$AC$1006:$AS$1006,0))&gt;=100000), " ",IF(INDEX($AC$2:$AS$1001,MATCH(ROWS($V$2:V841),$V$2:$V$1001,0),MATCH(COLUMNS($AC$1006:AR1006),$AC$1006:$AS$1006,0)), HYPERLINK("#",""), HYPERLINK(CONCATENATE("#metadata!", ADDRESS(INDEX($X$2:$X$1001,MATCH(ROWS($V$2:V841),$V$2:$V$1001,0),0), INDEX($AC$1004:$AS$1004,1,MATCH(COLUMNS($AC$1006:AR1006),$AC$1006:$AS$1006,0)))),"Fix")))</f>
        <v xml:space="preserve"> </v>
      </c>
      <c r="R841" s="4" t="str">
        <f ca="1">IF(OR(INDEX($W$2:$W$1001,MATCH(ROWS($V$2:V841),$V$2:$V$1001,0),1)&gt;=100000,INDEX($AC$1005:$AS$1005,1,MATCH(COLUMNS($AC$1006:AS1006),$AC$1006:$AS$1006,0))&gt;=100000), " ",IF(INDEX($AC$2:$AS$1001,MATCH(ROWS($V$2:V841),$V$2:$V$1001,0),MATCH(COLUMNS($AC$1006:AS1006),$AC$1006:$AS$1006,0)), HYPERLINK("#",""), HYPERLINK(CONCATENATE("#metadata!", ADDRESS(INDEX($X$2:$X$1001,MATCH(ROWS($V$2:V841),$V$2:$V$1001,0),0), INDEX($AC$1004:$AS$1004,1,MATCH(COLUMNS($AC$1006:AS1006),$AC$1006:$AS$1006,0)))),"Fix")))</f>
        <v xml:space="preserve"> </v>
      </c>
      <c r="V841">
        <v>840</v>
      </c>
      <c r="W841">
        <v>100841</v>
      </c>
      <c r="X841">
        <v>841</v>
      </c>
      <c r="Y841" t="b">
        <f t="shared" si="13"/>
        <v>1</v>
      </c>
      <c r="Z841" t="b">
        <f>COUNTBLANK(metadata!B841:R841)=COLUMNS(metadata!B841:R841)</f>
        <v>1</v>
      </c>
      <c r="AA841" t="str">
        <v/>
      </c>
      <c r="AC841" t="b">
        <f ca="1"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AD841" t="b">
        <f>IF(metadata!C841="",FALSE,ISNUMBER(VALUE(metadata!C841)))</f>
        <v>0</v>
      </c>
      <c r="AE841" t="b">
        <f>AND(IF(metadata!D841="",FALSE,TRUE),EXACT(metadata!D841,"years"))</f>
        <v>0</v>
      </c>
      <c r="AF841" t="b">
        <f>OR(AND(IF(metadata!E841="",FALSE,TRUE),OR(EXACT(metadata!E841,"not applicable"),EXACT(metadata!E841,"missing: not collected"),EXACT(metadata!E841,"missing: not provided"),EXACT(metadata!E841,"missing: restricted access"))),AND(IF(metadata!E841="",FALSE,ISNUMBER(VALUE(metadata!E841))),metadata!E841&gt;0))</f>
        <v>0</v>
      </c>
      <c r="AG841" t="b">
        <f>AND(IF(metadata!F841="",FALSE,TRUE),EXACT(metadata!F841,"Not applicable"))</f>
        <v>0</v>
      </c>
      <c r="AH841" t="b">
        <f>AND(IF(metadata!G841="",FALSE,TRUE),EXACT(metadata!G841,"urban biome"))</f>
        <v>0</v>
      </c>
      <c r="AI841" t="b">
        <f>AND(IF(metadata!H841="",FALSE,TRUE),EXACT(metadata!H841,"human-associated habitat"))</f>
        <v>0</v>
      </c>
      <c r="AJ841" t="b">
        <f>AND(IF(metadata!I841="",FALSE,TRUE),OR(EXACT(metadata!I841,"human-associated"),EXACT(metadata!I841,"human-skin"),EXACT(metadata!I841,"human-oral"),EXACT(metadata!I841,"human-gut"),EXACT(metadata!I841,"human-vaginal")))</f>
        <v>0</v>
      </c>
      <c r="AK841" t="b">
        <f>IF(metadata!J841="",FALSE,ISNUMBER(VALUE(metadata!J841)))</f>
        <v>0</v>
      </c>
      <c r="AL841" t="b">
        <f>AND(IF(metadata!K841="",FALSE,TRUE),EXACT(metadata!K841,"cm"))</f>
        <v>0</v>
      </c>
      <c r="AM841" t="b">
        <f>AND(IF(metadata!L841="",FALSE,TRUE),EXACT(metadata!L841,"human"))</f>
        <v>0</v>
      </c>
      <c r="AN841" t="b">
        <f>AND(IF(metadata!M841="",FALSE,TRUE),EXACT(metadata!M841,"Homo sapiens"))</f>
        <v>0</v>
      </c>
      <c r="AO841" t="b">
        <f>AND(IF(metadata!N841="",FALSE,TRUE),EXACT(metadata!N841,"9606"))</f>
        <v>0</v>
      </c>
      <c r="AP841" t="b">
        <f>IF(metadata!O841="",FALSE,TRUE)</f>
        <v>0</v>
      </c>
      <c r="AQ841" t="b">
        <f>IF(metadata!P841="",FALSE,TRUE)</f>
        <v>0</v>
      </c>
      <c r="AR841" t="b">
        <f>IF(metadata!Q841="",FALSE,ISNUMBER(VALUE(metadata!Q841)))</f>
        <v>0</v>
      </c>
      <c r="AS841" t="b">
        <f>AND(IF(metadata!R841="",FALSE,TRUE),EXACT(metadata!R841,"kg"))</f>
        <v>0</v>
      </c>
    </row>
    <row r="842" spans="1:45" x14ac:dyDescent="0.2">
      <c r="A842" s="5" t="str">
        <f ca="1">IF(B842=" "," ",HYPERLINK(CONCATENATE("#metadata!",ADDRESS(INDEX($X$2:$X$1001,MATCH(ROWS($V$2:V842),$V$2:$V$1001,0),0),1)),INDEX($AA$2:$AA$1001,MATCH(ROWS($V$2:V842),$V$2:$V$1001,0),0)))</f>
        <v xml:space="preserve"> </v>
      </c>
      <c r="B842" s="4" t="str">
        <f ca="1">IF(OR(INDEX($W$2:$W$1001,MATCH(ROWS($V$2:V842),$V$2:$V$1001,0),1)&gt;=100000,INDEX($AC$1005:$AS$1005,1,MATCH(COLUMNS($AC$1006:AC1006),$AC$1006:$AS$1006,0))&gt;=100000), " ",IF(INDEX($AC$2:$AS$1001,MATCH(ROWS($V$2:V842),$V$2:$V$1001,0),MATCH(COLUMNS($AC$1006:AC1006),$AC$1006:$AS$1006,0)), HYPERLINK("#",""), HYPERLINK(CONCATENATE("#metadata!", ADDRESS(INDEX($X$2:$X$1001,MATCH(ROWS($V$2:V842),$V$2:$V$1001,0),0), INDEX($AC$1004:$AS$1004,1,MATCH(COLUMNS($AC$1006:AC1006),$AC$1006:$AS$1006,0)))),"Fix")))</f>
        <v xml:space="preserve"> </v>
      </c>
      <c r="C842" s="4" t="str">
        <f ca="1">IF(OR(INDEX($W$2:$W$1001,MATCH(ROWS($V$2:V842),$V$2:$V$1001,0),1)&gt;=100000,INDEX($AC$1005:$AS$1005,1,MATCH(COLUMNS($AC$1006:AD1006),$AC$1006:$AS$1006,0))&gt;=100000), " ",IF(INDEX($AC$2:$AS$1001,MATCH(ROWS($V$2:V842),$V$2:$V$1001,0),MATCH(COLUMNS($AC$1006:AD1006),$AC$1006:$AS$1006,0)), HYPERLINK("#",""), HYPERLINK(CONCATENATE("#metadata!", ADDRESS(INDEX($X$2:$X$1001,MATCH(ROWS($V$2:V842),$V$2:$V$1001,0),0), INDEX($AC$1004:$AS$1004,1,MATCH(COLUMNS($AC$1006:AD1006),$AC$1006:$AS$1006,0)))),"Fix")))</f>
        <v xml:space="preserve"> </v>
      </c>
      <c r="D842" s="4" t="str">
        <f ca="1">IF(OR(INDEX($W$2:$W$1001,MATCH(ROWS($V$2:V842),$V$2:$V$1001,0),1)&gt;=100000,INDEX($AC$1005:$AS$1005,1,MATCH(COLUMNS($AC$1006:AE1006),$AC$1006:$AS$1006,0))&gt;=100000), " ",IF(INDEX($AC$2:$AS$1001,MATCH(ROWS($V$2:V842),$V$2:$V$1001,0),MATCH(COLUMNS($AC$1006:AE1006),$AC$1006:$AS$1006,0)), HYPERLINK("#",""), HYPERLINK(CONCATENATE("#metadata!", ADDRESS(INDEX($X$2:$X$1001,MATCH(ROWS($V$2:V842),$V$2:$V$1001,0),0), INDEX($AC$1004:$AS$1004,1,MATCH(COLUMNS($AC$1006:AE1006),$AC$1006:$AS$1006,0)))),"Fix")))</f>
        <v xml:space="preserve"> </v>
      </c>
      <c r="E842" s="4" t="str">
        <f ca="1">IF(OR(INDEX($W$2:$W$1001,MATCH(ROWS($V$2:V842),$V$2:$V$1001,0),1)&gt;=100000,INDEX($AC$1005:$AS$1005,1,MATCH(COLUMNS($AC$1006:AF1006),$AC$1006:$AS$1006,0))&gt;=100000), " ",IF(INDEX($AC$2:$AS$1001,MATCH(ROWS($V$2:V842),$V$2:$V$1001,0),MATCH(COLUMNS($AC$1006:AF1006),$AC$1006:$AS$1006,0)), HYPERLINK("#",""), HYPERLINK(CONCATENATE("#metadata!", ADDRESS(INDEX($X$2:$X$1001,MATCH(ROWS($V$2:V842),$V$2:$V$1001,0),0), INDEX($AC$1004:$AS$1004,1,MATCH(COLUMNS($AC$1006:AF1006),$AC$1006:$AS$1006,0)))),"Fix")))</f>
        <v xml:space="preserve"> </v>
      </c>
      <c r="F842" s="4" t="str">
        <f ca="1">IF(OR(INDEX($W$2:$W$1001,MATCH(ROWS($V$2:V842),$V$2:$V$1001,0),1)&gt;=100000,INDEX($AC$1005:$AS$1005,1,MATCH(COLUMNS($AC$1006:AG1006),$AC$1006:$AS$1006,0))&gt;=100000), " ",IF(INDEX($AC$2:$AS$1001,MATCH(ROWS($V$2:V842),$V$2:$V$1001,0),MATCH(COLUMNS($AC$1006:AG1006),$AC$1006:$AS$1006,0)), HYPERLINK("#",""), HYPERLINK(CONCATENATE("#metadata!", ADDRESS(INDEX($X$2:$X$1001,MATCH(ROWS($V$2:V842),$V$2:$V$1001,0),0), INDEX($AC$1004:$AS$1004,1,MATCH(COLUMNS($AC$1006:AG1006),$AC$1006:$AS$1006,0)))),"Fix")))</f>
        <v xml:space="preserve"> </v>
      </c>
      <c r="G842" s="4" t="str">
        <f ca="1">IF(OR(INDEX($W$2:$W$1001,MATCH(ROWS($V$2:V842),$V$2:$V$1001,0),1)&gt;=100000,INDEX($AC$1005:$AS$1005,1,MATCH(COLUMNS($AC$1006:AH1006),$AC$1006:$AS$1006,0))&gt;=100000), " ",IF(INDEX($AC$2:$AS$1001,MATCH(ROWS($V$2:V842),$V$2:$V$1001,0),MATCH(COLUMNS($AC$1006:AH1006),$AC$1006:$AS$1006,0)), HYPERLINK("#",""), HYPERLINK(CONCATENATE("#metadata!", ADDRESS(INDEX($X$2:$X$1001,MATCH(ROWS($V$2:V842),$V$2:$V$1001,0),0), INDEX($AC$1004:$AS$1004,1,MATCH(COLUMNS($AC$1006:AH1006),$AC$1006:$AS$1006,0)))),"Fix")))</f>
        <v xml:space="preserve"> </v>
      </c>
      <c r="H842" s="4" t="str">
        <f ca="1">IF(OR(INDEX($W$2:$W$1001,MATCH(ROWS($V$2:V842),$V$2:$V$1001,0),1)&gt;=100000,INDEX($AC$1005:$AS$1005,1,MATCH(COLUMNS($AC$1006:AI1006),$AC$1006:$AS$1006,0))&gt;=100000), " ",IF(INDEX($AC$2:$AS$1001,MATCH(ROWS($V$2:V842),$V$2:$V$1001,0),MATCH(COLUMNS($AC$1006:AI1006),$AC$1006:$AS$1006,0)), HYPERLINK("#",""), HYPERLINK(CONCATENATE("#metadata!", ADDRESS(INDEX($X$2:$X$1001,MATCH(ROWS($V$2:V842),$V$2:$V$1001,0),0), INDEX($AC$1004:$AS$1004,1,MATCH(COLUMNS($AC$1006:AI1006),$AC$1006:$AS$1006,0)))),"Fix")))</f>
        <v xml:space="preserve"> </v>
      </c>
      <c r="I842" s="4" t="str">
        <f ca="1">IF(OR(INDEX($W$2:$W$1001,MATCH(ROWS($V$2:V842),$V$2:$V$1001,0),1)&gt;=100000,INDEX($AC$1005:$AS$1005,1,MATCH(COLUMNS($AC$1006:AJ1006),$AC$1006:$AS$1006,0))&gt;=100000), " ",IF(INDEX($AC$2:$AS$1001,MATCH(ROWS($V$2:V842),$V$2:$V$1001,0),MATCH(COLUMNS($AC$1006:AJ1006),$AC$1006:$AS$1006,0)), HYPERLINK("#",""), HYPERLINK(CONCATENATE("#metadata!", ADDRESS(INDEX($X$2:$X$1001,MATCH(ROWS($V$2:V842),$V$2:$V$1001,0),0), INDEX($AC$1004:$AS$1004,1,MATCH(COLUMNS($AC$1006:AJ1006),$AC$1006:$AS$1006,0)))),"Fix")))</f>
        <v xml:space="preserve"> </v>
      </c>
      <c r="J842" s="4" t="str">
        <f ca="1">IF(OR(INDEX($W$2:$W$1001,MATCH(ROWS($V$2:V842),$V$2:$V$1001,0),1)&gt;=100000,INDEX($AC$1005:$AS$1005,1,MATCH(COLUMNS($AC$1006:AK1006),$AC$1006:$AS$1006,0))&gt;=100000), " ",IF(INDEX($AC$2:$AS$1001,MATCH(ROWS($V$2:V842),$V$2:$V$1001,0),MATCH(COLUMNS($AC$1006:AK1006),$AC$1006:$AS$1006,0)), HYPERLINK("#",""), HYPERLINK(CONCATENATE("#metadata!", ADDRESS(INDEX($X$2:$X$1001,MATCH(ROWS($V$2:V842),$V$2:$V$1001,0),0), INDEX($AC$1004:$AS$1004,1,MATCH(COLUMNS($AC$1006:AK1006),$AC$1006:$AS$1006,0)))),"Fix")))</f>
        <v xml:space="preserve"> </v>
      </c>
      <c r="K842" s="4" t="str">
        <f ca="1">IF(OR(INDEX($W$2:$W$1001,MATCH(ROWS($V$2:V842),$V$2:$V$1001,0),1)&gt;=100000,INDEX($AC$1005:$AS$1005,1,MATCH(COLUMNS($AC$1006:AL1006),$AC$1006:$AS$1006,0))&gt;=100000), " ",IF(INDEX($AC$2:$AS$1001,MATCH(ROWS($V$2:V842),$V$2:$V$1001,0),MATCH(COLUMNS($AC$1006:AL1006),$AC$1006:$AS$1006,0)), HYPERLINK("#",""), HYPERLINK(CONCATENATE("#metadata!", ADDRESS(INDEX($X$2:$X$1001,MATCH(ROWS($V$2:V842),$V$2:$V$1001,0),0), INDEX($AC$1004:$AS$1004,1,MATCH(COLUMNS($AC$1006:AL1006),$AC$1006:$AS$1006,0)))),"Fix")))</f>
        <v xml:space="preserve"> </v>
      </c>
      <c r="L842" s="4" t="str">
        <f ca="1">IF(OR(INDEX($W$2:$W$1001,MATCH(ROWS($V$2:V842),$V$2:$V$1001,0),1)&gt;=100000,INDEX($AC$1005:$AS$1005,1,MATCH(COLUMNS($AC$1006:AM1006),$AC$1006:$AS$1006,0))&gt;=100000), " ",IF(INDEX($AC$2:$AS$1001,MATCH(ROWS($V$2:V842),$V$2:$V$1001,0),MATCH(COLUMNS($AC$1006:AM1006),$AC$1006:$AS$1006,0)), HYPERLINK("#",""), HYPERLINK(CONCATENATE("#metadata!", ADDRESS(INDEX($X$2:$X$1001,MATCH(ROWS($V$2:V842),$V$2:$V$1001,0),0), INDEX($AC$1004:$AS$1004,1,MATCH(COLUMNS($AC$1006:AM1006),$AC$1006:$AS$1006,0)))),"Fix")))</f>
        <v xml:space="preserve"> </v>
      </c>
      <c r="M842" s="4" t="str">
        <f ca="1">IF(OR(INDEX($W$2:$W$1001,MATCH(ROWS($V$2:V842),$V$2:$V$1001,0),1)&gt;=100000,INDEX($AC$1005:$AS$1005,1,MATCH(COLUMNS($AC$1006:AN1006),$AC$1006:$AS$1006,0))&gt;=100000), " ",IF(INDEX($AC$2:$AS$1001,MATCH(ROWS($V$2:V842),$V$2:$V$1001,0),MATCH(COLUMNS($AC$1006:AN1006),$AC$1006:$AS$1006,0)), HYPERLINK("#",""), HYPERLINK(CONCATENATE("#metadata!", ADDRESS(INDEX($X$2:$X$1001,MATCH(ROWS($V$2:V842),$V$2:$V$1001,0),0), INDEX($AC$1004:$AS$1004,1,MATCH(COLUMNS($AC$1006:AN1006),$AC$1006:$AS$1006,0)))),"Fix")))</f>
        <v xml:space="preserve"> </v>
      </c>
      <c r="N842" s="4" t="str">
        <f ca="1">IF(OR(INDEX($W$2:$W$1001,MATCH(ROWS($V$2:V842),$V$2:$V$1001,0),1)&gt;=100000,INDEX($AC$1005:$AS$1005,1,MATCH(COLUMNS($AC$1006:AO1006),$AC$1006:$AS$1006,0))&gt;=100000), " ",IF(INDEX($AC$2:$AS$1001,MATCH(ROWS($V$2:V842),$V$2:$V$1001,0),MATCH(COLUMNS($AC$1006:AO1006),$AC$1006:$AS$1006,0)), HYPERLINK("#",""), HYPERLINK(CONCATENATE("#metadata!", ADDRESS(INDEX($X$2:$X$1001,MATCH(ROWS($V$2:V842),$V$2:$V$1001,0),0), INDEX($AC$1004:$AS$1004,1,MATCH(COLUMNS($AC$1006:AO1006),$AC$1006:$AS$1006,0)))),"Fix")))</f>
        <v xml:space="preserve"> </v>
      </c>
      <c r="O842" s="4" t="str">
        <f ca="1">IF(OR(INDEX($W$2:$W$1001,MATCH(ROWS($V$2:V842),$V$2:$V$1001,0),1)&gt;=100000,INDEX($AC$1005:$AS$1005,1,MATCH(COLUMNS($AC$1006:AP1006),$AC$1006:$AS$1006,0))&gt;=100000), " ",IF(INDEX($AC$2:$AS$1001,MATCH(ROWS($V$2:V842),$V$2:$V$1001,0),MATCH(COLUMNS($AC$1006:AP1006),$AC$1006:$AS$1006,0)), HYPERLINK("#",""), HYPERLINK(CONCATENATE("#metadata!", ADDRESS(INDEX($X$2:$X$1001,MATCH(ROWS($V$2:V842),$V$2:$V$1001,0),0), INDEX($AC$1004:$AS$1004,1,MATCH(COLUMNS($AC$1006:AP1006),$AC$1006:$AS$1006,0)))),"Fix")))</f>
        <v xml:space="preserve"> </v>
      </c>
      <c r="P842" s="4" t="str">
        <f ca="1">IF(OR(INDEX($W$2:$W$1001,MATCH(ROWS($V$2:V842),$V$2:$V$1001,0),1)&gt;=100000,INDEX($AC$1005:$AS$1005,1,MATCH(COLUMNS($AC$1006:AQ1006),$AC$1006:$AS$1006,0))&gt;=100000), " ",IF(INDEX($AC$2:$AS$1001,MATCH(ROWS($V$2:V842),$V$2:$V$1001,0),MATCH(COLUMNS($AC$1006:AQ1006),$AC$1006:$AS$1006,0)), HYPERLINK("#",""), HYPERLINK(CONCATENATE("#metadata!", ADDRESS(INDEX($X$2:$X$1001,MATCH(ROWS($V$2:V842),$V$2:$V$1001,0),0), INDEX($AC$1004:$AS$1004,1,MATCH(COLUMNS($AC$1006:AQ1006),$AC$1006:$AS$1006,0)))),"Fix")))</f>
        <v xml:space="preserve"> </v>
      </c>
      <c r="Q842" s="4" t="str">
        <f ca="1">IF(OR(INDEX($W$2:$W$1001,MATCH(ROWS($V$2:V842),$V$2:$V$1001,0),1)&gt;=100000,INDEX($AC$1005:$AS$1005,1,MATCH(COLUMNS($AC$1006:AR1006),$AC$1006:$AS$1006,0))&gt;=100000), " ",IF(INDEX($AC$2:$AS$1001,MATCH(ROWS($V$2:V842),$V$2:$V$1001,0),MATCH(COLUMNS($AC$1006:AR1006),$AC$1006:$AS$1006,0)), HYPERLINK("#",""), HYPERLINK(CONCATENATE("#metadata!", ADDRESS(INDEX($X$2:$X$1001,MATCH(ROWS($V$2:V842),$V$2:$V$1001,0),0), INDEX($AC$1004:$AS$1004,1,MATCH(COLUMNS($AC$1006:AR1006),$AC$1006:$AS$1006,0)))),"Fix")))</f>
        <v xml:space="preserve"> </v>
      </c>
      <c r="R842" s="4" t="str">
        <f ca="1">IF(OR(INDEX($W$2:$W$1001,MATCH(ROWS($V$2:V842),$V$2:$V$1001,0),1)&gt;=100000,INDEX($AC$1005:$AS$1005,1,MATCH(COLUMNS($AC$1006:AS1006),$AC$1006:$AS$1006,0))&gt;=100000), " ",IF(INDEX($AC$2:$AS$1001,MATCH(ROWS($V$2:V842),$V$2:$V$1001,0),MATCH(COLUMNS($AC$1006:AS1006),$AC$1006:$AS$1006,0)), HYPERLINK("#",""), HYPERLINK(CONCATENATE("#metadata!", ADDRESS(INDEX($X$2:$X$1001,MATCH(ROWS($V$2:V842),$V$2:$V$1001,0),0), INDEX($AC$1004:$AS$1004,1,MATCH(COLUMNS($AC$1006:AS1006),$AC$1006:$AS$1006,0)))),"Fix")))</f>
        <v xml:space="preserve"> </v>
      </c>
      <c r="V842">
        <v>841</v>
      </c>
      <c r="W842">
        <v>100842</v>
      </c>
      <c r="X842">
        <v>842</v>
      </c>
      <c r="Y842" t="b">
        <f t="shared" si="13"/>
        <v>1</v>
      </c>
      <c r="Z842" t="b">
        <f>COUNTBLANK(metadata!B842:R842)=COLUMNS(metadata!B842:R842)</f>
        <v>1</v>
      </c>
      <c r="AA842" t="str">
        <v/>
      </c>
      <c r="AC842" t="b">
        <f ca="1"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AD842" t="b">
        <f>IF(metadata!C842="",FALSE,ISNUMBER(VALUE(metadata!C842)))</f>
        <v>0</v>
      </c>
      <c r="AE842" t="b">
        <f>AND(IF(metadata!D842="",FALSE,TRUE),EXACT(metadata!D842,"years"))</f>
        <v>0</v>
      </c>
      <c r="AF842" t="b">
        <f>OR(AND(IF(metadata!E842="",FALSE,TRUE),OR(EXACT(metadata!E842,"not applicable"),EXACT(metadata!E842,"missing: not collected"),EXACT(metadata!E842,"missing: not provided"),EXACT(metadata!E842,"missing: restricted access"))),AND(IF(metadata!E842="",FALSE,ISNUMBER(VALUE(metadata!E842))),metadata!E842&gt;0))</f>
        <v>0</v>
      </c>
      <c r="AG842" t="b">
        <f>AND(IF(metadata!F842="",FALSE,TRUE),EXACT(metadata!F842,"Not applicable"))</f>
        <v>0</v>
      </c>
      <c r="AH842" t="b">
        <f>AND(IF(metadata!G842="",FALSE,TRUE),EXACT(metadata!G842,"urban biome"))</f>
        <v>0</v>
      </c>
      <c r="AI842" t="b">
        <f>AND(IF(metadata!H842="",FALSE,TRUE),EXACT(metadata!H842,"human-associated habitat"))</f>
        <v>0</v>
      </c>
      <c r="AJ842" t="b">
        <f>AND(IF(metadata!I842="",FALSE,TRUE),OR(EXACT(metadata!I842,"human-associated"),EXACT(metadata!I842,"human-skin"),EXACT(metadata!I842,"human-oral"),EXACT(metadata!I842,"human-gut"),EXACT(metadata!I842,"human-vaginal")))</f>
        <v>0</v>
      </c>
      <c r="AK842" t="b">
        <f>IF(metadata!J842="",FALSE,ISNUMBER(VALUE(metadata!J842)))</f>
        <v>0</v>
      </c>
      <c r="AL842" t="b">
        <f>AND(IF(metadata!K842="",FALSE,TRUE),EXACT(metadata!K842,"cm"))</f>
        <v>0</v>
      </c>
      <c r="AM842" t="b">
        <f>AND(IF(metadata!L842="",FALSE,TRUE),EXACT(metadata!L842,"human"))</f>
        <v>0</v>
      </c>
      <c r="AN842" t="b">
        <f>AND(IF(metadata!M842="",FALSE,TRUE),EXACT(metadata!M842,"Homo sapiens"))</f>
        <v>0</v>
      </c>
      <c r="AO842" t="b">
        <f>AND(IF(metadata!N842="",FALSE,TRUE),EXACT(metadata!N842,"9606"))</f>
        <v>0</v>
      </c>
      <c r="AP842" t="b">
        <f>IF(metadata!O842="",FALSE,TRUE)</f>
        <v>0</v>
      </c>
      <c r="AQ842" t="b">
        <f>IF(metadata!P842="",FALSE,TRUE)</f>
        <v>0</v>
      </c>
      <c r="AR842" t="b">
        <f>IF(metadata!Q842="",FALSE,ISNUMBER(VALUE(metadata!Q842)))</f>
        <v>0</v>
      </c>
      <c r="AS842" t="b">
        <f>AND(IF(metadata!R842="",FALSE,TRUE),EXACT(metadata!R842,"kg"))</f>
        <v>0</v>
      </c>
    </row>
    <row r="843" spans="1:45" x14ac:dyDescent="0.2">
      <c r="A843" s="5" t="str">
        <f ca="1">IF(B843=" "," ",HYPERLINK(CONCATENATE("#metadata!",ADDRESS(INDEX($X$2:$X$1001,MATCH(ROWS($V$2:V843),$V$2:$V$1001,0),0),1)),INDEX($AA$2:$AA$1001,MATCH(ROWS($V$2:V843),$V$2:$V$1001,0),0)))</f>
        <v xml:space="preserve"> </v>
      </c>
      <c r="B843" s="4" t="str">
        <f ca="1">IF(OR(INDEX($W$2:$W$1001,MATCH(ROWS($V$2:V843),$V$2:$V$1001,0),1)&gt;=100000,INDEX($AC$1005:$AS$1005,1,MATCH(COLUMNS($AC$1006:AC1006),$AC$1006:$AS$1006,0))&gt;=100000), " ",IF(INDEX($AC$2:$AS$1001,MATCH(ROWS($V$2:V843),$V$2:$V$1001,0),MATCH(COLUMNS($AC$1006:AC1006),$AC$1006:$AS$1006,0)), HYPERLINK("#",""), HYPERLINK(CONCATENATE("#metadata!", ADDRESS(INDEX($X$2:$X$1001,MATCH(ROWS($V$2:V843),$V$2:$V$1001,0),0), INDEX($AC$1004:$AS$1004,1,MATCH(COLUMNS($AC$1006:AC1006),$AC$1006:$AS$1006,0)))),"Fix")))</f>
        <v xml:space="preserve"> </v>
      </c>
      <c r="C843" s="4" t="str">
        <f ca="1">IF(OR(INDEX($W$2:$W$1001,MATCH(ROWS($V$2:V843),$V$2:$V$1001,0),1)&gt;=100000,INDEX($AC$1005:$AS$1005,1,MATCH(COLUMNS($AC$1006:AD1006),$AC$1006:$AS$1006,0))&gt;=100000), " ",IF(INDEX($AC$2:$AS$1001,MATCH(ROWS($V$2:V843),$V$2:$V$1001,0),MATCH(COLUMNS($AC$1006:AD1006),$AC$1006:$AS$1006,0)), HYPERLINK("#",""), HYPERLINK(CONCATENATE("#metadata!", ADDRESS(INDEX($X$2:$X$1001,MATCH(ROWS($V$2:V843),$V$2:$V$1001,0),0), INDEX($AC$1004:$AS$1004,1,MATCH(COLUMNS($AC$1006:AD1006),$AC$1006:$AS$1006,0)))),"Fix")))</f>
        <v xml:space="preserve"> </v>
      </c>
      <c r="D843" s="4" t="str">
        <f ca="1">IF(OR(INDEX($W$2:$W$1001,MATCH(ROWS($V$2:V843),$V$2:$V$1001,0),1)&gt;=100000,INDEX($AC$1005:$AS$1005,1,MATCH(COLUMNS($AC$1006:AE1006),$AC$1006:$AS$1006,0))&gt;=100000), " ",IF(INDEX($AC$2:$AS$1001,MATCH(ROWS($V$2:V843),$V$2:$V$1001,0),MATCH(COLUMNS($AC$1006:AE1006),$AC$1006:$AS$1006,0)), HYPERLINK("#",""), HYPERLINK(CONCATENATE("#metadata!", ADDRESS(INDEX($X$2:$X$1001,MATCH(ROWS($V$2:V843),$V$2:$V$1001,0),0), INDEX($AC$1004:$AS$1004,1,MATCH(COLUMNS($AC$1006:AE1006),$AC$1006:$AS$1006,0)))),"Fix")))</f>
        <v xml:space="preserve"> </v>
      </c>
      <c r="E843" s="4" t="str">
        <f ca="1">IF(OR(INDEX($W$2:$W$1001,MATCH(ROWS($V$2:V843),$V$2:$V$1001,0),1)&gt;=100000,INDEX($AC$1005:$AS$1005,1,MATCH(COLUMNS($AC$1006:AF1006),$AC$1006:$AS$1006,0))&gt;=100000), " ",IF(INDEX($AC$2:$AS$1001,MATCH(ROWS($V$2:V843),$V$2:$V$1001,0),MATCH(COLUMNS($AC$1006:AF1006),$AC$1006:$AS$1006,0)), HYPERLINK("#",""), HYPERLINK(CONCATENATE("#metadata!", ADDRESS(INDEX($X$2:$X$1001,MATCH(ROWS($V$2:V843),$V$2:$V$1001,0),0), INDEX($AC$1004:$AS$1004,1,MATCH(COLUMNS($AC$1006:AF1006),$AC$1006:$AS$1006,0)))),"Fix")))</f>
        <v xml:space="preserve"> </v>
      </c>
      <c r="F843" s="4" t="str">
        <f ca="1">IF(OR(INDEX($W$2:$W$1001,MATCH(ROWS($V$2:V843),$V$2:$V$1001,0),1)&gt;=100000,INDEX($AC$1005:$AS$1005,1,MATCH(COLUMNS($AC$1006:AG1006),$AC$1006:$AS$1006,0))&gt;=100000), " ",IF(INDEX($AC$2:$AS$1001,MATCH(ROWS($V$2:V843),$V$2:$V$1001,0),MATCH(COLUMNS($AC$1006:AG1006),$AC$1006:$AS$1006,0)), HYPERLINK("#",""), HYPERLINK(CONCATENATE("#metadata!", ADDRESS(INDEX($X$2:$X$1001,MATCH(ROWS($V$2:V843),$V$2:$V$1001,0),0), INDEX($AC$1004:$AS$1004,1,MATCH(COLUMNS($AC$1006:AG1006),$AC$1006:$AS$1006,0)))),"Fix")))</f>
        <v xml:space="preserve"> </v>
      </c>
      <c r="G843" s="4" t="str">
        <f ca="1">IF(OR(INDEX($W$2:$W$1001,MATCH(ROWS($V$2:V843),$V$2:$V$1001,0),1)&gt;=100000,INDEX($AC$1005:$AS$1005,1,MATCH(COLUMNS($AC$1006:AH1006),$AC$1006:$AS$1006,0))&gt;=100000), " ",IF(INDEX($AC$2:$AS$1001,MATCH(ROWS($V$2:V843),$V$2:$V$1001,0),MATCH(COLUMNS($AC$1006:AH1006),$AC$1006:$AS$1006,0)), HYPERLINK("#",""), HYPERLINK(CONCATENATE("#metadata!", ADDRESS(INDEX($X$2:$X$1001,MATCH(ROWS($V$2:V843),$V$2:$V$1001,0),0), INDEX($AC$1004:$AS$1004,1,MATCH(COLUMNS($AC$1006:AH1006),$AC$1006:$AS$1006,0)))),"Fix")))</f>
        <v xml:space="preserve"> </v>
      </c>
      <c r="H843" s="4" t="str">
        <f ca="1">IF(OR(INDEX($W$2:$W$1001,MATCH(ROWS($V$2:V843),$V$2:$V$1001,0),1)&gt;=100000,INDEX($AC$1005:$AS$1005,1,MATCH(COLUMNS($AC$1006:AI1006),$AC$1006:$AS$1006,0))&gt;=100000), " ",IF(INDEX($AC$2:$AS$1001,MATCH(ROWS($V$2:V843),$V$2:$V$1001,0),MATCH(COLUMNS($AC$1006:AI1006),$AC$1006:$AS$1006,0)), HYPERLINK("#",""), HYPERLINK(CONCATENATE("#metadata!", ADDRESS(INDEX($X$2:$X$1001,MATCH(ROWS($V$2:V843),$V$2:$V$1001,0),0), INDEX($AC$1004:$AS$1004,1,MATCH(COLUMNS($AC$1006:AI1006),$AC$1006:$AS$1006,0)))),"Fix")))</f>
        <v xml:space="preserve"> </v>
      </c>
      <c r="I843" s="4" t="str">
        <f ca="1">IF(OR(INDEX($W$2:$W$1001,MATCH(ROWS($V$2:V843),$V$2:$V$1001,0),1)&gt;=100000,INDEX($AC$1005:$AS$1005,1,MATCH(COLUMNS($AC$1006:AJ1006),$AC$1006:$AS$1006,0))&gt;=100000), " ",IF(INDEX($AC$2:$AS$1001,MATCH(ROWS($V$2:V843),$V$2:$V$1001,0),MATCH(COLUMNS($AC$1006:AJ1006),$AC$1006:$AS$1006,0)), HYPERLINK("#",""), HYPERLINK(CONCATENATE("#metadata!", ADDRESS(INDEX($X$2:$X$1001,MATCH(ROWS($V$2:V843),$V$2:$V$1001,0),0), INDEX($AC$1004:$AS$1004,1,MATCH(COLUMNS($AC$1006:AJ1006),$AC$1006:$AS$1006,0)))),"Fix")))</f>
        <v xml:space="preserve"> </v>
      </c>
      <c r="J843" s="4" t="str">
        <f ca="1">IF(OR(INDEX($W$2:$W$1001,MATCH(ROWS($V$2:V843),$V$2:$V$1001,0),1)&gt;=100000,INDEX($AC$1005:$AS$1005,1,MATCH(COLUMNS($AC$1006:AK1006),$AC$1006:$AS$1006,0))&gt;=100000), " ",IF(INDEX($AC$2:$AS$1001,MATCH(ROWS($V$2:V843),$V$2:$V$1001,0),MATCH(COLUMNS($AC$1006:AK1006),$AC$1006:$AS$1006,0)), HYPERLINK("#",""), HYPERLINK(CONCATENATE("#metadata!", ADDRESS(INDEX($X$2:$X$1001,MATCH(ROWS($V$2:V843),$V$2:$V$1001,0),0), INDEX($AC$1004:$AS$1004,1,MATCH(COLUMNS($AC$1006:AK1006),$AC$1006:$AS$1006,0)))),"Fix")))</f>
        <v xml:space="preserve"> </v>
      </c>
      <c r="K843" s="4" t="str">
        <f ca="1">IF(OR(INDEX($W$2:$W$1001,MATCH(ROWS($V$2:V843),$V$2:$V$1001,0),1)&gt;=100000,INDEX($AC$1005:$AS$1005,1,MATCH(COLUMNS($AC$1006:AL1006),$AC$1006:$AS$1006,0))&gt;=100000), " ",IF(INDEX($AC$2:$AS$1001,MATCH(ROWS($V$2:V843),$V$2:$V$1001,0),MATCH(COLUMNS($AC$1006:AL1006),$AC$1006:$AS$1006,0)), HYPERLINK("#",""), HYPERLINK(CONCATENATE("#metadata!", ADDRESS(INDEX($X$2:$X$1001,MATCH(ROWS($V$2:V843),$V$2:$V$1001,0),0), INDEX($AC$1004:$AS$1004,1,MATCH(COLUMNS($AC$1006:AL1006),$AC$1006:$AS$1006,0)))),"Fix")))</f>
        <v xml:space="preserve"> </v>
      </c>
      <c r="L843" s="4" t="str">
        <f ca="1">IF(OR(INDEX($W$2:$W$1001,MATCH(ROWS($V$2:V843),$V$2:$V$1001,0),1)&gt;=100000,INDEX($AC$1005:$AS$1005,1,MATCH(COLUMNS($AC$1006:AM1006),$AC$1006:$AS$1006,0))&gt;=100000), " ",IF(INDEX($AC$2:$AS$1001,MATCH(ROWS($V$2:V843),$V$2:$V$1001,0),MATCH(COLUMNS($AC$1006:AM1006),$AC$1006:$AS$1006,0)), HYPERLINK("#",""), HYPERLINK(CONCATENATE("#metadata!", ADDRESS(INDEX($X$2:$X$1001,MATCH(ROWS($V$2:V843),$V$2:$V$1001,0),0), INDEX($AC$1004:$AS$1004,1,MATCH(COLUMNS($AC$1006:AM1006),$AC$1006:$AS$1006,0)))),"Fix")))</f>
        <v xml:space="preserve"> </v>
      </c>
      <c r="M843" s="4" t="str">
        <f ca="1">IF(OR(INDEX($W$2:$W$1001,MATCH(ROWS($V$2:V843),$V$2:$V$1001,0),1)&gt;=100000,INDEX($AC$1005:$AS$1005,1,MATCH(COLUMNS($AC$1006:AN1006),$AC$1006:$AS$1006,0))&gt;=100000), " ",IF(INDEX($AC$2:$AS$1001,MATCH(ROWS($V$2:V843),$V$2:$V$1001,0),MATCH(COLUMNS($AC$1006:AN1006),$AC$1006:$AS$1006,0)), HYPERLINK("#",""), HYPERLINK(CONCATENATE("#metadata!", ADDRESS(INDEX($X$2:$X$1001,MATCH(ROWS($V$2:V843),$V$2:$V$1001,0),0), INDEX($AC$1004:$AS$1004,1,MATCH(COLUMNS($AC$1006:AN1006),$AC$1006:$AS$1006,0)))),"Fix")))</f>
        <v xml:space="preserve"> </v>
      </c>
      <c r="N843" s="4" t="str">
        <f ca="1">IF(OR(INDEX($W$2:$W$1001,MATCH(ROWS($V$2:V843),$V$2:$V$1001,0),1)&gt;=100000,INDEX($AC$1005:$AS$1005,1,MATCH(COLUMNS($AC$1006:AO1006),$AC$1006:$AS$1006,0))&gt;=100000), " ",IF(INDEX($AC$2:$AS$1001,MATCH(ROWS($V$2:V843),$V$2:$V$1001,0),MATCH(COLUMNS($AC$1006:AO1006),$AC$1006:$AS$1006,0)), HYPERLINK("#",""), HYPERLINK(CONCATENATE("#metadata!", ADDRESS(INDEX($X$2:$X$1001,MATCH(ROWS($V$2:V843),$V$2:$V$1001,0),0), INDEX($AC$1004:$AS$1004,1,MATCH(COLUMNS($AC$1006:AO1006),$AC$1006:$AS$1006,0)))),"Fix")))</f>
        <v xml:space="preserve"> </v>
      </c>
      <c r="O843" s="4" t="str">
        <f ca="1">IF(OR(INDEX($W$2:$W$1001,MATCH(ROWS($V$2:V843),$V$2:$V$1001,0),1)&gt;=100000,INDEX($AC$1005:$AS$1005,1,MATCH(COLUMNS($AC$1006:AP1006),$AC$1006:$AS$1006,0))&gt;=100000), " ",IF(INDEX($AC$2:$AS$1001,MATCH(ROWS($V$2:V843),$V$2:$V$1001,0),MATCH(COLUMNS($AC$1006:AP1006),$AC$1006:$AS$1006,0)), HYPERLINK("#",""), HYPERLINK(CONCATENATE("#metadata!", ADDRESS(INDEX($X$2:$X$1001,MATCH(ROWS($V$2:V843),$V$2:$V$1001,0),0), INDEX($AC$1004:$AS$1004,1,MATCH(COLUMNS($AC$1006:AP1006),$AC$1006:$AS$1006,0)))),"Fix")))</f>
        <v xml:space="preserve"> </v>
      </c>
      <c r="P843" s="4" t="str">
        <f ca="1">IF(OR(INDEX($W$2:$W$1001,MATCH(ROWS($V$2:V843),$V$2:$V$1001,0),1)&gt;=100000,INDEX($AC$1005:$AS$1005,1,MATCH(COLUMNS($AC$1006:AQ1006),$AC$1006:$AS$1006,0))&gt;=100000), " ",IF(INDEX($AC$2:$AS$1001,MATCH(ROWS($V$2:V843),$V$2:$V$1001,0),MATCH(COLUMNS($AC$1006:AQ1006),$AC$1006:$AS$1006,0)), HYPERLINK("#",""), HYPERLINK(CONCATENATE("#metadata!", ADDRESS(INDEX($X$2:$X$1001,MATCH(ROWS($V$2:V843),$V$2:$V$1001,0),0), INDEX($AC$1004:$AS$1004,1,MATCH(COLUMNS($AC$1006:AQ1006),$AC$1006:$AS$1006,0)))),"Fix")))</f>
        <v xml:space="preserve"> </v>
      </c>
      <c r="Q843" s="4" t="str">
        <f ca="1">IF(OR(INDEX($W$2:$W$1001,MATCH(ROWS($V$2:V843),$V$2:$V$1001,0),1)&gt;=100000,INDEX($AC$1005:$AS$1005,1,MATCH(COLUMNS($AC$1006:AR1006),$AC$1006:$AS$1006,0))&gt;=100000), " ",IF(INDEX($AC$2:$AS$1001,MATCH(ROWS($V$2:V843),$V$2:$V$1001,0),MATCH(COLUMNS($AC$1006:AR1006),$AC$1006:$AS$1006,0)), HYPERLINK("#",""), HYPERLINK(CONCATENATE("#metadata!", ADDRESS(INDEX($X$2:$X$1001,MATCH(ROWS($V$2:V843),$V$2:$V$1001,0),0), INDEX($AC$1004:$AS$1004,1,MATCH(COLUMNS($AC$1006:AR1006),$AC$1006:$AS$1006,0)))),"Fix")))</f>
        <v xml:space="preserve"> </v>
      </c>
      <c r="R843" s="4" t="str">
        <f ca="1">IF(OR(INDEX($W$2:$W$1001,MATCH(ROWS($V$2:V843),$V$2:$V$1001,0),1)&gt;=100000,INDEX($AC$1005:$AS$1005,1,MATCH(COLUMNS($AC$1006:AS1006),$AC$1006:$AS$1006,0))&gt;=100000), " ",IF(INDEX($AC$2:$AS$1001,MATCH(ROWS($V$2:V843),$V$2:$V$1001,0),MATCH(COLUMNS($AC$1006:AS1006),$AC$1006:$AS$1006,0)), HYPERLINK("#",""), HYPERLINK(CONCATENATE("#metadata!", ADDRESS(INDEX($X$2:$X$1001,MATCH(ROWS($V$2:V843),$V$2:$V$1001,0),0), INDEX($AC$1004:$AS$1004,1,MATCH(COLUMNS($AC$1006:AS1006),$AC$1006:$AS$1006,0)))),"Fix")))</f>
        <v xml:space="preserve"> </v>
      </c>
      <c r="V843">
        <v>842</v>
      </c>
      <c r="W843">
        <v>100843</v>
      </c>
      <c r="X843">
        <v>843</v>
      </c>
      <c r="Y843" t="b">
        <f t="shared" si="13"/>
        <v>1</v>
      </c>
      <c r="Z843" t="b">
        <f>COUNTBLANK(metadata!B843:R843)=COLUMNS(metadata!B843:R843)</f>
        <v>1</v>
      </c>
      <c r="AA843" t="str">
        <v/>
      </c>
      <c r="AC843" t="b">
        <f ca="1"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AD843" t="b">
        <f>IF(metadata!C843="",FALSE,ISNUMBER(VALUE(metadata!C843)))</f>
        <v>0</v>
      </c>
      <c r="AE843" t="b">
        <f>AND(IF(metadata!D843="",FALSE,TRUE),EXACT(metadata!D843,"years"))</f>
        <v>0</v>
      </c>
      <c r="AF843" t="b">
        <f>OR(AND(IF(metadata!E843="",FALSE,TRUE),OR(EXACT(metadata!E843,"not applicable"),EXACT(metadata!E843,"missing: not collected"),EXACT(metadata!E843,"missing: not provided"),EXACT(metadata!E843,"missing: restricted access"))),AND(IF(metadata!E843="",FALSE,ISNUMBER(VALUE(metadata!E843))),metadata!E843&gt;0))</f>
        <v>0</v>
      </c>
      <c r="AG843" t="b">
        <f>AND(IF(metadata!F843="",FALSE,TRUE),EXACT(metadata!F843,"Not applicable"))</f>
        <v>0</v>
      </c>
      <c r="AH843" t="b">
        <f>AND(IF(metadata!G843="",FALSE,TRUE),EXACT(metadata!G843,"urban biome"))</f>
        <v>0</v>
      </c>
      <c r="AI843" t="b">
        <f>AND(IF(metadata!H843="",FALSE,TRUE),EXACT(metadata!H843,"human-associated habitat"))</f>
        <v>0</v>
      </c>
      <c r="AJ843" t="b">
        <f>AND(IF(metadata!I843="",FALSE,TRUE),OR(EXACT(metadata!I843,"human-associated"),EXACT(metadata!I843,"human-skin"),EXACT(metadata!I843,"human-oral"),EXACT(metadata!I843,"human-gut"),EXACT(metadata!I843,"human-vaginal")))</f>
        <v>0</v>
      </c>
      <c r="AK843" t="b">
        <f>IF(metadata!J843="",FALSE,ISNUMBER(VALUE(metadata!J843)))</f>
        <v>0</v>
      </c>
      <c r="AL843" t="b">
        <f>AND(IF(metadata!K843="",FALSE,TRUE),EXACT(metadata!K843,"cm"))</f>
        <v>0</v>
      </c>
      <c r="AM843" t="b">
        <f>AND(IF(metadata!L843="",FALSE,TRUE),EXACT(metadata!L843,"human"))</f>
        <v>0</v>
      </c>
      <c r="AN843" t="b">
        <f>AND(IF(metadata!M843="",FALSE,TRUE),EXACT(metadata!M843,"Homo sapiens"))</f>
        <v>0</v>
      </c>
      <c r="AO843" t="b">
        <f>AND(IF(metadata!N843="",FALSE,TRUE),EXACT(metadata!N843,"9606"))</f>
        <v>0</v>
      </c>
      <c r="AP843" t="b">
        <f>IF(metadata!O843="",FALSE,TRUE)</f>
        <v>0</v>
      </c>
      <c r="AQ843" t="b">
        <f>IF(metadata!P843="",FALSE,TRUE)</f>
        <v>0</v>
      </c>
      <c r="AR843" t="b">
        <f>IF(metadata!Q843="",FALSE,ISNUMBER(VALUE(metadata!Q843)))</f>
        <v>0</v>
      </c>
      <c r="AS843" t="b">
        <f>AND(IF(metadata!R843="",FALSE,TRUE),EXACT(metadata!R843,"kg"))</f>
        <v>0</v>
      </c>
    </row>
    <row r="844" spans="1:45" x14ac:dyDescent="0.2">
      <c r="A844" s="5" t="str">
        <f ca="1">IF(B844=" "," ",HYPERLINK(CONCATENATE("#metadata!",ADDRESS(INDEX($X$2:$X$1001,MATCH(ROWS($V$2:V844),$V$2:$V$1001,0),0),1)),INDEX($AA$2:$AA$1001,MATCH(ROWS($V$2:V844),$V$2:$V$1001,0),0)))</f>
        <v xml:space="preserve"> </v>
      </c>
      <c r="B844" s="4" t="str">
        <f ca="1">IF(OR(INDEX($W$2:$W$1001,MATCH(ROWS($V$2:V844),$V$2:$V$1001,0),1)&gt;=100000,INDEX($AC$1005:$AS$1005,1,MATCH(COLUMNS($AC$1006:AC1006),$AC$1006:$AS$1006,0))&gt;=100000), " ",IF(INDEX($AC$2:$AS$1001,MATCH(ROWS($V$2:V844),$V$2:$V$1001,0),MATCH(COLUMNS($AC$1006:AC1006),$AC$1006:$AS$1006,0)), HYPERLINK("#",""), HYPERLINK(CONCATENATE("#metadata!", ADDRESS(INDEX($X$2:$X$1001,MATCH(ROWS($V$2:V844),$V$2:$V$1001,0),0), INDEX($AC$1004:$AS$1004,1,MATCH(COLUMNS($AC$1006:AC1006),$AC$1006:$AS$1006,0)))),"Fix")))</f>
        <v xml:space="preserve"> </v>
      </c>
      <c r="C844" s="4" t="str">
        <f ca="1">IF(OR(INDEX($W$2:$W$1001,MATCH(ROWS($V$2:V844),$V$2:$V$1001,0),1)&gt;=100000,INDEX($AC$1005:$AS$1005,1,MATCH(COLUMNS($AC$1006:AD1006),$AC$1006:$AS$1006,0))&gt;=100000), " ",IF(INDEX($AC$2:$AS$1001,MATCH(ROWS($V$2:V844),$V$2:$V$1001,0),MATCH(COLUMNS($AC$1006:AD1006),$AC$1006:$AS$1006,0)), HYPERLINK("#",""), HYPERLINK(CONCATENATE("#metadata!", ADDRESS(INDEX($X$2:$X$1001,MATCH(ROWS($V$2:V844),$V$2:$V$1001,0),0), INDEX($AC$1004:$AS$1004,1,MATCH(COLUMNS($AC$1006:AD1006),$AC$1006:$AS$1006,0)))),"Fix")))</f>
        <v xml:space="preserve"> </v>
      </c>
      <c r="D844" s="4" t="str">
        <f ca="1">IF(OR(INDEX($W$2:$W$1001,MATCH(ROWS($V$2:V844),$V$2:$V$1001,0),1)&gt;=100000,INDEX($AC$1005:$AS$1005,1,MATCH(COLUMNS($AC$1006:AE1006),$AC$1006:$AS$1006,0))&gt;=100000), " ",IF(INDEX($AC$2:$AS$1001,MATCH(ROWS($V$2:V844),$V$2:$V$1001,0),MATCH(COLUMNS($AC$1006:AE1006),$AC$1006:$AS$1006,0)), HYPERLINK("#",""), HYPERLINK(CONCATENATE("#metadata!", ADDRESS(INDEX($X$2:$X$1001,MATCH(ROWS($V$2:V844),$V$2:$V$1001,0),0), INDEX($AC$1004:$AS$1004,1,MATCH(COLUMNS($AC$1006:AE1006),$AC$1006:$AS$1006,0)))),"Fix")))</f>
        <v xml:space="preserve"> </v>
      </c>
      <c r="E844" s="4" t="str">
        <f ca="1">IF(OR(INDEX($W$2:$W$1001,MATCH(ROWS($V$2:V844),$V$2:$V$1001,0),1)&gt;=100000,INDEX($AC$1005:$AS$1005,1,MATCH(COLUMNS($AC$1006:AF1006),$AC$1006:$AS$1006,0))&gt;=100000), " ",IF(INDEX($AC$2:$AS$1001,MATCH(ROWS($V$2:V844),$V$2:$V$1001,0),MATCH(COLUMNS($AC$1006:AF1006),$AC$1006:$AS$1006,0)), HYPERLINK("#",""), HYPERLINK(CONCATENATE("#metadata!", ADDRESS(INDEX($X$2:$X$1001,MATCH(ROWS($V$2:V844),$V$2:$V$1001,0),0), INDEX($AC$1004:$AS$1004,1,MATCH(COLUMNS($AC$1006:AF1006),$AC$1006:$AS$1006,0)))),"Fix")))</f>
        <v xml:space="preserve"> </v>
      </c>
      <c r="F844" s="4" t="str">
        <f ca="1">IF(OR(INDEX($W$2:$W$1001,MATCH(ROWS($V$2:V844),$V$2:$V$1001,0),1)&gt;=100000,INDEX($AC$1005:$AS$1005,1,MATCH(COLUMNS($AC$1006:AG1006),$AC$1006:$AS$1006,0))&gt;=100000), " ",IF(INDEX($AC$2:$AS$1001,MATCH(ROWS($V$2:V844),$V$2:$V$1001,0),MATCH(COLUMNS($AC$1006:AG1006),$AC$1006:$AS$1006,0)), HYPERLINK("#",""), HYPERLINK(CONCATENATE("#metadata!", ADDRESS(INDEX($X$2:$X$1001,MATCH(ROWS($V$2:V844),$V$2:$V$1001,0),0), INDEX($AC$1004:$AS$1004,1,MATCH(COLUMNS($AC$1006:AG1006),$AC$1006:$AS$1006,0)))),"Fix")))</f>
        <v xml:space="preserve"> </v>
      </c>
      <c r="G844" s="4" t="str">
        <f ca="1">IF(OR(INDEX($W$2:$W$1001,MATCH(ROWS($V$2:V844),$V$2:$V$1001,0),1)&gt;=100000,INDEX($AC$1005:$AS$1005,1,MATCH(COLUMNS($AC$1006:AH1006),$AC$1006:$AS$1006,0))&gt;=100000), " ",IF(INDEX($AC$2:$AS$1001,MATCH(ROWS($V$2:V844),$V$2:$V$1001,0),MATCH(COLUMNS($AC$1006:AH1006),$AC$1006:$AS$1006,0)), HYPERLINK("#",""), HYPERLINK(CONCATENATE("#metadata!", ADDRESS(INDEX($X$2:$X$1001,MATCH(ROWS($V$2:V844),$V$2:$V$1001,0),0), INDEX($AC$1004:$AS$1004,1,MATCH(COLUMNS($AC$1006:AH1006),$AC$1006:$AS$1006,0)))),"Fix")))</f>
        <v xml:space="preserve"> </v>
      </c>
      <c r="H844" s="4" t="str">
        <f ca="1">IF(OR(INDEX($W$2:$W$1001,MATCH(ROWS($V$2:V844),$V$2:$V$1001,0),1)&gt;=100000,INDEX($AC$1005:$AS$1005,1,MATCH(COLUMNS($AC$1006:AI1006),$AC$1006:$AS$1006,0))&gt;=100000), " ",IF(INDEX($AC$2:$AS$1001,MATCH(ROWS($V$2:V844),$V$2:$V$1001,0),MATCH(COLUMNS($AC$1006:AI1006),$AC$1006:$AS$1006,0)), HYPERLINK("#",""), HYPERLINK(CONCATENATE("#metadata!", ADDRESS(INDEX($X$2:$X$1001,MATCH(ROWS($V$2:V844),$V$2:$V$1001,0),0), INDEX($AC$1004:$AS$1004,1,MATCH(COLUMNS($AC$1006:AI1006),$AC$1006:$AS$1006,0)))),"Fix")))</f>
        <v xml:space="preserve"> </v>
      </c>
      <c r="I844" s="4" t="str">
        <f ca="1">IF(OR(INDEX($W$2:$W$1001,MATCH(ROWS($V$2:V844),$V$2:$V$1001,0),1)&gt;=100000,INDEX($AC$1005:$AS$1005,1,MATCH(COLUMNS($AC$1006:AJ1006),$AC$1006:$AS$1006,0))&gt;=100000), " ",IF(INDEX($AC$2:$AS$1001,MATCH(ROWS($V$2:V844),$V$2:$V$1001,0),MATCH(COLUMNS($AC$1006:AJ1006),$AC$1006:$AS$1006,0)), HYPERLINK("#",""), HYPERLINK(CONCATENATE("#metadata!", ADDRESS(INDEX($X$2:$X$1001,MATCH(ROWS($V$2:V844),$V$2:$V$1001,0),0), INDEX($AC$1004:$AS$1004,1,MATCH(COLUMNS($AC$1006:AJ1006),$AC$1006:$AS$1006,0)))),"Fix")))</f>
        <v xml:space="preserve"> </v>
      </c>
      <c r="J844" s="4" t="str">
        <f ca="1">IF(OR(INDEX($W$2:$W$1001,MATCH(ROWS($V$2:V844),$V$2:$V$1001,0),1)&gt;=100000,INDEX($AC$1005:$AS$1005,1,MATCH(COLUMNS($AC$1006:AK1006),$AC$1006:$AS$1006,0))&gt;=100000), " ",IF(INDEX($AC$2:$AS$1001,MATCH(ROWS($V$2:V844),$V$2:$V$1001,0),MATCH(COLUMNS($AC$1006:AK1006),$AC$1006:$AS$1006,0)), HYPERLINK("#",""), HYPERLINK(CONCATENATE("#metadata!", ADDRESS(INDEX($X$2:$X$1001,MATCH(ROWS($V$2:V844),$V$2:$V$1001,0),0), INDEX($AC$1004:$AS$1004,1,MATCH(COLUMNS($AC$1006:AK1006),$AC$1006:$AS$1006,0)))),"Fix")))</f>
        <v xml:space="preserve"> </v>
      </c>
      <c r="K844" s="4" t="str">
        <f ca="1">IF(OR(INDEX($W$2:$W$1001,MATCH(ROWS($V$2:V844),$V$2:$V$1001,0),1)&gt;=100000,INDEX($AC$1005:$AS$1005,1,MATCH(COLUMNS($AC$1006:AL1006),$AC$1006:$AS$1006,0))&gt;=100000), " ",IF(INDEX($AC$2:$AS$1001,MATCH(ROWS($V$2:V844),$V$2:$V$1001,0),MATCH(COLUMNS($AC$1006:AL1006),$AC$1006:$AS$1006,0)), HYPERLINK("#",""), HYPERLINK(CONCATENATE("#metadata!", ADDRESS(INDEX($X$2:$X$1001,MATCH(ROWS($V$2:V844),$V$2:$V$1001,0),0), INDEX($AC$1004:$AS$1004,1,MATCH(COLUMNS($AC$1006:AL1006),$AC$1006:$AS$1006,0)))),"Fix")))</f>
        <v xml:space="preserve"> </v>
      </c>
      <c r="L844" s="4" t="str">
        <f ca="1">IF(OR(INDEX($W$2:$W$1001,MATCH(ROWS($V$2:V844),$V$2:$V$1001,0),1)&gt;=100000,INDEX($AC$1005:$AS$1005,1,MATCH(COLUMNS($AC$1006:AM1006),$AC$1006:$AS$1006,0))&gt;=100000), " ",IF(INDEX($AC$2:$AS$1001,MATCH(ROWS($V$2:V844),$V$2:$V$1001,0),MATCH(COLUMNS($AC$1006:AM1006),$AC$1006:$AS$1006,0)), HYPERLINK("#",""), HYPERLINK(CONCATENATE("#metadata!", ADDRESS(INDEX($X$2:$X$1001,MATCH(ROWS($V$2:V844),$V$2:$V$1001,0),0), INDEX($AC$1004:$AS$1004,1,MATCH(COLUMNS($AC$1006:AM1006),$AC$1006:$AS$1006,0)))),"Fix")))</f>
        <v xml:space="preserve"> </v>
      </c>
      <c r="M844" s="4" t="str">
        <f ca="1">IF(OR(INDEX($W$2:$W$1001,MATCH(ROWS($V$2:V844),$V$2:$V$1001,0),1)&gt;=100000,INDEX($AC$1005:$AS$1005,1,MATCH(COLUMNS($AC$1006:AN1006),$AC$1006:$AS$1006,0))&gt;=100000), " ",IF(INDEX($AC$2:$AS$1001,MATCH(ROWS($V$2:V844),$V$2:$V$1001,0),MATCH(COLUMNS($AC$1006:AN1006),$AC$1006:$AS$1006,0)), HYPERLINK("#",""), HYPERLINK(CONCATENATE("#metadata!", ADDRESS(INDEX($X$2:$X$1001,MATCH(ROWS($V$2:V844),$V$2:$V$1001,0),0), INDEX($AC$1004:$AS$1004,1,MATCH(COLUMNS($AC$1006:AN1006),$AC$1006:$AS$1006,0)))),"Fix")))</f>
        <v xml:space="preserve"> </v>
      </c>
      <c r="N844" s="4" t="str">
        <f ca="1">IF(OR(INDEX($W$2:$W$1001,MATCH(ROWS($V$2:V844),$V$2:$V$1001,0),1)&gt;=100000,INDEX($AC$1005:$AS$1005,1,MATCH(COLUMNS($AC$1006:AO1006),$AC$1006:$AS$1006,0))&gt;=100000), " ",IF(INDEX($AC$2:$AS$1001,MATCH(ROWS($V$2:V844),$V$2:$V$1001,0),MATCH(COLUMNS($AC$1006:AO1006),$AC$1006:$AS$1006,0)), HYPERLINK("#",""), HYPERLINK(CONCATENATE("#metadata!", ADDRESS(INDEX($X$2:$X$1001,MATCH(ROWS($V$2:V844),$V$2:$V$1001,0),0), INDEX($AC$1004:$AS$1004,1,MATCH(COLUMNS($AC$1006:AO1006),$AC$1006:$AS$1006,0)))),"Fix")))</f>
        <v xml:space="preserve"> </v>
      </c>
      <c r="O844" s="4" t="str">
        <f ca="1">IF(OR(INDEX($W$2:$W$1001,MATCH(ROWS($V$2:V844),$V$2:$V$1001,0),1)&gt;=100000,INDEX($AC$1005:$AS$1005,1,MATCH(COLUMNS($AC$1006:AP1006),$AC$1006:$AS$1006,0))&gt;=100000), " ",IF(INDEX($AC$2:$AS$1001,MATCH(ROWS($V$2:V844),$V$2:$V$1001,0),MATCH(COLUMNS($AC$1006:AP1006),$AC$1006:$AS$1006,0)), HYPERLINK("#",""), HYPERLINK(CONCATENATE("#metadata!", ADDRESS(INDEX($X$2:$X$1001,MATCH(ROWS($V$2:V844),$V$2:$V$1001,0),0), INDEX($AC$1004:$AS$1004,1,MATCH(COLUMNS($AC$1006:AP1006),$AC$1006:$AS$1006,0)))),"Fix")))</f>
        <v xml:space="preserve"> </v>
      </c>
      <c r="P844" s="4" t="str">
        <f ca="1">IF(OR(INDEX($W$2:$W$1001,MATCH(ROWS($V$2:V844),$V$2:$V$1001,0),1)&gt;=100000,INDEX($AC$1005:$AS$1005,1,MATCH(COLUMNS($AC$1006:AQ1006),$AC$1006:$AS$1006,0))&gt;=100000), " ",IF(INDEX($AC$2:$AS$1001,MATCH(ROWS($V$2:V844),$V$2:$V$1001,0),MATCH(COLUMNS($AC$1006:AQ1006),$AC$1006:$AS$1006,0)), HYPERLINK("#",""), HYPERLINK(CONCATENATE("#metadata!", ADDRESS(INDEX($X$2:$X$1001,MATCH(ROWS($V$2:V844),$V$2:$V$1001,0),0), INDEX($AC$1004:$AS$1004,1,MATCH(COLUMNS($AC$1006:AQ1006),$AC$1006:$AS$1006,0)))),"Fix")))</f>
        <v xml:space="preserve"> </v>
      </c>
      <c r="Q844" s="4" t="str">
        <f ca="1">IF(OR(INDEX($W$2:$W$1001,MATCH(ROWS($V$2:V844),$V$2:$V$1001,0),1)&gt;=100000,INDEX($AC$1005:$AS$1005,1,MATCH(COLUMNS($AC$1006:AR1006),$AC$1006:$AS$1006,0))&gt;=100000), " ",IF(INDEX($AC$2:$AS$1001,MATCH(ROWS($V$2:V844),$V$2:$V$1001,0),MATCH(COLUMNS($AC$1006:AR1006),$AC$1006:$AS$1006,0)), HYPERLINK("#",""), HYPERLINK(CONCATENATE("#metadata!", ADDRESS(INDEX($X$2:$X$1001,MATCH(ROWS($V$2:V844),$V$2:$V$1001,0),0), INDEX($AC$1004:$AS$1004,1,MATCH(COLUMNS($AC$1006:AR1006),$AC$1006:$AS$1006,0)))),"Fix")))</f>
        <v xml:space="preserve"> </v>
      </c>
      <c r="R844" s="4" t="str">
        <f ca="1">IF(OR(INDEX($W$2:$W$1001,MATCH(ROWS($V$2:V844),$V$2:$V$1001,0),1)&gt;=100000,INDEX($AC$1005:$AS$1005,1,MATCH(COLUMNS($AC$1006:AS1006),$AC$1006:$AS$1006,0))&gt;=100000), " ",IF(INDEX($AC$2:$AS$1001,MATCH(ROWS($V$2:V844),$V$2:$V$1001,0),MATCH(COLUMNS($AC$1006:AS1006),$AC$1006:$AS$1006,0)), HYPERLINK("#",""), HYPERLINK(CONCATENATE("#metadata!", ADDRESS(INDEX($X$2:$X$1001,MATCH(ROWS($V$2:V844),$V$2:$V$1001,0),0), INDEX($AC$1004:$AS$1004,1,MATCH(COLUMNS($AC$1006:AS1006),$AC$1006:$AS$1006,0)))),"Fix")))</f>
        <v xml:space="preserve"> </v>
      </c>
      <c r="V844">
        <v>843</v>
      </c>
      <c r="W844">
        <v>100844</v>
      </c>
      <c r="X844">
        <v>844</v>
      </c>
      <c r="Y844" t="b">
        <f t="shared" si="13"/>
        <v>1</v>
      </c>
      <c r="Z844" t="b">
        <f>COUNTBLANK(metadata!B844:R844)=COLUMNS(metadata!B844:R844)</f>
        <v>1</v>
      </c>
      <c r="AA844" t="str">
        <v/>
      </c>
      <c r="AC844" t="b">
        <f ca="1"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AD844" t="b">
        <f>IF(metadata!C844="",FALSE,ISNUMBER(VALUE(metadata!C844)))</f>
        <v>0</v>
      </c>
      <c r="AE844" t="b">
        <f>AND(IF(metadata!D844="",FALSE,TRUE),EXACT(metadata!D844,"years"))</f>
        <v>0</v>
      </c>
      <c r="AF844" t="b">
        <f>OR(AND(IF(metadata!E844="",FALSE,TRUE),OR(EXACT(metadata!E844,"not applicable"),EXACT(metadata!E844,"missing: not collected"),EXACT(metadata!E844,"missing: not provided"),EXACT(metadata!E844,"missing: restricted access"))),AND(IF(metadata!E844="",FALSE,ISNUMBER(VALUE(metadata!E844))),metadata!E844&gt;0))</f>
        <v>0</v>
      </c>
      <c r="AG844" t="b">
        <f>AND(IF(metadata!F844="",FALSE,TRUE),EXACT(metadata!F844,"Not applicable"))</f>
        <v>0</v>
      </c>
      <c r="AH844" t="b">
        <f>AND(IF(metadata!G844="",FALSE,TRUE),EXACT(metadata!G844,"urban biome"))</f>
        <v>0</v>
      </c>
      <c r="AI844" t="b">
        <f>AND(IF(metadata!H844="",FALSE,TRUE),EXACT(metadata!H844,"human-associated habitat"))</f>
        <v>0</v>
      </c>
      <c r="AJ844" t="b">
        <f>AND(IF(metadata!I844="",FALSE,TRUE),OR(EXACT(metadata!I844,"human-associated"),EXACT(metadata!I844,"human-skin"),EXACT(metadata!I844,"human-oral"),EXACT(metadata!I844,"human-gut"),EXACT(metadata!I844,"human-vaginal")))</f>
        <v>0</v>
      </c>
      <c r="AK844" t="b">
        <f>IF(metadata!J844="",FALSE,ISNUMBER(VALUE(metadata!J844)))</f>
        <v>0</v>
      </c>
      <c r="AL844" t="b">
        <f>AND(IF(metadata!K844="",FALSE,TRUE),EXACT(metadata!K844,"cm"))</f>
        <v>0</v>
      </c>
      <c r="AM844" t="b">
        <f>AND(IF(metadata!L844="",FALSE,TRUE),EXACT(metadata!L844,"human"))</f>
        <v>0</v>
      </c>
      <c r="AN844" t="b">
        <f>AND(IF(metadata!M844="",FALSE,TRUE),EXACT(metadata!M844,"Homo sapiens"))</f>
        <v>0</v>
      </c>
      <c r="AO844" t="b">
        <f>AND(IF(metadata!N844="",FALSE,TRUE),EXACT(metadata!N844,"9606"))</f>
        <v>0</v>
      </c>
      <c r="AP844" t="b">
        <f>IF(metadata!O844="",FALSE,TRUE)</f>
        <v>0</v>
      </c>
      <c r="AQ844" t="b">
        <f>IF(metadata!P844="",FALSE,TRUE)</f>
        <v>0</v>
      </c>
      <c r="AR844" t="b">
        <f>IF(metadata!Q844="",FALSE,ISNUMBER(VALUE(metadata!Q844)))</f>
        <v>0</v>
      </c>
      <c r="AS844" t="b">
        <f>AND(IF(metadata!R844="",FALSE,TRUE),EXACT(metadata!R844,"kg"))</f>
        <v>0</v>
      </c>
    </row>
    <row r="845" spans="1:45" x14ac:dyDescent="0.2">
      <c r="A845" s="5" t="str">
        <f ca="1">IF(B845=" "," ",HYPERLINK(CONCATENATE("#metadata!",ADDRESS(INDEX($X$2:$X$1001,MATCH(ROWS($V$2:V845),$V$2:$V$1001,0),0),1)),INDEX($AA$2:$AA$1001,MATCH(ROWS($V$2:V845),$V$2:$V$1001,0),0)))</f>
        <v xml:space="preserve"> </v>
      </c>
      <c r="B845" s="4" t="str">
        <f ca="1">IF(OR(INDEX($W$2:$W$1001,MATCH(ROWS($V$2:V845),$V$2:$V$1001,0),1)&gt;=100000,INDEX($AC$1005:$AS$1005,1,MATCH(COLUMNS($AC$1006:AC1006),$AC$1006:$AS$1006,0))&gt;=100000), " ",IF(INDEX($AC$2:$AS$1001,MATCH(ROWS($V$2:V845),$V$2:$V$1001,0),MATCH(COLUMNS($AC$1006:AC1006),$AC$1006:$AS$1006,0)), HYPERLINK("#",""), HYPERLINK(CONCATENATE("#metadata!", ADDRESS(INDEX($X$2:$X$1001,MATCH(ROWS($V$2:V845),$V$2:$V$1001,0),0), INDEX($AC$1004:$AS$1004,1,MATCH(COLUMNS($AC$1006:AC1006),$AC$1006:$AS$1006,0)))),"Fix")))</f>
        <v xml:space="preserve"> </v>
      </c>
      <c r="C845" s="4" t="str">
        <f ca="1">IF(OR(INDEX($W$2:$W$1001,MATCH(ROWS($V$2:V845),$V$2:$V$1001,0),1)&gt;=100000,INDEX($AC$1005:$AS$1005,1,MATCH(COLUMNS($AC$1006:AD1006),$AC$1006:$AS$1006,0))&gt;=100000), " ",IF(INDEX($AC$2:$AS$1001,MATCH(ROWS($V$2:V845),$V$2:$V$1001,0),MATCH(COLUMNS($AC$1006:AD1006),$AC$1006:$AS$1006,0)), HYPERLINK("#",""), HYPERLINK(CONCATENATE("#metadata!", ADDRESS(INDEX($X$2:$X$1001,MATCH(ROWS($V$2:V845),$V$2:$V$1001,0),0), INDEX($AC$1004:$AS$1004,1,MATCH(COLUMNS($AC$1006:AD1006),$AC$1006:$AS$1006,0)))),"Fix")))</f>
        <v xml:space="preserve"> </v>
      </c>
      <c r="D845" s="4" t="str">
        <f ca="1">IF(OR(INDEX($W$2:$W$1001,MATCH(ROWS($V$2:V845),$V$2:$V$1001,0),1)&gt;=100000,INDEX($AC$1005:$AS$1005,1,MATCH(COLUMNS($AC$1006:AE1006),$AC$1006:$AS$1006,0))&gt;=100000), " ",IF(INDEX($AC$2:$AS$1001,MATCH(ROWS($V$2:V845),$V$2:$V$1001,0),MATCH(COLUMNS($AC$1006:AE1006),$AC$1006:$AS$1006,0)), HYPERLINK("#",""), HYPERLINK(CONCATENATE("#metadata!", ADDRESS(INDEX($X$2:$X$1001,MATCH(ROWS($V$2:V845),$V$2:$V$1001,0),0), INDEX($AC$1004:$AS$1004,1,MATCH(COLUMNS($AC$1006:AE1006),$AC$1006:$AS$1006,0)))),"Fix")))</f>
        <v xml:space="preserve"> </v>
      </c>
      <c r="E845" s="4" t="str">
        <f ca="1">IF(OR(INDEX($W$2:$W$1001,MATCH(ROWS($V$2:V845),$V$2:$V$1001,0),1)&gt;=100000,INDEX($AC$1005:$AS$1005,1,MATCH(COLUMNS($AC$1006:AF1006),$AC$1006:$AS$1006,0))&gt;=100000), " ",IF(INDEX($AC$2:$AS$1001,MATCH(ROWS($V$2:V845),$V$2:$V$1001,0),MATCH(COLUMNS($AC$1006:AF1006),$AC$1006:$AS$1006,0)), HYPERLINK("#",""), HYPERLINK(CONCATENATE("#metadata!", ADDRESS(INDEX($X$2:$X$1001,MATCH(ROWS($V$2:V845),$V$2:$V$1001,0),0), INDEX($AC$1004:$AS$1004,1,MATCH(COLUMNS($AC$1006:AF1006),$AC$1006:$AS$1006,0)))),"Fix")))</f>
        <v xml:space="preserve"> </v>
      </c>
      <c r="F845" s="4" t="str">
        <f ca="1">IF(OR(INDEX($W$2:$W$1001,MATCH(ROWS($V$2:V845),$V$2:$V$1001,0),1)&gt;=100000,INDEX($AC$1005:$AS$1005,1,MATCH(COLUMNS($AC$1006:AG1006),$AC$1006:$AS$1006,0))&gt;=100000), " ",IF(INDEX($AC$2:$AS$1001,MATCH(ROWS($V$2:V845),$V$2:$V$1001,0),MATCH(COLUMNS($AC$1006:AG1006),$AC$1006:$AS$1006,0)), HYPERLINK("#",""), HYPERLINK(CONCATENATE("#metadata!", ADDRESS(INDEX($X$2:$X$1001,MATCH(ROWS($V$2:V845),$V$2:$V$1001,0),0), INDEX($AC$1004:$AS$1004,1,MATCH(COLUMNS($AC$1006:AG1006),$AC$1006:$AS$1006,0)))),"Fix")))</f>
        <v xml:space="preserve"> </v>
      </c>
      <c r="G845" s="4" t="str">
        <f ca="1">IF(OR(INDEX($W$2:$W$1001,MATCH(ROWS($V$2:V845),$V$2:$V$1001,0),1)&gt;=100000,INDEX($AC$1005:$AS$1005,1,MATCH(COLUMNS($AC$1006:AH1006),$AC$1006:$AS$1006,0))&gt;=100000), " ",IF(INDEX($AC$2:$AS$1001,MATCH(ROWS($V$2:V845),$V$2:$V$1001,0),MATCH(COLUMNS($AC$1006:AH1006),$AC$1006:$AS$1006,0)), HYPERLINK("#",""), HYPERLINK(CONCATENATE("#metadata!", ADDRESS(INDEX($X$2:$X$1001,MATCH(ROWS($V$2:V845),$V$2:$V$1001,0),0), INDEX($AC$1004:$AS$1004,1,MATCH(COLUMNS($AC$1006:AH1006),$AC$1006:$AS$1006,0)))),"Fix")))</f>
        <v xml:space="preserve"> </v>
      </c>
      <c r="H845" s="4" t="str">
        <f ca="1">IF(OR(INDEX($W$2:$W$1001,MATCH(ROWS($V$2:V845),$V$2:$V$1001,0),1)&gt;=100000,INDEX($AC$1005:$AS$1005,1,MATCH(COLUMNS($AC$1006:AI1006),$AC$1006:$AS$1006,0))&gt;=100000), " ",IF(INDEX($AC$2:$AS$1001,MATCH(ROWS($V$2:V845),$V$2:$V$1001,0),MATCH(COLUMNS($AC$1006:AI1006),$AC$1006:$AS$1006,0)), HYPERLINK("#",""), HYPERLINK(CONCATENATE("#metadata!", ADDRESS(INDEX($X$2:$X$1001,MATCH(ROWS($V$2:V845),$V$2:$V$1001,0),0), INDEX($AC$1004:$AS$1004,1,MATCH(COLUMNS($AC$1006:AI1006),$AC$1006:$AS$1006,0)))),"Fix")))</f>
        <v xml:space="preserve"> </v>
      </c>
      <c r="I845" s="4" t="str">
        <f ca="1">IF(OR(INDEX($W$2:$W$1001,MATCH(ROWS($V$2:V845),$V$2:$V$1001,0),1)&gt;=100000,INDEX($AC$1005:$AS$1005,1,MATCH(COLUMNS($AC$1006:AJ1006),$AC$1006:$AS$1006,0))&gt;=100000), " ",IF(INDEX($AC$2:$AS$1001,MATCH(ROWS($V$2:V845),$V$2:$V$1001,0),MATCH(COLUMNS($AC$1006:AJ1006),$AC$1006:$AS$1006,0)), HYPERLINK("#",""), HYPERLINK(CONCATENATE("#metadata!", ADDRESS(INDEX($X$2:$X$1001,MATCH(ROWS($V$2:V845),$V$2:$V$1001,0),0), INDEX($AC$1004:$AS$1004,1,MATCH(COLUMNS($AC$1006:AJ1006),$AC$1006:$AS$1006,0)))),"Fix")))</f>
        <v xml:space="preserve"> </v>
      </c>
      <c r="J845" s="4" t="str">
        <f ca="1">IF(OR(INDEX($W$2:$W$1001,MATCH(ROWS($V$2:V845),$V$2:$V$1001,0),1)&gt;=100000,INDEX($AC$1005:$AS$1005,1,MATCH(COLUMNS($AC$1006:AK1006),$AC$1006:$AS$1006,0))&gt;=100000), " ",IF(INDEX($AC$2:$AS$1001,MATCH(ROWS($V$2:V845),$V$2:$V$1001,0),MATCH(COLUMNS($AC$1006:AK1006),$AC$1006:$AS$1006,0)), HYPERLINK("#",""), HYPERLINK(CONCATENATE("#metadata!", ADDRESS(INDEX($X$2:$X$1001,MATCH(ROWS($V$2:V845),$V$2:$V$1001,0),0), INDEX($AC$1004:$AS$1004,1,MATCH(COLUMNS($AC$1006:AK1006),$AC$1006:$AS$1006,0)))),"Fix")))</f>
        <v xml:space="preserve"> </v>
      </c>
      <c r="K845" s="4" t="str">
        <f ca="1">IF(OR(INDEX($W$2:$W$1001,MATCH(ROWS($V$2:V845),$V$2:$V$1001,0),1)&gt;=100000,INDEX($AC$1005:$AS$1005,1,MATCH(COLUMNS($AC$1006:AL1006),$AC$1006:$AS$1006,0))&gt;=100000), " ",IF(INDEX($AC$2:$AS$1001,MATCH(ROWS($V$2:V845),$V$2:$V$1001,0),MATCH(COLUMNS($AC$1006:AL1006),$AC$1006:$AS$1006,0)), HYPERLINK("#",""), HYPERLINK(CONCATENATE("#metadata!", ADDRESS(INDEX($X$2:$X$1001,MATCH(ROWS($V$2:V845),$V$2:$V$1001,0),0), INDEX($AC$1004:$AS$1004,1,MATCH(COLUMNS($AC$1006:AL1006),$AC$1006:$AS$1006,0)))),"Fix")))</f>
        <v xml:space="preserve"> </v>
      </c>
      <c r="L845" s="4" t="str">
        <f ca="1">IF(OR(INDEX($W$2:$W$1001,MATCH(ROWS($V$2:V845),$V$2:$V$1001,0),1)&gt;=100000,INDEX($AC$1005:$AS$1005,1,MATCH(COLUMNS($AC$1006:AM1006),$AC$1006:$AS$1006,0))&gt;=100000), " ",IF(INDEX($AC$2:$AS$1001,MATCH(ROWS($V$2:V845),$V$2:$V$1001,0),MATCH(COLUMNS($AC$1006:AM1006),$AC$1006:$AS$1006,0)), HYPERLINK("#",""), HYPERLINK(CONCATENATE("#metadata!", ADDRESS(INDEX($X$2:$X$1001,MATCH(ROWS($V$2:V845),$V$2:$V$1001,0),0), INDEX($AC$1004:$AS$1004,1,MATCH(COLUMNS($AC$1006:AM1006),$AC$1006:$AS$1006,0)))),"Fix")))</f>
        <v xml:space="preserve"> </v>
      </c>
      <c r="M845" s="4" t="str">
        <f ca="1">IF(OR(INDEX($W$2:$W$1001,MATCH(ROWS($V$2:V845),$V$2:$V$1001,0),1)&gt;=100000,INDEX($AC$1005:$AS$1005,1,MATCH(COLUMNS($AC$1006:AN1006),$AC$1006:$AS$1006,0))&gt;=100000), " ",IF(INDEX($AC$2:$AS$1001,MATCH(ROWS($V$2:V845),$V$2:$V$1001,0),MATCH(COLUMNS($AC$1006:AN1006),$AC$1006:$AS$1006,0)), HYPERLINK("#",""), HYPERLINK(CONCATENATE("#metadata!", ADDRESS(INDEX($X$2:$X$1001,MATCH(ROWS($V$2:V845),$V$2:$V$1001,0),0), INDEX($AC$1004:$AS$1004,1,MATCH(COLUMNS($AC$1006:AN1006),$AC$1006:$AS$1006,0)))),"Fix")))</f>
        <v xml:space="preserve"> </v>
      </c>
      <c r="N845" s="4" t="str">
        <f ca="1">IF(OR(INDEX($W$2:$W$1001,MATCH(ROWS($V$2:V845),$V$2:$V$1001,0),1)&gt;=100000,INDEX($AC$1005:$AS$1005,1,MATCH(COLUMNS($AC$1006:AO1006),$AC$1006:$AS$1006,0))&gt;=100000), " ",IF(INDEX($AC$2:$AS$1001,MATCH(ROWS($V$2:V845),$V$2:$V$1001,0),MATCH(COLUMNS($AC$1006:AO1006),$AC$1006:$AS$1006,0)), HYPERLINK("#",""), HYPERLINK(CONCATENATE("#metadata!", ADDRESS(INDEX($X$2:$X$1001,MATCH(ROWS($V$2:V845),$V$2:$V$1001,0),0), INDEX($AC$1004:$AS$1004,1,MATCH(COLUMNS($AC$1006:AO1006),$AC$1006:$AS$1006,0)))),"Fix")))</f>
        <v xml:space="preserve"> </v>
      </c>
      <c r="O845" s="4" t="str">
        <f ca="1">IF(OR(INDEX($W$2:$W$1001,MATCH(ROWS($V$2:V845),$V$2:$V$1001,0),1)&gt;=100000,INDEX($AC$1005:$AS$1005,1,MATCH(COLUMNS($AC$1006:AP1006),$AC$1006:$AS$1006,0))&gt;=100000), " ",IF(INDEX($AC$2:$AS$1001,MATCH(ROWS($V$2:V845),$V$2:$V$1001,0),MATCH(COLUMNS($AC$1006:AP1006),$AC$1006:$AS$1006,0)), HYPERLINK("#",""), HYPERLINK(CONCATENATE("#metadata!", ADDRESS(INDEX($X$2:$X$1001,MATCH(ROWS($V$2:V845),$V$2:$V$1001,0),0), INDEX($AC$1004:$AS$1004,1,MATCH(COLUMNS($AC$1006:AP1006),$AC$1006:$AS$1006,0)))),"Fix")))</f>
        <v xml:space="preserve"> </v>
      </c>
      <c r="P845" s="4" t="str">
        <f ca="1">IF(OR(INDEX($W$2:$W$1001,MATCH(ROWS($V$2:V845),$V$2:$V$1001,0),1)&gt;=100000,INDEX($AC$1005:$AS$1005,1,MATCH(COLUMNS($AC$1006:AQ1006),$AC$1006:$AS$1006,0))&gt;=100000), " ",IF(INDEX($AC$2:$AS$1001,MATCH(ROWS($V$2:V845),$V$2:$V$1001,0),MATCH(COLUMNS($AC$1006:AQ1006),$AC$1006:$AS$1006,0)), HYPERLINK("#",""), HYPERLINK(CONCATENATE("#metadata!", ADDRESS(INDEX($X$2:$X$1001,MATCH(ROWS($V$2:V845),$V$2:$V$1001,0),0), INDEX($AC$1004:$AS$1004,1,MATCH(COLUMNS($AC$1006:AQ1006),$AC$1006:$AS$1006,0)))),"Fix")))</f>
        <v xml:space="preserve"> </v>
      </c>
      <c r="Q845" s="4" t="str">
        <f ca="1">IF(OR(INDEX($W$2:$W$1001,MATCH(ROWS($V$2:V845),$V$2:$V$1001,0),1)&gt;=100000,INDEX($AC$1005:$AS$1005,1,MATCH(COLUMNS($AC$1006:AR1006),$AC$1006:$AS$1006,0))&gt;=100000), " ",IF(INDEX($AC$2:$AS$1001,MATCH(ROWS($V$2:V845),$V$2:$V$1001,0),MATCH(COLUMNS($AC$1006:AR1006),$AC$1006:$AS$1006,0)), HYPERLINK("#",""), HYPERLINK(CONCATENATE("#metadata!", ADDRESS(INDEX($X$2:$X$1001,MATCH(ROWS($V$2:V845),$V$2:$V$1001,0),0), INDEX($AC$1004:$AS$1004,1,MATCH(COLUMNS($AC$1006:AR1006),$AC$1006:$AS$1006,0)))),"Fix")))</f>
        <v xml:space="preserve"> </v>
      </c>
      <c r="R845" s="4" t="str">
        <f ca="1">IF(OR(INDEX($W$2:$W$1001,MATCH(ROWS($V$2:V845),$V$2:$V$1001,0),1)&gt;=100000,INDEX($AC$1005:$AS$1005,1,MATCH(COLUMNS($AC$1006:AS1006),$AC$1006:$AS$1006,0))&gt;=100000), " ",IF(INDEX($AC$2:$AS$1001,MATCH(ROWS($V$2:V845),$V$2:$V$1001,0),MATCH(COLUMNS($AC$1006:AS1006),$AC$1006:$AS$1006,0)), HYPERLINK("#",""), HYPERLINK(CONCATENATE("#metadata!", ADDRESS(INDEX($X$2:$X$1001,MATCH(ROWS($V$2:V845),$V$2:$V$1001,0),0), INDEX($AC$1004:$AS$1004,1,MATCH(COLUMNS($AC$1006:AS1006),$AC$1006:$AS$1006,0)))),"Fix")))</f>
        <v xml:space="preserve"> </v>
      </c>
      <c r="V845">
        <v>844</v>
      </c>
      <c r="W845">
        <v>100845</v>
      </c>
      <c r="X845">
        <v>845</v>
      </c>
      <c r="Y845" t="b">
        <f t="shared" si="13"/>
        <v>1</v>
      </c>
      <c r="Z845" t="b">
        <f>COUNTBLANK(metadata!B845:R845)=COLUMNS(metadata!B845:R845)</f>
        <v>1</v>
      </c>
      <c r="AA845" t="str">
        <v/>
      </c>
      <c r="AC845" t="b">
        <f ca="1"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AD845" t="b">
        <f>IF(metadata!C845="",FALSE,ISNUMBER(VALUE(metadata!C845)))</f>
        <v>0</v>
      </c>
      <c r="AE845" t="b">
        <f>AND(IF(metadata!D845="",FALSE,TRUE),EXACT(metadata!D845,"years"))</f>
        <v>0</v>
      </c>
      <c r="AF845" t="b">
        <f>OR(AND(IF(metadata!E845="",FALSE,TRUE),OR(EXACT(metadata!E845,"not applicable"),EXACT(metadata!E845,"missing: not collected"),EXACT(metadata!E845,"missing: not provided"),EXACT(metadata!E845,"missing: restricted access"))),AND(IF(metadata!E845="",FALSE,ISNUMBER(VALUE(metadata!E845))),metadata!E845&gt;0))</f>
        <v>0</v>
      </c>
      <c r="AG845" t="b">
        <f>AND(IF(metadata!F845="",FALSE,TRUE),EXACT(metadata!F845,"Not applicable"))</f>
        <v>0</v>
      </c>
      <c r="AH845" t="b">
        <f>AND(IF(metadata!G845="",FALSE,TRUE),EXACT(metadata!G845,"urban biome"))</f>
        <v>0</v>
      </c>
      <c r="AI845" t="b">
        <f>AND(IF(metadata!H845="",FALSE,TRUE),EXACT(metadata!H845,"human-associated habitat"))</f>
        <v>0</v>
      </c>
      <c r="AJ845" t="b">
        <f>AND(IF(metadata!I845="",FALSE,TRUE),OR(EXACT(metadata!I845,"human-associated"),EXACT(metadata!I845,"human-skin"),EXACT(metadata!I845,"human-oral"),EXACT(metadata!I845,"human-gut"),EXACT(metadata!I845,"human-vaginal")))</f>
        <v>0</v>
      </c>
      <c r="AK845" t="b">
        <f>IF(metadata!J845="",FALSE,ISNUMBER(VALUE(metadata!J845)))</f>
        <v>0</v>
      </c>
      <c r="AL845" t="b">
        <f>AND(IF(metadata!K845="",FALSE,TRUE),EXACT(metadata!K845,"cm"))</f>
        <v>0</v>
      </c>
      <c r="AM845" t="b">
        <f>AND(IF(metadata!L845="",FALSE,TRUE),EXACT(metadata!L845,"human"))</f>
        <v>0</v>
      </c>
      <c r="AN845" t="b">
        <f>AND(IF(metadata!M845="",FALSE,TRUE),EXACT(metadata!M845,"Homo sapiens"))</f>
        <v>0</v>
      </c>
      <c r="AO845" t="b">
        <f>AND(IF(metadata!N845="",FALSE,TRUE),EXACT(metadata!N845,"9606"))</f>
        <v>0</v>
      </c>
      <c r="AP845" t="b">
        <f>IF(metadata!O845="",FALSE,TRUE)</f>
        <v>0</v>
      </c>
      <c r="AQ845" t="b">
        <f>IF(metadata!P845="",FALSE,TRUE)</f>
        <v>0</v>
      </c>
      <c r="AR845" t="b">
        <f>IF(metadata!Q845="",FALSE,ISNUMBER(VALUE(metadata!Q845)))</f>
        <v>0</v>
      </c>
      <c r="AS845" t="b">
        <f>AND(IF(metadata!R845="",FALSE,TRUE),EXACT(metadata!R845,"kg"))</f>
        <v>0</v>
      </c>
    </row>
    <row r="846" spans="1:45" x14ac:dyDescent="0.2">
      <c r="A846" s="5" t="str">
        <f ca="1">IF(B846=" "," ",HYPERLINK(CONCATENATE("#metadata!",ADDRESS(INDEX($X$2:$X$1001,MATCH(ROWS($V$2:V846),$V$2:$V$1001,0),0),1)),INDEX($AA$2:$AA$1001,MATCH(ROWS($V$2:V846),$V$2:$V$1001,0),0)))</f>
        <v xml:space="preserve"> </v>
      </c>
      <c r="B846" s="4" t="str">
        <f ca="1">IF(OR(INDEX($W$2:$W$1001,MATCH(ROWS($V$2:V846),$V$2:$V$1001,0),1)&gt;=100000,INDEX($AC$1005:$AS$1005,1,MATCH(COLUMNS($AC$1006:AC1006),$AC$1006:$AS$1006,0))&gt;=100000), " ",IF(INDEX($AC$2:$AS$1001,MATCH(ROWS($V$2:V846),$V$2:$V$1001,0),MATCH(COLUMNS($AC$1006:AC1006),$AC$1006:$AS$1006,0)), HYPERLINK("#",""), HYPERLINK(CONCATENATE("#metadata!", ADDRESS(INDEX($X$2:$X$1001,MATCH(ROWS($V$2:V846),$V$2:$V$1001,0),0), INDEX($AC$1004:$AS$1004,1,MATCH(COLUMNS($AC$1006:AC1006),$AC$1006:$AS$1006,0)))),"Fix")))</f>
        <v xml:space="preserve"> </v>
      </c>
      <c r="C846" s="4" t="str">
        <f ca="1">IF(OR(INDEX($W$2:$W$1001,MATCH(ROWS($V$2:V846),$V$2:$V$1001,0),1)&gt;=100000,INDEX($AC$1005:$AS$1005,1,MATCH(COLUMNS($AC$1006:AD1006),$AC$1006:$AS$1006,0))&gt;=100000), " ",IF(INDEX($AC$2:$AS$1001,MATCH(ROWS($V$2:V846),$V$2:$V$1001,0),MATCH(COLUMNS($AC$1006:AD1006),$AC$1006:$AS$1006,0)), HYPERLINK("#",""), HYPERLINK(CONCATENATE("#metadata!", ADDRESS(INDEX($X$2:$X$1001,MATCH(ROWS($V$2:V846),$V$2:$V$1001,0),0), INDEX($AC$1004:$AS$1004,1,MATCH(COLUMNS($AC$1006:AD1006),$AC$1006:$AS$1006,0)))),"Fix")))</f>
        <v xml:space="preserve"> </v>
      </c>
      <c r="D846" s="4" t="str">
        <f ca="1">IF(OR(INDEX($W$2:$W$1001,MATCH(ROWS($V$2:V846),$V$2:$V$1001,0),1)&gt;=100000,INDEX($AC$1005:$AS$1005,1,MATCH(COLUMNS($AC$1006:AE1006),$AC$1006:$AS$1006,0))&gt;=100000), " ",IF(INDEX($AC$2:$AS$1001,MATCH(ROWS($V$2:V846),$V$2:$V$1001,0),MATCH(COLUMNS($AC$1006:AE1006),$AC$1006:$AS$1006,0)), HYPERLINK("#",""), HYPERLINK(CONCATENATE("#metadata!", ADDRESS(INDEX($X$2:$X$1001,MATCH(ROWS($V$2:V846),$V$2:$V$1001,0),0), INDEX($AC$1004:$AS$1004,1,MATCH(COLUMNS($AC$1006:AE1006),$AC$1006:$AS$1006,0)))),"Fix")))</f>
        <v xml:space="preserve"> </v>
      </c>
      <c r="E846" s="4" t="str">
        <f ca="1">IF(OR(INDEX($W$2:$W$1001,MATCH(ROWS($V$2:V846),$V$2:$V$1001,0),1)&gt;=100000,INDEX($AC$1005:$AS$1005,1,MATCH(COLUMNS($AC$1006:AF1006),$AC$1006:$AS$1006,0))&gt;=100000), " ",IF(INDEX($AC$2:$AS$1001,MATCH(ROWS($V$2:V846),$V$2:$V$1001,0),MATCH(COLUMNS($AC$1006:AF1006),$AC$1006:$AS$1006,0)), HYPERLINK("#",""), HYPERLINK(CONCATENATE("#metadata!", ADDRESS(INDEX($X$2:$X$1001,MATCH(ROWS($V$2:V846),$V$2:$V$1001,0),0), INDEX($AC$1004:$AS$1004,1,MATCH(COLUMNS($AC$1006:AF1006),$AC$1006:$AS$1006,0)))),"Fix")))</f>
        <v xml:space="preserve"> </v>
      </c>
      <c r="F846" s="4" t="str">
        <f ca="1">IF(OR(INDEX($W$2:$W$1001,MATCH(ROWS($V$2:V846),$V$2:$V$1001,0),1)&gt;=100000,INDEX($AC$1005:$AS$1005,1,MATCH(COLUMNS($AC$1006:AG1006),$AC$1006:$AS$1006,0))&gt;=100000), " ",IF(INDEX($AC$2:$AS$1001,MATCH(ROWS($V$2:V846),$V$2:$V$1001,0),MATCH(COLUMNS($AC$1006:AG1006),$AC$1006:$AS$1006,0)), HYPERLINK("#",""), HYPERLINK(CONCATENATE("#metadata!", ADDRESS(INDEX($X$2:$X$1001,MATCH(ROWS($V$2:V846),$V$2:$V$1001,0),0), INDEX($AC$1004:$AS$1004,1,MATCH(COLUMNS($AC$1006:AG1006),$AC$1006:$AS$1006,0)))),"Fix")))</f>
        <v xml:space="preserve"> </v>
      </c>
      <c r="G846" s="4" t="str">
        <f ca="1">IF(OR(INDEX($W$2:$W$1001,MATCH(ROWS($V$2:V846),$V$2:$V$1001,0),1)&gt;=100000,INDEX($AC$1005:$AS$1005,1,MATCH(COLUMNS($AC$1006:AH1006),$AC$1006:$AS$1006,0))&gt;=100000), " ",IF(INDEX($AC$2:$AS$1001,MATCH(ROWS($V$2:V846),$V$2:$V$1001,0),MATCH(COLUMNS($AC$1006:AH1006),$AC$1006:$AS$1006,0)), HYPERLINK("#",""), HYPERLINK(CONCATENATE("#metadata!", ADDRESS(INDEX($X$2:$X$1001,MATCH(ROWS($V$2:V846),$V$2:$V$1001,0),0), INDEX($AC$1004:$AS$1004,1,MATCH(COLUMNS($AC$1006:AH1006),$AC$1006:$AS$1006,0)))),"Fix")))</f>
        <v xml:space="preserve"> </v>
      </c>
      <c r="H846" s="4" t="str">
        <f ca="1">IF(OR(INDEX($W$2:$W$1001,MATCH(ROWS($V$2:V846),$V$2:$V$1001,0),1)&gt;=100000,INDEX($AC$1005:$AS$1005,1,MATCH(COLUMNS($AC$1006:AI1006),$AC$1006:$AS$1006,0))&gt;=100000), " ",IF(INDEX($AC$2:$AS$1001,MATCH(ROWS($V$2:V846),$V$2:$V$1001,0),MATCH(COLUMNS($AC$1006:AI1006),$AC$1006:$AS$1006,0)), HYPERLINK("#",""), HYPERLINK(CONCATENATE("#metadata!", ADDRESS(INDEX($X$2:$X$1001,MATCH(ROWS($V$2:V846),$V$2:$V$1001,0),0), INDEX($AC$1004:$AS$1004,1,MATCH(COLUMNS($AC$1006:AI1006),$AC$1006:$AS$1006,0)))),"Fix")))</f>
        <v xml:space="preserve"> </v>
      </c>
      <c r="I846" s="4" t="str">
        <f ca="1">IF(OR(INDEX($W$2:$W$1001,MATCH(ROWS($V$2:V846),$V$2:$V$1001,0),1)&gt;=100000,INDEX($AC$1005:$AS$1005,1,MATCH(COLUMNS($AC$1006:AJ1006),$AC$1006:$AS$1006,0))&gt;=100000), " ",IF(INDEX($AC$2:$AS$1001,MATCH(ROWS($V$2:V846),$V$2:$V$1001,0),MATCH(COLUMNS($AC$1006:AJ1006),$AC$1006:$AS$1006,0)), HYPERLINK("#",""), HYPERLINK(CONCATENATE("#metadata!", ADDRESS(INDEX($X$2:$X$1001,MATCH(ROWS($V$2:V846),$V$2:$V$1001,0),0), INDEX($AC$1004:$AS$1004,1,MATCH(COLUMNS($AC$1006:AJ1006),$AC$1006:$AS$1006,0)))),"Fix")))</f>
        <v xml:space="preserve"> </v>
      </c>
      <c r="J846" s="4" t="str">
        <f ca="1">IF(OR(INDEX($W$2:$W$1001,MATCH(ROWS($V$2:V846),$V$2:$V$1001,0),1)&gt;=100000,INDEX($AC$1005:$AS$1005,1,MATCH(COLUMNS($AC$1006:AK1006),$AC$1006:$AS$1006,0))&gt;=100000), " ",IF(INDEX($AC$2:$AS$1001,MATCH(ROWS($V$2:V846),$V$2:$V$1001,0),MATCH(COLUMNS($AC$1006:AK1006),$AC$1006:$AS$1006,0)), HYPERLINK("#",""), HYPERLINK(CONCATENATE("#metadata!", ADDRESS(INDEX($X$2:$X$1001,MATCH(ROWS($V$2:V846),$V$2:$V$1001,0),0), INDEX($AC$1004:$AS$1004,1,MATCH(COLUMNS($AC$1006:AK1006),$AC$1006:$AS$1006,0)))),"Fix")))</f>
        <v xml:space="preserve"> </v>
      </c>
      <c r="K846" s="4" t="str">
        <f ca="1">IF(OR(INDEX($W$2:$W$1001,MATCH(ROWS($V$2:V846),$V$2:$V$1001,0),1)&gt;=100000,INDEX($AC$1005:$AS$1005,1,MATCH(COLUMNS($AC$1006:AL1006),$AC$1006:$AS$1006,0))&gt;=100000), " ",IF(INDEX($AC$2:$AS$1001,MATCH(ROWS($V$2:V846),$V$2:$V$1001,0),MATCH(COLUMNS($AC$1006:AL1006),$AC$1006:$AS$1006,0)), HYPERLINK("#",""), HYPERLINK(CONCATENATE("#metadata!", ADDRESS(INDEX($X$2:$X$1001,MATCH(ROWS($V$2:V846),$V$2:$V$1001,0),0), INDEX($AC$1004:$AS$1004,1,MATCH(COLUMNS($AC$1006:AL1006),$AC$1006:$AS$1006,0)))),"Fix")))</f>
        <v xml:space="preserve"> </v>
      </c>
      <c r="L846" s="4" t="str">
        <f ca="1">IF(OR(INDEX($W$2:$W$1001,MATCH(ROWS($V$2:V846),$V$2:$V$1001,0),1)&gt;=100000,INDEX($AC$1005:$AS$1005,1,MATCH(COLUMNS($AC$1006:AM1006),$AC$1006:$AS$1006,0))&gt;=100000), " ",IF(INDEX($AC$2:$AS$1001,MATCH(ROWS($V$2:V846),$V$2:$V$1001,0),MATCH(COLUMNS($AC$1006:AM1006),$AC$1006:$AS$1006,0)), HYPERLINK("#",""), HYPERLINK(CONCATENATE("#metadata!", ADDRESS(INDEX($X$2:$X$1001,MATCH(ROWS($V$2:V846),$V$2:$V$1001,0),0), INDEX($AC$1004:$AS$1004,1,MATCH(COLUMNS($AC$1006:AM1006),$AC$1006:$AS$1006,0)))),"Fix")))</f>
        <v xml:space="preserve"> </v>
      </c>
      <c r="M846" s="4" t="str">
        <f ca="1">IF(OR(INDEX($W$2:$W$1001,MATCH(ROWS($V$2:V846),$V$2:$V$1001,0),1)&gt;=100000,INDEX($AC$1005:$AS$1005,1,MATCH(COLUMNS($AC$1006:AN1006),$AC$1006:$AS$1006,0))&gt;=100000), " ",IF(INDEX($AC$2:$AS$1001,MATCH(ROWS($V$2:V846),$V$2:$V$1001,0),MATCH(COLUMNS($AC$1006:AN1006),$AC$1006:$AS$1006,0)), HYPERLINK("#",""), HYPERLINK(CONCATENATE("#metadata!", ADDRESS(INDEX($X$2:$X$1001,MATCH(ROWS($V$2:V846),$V$2:$V$1001,0),0), INDEX($AC$1004:$AS$1004,1,MATCH(COLUMNS($AC$1006:AN1006),$AC$1006:$AS$1006,0)))),"Fix")))</f>
        <v xml:space="preserve"> </v>
      </c>
      <c r="N846" s="4" t="str">
        <f ca="1">IF(OR(INDEX($W$2:$W$1001,MATCH(ROWS($V$2:V846),$V$2:$V$1001,0),1)&gt;=100000,INDEX($AC$1005:$AS$1005,1,MATCH(COLUMNS($AC$1006:AO1006),$AC$1006:$AS$1006,0))&gt;=100000), " ",IF(INDEX($AC$2:$AS$1001,MATCH(ROWS($V$2:V846),$V$2:$V$1001,0),MATCH(COLUMNS($AC$1006:AO1006),$AC$1006:$AS$1006,0)), HYPERLINK("#",""), HYPERLINK(CONCATENATE("#metadata!", ADDRESS(INDEX($X$2:$X$1001,MATCH(ROWS($V$2:V846),$V$2:$V$1001,0),0), INDEX($AC$1004:$AS$1004,1,MATCH(COLUMNS($AC$1006:AO1006),$AC$1006:$AS$1006,0)))),"Fix")))</f>
        <v xml:space="preserve"> </v>
      </c>
      <c r="O846" s="4" t="str">
        <f ca="1">IF(OR(INDEX($W$2:$W$1001,MATCH(ROWS($V$2:V846),$V$2:$V$1001,0),1)&gt;=100000,INDEX($AC$1005:$AS$1005,1,MATCH(COLUMNS($AC$1006:AP1006),$AC$1006:$AS$1006,0))&gt;=100000), " ",IF(INDEX($AC$2:$AS$1001,MATCH(ROWS($V$2:V846),$V$2:$V$1001,0),MATCH(COLUMNS($AC$1006:AP1006),$AC$1006:$AS$1006,0)), HYPERLINK("#",""), HYPERLINK(CONCATENATE("#metadata!", ADDRESS(INDEX($X$2:$X$1001,MATCH(ROWS($V$2:V846),$V$2:$V$1001,0),0), INDEX($AC$1004:$AS$1004,1,MATCH(COLUMNS($AC$1006:AP1006),$AC$1006:$AS$1006,0)))),"Fix")))</f>
        <v xml:space="preserve"> </v>
      </c>
      <c r="P846" s="4" t="str">
        <f ca="1">IF(OR(INDEX($W$2:$W$1001,MATCH(ROWS($V$2:V846),$V$2:$V$1001,0),1)&gt;=100000,INDEX($AC$1005:$AS$1005,1,MATCH(COLUMNS($AC$1006:AQ1006),$AC$1006:$AS$1006,0))&gt;=100000), " ",IF(INDEX($AC$2:$AS$1001,MATCH(ROWS($V$2:V846),$V$2:$V$1001,0),MATCH(COLUMNS($AC$1006:AQ1006),$AC$1006:$AS$1006,0)), HYPERLINK("#",""), HYPERLINK(CONCATENATE("#metadata!", ADDRESS(INDEX($X$2:$X$1001,MATCH(ROWS($V$2:V846),$V$2:$V$1001,0),0), INDEX($AC$1004:$AS$1004,1,MATCH(COLUMNS($AC$1006:AQ1006),$AC$1006:$AS$1006,0)))),"Fix")))</f>
        <v xml:space="preserve"> </v>
      </c>
      <c r="Q846" s="4" t="str">
        <f ca="1">IF(OR(INDEX($W$2:$W$1001,MATCH(ROWS($V$2:V846),$V$2:$V$1001,0),1)&gt;=100000,INDEX($AC$1005:$AS$1005,1,MATCH(COLUMNS($AC$1006:AR1006),$AC$1006:$AS$1006,0))&gt;=100000), " ",IF(INDEX($AC$2:$AS$1001,MATCH(ROWS($V$2:V846),$V$2:$V$1001,0),MATCH(COLUMNS($AC$1006:AR1006),$AC$1006:$AS$1006,0)), HYPERLINK("#",""), HYPERLINK(CONCATENATE("#metadata!", ADDRESS(INDEX($X$2:$X$1001,MATCH(ROWS($V$2:V846),$V$2:$V$1001,0),0), INDEX($AC$1004:$AS$1004,1,MATCH(COLUMNS($AC$1006:AR1006),$AC$1006:$AS$1006,0)))),"Fix")))</f>
        <v xml:space="preserve"> </v>
      </c>
      <c r="R846" s="4" t="str">
        <f ca="1">IF(OR(INDEX($W$2:$W$1001,MATCH(ROWS($V$2:V846),$V$2:$V$1001,0),1)&gt;=100000,INDEX($AC$1005:$AS$1005,1,MATCH(COLUMNS($AC$1006:AS1006),$AC$1006:$AS$1006,0))&gt;=100000), " ",IF(INDEX($AC$2:$AS$1001,MATCH(ROWS($V$2:V846),$V$2:$V$1001,0),MATCH(COLUMNS($AC$1006:AS1006),$AC$1006:$AS$1006,0)), HYPERLINK("#",""), HYPERLINK(CONCATENATE("#metadata!", ADDRESS(INDEX($X$2:$X$1001,MATCH(ROWS($V$2:V846),$V$2:$V$1001,0),0), INDEX($AC$1004:$AS$1004,1,MATCH(COLUMNS($AC$1006:AS1006),$AC$1006:$AS$1006,0)))),"Fix")))</f>
        <v xml:space="preserve"> </v>
      </c>
      <c r="V846">
        <v>845</v>
      </c>
      <c r="W846">
        <v>100846</v>
      </c>
      <c r="X846">
        <v>846</v>
      </c>
      <c r="Y846" t="b">
        <f t="shared" si="13"/>
        <v>1</v>
      </c>
      <c r="Z846" t="b">
        <f>COUNTBLANK(metadata!B846:R846)=COLUMNS(metadata!B846:R846)</f>
        <v>1</v>
      </c>
      <c r="AA846" t="str">
        <v/>
      </c>
      <c r="AC846" t="b">
        <f ca="1"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AD846" t="b">
        <f>IF(metadata!C846="",FALSE,ISNUMBER(VALUE(metadata!C846)))</f>
        <v>0</v>
      </c>
      <c r="AE846" t="b">
        <f>AND(IF(metadata!D846="",FALSE,TRUE),EXACT(metadata!D846,"years"))</f>
        <v>0</v>
      </c>
      <c r="AF846" t="b">
        <f>OR(AND(IF(metadata!E846="",FALSE,TRUE),OR(EXACT(metadata!E846,"not applicable"),EXACT(metadata!E846,"missing: not collected"),EXACT(metadata!E846,"missing: not provided"),EXACT(metadata!E846,"missing: restricted access"))),AND(IF(metadata!E846="",FALSE,ISNUMBER(VALUE(metadata!E846))),metadata!E846&gt;0))</f>
        <v>0</v>
      </c>
      <c r="AG846" t="b">
        <f>AND(IF(metadata!F846="",FALSE,TRUE),EXACT(metadata!F846,"Not applicable"))</f>
        <v>0</v>
      </c>
      <c r="AH846" t="b">
        <f>AND(IF(metadata!G846="",FALSE,TRUE),EXACT(metadata!G846,"urban biome"))</f>
        <v>0</v>
      </c>
      <c r="AI846" t="b">
        <f>AND(IF(metadata!H846="",FALSE,TRUE),EXACT(metadata!H846,"human-associated habitat"))</f>
        <v>0</v>
      </c>
      <c r="AJ846" t="b">
        <f>AND(IF(metadata!I846="",FALSE,TRUE),OR(EXACT(metadata!I846,"human-associated"),EXACT(metadata!I846,"human-skin"),EXACT(metadata!I846,"human-oral"),EXACT(metadata!I846,"human-gut"),EXACT(metadata!I846,"human-vaginal")))</f>
        <v>0</v>
      </c>
      <c r="AK846" t="b">
        <f>IF(metadata!J846="",FALSE,ISNUMBER(VALUE(metadata!J846)))</f>
        <v>0</v>
      </c>
      <c r="AL846" t="b">
        <f>AND(IF(metadata!K846="",FALSE,TRUE),EXACT(metadata!K846,"cm"))</f>
        <v>0</v>
      </c>
      <c r="AM846" t="b">
        <f>AND(IF(metadata!L846="",FALSE,TRUE),EXACT(metadata!L846,"human"))</f>
        <v>0</v>
      </c>
      <c r="AN846" t="b">
        <f>AND(IF(metadata!M846="",FALSE,TRUE),EXACT(metadata!M846,"Homo sapiens"))</f>
        <v>0</v>
      </c>
      <c r="AO846" t="b">
        <f>AND(IF(metadata!N846="",FALSE,TRUE),EXACT(metadata!N846,"9606"))</f>
        <v>0</v>
      </c>
      <c r="AP846" t="b">
        <f>IF(metadata!O846="",FALSE,TRUE)</f>
        <v>0</v>
      </c>
      <c r="AQ846" t="b">
        <f>IF(metadata!P846="",FALSE,TRUE)</f>
        <v>0</v>
      </c>
      <c r="AR846" t="b">
        <f>IF(metadata!Q846="",FALSE,ISNUMBER(VALUE(metadata!Q846)))</f>
        <v>0</v>
      </c>
      <c r="AS846" t="b">
        <f>AND(IF(metadata!R846="",FALSE,TRUE),EXACT(metadata!R846,"kg"))</f>
        <v>0</v>
      </c>
    </row>
    <row r="847" spans="1:45" x14ac:dyDescent="0.2">
      <c r="A847" s="5" t="str">
        <f ca="1">IF(B847=" "," ",HYPERLINK(CONCATENATE("#metadata!",ADDRESS(INDEX($X$2:$X$1001,MATCH(ROWS($V$2:V847),$V$2:$V$1001,0),0),1)),INDEX($AA$2:$AA$1001,MATCH(ROWS($V$2:V847),$V$2:$V$1001,0),0)))</f>
        <v xml:space="preserve"> </v>
      </c>
      <c r="B847" s="4" t="str">
        <f ca="1">IF(OR(INDEX($W$2:$W$1001,MATCH(ROWS($V$2:V847),$V$2:$V$1001,0),1)&gt;=100000,INDEX($AC$1005:$AS$1005,1,MATCH(COLUMNS($AC$1006:AC1006),$AC$1006:$AS$1006,0))&gt;=100000), " ",IF(INDEX($AC$2:$AS$1001,MATCH(ROWS($V$2:V847),$V$2:$V$1001,0),MATCH(COLUMNS($AC$1006:AC1006),$AC$1006:$AS$1006,0)), HYPERLINK("#",""), HYPERLINK(CONCATENATE("#metadata!", ADDRESS(INDEX($X$2:$X$1001,MATCH(ROWS($V$2:V847),$V$2:$V$1001,0),0), INDEX($AC$1004:$AS$1004,1,MATCH(COLUMNS($AC$1006:AC1006),$AC$1006:$AS$1006,0)))),"Fix")))</f>
        <v xml:space="preserve"> </v>
      </c>
      <c r="C847" s="4" t="str">
        <f ca="1">IF(OR(INDEX($W$2:$W$1001,MATCH(ROWS($V$2:V847),$V$2:$V$1001,0),1)&gt;=100000,INDEX($AC$1005:$AS$1005,1,MATCH(COLUMNS($AC$1006:AD1006),$AC$1006:$AS$1006,0))&gt;=100000), " ",IF(INDEX($AC$2:$AS$1001,MATCH(ROWS($V$2:V847),$V$2:$V$1001,0),MATCH(COLUMNS($AC$1006:AD1006),$AC$1006:$AS$1006,0)), HYPERLINK("#",""), HYPERLINK(CONCATENATE("#metadata!", ADDRESS(INDEX($X$2:$X$1001,MATCH(ROWS($V$2:V847),$V$2:$V$1001,0),0), INDEX($AC$1004:$AS$1004,1,MATCH(COLUMNS($AC$1006:AD1006),$AC$1006:$AS$1006,0)))),"Fix")))</f>
        <v xml:space="preserve"> </v>
      </c>
      <c r="D847" s="4" t="str">
        <f ca="1">IF(OR(INDEX($W$2:$W$1001,MATCH(ROWS($V$2:V847),$V$2:$V$1001,0),1)&gt;=100000,INDEX($AC$1005:$AS$1005,1,MATCH(COLUMNS($AC$1006:AE1006),$AC$1006:$AS$1006,0))&gt;=100000), " ",IF(INDEX($AC$2:$AS$1001,MATCH(ROWS($V$2:V847),$V$2:$V$1001,0),MATCH(COLUMNS($AC$1006:AE1006),$AC$1006:$AS$1006,0)), HYPERLINK("#",""), HYPERLINK(CONCATENATE("#metadata!", ADDRESS(INDEX($X$2:$X$1001,MATCH(ROWS($V$2:V847),$V$2:$V$1001,0),0), INDEX($AC$1004:$AS$1004,1,MATCH(COLUMNS($AC$1006:AE1006),$AC$1006:$AS$1006,0)))),"Fix")))</f>
        <v xml:space="preserve"> </v>
      </c>
      <c r="E847" s="4" t="str">
        <f ca="1">IF(OR(INDEX($W$2:$W$1001,MATCH(ROWS($V$2:V847),$V$2:$V$1001,0),1)&gt;=100000,INDEX($AC$1005:$AS$1005,1,MATCH(COLUMNS($AC$1006:AF1006),$AC$1006:$AS$1006,0))&gt;=100000), " ",IF(INDEX($AC$2:$AS$1001,MATCH(ROWS($V$2:V847),$V$2:$V$1001,0),MATCH(COLUMNS($AC$1006:AF1006),$AC$1006:$AS$1006,0)), HYPERLINK("#",""), HYPERLINK(CONCATENATE("#metadata!", ADDRESS(INDEX($X$2:$X$1001,MATCH(ROWS($V$2:V847),$V$2:$V$1001,0),0), INDEX($AC$1004:$AS$1004,1,MATCH(COLUMNS($AC$1006:AF1006),$AC$1006:$AS$1006,0)))),"Fix")))</f>
        <v xml:space="preserve"> </v>
      </c>
      <c r="F847" s="4" t="str">
        <f ca="1">IF(OR(INDEX($W$2:$W$1001,MATCH(ROWS($V$2:V847),$V$2:$V$1001,0),1)&gt;=100000,INDEX($AC$1005:$AS$1005,1,MATCH(COLUMNS($AC$1006:AG1006),$AC$1006:$AS$1006,0))&gt;=100000), " ",IF(INDEX($AC$2:$AS$1001,MATCH(ROWS($V$2:V847),$V$2:$V$1001,0),MATCH(COLUMNS($AC$1006:AG1006),$AC$1006:$AS$1006,0)), HYPERLINK("#",""), HYPERLINK(CONCATENATE("#metadata!", ADDRESS(INDEX($X$2:$X$1001,MATCH(ROWS($V$2:V847),$V$2:$V$1001,0),0), INDEX($AC$1004:$AS$1004,1,MATCH(COLUMNS($AC$1006:AG1006),$AC$1006:$AS$1006,0)))),"Fix")))</f>
        <v xml:space="preserve"> </v>
      </c>
      <c r="G847" s="4" t="str">
        <f ca="1">IF(OR(INDEX($W$2:$W$1001,MATCH(ROWS($V$2:V847),$V$2:$V$1001,0),1)&gt;=100000,INDEX($AC$1005:$AS$1005,1,MATCH(COLUMNS($AC$1006:AH1006),$AC$1006:$AS$1006,0))&gt;=100000), " ",IF(INDEX($AC$2:$AS$1001,MATCH(ROWS($V$2:V847),$V$2:$V$1001,0),MATCH(COLUMNS($AC$1006:AH1006),$AC$1006:$AS$1006,0)), HYPERLINK("#",""), HYPERLINK(CONCATENATE("#metadata!", ADDRESS(INDEX($X$2:$X$1001,MATCH(ROWS($V$2:V847),$V$2:$V$1001,0),0), INDEX($AC$1004:$AS$1004,1,MATCH(COLUMNS($AC$1006:AH1006),$AC$1006:$AS$1006,0)))),"Fix")))</f>
        <v xml:space="preserve"> </v>
      </c>
      <c r="H847" s="4" t="str">
        <f ca="1">IF(OR(INDEX($W$2:$W$1001,MATCH(ROWS($V$2:V847),$V$2:$V$1001,0),1)&gt;=100000,INDEX($AC$1005:$AS$1005,1,MATCH(COLUMNS($AC$1006:AI1006),$AC$1006:$AS$1006,0))&gt;=100000), " ",IF(INDEX($AC$2:$AS$1001,MATCH(ROWS($V$2:V847),$V$2:$V$1001,0),MATCH(COLUMNS($AC$1006:AI1006),$AC$1006:$AS$1006,0)), HYPERLINK("#",""), HYPERLINK(CONCATENATE("#metadata!", ADDRESS(INDEX($X$2:$X$1001,MATCH(ROWS($V$2:V847),$V$2:$V$1001,0),0), INDEX($AC$1004:$AS$1004,1,MATCH(COLUMNS($AC$1006:AI1006),$AC$1006:$AS$1006,0)))),"Fix")))</f>
        <v xml:space="preserve"> </v>
      </c>
      <c r="I847" s="4" t="str">
        <f ca="1">IF(OR(INDEX($W$2:$W$1001,MATCH(ROWS($V$2:V847),$V$2:$V$1001,0),1)&gt;=100000,INDEX($AC$1005:$AS$1005,1,MATCH(COLUMNS($AC$1006:AJ1006),$AC$1006:$AS$1006,0))&gt;=100000), " ",IF(INDEX($AC$2:$AS$1001,MATCH(ROWS($V$2:V847),$V$2:$V$1001,0),MATCH(COLUMNS($AC$1006:AJ1006),$AC$1006:$AS$1006,0)), HYPERLINK("#",""), HYPERLINK(CONCATENATE("#metadata!", ADDRESS(INDEX($X$2:$X$1001,MATCH(ROWS($V$2:V847),$V$2:$V$1001,0),0), INDEX($AC$1004:$AS$1004,1,MATCH(COLUMNS($AC$1006:AJ1006),$AC$1006:$AS$1006,0)))),"Fix")))</f>
        <v xml:space="preserve"> </v>
      </c>
      <c r="J847" s="4" t="str">
        <f ca="1">IF(OR(INDEX($W$2:$W$1001,MATCH(ROWS($V$2:V847),$V$2:$V$1001,0),1)&gt;=100000,INDEX($AC$1005:$AS$1005,1,MATCH(COLUMNS($AC$1006:AK1006),$AC$1006:$AS$1006,0))&gt;=100000), " ",IF(INDEX($AC$2:$AS$1001,MATCH(ROWS($V$2:V847),$V$2:$V$1001,0),MATCH(COLUMNS($AC$1006:AK1006),$AC$1006:$AS$1006,0)), HYPERLINK("#",""), HYPERLINK(CONCATENATE("#metadata!", ADDRESS(INDEX($X$2:$X$1001,MATCH(ROWS($V$2:V847),$V$2:$V$1001,0),0), INDEX($AC$1004:$AS$1004,1,MATCH(COLUMNS($AC$1006:AK1006),$AC$1006:$AS$1006,0)))),"Fix")))</f>
        <v xml:space="preserve"> </v>
      </c>
      <c r="K847" s="4" t="str">
        <f ca="1">IF(OR(INDEX($W$2:$W$1001,MATCH(ROWS($V$2:V847),$V$2:$V$1001,0),1)&gt;=100000,INDEX($AC$1005:$AS$1005,1,MATCH(COLUMNS($AC$1006:AL1006),$AC$1006:$AS$1006,0))&gt;=100000), " ",IF(INDEX($AC$2:$AS$1001,MATCH(ROWS($V$2:V847),$V$2:$V$1001,0),MATCH(COLUMNS($AC$1006:AL1006),$AC$1006:$AS$1006,0)), HYPERLINK("#",""), HYPERLINK(CONCATENATE("#metadata!", ADDRESS(INDEX($X$2:$X$1001,MATCH(ROWS($V$2:V847),$V$2:$V$1001,0),0), INDEX($AC$1004:$AS$1004,1,MATCH(COLUMNS($AC$1006:AL1006),$AC$1006:$AS$1006,0)))),"Fix")))</f>
        <v xml:space="preserve"> </v>
      </c>
      <c r="L847" s="4" t="str">
        <f ca="1">IF(OR(INDEX($W$2:$W$1001,MATCH(ROWS($V$2:V847),$V$2:$V$1001,0),1)&gt;=100000,INDEX($AC$1005:$AS$1005,1,MATCH(COLUMNS($AC$1006:AM1006),$AC$1006:$AS$1006,0))&gt;=100000), " ",IF(INDEX($AC$2:$AS$1001,MATCH(ROWS($V$2:V847),$V$2:$V$1001,0),MATCH(COLUMNS($AC$1006:AM1006),$AC$1006:$AS$1006,0)), HYPERLINK("#",""), HYPERLINK(CONCATENATE("#metadata!", ADDRESS(INDEX($X$2:$X$1001,MATCH(ROWS($V$2:V847),$V$2:$V$1001,0),0), INDEX($AC$1004:$AS$1004,1,MATCH(COLUMNS($AC$1006:AM1006),$AC$1006:$AS$1006,0)))),"Fix")))</f>
        <v xml:space="preserve"> </v>
      </c>
      <c r="M847" s="4" t="str">
        <f ca="1">IF(OR(INDEX($W$2:$W$1001,MATCH(ROWS($V$2:V847),$V$2:$V$1001,0),1)&gt;=100000,INDEX($AC$1005:$AS$1005,1,MATCH(COLUMNS($AC$1006:AN1006),$AC$1006:$AS$1006,0))&gt;=100000), " ",IF(INDEX($AC$2:$AS$1001,MATCH(ROWS($V$2:V847),$V$2:$V$1001,0),MATCH(COLUMNS($AC$1006:AN1006),$AC$1006:$AS$1006,0)), HYPERLINK("#",""), HYPERLINK(CONCATENATE("#metadata!", ADDRESS(INDEX($X$2:$X$1001,MATCH(ROWS($V$2:V847),$V$2:$V$1001,0),0), INDEX($AC$1004:$AS$1004,1,MATCH(COLUMNS($AC$1006:AN1006),$AC$1006:$AS$1006,0)))),"Fix")))</f>
        <v xml:space="preserve"> </v>
      </c>
      <c r="N847" s="4" t="str">
        <f ca="1">IF(OR(INDEX($W$2:$W$1001,MATCH(ROWS($V$2:V847),$V$2:$V$1001,0),1)&gt;=100000,INDEX($AC$1005:$AS$1005,1,MATCH(COLUMNS($AC$1006:AO1006),$AC$1006:$AS$1006,0))&gt;=100000), " ",IF(INDEX($AC$2:$AS$1001,MATCH(ROWS($V$2:V847),$V$2:$V$1001,0),MATCH(COLUMNS($AC$1006:AO1006),$AC$1006:$AS$1006,0)), HYPERLINK("#",""), HYPERLINK(CONCATENATE("#metadata!", ADDRESS(INDEX($X$2:$X$1001,MATCH(ROWS($V$2:V847),$V$2:$V$1001,0),0), INDEX($AC$1004:$AS$1004,1,MATCH(COLUMNS($AC$1006:AO1006),$AC$1006:$AS$1006,0)))),"Fix")))</f>
        <v xml:space="preserve"> </v>
      </c>
      <c r="O847" s="4" t="str">
        <f ca="1">IF(OR(INDEX($W$2:$W$1001,MATCH(ROWS($V$2:V847),$V$2:$V$1001,0),1)&gt;=100000,INDEX($AC$1005:$AS$1005,1,MATCH(COLUMNS($AC$1006:AP1006),$AC$1006:$AS$1006,0))&gt;=100000), " ",IF(INDEX($AC$2:$AS$1001,MATCH(ROWS($V$2:V847),$V$2:$V$1001,0),MATCH(COLUMNS($AC$1006:AP1006),$AC$1006:$AS$1006,0)), HYPERLINK("#",""), HYPERLINK(CONCATENATE("#metadata!", ADDRESS(INDEX($X$2:$X$1001,MATCH(ROWS($V$2:V847),$V$2:$V$1001,0),0), INDEX($AC$1004:$AS$1004,1,MATCH(COLUMNS($AC$1006:AP1006),$AC$1006:$AS$1006,0)))),"Fix")))</f>
        <v xml:space="preserve"> </v>
      </c>
      <c r="P847" s="4" t="str">
        <f ca="1">IF(OR(INDEX($W$2:$W$1001,MATCH(ROWS($V$2:V847),$V$2:$V$1001,0),1)&gt;=100000,INDEX($AC$1005:$AS$1005,1,MATCH(COLUMNS($AC$1006:AQ1006),$AC$1006:$AS$1006,0))&gt;=100000), " ",IF(INDEX($AC$2:$AS$1001,MATCH(ROWS($V$2:V847),$V$2:$V$1001,0),MATCH(COLUMNS($AC$1006:AQ1006),$AC$1006:$AS$1006,0)), HYPERLINK("#",""), HYPERLINK(CONCATENATE("#metadata!", ADDRESS(INDEX($X$2:$X$1001,MATCH(ROWS($V$2:V847),$V$2:$V$1001,0),0), INDEX($AC$1004:$AS$1004,1,MATCH(COLUMNS($AC$1006:AQ1006),$AC$1006:$AS$1006,0)))),"Fix")))</f>
        <v xml:space="preserve"> </v>
      </c>
      <c r="Q847" s="4" t="str">
        <f ca="1">IF(OR(INDEX($W$2:$W$1001,MATCH(ROWS($V$2:V847),$V$2:$V$1001,0),1)&gt;=100000,INDEX($AC$1005:$AS$1005,1,MATCH(COLUMNS($AC$1006:AR1006),$AC$1006:$AS$1006,0))&gt;=100000), " ",IF(INDEX($AC$2:$AS$1001,MATCH(ROWS($V$2:V847),$V$2:$V$1001,0),MATCH(COLUMNS($AC$1006:AR1006),$AC$1006:$AS$1006,0)), HYPERLINK("#",""), HYPERLINK(CONCATENATE("#metadata!", ADDRESS(INDEX($X$2:$X$1001,MATCH(ROWS($V$2:V847),$V$2:$V$1001,0),0), INDEX($AC$1004:$AS$1004,1,MATCH(COLUMNS($AC$1006:AR1006),$AC$1006:$AS$1006,0)))),"Fix")))</f>
        <v xml:space="preserve"> </v>
      </c>
      <c r="R847" s="4" t="str">
        <f ca="1">IF(OR(INDEX($W$2:$W$1001,MATCH(ROWS($V$2:V847),$V$2:$V$1001,0),1)&gt;=100000,INDEX($AC$1005:$AS$1005,1,MATCH(COLUMNS($AC$1006:AS1006),$AC$1006:$AS$1006,0))&gt;=100000), " ",IF(INDEX($AC$2:$AS$1001,MATCH(ROWS($V$2:V847),$V$2:$V$1001,0),MATCH(COLUMNS($AC$1006:AS1006),$AC$1006:$AS$1006,0)), HYPERLINK("#",""), HYPERLINK(CONCATENATE("#metadata!", ADDRESS(INDEX($X$2:$X$1001,MATCH(ROWS($V$2:V847),$V$2:$V$1001,0),0), INDEX($AC$1004:$AS$1004,1,MATCH(COLUMNS($AC$1006:AS1006),$AC$1006:$AS$1006,0)))),"Fix")))</f>
        <v xml:space="preserve"> </v>
      </c>
      <c r="V847">
        <v>846</v>
      </c>
      <c r="W847">
        <v>100847</v>
      </c>
      <c r="X847">
        <v>847</v>
      </c>
      <c r="Y847" t="b">
        <f t="shared" si="13"/>
        <v>1</v>
      </c>
      <c r="Z847" t="b">
        <f>COUNTBLANK(metadata!B847:R847)=COLUMNS(metadata!B847:R847)</f>
        <v>1</v>
      </c>
      <c r="AA847" t="str">
        <v/>
      </c>
      <c r="AC847" t="b">
        <f ca="1"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AD847" t="b">
        <f>IF(metadata!C847="",FALSE,ISNUMBER(VALUE(metadata!C847)))</f>
        <v>0</v>
      </c>
      <c r="AE847" t="b">
        <f>AND(IF(metadata!D847="",FALSE,TRUE),EXACT(metadata!D847,"years"))</f>
        <v>0</v>
      </c>
      <c r="AF847" t="b">
        <f>OR(AND(IF(metadata!E847="",FALSE,TRUE),OR(EXACT(metadata!E847,"not applicable"),EXACT(metadata!E847,"missing: not collected"),EXACT(metadata!E847,"missing: not provided"),EXACT(metadata!E847,"missing: restricted access"))),AND(IF(metadata!E847="",FALSE,ISNUMBER(VALUE(metadata!E847))),metadata!E847&gt;0))</f>
        <v>0</v>
      </c>
      <c r="AG847" t="b">
        <f>AND(IF(metadata!F847="",FALSE,TRUE),EXACT(metadata!F847,"Not applicable"))</f>
        <v>0</v>
      </c>
      <c r="AH847" t="b">
        <f>AND(IF(metadata!G847="",FALSE,TRUE),EXACT(metadata!G847,"urban biome"))</f>
        <v>0</v>
      </c>
      <c r="AI847" t="b">
        <f>AND(IF(metadata!H847="",FALSE,TRUE),EXACT(metadata!H847,"human-associated habitat"))</f>
        <v>0</v>
      </c>
      <c r="AJ847" t="b">
        <f>AND(IF(metadata!I847="",FALSE,TRUE),OR(EXACT(metadata!I847,"human-associated"),EXACT(metadata!I847,"human-skin"),EXACT(metadata!I847,"human-oral"),EXACT(metadata!I847,"human-gut"),EXACT(metadata!I847,"human-vaginal")))</f>
        <v>0</v>
      </c>
      <c r="AK847" t="b">
        <f>IF(metadata!J847="",FALSE,ISNUMBER(VALUE(metadata!J847)))</f>
        <v>0</v>
      </c>
      <c r="AL847" t="b">
        <f>AND(IF(metadata!K847="",FALSE,TRUE),EXACT(metadata!K847,"cm"))</f>
        <v>0</v>
      </c>
      <c r="AM847" t="b">
        <f>AND(IF(metadata!L847="",FALSE,TRUE),EXACT(metadata!L847,"human"))</f>
        <v>0</v>
      </c>
      <c r="AN847" t="b">
        <f>AND(IF(metadata!M847="",FALSE,TRUE),EXACT(metadata!M847,"Homo sapiens"))</f>
        <v>0</v>
      </c>
      <c r="AO847" t="b">
        <f>AND(IF(metadata!N847="",FALSE,TRUE),EXACT(metadata!N847,"9606"))</f>
        <v>0</v>
      </c>
      <c r="AP847" t="b">
        <f>IF(metadata!O847="",FALSE,TRUE)</f>
        <v>0</v>
      </c>
      <c r="AQ847" t="b">
        <f>IF(metadata!P847="",FALSE,TRUE)</f>
        <v>0</v>
      </c>
      <c r="AR847" t="b">
        <f>IF(metadata!Q847="",FALSE,ISNUMBER(VALUE(metadata!Q847)))</f>
        <v>0</v>
      </c>
      <c r="AS847" t="b">
        <f>AND(IF(metadata!R847="",FALSE,TRUE),EXACT(metadata!R847,"kg"))</f>
        <v>0</v>
      </c>
    </row>
    <row r="848" spans="1:45" x14ac:dyDescent="0.2">
      <c r="A848" s="5" t="str">
        <f ca="1">IF(B848=" "," ",HYPERLINK(CONCATENATE("#metadata!",ADDRESS(INDEX($X$2:$X$1001,MATCH(ROWS($V$2:V848),$V$2:$V$1001,0),0),1)),INDEX($AA$2:$AA$1001,MATCH(ROWS($V$2:V848),$V$2:$V$1001,0),0)))</f>
        <v xml:space="preserve"> </v>
      </c>
      <c r="B848" s="4" t="str">
        <f ca="1">IF(OR(INDEX($W$2:$W$1001,MATCH(ROWS($V$2:V848),$V$2:$V$1001,0),1)&gt;=100000,INDEX($AC$1005:$AS$1005,1,MATCH(COLUMNS($AC$1006:AC1006),$AC$1006:$AS$1006,0))&gt;=100000), " ",IF(INDEX($AC$2:$AS$1001,MATCH(ROWS($V$2:V848),$V$2:$V$1001,0),MATCH(COLUMNS($AC$1006:AC1006),$AC$1006:$AS$1006,0)), HYPERLINK("#",""), HYPERLINK(CONCATENATE("#metadata!", ADDRESS(INDEX($X$2:$X$1001,MATCH(ROWS($V$2:V848),$V$2:$V$1001,0),0), INDEX($AC$1004:$AS$1004,1,MATCH(COLUMNS($AC$1006:AC1006),$AC$1006:$AS$1006,0)))),"Fix")))</f>
        <v xml:space="preserve"> </v>
      </c>
      <c r="C848" s="4" t="str">
        <f ca="1">IF(OR(INDEX($W$2:$W$1001,MATCH(ROWS($V$2:V848),$V$2:$V$1001,0),1)&gt;=100000,INDEX($AC$1005:$AS$1005,1,MATCH(COLUMNS($AC$1006:AD1006),$AC$1006:$AS$1006,0))&gt;=100000), " ",IF(INDEX($AC$2:$AS$1001,MATCH(ROWS($V$2:V848),$V$2:$V$1001,0),MATCH(COLUMNS($AC$1006:AD1006),$AC$1006:$AS$1006,0)), HYPERLINK("#",""), HYPERLINK(CONCATENATE("#metadata!", ADDRESS(INDEX($X$2:$X$1001,MATCH(ROWS($V$2:V848),$V$2:$V$1001,0),0), INDEX($AC$1004:$AS$1004,1,MATCH(COLUMNS($AC$1006:AD1006),$AC$1006:$AS$1006,0)))),"Fix")))</f>
        <v xml:space="preserve"> </v>
      </c>
      <c r="D848" s="4" t="str">
        <f ca="1">IF(OR(INDEX($W$2:$W$1001,MATCH(ROWS($V$2:V848),$V$2:$V$1001,0),1)&gt;=100000,INDEX($AC$1005:$AS$1005,1,MATCH(COLUMNS($AC$1006:AE1006),$AC$1006:$AS$1006,0))&gt;=100000), " ",IF(INDEX($AC$2:$AS$1001,MATCH(ROWS($V$2:V848),$V$2:$V$1001,0),MATCH(COLUMNS($AC$1006:AE1006),$AC$1006:$AS$1006,0)), HYPERLINK("#",""), HYPERLINK(CONCATENATE("#metadata!", ADDRESS(INDEX($X$2:$X$1001,MATCH(ROWS($V$2:V848),$V$2:$V$1001,0),0), INDEX($AC$1004:$AS$1004,1,MATCH(COLUMNS($AC$1006:AE1006),$AC$1006:$AS$1006,0)))),"Fix")))</f>
        <v xml:space="preserve"> </v>
      </c>
      <c r="E848" s="4" t="str">
        <f ca="1">IF(OR(INDEX($W$2:$W$1001,MATCH(ROWS($V$2:V848),$V$2:$V$1001,0),1)&gt;=100000,INDEX($AC$1005:$AS$1005,1,MATCH(COLUMNS($AC$1006:AF1006),$AC$1006:$AS$1006,0))&gt;=100000), " ",IF(INDEX($AC$2:$AS$1001,MATCH(ROWS($V$2:V848),$V$2:$V$1001,0),MATCH(COLUMNS($AC$1006:AF1006),$AC$1006:$AS$1006,0)), HYPERLINK("#",""), HYPERLINK(CONCATENATE("#metadata!", ADDRESS(INDEX($X$2:$X$1001,MATCH(ROWS($V$2:V848),$V$2:$V$1001,0),0), INDEX($AC$1004:$AS$1004,1,MATCH(COLUMNS($AC$1006:AF1006),$AC$1006:$AS$1006,0)))),"Fix")))</f>
        <v xml:space="preserve"> </v>
      </c>
      <c r="F848" s="4" t="str">
        <f ca="1">IF(OR(INDEX($W$2:$W$1001,MATCH(ROWS($V$2:V848),$V$2:$V$1001,0),1)&gt;=100000,INDEX($AC$1005:$AS$1005,1,MATCH(COLUMNS($AC$1006:AG1006),$AC$1006:$AS$1006,0))&gt;=100000), " ",IF(INDEX($AC$2:$AS$1001,MATCH(ROWS($V$2:V848),$V$2:$V$1001,0),MATCH(COLUMNS($AC$1006:AG1006),$AC$1006:$AS$1006,0)), HYPERLINK("#",""), HYPERLINK(CONCATENATE("#metadata!", ADDRESS(INDEX($X$2:$X$1001,MATCH(ROWS($V$2:V848),$V$2:$V$1001,0),0), INDEX($AC$1004:$AS$1004,1,MATCH(COLUMNS($AC$1006:AG1006),$AC$1006:$AS$1006,0)))),"Fix")))</f>
        <v xml:space="preserve"> </v>
      </c>
      <c r="G848" s="4" t="str">
        <f ca="1">IF(OR(INDEX($W$2:$W$1001,MATCH(ROWS($V$2:V848),$V$2:$V$1001,0),1)&gt;=100000,INDEX($AC$1005:$AS$1005,1,MATCH(COLUMNS($AC$1006:AH1006),$AC$1006:$AS$1006,0))&gt;=100000), " ",IF(INDEX($AC$2:$AS$1001,MATCH(ROWS($V$2:V848),$V$2:$V$1001,0),MATCH(COLUMNS($AC$1006:AH1006),$AC$1006:$AS$1006,0)), HYPERLINK("#",""), HYPERLINK(CONCATENATE("#metadata!", ADDRESS(INDEX($X$2:$X$1001,MATCH(ROWS($V$2:V848),$V$2:$V$1001,0),0), INDEX($AC$1004:$AS$1004,1,MATCH(COLUMNS($AC$1006:AH1006),$AC$1006:$AS$1006,0)))),"Fix")))</f>
        <v xml:space="preserve"> </v>
      </c>
      <c r="H848" s="4" t="str">
        <f ca="1">IF(OR(INDEX($W$2:$W$1001,MATCH(ROWS($V$2:V848),$V$2:$V$1001,0),1)&gt;=100000,INDEX($AC$1005:$AS$1005,1,MATCH(COLUMNS($AC$1006:AI1006),$AC$1006:$AS$1006,0))&gt;=100000), " ",IF(INDEX($AC$2:$AS$1001,MATCH(ROWS($V$2:V848),$V$2:$V$1001,0),MATCH(COLUMNS($AC$1006:AI1006),$AC$1006:$AS$1006,0)), HYPERLINK("#",""), HYPERLINK(CONCATENATE("#metadata!", ADDRESS(INDEX($X$2:$X$1001,MATCH(ROWS($V$2:V848),$V$2:$V$1001,0),0), INDEX($AC$1004:$AS$1004,1,MATCH(COLUMNS($AC$1006:AI1006),$AC$1006:$AS$1006,0)))),"Fix")))</f>
        <v xml:space="preserve"> </v>
      </c>
      <c r="I848" s="4" t="str">
        <f ca="1">IF(OR(INDEX($W$2:$W$1001,MATCH(ROWS($V$2:V848),$V$2:$V$1001,0),1)&gt;=100000,INDEX($AC$1005:$AS$1005,1,MATCH(COLUMNS($AC$1006:AJ1006),$AC$1006:$AS$1006,0))&gt;=100000), " ",IF(INDEX($AC$2:$AS$1001,MATCH(ROWS($V$2:V848),$V$2:$V$1001,0),MATCH(COLUMNS($AC$1006:AJ1006),$AC$1006:$AS$1006,0)), HYPERLINK("#",""), HYPERLINK(CONCATENATE("#metadata!", ADDRESS(INDEX($X$2:$X$1001,MATCH(ROWS($V$2:V848),$V$2:$V$1001,0),0), INDEX($AC$1004:$AS$1004,1,MATCH(COLUMNS($AC$1006:AJ1006),$AC$1006:$AS$1006,0)))),"Fix")))</f>
        <v xml:space="preserve"> </v>
      </c>
      <c r="J848" s="4" t="str">
        <f ca="1">IF(OR(INDEX($W$2:$W$1001,MATCH(ROWS($V$2:V848),$V$2:$V$1001,0),1)&gt;=100000,INDEX($AC$1005:$AS$1005,1,MATCH(COLUMNS($AC$1006:AK1006),$AC$1006:$AS$1006,0))&gt;=100000), " ",IF(INDEX($AC$2:$AS$1001,MATCH(ROWS($V$2:V848),$V$2:$V$1001,0),MATCH(COLUMNS($AC$1006:AK1006),$AC$1006:$AS$1006,0)), HYPERLINK("#",""), HYPERLINK(CONCATENATE("#metadata!", ADDRESS(INDEX($X$2:$X$1001,MATCH(ROWS($V$2:V848),$V$2:$V$1001,0),0), INDEX($AC$1004:$AS$1004,1,MATCH(COLUMNS($AC$1006:AK1006),$AC$1006:$AS$1006,0)))),"Fix")))</f>
        <v xml:space="preserve"> </v>
      </c>
      <c r="K848" s="4" t="str">
        <f ca="1">IF(OR(INDEX($W$2:$W$1001,MATCH(ROWS($V$2:V848),$V$2:$V$1001,0),1)&gt;=100000,INDEX($AC$1005:$AS$1005,1,MATCH(COLUMNS($AC$1006:AL1006),$AC$1006:$AS$1006,0))&gt;=100000), " ",IF(INDEX($AC$2:$AS$1001,MATCH(ROWS($V$2:V848),$V$2:$V$1001,0),MATCH(COLUMNS($AC$1006:AL1006),$AC$1006:$AS$1006,0)), HYPERLINK("#",""), HYPERLINK(CONCATENATE("#metadata!", ADDRESS(INDEX($X$2:$X$1001,MATCH(ROWS($V$2:V848),$V$2:$V$1001,0),0), INDEX($AC$1004:$AS$1004,1,MATCH(COLUMNS($AC$1006:AL1006),$AC$1006:$AS$1006,0)))),"Fix")))</f>
        <v xml:space="preserve"> </v>
      </c>
      <c r="L848" s="4" t="str">
        <f ca="1">IF(OR(INDEX($W$2:$W$1001,MATCH(ROWS($V$2:V848),$V$2:$V$1001,0),1)&gt;=100000,INDEX($AC$1005:$AS$1005,1,MATCH(COLUMNS($AC$1006:AM1006),$AC$1006:$AS$1006,0))&gt;=100000), " ",IF(INDEX($AC$2:$AS$1001,MATCH(ROWS($V$2:V848),$V$2:$V$1001,0),MATCH(COLUMNS($AC$1006:AM1006),$AC$1006:$AS$1006,0)), HYPERLINK("#",""), HYPERLINK(CONCATENATE("#metadata!", ADDRESS(INDEX($X$2:$X$1001,MATCH(ROWS($V$2:V848),$V$2:$V$1001,0),0), INDEX($AC$1004:$AS$1004,1,MATCH(COLUMNS($AC$1006:AM1006),$AC$1006:$AS$1006,0)))),"Fix")))</f>
        <v xml:space="preserve"> </v>
      </c>
      <c r="M848" s="4" t="str">
        <f ca="1">IF(OR(INDEX($W$2:$W$1001,MATCH(ROWS($V$2:V848),$V$2:$V$1001,0),1)&gt;=100000,INDEX($AC$1005:$AS$1005,1,MATCH(COLUMNS($AC$1006:AN1006),$AC$1006:$AS$1006,0))&gt;=100000), " ",IF(INDEX($AC$2:$AS$1001,MATCH(ROWS($V$2:V848),$V$2:$V$1001,0),MATCH(COLUMNS($AC$1006:AN1006),$AC$1006:$AS$1006,0)), HYPERLINK("#",""), HYPERLINK(CONCATENATE("#metadata!", ADDRESS(INDEX($X$2:$X$1001,MATCH(ROWS($V$2:V848),$V$2:$V$1001,0),0), INDEX($AC$1004:$AS$1004,1,MATCH(COLUMNS($AC$1006:AN1006),$AC$1006:$AS$1006,0)))),"Fix")))</f>
        <v xml:space="preserve"> </v>
      </c>
      <c r="N848" s="4" t="str">
        <f ca="1">IF(OR(INDEX($W$2:$W$1001,MATCH(ROWS($V$2:V848),$V$2:$V$1001,0),1)&gt;=100000,INDEX($AC$1005:$AS$1005,1,MATCH(COLUMNS($AC$1006:AO1006),$AC$1006:$AS$1006,0))&gt;=100000), " ",IF(INDEX($AC$2:$AS$1001,MATCH(ROWS($V$2:V848),$V$2:$V$1001,0),MATCH(COLUMNS($AC$1006:AO1006),$AC$1006:$AS$1006,0)), HYPERLINK("#",""), HYPERLINK(CONCATENATE("#metadata!", ADDRESS(INDEX($X$2:$X$1001,MATCH(ROWS($V$2:V848),$V$2:$V$1001,0),0), INDEX($AC$1004:$AS$1004,1,MATCH(COLUMNS($AC$1006:AO1006),$AC$1006:$AS$1006,0)))),"Fix")))</f>
        <v xml:space="preserve"> </v>
      </c>
      <c r="O848" s="4" t="str">
        <f ca="1">IF(OR(INDEX($W$2:$W$1001,MATCH(ROWS($V$2:V848),$V$2:$V$1001,0),1)&gt;=100000,INDEX($AC$1005:$AS$1005,1,MATCH(COLUMNS($AC$1006:AP1006),$AC$1006:$AS$1006,0))&gt;=100000), " ",IF(INDEX($AC$2:$AS$1001,MATCH(ROWS($V$2:V848),$V$2:$V$1001,0),MATCH(COLUMNS($AC$1006:AP1006),$AC$1006:$AS$1006,0)), HYPERLINK("#",""), HYPERLINK(CONCATENATE("#metadata!", ADDRESS(INDEX($X$2:$X$1001,MATCH(ROWS($V$2:V848),$V$2:$V$1001,0),0), INDEX($AC$1004:$AS$1004,1,MATCH(COLUMNS($AC$1006:AP1006),$AC$1006:$AS$1006,0)))),"Fix")))</f>
        <v xml:space="preserve"> </v>
      </c>
      <c r="P848" s="4" t="str">
        <f ca="1">IF(OR(INDEX($W$2:$W$1001,MATCH(ROWS($V$2:V848),$V$2:$V$1001,0),1)&gt;=100000,INDEX($AC$1005:$AS$1005,1,MATCH(COLUMNS($AC$1006:AQ1006),$AC$1006:$AS$1006,0))&gt;=100000), " ",IF(INDEX($AC$2:$AS$1001,MATCH(ROWS($V$2:V848),$V$2:$V$1001,0),MATCH(COLUMNS($AC$1006:AQ1006),$AC$1006:$AS$1006,0)), HYPERLINK("#",""), HYPERLINK(CONCATENATE("#metadata!", ADDRESS(INDEX($X$2:$X$1001,MATCH(ROWS($V$2:V848),$V$2:$V$1001,0),0), INDEX($AC$1004:$AS$1004,1,MATCH(COLUMNS($AC$1006:AQ1006),$AC$1006:$AS$1006,0)))),"Fix")))</f>
        <v xml:space="preserve"> </v>
      </c>
      <c r="Q848" s="4" t="str">
        <f ca="1">IF(OR(INDEX($W$2:$W$1001,MATCH(ROWS($V$2:V848),$V$2:$V$1001,0),1)&gt;=100000,INDEX($AC$1005:$AS$1005,1,MATCH(COLUMNS($AC$1006:AR1006),$AC$1006:$AS$1006,0))&gt;=100000), " ",IF(INDEX($AC$2:$AS$1001,MATCH(ROWS($V$2:V848),$V$2:$V$1001,0),MATCH(COLUMNS($AC$1006:AR1006),$AC$1006:$AS$1006,0)), HYPERLINK("#",""), HYPERLINK(CONCATENATE("#metadata!", ADDRESS(INDEX($X$2:$X$1001,MATCH(ROWS($V$2:V848),$V$2:$V$1001,0),0), INDEX($AC$1004:$AS$1004,1,MATCH(COLUMNS($AC$1006:AR1006),$AC$1006:$AS$1006,0)))),"Fix")))</f>
        <v xml:space="preserve"> </v>
      </c>
      <c r="R848" s="4" t="str">
        <f ca="1">IF(OR(INDEX($W$2:$W$1001,MATCH(ROWS($V$2:V848),$V$2:$V$1001,0),1)&gt;=100000,INDEX($AC$1005:$AS$1005,1,MATCH(COLUMNS($AC$1006:AS1006),$AC$1006:$AS$1006,0))&gt;=100000), " ",IF(INDEX($AC$2:$AS$1001,MATCH(ROWS($V$2:V848),$V$2:$V$1001,0),MATCH(COLUMNS($AC$1006:AS1006),$AC$1006:$AS$1006,0)), HYPERLINK("#",""), HYPERLINK(CONCATENATE("#metadata!", ADDRESS(INDEX($X$2:$X$1001,MATCH(ROWS($V$2:V848),$V$2:$V$1001,0),0), INDEX($AC$1004:$AS$1004,1,MATCH(COLUMNS($AC$1006:AS1006),$AC$1006:$AS$1006,0)))),"Fix")))</f>
        <v xml:space="preserve"> </v>
      </c>
      <c r="V848">
        <v>847</v>
      </c>
      <c r="W848">
        <v>100848</v>
      </c>
      <c r="X848">
        <v>848</v>
      </c>
      <c r="Y848" t="b">
        <f t="shared" si="13"/>
        <v>1</v>
      </c>
      <c r="Z848" t="b">
        <f>COUNTBLANK(metadata!B848:R848)=COLUMNS(metadata!B848:R848)</f>
        <v>1</v>
      </c>
      <c r="AA848" t="str">
        <v/>
      </c>
      <c r="AC848" t="b">
        <f ca="1"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AD848" t="b">
        <f>IF(metadata!C848="",FALSE,ISNUMBER(VALUE(metadata!C848)))</f>
        <v>0</v>
      </c>
      <c r="AE848" t="b">
        <f>AND(IF(metadata!D848="",FALSE,TRUE),EXACT(metadata!D848,"years"))</f>
        <v>0</v>
      </c>
      <c r="AF848" t="b">
        <f>OR(AND(IF(metadata!E848="",FALSE,TRUE),OR(EXACT(metadata!E848,"not applicable"),EXACT(metadata!E848,"missing: not collected"),EXACT(metadata!E848,"missing: not provided"),EXACT(metadata!E848,"missing: restricted access"))),AND(IF(metadata!E848="",FALSE,ISNUMBER(VALUE(metadata!E848))),metadata!E848&gt;0))</f>
        <v>0</v>
      </c>
      <c r="AG848" t="b">
        <f>AND(IF(metadata!F848="",FALSE,TRUE),EXACT(metadata!F848,"Not applicable"))</f>
        <v>0</v>
      </c>
      <c r="AH848" t="b">
        <f>AND(IF(metadata!G848="",FALSE,TRUE),EXACT(metadata!G848,"urban biome"))</f>
        <v>0</v>
      </c>
      <c r="AI848" t="b">
        <f>AND(IF(metadata!H848="",FALSE,TRUE),EXACT(metadata!H848,"human-associated habitat"))</f>
        <v>0</v>
      </c>
      <c r="AJ848" t="b">
        <f>AND(IF(metadata!I848="",FALSE,TRUE),OR(EXACT(metadata!I848,"human-associated"),EXACT(metadata!I848,"human-skin"),EXACT(metadata!I848,"human-oral"),EXACT(metadata!I848,"human-gut"),EXACT(metadata!I848,"human-vaginal")))</f>
        <v>0</v>
      </c>
      <c r="AK848" t="b">
        <f>IF(metadata!J848="",FALSE,ISNUMBER(VALUE(metadata!J848)))</f>
        <v>0</v>
      </c>
      <c r="AL848" t="b">
        <f>AND(IF(metadata!K848="",FALSE,TRUE),EXACT(metadata!K848,"cm"))</f>
        <v>0</v>
      </c>
      <c r="AM848" t="b">
        <f>AND(IF(metadata!L848="",FALSE,TRUE),EXACT(metadata!L848,"human"))</f>
        <v>0</v>
      </c>
      <c r="AN848" t="b">
        <f>AND(IF(metadata!M848="",FALSE,TRUE),EXACT(metadata!M848,"Homo sapiens"))</f>
        <v>0</v>
      </c>
      <c r="AO848" t="b">
        <f>AND(IF(metadata!N848="",FALSE,TRUE),EXACT(metadata!N848,"9606"))</f>
        <v>0</v>
      </c>
      <c r="AP848" t="b">
        <f>IF(metadata!O848="",FALSE,TRUE)</f>
        <v>0</v>
      </c>
      <c r="AQ848" t="b">
        <f>IF(metadata!P848="",FALSE,TRUE)</f>
        <v>0</v>
      </c>
      <c r="AR848" t="b">
        <f>IF(metadata!Q848="",FALSE,ISNUMBER(VALUE(metadata!Q848)))</f>
        <v>0</v>
      </c>
      <c r="AS848" t="b">
        <f>AND(IF(metadata!R848="",FALSE,TRUE),EXACT(metadata!R848,"kg"))</f>
        <v>0</v>
      </c>
    </row>
    <row r="849" spans="1:45" x14ac:dyDescent="0.2">
      <c r="A849" s="5" t="str">
        <f ca="1">IF(B849=" "," ",HYPERLINK(CONCATENATE("#metadata!",ADDRESS(INDEX($X$2:$X$1001,MATCH(ROWS($V$2:V849),$V$2:$V$1001,0),0),1)),INDEX($AA$2:$AA$1001,MATCH(ROWS($V$2:V849),$V$2:$V$1001,0),0)))</f>
        <v xml:space="preserve"> </v>
      </c>
      <c r="B849" s="4" t="str">
        <f ca="1">IF(OR(INDEX($W$2:$W$1001,MATCH(ROWS($V$2:V849),$V$2:$V$1001,0),1)&gt;=100000,INDEX($AC$1005:$AS$1005,1,MATCH(COLUMNS($AC$1006:AC1006),$AC$1006:$AS$1006,0))&gt;=100000), " ",IF(INDEX($AC$2:$AS$1001,MATCH(ROWS($V$2:V849),$V$2:$V$1001,0),MATCH(COLUMNS($AC$1006:AC1006),$AC$1006:$AS$1006,0)), HYPERLINK("#",""), HYPERLINK(CONCATENATE("#metadata!", ADDRESS(INDEX($X$2:$X$1001,MATCH(ROWS($V$2:V849),$V$2:$V$1001,0),0), INDEX($AC$1004:$AS$1004,1,MATCH(COLUMNS($AC$1006:AC1006),$AC$1006:$AS$1006,0)))),"Fix")))</f>
        <v xml:space="preserve"> </v>
      </c>
      <c r="C849" s="4" t="str">
        <f ca="1">IF(OR(INDEX($W$2:$W$1001,MATCH(ROWS($V$2:V849),$V$2:$V$1001,0),1)&gt;=100000,INDEX($AC$1005:$AS$1005,1,MATCH(COLUMNS($AC$1006:AD1006),$AC$1006:$AS$1006,0))&gt;=100000), " ",IF(INDEX($AC$2:$AS$1001,MATCH(ROWS($V$2:V849),$V$2:$V$1001,0),MATCH(COLUMNS($AC$1006:AD1006),$AC$1006:$AS$1006,0)), HYPERLINK("#",""), HYPERLINK(CONCATENATE("#metadata!", ADDRESS(INDEX($X$2:$X$1001,MATCH(ROWS($V$2:V849),$V$2:$V$1001,0),0), INDEX($AC$1004:$AS$1004,1,MATCH(COLUMNS($AC$1006:AD1006),$AC$1006:$AS$1006,0)))),"Fix")))</f>
        <v xml:space="preserve"> </v>
      </c>
      <c r="D849" s="4" t="str">
        <f ca="1">IF(OR(INDEX($W$2:$W$1001,MATCH(ROWS($V$2:V849),$V$2:$V$1001,0),1)&gt;=100000,INDEX($AC$1005:$AS$1005,1,MATCH(COLUMNS($AC$1006:AE1006),$AC$1006:$AS$1006,0))&gt;=100000), " ",IF(INDEX($AC$2:$AS$1001,MATCH(ROWS($V$2:V849),$V$2:$V$1001,0),MATCH(COLUMNS($AC$1006:AE1006),$AC$1006:$AS$1006,0)), HYPERLINK("#",""), HYPERLINK(CONCATENATE("#metadata!", ADDRESS(INDEX($X$2:$X$1001,MATCH(ROWS($V$2:V849),$V$2:$V$1001,0),0), INDEX($AC$1004:$AS$1004,1,MATCH(COLUMNS($AC$1006:AE1006),$AC$1006:$AS$1006,0)))),"Fix")))</f>
        <v xml:space="preserve"> </v>
      </c>
      <c r="E849" s="4" t="str">
        <f ca="1">IF(OR(INDEX($W$2:$W$1001,MATCH(ROWS($V$2:V849),$V$2:$V$1001,0),1)&gt;=100000,INDEX($AC$1005:$AS$1005,1,MATCH(COLUMNS($AC$1006:AF1006),$AC$1006:$AS$1006,0))&gt;=100000), " ",IF(INDEX($AC$2:$AS$1001,MATCH(ROWS($V$2:V849),$V$2:$V$1001,0),MATCH(COLUMNS($AC$1006:AF1006),$AC$1006:$AS$1006,0)), HYPERLINK("#",""), HYPERLINK(CONCATENATE("#metadata!", ADDRESS(INDEX($X$2:$X$1001,MATCH(ROWS($V$2:V849),$V$2:$V$1001,0),0), INDEX($AC$1004:$AS$1004,1,MATCH(COLUMNS($AC$1006:AF1006),$AC$1006:$AS$1006,0)))),"Fix")))</f>
        <v xml:space="preserve"> </v>
      </c>
      <c r="F849" s="4" t="str">
        <f ca="1">IF(OR(INDEX($W$2:$W$1001,MATCH(ROWS($V$2:V849),$V$2:$V$1001,0),1)&gt;=100000,INDEX($AC$1005:$AS$1005,1,MATCH(COLUMNS($AC$1006:AG1006),$AC$1006:$AS$1006,0))&gt;=100000), " ",IF(INDEX($AC$2:$AS$1001,MATCH(ROWS($V$2:V849),$V$2:$V$1001,0),MATCH(COLUMNS($AC$1006:AG1006),$AC$1006:$AS$1006,0)), HYPERLINK("#",""), HYPERLINK(CONCATENATE("#metadata!", ADDRESS(INDEX($X$2:$X$1001,MATCH(ROWS($V$2:V849),$V$2:$V$1001,0),0), INDEX($AC$1004:$AS$1004,1,MATCH(COLUMNS($AC$1006:AG1006),$AC$1006:$AS$1006,0)))),"Fix")))</f>
        <v xml:space="preserve"> </v>
      </c>
      <c r="G849" s="4" t="str">
        <f ca="1">IF(OR(INDEX($W$2:$W$1001,MATCH(ROWS($V$2:V849),$V$2:$V$1001,0),1)&gt;=100000,INDEX($AC$1005:$AS$1005,1,MATCH(COLUMNS($AC$1006:AH1006),$AC$1006:$AS$1006,0))&gt;=100000), " ",IF(INDEX($AC$2:$AS$1001,MATCH(ROWS($V$2:V849),$V$2:$V$1001,0),MATCH(COLUMNS($AC$1006:AH1006),$AC$1006:$AS$1006,0)), HYPERLINK("#",""), HYPERLINK(CONCATENATE("#metadata!", ADDRESS(INDEX($X$2:$X$1001,MATCH(ROWS($V$2:V849),$V$2:$V$1001,0),0), INDEX($AC$1004:$AS$1004,1,MATCH(COLUMNS($AC$1006:AH1006),$AC$1006:$AS$1006,0)))),"Fix")))</f>
        <v xml:space="preserve"> </v>
      </c>
      <c r="H849" s="4" t="str">
        <f ca="1">IF(OR(INDEX($W$2:$W$1001,MATCH(ROWS($V$2:V849),$V$2:$V$1001,0),1)&gt;=100000,INDEX($AC$1005:$AS$1005,1,MATCH(COLUMNS($AC$1006:AI1006),$AC$1006:$AS$1006,0))&gt;=100000), " ",IF(INDEX($AC$2:$AS$1001,MATCH(ROWS($V$2:V849),$V$2:$V$1001,0),MATCH(COLUMNS($AC$1006:AI1006),$AC$1006:$AS$1006,0)), HYPERLINK("#",""), HYPERLINK(CONCATENATE("#metadata!", ADDRESS(INDEX($X$2:$X$1001,MATCH(ROWS($V$2:V849),$V$2:$V$1001,0),0), INDEX($AC$1004:$AS$1004,1,MATCH(COLUMNS($AC$1006:AI1006),$AC$1006:$AS$1006,0)))),"Fix")))</f>
        <v xml:space="preserve"> </v>
      </c>
      <c r="I849" s="4" t="str">
        <f ca="1">IF(OR(INDEX($W$2:$W$1001,MATCH(ROWS($V$2:V849),$V$2:$V$1001,0),1)&gt;=100000,INDEX($AC$1005:$AS$1005,1,MATCH(COLUMNS($AC$1006:AJ1006),$AC$1006:$AS$1006,0))&gt;=100000), " ",IF(INDEX($AC$2:$AS$1001,MATCH(ROWS($V$2:V849),$V$2:$V$1001,0),MATCH(COLUMNS($AC$1006:AJ1006),$AC$1006:$AS$1006,0)), HYPERLINK("#",""), HYPERLINK(CONCATENATE("#metadata!", ADDRESS(INDEX($X$2:$X$1001,MATCH(ROWS($V$2:V849),$V$2:$V$1001,0),0), INDEX($AC$1004:$AS$1004,1,MATCH(COLUMNS($AC$1006:AJ1006),$AC$1006:$AS$1006,0)))),"Fix")))</f>
        <v xml:space="preserve"> </v>
      </c>
      <c r="J849" s="4" t="str">
        <f ca="1">IF(OR(INDEX($W$2:$W$1001,MATCH(ROWS($V$2:V849),$V$2:$V$1001,0),1)&gt;=100000,INDEX($AC$1005:$AS$1005,1,MATCH(COLUMNS($AC$1006:AK1006),$AC$1006:$AS$1006,0))&gt;=100000), " ",IF(INDEX($AC$2:$AS$1001,MATCH(ROWS($V$2:V849),$V$2:$V$1001,0),MATCH(COLUMNS($AC$1006:AK1006),$AC$1006:$AS$1006,0)), HYPERLINK("#",""), HYPERLINK(CONCATENATE("#metadata!", ADDRESS(INDEX($X$2:$X$1001,MATCH(ROWS($V$2:V849),$V$2:$V$1001,0),0), INDEX($AC$1004:$AS$1004,1,MATCH(COLUMNS($AC$1006:AK1006),$AC$1006:$AS$1006,0)))),"Fix")))</f>
        <v xml:space="preserve"> </v>
      </c>
      <c r="K849" s="4" t="str">
        <f ca="1">IF(OR(INDEX($W$2:$W$1001,MATCH(ROWS($V$2:V849),$V$2:$V$1001,0),1)&gt;=100000,INDEX($AC$1005:$AS$1005,1,MATCH(COLUMNS($AC$1006:AL1006),$AC$1006:$AS$1006,0))&gt;=100000), " ",IF(INDEX($AC$2:$AS$1001,MATCH(ROWS($V$2:V849),$V$2:$V$1001,0),MATCH(COLUMNS($AC$1006:AL1006),$AC$1006:$AS$1006,0)), HYPERLINK("#",""), HYPERLINK(CONCATENATE("#metadata!", ADDRESS(INDEX($X$2:$X$1001,MATCH(ROWS($V$2:V849),$V$2:$V$1001,0),0), INDEX($AC$1004:$AS$1004,1,MATCH(COLUMNS($AC$1006:AL1006),$AC$1006:$AS$1006,0)))),"Fix")))</f>
        <v xml:space="preserve"> </v>
      </c>
      <c r="L849" s="4" t="str">
        <f ca="1">IF(OR(INDEX($W$2:$W$1001,MATCH(ROWS($V$2:V849),$V$2:$V$1001,0),1)&gt;=100000,INDEX($AC$1005:$AS$1005,1,MATCH(COLUMNS($AC$1006:AM1006),$AC$1006:$AS$1006,0))&gt;=100000), " ",IF(INDEX($AC$2:$AS$1001,MATCH(ROWS($V$2:V849),$V$2:$V$1001,0),MATCH(COLUMNS($AC$1006:AM1006),$AC$1006:$AS$1006,0)), HYPERLINK("#",""), HYPERLINK(CONCATENATE("#metadata!", ADDRESS(INDEX($X$2:$X$1001,MATCH(ROWS($V$2:V849),$V$2:$V$1001,0),0), INDEX($AC$1004:$AS$1004,1,MATCH(COLUMNS($AC$1006:AM1006),$AC$1006:$AS$1006,0)))),"Fix")))</f>
        <v xml:space="preserve"> </v>
      </c>
      <c r="M849" s="4" t="str">
        <f ca="1">IF(OR(INDEX($W$2:$W$1001,MATCH(ROWS($V$2:V849),$V$2:$V$1001,0),1)&gt;=100000,INDEX($AC$1005:$AS$1005,1,MATCH(COLUMNS($AC$1006:AN1006),$AC$1006:$AS$1006,0))&gt;=100000), " ",IF(INDEX($AC$2:$AS$1001,MATCH(ROWS($V$2:V849),$V$2:$V$1001,0),MATCH(COLUMNS($AC$1006:AN1006),$AC$1006:$AS$1006,0)), HYPERLINK("#",""), HYPERLINK(CONCATENATE("#metadata!", ADDRESS(INDEX($X$2:$X$1001,MATCH(ROWS($V$2:V849),$V$2:$V$1001,0),0), INDEX($AC$1004:$AS$1004,1,MATCH(COLUMNS($AC$1006:AN1006),$AC$1006:$AS$1006,0)))),"Fix")))</f>
        <v xml:space="preserve"> </v>
      </c>
      <c r="N849" s="4" t="str">
        <f ca="1">IF(OR(INDEX($W$2:$W$1001,MATCH(ROWS($V$2:V849),$V$2:$V$1001,0),1)&gt;=100000,INDEX($AC$1005:$AS$1005,1,MATCH(COLUMNS($AC$1006:AO1006),$AC$1006:$AS$1006,0))&gt;=100000), " ",IF(INDEX($AC$2:$AS$1001,MATCH(ROWS($V$2:V849),$V$2:$V$1001,0),MATCH(COLUMNS($AC$1006:AO1006),$AC$1006:$AS$1006,0)), HYPERLINK("#",""), HYPERLINK(CONCATENATE("#metadata!", ADDRESS(INDEX($X$2:$X$1001,MATCH(ROWS($V$2:V849),$V$2:$V$1001,0),0), INDEX($AC$1004:$AS$1004,1,MATCH(COLUMNS($AC$1006:AO1006),$AC$1006:$AS$1006,0)))),"Fix")))</f>
        <v xml:space="preserve"> </v>
      </c>
      <c r="O849" s="4" t="str">
        <f ca="1">IF(OR(INDEX($W$2:$W$1001,MATCH(ROWS($V$2:V849),$V$2:$V$1001,0),1)&gt;=100000,INDEX($AC$1005:$AS$1005,1,MATCH(COLUMNS($AC$1006:AP1006),$AC$1006:$AS$1006,0))&gt;=100000), " ",IF(INDEX($AC$2:$AS$1001,MATCH(ROWS($V$2:V849),$V$2:$V$1001,0),MATCH(COLUMNS($AC$1006:AP1006),$AC$1006:$AS$1006,0)), HYPERLINK("#",""), HYPERLINK(CONCATENATE("#metadata!", ADDRESS(INDEX($X$2:$X$1001,MATCH(ROWS($V$2:V849),$V$2:$V$1001,0),0), INDEX($AC$1004:$AS$1004,1,MATCH(COLUMNS($AC$1006:AP1006),$AC$1006:$AS$1006,0)))),"Fix")))</f>
        <v xml:space="preserve"> </v>
      </c>
      <c r="P849" s="4" t="str">
        <f ca="1">IF(OR(INDEX($W$2:$W$1001,MATCH(ROWS($V$2:V849),$V$2:$V$1001,0),1)&gt;=100000,INDEX($AC$1005:$AS$1005,1,MATCH(COLUMNS($AC$1006:AQ1006),$AC$1006:$AS$1006,0))&gt;=100000), " ",IF(INDEX($AC$2:$AS$1001,MATCH(ROWS($V$2:V849),$V$2:$V$1001,0),MATCH(COLUMNS($AC$1006:AQ1006),$AC$1006:$AS$1006,0)), HYPERLINK("#",""), HYPERLINK(CONCATENATE("#metadata!", ADDRESS(INDEX($X$2:$X$1001,MATCH(ROWS($V$2:V849),$V$2:$V$1001,0),0), INDEX($AC$1004:$AS$1004,1,MATCH(COLUMNS($AC$1006:AQ1006),$AC$1006:$AS$1006,0)))),"Fix")))</f>
        <v xml:space="preserve"> </v>
      </c>
      <c r="Q849" s="4" t="str">
        <f ca="1">IF(OR(INDEX($W$2:$W$1001,MATCH(ROWS($V$2:V849),$V$2:$V$1001,0),1)&gt;=100000,INDEX($AC$1005:$AS$1005,1,MATCH(COLUMNS($AC$1006:AR1006),$AC$1006:$AS$1006,0))&gt;=100000), " ",IF(INDEX($AC$2:$AS$1001,MATCH(ROWS($V$2:V849),$V$2:$V$1001,0),MATCH(COLUMNS($AC$1006:AR1006),$AC$1006:$AS$1006,0)), HYPERLINK("#",""), HYPERLINK(CONCATENATE("#metadata!", ADDRESS(INDEX($X$2:$X$1001,MATCH(ROWS($V$2:V849),$V$2:$V$1001,0),0), INDEX($AC$1004:$AS$1004,1,MATCH(COLUMNS($AC$1006:AR1006),$AC$1006:$AS$1006,0)))),"Fix")))</f>
        <v xml:space="preserve"> </v>
      </c>
      <c r="R849" s="4" t="str">
        <f ca="1">IF(OR(INDEX($W$2:$W$1001,MATCH(ROWS($V$2:V849),$V$2:$V$1001,0),1)&gt;=100000,INDEX($AC$1005:$AS$1005,1,MATCH(COLUMNS($AC$1006:AS1006),$AC$1006:$AS$1006,0))&gt;=100000), " ",IF(INDEX($AC$2:$AS$1001,MATCH(ROWS($V$2:V849),$V$2:$V$1001,0),MATCH(COLUMNS($AC$1006:AS1006),$AC$1006:$AS$1006,0)), HYPERLINK("#",""), HYPERLINK(CONCATENATE("#metadata!", ADDRESS(INDEX($X$2:$X$1001,MATCH(ROWS($V$2:V849),$V$2:$V$1001,0),0), INDEX($AC$1004:$AS$1004,1,MATCH(COLUMNS($AC$1006:AS1006),$AC$1006:$AS$1006,0)))),"Fix")))</f>
        <v xml:space="preserve"> </v>
      </c>
      <c r="V849">
        <v>848</v>
      </c>
      <c r="W849">
        <v>100849</v>
      </c>
      <c r="X849">
        <v>849</v>
      </c>
      <c r="Y849" t="b">
        <f t="shared" si="13"/>
        <v>1</v>
      </c>
      <c r="Z849" t="b">
        <f>COUNTBLANK(metadata!B849:R849)=COLUMNS(metadata!B849:R849)</f>
        <v>1</v>
      </c>
      <c r="AA849" t="str">
        <v/>
      </c>
      <c r="AC849" t="b">
        <f ca="1"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AD849" t="b">
        <f>IF(metadata!C849="",FALSE,ISNUMBER(VALUE(metadata!C849)))</f>
        <v>0</v>
      </c>
      <c r="AE849" t="b">
        <f>AND(IF(metadata!D849="",FALSE,TRUE),EXACT(metadata!D849,"years"))</f>
        <v>0</v>
      </c>
      <c r="AF849" t="b">
        <f>OR(AND(IF(metadata!E849="",FALSE,TRUE),OR(EXACT(metadata!E849,"not applicable"),EXACT(metadata!E849,"missing: not collected"),EXACT(metadata!E849,"missing: not provided"),EXACT(metadata!E849,"missing: restricted access"))),AND(IF(metadata!E849="",FALSE,ISNUMBER(VALUE(metadata!E849))),metadata!E849&gt;0))</f>
        <v>0</v>
      </c>
      <c r="AG849" t="b">
        <f>AND(IF(metadata!F849="",FALSE,TRUE),EXACT(metadata!F849,"Not applicable"))</f>
        <v>0</v>
      </c>
      <c r="AH849" t="b">
        <f>AND(IF(metadata!G849="",FALSE,TRUE),EXACT(metadata!G849,"urban biome"))</f>
        <v>0</v>
      </c>
      <c r="AI849" t="b">
        <f>AND(IF(metadata!H849="",FALSE,TRUE),EXACT(metadata!H849,"human-associated habitat"))</f>
        <v>0</v>
      </c>
      <c r="AJ849" t="b">
        <f>AND(IF(metadata!I849="",FALSE,TRUE),OR(EXACT(metadata!I849,"human-associated"),EXACT(metadata!I849,"human-skin"),EXACT(metadata!I849,"human-oral"),EXACT(metadata!I849,"human-gut"),EXACT(metadata!I849,"human-vaginal")))</f>
        <v>0</v>
      </c>
      <c r="AK849" t="b">
        <f>IF(metadata!J849="",FALSE,ISNUMBER(VALUE(metadata!J849)))</f>
        <v>0</v>
      </c>
      <c r="AL849" t="b">
        <f>AND(IF(metadata!K849="",FALSE,TRUE),EXACT(metadata!K849,"cm"))</f>
        <v>0</v>
      </c>
      <c r="AM849" t="b">
        <f>AND(IF(metadata!L849="",FALSE,TRUE),EXACT(metadata!L849,"human"))</f>
        <v>0</v>
      </c>
      <c r="AN849" t="b">
        <f>AND(IF(metadata!M849="",FALSE,TRUE),EXACT(metadata!M849,"Homo sapiens"))</f>
        <v>0</v>
      </c>
      <c r="AO849" t="b">
        <f>AND(IF(metadata!N849="",FALSE,TRUE),EXACT(metadata!N849,"9606"))</f>
        <v>0</v>
      </c>
      <c r="AP849" t="b">
        <f>IF(metadata!O849="",FALSE,TRUE)</f>
        <v>0</v>
      </c>
      <c r="AQ849" t="b">
        <f>IF(metadata!P849="",FALSE,TRUE)</f>
        <v>0</v>
      </c>
      <c r="AR849" t="b">
        <f>IF(metadata!Q849="",FALSE,ISNUMBER(VALUE(metadata!Q849)))</f>
        <v>0</v>
      </c>
      <c r="AS849" t="b">
        <f>AND(IF(metadata!R849="",FALSE,TRUE),EXACT(metadata!R849,"kg"))</f>
        <v>0</v>
      </c>
    </row>
    <row r="850" spans="1:45" x14ac:dyDescent="0.2">
      <c r="A850" s="5" t="str">
        <f ca="1">IF(B850=" "," ",HYPERLINK(CONCATENATE("#metadata!",ADDRESS(INDEX($X$2:$X$1001,MATCH(ROWS($V$2:V850),$V$2:$V$1001,0),0),1)),INDEX($AA$2:$AA$1001,MATCH(ROWS($V$2:V850),$V$2:$V$1001,0),0)))</f>
        <v xml:space="preserve"> </v>
      </c>
      <c r="B850" s="4" t="str">
        <f ca="1">IF(OR(INDEX($W$2:$W$1001,MATCH(ROWS($V$2:V850),$V$2:$V$1001,0),1)&gt;=100000,INDEX($AC$1005:$AS$1005,1,MATCH(COLUMNS($AC$1006:AC1006),$AC$1006:$AS$1006,0))&gt;=100000), " ",IF(INDEX($AC$2:$AS$1001,MATCH(ROWS($V$2:V850),$V$2:$V$1001,0),MATCH(COLUMNS($AC$1006:AC1006),$AC$1006:$AS$1006,0)), HYPERLINK("#",""), HYPERLINK(CONCATENATE("#metadata!", ADDRESS(INDEX($X$2:$X$1001,MATCH(ROWS($V$2:V850),$V$2:$V$1001,0),0), INDEX($AC$1004:$AS$1004,1,MATCH(COLUMNS($AC$1006:AC1006),$AC$1006:$AS$1006,0)))),"Fix")))</f>
        <v xml:space="preserve"> </v>
      </c>
      <c r="C850" s="4" t="str">
        <f ca="1">IF(OR(INDEX($W$2:$W$1001,MATCH(ROWS($V$2:V850),$V$2:$V$1001,0),1)&gt;=100000,INDEX($AC$1005:$AS$1005,1,MATCH(COLUMNS($AC$1006:AD1006),$AC$1006:$AS$1006,0))&gt;=100000), " ",IF(INDEX($AC$2:$AS$1001,MATCH(ROWS($V$2:V850),$V$2:$V$1001,0),MATCH(COLUMNS($AC$1006:AD1006),$AC$1006:$AS$1006,0)), HYPERLINK("#",""), HYPERLINK(CONCATENATE("#metadata!", ADDRESS(INDEX($X$2:$X$1001,MATCH(ROWS($V$2:V850),$V$2:$V$1001,0),0), INDEX($AC$1004:$AS$1004,1,MATCH(COLUMNS($AC$1006:AD1006),$AC$1006:$AS$1006,0)))),"Fix")))</f>
        <v xml:space="preserve"> </v>
      </c>
      <c r="D850" s="4" t="str">
        <f ca="1">IF(OR(INDEX($W$2:$W$1001,MATCH(ROWS($V$2:V850),$V$2:$V$1001,0),1)&gt;=100000,INDEX($AC$1005:$AS$1005,1,MATCH(COLUMNS($AC$1006:AE1006),$AC$1006:$AS$1006,0))&gt;=100000), " ",IF(INDEX($AC$2:$AS$1001,MATCH(ROWS($V$2:V850),$V$2:$V$1001,0),MATCH(COLUMNS($AC$1006:AE1006),$AC$1006:$AS$1006,0)), HYPERLINK("#",""), HYPERLINK(CONCATENATE("#metadata!", ADDRESS(INDEX($X$2:$X$1001,MATCH(ROWS($V$2:V850),$V$2:$V$1001,0),0), INDEX($AC$1004:$AS$1004,1,MATCH(COLUMNS($AC$1006:AE1006),$AC$1006:$AS$1006,0)))),"Fix")))</f>
        <v xml:space="preserve"> </v>
      </c>
      <c r="E850" s="4" t="str">
        <f ca="1">IF(OR(INDEX($W$2:$W$1001,MATCH(ROWS($V$2:V850),$V$2:$V$1001,0),1)&gt;=100000,INDEX($AC$1005:$AS$1005,1,MATCH(COLUMNS($AC$1006:AF1006),$AC$1006:$AS$1006,0))&gt;=100000), " ",IF(INDEX($AC$2:$AS$1001,MATCH(ROWS($V$2:V850),$V$2:$V$1001,0),MATCH(COLUMNS($AC$1006:AF1006),$AC$1006:$AS$1006,0)), HYPERLINK("#",""), HYPERLINK(CONCATENATE("#metadata!", ADDRESS(INDEX($X$2:$X$1001,MATCH(ROWS($V$2:V850),$V$2:$V$1001,0),0), INDEX($AC$1004:$AS$1004,1,MATCH(COLUMNS($AC$1006:AF1006),$AC$1006:$AS$1006,0)))),"Fix")))</f>
        <v xml:space="preserve"> </v>
      </c>
      <c r="F850" s="4" t="str">
        <f ca="1">IF(OR(INDEX($W$2:$W$1001,MATCH(ROWS($V$2:V850),$V$2:$V$1001,0),1)&gt;=100000,INDEX($AC$1005:$AS$1005,1,MATCH(COLUMNS($AC$1006:AG1006),$AC$1006:$AS$1006,0))&gt;=100000), " ",IF(INDEX($AC$2:$AS$1001,MATCH(ROWS($V$2:V850),$V$2:$V$1001,0),MATCH(COLUMNS($AC$1006:AG1006),$AC$1006:$AS$1006,0)), HYPERLINK("#",""), HYPERLINK(CONCATENATE("#metadata!", ADDRESS(INDEX($X$2:$X$1001,MATCH(ROWS($V$2:V850),$V$2:$V$1001,0),0), INDEX($AC$1004:$AS$1004,1,MATCH(COLUMNS($AC$1006:AG1006),$AC$1006:$AS$1006,0)))),"Fix")))</f>
        <v xml:space="preserve"> </v>
      </c>
      <c r="G850" s="4" t="str">
        <f ca="1">IF(OR(INDEX($W$2:$W$1001,MATCH(ROWS($V$2:V850),$V$2:$V$1001,0),1)&gt;=100000,INDEX($AC$1005:$AS$1005,1,MATCH(COLUMNS($AC$1006:AH1006),$AC$1006:$AS$1006,0))&gt;=100000), " ",IF(INDEX($AC$2:$AS$1001,MATCH(ROWS($V$2:V850),$V$2:$V$1001,0),MATCH(COLUMNS($AC$1006:AH1006),$AC$1006:$AS$1006,0)), HYPERLINK("#",""), HYPERLINK(CONCATENATE("#metadata!", ADDRESS(INDEX($X$2:$X$1001,MATCH(ROWS($V$2:V850),$V$2:$V$1001,0),0), INDEX($AC$1004:$AS$1004,1,MATCH(COLUMNS($AC$1006:AH1006),$AC$1006:$AS$1006,0)))),"Fix")))</f>
        <v xml:space="preserve"> </v>
      </c>
      <c r="H850" s="4" t="str">
        <f ca="1">IF(OR(INDEX($W$2:$W$1001,MATCH(ROWS($V$2:V850),$V$2:$V$1001,0),1)&gt;=100000,INDEX($AC$1005:$AS$1005,1,MATCH(COLUMNS($AC$1006:AI1006),$AC$1006:$AS$1006,0))&gt;=100000), " ",IF(INDEX($AC$2:$AS$1001,MATCH(ROWS($V$2:V850),$V$2:$V$1001,0),MATCH(COLUMNS($AC$1006:AI1006),$AC$1006:$AS$1006,0)), HYPERLINK("#",""), HYPERLINK(CONCATENATE("#metadata!", ADDRESS(INDEX($X$2:$X$1001,MATCH(ROWS($V$2:V850),$V$2:$V$1001,0),0), INDEX($AC$1004:$AS$1004,1,MATCH(COLUMNS($AC$1006:AI1006),$AC$1006:$AS$1006,0)))),"Fix")))</f>
        <v xml:space="preserve"> </v>
      </c>
      <c r="I850" s="4" t="str">
        <f ca="1">IF(OR(INDEX($W$2:$W$1001,MATCH(ROWS($V$2:V850),$V$2:$V$1001,0),1)&gt;=100000,INDEX($AC$1005:$AS$1005,1,MATCH(COLUMNS($AC$1006:AJ1006),$AC$1006:$AS$1006,0))&gt;=100000), " ",IF(INDEX($AC$2:$AS$1001,MATCH(ROWS($V$2:V850),$V$2:$V$1001,0),MATCH(COLUMNS($AC$1006:AJ1006),$AC$1006:$AS$1006,0)), HYPERLINK("#",""), HYPERLINK(CONCATENATE("#metadata!", ADDRESS(INDEX($X$2:$X$1001,MATCH(ROWS($V$2:V850),$V$2:$V$1001,0),0), INDEX($AC$1004:$AS$1004,1,MATCH(COLUMNS($AC$1006:AJ1006),$AC$1006:$AS$1006,0)))),"Fix")))</f>
        <v xml:space="preserve"> </v>
      </c>
      <c r="J850" s="4" t="str">
        <f ca="1">IF(OR(INDEX($W$2:$W$1001,MATCH(ROWS($V$2:V850),$V$2:$V$1001,0),1)&gt;=100000,INDEX($AC$1005:$AS$1005,1,MATCH(COLUMNS($AC$1006:AK1006),$AC$1006:$AS$1006,0))&gt;=100000), " ",IF(INDEX($AC$2:$AS$1001,MATCH(ROWS($V$2:V850),$V$2:$V$1001,0),MATCH(COLUMNS($AC$1006:AK1006),$AC$1006:$AS$1006,0)), HYPERLINK("#",""), HYPERLINK(CONCATENATE("#metadata!", ADDRESS(INDEX($X$2:$X$1001,MATCH(ROWS($V$2:V850),$V$2:$V$1001,0),0), INDEX($AC$1004:$AS$1004,1,MATCH(COLUMNS($AC$1006:AK1006),$AC$1006:$AS$1006,0)))),"Fix")))</f>
        <v xml:space="preserve"> </v>
      </c>
      <c r="K850" s="4" t="str">
        <f ca="1">IF(OR(INDEX($W$2:$W$1001,MATCH(ROWS($V$2:V850),$V$2:$V$1001,0),1)&gt;=100000,INDEX($AC$1005:$AS$1005,1,MATCH(COLUMNS($AC$1006:AL1006),$AC$1006:$AS$1006,0))&gt;=100000), " ",IF(INDEX($AC$2:$AS$1001,MATCH(ROWS($V$2:V850),$V$2:$V$1001,0),MATCH(COLUMNS($AC$1006:AL1006),$AC$1006:$AS$1006,0)), HYPERLINK("#",""), HYPERLINK(CONCATENATE("#metadata!", ADDRESS(INDEX($X$2:$X$1001,MATCH(ROWS($V$2:V850),$V$2:$V$1001,0),0), INDEX($AC$1004:$AS$1004,1,MATCH(COLUMNS($AC$1006:AL1006),$AC$1006:$AS$1006,0)))),"Fix")))</f>
        <v xml:space="preserve"> </v>
      </c>
      <c r="L850" s="4" t="str">
        <f ca="1">IF(OR(INDEX($W$2:$W$1001,MATCH(ROWS($V$2:V850),$V$2:$V$1001,0),1)&gt;=100000,INDEX($AC$1005:$AS$1005,1,MATCH(COLUMNS($AC$1006:AM1006),$AC$1006:$AS$1006,0))&gt;=100000), " ",IF(INDEX($AC$2:$AS$1001,MATCH(ROWS($V$2:V850),$V$2:$V$1001,0),MATCH(COLUMNS($AC$1006:AM1006),$AC$1006:$AS$1006,0)), HYPERLINK("#",""), HYPERLINK(CONCATENATE("#metadata!", ADDRESS(INDEX($X$2:$X$1001,MATCH(ROWS($V$2:V850),$V$2:$V$1001,0),0), INDEX($AC$1004:$AS$1004,1,MATCH(COLUMNS($AC$1006:AM1006),$AC$1006:$AS$1006,0)))),"Fix")))</f>
        <v xml:space="preserve"> </v>
      </c>
      <c r="M850" s="4" t="str">
        <f ca="1">IF(OR(INDEX($W$2:$W$1001,MATCH(ROWS($V$2:V850),$V$2:$V$1001,0),1)&gt;=100000,INDEX($AC$1005:$AS$1005,1,MATCH(COLUMNS($AC$1006:AN1006),$AC$1006:$AS$1006,0))&gt;=100000), " ",IF(INDEX($AC$2:$AS$1001,MATCH(ROWS($V$2:V850),$V$2:$V$1001,0),MATCH(COLUMNS($AC$1006:AN1006),$AC$1006:$AS$1006,0)), HYPERLINK("#",""), HYPERLINK(CONCATENATE("#metadata!", ADDRESS(INDEX($X$2:$X$1001,MATCH(ROWS($V$2:V850),$V$2:$V$1001,0),0), INDEX($AC$1004:$AS$1004,1,MATCH(COLUMNS($AC$1006:AN1006),$AC$1006:$AS$1006,0)))),"Fix")))</f>
        <v xml:space="preserve"> </v>
      </c>
      <c r="N850" s="4" t="str">
        <f ca="1">IF(OR(INDEX($W$2:$W$1001,MATCH(ROWS($V$2:V850),$V$2:$V$1001,0),1)&gt;=100000,INDEX($AC$1005:$AS$1005,1,MATCH(COLUMNS($AC$1006:AO1006),$AC$1006:$AS$1006,0))&gt;=100000), " ",IF(INDEX($AC$2:$AS$1001,MATCH(ROWS($V$2:V850),$V$2:$V$1001,0),MATCH(COLUMNS($AC$1006:AO1006),$AC$1006:$AS$1006,0)), HYPERLINK("#",""), HYPERLINK(CONCATENATE("#metadata!", ADDRESS(INDEX($X$2:$X$1001,MATCH(ROWS($V$2:V850),$V$2:$V$1001,0),0), INDEX($AC$1004:$AS$1004,1,MATCH(COLUMNS($AC$1006:AO1006),$AC$1006:$AS$1006,0)))),"Fix")))</f>
        <v xml:space="preserve"> </v>
      </c>
      <c r="O850" s="4" t="str">
        <f ca="1">IF(OR(INDEX($W$2:$W$1001,MATCH(ROWS($V$2:V850),$V$2:$V$1001,0),1)&gt;=100000,INDEX($AC$1005:$AS$1005,1,MATCH(COLUMNS($AC$1006:AP1006),$AC$1006:$AS$1006,0))&gt;=100000), " ",IF(INDEX($AC$2:$AS$1001,MATCH(ROWS($V$2:V850),$V$2:$V$1001,0),MATCH(COLUMNS($AC$1006:AP1006),$AC$1006:$AS$1006,0)), HYPERLINK("#",""), HYPERLINK(CONCATENATE("#metadata!", ADDRESS(INDEX($X$2:$X$1001,MATCH(ROWS($V$2:V850),$V$2:$V$1001,0),0), INDEX($AC$1004:$AS$1004,1,MATCH(COLUMNS($AC$1006:AP1006),$AC$1006:$AS$1006,0)))),"Fix")))</f>
        <v xml:space="preserve"> </v>
      </c>
      <c r="P850" s="4" t="str">
        <f ca="1">IF(OR(INDEX($W$2:$W$1001,MATCH(ROWS($V$2:V850),$V$2:$V$1001,0),1)&gt;=100000,INDEX($AC$1005:$AS$1005,1,MATCH(COLUMNS($AC$1006:AQ1006),$AC$1006:$AS$1006,0))&gt;=100000), " ",IF(INDEX($AC$2:$AS$1001,MATCH(ROWS($V$2:V850),$V$2:$V$1001,0),MATCH(COLUMNS($AC$1006:AQ1006),$AC$1006:$AS$1006,0)), HYPERLINK("#",""), HYPERLINK(CONCATENATE("#metadata!", ADDRESS(INDEX($X$2:$X$1001,MATCH(ROWS($V$2:V850),$V$2:$V$1001,0),0), INDEX($AC$1004:$AS$1004,1,MATCH(COLUMNS($AC$1006:AQ1006),$AC$1006:$AS$1006,0)))),"Fix")))</f>
        <v xml:space="preserve"> </v>
      </c>
      <c r="Q850" s="4" t="str">
        <f ca="1">IF(OR(INDEX($W$2:$W$1001,MATCH(ROWS($V$2:V850),$V$2:$V$1001,0),1)&gt;=100000,INDEX($AC$1005:$AS$1005,1,MATCH(COLUMNS($AC$1006:AR1006),$AC$1006:$AS$1006,0))&gt;=100000), " ",IF(INDEX($AC$2:$AS$1001,MATCH(ROWS($V$2:V850),$V$2:$V$1001,0),MATCH(COLUMNS($AC$1006:AR1006),$AC$1006:$AS$1006,0)), HYPERLINK("#",""), HYPERLINK(CONCATENATE("#metadata!", ADDRESS(INDEX($X$2:$X$1001,MATCH(ROWS($V$2:V850),$V$2:$V$1001,0),0), INDEX($AC$1004:$AS$1004,1,MATCH(COLUMNS($AC$1006:AR1006),$AC$1006:$AS$1006,0)))),"Fix")))</f>
        <v xml:space="preserve"> </v>
      </c>
      <c r="R850" s="4" t="str">
        <f ca="1">IF(OR(INDEX($W$2:$W$1001,MATCH(ROWS($V$2:V850),$V$2:$V$1001,0),1)&gt;=100000,INDEX($AC$1005:$AS$1005,1,MATCH(COLUMNS($AC$1006:AS1006),$AC$1006:$AS$1006,0))&gt;=100000), " ",IF(INDEX($AC$2:$AS$1001,MATCH(ROWS($V$2:V850),$V$2:$V$1001,0),MATCH(COLUMNS($AC$1006:AS1006),$AC$1006:$AS$1006,0)), HYPERLINK("#",""), HYPERLINK(CONCATENATE("#metadata!", ADDRESS(INDEX($X$2:$X$1001,MATCH(ROWS($V$2:V850),$V$2:$V$1001,0),0), INDEX($AC$1004:$AS$1004,1,MATCH(COLUMNS($AC$1006:AS1006),$AC$1006:$AS$1006,0)))),"Fix")))</f>
        <v xml:space="preserve"> </v>
      </c>
      <c r="V850">
        <v>849</v>
      </c>
      <c r="W850">
        <v>100850</v>
      </c>
      <c r="X850">
        <v>850</v>
      </c>
      <c r="Y850" t="b">
        <f t="shared" si="13"/>
        <v>1</v>
      </c>
      <c r="Z850" t="b">
        <f>COUNTBLANK(metadata!B850:R850)=COLUMNS(metadata!B850:R850)</f>
        <v>1</v>
      </c>
      <c r="AA850" t="str">
        <v/>
      </c>
      <c r="AC850" t="b">
        <f ca="1"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AD850" t="b">
        <f>IF(metadata!C850="",FALSE,ISNUMBER(VALUE(metadata!C850)))</f>
        <v>0</v>
      </c>
      <c r="AE850" t="b">
        <f>AND(IF(metadata!D850="",FALSE,TRUE),EXACT(metadata!D850,"years"))</f>
        <v>0</v>
      </c>
      <c r="AF850" t="b">
        <f>OR(AND(IF(metadata!E850="",FALSE,TRUE),OR(EXACT(metadata!E850,"not applicable"),EXACT(metadata!E850,"missing: not collected"),EXACT(metadata!E850,"missing: not provided"),EXACT(metadata!E850,"missing: restricted access"))),AND(IF(metadata!E850="",FALSE,ISNUMBER(VALUE(metadata!E850))),metadata!E850&gt;0))</f>
        <v>0</v>
      </c>
      <c r="AG850" t="b">
        <f>AND(IF(metadata!F850="",FALSE,TRUE),EXACT(metadata!F850,"Not applicable"))</f>
        <v>0</v>
      </c>
      <c r="AH850" t="b">
        <f>AND(IF(metadata!G850="",FALSE,TRUE),EXACT(metadata!G850,"urban biome"))</f>
        <v>0</v>
      </c>
      <c r="AI850" t="b">
        <f>AND(IF(metadata!H850="",FALSE,TRUE),EXACT(metadata!H850,"human-associated habitat"))</f>
        <v>0</v>
      </c>
      <c r="AJ850" t="b">
        <f>AND(IF(metadata!I850="",FALSE,TRUE),OR(EXACT(metadata!I850,"human-associated"),EXACT(metadata!I850,"human-skin"),EXACT(metadata!I850,"human-oral"),EXACT(metadata!I850,"human-gut"),EXACT(metadata!I850,"human-vaginal")))</f>
        <v>0</v>
      </c>
      <c r="AK850" t="b">
        <f>IF(metadata!J850="",FALSE,ISNUMBER(VALUE(metadata!J850)))</f>
        <v>0</v>
      </c>
      <c r="AL850" t="b">
        <f>AND(IF(metadata!K850="",FALSE,TRUE),EXACT(metadata!K850,"cm"))</f>
        <v>0</v>
      </c>
      <c r="AM850" t="b">
        <f>AND(IF(metadata!L850="",FALSE,TRUE),EXACT(metadata!L850,"human"))</f>
        <v>0</v>
      </c>
      <c r="AN850" t="b">
        <f>AND(IF(metadata!M850="",FALSE,TRUE),EXACT(metadata!M850,"Homo sapiens"))</f>
        <v>0</v>
      </c>
      <c r="AO850" t="b">
        <f>AND(IF(metadata!N850="",FALSE,TRUE),EXACT(metadata!N850,"9606"))</f>
        <v>0</v>
      </c>
      <c r="AP850" t="b">
        <f>IF(metadata!O850="",FALSE,TRUE)</f>
        <v>0</v>
      </c>
      <c r="AQ850" t="b">
        <f>IF(metadata!P850="",FALSE,TRUE)</f>
        <v>0</v>
      </c>
      <c r="AR850" t="b">
        <f>IF(metadata!Q850="",FALSE,ISNUMBER(VALUE(metadata!Q850)))</f>
        <v>0</v>
      </c>
      <c r="AS850" t="b">
        <f>AND(IF(metadata!R850="",FALSE,TRUE),EXACT(metadata!R850,"kg"))</f>
        <v>0</v>
      </c>
    </row>
    <row r="851" spans="1:45" x14ac:dyDescent="0.2">
      <c r="A851" s="5" t="str">
        <f ca="1">IF(B851=" "," ",HYPERLINK(CONCATENATE("#metadata!",ADDRESS(INDEX($X$2:$X$1001,MATCH(ROWS($V$2:V851),$V$2:$V$1001,0),0),1)),INDEX($AA$2:$AA$1001,MATCH(ROWS($V$2:V851),$V$2:$V$1001,0),0)))</f>
        <v xml:space="preserve"> </v>
      </c>
      <c r="B851" s="4" t="str">
        <f ca="1">IF(OR(INDEX($W$2:$W$1001,MATCH(ROWS($V$2:V851),$V$2:$V$1001,0),1)&gt;=100000,INDEX($AC$1005:$AS$1005,1,MATCH(COLUMNS($AC$1006:AC1006),$AC$1006:$AS$1006,0))&gt;=100000), " ",IF(INDEX($AC$2:$AS$1001,MATCH(ROWS($V$2:V851),$V$2:$V$1001,0),MATCH(COLUMNS($AC$1006:AC1006),$AC$1006:$AS$1006,0)), HYPERLINK("#",""), HYPERLINK(CONCATENATE("#metadata!", ADDRESS(INDEX($X$2:$X$1001,MATCH(ROWS($V$2:V851),$V$2:$V$1001,0),0), INDEX($AC$1004:$AS$1004,1,MATCH(COLUMNS($AC$1006:AC1006),$AC$1006:$AS$1006,0)))),"Fix")))</f>
        <v xml:space="preserve"> </v>
      </c>
      <c r="C851" s="4" t="str">
        <f ca="1">IF(OR(INDEX($W$2:$W$1001,MATCH(ROWS($V$2:V851),$V$2:$V$1001,0),1)&gt;=100000,INDEX($AC$1005:$AS$1005,1,MATCH(COLUMNS($AC$1006:AD1006),$AC$1006:$AS$1006,0))&gt;=100000), " ",IF(INDEX($AC$2:$AS$1001,MATCH(ROWS($V$2:V851),$V$2:$V$1001,0),MATCH(COLUMNS($AC$1006:AD1006),$AC$1006:$AS$1006,0)), HYPERLINK("#",""), HYPERLINK(CONCATENATE("#metadata!", ADDRESS(INDEX($X$2:$X$1001,MATCH(ROWS($V$2:V851),$V$2:$V$1001,0),0), INDEX($AC$1004:$AS$1004,1,MATCH(COLUMNS($AC$1006:AD1006),$AC$1006:$AS$1006,0)))),"Fix")))</f>
        <v xml:space="preserve"> </v>
      </c>
      <c r="D851" s="4" t="str">
        <f ca="1">IF(OR(INDEX($W$2:$W$1001,MATCH(ROWS($V$2:V851),$V$2:$V$1001,0),1)&gt;=100000,INDEX($AC$1005:$AS$1005,1,MATCH(COLUMNS($AC$1006:AE1006),$AC$1006:$AS$1006,0))&gt;=100000), " ",IF(INDEX($AC$2:$AS$1001,MATCH(ROWS($V$2:V851),$V$2:$V$1001,0),MATCH(COLUMNS($AC$1006:AE1006),$AC$1006:$AS$1006,0)), HYPERLINK("#",""), HYPERLINK(CONCATENATE("#metadata!", ADDRESS(INDEX($X$2:$X$1001,MATCH(ROWS($V$2:V851),$V$2:$V$1001,0),0), INDEX($AC$1004:$AS$1004,1,MATCH(COLUMNS($AC$1006:AE1006),$AC$1006:$AS$1006,0)))),"Fix")))</f>
        <v xml:space="preserve"> </v>
      </c>
      <c r="E851" s="4" t="str">
        <f ca="1">IF(OR(INDEX($W$2:$W$1001,MATCH(ROWS($V$2:V851),$V$2:$V$1001,0),1)&gt;=100000,INDEX($AC$1005:$AS$1005,1,MATCH(COLUMNS($AC$1006:AF1006),$AC$1006:$AS$1006,0))&gt;=100000), " ",IF(INDEX($AC$2:$AS$1001,MATCH(ROWS($V$2:V851),$V$2:$V$1001,0),MATCH(COLUMNS($AC$1006:AF1006),$AC$1006:$AS$1006,0)), HYPERLINK("#",""), HYPERLINK(CONCATENATE("#metadata!", ADDRESS(INDEX($X$2:$X$1001,MATCH(ROWS($V$2:V851),$V$2:$V$1001,0),0), INDEX($AC$1004:$AS$1004,1,MATCH(COLUMNS($AC$1006:AF1006),$AC$1006:$AS$1006,0)))),"Fix")))</f>
        <v xml:space="preserve"> </v>
      </c>
      <c r="F851" s="4" t="str">
        <f ca="1">IF(OR(INDEX($W$2:$W$1001,MATCH(ROWS($V$2:V851),$V$2:$V$1001,0),1)&gt;=100000,INDEX($AC$1005:$AS$1005,1,MATCH(COLUMNS($AC$1006:AG1006),$AC$1006:$AS$1006,0))&gt;=100000), " ",IF(INDEX($AC$2:$AS$1001,MATCH(ROWS($V$2:V851),$V$2:$V$1001,0),MATCH(COLUMNS($AC$1006:AG1006),$AC$1006:$AS$1006,0)), HYPERLINK("#",""), HYPERLINK(CONCATENATE("#metadata!", ADDRESS(INDEX($X$2:$X$1001,MATCH(ROWS($V$2:V851),$V$2:$V$1001,0),0), INDEX($AC$1004:$AS$1004,1,MATCH(COLUMNS($AC$1006:AG1006),$AC$1006:$AS$1006,0)))),"Fix")))</f>
        <v xml:space="preserve"> </v>
      </c>
      <c r="G851" s="4" t="str">
        <f ca="1">IF(OR(INDEX($W$2:$W$1001,MATCH(ROWS($V$2:V851),$V$2:$V$1001,0),1)&gt;=100000,INDEX($AC$1005:$AS$1005,1,MATCH(COLUMNS($AC$1006:AH1006),$AC$1006:$AS$1006,0))&gt;=100000), " ",IF(INDEX($AC$2:$AS$1001,MATCH(ROWS($V$2:V851),$V$2:$V$1001,0),MATCH(COLUMNS($AC$1006:AH1006),$AC$1006:$AS$1006,0)), HYPERLINK("#",""), HYPERLINK(CONCATENATE("#metadata!", ADDRESS(INDEX($X$2:$X$1001,MATCH(ROWS($V$2:V851),$V$2:$V$1001,0),0), INDEX($AC$1004:$AS$1004,1,MATCH(COLUMNS($AC$1006:AH1006),$AC$1006:$AS$1006,0)))),"Fix")))</f>
        <v xml:space="preserve"> </v>
      </c>
      <c r="H851" s="4" t="str">
        <f ca="1">IF(OR(INDEX($W$2:$W$1001,MATCH(ROWS($V$2:V851),$V$2:$V$1001,0),1)&gt;=100000,INDEX($AC$1005:$AS$1005,1,MATCH(COLUMNS($AC$1006:AI1006),$AC$1006:$AS$1006,0))&gt;=100000), " ",IF(INDEX($AC$2:$AS$1001,MATCH(ROWS($V$2:V851),$V$2:$V$1001,0),MATCH(COLUMNS($AC$1006:AI1006),$AC$1006:$AS$1006,0)), HYPERLINK("#",""), HYPERLINK(CONCATENATE("#metadata!", ADDRESS(INDEX($X$2:$X$1001,MATCH(ROWS($V$2:V851),$V$2:$V$1001,0),0), INDEX($AC$1004:$AS$1004,1,MATCH(COLUMNS($AC$1006:AI1006),$AC$1006:$AS$1006,0)))),"Fix")))</f>
        <v xml:space="preserve"> </v>
      </c>
      <c r="I851" s="4" t="str">
        <f ca="1">IF(OR(INDEX($W$2:$W$1001,MATCH(ROWS($V$2:V851),$V$2:$V$1001,0),1)&gt;=100000,INDEX($AC$1005:$AS$1005,1,MATCH(COLUMNS($AC$1006:AJ1006),$AC$1006:$AS$1006,0))&gt;=100000), " ",IF(INDEX($AC$2:$AS$1001,MATCH(ROWS($V$2:V851),$V$2:$V$1001,0),MATCH(COLUMNS($AC$1006:AJ1006),$AC$1006:$AS$1006,0)), HYPERLINK("#",""), HYPERLINK(CONCATENATE("#metadata!", ADDRESS(INDEX($X$2:$X$1001,MATCH(ROWS($V$2:V851),$V$2:$V$1001,0),0), INDEX($AC$1004:$AS$1004,1,MATCH(COLUMNS($AC$1006:AJ1006),$AC$1006:$AS$1006,0)))),"Fix")))</f>
        <v xml:space="preserve"> </v>
      </c>
      <c r="J851" s="4" t="str">
        <f ca="1">IF(OR(INDEX($W$2:$W$1001,MATCH(ROWS($V$2:V851),$V$2:$V$1001,0),1)&gt;=100000,INDEX($AC$1005:$AS$1005,1,MATCH(COLUMNS($AC$1006:AK1006),$AC$1006:$AS$1006,0))&gt;=100000), " ",IF(INDEX($AC$2:$AS$1001,MATCH(ROWS($V$2:V851),$V$2:$V$1001,0),MATCH(COLUMNS($AC$1006:AK1006),$AC$1006:$AS$1006,0)), HYPERLINK("#",""), HYPERLINK(CONCATENATE("#metadata!", ADDRESS(INDEX($X$2:$X$1001,MATCH(ROWS($V$2:V851),$V$2:$V$1001,0),0), INDEX($AC$1004:$AS$1004,1,MATCH(COLUMNS($AC$1006:AK1006),$AC$1006:$AS$1006,0)))),"Fix")))</f>
        <v xml:space="preserve"> </v>
      </c>
      <c r="K851" s="4" t="str">
        <f ca="1">IF(OR(INDEX($W$2:$W$1001,MATCH(ROWS($V$2:V851),$V$2:$V$1001,0),1)&gt;=100000,INDEX($AC$1005:$AS$1005,1,MATCH(COLUMNS($AC$1006:AL1006),$AC$1006:$AS$1006,0))&gt;=100000), " ",IF(INDEX($AC$2:$AS$1001,MATCH(ROWS($V$2:V851),$V$2:$V$1001,0),MATCH(COLUMNS($AC$1006:AL1006),$AC$1006:$AS$1006,0)), HYPERLINK("#",""), HYPERLINK(CONCATENATE("#metadata!", ADDRESS(INDEX($X$2:$X$1001,MATCH(ROWS($V$2:V851),$V$2:$V$1001,0),0), INDEX($AC$1004:$AS$1004,1,MATCH(COLUMNS($AC$1006:AL1006),$AC$1006:$AS$1006,0)))),"Fix")))</f>
        <v xml:space="preserve"> </v>
      </c>
      <c r="L851" s="4" t="str">
        <f ca="1">IF(OR(INDEX($W$2:$W$1001,MATCH(ROWS($V$2:V851),$V$2:$V$1001,0),1)&gt;=100000,INDEX($AC$1005:$AS$1005,1,MATCH(COLUMNS($AC$1006:AM1006),$AC$1006:$AS$1006,0))&gt;=100000), " ",IF(INDEX($AC$2:$AS$1001,MATCH(ROWS($V$2:V851),$V$2:$V$1001,0),MATCH(COLUMNS($AC$1006:AM1006),$AC$1006:$AS$1006,0)), HYPERLINK("#",""), HYPERLINK(CONCATENATE("#metadata!", ADDRESS(INDEX($X$2:$X$1001,MATCH(ROWS($V$2:V851),$V$2:$V$1001,0),0), INDEX($AC$1004:$AS$1004,1,MATCH(COLUMNS($AC$1006:AM1006),$AC$1006:$AS$1006,0)))),"Fix")))</f>
        <v xml:space="preserve"> </v>
      </c>
      <c r="M851" s="4" t="str">
        <f ca="1">IF(OR(INDEX($W$2:$W$1001,MATCH(ROWS($V$2:V851),$V$2:$V$1001,0),1)&gt;=100000,INDEX($AC$1005:$AS$1005,1,MATCH(COLUMNS($AC$1006:AN1006),$AC$1006:$AS$1006,0))&gt;=100000), " ",IF(INDEX($AC$2:$AS$1001,MATCH(ROWS($V$2:V851),$V$2:$V$1001,0),MATCH(COLUMNS($AC$1006:AN1006),$AC$1006:$AS$1006,0)), HYPERLINK("#",""), HYPERLINK(CONCATENATE("#metadata!", ADDRESS(INDEX($X$2:$X$1001,MATCH(ROWS($V$2:V851),$V$2:$V$1001,0),0), INDEX($AC$1004:$AS$1004,1,MATCH(COLUMNS($AC$1006:AN1006),$AC$1006:$AS$1006,0)))),"Fix")))</f>
        <v xml:space="preserve"> </v>
      </c>
      <c r="N851" s="4" t="str">
        <f ca="1">IF(OR(INDEX($W$2:$W$1001,MATCH(ROWS($V$2:V851),$V$2:$V$1001,0),1)&gt;=100000,INDEX($AC$1005:$AS$1005,1,MATCH(COLUMNS($AC$1006:AO1006),$AC$1006:$AS$1006,0))&gt;=100000), " ",IF(INDEX($AC$2:$AS$1001,MATCH(ROWS($V$2:V851),$V$2:$V$1001,0),MATCH(COLUMNS($AC$1006:AO1006),$AC$1006:$AS$1006,0)), HYPERLINK("#",""), HYPERLINK(CONCATENATE("#metadata!", ADDRESS(INDEX($X$2:$X$1001,MATCH(ROWS($V$2:V851),$V$2:$V$1001,0),0), INDEX($AC$1004:$AS$1004,1,MATCH(COLUMNS($AC$1006:AO1006),$AC$1006:$AS$1006,0)))),"Fix")))</f>
        <v xml:space="preserve"> </v>
      </c>
      <c r="O851" s="4" t="str">
        <f ca="1">IF(OR(INDEX($W$2:$W$1001,MATCH(ROWS($V$2:V851),$V$2:$V$1001,0),1)&gt;=100000,INDEX($AC$1005:$AS$1005,1,MATCH(COLUMNS($AC$1006:AP1006),$AC$1006:$AS$1006,0))&gt;=100000), " ",IF(INDEX($AC$2:$AS$1001,MATCH(ROWS($V$2:V851),$V$2:$V$1001,0),MATCH(COLUMNS($AC$1006:AP1006),$AC$1006:$AS$1006,0)), HYPERLINK("#",""), HYPERLINK(CONCATENATE("#metadata!", ADDRESS(INDEX($X$2:$X$1001,MATCH(ROWS($V$2:V851),$V$2:$V$1001,0),0), INDEX($AC$1004:$AS$1004,1,MATCH(COLUMNS($AC$1006:AP1006),$AC$1006:$AS$1006,0)))),"Fix")))</f>
        <v xml:space="preserve"> </v>
      </c>
      <c r="P851" s="4" t="str">
        <f ca="1">IF(OR(INDEX($W$2:$W$1001,MATCH(ROWS($V$2:V851),$V$2:$V$1001,0),1)&gt;=100000,INDEX($AC$1005:$AS$1005,1,MATCH(COLUMNS($AC$1006:AQ1006),$AC$1006:$AS$1006,0))&gt;=100000), " ",IF(INDEX($AC$2:$AS$1001,MATCH(ROWS($V$2:V851),$V$2:$V$1001,0),MATCH(COLUMNS($AC$1006:AQ1006),$AC$1006:$AS$1006,0)), HYPERLINK("#",""), HYPERLINK(CONCATENATE("#metadata!", ADDRESS(INDEX($X$2:$X$1001,MATCH(ROWS($V$2:V851),$V$2:$V$1001,0),0), INDEX($AC$1004:$AS$1004,1,MATCH(COLUMNS($AC$1006:AQ1006),$AC$1006:$AS$1006,0)))),"Fix")))</f>
        <v xml:space="preserve"> </v>
      </c>
      <c r="Q851" s="4" t="str">
        <f ca="1">IF(OR(INDEX($W$2:$W$1001,MATCH(ROWS($V$2:V851),$V$2:$V$1001,0),1)&gt;=100000,INDEX($AC$1005:$AS$1005,1,MATCH(COLUMNS($AC$1006:AR1006),$AC$1006:$AS$1006,0))&gt;=100000), " ",IF(INDEX($AC$2:$AS$1001,MATCH(ROWS($V$2:V851),$V$2:$V$1001,0),MATCH(COLUMNS($AC$1006:AR1006),$AC$1006:$AS$1006,0)), HYPERLINK("#",""), HYPERLINK(CONCATENATE("#metadata!", ADDRESS(INDEX($X$2:$X$1001,MATCH(ROWS($V$2:V851),$V$2:$V$1001,0),0), INDEX($AC$1004:$AS$1004,1,MATCH(COLUMNS($AC$1006:AR1006),$AC$1006:$AS$1006,0)))),"Fix")))</f>
        <v xml:space="preserve"> </v>
      </c>
      <c r="R851" s="4" t="str">
        <f ca="1">IF(OR(INDEX($W$2:$W$1001,MATCH(ROWS($V$2:V851),$V$2:$V$1001,0),1)&gt;=100000,INDEX($AC$1005:$AS$1005,1,MATCH(COLUMNS($AC$1006:AS1006),$AC$1006:$AS$1006,0))&gt;=100000), " ",IF(INDEX($AC$2:$AS$1001,MATCH(ROWS($V$2:V851),$V$2:$V$1001,0),MATCH(COLUMNS($AC$1006:AS1006),$AC$1006:$AS$1006,0)), HYPERLINK("#",""), HYPERLINK(CONCATENATE("#metadata!", ADDRESS(INDEX($X$2:$X$1001,MATCH(ROWS($V$2:V851),$V$2:$V$1001,0),0), INDEX($AC$1004:$AS$1004,1,MATCH(COLUMNS($AC$1006:AS1006),$AC$1006:$AS$1006,0)))),"Fix")))</f>
        <v xml:space="preserve"> </v>
      </c>
      <c r="V851">
        <v>850</v>
      </c>
      <c r="W851">
        <v>100851</v>
      </c>
      <c r="X851">
        <v>851</v>
      </c>
      <c r="Y851" t="b">
        <f t="shared" si="13"/>
        <v>1</v>
      </c>
      <c r="Z851" t="b">
        <f>COUNTBLANK(metadata!B851:R851)=COLUMNS(metadata!B851:R851)</f>
        <v>1</v>
      </c>
      <c r="AA851" t="str">
        <v/>
      </c>
      <c r="AC851" t="b">
        <f ca="1"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AD851" t="b">
        <f>IF(metadata!C851="",FALSE,ISNUMBER(VALUE(metadata!C851)))</f>
        <v>0</v>
      </c>
      <c r="AE851" t="b">
        <f>AND(IF(metadata!D851="",FALSE,TRUE),EXACT(metadata!D851,"years"))</f>
        <v>0</v>
      </c>
      <c r="AF851" t="b">
        <f>OR(AND(IF(metadata!E851="",FALSE,TRUE),OR(EXACT(metadata!E851,"not applicable"),EXACT(metadata!E851,"missing: not collected"),EXACT(metadata!E851,"missing: not provided"),EXACT(metadata!E851,"missing: restricted access"))),AND(IF(metadata!E851="",FALSE,ISNUMBER(VALUE(metadata!E851))),metadata!E851&gt;0))</f>
        <v>0</v>
      </c>
      <c r="AG851" t="b">
        <f>AND(IF(metadata!F851="",FALSE,TRUE),EXACT(metadata!F851,"Not applicable"))</f>
        <v>0</v>
      </c>
      <c r="AH851" t="b">
        <f>AND(IF(metadata!G851="",FALSE,TRUE),EXACT(metadata!G851,"urban biome"))</f>
        <v>0</v>
      </c>
      <c r="AI851" t="b">
        <f>AND(IF(metadata!H851="",FALSE,TRUE),EXACT(metadata!H851,"human-associated habitat"))</f>
        <v>0</v>
      </c>
      <c r="AJ851" t="b">
        <f>AND(IF(metadata!I851="",FALSE,TRUE),OR(EXACT(metadata!I851,"human-associated"),EXACT(metadata!I851,"human-skin"),EXACT(metadata!I851,"human-oral"),EXACT(metadata!I851,"human-gut"),EXACT(metadata!I851,"human-vaginal")))</f>
        <v>0</v>
      </c>
      <c r="AK851" t="b">
        <f>IF(metadata!J851="",FALSE,ISNUMBER(VALUE(metadata!J851)))</f>
        <v>0</v>
      </c>
      <c r="AL851" t="b">
        <f>AND(IF(metadata!K851="",FALSE,TRUE),EXACT(metadata!K851,"cm"))</f>
        <v>0</v>
      </c>
      <c r="AM851" t="b">
        <f>AND(IF(metadata!L851="",FALSE,TRUE),EXACT(metadata!L851,"human"))</f>
        <v>0</v>
      </c>
      <c r="AN851" t="b">
        <f>AND(IF(metadata!M851="",FALSE,TRUE),EXACT(metadata!M851,"Homo sapiens"))</f>
        <v>0</v>
      </c>
      <c r="AO851" t="b">
        <f>AND(IF(metadata!N851="",FALSE,TRUE),EXACT(metadata!N851,"9606"))</f>
        <v>0</v>
      </c>
      <c r="AP851" t="b">
        <f>IF(metadata!O851="",FALSE,TRUE)</f>
        <v>0</v>
      </c>
      <c r="AQ851" t="b">
        <f>IF(metadata!P851="",FALSE,TRUE)</f>
        <v>0</v>
      </c>
      <c r="AR851" t="b">
        <f>IF(metadata!Q851="",FALSE,ISNUMBER(VALUE(metadata!Q851)))</f>
        <v>0</v>
      </c>
      <c r="AS851" t="b">
        <f>AND(IF(metadata!R851="",FALSE,TRUE),EXACT(metadata!R851,"kg"))</f>
        <v>0</v>
      </c>
    </row>
    <row r="852" spans="1:45" x14ac:dyDescent="0.2">
      <c r="A852" s="5" t="str">
        <f ca="1">IF(B852=" "," ",HYPERLINK(CONCATENATE("#metadata!",ADDRESS(INDEX($X$2:$X$1001,MATCH(ROWS($V$2:V852),$V$2:$V$1001,0),0),1)),INDEX($AA$2:$AA$1001,MATCH(ROWS($V$2:V852),$V$2:$V$1001,0),0)))</f>
        <v xml:space="preserve"> </v>
      </c>
      <c r="B852" s="4" t="str">
        <f ca="1">IF(OR(INDEX($W$2:$W$1001,MATCH(ROWS($V$2:V852),$V$2:$V$1001,0),1)&gt;=100000,INDEX($AC$1005:$AS$1005,1,MATCH(COLUMNS($AC$1006:AC1006),$AC$1006:$AS$1006,0))&gt;=100000), " ",IF(INDEX($AC$2:$AS$1001,MATCH(ROWS($V$2:V852),$V$2:$V$1001,0),MATCH(COLUMNS($AC$1006:AC1006),$AC$1006:$AS$1006,0)), HYPERLINK("#",""), HYPERLINK(CONCATENATE("#metadata!", ADDRESS(INDEX($X$2:$X$1001,MATCH(ROWS($V$2:V852),$V$2:$V$1001,0),0), INDEX($AC$1004:$AS$1004,1,MATCH(COLUMNS($AC$1006:AC1006),$AC$1006:$AS$1006,0)))),"Fix")))</f>
        <v xml:space="preserve"> </v>
      </c>
      <c r="C852" s="4" t="str">
        <f ca="1">IF(OR(INDEX($W$2:$W$1001,MATCH(ROWS($V$2:V852),$V$2:$V$1001,0),1)&gt;=100000,INDEX($AC$1005:$AS$1005,1,MATCH(COLUMNS($AC$1006:AD1006),$AC$1006:$AS$1006,0))&gt;=100000), " ",IF(INDEX($AC$2:$AS$1001,MATCH(ROWS($V$2:V852),$V$2:$V$1001,0),MATCH(COLUMNS($AC$1006:AD1006),$AC$1006:$AS$1006,0)), HYPERLINK("#",""), HYPERLINK(CONCATENATE("#metadata!", ADDRESS(INDEX($X$2:$X$1001,MATCH(ROWS($V$2:V852),$V$2:$V$1001,0),0), INDEX($AC$1004:$AS$1004,1,MATCH(COLUMNS($AC$1006:AD1006),$AC$1006:$AS$1006,0)))),"Fix")))</f>
        <v xml:space="preserve"> </v>
      </c>
      <c r="D852" s="4" t="str">
        <f ca="1">IF(OR(INDEX($W$2:$W$1001,MATCH(ROWS($V$2:V852),$V$2:$V$1001,0),1)&gt;=100000,INDEX($AC$1005:$AS$1005,1,MATCH(COLUMNS($AC$1006:AE1006),$AC$1006:$AS$1006,0))&gt;=100000), " ",IF(INDEX($AC$2:$AS$1001,MATCH(ROWS($V$2:V852),$V$2:$V$1001,0),MATCH(COLUMNS($AC$1006:AE1006),$AC$1006:$AS$1006,0)), HYPERLINK("#",""), HYPERLINK(CONCATENATE("#metadata!", ADDRESS(INDEX($X$2:$X$1001,MATCH(ROWS($V$2:V852),$V$2:$V$1001,0),0), INDEX($AC$1004:$AS$1004,1,MATCH(COLUMNS($AC$1006:AE1006),$AC$1006:$AS$1006,0)))),"Fix")))</f>
        <v xml:space="preserve"> </v>
      </c>
      <c r="E852" s="4" t="str">
        <f ca="1">IF(OR(INDEX($W$2:$W$1001,MATCH(ROWS($V$2:V852),$V$2:$V$1001,0),1)&gt;=100000,INDEX($AC$1005:$AS$1005,1,MATCH(COLUMNS($AC$1006:AF1006),$AC$1006:$AS$1006,0))&gt;=100000), " ",IF(INDEX($AC$2:$AS$1001,MATCH(ROWS($V$2:V852),$V$2:$V$1001,0),MATCH(COLUMNS($AC$1006:AF1006),$AC$1006:$AS$1006,0)), HYPERLINK("#",""), HYPERLINK(CONCATENATE("#metadata!", ADDRESS(INDEX($X$2:$X$1001,MATCH(ROWS($V$2:V852),$V$2:$V$1001,0),0), INDEX($AC$1004:$AS$1004,1,MATCH(COLUMNS($AC$1006:AF1006),$AC$1006:$AS$1006,0)))),"Fix")))</f>
        <v xml:space="preserve"> </v>
      </c>
      <c r="F852" s="4" t="str">
        <f ca="1">IF(OR(INDEX($W$2:$W$1001,MATCH(ROWS($V$2:V852),$V$2:$V$1001,0),1)&gt;=100000,INDEX($AC$1005:$AS$1005,1,MATCH(COLUMNS($AC$1006:AG1006),$AC$1006:$AS$1006,0))&gt;=100000), " ",IF(INDEX($AC$2:$AS$1001,MATCH(ROWS($V$2:V852),$V$2:$V$1001,0),MATCH(COLUMNS($AC$1006:AG1006),$AC$1006:$AS$1006,0)), HYPERLINK("#",""), HYPERLINK(CONCATENATE("#metadata!", ADDRESS(INDEX($X$2:$X$1001,MATCH(ROWS($V$2:V852),$V$2:$V$1001,0),0), INDEX($AC$1004:$AS$1004,1,MATCH(COLUMNS($AC$1006:AG1006),$AC$1006:$AS$1006,0)))),"Fix")))</f>
        <v xml:space="preserve"> </v>
      </c>
      <c r="G852" s="4" t="str">
        <f ca="1">IF(OR(INDEX($W$2:$W$1001,MATCH(ROWS($V$2:V852),$V$2:$V$1001,0),1)&gt;=100000,INDEX($AC$1005:$AS$1005,1,MATCH(COLUMNS($AC$1006:AH1006),$AC$1006:$AS$1006,0))&gt;=100000), " ",IF(INDEX($AC$2:$AS$1001,MATCH(ROWS($V$2:V852),$V$2:$V$1001,0),MATCH(COLUMNS($AC$1006:AH1006),$AC$1006:$AS$1006,0)), HYPERLINK("#",""), HYPERLINK(CONCATENATE("#metadata!", ADDRESS(INDEX($X$2:$X$1001,MATCH(ROWS($V$2:V852),$V$2:$V$1001,0),0), INDEX($AC$1004:$AS$1004,1,MATCH(COLUMNS($AC$1006:AH1006),$AC$1006:$AS$1006,0)))),"Fix")))</f>
        <v xml:space="preserve"> </v>
      </c>
      <c r="H852" s="4" t="str">
        <f ca="1">IF(OR(INDEX($W$2:$W$1001,MATCH(ROWS($V$2:V852),$V$2:$V$1001,0),1)&gt;=100000,INDEX($AC$1005:$AS$1005,1,MATCH(COLUMNS($AC$1006:AI1006),$AC$1006:$AS$1006,0))&gt;=100000), " ",IF(INDEX($AC$2:$AS$1001,MATCH(ROWS($V$2:V852),$V$2:$V$1001,0),MATCH(COLUMNS($AC$1006:AI1006),$AC$1006:$AS$1006,0)), HYPERLINK("#",""), HYPERLINK(CONCATENATE("#metadata!", ADDRESS(INDEX($X$2:$X$1001,MATCH(ROWS($V$2:V852),$V$2:$V$1001,0),0), INDEX($AC$1004:$AS$1004,1,MATCH(COLUMNS($AC$1006:AI1006),$AC$1006:$AS$1006,0)))),"Fix")))</f>
        <v xml:space="preserve"> </v>
      </c>
      <c r="I852" s="4" t="str">
        <f ca="1">IF(OR(INDEX($W$2:$W$1001,MATCH(ROWS($V$2:V852),$V$2:$V$1001,0),1)&gt;=100000,INDEX($AC$1005:$AS$1005,1,MATCH(COLUMNS($AC$1006:AJ1006),$AC$1006:$AS$1006,0))&gt;=100000), " ",IF(INDEX($AC$2:$AS$1001,MATCH(ROWS($V$2:V852),$V$2:$V$1001,0),MATCH(COLUMNS($AC$1006:AJ1006),$AC$1006:$AS$1006,0)), HYPERLINK("#",""), HYPERLINK(CONCATENATE("#metadata!", ADDRESS(INDEX($X$2:$X$1001,MATCH(ROWS($V$2:V852),$V$2:$V$1001,0),0), INDEX($AC$1004:$AS$1004,1,MATCH(COLUMNS($AC$1006:AJ1006),$AC$1006:$AS$1006,0)))),"Fix")))</f>
        <v xml:space="preserve"> </v>
      </c>
      <c r="J852" s="4" t="str">
        <f ca="1">IF(OR(INDEX($W$2:$W$1001,MATCH(ROWS($V$2:V852),$V$2:$V$1001,0),1)&gt;=100000,INDEX($AC$1005:$AS$1005,1,MATCH(COLUMNS($AC$1006:AK1006),$AC$1006:$AS$1006,0))&gt;=100000), " ",IF(INDEX($AC$2:$AS$1001,MATCH(ROWS($V$2:V852),$V$2:$V$1001,0),MATCH(COLUMNS($AC$1006:AK1006),$AC$1006:$AS$1006,0)), HYPERLINK("#",""), HYPERLINK(CONCATENATE("#metadata!", ADDRESS(INDEX($X$2:$X$1001,MATCH(ROWS($V$2:V852),$V$2:$V$1001,0),0), INDEX($AC$1004:$AS$1004,1,MATCH(COLUMNS($AC$1006:AK1006),$AC$1006:$AS$1006,0)))),"Fix")))</f>
        <v xml:space="preserve"> </v>
      </c>
      <c r="K852" s="4" t="str">
        <f ca="1">IF(OR(INDEX($W$2:$W$1001,MATCH(ROWS($V$2:V852),$V$2:$V$1001,0),1)&gt;=100000,INDEX($AC$1005:$AS$1005,1,MATCH(COLUMNS($AC$1006:AL1006),$AC$1006:$AS$1006,0))&gt;=100000), " ",IF(INDEX($AC$2:$AS$1001,MATCH(ROWS($V$2:V852),$V$2:$V$1001,0),MATCH(COLUMNS($AC$1006:AL1006),$AC$1006:$AS$1006,0)), HYPERLINK("#",""), HYPERLINK(CONCATENATE("#metadata!", ADDRESS(INDEX($X$2:$X$1001,MATCH(ROWS($V$2:V852),$V$2:$V$1001,0),0), INDEX($AC$1004:$AS$1004,1,MATCH(COLUMNS($AC$1006:AL1006),$AC$1006:$AS$1006,0)))),"Fix")))</f>
        <v xml:space="preserve"> </v>
      </c>
      <c r="L852" s="4" t="str">
        <f ca="1">IF(OR(INDEX($W$2:$W$1001,MATCH(ROWS($V$2:V852),$V$2:$V$1001,0),1)&gt;=100000,INDEX($AC$1005:$AS$1005,1,MATCH(COLUMNS($AC$1006:AM1006),$AC$1006:$AS$1006,0))&gt;=100000), " ",IF(INDEX($AC$2:$AS$1001,MATCH(ROWS($V$2:V852),$V$2:$V$1001,0),MATCH(COLUMNS($AC$1006:AM1006),$AC$1006:$AS$1006,0)), HYPERLINK("#",""), HYPERLINK(CONCATENATE("#metadata!", ADDRESS(INDEX($X$2:$X$1001,MATCH(ROWS($V$2:V852),$V$2:$V$1001,0),0), INDEX($AC$1004:$AS$1004,1,MATCH(COLUMNS($AC$1006:AM1006),$AC$1006:$AS$1006,0)))),"Fix")))</f>
        <v xml:space="preserve"> </v>
      </c>
      <c r="M852" s="4" t="str">
        <f ca="1">IF(OR(INDEX($W$2:$W$1001,MATCH(ROWS($V$2:V852),$V$2:$V$1001,0),1)&gt;=100000,INDEX($AC$1005:$AS$1005,1,MATCH(COLUMNS($AC$1006:AN1006),$AC$1006:$AS$1006,0))&gt;=100000), " ",IF(INDEX($AC$2:$AS$1001,MATCH(ROWS($V$2:V852),$V$2:$V$1001,0),MATCH(COLUMNS($AC$1006:AN1006),$AC$1006:$AS$1006,0)), HYPERLINK("#",""), HYPERLINK(CONCATENATE("#metadata!", ADDRESS(INDEX($X$2:$X$1001,MATCH(ROWS($V$2:V852),$V$2:$V$1001,0),0), INDEX($AC$1004:$AS$1004,1,MATCH(COLUMNS($AC$1006:AN1006),$AC$1006:$AS$1006,0)))),"Fix")))</f>
        <v xml:space="preserve"> </v>
      </c>
      <c r="N852" s="4" t="str">
        <f ca="1">IF(OR(INDEX($W$2:$W$1001,MATCH(ROWS($V$2:V852),$V$2:$V$1001,0),1)&gt;=100000,INDEX($AC$1005:$AS$1005,1,MATCH(COLUMNS($AC$1006:AO1006),$AC$1006:$AS$1006,0))&gt;=100000), " ",IF(INDEX($AC$2:$AS$1001,MATCH(ROWS($V$2:V852),$V$2:$V$1001,0),MATCH(COLUMNS($AC$1006:AO1006),$AC$1006:$AS$1006,0)), HYPERLINK("#",""), HYPERLINK(CONCATENATE("#metadata!", ADDRESS(INDEX($X$2:$X$1001,MATCH(ROWS($V$2:V852),$V$2:$V$1001,0),0), INDEX($AC$1004:$AS$1004,1,MATCH(COLUMNS($AC$1006:AO1006),$AC$1006:$AS$1006,0)))),"Fix")))</f>
        <v xml:space="preserve"> </v>
      </c>
      <c r="O852" s="4" t="str">
        <f ca="1">IF(OR(INDEX($W$2:$W$1001,MATCH(ROWS($V$2:V852),$V$2:$V$1001,0),1)&gt;=100000,INDEX($AC$1005:$AS$1005,1,MATCH(COLUMNS($AC$1006:AP1006),$AC$1006:$AS$1006,0))&gt;=100000), " ",IF(INDEX($AC$2:$AS$1001,MATCH(ROWS($V$2:V852),$V$2:$V$1001,0),MATCH(COLUMNS($AC$1006:AP1006),$AC$1006:$AS$1006,0)), HYPERLINK("#",""), HYPERLINK(CONCATENATE("#metadata!", ADDRESS(INDEX($X$2:$X$1001,MATCH(ROWS($V$2:V852),$V$2:$V$1001,0),0), INDEX($AC$1004:$AS$1004,1,MATCH(COLUMNS($AC$1006:AP1006),$AC$1006:$AS$1006,0)))),"Fix")))</f>
        <v xml:space="preserve"> </v>
      </c>
      <c r="P852" s="4" t="str">
        <f ca="1">IF(OR(INDEX($W$2:$W$1001,MATCH(ROWS($V$2:V852),$V$2:$V$1001,0),1)&gt;=100000,INDEX($AC$1005:$AS$1005,1,MATCH(COLUMNS($AC$1006:AQ1006),$AC$1006:$AS$1006,0))&gt;=100000), " ",IF(INDEX($AC$2:$AS$1001,MATCH(ROWS($V$2:V852),$V$2:$V$1001,0),MATCH(COLUMNS($AC$1006:AQ1006),$AC$1006:$AS$1006,0)), HYPERLINK("#",""), HYPERLINK(CONCATENATE("#metadata!", ADDRESS(INDEX($X$2:$X$1001,MATCH(ROWS($V$2:V852),$V$2:$V$1001,0),0), INDEX($AC$1004:$AS$1004,1,MATCH(COLUMNS($AC$1006:AQ1006),$AC$1006:$AS$1006,0)))),"Fix")))</f>
        <v xml:space="preserve"> </v>
      </c>
      <c r="Q852" s="4" t="str">
        <f ca="1">IF(OR(INDEX($W$2:$W$1001,MATCH(ROWS($V$2:V852),$V$2:$V$1001,0),1)&gt;=100000,INDEX($AC$1005:$AS$1005,1,MATCH(COLUMNS($AC$1006:AR1006),$AC$1006:$AS$1006,0))&gt;=100000), " ",IF(INDEX($AC$2:$AS$1001,MATCH(ROWS($V$2:V852),$V$2:$V$1001,0),MATCH(COLUMNS($AC$1006:AR1006),$AC$1006:$AS$1006,0)), HYPERLINK("#",""), HYPERLINK(CONCATENATE("#metadata!", ADDRESS(INDEX($X$2:$X$1001,MATCH(ROWS($V$2:V852),$V$2:$V$1001,0),0), INDEX($AC$1004:$AS$1004,1,MATCH(COLUMNS($AC$1006:AR1006),$AC$1006:$AS$1006,0)))),"Fix")))</f>
        <v xml:space="preserve"> </v>
      </c>
      <c r="R852" s="4" t="str">
        <f ca="1">IF(OR(INDEX($W$2:$W$1001,MATCH(ROWS($V$2:V852),$V$2:$V$1001,0),1)&gt;=100000,INDEX($AC$1005:$AS$1005,1,MATCH(COLUMNS($AC$1006:AS1006),$AC$1006:$AS$1006,0))&gt;=100000), " ",IF(INDEX($AC$2:$AS$1001,MATCH(ROWS($V$2:V852),$V$2:$V$1001,0),MATCH(COLUMNS($AC$1006:AS1006),$AC$1006:$AS$1006,0)), HYPERLINK("#",""), HYPERLINK(CONCATENATE("#metadata!", ADDRESS(INDEX($X$2:$X$1001,MATCH(ROWS($V$2:V852),$V$2:$V$1001,0),0), INDEX($AC$1004:$AS$1004,1,MATCH(COLUMNS($AC$1006:AS1006),$AC$1006:$AS$1006,0)))),"Fix")))</f>
        <v xml:space="preserve"> </v>
      </c>
      <c r="V852">
        <v>851</v>
      </c>
      <c r="W852">
        <v>100852</v>
      </c>
      <c r="X852">
        <v>852</v>
      </c>
      <c r="Y852" t="b">
        <f t="shared" si="13"/>
        <v>1</v>
      </c>
      <c r="Z852" t="b">
        <f>COUNTBLANK(metadata!B852:R852)=COLUMNS(metadata!B852:R852)</f>
        <v>1</v>
      </c>
      <c r="AA852" t="str">
        <v/>
      </c>
      <c r="AC852" t="b">
        <f ca="1"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AD852" t="b">
        <f>IF(metadata!C852="",FALSE,ISNUMBER(VALUE(metadata!C852)))</f>
        <v>0</v>
      </c>
      <c r="AE852" t="b">
        <f>AND(IF(metadata!D852="",FALSE,TRUE),EXACT(metadata!D852,"years"))</f>
        <v>0</v>
      </c>
      <c r="AF852" t="b">
        <f>OR(AND(IF(metadata!E852="",FALSE,TRUE),OR(EXACT(metadata!E852,"not applicable"),EXACT(metadata!E852,"missing: not collected"),EXACT(metadata!E852,"missing: not provided"),EXACT(metadata!E852,"missing: restricted access"))),AND(IF(metadata!E852="",FALSE,ISNUMBER(VALUE(metadata!E852))),metadata!E852&gt;0))</f>
        <v>0</v>
      </c>
      <c r="AG852" t="b">
        <f>AND(IF(metadata!F852="",FALSE,TRUE),EXACT(metadata!F852,"Not applicable"))</f>
        <v>0</v>
      </c>
      <c r="AH852" t="b">
        <f>AND(IF(metadata!G852="",FALSE,TRUE),EXACT(metadata!G852,"urban biome"))</f>
        <v>0</v>
      </c>
      <c r="AI852" t="b">
        <f>AND(IF(metadata!H852="",FALSE,TRUE),EXACT(metadata!H852,"human-associated habitat"))</f>
        <v>0</v>
      </c>
      <c r="AJ852" t="b">
        <f>AND(IF(metadata!I852="",FALSE,TRUE),OR(EXACT(metadata!I852,"human-associated"),EXACT(metadata!I852,"human-skin"),EXACT(metadata!I852,"human-oral"),EXACT(metadata!I852,"human-gut"),EXACT(metadata!I852,"human-vaginal")))</f>
        <v>0</v>
      </c>
      <c r="AK852" t="b">
        <f>IF(metadata!J852="",FALSE,ISNUMBER(VALUE(metadata!J852)))</f>
        <v>0</v>
      </c>
      <c r="AL852" t="b">
        <f>AND(IF(metadata!K852="",FALSE,TRUE),EXACT(metadata!K852,"cm"))</f>
        <v>0</v>
      </c>
      <c r="AM852" t="b">
        <f>AND(IF(metadata!L852="",FALSE,TRUE),EXACT(metadata!L852,"human"))</f>
        <v>0</v>
      </c>
      <c r="AN852" t="b">
        <f>AND(IF(metadata!M852="",FALSE,TRUE),EXACT(metadata!M852,"Homo sapiens"))</f>
        <v>0</v>
      </c>
      <c r="AO852" t="b">
        <f>AND(IF(metadata!N852="",FALSE,TRUE),EXACT(metadata!N852,"9606"))</f>
        <v>0</v>
      </c>
      <c r="AP852" t="b">
        <f>IF(metadata!O852="",FALSE,TRUE)</f>
        <v>0</v>
      </c>
      <c r="AQ852" t="b">
        <f>IF(metadata!P852="",FALSE,TRUE)</f>
        <v>0</v>
      </c>
      <c r="AR852" t="b">
        <f>IF(metadata!Q852="",FALSE,ISNUMBER(VALUE(metadata!Q852)))</f>
        <v>0</v>
      </c>
      <c r="AS852" t="b">
        <f>AND(IF(metadata!R852="",FALSE,TRUE),EXACT(metadata!R852,"kg"))</f>
        <v>0</v>
      </c>
    </row>
    <row r="853" spans="1:45" x14ac:dyDescent="0.2">
      <c r="A853" s="5" t="str">
        <f ca="1">IF(B853=" "," ",HYPERLINK(CONCATENATE("#metadata!",ADDRESS(INDEX($X$2:$X$1001,MATCH(ROWS($V$2:V853),$V$2:$V$1001,0),0),1)),INDEX($AA$2:$AA$1001,MATCH(ROWS($V$2:V853),$V$2:$V$1001,0),0)))</f>
        <v xml:space="preserve"> </v>
      </c>
      <c r="B853" s="4" t="str">
        <f ca="1">IF(OR(INDEX($W$2:$W$1001,MATCH(ROWS($V$2:V853),$V$2:$V$1001,0),1)&gt;=100000,INDEX($AC$1005:$AS$1005,1,MATCH(COLUMNS($AC$1006:AC1006),$AC$1006:$AS$1006,0))&gt;=100000), " ",IF(INDEX($AC$2:$AS$1001,MATCH(ROWS($V$2:V853),$V$2:$V$1001,0),MATCH(COLUMNS($AC$1006:AC1006),$AC$1006:$AS$1006,0)), HYPERLINK("#",""), HYPERLINK(CONCATENATE("#metadata!", ADDRESS(INDEX($X$2:$X$1001,MATCH(ROWS($V$2:V853),$V$2:$V$1001,0),0), INDEX($AC$1004:$AS$1004,1,MATCH(COLUMNS($AC$1006:AC1006),$AC$1006:$AS$1006,0)))),"Fix")))</f>
        <v xml:space="preserve"> </v>
      </c>
      <c r="C853" s="4" t="str">
        <f ca="1">IF(OR(INDEX($W$2:$W$1001,MATCH(ROWS($V$2:V853),$V$2:$V$1001,0),1)&gt;=100000,INDEX($AC$1005:$AS$1005,1,MATCH(COLUMNS($AC$1006:AD1006),$AC$1006:$AS$1006,0))&gt;=100000), " ",IF(INDEX($AC$2:$AS$1001,MATCH(ROWS($V$2:V853),$V$2:$V$1001,0),MATCH(COLUMNS($AC$1006:AD1006),$AC$1006:$AS$1006,0)), HYPERLINK("#",""), HYPERLINK(CONCATENATE("#metadata!", ADDRESS(INDEX($X$2:$X$1001,MATCH(ROWS($V$2:V853),$V$2:$V$1001,0),0), INDEX($AC$1004:$AS$1004,1,MATCH(COLUMNS($AC$1006:AD1006),$AC$1006:$AS$1006,0)))),"Fix")))</f>
        <v xml:space="preserve"> </v>
      </c>
      <c r="D853" s="4" t="str">
        <f ca="1">IF(OR(INDEX($W$2:$W$1001,MATCH(ROWS($V$2:V853),$V$2:$V$1001,0),1)&gt;=100000,INDEX($AC$1005:$AS$1005,1,MATCH(COLUMNS($AC$1006:AE1006),$AC$1006:$AS$1006,0))&gt;=100000), " ",IF(INDEX($AC$2:$AS$1001,MATCH(ROWS($V$2:V853),$V$2:$V$1001,0),MATCH(COLUMNS($AC$1006:AE1006),$AC$1006:$AS$1006,0)), HYPERLINK("#",""), HYPERLINK(CONCATENATE("#metadata!", ADDRESS(INDEX($X$2:$X$1001,MATCH(ROWS($V$2:V853),$V$2:$V$1001,0),0), INDEX($AC$1004:$AS$1004,1,MATCH(COLUMNS($AC$1006:AE1006),$AC$1006:$AS$1006,0)))),"Fix")))</f>
        <v xml:space="preserve"> </v>
      </c>
      <c r="E853" s="4" t="str">
        <f ca="1">IF(OR(INDEX($W$2:$W$1001,MATCH(ROWS($V$2:V853),$V$2:$V$1001,0),1)&gt;=100000,INDEX($AC$1005:$AS$1005,1,MATCH(COLUMNS($AC$1006:AF1006),$AC$1006:$AS$1006,0))&gt;=100000), " ",IF(INDEX($AC$2:$AS$1001,MATCH(ROWS($V$2:V853),$V$2:$V$1001,0),MATCH(COLUMNS($AC$1006:AF1006),$AC$1006:$AS$1006,0)), HYPERLINK("#",""), HYPERLINK(CONCATENATE("#metadata!", ADDRESS(INDEX($X$2:$X$1001,MATCH(ROWS($V$2:V853),$V$2:$V$1001,0),0), INDEX($AC$1004:$AS$1004,1,MATCH(COLUMNS($AC$1006:AF1006),$AC$1006:$AS$1006,0)))),"Fix")))</f>
        <v xml:space="preserve"> </v>
      </c>
      <c r="F853" s="4" t="str">
        <f ca="1">IF(OR(INDEX($W$2:$W$1001,MATCH(ROWS($V$2:V853),$V$2:$V$1001,0),1)&gt;=100000,INDEX($AC$1005:$AS$1005,1,MATCH(COLUMNS($AC$1006:AG1006),$AC$1006:$AS$1006,0))&gt;=100000), " ",IF(INDEX($AC$2:$AS$1001,MATCH(ROWS($V$2:V853),$V$2:$V$1001,0),MATCH(COLUMNS($AC$1006:AG1006),$AC$1006:$AS$1006,0)), HYPERLINK("#",""), HYPERLINK(CONCATENATE("#metadata!", ADDRESS(INDEX($X$2:$X$1001,MATCH(ROWS($V$2:V853),$V$2:$V$1001,0),0), INDEX($AC$1004:$AS$1004,1,MATCH(COLUMNS($AC$1006:AG1006),$AC$1006:$AS$1006,0)))),"Fix")))</f>
        <v xml:space="preserve"> </v>
      </c>
      <c r="G853" s="4" t="str">
        <f ca="1">IF(OR(INDEX($W$2:$W$1001,MATCH(ROWS($V$2:V853),$V$2:$V$1001,0),1)&gt;=100000,INDEX($AC$1005:$AS$1005,1,MATCH(COLUMNS($AC$1006:AH1006),$AC$1006:$AS$1006,0))&gt;=100000), " ",IF(INDEX($AC$2:$AS$1001,MATCH(ROWS($V$2:V853),$V$2:$V$1001,0),MATCH(COLUMNS($AC$1006:AH1006),$AC$1006:$AS$1006,0)), HYPERLINK("#",""), HYPERLINK(CONCATENATE("#metadata!", ADDRESS(INDEX($X$2:$X$1001,MATCH(ROWS($V$2:V853),$V$2:$V$1001,0),0), INDEX($AC$1004:$AS$1004,1,MATCH(COLUMNS($AC$1006:AH1006),$AC$1006:$AS$1006,0)))),"Fix")))</f>
        <v xml:space="preserve"> </v>
      </c>
      <c r="H853" s="4" t="str">
        <f ca="1">IF(OR(INDEX($W$2:$W$1001,MATCH(ROWS($V$2:V853),$V$2:$V$1001,0),1)&gt;=100000,INDEX($AC$1005:$AS$1005,1,MATCH(COLUMNS($AC$1006:AI1006),$AC$1006:$AS$1006,0))&gt;=100000), " ",IF(INDEX($AC$2:$AS$1001,MATCH(ROWS($V$2:V853),$V$2:$V$1001,0),MATCH(COLUMNS($AC$1006:AI1006),$AC$1006:$AS$1006,0)), HYPERLINK("#",""), HYPERLINK(CONCATENATE("#metadata!", ADDRESS(INDEX($X$2:$X$1001,MATCH(ROWS($V$2:V853),$V$2:$V$1001,0),0), INDEX($AC$1004:$AS$1004,1,MATCH(COLUMNS($AC$1006:AI1006),$AC$1006:$AS$1006,0)))),"Fix")))</f>
        <v xml:space="preserve"> </v>
      </c>
      <c r="I853" s="4" t="str">
        <f ca="1">IF(OR(INDEX($W$2:$W$1001,MATCH(ROWS($V$2:V853),$V$2:$V$1001,0),1)&gt;=100000,INDEX($AC$1005:$AS$1005,1,MATCH(COLUMNS($AC$1006:AJ1006),$AC$1006:$AS$1006,0))&gt;=100000), " ",IF(INDEX($AC$2:$AS$1001,MATCH(ROWS($V$2:V853),$V$2:$V$1001,0),MATCH(COLUMNS($AC$1006:AJ1006),$AC$1006:$AS$1006,0)), HYPERLINK("#",""), HYPERLINK(CONCATENATE("#metadata!", ADDRESS(INDEX($X$2:$X$1001,MATCH(ROWS($V$2:V853),$V$2:$V$1001,0),0), INDEX($AC$1004:$AS$1004,1,MATCH(COLUMNS($AC$1006:AJ1006),$AC$1006:$AS$1006,0)))),"Fix")))</f>
        <v xml:space="preserve"> </v>
      </c>
      <c r="J853" s="4" t="str">
        <f ca="1">IF(OR(INDEX($W$2:$W$1001,MATCH(ROWS($V$2:V853),$V$2:$V$1001,0),1)&gt;=100000,INDEX($AC$1005:$AS$1005,1,MATCH(COLUMNS($AC$1006:AK1006),$AC$1006:$AS$1006,0))&gt;=100000), " ",IF(INDEX($AC$2:$AS$1001,MATCH(ROWS($V$2:V853),$V$2:$V$1001,0),MATCH(COLUMNS($AC$1006:AK1006),$AC$1006:$AS$1006,0)), HYPERLINK("#",""), HYPERLINK(CONCATENATE("#metadata!", ADDRESS(INDEX($X$2:$X$1001,MATCH(ROWS($V$2:V853),$V$2:$V$1001,0),0), INDEX($AC$1004:$AS$1004,1,MATCH(COLUMNS($AC$1006:AK1006),$AC$1006:$AS$1006,0)))),"Fix")))</f>
        <v xml:space="preserve"> </v>
      </c>
      <c r="K853" s="4" t="str">
        <f ca="1">IF(OR(INDEX($W$2:$W$1001,MATCH(ROWS($V$2:V853),$V$2:$V$1001,0),1)&gt;=100000,INDEX($AC$1005:$AS$1005,1,MATCH(COLUMNS($AC$1006:AL1006),$AC$1006:$AS$1006,0))&gt;=100000), " ",IF(INDEX($AC$2:$AS$1001,MATCH(ROWS($V$2:V853),$V$2:$V$1001,0),MATCH(COLUMNS($AC$1006:AL1006),$AC$1006:$AS$1006,0)), HYPERLINK("#",""), HYPERLINK(CONCATENATE("#metadata!", ADDRESS(INDEX($X$2:$X$1001,MATCH(ROWS($V$2:V853),$V$2:$V$1001,0),0), INDEX($AC$1004:$AS$1004,1,MATCH(COLUMNS($AC$1006:AL1006),$AC$1006:$AS$1006,0)))),"Fix")))</f>
        <v xml:space="preserve"> </v>
      </c>
      <c r="L853" s="4" t="str">
        <f ca="1">IF(OR(INDEX($W$2:$W$1001,MATCH(ROWS($V$2:V853),$V$2:$V$1001,0),1)&gt;=100000,INDEX($AC$1005:$AS$1005,1,MATCH(COLUMNS($AC$1006:AM1006),$AC$1006:$AS$1006,0))&gt;=100000), " ",IF(INDEX($AC$2:$AS$1001,MATCH(ROWS($V$2:V853),$V$2:$V$1001,0),MATCH(COLUMNS($AC$1006:AM1006),$AC$1006:$AS$1006,0)), HYPERLINK("#",""), HYPERLINK(CONCATENATE("#metadata!", ADDRESS(INDEX($X$2:$X$1001,MATCH(ROWS($V$2:V853),$V$2:$V$1001,0),0), INDEX($AC$1004:$AS$1004,1,MATCH(COLUMNS($AC$1006:AM1006),$AC$1006:$AS$1006,0)))),"Fix")))</f>
        <v xml:space="preserve"> </v>
      </c>
      <c r="M853" s="4" t="str">
        <f ca="1">IF(OR(INDEX($W$2:$W$1001,MATCH(ROWS($V$2:V853),$V$2:$V$1001,0),1)&gt;=100000,INDEX($AC$1005:$AS$1005,1,MATCH(COLUMNS($AC$1006:AN1006),$AC$1006:$AS$1006,0))&gt;=100000), " ",IF(INDEX($AC$2:$AS$1001,MATCH(ROWS($V$2:V853),$V$2:$V$1001,0),MATCH(COLUMNS($AC$1006:AN1006),$AC$1006:$AS$1006,0)), HYPERLINK("#",""), HYPERLINK(CONCATENATE("#metadata!", ADDRESS(INDEX($X$2:$X$1001,MATCH(ROWS($V$2:V853),$V$2:$V$1001,0),0), INDEX($AC$1004:$AS$1004,1,MATCH(COLUMNS($AC$1006:AN1006),$AC$1006:$AS$1006,0)))),"Fix")))</f>
        <v xml:space="preserve"> </v>
      </c>
      <c r="N853" s="4" t="str">
        <f ca="1">IF(OR(INDEX($W$2:$W$1001,MATCH(ROWS($V$2:V853),$V$2:$V$1001,0),1)&gt;=100000,INDEX($AC$1005:$AS$1005,1,MATCH(COLUMNS($AC$1006:AO1006),$AC$1006:$AS$1006,0))&gt;=100000), " ",IF(INDEX($AC$2:$AS$1001,MATCH(ROWS($V$2:V853),$V$2:$V$1001,0),MATCH(COLUMNS($AC$1006:AO1006),$AC$1006:$AS$1006,0)), HYPERLINK("#",""), HYPERLINK(CONCATENATE("#metadata!", ADDRESS(INDEX($X$2:$X$1001,MATCH(ROWS($V$2:V853),$V$2:$V$1001,0),0), INDEX($AC$1004:$AS$1004,1,MATCH(COLUMNS($AC$1006:AO1006),$AC$1006:$AS$1006,0)))),"Fix")))</f>
        <v xml:space="preserve"> </v>
      </c>
      <c r="O853" s="4" t="str">
        <f ca="1">IF(OR(INDEX($W$2:$W$1001,MATCH(ROWS($V$2:V853),$V$2:$V$1001,0),1)&gt;=100000,INDEX($AC$1005:$AS$1005,1,MATCH(COLUMNS($AC$1006:AP1006),$AC$1006:$AS$1006,0))&gt;=100000), " ",IF(INDEX($AC$2:$AS$1001,MATCH(ROWS($V$2:V853),$V$2:$V$1001,0),MATCH(COLUMNS($AC$1006:AP1006),$AC$1006:$AS$1006,0)), HYPERLINK("#",""), HYPERLINK(CONCATENATE("#metadata!", ADDRESS(INDEX($X$2:$X$1001,MATCH(ROWS($V$2:V853),$V$2:$V$1001,0),0), INDEX($AC$1004:$AS$1004,1,MATCH(COLUMNS($AC$1006:AP1006),$AC$1006:$AS$1006,0)))),"Fix")))</f>
        <v xml:space="preserve"> </v>
      </c>
      <c r="P853" s="4" t="str">
        <f ca="1">IF(OR(INDEX($W$2:$W$1001,MATCH(ROWS($V$2:V853),$V$2:$V$1001,0),1)&gt;=100000,INDEX($AC$1005:$AS$1005,1,MATCH(COLUMNS($AC$1006:AQ1006),$AC$1006:$AS$1006,0))&gt;=100000), " ",IF(INDEX($AC$2:$AS$1001,MATCH(ROWS($V$2:V853),$V$2:$V$1001,0),MATCH(COLUMNS($AC$1006:AQ1006),$AC$1006:$AS$1006,0)), HYPERLINK("#",""), HYPERLINK(CONCATENATE("#metadata!", ADDRESS(INDEX($X$2:$X$1001,MATCH(ROWS($V$2:V853),$V$2:$V$1001,0),0), INDEX($AC$1004:$AS$1004,1,MATCH(COLUMNS($AC$1006:AQ1006),$AC$1006:$AS$1006,0)))),"Fix")))</f>
        <v xml:space="preserve"> </v>
      </c>
      <c r="Q853" s="4" t="str">
        <f ca="1">IF(OR(INDEX($W$2:$W$1001,MATCH(ROWS($V$2:V853),$V$2:$V$1001,0),1)&gt;=100000,INDEX($AC$1005:$AS$1005,1,MATCH(COLUMNS($AC$1006:AR1006),$AC$1006:$AS$1006,0))&gt;=100000), " ",IF(INDEX($AC$2:$AS$1001,MATCH(ROWS($V$2:V853),$V$2:$V$1001,0),MATCH(COLUMNS($AC$1006:AR1006),$AC$1006:$AS$1006,0)), HYPERLINK("#",""), HYPERLINK(CONCATENATE("#metadata!", ADDRESS(INDEX($X$2:$X$1001,MATCH(ROWS($V$2:V853),$V$2:$V$1001,0),0), INDEX($AC$1004:$AS$1004,1,MATCH(COLUMNS($AC$1006:AR1006),$AC$1006:$AS$1006,0)))),"Fix")))</f>
        <v xml:space="preserve"> </v>
      </c>
      <c r="R853" s="4" t="str">
        <f ca="1">IF(OR(INDEX($W$2:$W$1001,MATCH(ROWS($V$2:V853),$V$2:$V$1001,0),1)&gt;=100000,INDEX($AC$1005:$AS$1005,1,MATCH(COLUMNS($AC$1006:AS1006),$AC$1006:$AS$1006,0))&gt;=100000), " ",IF(INDEX($AC$2:$AS$1001,MATCH(ROWS($V$2:V853),$V$2:$V$1001,0),MATCH(COLUMNS($AC$1006:AS1006),$AC$1006:$AS$1006,0)), HYPERLINK("#",""), HYPERLINK(CONCATENATE("#metadata!", ADDRESS(INDEX($X$2:$X$1001,MATCH(ROWS($V$2:V853),$V$2:$V$1001,0),0), INDEX($AC$1004:$AS$1004,1,MATCH(COLUMNS($AC$1006:AS1006),$AC$1006:$AS$1006,0)))),"Fix")))</f>
        <v xml:space="preserve"> </v>
      </c>
      <c r="V853">
        <v>852</v>
      </c>
      <c r="W853">
        <v>100853</v>
      </c>
      <c r="X853">
        <v>853</v>
      </c>
      <c r="Y853" t="b">
        <f t="shared" si="13"/>
        <v>1</v>
      </c>
      <c r="Z853" t="b">
        <f>COUNTBLANK(metadata!B853:R853)=COLUMNS(metadata!B853:R853)</f>
        <v>1</v>
      </c>
      <c r="AA853" t="str">
        <v/>
      </c>
      <c r="AC853" t="b">
        <f ca="1"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AD853" t="b">
        <f>IF(metadata!C853="",FALSE,ISNUMBER(VALUE(metadata!C853)))</f>
        <v>0</v>
      </c>
      <c r="AE853" t="b">
        <f>AND(IF(metadata!D853="",FALSE,TRUE),EXACT(metadata!D853,"years"))</f>
        <v>0</v>
      </c>
      <c r="AF853" t="b">
        <f>OR(AND(IF(metadata!E853="",FALSE,TRUE),OR(EXACT(metadata!E853,"not applicable"),EXACT(metadata!E853,"missing: not collected"),EXACT(metadata!E853,"missing: not provided"),EXACT(metadata!E853,"missing: restricted access"))),AND(IF(metadata!E853="",FALSE,ISNUMBER(VALUE(metadata!E853))),metadata!E853&gt;0))</f>
        <v>0</v>
      </c>
      <c r="AG853" t="b">
        <f>AND(IF(metadata!F853="",FALSE,TRUE),EXACT(metadata!F853,"Not applicable"))</f>
        <v>0</v>
      </c>
      <c r="AH853" t="b">
        <f>AND(IF(metadata!G853="",FALSE,TRUE),EXACT(metadata!G853,"urban biome"))</f>
        <v>0</v>
      </c>
      <c r="AI853" t="b">
        <f>AND(IF(metadata!H853="",FALSE,TRUE),EXACT(metadata!H853,"human-associated habitat"))</f>
        <v>0</v>
      </c>
      <c r="AJ853" t="b">
        <f>AND(IF(metadata!I853="",FALSE,TRUE),OR(EXACT(metadata!I853,"human-associated"),EXACT(metadata!I853,"human-skin"),EXACT(metadata!I853,"human-oral"),EXACT(metadata!I853,"human-gut"),EXACT(metadata!I853,"human-vaginal")))</f>
        <v>0</v>
      </c>
      <c r="AK853" t="b">
        <f>IF(metadata!J853="",FALSE,ISNUMBER(VALUE(metadata!J853)))</f>
        <v>0</v>
      </c>
      <c r="AL853" t="b">
        <f>AND(IF(metadata!K853="",FALSE,TRUE),EXACT(metadata!K853,"cm"))</f>
        <v>0</v>
      </c>
      <c r="AM853" t="b">
        <f>AND(IF(metadata!L853="",FALSE,TRUE),EXACT(metadata!L853,"human"))</f>
        <v>0</v>
      </c>
      <c r="AN853" t="b">
        <f>AND(IF(metadata!M853="",FALSE,TRUE),EXACT(metadata!M853,"Homo sapiens"))</f>
        <v>0</v>
      </c>
      <c r="AO853" t="b">
        <f>AND(IF(metadata!N853="",FALSE,TRUE),EXACT(metadata!N853,"9606"))</f>
        <v>0</v>
      </c>
      <c r="AP853" t="b">
        <f>IF(metadata!O853="",FALSE,TRUE)</f>
        <v>0</v>
      </c>
      <c r="AQ853" t="b">
        <f>IF(metadata!P853="",FALSE,TRUE)</f>
        <v>0</v>
      </c>
      <c r="AR853" t="b">
        <f>IF(metadata!Q853="",FALSE,ISNUMBER(VALUE(metadata!Q853)))</f>
        <v>0</v>
      </c>
      <c r="AS853" t="b">
        <f>AND(IF(metadata!R853="",FALSE,TRUE),EXACT(metadata!R853,"kg"))</f>
        <v>0</v>
      </c>
    </row>
    <row r="854" spans="1:45" x14ac:dyDescent="0.2">
      <c r="A854" s="5" t="str">
        <f ca="1">IF(B854=" "," ",HYPERLINK(CONCATENATE("#metadata!",ADDRESS(INDEX($X$2:$X$1001,MATCH(ROWS($V$2:V854),$V$2:$V$1001,0),0),1)),INDEX($AA$2:$AA$1001,MATCH(ROWS($V$2:V854),$V$2:$V$1001,0),0)))</f>
        <v xml:space="preserve"> </v>
      </c>
      <c r="B854" s="4" t="str">
        <f ca="1">IF(OR(INDEX($W$2:$W$1001,MATCH(ROWS($V$2:V854),$V$2:$V$1001,0),1)&gt;=100000,INDEX($AC$1005:$AS$1005,1,MATCH(COLUMNS($AC$1006:AC1006),$AC$1006:$AS$1006,0))&gt;=100000), " ",IF(INDEX($AC$2:$AS$1001,MATCH(ROWS($V$2:V854),$V$2:$V$1001,0),MATCH(COLUMNS($AC$1006:AC1006),$AC$1006:$AS$1006,0)), HYPERLINK("#",""), HYPERLINK(CONCATENATE("#metadata!", ADDRESS(INDEX($X$2:$X$1001,MATCH(ROWS($V$2:V854),$V$2:$V$1001,0),0), INDEX($AC$1004:$AS$1004,1,MATCH(COLUMNS($AC$1006:AC1006),$AC$1006:$AS$1006,0)))),"Fix")))</f>
        <v xml:space="preserve"> </v>
      </c>
      <c r="C854" s="4" t="str">
        <f ca="1">IF(OR(INDEX($W$2:$W$1001,MATCH(ROWS($V$2:V854),$V$2:$V$1001,0),1)&gt;=100000,INDEX($AC$1005:$AS$1005,1,MATCH(COLUMNS($AC$1006:AD1006),$AC$1006:$AS$1006,0))&gt;=100000), " ",IF(INDEX($AC$2:$AS$1001,MATCH(ROWS($V$2:V854),$V$2:$V$1001,0),MATCH(COLUMNS($AC$1006:AD1006),$AC$1006:$AS$1006,0)), HYPERLINK("#",""), HYPERLINK(CONCATENATE("#metadata!", ADDRESS(INDEX($X$2:$X$1001,MATCH(ROWS($V$2:V854),$V$2:$V$1001,0),0), INDEX($AC$1004:$AS$1004,1,MATCH(COLUMNS($AC$1006:AD1006),$AC$1006:$AS$1006,0)))),"Fix")))</f>
        <v xml:space="preserve"> </v>
      </c>
      <c r="D854" s="4" t="str">
        <f ca="1">IF(OR(INDEX($W$2:$W$1001,MATCH(ROWS($V$2:V854),$V$2:$V$1001,0),1)&gt;=100000,INDEX($AC$1005:$AS$1005,1,MATCH(COLUMNS($AC$1006:AE1006),$AC$1006:$AS$1006,0))&gt;=100000), " ",IF(INDEX($AC$2:$AS$1001,MATCH(ROWS($V$2:V854),$V$2:$V$1001,0),MATCH(COLUMNS($AC$1006:AE1006),$AC$1006:$AS$1006,0)), HYPERLINK("#",""), HYPERLINK(CONCATENATE("#metadata!", ADDRESS(INDEX($X$2:$X$1001,MATCH(ROWS($V$2:V854),$V$2:$V$1001,0),0), INDEX($AC$1004:$AS$1004,1,MATCH(COLUMNS($AC$1006:AE1006),$AC$1006:$AS$1006,0)))),"Fix")))</f>
        <v xml:space="preserve"> </v>
      </c>
      <c r="E854" s="4" t="str">
        <f ca="1">IF(OR(INDEX($W$2:$W$1001,MATCH(ROWS($V$2:V854),$V$2:$V$1001,0),1)&gt;=100000,INDEX($AC$1005:$AS$1005,1,MATCH(COLUMNS($AC$1006:AF1006),$AC$1006:$AS$1006,0))&gt;=100000), " ",IF(INDEX($AC$2:$AS$1001,MATCH(ROWS($V$2:V854),$V$2:$V$1001,0),MATCH(COLUMNS($AC$1006:AF1006),$AC$1006:$AS$1006,0)), HYPERLINK("#",""), HYPERLINK(CONCATENATE("#metadata!", ADDRESS(INDEX($X$2:$X$1001,MATCH(ROWS($V$2:V854),$V$2:$V$1001,0),0), INDEX($AC$1004:$AS$1004,1,MATCH(COLUMNS($AC$1006:AF1006),$AC$1006:$AS$1006,0)))),"Fix")))</f>
        <v xml:space="preserve"> </v>
      </c>
      <c r="F854" s="4" t="str">
        <f ca="1">IF(OR(INDEX($W$2:$W$1001,MATCH(ROWS($V$2:V854),$V$2:$V$1001,0),1)&gt;=100000,INDEX($AC$1005:$AS$1005,1,MATCH(COLUMNS($AC$1006:AG1006),$AC$1006:$AS$1006,0))&gt;=100000), " ",IF(INDEX($AC$2:$AS$1001,MATCH(ROWS($V$2:V854),$V$2:$V$1001,0),MATCH(COLUMNS($AC$1006:AG1006),$AC$1006:$AS$1006,0)), HYPERLINK("#",""), HYPERLINK(CONCATENATE("#metadata!", ADDRESS(INDEX($X$2:$X$1001,MATCH(ROWS($V$2:V854),$V$2:$V$1001,0),0), INDEX($AC$1004:$AS$1004,1,MATCH(COLUMNS($AC$1006:AG1006),$AC$1006:$AS$1006,0)))),"Fix")))</f>
        <v xml:space="preserve"> </v>
      </c>
      <c r="G854" s="4" t="str">
        <f ca="1">IF(OR(INDEX($W$2:$W$1001,MATCH(ROWS($V$2:V854),$V$2:$V$1001,0),1)&gt;=100000,INDEX($AC$1005:$AS$1005,1,MATCH(COLUMNS($AC$1006:AH1006),$AC$1006:$AS$1006,0))&gt;=100000), " ",IF(INDEX($AC$2:$AS$1001,MATCH(ROWS($V$2:V854),$V$2:$V$1001,0),MATCH(COLUMNS($AC$1006:AH1006),$AC$1006:$AS$1006,0)), HYPERLINK("#",""), HYPERLINK(CONCATENATE("#metadata!", ADDRESS(INDEX($X$2:$X$1001,MATCH(ROWS($V$2:V854),$V$2:$V$1001,0),0), INDEX($AC$1004:$AS$1004,1,MATCH(COLUMNS($AC$1006:AH1006),$AC$1006:$AS$1006,0)))),"Fix")))</f>
        <v xml:space="preserve"> </v>
      </c>
      <c r="H854" s="4" t="str">
        <f ca="1">IF(OR(INDEX($W$2:$W$1001,MATCH(ROWS($V$2:V854),$V$2:$V$1001,0),1)&gt;=100000,INDEX($AC$1005:$AS$1005,1,MATCH(COLUMNS($AC$1006:AI1006),$AC$1006:$AS$1006,0))&gt;=100000), " ",IF(INDEX($AC$2:$AS$1001,MATCH(ROWS($V$2:V854),$V$2:$V$1001,0),MATCH(COLUMNS($AC$1006:AI1006),$AC$1006:$AS$1006,0)), HYPERLINK("#",""), HYPERLINK(CONCATENATE("#metadata!", ADDRESS(INDEX($X$2:$X$1001,MATCH(ROWS($V$2:V854),$V$2:$V$1001,0),0), INDEX($AC$1004:$AS$1004,1,MATCH(COLUMNS($AC$1006:AI1006),$AC$1006:$AS$1006,0)))),"Fix")))</f>
        <v xml:space="preserve"> </v>
      </c>
      <c r="I854" s="4" t="str">
        <f ca="1">IF(OR(INDEX($W$2:$W$1001,MATCH(ROWS($V$2:V854),$V$2:$V$1001,0),1)&gt;=100000,INDEX($AC$1005:$AS$1005,1,MATCH(COLUMNS($AC$1006:AJ1006),$AC$1006:$AS$1006,0))&gt;=100000), " ",IF(INDEX($AC$2:$AS$1001,MATCH(ROWS($V$2:V854),$V$2:$V$1001,0),MATCH(COLUMNS($AC$1006:AJ1006),$AC$1006:$AS$1006,0)), HYPERLINK("#",""), HYPERLINK(CONCATENATE("#metadata!", ADDRESS(INDEX($X$2:$X$1001,MATCH(ROWS($V$2:V854),$V$2:$V$1001,0),0), INDEX($AC$1004:$AS$1004,1,MATCH(COLUMNS($AC$1006:AJ1006),$AC$1006:$AS$1006,0)))),"Fix")))</f>
        <v xml:space="preserve"> </v>
      </c>
      <c r="J854" s="4" t="str">
        <f ca="1">IF(OR(INDEX($W$2:$W$1001,MATCH(ROWS($V$2:V854),$V$2:$V$1001,0),1)&gt;=100000,INDEX($AC$1005:$AS$1005,1,MATCH(COLUMNS($AC$1006:AK1006),$AC$1006:$AS$1006,0))&gt;=100000), " ",IF(INDEX($AC$2:$AS$1001,MATCH(ROWS($V$2:V854),$V$2:$V$1001,0),MATCH(COLUMNS($AC$1006:AK1006),$AC$1006:$AS$1006,0)), HYPERLINK("#",""), HYPERLINK(CONCATENATE("#metadata!", ADDRESS(INDEX($X$2:$X$1001,MATCH(ROWS($V$2:V854),$V$2:$V$1001,0),0), INDEX($AC$1004:$AS$1004,1,MATCH(COLUMNS($AC$1006:AK1006),$AC$1006:$AS$1006,0)))),"Fix")))</f>
        <v xml:space="preserve"> </v>
      </c>
      <c r="K854" s="4" t="str">
        <f ca="1">IF(OR(INDEX($W$2:$W$1001,MATCH(ROWS($V$2:V854),$V$2:$V$1001,0),1)&gt;=100000,INDEX($AC$1005:$AS$1005,1,MATCH(COLUMNS($AC$1006:AL1006),$AC$1006:$AS$1006,0))&gt;=100000), " ",IF(INDEX($AC$2:$AS$1001,MATCH(ROWS($V$2:V854),$V$2:$V$1001,0),MATCH(COLUMNS($AC$1006:AL1006),$AC$1006:$AS$1006,0)), HYPERLINK("#",""), HYPERLINK(CONCATENATE("#metadata!", ADDRESS(INDEX($X$2:$X$1001,MATCH(ROWS($V$2:V854),$V$2:$V$1001,0),0), INDEX($AC$1004:$AS$1004,1,MATCH(COLUMNS($AC$1006:AL1006),$AC$1006:$AS$1006,0)))),"Fix")))</f>
        <v xml:space="preserve"> </v>
      </c>
      <c r="L854" s="4" t="str">
        <f ca="1">IF(OR(INDEX($W$2:$W$1001,MATCH(ROWS($V$2:V854),$V$2:$V$1001,0),1)&gt;=100000,INDEX($AC$1005:$AS$1005,1,MATCH(COLUMNS($AC$1006:AM1006),$AC$1006:$AS$1006,0))&gt;=100000), " ",IF(INDEX($AC$2:$AS$1001,MATCH(ROWS($V$2:V854),$V$2:$V$1001,0),MATCH(COLUMNS($AC$1006:AM1006),$AC$1006:$AS$1006,0)), HYPERLINK("#",""), HYPERLINK(CONCATENATE("#metadata!", ADDRESS(INDEX($X$2:$X$1001,MATCH(ROWS($V$2:V854),$V$2:$V$1001,0),0), INDEX($AC$1004:$AS$1004,1,MATCH(COLUMNS($AC$1006:AM1006),$AC$1006:$AS$1006,0)))),"Fix")))</f>
        <v xml:space="preserve"> </v>
      </c>
      <c r="M854" s="4" t="str">
        <f ca="1">IF(OR(INDEX($W$2:$W$1001,MATCH(ROWS($V$2:V854),$V$2:$V$1001,0),1)&gt;=100000,INDEX($AC$1005:$AS$1005,1,MATCH(COLUMNS($AC$1006:AN1006),$AC$1006:$AS$1006,0))&gt;=100000), " ",IF(INDEX($AC$2:$AS$1001,MATCH(ROWS($V$2:V854),$V$2:$V$1001,0),MATCH(COLUMNS($AC$1006:AN1006),$AC$1006:$AS$1006,0)), HYPERLINK("#",""), HYPERLINK(CONCATENATE("#metadata!", ADDRESS(INDEX($X$2:$X$1001,MATCH(ROWS($V$2:V854),$V$2:$V$1001,0),0), INDEX($AC$1004:$AS$1004,1,MATCH(COLUMNS($AC$1006:AN1006),$AC$1006:$AS$1006,0)))),"Fix")))</f>
        <v xml:space="preserve"> </v>
      </c>
      <c r="N854" s="4" t="str">
        <f ca="1">IF(OR(INDEX($W$2:$W$1001,MATCH(ROWS($V$2:V854),$V$2:$V$1001,0),1)&gt;=100000,INDEX($AC$1005:$AS$1005,1,MATCH(COLUMNS($AC$1006:AO1006),$AC$1006:$AS$1006,0))&gt;=100000), " ",IF(INDEX($AC$2:$AS$1001,MATCH(ROWS($V$2:V854),$V$2:$V$1001,0),MATCH(COLUMNS($AC$1006:AO1006),$AC$1006:$AS$1006,0)), HYPERLINK("#",""), HYPERLINK(CONCATENATE("#metadata!", ADDRESS(INDEX($X$2:$X$1001,MATCH(ROWS($V$2:V854),$V$2:$V$1001,0),0), INDEX($AC$1004:$AS$1004,1,MATCH(COLUMNS($AC$1006:AO1006),$AC$1006:$AS$1006,0)))),"Fix")))</f>
        <v xml:space="preserve"> </v>
      </c>
      <c r="O854" s="4" t="str">
        <f ca="1">IF(OR(INDEX($W$2:$W$1001,MATCH(ROWS($V$2:V854),$V$2:$V$1001,0),1)&gt;=100000,INDEX($AC$1005:$AS$1005,1,MATCH(COLUMNS($AC$1006:AP1006),$AC$1006:$AS$1006,0))&gt;=100000), " ",IF(INDEX($AC$2:$AS$1001,MATCH(ROWS($V$2:V854),$V$2:$V$1001,0),MATCH(COLUMNS($AC$1006:AP1006),$AC$1006:$AS$1006,0)), HYPERLINK("#",""), HYPERLINK(CONCATENATE("#metadata!", ADDRESS(INDEX($X$2:$X$1001,MATCH(ROWS($V$2:V854),$V$2:$V$1001,0),0), INDEX($AC$1004:$AS$1004,1,MATCH(COLUMNS($AC$1006:AP1006),$AC$1006:$AS$1006,0)))),"Fix")))</f>
        <v xml:space="preserve"> </v>
      </c>
      <c r="P854" s="4" t="str">
        <f ca="1">IF(OR(INDEX($W$2:$W$1001,MATCH(ROWS($V$2:V854),$V$2:$V$1001,0),1)&gt;=100000,INDEX($AC$1005:$AS$1005,1,MATCH(COLUMNS($AC$1006:AQ1006),$AC$1006:$AS$1006,0))&gt;=100000), " ",IF(INDEX($AC$2:$AS$1001,MATCH(ROWS($V$2:V854),$V$2:$V$1001,0),MATCH(COLUMNS($AC$1006:AQ1006),$AC$1006:$AS$1006,0)), HYPERLINK("#",""), HYPERLINK(CONCATENATE("#metadata!", ADDRESS(INDEX($X$2:$X$1001,MATCH(ROWS($V$2:V854),$V$2:$V$1001,0),0), INDEX($AC$1004:$AS$1004,1,MATCH(COLUMNS($AC$1006:AQ1006),$AC$1006:$AS$1006,0)))),"Fix")))</f>
        <v xml:space="preserve"> </v>
      </c>
      <c r="Q854" s="4" t="str">
        <f ca="1">IF(OR(INDEX($W$2:$W$1001,MATCH(ROWS($V$2:V854),$V$2:$V$1001,0),1)&gt;=100000,INDEX($AC$1005:$AS$1005,1,MATCH(COLUMNS($AC$1006:AR1006),$AC$1006:$AS$1006,0))&gt;=100000), " ",IF(INDEX($AC$2:$AS$1001,MATCH(ROWS($V$2:V854),$V$2:$V$1001,0),MATCH(COLUMNS($AC$1006:AR1006),$AC$1006:$AS$1006,0)), HYPERLINK("#",""), HYPERLINK(CONCATENATE("#metadata!", ADDRESS(INDEX($X$2:$X$1001,MATCH(ROWS($V$2:V854),$V$2:$V$1001,0),0), INDEX($AC$1004:$AS$1004,1,MATCH(COLUMNS($AC$1006:AR1006),$AC$1006:$AS$1006,0)))),"Fix")))</f>
        <v xml:space="preserve"> </v>
      </c>
      <c r="R854" s="4" t="str">
        <f ca="1">IF(OR(INDEX($W$2:$W$1001,MATCH(ROWS($V$2:V854),$V$2:$V$1001,0),1)&gt;=100000,INDEX($AC$1005:$AS$1005,1,MATCH(COLUMNS($AC$1006:AS1006),$AC$1006:$AS$1006,0))&gt;=100000), " ",IF(INDEX($AC$2:$AS$1001,MATCH(ROWS($V$2:V854),$V$2:$V$1001,0),MATCH(COLUMNS($AC$1006:AS1006),$AC$1006:$AS$1006,0)), HYPERLINK("#",""), HYPERLINK(CONCATENATE("#metadata!", ADDRESS(INDEX($X$2:$X$1001,MATCH(ROWS($V$2:V854),$V$2:$V$1001,0),0), INDEX($AC$1004:$AS$1004,1,MATCH(COLUMNS($AC$1006:AS1006),$AC$1006:$AS$1006,0)))),"Fix")))</f>
        <v xml:space="preserve"> </v>
      </c>
      <c r="V854">
        <v>853</v>
      </c>
      <c r="W854">
        <v>100854</v>
      </c>
      <c r="X854">
        <v>854</v>
      </c>
      <c r="Y854" t="b">
        <f t="shared" si="13"/>
        <v>1</v>
      </c>
      <c r="Z854" t="b">
        <f>COUNTBLANK(metadata!B854:R854)=COLUMNS(metadata!B854:R854)</f>
        <v>1</v>
      </c>
      <c r="AA854" t="str">
        <v/>
      </c>
      <c r="AC854" t="b">
        <f ca="1"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AD854" t="b">
        <f>IF(metadata!C854="",FALSE,ISNUMBER(VALUE(metadata!C854)))</f>
        <v>0</v>
      </c>
      <c r="AE854" t="b">
        <f>AND(IF(metadata!D854="",FALSE,TRUE),EXACT(metadata!D854,"years"))</f>
        <v>0</v>
      </c>
      <c r="AF854" t="b">
        <f>OR(AND(IF(metadata!E854="",FALSE,TRUE),OR(EXACT(metadata!E854,"not applicable"),EXACT(metadata!E854,"missing: not collected"),EXACT(metadata!E854,"missing: not provided"),EXACT(metadata!E854,"missing: restricted access"))),AND(IF(metadata!E854="",FALSE,ISNUMBER(VALUE(metadata!E854))),metadata!E854&gt;0))</f>
        <v>0</v>
      </c>
      <c r="AG854" t="b">
        <f>AND(IF(metadata!F854="",FALSE,TRUE),EXACT(metadata!F854,"Not applicable"))</f>
        <v>0</v>
      </c>
      <c r="AH854" t="b">
        <f>AND(IF(metadata!G854="",FALSE,TRUE),EXACT(metadata!G854,"urban biome"))</f>
        <v>0</v>
      </c>
      <c r="AI854" t="b">
        <f>AND(IF(metadata!H854="",FALSE,TRUE),EXACT(metadata!H854,"human-associated habitat"))</f>
        <v>0</v>
      </c>
      <c r="AJ854" t="b">
        <f>AND(IF(metadata!I854="",FALSE,TRUE),OR(EXACT(metadata!I854,"human-associated"),EXACT(metadata!I854,"human-skin"),EXACT(metadata!I854,"human-oral"),EXACT(metadata!I854,"human-gut"),EXACT(metadata!I854,"human-vaginal")))</f>
        <v>0</v>
      </c>
      <c r="AK854" t="b">
        <f>IF(metadata!J854="",FALSE,ISNUMBER(VALUE(metadata!J854)))</f>
        <v>0</v>
      </c>
      <c r="AL854" t="b">
        <f>AND(IF(metadata!K854="",FALSE,TRUE),EXACT(metadata!K854,"cm"))</f>
        <v>0</v>
      </c>
      <c r="AM854" t="b">
        <f>AND(IF(metadata!L854="",FALSE,TRUE),EXACT(metadata!L854,"human"))</f>
        <v>0</v>
      </c>
      <c r="AN854" t="b">
        <f>AND(IF(metadata!M854="",FALSE,TRUE),EXACT(metadata!M854,"Homo sapiens"))</f>
        <v>0</v>
      </c>
      <c r="AO854" t="b">
        <f>AND(IF(metadata!N854="",FALSE,TRUE),EXACT(metadata!N854,"9606"))</f>
        <v>0</v>
      </c>
      <c r="AP854" t="b">
        <f>IF(metadata!O854="",FALSE,TRUE)</f>
        <v>0</v>
      </c>
      <c r="AQ854" t="b">
        <f>IF(metadata!P854="",FALSE,TRUE)</f>
        <v>0</v>
      </c>
      <c r="AR854" t="b">
        <f>IF(metadata!Q854="",FALSE,ISNUMBER(VALUE(metadata!Q854)))</f>
        <v>0</v>
      </c>
      <c r="AS854" t="b">
        <f>AND(IF(metadata!R854="",FALSE,TRUE),EXACT(metadata!R854,"kg"))</f>
        <v>0</v>
      </c>
    </row>
    <row r="855" spans="1:45" x14ac:dyDescent="0.2">
      <c r="A855" s="5" t="str">
        <f ca="1">IF(B855=" "," ",HYPERLINK(CONCATENATE("#metadata!",ADDRESS(INDEX($X$2:$X$1001,MATCH(ROWS($V$2:V855),$V$2:$V$1001,0),0),1)),INDEX($AA$2:$AA$1001,MATCH(ROWS($V$2:V855),$V$2:$V$1001,0),0)))</f>
        <v xml:space="preserve"> </v>
      </c>
      <c r="B855" s="4" t="str">
        <f ca="1">IF(OR(INDEX($W$2:$W$1001,MATCH(ROWS($V$2:V855),$V$2:$V$1001,0),1)&gt;=100000,INDEX($AC$1005:$AS$1005,1,MATCH(COLUMNS($AC$1006:AC1006),$AC$1006:$AS$1006,0))&gt;=100000), " ",IF(INDEX($AC$2:$AS$1001,MATCH(ROWS($V$2:V855),$V$2:$V$1001,0),MATCH(COLUMNS($AC$1006:AC1006),$AC$1006:$AS$1006,0)), HYPERLINK("#",""), HYPERLINK(CONCATENATE("#metadata!", ADDRESS(INDEX($X$2:$X$1001,MATCH(ROWS($V$2:V855),$V$2:$V$1001,0),0), INDEX($AC$1004:$AS$1004,1,MATCH(COLUMNS($AC$1006:AC1006),$AC$1006:$AS$1006,0)))),"Fix")))</f>
        <v xml:space="preserve"> </v>
      </c>
      <c r="C855" s="4" t="str">
        <f ca="1">IF(OR(INDEX($W$2:$W$1001,MATCH(ROWS($V$2:V855),$V$2:$V$1001,0),1)&gt;=100000,INDEX($AC$1005:$AS$1005,1,MATCH(COLUMNS($AC$1006:AD1006),$AC$1006:$AS$1006,0))&gt;=100000), " ",IF(INDEX($AC$2:$AS$1001,MATCH(ROWS($V$2:V855),$V$2:$V$1001,0),MATCH(COLUMNS($AC$1006:AD1006),$AC$1006:$AS$1006,0)), HYPERLINK("#",""), HYPERLINK(CONCATENATE("#metadata!", ADDRESS(INDEX($X$2:$X$1001,MATCH(ROWS($V$2:V855),$V$2:$V$1001,0),0), INDEX($AC$1004:$AS$1004,1,MATCH(COLUMNS($AC$1006:AD1006),$AC$1006:$AS$1006,0)))),"Fix")))</f>
        <v xml:space="preserve"> </v>
      </c>
      <c r="D855" s="4" t="str">
        <f ca="1">IF(OR(INDEX($W$2:$W$1001,MATCH(ROWS($V$2:V855),$V$2:$V$1001,0),1)&gt;=100000,INDEX($AC$1005:$AS$1005,1,MATCH(COLUMNS($AC$1006:AE1006),$AC$1006:$AS$1006,0))&gt;=100000), " ",IF(INDEX($AC$2:$AS$1001,MATCH(ROWS($V$2:V855),$V$2:$V$1001,0),MATCH(COLUMNS($AC$1006:AE1006),$AC$1006:$AS$1006,0)), HYPERLINK("#",""), HYPERLINK(CONCATENATE("#metadata!", ADDRESS(INDEX($X$2:$X$1001,MATCH(ROWS($V$2:V855),$V$2:$V$1001,0),0), INDEX($AC$1004:$AS$1004,1,MATCH(COLUMNS($AC$1006:AE1006),$AC$1006:$AS$1006,0)))),"Fix")))</f>
        <v xml:space="preserve"> </v>
      </c>
      <c r="E855" s="4" t="str">
        <f ca="1">IF(OR(INDEX($W$2:$W$1001,MATCH(ROWS($V$2:V855),$V$2:$V$1001,0),1)&gt;=100000,INDEX($AC$1005:$AS$1005,1,MATCH(COLUMNS($AC$1006:AF1006),$AC$1006:$AS$1006,0))&gt;=100000), " ",IF(INDEX($AC$2:$AS$1001,MATCH(ROWS($V$2:V855),$V$2:$V$1001,0),MATCH(COLUMNS($AC$1006:AF1006),$AC$1006:$AS$1006,0)), HYPERLINK("#",""), HYPERLINK(CONCATENATE("#metadata!", ADDRESS(INDEX($X$2:$X$1001,MATCH(ROWS($V$2:V855),$V$2:$V$1001,0),0), INDEX($AC$1004:$AS$1004,1,MATCH(COLUMNS($AC$1006:AF1006),$AC$1006:$AS$1006,0)))),"Fix")))</f>
        <v xml:space="preserve"> </v>
      </c>
      <c r="F855" s="4" t="str">
        <f ca="1">IF(OR(INDEX($W$2:$W$1001,MATCH(ROWS($V$2:V855),$V$2:$V$1001,0),1)&gt;=100000,INDEX($AC$1005:$AS$1005,1,MATCH(COLUMNS($AC$1006:AG1006),$AC$1006:$AS$1006,0))&gt;=100000), " ",IF(INDEX($AC$2:$AS$1001,MATCH(ROWS($V$2:V855),$V$2:$V$1001,0),MATCH(COLUMNS($AC$1006:AG1006),$AC$1006:$AS$1006,0)), HYPERLINK("#",""), HYPERLINK(CONCATENATE("#metadata!", ADDRESS(INDEX($X$2:$X$1001,MATCH(ROWS($V$2:V855),$V$2:$V$1001,0),0), INDEX($AC$1004:$AS$1004,1,MATCH(COLUMNS($AC$1006:AG1006),$AC$1006:$AS$1006,0)))),"Fix")))</f>
        <v xml:space="preserve"> </v>
      </c>
      <c r="G855" s="4" t="str">
        <f ca="1">IF(OR(INDEX($W$2:$W$1001,MATCH(ROWS($V$2:V855),$V$2:$V$1001,0),1)&gt;=100000,INDEX($AC$1005:$AS$1005,1,MATCH(COLUMNS($AC$1006:AH1006),$AC$1006:$AS$1006,0))&gt;=100000), " ",IF(INDEX($AC$2:$AS$1001,MATCH(ROWS($V$2:V855),$V$2:$V$1001,0),MATCH(COLUMNS($AC$1006:AH1006),$AC$1006:$AS$1006,0)), HYPERLINK("#",""), HYPERLINK(CONCATENATE("#metadata!", ADDRESS(INDEX($X$2:$X$1001,MATCH(ROWS($V$2:V855),$V$2:$V$1001,0),0), INDEX($AC$1004:$AS$1004,1,MATCH(COLUMNS($AC$1006:AH1006),$AC$1006:$AS$1006,0)))),"Fix")))</f>
        <v xml:space="preserve"> </v>
      </c>
      <c r="H855" s="4" t="str">
        <f ca="1">IF(OR(INDEX($W$2:$W$1001,MATCH(ROWS($V$2:V855),$V$2:$V$1001,0),1)&gt;=100000,INDEX($AC$1005:$AS$1005,1,MATCH(COLUMNS($AC$1006:AI1006),$AC$1006:$AS$1006,0))&gt;=100000), " ",IF(INDEX($AC$2:$AS$1001,MATCH(ROWS($V$2:V855),$V$2:$V$1001,0),MATCH(COLUMNS($AC$1006:AI1006),$AC$1006:$AS$1006,0)), HYPERLINK("#",""), HYPERLINK(CONCATENATE("#metadata!", ADDRESS(INDEX($X$2:$X$1001,MATCH(ROWS($V$2:V855),$V$2:$V$1001,0),0), INDEX($AC$1004:$AS$1004,1,MATCH(COLUMNS($AC$1006:AI1006),$AC$1006:$AS$1006,0)))),"Fix")))</f>
        <v xml:space="preserve"> </v>
      </c>
      <c r="I855" s="4" t="str">
        <f ca="1">IF(OR(INDEX($W$2:$W$1001,MATCH(ROWS($V$2:V855),$V$2:$V$1001,0),1)&gt;=100000,INDEX($AC$1005:$AS$1005,1,MATCH(COLUMNS($AC$1006:AJ1006),$AC$1006:$AS$1006,0))&gt;=100000), " ",IF(INDEX($AC$2:$AS$1001,MATCH(ROWS($V$2:V855),$V$2:$V$1001,0),MATCH(COLUMNS($AC$1006:AJ1006),$AC$1006:$AS$1006,0)), HYPERLINK("#",""), HYPERLINK(CONCATENATE("#metadata!", ADDRESS(INDEX($X$2:$X$1001,MATCH(ROWS($V$2:V855),$V$2:$V$1001,0),0), INDEX($AC$1004:$AS$1004,1,MATCH(COLUMNS($AC$1006:AJ1006),$AC$1006:$AS$1006,0)))),"Fix")))</f>
        <v xml:space="preserve"> </v>
      </c>
      <c r="J855" s="4" t="str">
        <f ca="1">IF(OR(INDEX($W$2:$W$1001,MATCH(ROWS($V$2:V855),$V$2:$V$1001,0),1)&gt;=100000,INDEX($AC$1005:$AS$1005,1,MATCH(COLUMNS($AC$1006:AK1006),$AC$1006:$AS$1006,0))&gt;=100000), " ",IF(INDEX($AC$2:$AS$1001,MATCH(ROWS($V$2:V855),$V$2:$V$1001,0),MATCH(COLUMNS($AC$1006:AK1006),$AC$1006:$AS$1006,0)), HYPERLINK("#",""), HYPERLINK(CONCATENATE("#metadata!", ADDRESS(INDEX($X$2:$X$1001,MATCH(ROWS($V$2:V855),$V$2:$V$1001,0),0), INDEX($AC$1004:$AS$1004,1,MATCH(COLUMNS($AC$1006:AK1006),$AC$1006:$AS$1006,0)))),"Fix")))</f>
        <v xml:space="preserve"> </v>
      </c>
      <c r="K855" s="4" t="str">
        <f ca="1">IF(OR(INDEX($W$2:$W$1001,MATCH(ROWS($V$2:V855),$V$2:$V$1001,0),1)&gt;=100000,INDEX($AC$1005:$AS$1005,1,MATCH(COLUMNS($AC$1006:AL1006),$AC$1006:$AS$1006,0))&gt;=100000), " ",IF(INDEX($AC$2:$AS$1001,MATCH(ROWS($V$2:V855),$V$2:$V$1001,0),MATCH(COLUMNS($AC$1006:AL1006),$AC$1006:$AS$1006,0)), HYPERLINK("#",""), HYPERLINK(CONCATENATE("#metadata!", ADDRESS(INDEX($X$2:$X$1001,MATCH(ROWS($V$2:V855),$V$2:$V$1001,0),0), INDEX($AC$1004:$AS$1004,1,MATCH(COLUMNS($AC$1006:AL1006),$AC$1006:$AS$1006,0)))),"Fix")))</f>
        <v xml:space="preserve"> </v>
      </c>
      <c r="L855" s="4" t="str">
        <f ca="1">IF(OR(INDEX($W$2:$W$1001,MATCH(ROWS($V$2:V855),$V$2:$V$1001,0),1)&gt;=100000,INDEX($AC$1005:$AS$1005,1,MATCH(COLUMNS($AC$1006:AM1006),$AC$1006:$AS$1006,0))&gt;=100000), " ",IF(INDEX($AC$2:$AS$1001,MATCH(ROWS($V$2:V855),$V$2:$V$1001,0),MATCH(COLUMNS($AC$1006:AM1006),$AC$1006:$AS$1006,0)), HYPERLINK("#",""), HYPERLINK(CONCATENATE("#metadata!", ADDRESS(INDEX($X$2:$X$1001,MATCH(ROWS($V$2:V855),$V$2:$V$1001,0),0), INDEX($AC$1004:$AS$1004,1,MATCH(COLUMNS($AC$1006:AM1006),$AC$1006:$AS$1006,0)))),"Fix")))</f>
        <v xml:space="preserve"> </v>
      </c>
      <c r="M855" s="4" t="str">
        <f ca="1">IF(OR(INDEX($W$2:$W$1001,MATCH(ROWS($V$2:V855),$V$2:$V$1001,0),1)&gt;=100000,INDEX($AC$1005:$AS$1005,1,MATCH(COLUMNS($AC$1006:AN1006),$AC$1006:$AS$1006,0))&gt;=100000), " ",IF(INDEX($AC$2:$AS$1001,MATCH(ROWS($V$2:V855),$V$2:$V$1001,0),MATCH(COLUMNS($AC$1006:AN1006),$AC$1006:$AS$1006,0)), HYPERLINK("#",""), HYPERLINK(CONCATENATE("#metadata!", ADDRESS(INDEX($X$2:$X$1001,MATCH(ROWS($V$2:V855),$V$2:$V$1001,0),0), INDEX($AC$1004:$AS$1004,1,MATCH(COLUMNS($AC$1006:AN1006),$AC$1006:$AS$1006,0)))),"Fix")))</f>
        <v xml:space="preserve"> </v>
      </c>
      <c r="N855" s="4" t="str">
        <f ca="1">IF(OR(INDEX($W$2:$W$1001,MATCH(ROWS($V$2:V855),$V$2:$V$1001,0),1)&gt;=100000,INDEX($AC$1005:$AS$1005,1,MATCH(COLUMNS($AC$1006:AO1006),$AC$1006:$AS$1006,0))&gt;=100000), " ",IF(INDEX($AC$2:$AS$1001,MATCH(ROWS($V$2:V855),$V$2:$V$1001,0),MATCH(COLUMNS($AC$1006:AO1006),$AC$1006:$AS$1006,0)), HYPERLINK("#",""), HYPERLINK(CONCATENATE("#metadata!", ADDRESS(INDEX($X$2:$X$1001,MATCH(ROWS($V$2:V855),$V$2:$V$1001,0),0), INDEX($AC$1004:$AS$1004,1,MATCH(COLUMNS($AC$1006:AO1006),$AC$1006:$AS$1006,0)))),"Fix")))</f>
        <v xml:space="preserve"> </v>
      </c>
      <c r="O855" s="4" t="str">
        <f ca="1">IF(OR(INDEX($W$2:$W$1001,MATCH(ROWS($V$2:V855),$V$2:$V$1001,0),1)&gt;=100000,INDEX($AC$1005:$AS$1005,1,MATCH(COLUMNS($AC$1006:AP1006),$AC$1006:$AS$1006,0))&gt;=100000), " ",IF(INDEX($AC$2:$AS$1001,MATCH(ROWS($V$2:V855),$V$2:$V$1001,0),MATCH(COLUMNS($AC$1006:AP1006),$AC$1006:$AS$1006,0)), HYPERLINK("#",""), HYPERLINK(CONCATENATE("#metadata!", ADDRESS(INDEX($X$2:$X$1001,MATCH(ROWS($V$2:V855),$V$2:$V$1001,0),0), INDEX($AC$1004:$AS$1004,1,MATCH(COLUMNS($AC$1006:AP1006),$AC$1006:$AS$1006,0)))),"Fix")))</f>
        <v xml:space="preserve"> </v>
      </c>
      <c r="P855" s="4" t="str">
        <f ca="1">IF(OR(INDEX($W$2:$W$1001,MATCH(ROWS($V$2:V855),$V$2:$V$1001,0),1)&gt;=100000,INDEX($AC$1005:$AS$1005,1,MATCH(COLUMNS($AC$1006:AQ1006),$AC$1006:$AS$1006,0))&gt;=100000), " ",IF(INDEX($AC$2:$AS$1001,MATCH(ROWS($V$2:V855),$V$2:$V$1001,0),MATCH(COLUMNS($AC$1006:AQ1006),$AC$1006:$AS$1006,0)), HYPERLINK("#",""), HYPERLINK(CONCATENATE("#metadata!", ADDRESS(INDEX($X$2:$X$1001,MATCH(ROWS($V$2:V855),$V$2:$V$1001,0),0), INDEX($AC$1004:$AS$1004,1,MATCH(COLUMNS($AC$1006:AQ1006),$AC$1006:$AS$1006,0)))),"Fix")))</f>
        <v xml:space="preserve"> </v>
      </c>
      <c r="Q855" s="4" t="str">
        <f ca="1">IF(OR(INDEX($W$2:$W$1001,MATCH(ROWS($V$2:V855),$V$2:$V$1001,0),1)&gt;=100000,INDEX($AC$1005:$AS$1005,1,MATCH(COLUMNS($AC$1006:AR1006),$AC$1006:$AS$1006,0))&gt;=100000), " ",IF(INDEX($AC$2:$AS$1001,MATCH(ROWS($V$2:V855),$V$2:$V$1001,0),MATCH(COLUMNS($AC$1006:AR1006),$AC$1006:$AS$1006,0)), HYPERLINK("#",""), HYPERLINK(CONCATENATE("#metadata!", ADDRESS(INDEX($X$2:$X$1001,MATCH(ROWS($V$2:V855),$V$2:$V$1001,0),0), INDEX($AC$1004:$AS$1004,1,MATCH(COLUMNS($AC$1006:AR1006),$AC$1006:$AS$1006,0)))),"Fix")))</f>
        <v xml:space="preserve"> </v>
      </c>
      <c r="R855" s="4" t="str">
        <f ca="1">IF(OR(INDEX($W$2:$W$1001,MATCH(ROWS($V$2:V855),$V$2:$V$1001,0),1)&gt;=100000,INDEX($AC$1005:$AS$1005,1,MATCH(COLUMNS($AC$1006:AS1006),$AC$1006:$AS$1006,0))&gt;=100000), " ",IF(INDEX($AC$2:$AS$1001,MATCH(ROWS($V$2:V855),$V$2:$V$1001,0),MATCH(COLUMNS($AC$1006:AS1006),$AC$1006:$AS$1006,0)), HYPERLINK("#",""), HYPERLINK(CONCATENATE("#metadata!", ADDRESS(INDEX($X$2:$X$1001,MATCH(ROWS($V$2:V855),$V$2:$V$1001,0),0), INDEX($AC$1004:$AS$1004,1,MATCH(COLUMNS($AC$1006:AS1006),$AC$1006:$AS$1006,0)))),"Fix")))</f>
        <v xml:space="preserve"> </v>
      </c>
      <c r="V855">
        <v>854</v>
      </c>
      <c r="W855">
        <v>100855</v>
      </c>
      <c r="X855">
        <v>855</v>
      </c>
      <c r="Y855" t="b">
        <f t="shared" si="13"/>
        <v>1</v>
      </c>
      <c r="Z855" t="b">
        <f>COUNTBLANK(metadata!B855:R855)=COLUMNS(metadata!B855:R855)</f>
        <v>1</v>
      </c>
      <c r="AA855" t="str">
        <v/>
      </c>
      <c r="AC855" t="b">
        <f ca="1"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AD855" t="b">
        <f>IF(metadata!C855="",FALSE,ISNUMBER(VALUE(metadata!C855)))</f>
        <v>0</v>
      </c>
      <c r="AE855" t="b">
        <f>AND(IF(metadata!D855="",FALSE,TRUE),EXACT(metadata!D855,"years"))</f>
        <v>0</v>
      </c>
      <c r="AF855" t="b">
        <f>OR(AND(IF(metadata!E855="",FALSE,TRUE),OR(EXACT(metadata!E855,"not applicable"),EXACT(metadata!E855,"missing: not collected"),EXACT(metadata!E855,"missing: not provided"),EXACT(metadata!E855,"missing: restricted access"))),AND(IF(metadata!E855="",FALSE,ISNUMBER(VALUE(metadata!E855))),metadata!E855&gt;0))</f>
        <v>0</v>
      </c>
      <c r="AG855" t="b">
        <f>AND(IF(metadata!F855="",FALSE,TRUE),EXACT(metadata!F855,"Not applicable"))</f>
        <v>0</v>
      </c>
      <c r="AH855" t="b">
        <f>AND(IF(metadata!G855="",FALSE,TRUE),EXACT(metadata!G855,"urban biome"))</f>
        <v>0</v>
      </c>
      <c r="AI855" t="b">
        <f>AND(IF(metadata!H855="",FALSE,TRUE),EXACT(metadata!H855,"human-associated habitat"))</f>
        <v>0</v>
      </c>
      <c r="AJ855" t="b">
        <f>AND(IF(metadata!I855="",FALSE,TRUE),OR(EXACT(metadata!I855,"human-associated"),EXACT(metadata!I855,"human-skin"),EXACT(metadata!I855,"human-oral"),EXACT(metadata!I855,"human-gut"),EXACT(metadata!I855,"human-vaginal")))</f>
        <v>0</v>
      </c>
      <c r="AK855" t="b">
        <f>IF(metadata!J855="",FALSE,ISNUMBER(VALUE(metadata!J855)))</f>
        <v>0</v>
      </c>
      <c r="AL855" t="b">
        <f>AND(IF(metadata!K855="",FALSE,TRUE),EXACT(metadata!K855,"cm"))</f>
        <v>0</v>
      </c>
      <c r="AM855" t="b">
        <f>AND(IF(metadata!L855="",FALSE,TRUE),EXACT(metadata!L855,"human"))</f>
        <v>0</v>
      </c>
      <c r="AN855" t="b">
        <f>AND(IF(metadata!M855="",FALSE,TRUE),EXACT(metadata!M855,"Homo sapiens"))</f>
        <v>0</v>
      </c>
      <c r="AO855" t="b">
        <f>AND(IF(metadata!N855="",FALSE,TRUE),EXACT(metadata!N855,"9606"))</f>
        <v>0</v>
      </c>
      <c r="AP855" t="b">
        <f>IF(metadata!O855="",FALSE,TRUE)</f>
        <v>0</v>
      </c>
      <c r="AQ855" t="b">
        <f>IF(metadata!P855="",FALSE,TRUE)</f>
        <v>0</v>
      </c>
      <c r="AR855" t="b">
        <f>IF(metadata!Q855="",FALSE,ISNUMBER(VALUE(metadata!Q855)))</f>
        <v>0</v>
      </c>
      <c r="AS855" t="b">
        <f>AND(IF(metadata!R855="",FALSE,TRUE),EXACT(metadata!R855,"kg"))</f>
        <v>0</v>
      </c>
    </row>
    <row r="856" spans="1:45" x14ac:dyDescent="0.2">
      <c r="A856" s="5" t="str">
        <f ca="1">IF(B856=" "," ",HYPERLINK(CONCATENATE("#metadata!",ADDRESS(INDEX($X$2:$X$1001,MATCH(ROWS($V$2:V856),$V$2:$V$1001,0),0),1)),INDEX($AA$2:$AA$1001,MATCH(ROWS($V$2:V856),$V$2:$V$1001,0),0)))</f>
        <v xml:space="preserve"> </v>
      </c>
      <c r="B856" s="4" t="str">
        <f ca="1">IF(OR(INDEX($W$2:$W$1001,MATCH(ROWS($V$2:V856),$V$2:$V$1001,0),1)&gt;=100000,INDEX($AC$1005:$AS$1005,1,MATCH(COLUMNS($AC$1006:AC1006),$AC$1006:$AS$1006,0))&gt;=100000), " ",IF(INDEX($AC$2:$AS$1001,MATCH(ROWS($V$2:V856),$V$2:$V$1001,0),MATCH(COLUMNS($AC$1006:AC1006),$AC$1006:$AS$1006,0)), HYPERLINK("#",""), HYPERLINK(CONCATENATE("#metadata!", ADDRESS(INDEX($X$2:$X$1001,MATCH(ROWS($V$2:V856),$V$2:$V$1001,0),0), INDEX($AC$1004:$AS$1004,1,MATCH(COLUMNS($AC$1006:AC1006),$AC$1006:$AS$1006,0)))),"Fix")))</f>
        <v xml:space="preserve"> </v>
      </c>
      <c r="C856" s="4" t="str">
        <f ca="1">IF(OR(INDEX($W$2:$W$1001,MATCH(ROWS($V$2:V856),$V$2:$V$1001,0),1)&gt;=100000,INDEX($AC$1005:$AS$1005,1,MATCH(COLUMNS($AC$1006:AD1006),$AC$1006:$AS$1006,0))&gt;=100000), " ",IF(INDEX($AC$2:$AS$1001,MATCH(ROWS($V$2:V856),$V$2:$V$1001,0),MATCH(COLUMNS($AC$1006:AD1006),$AC$1006:$AS$1006,0)), HYPERLINK("#",""), HYPERLINK(CONCATENATE("#metadata!", ADDRESS(INDEX($X$2:$X$1001,MATCH(ROWS($V$2:V856),$V$2:$V$1001,0),0), INDEX($AC$1004:$AS$1004,1,MATCH(COLUMNS($AC$1006:AD1006),$AC$1006:$AS$1006,0)))),"Fix")))</f>
        <v xml:space="preserve"> </v>
      </c>
      <c r="D856" s="4" t="str">
        <f ca="1">IF(OR(INDEX($W$2:$W$1001,MATCH(ROWS($V$2:V856),$V$2:$V$1001,0),1)&gt;=100000,INDEX($AC$1005:$AS$1005,1,MATCH(COLUMNS($AC$1006:AE1006),$AC$1006:$AS$1006,0))&gt;=100000), " ",IF(INDEX($AC$2:$AS$1001,MATCH(ROWS($V$2:V856),$V$2:$V$1001,0),MATCH(COLUMNS($AC$1006:AE1006),$AC$1006:$AS$1006,0)), HYPERLINK("#",""), HYPERLINK(CONCATENATE("#metadata!", ADDRESS(INDEX($X$2:$X$1001,MATCH(ROWS($V$2:V856),$V$2:$V$1001,0),0), INDEX($AC$1004:$AS$1004,1,MATCH(COLUMNS($AC$1006:AE1006),$AC$1006:$AS$1006,0)))),"Fix")))</f>
        <v xml:space="preserve"> </v>
      </c>
      <c r="E856" s="4" t="str">
        <f ca="1">IF(OR(INDEX($W$2:$W$1001,MATCH(ROWS($V$2:V856),$V$2:$V$1001,0),1)&gt;=100000,INDEX($AC$1005:$AS$1005,1,MATCH(COLUMNS($AC$1006:AF1006),$AC$1006:$AS$1006,0))&gt;=100000), " ",IF(INDEX($AC$2:$AS$1001,MATCH(ROWS($V$2:V856),$V$2:$V$1001,0),MATCH(COLUMNS($AC$1006:AF1006),$AC$1006:$AS$1006,0)), HYPERLINK("#",""), HYPERLINK(CONCATENATE("#metadata!", ADDRESS(INDEX($X$2:$X$1001,MATCH(ROWS($V$2:V856),$V$2:$V$1001,0),0), INDEX($AC$1004:$AS$1004,1,MATCH(COLUMNS($AC$1006:AF1006),$AC$1006:$AS$1006,0)))),"Fix")))</f>
        <v xml:space="preserve"> </v>
      </c>
      <c r="F856" s="4" t="str">
        <f ca="1">IF(OR(INDEX($W$2:$W$1001,MATCH(ROWS($V$2:V856),$V$2:$V$1001,0),1)&gt;=100000,INDEX($AC$1005:$AS$1005,1,MATCH(COLUMNS($AC$1006:AG1006),$AC$1006:$AS$1006,0))&gt;=100000), " ",IF(INDEX($AC$2:$AS$1001,MATCH(ROWS($V$2:V856),$V$2:$V$1001,0),MATCH(COLUMNS($AC$1006:AG1006),$AC$1006:$AS$1006,0)), HYPERLINK("#",""), HYPERLINK(CONCATENATE("#metadata!", ADDRESS(INDEX($X$2:$X$1001,MATCH(ROWS($V$2:V856),$V$2:$V$1001,0),0), INDEX($AC$1004:$AS$1004,1,MATCH(COLUMNS($AC$1006:AG1006),$AC$1006:$AS$1006,0)))),"Fix")))</f>
        <v xml:space="preserve"> </v>
      </c>
      <c r="G856" s="4" t="str">
        <f ca="1">IF(OR(INDEX($W$2:$W$1001,MATCH(ROWS($V$2:V856),$V$2:$V$1001,0),1)&gt;=100000,INDEX($AC$1005:$AS$1005,1,MATCH(COLUMNS($AC$1006:AH1006),$AC$1006:$AS$1006,0))&gt;=100000), " ",IF(INDEX($AC$2:$AS$1001,MATCH(ROWS($V$2:V856),$V$2:$V$1001,0),MATCH(COLUMNS($AC$1006:AH1006),$AC$1006:$AS$1006,0)), HYPERLINK("#",""), HYPERLINK(CONCATENATE("#metadata!", ADDRESS(INDEX($X$2:$X$1001,MATCH(ROWS($V$2:V856),$V$2:$V$1001,0),0), INDEX($AC$1004:$AS$1004,1,MATCH(COLUMNS($AC$1006:AH1006),$AC$1006:$AS$1006,0)))),"Fix")))</f>
        <v xml:space="preserve"> </v>
      </c>
      <c r="H856" s="4" t="str">
        <f ca="1">IF(OR(INDEX($W$2:$W$1001,MATCH(ROWS($V$2:V856),$V$2:$V$1001,0),1)&gt;=100000,INDEX($AC$1005:$AS$1005,1,MATCH(COLUMNS($AC$1006:AI1006),$AC$1006:$AS$1006,0))&gt;=100000), " ",IF(INDEX($AC$2:$AS$1001,MATCH(ROWS($V$2:V856),$V$2:$V$1001,0),MATCH(COLUMNS($AC$1006:AI1006),$AC$1006:$AS$1006,0)), HYPERLINK("#",""), HYPERLINK(CONCATENATE("#metadata!", ADDRESS(INDEX($X$2:$X$1001,MATCH(ROWS($V$2:V856),$V$2:$V$1001,0),0), INDEX($AC$1004:$AS$1004,1,MATCH(COLUMNS($AC$1006:AI1006),$AC$1006:$AS$1006,0)))),"Fix")))</f>
        <v xml:space="preserve"> </v>
      </c>
      <c r="I856" s="4" t="str">
        <f ca="1">IF(OR(INDEX($W$2:$W$1001,MATCH(ROWS($V$2:V856),$V$2:$V$1001,0),1)&gt;=100000,INDEX($AC$1005:$AS$1005,1,MATCH(COLUMNS($AC$1006:AJ1006),$AC$1006:$AS$1006,0))&gt;=100000), " ",IF(INDEX($AC$2:$AS$1001,MATCH(ROWS($V$2:V856),$V$2:$V$1001,0),MATCH(COLUMNS($AC$1006:AJ1006),$AC$1006:$AS$1006,0)), HYPERLINK("#",""), HYPERLINK(CONCATENATE("#metadata!", ADDRESS(INDEX($X$2:$X$1001,MATCH(ROWS($V$2:V856),$V$2:$V$1001,0),0), INDEX($AC$1004:$AS$1004,1,MATCH(COLUMNS($AC$1006:AJ1006),$AC$1006:$AS$1006,0)))),"Fix")))</f>
        <v xml:space="preserve"> </v>
      </c>
      <c r="J856" s="4" t="str">
        <f ca="1">IF(OR(INDEX($W$2:$W$1001,MATCH(ROWS($V$2:V856),$V$2:$V$1001,0),1)&gt;=100000,INDEX($AC$1005:$AS$1005,1,MATCH(COLUMNS($AC$1006:AK1006),$AC$1006:$AS$1006,0))&gt;=100000), " ",IF(INDEX($AC$2:$AS$1001,MATCH(ROWS($V$2:V856),$V$2:$V$1001,0),MATCH(COLUMNS($AC$1006:AK1006),$AC$1006:$AS$1006,0)), HYPERLINK("#",""), HYPERLINK(CONCATENATE("#metadata!", ADDRESS(INDEX($X$2:$X$1001,MATCH(ROWS($V$2:V856),$V$2:$V$1001,0),0), INDEX($AC$1004:$AS$1004,1,MATCH(COLUMNS($AC$1006:AK1006),$AC$1006:$AS$1006,0)))),"Fix")))</f>
        <v xml:space="preserve"> </v>
      </c>
      <c r="K856" s="4" t="str">
        <f ca="1">IF(OR(INDEX($W$2:$W$1001,MATCH(ROWS($V$2:V856),$V$2:$V$1001,0),1)&gt;=100000,INDEX($AC$1005:$AS$1005,1,MATCH(COLUMNS($AC$1006:AL1006),$AC$1006:$AS$1006,0))&gt;=100000), " ",IF(INDEX($AC$2:$AS$1001,MATCH(ROWS($V$2:V856),$V$2:$V$1001,0),MATCH(COLUMNS($AC$1006:AL1006),$AC$1006:$AS$1006,0)), HYPERLINK("#",""), HYPERLINK(CONCATENATE("#metadata!", ADDRESS(INDEX($X$2:$X$1001,MATCH(ROWS($V$2:V856),$V$2:$V$1001,0),0), INDEX($AC$1004:$AS$1004,1,MATCH(COLUMNS($AC$1006:AL1006),$AC$1006:$AS$1006,0)))),"Fix")))</f>
        <v xml:space="preserve"> </v>
      </c>
      <c r="L856" s="4" t="str">
        <f ca="1">IF(OR(INDEX($W$2:$W$1001,MATCH(ROWS($V$2:V856),$V$2:$V$1001,0),1)&gt;=100000,INDEX($AC$1005:$AS$1005,1,MATCH(COLUMNS($AC$1006:AM1006),$AC$1006:$AS$1006,0))&gt;=100000), " ",IF(INDEX($AC$2:$AS$1001,MATCH(ROWS($V$2:V856),$V$2:$V$1001,0),MATCH(COLUMNS($AC$1006:AM1006),$AC$1006:$AS$1006,0)), HYPERLINK("#",""), HYPERLINK(CONCATENATE("#metadata!", ADDRESS(INDEX($X$2:$X$1001,MATCH(ROWS($V$2:V856),$V$2:$V$1001,0),0), INDEX($AC$1004:$AS$1004,1,MATCH(COLUMNS($AC$1006:AM1006),$AC$1006:$AS$1006,0)))),"Fix")))</f>
        <v xml:space="preserve"> </v>
      </c>
      <c r="M856" s="4" t="str">
        <f ca="1">IF(OR(INDEX($W$2:$W$1001,MATCH(ROWS($V$2:V856),$V$2:$V$1001,0),1)&gt;=100000,INDEX($AC$1005:$AS$1005,1,MATCH(COLUMNS($AC$1006:AN1006),$AC$1006:$AS$1006,0))&gt;=100000), " ",IF(INDEX($AC$2:$AS$1001,MATCH(ROWS($V$2:V856),$V$2:$V$1001,0),MATCH(COLUMNS($AC$1006:AN1006),$AC$1006:$AS$1006,0)), HYPERLINK("#",""), HYPERLINK(CONCATENATE("#metadata!", ADDRESS(INDEX($X$2:$X$1001,MATCH(ROWS($V$2:V856),$V$2:$V$1001,0),0), INDEX($AC$1004:$AS$1004,1,MATCH(COLUMNS($AC$1006:AN1006),$AC$1006:$AS$1006,0)))),"Fix")))</f>
        <v xml:space="preserve"> </v>
      </c>
      <c r="N856" s="4" t="str">
        <f ca="1">IF(OR(INDEX($W$2:$W$1001,MATCH(ROWS($V$2:V856),$V$2:$V$1001,0),1)&gt;=100000,INDEX($AC$1005:$AS$1005,1,MATCH(COLUMNS($AC$1006:AO1006),$AC$1006:$AS$1006,0))&gt;=100000), " ",IF(INDEX($AC$2:$AS$1001,MATCH(ROWS($V$2:V856),$V$2:$V$1001,0),MATCH(COLUMNS($AC$1006:AO1006),$AC$1006:$AS$1006,0)), HYPERLINK("#",""), HYPERLINK(CONCATENATE("#metadata!", ADDRESS(INDEX($X$2:$X$1001,MATCH(ROWS($V$2:V856),$V$2:$V$1001,0),0), INDEX($AC$1004:$AS$1004,1,MATCH(COLUMNS($AC$1006:AO1006),$AC$1006:$AS$1006,0)))),"Fix")))</f>
        <v xml:space="preserve"> </v>
      </c>
      <c r="O856" s="4" t="str">
        <f ca="1">IF(OR(INDEX($W$2:$W$1001,MATCH(ROWS($V$2:V856),$V$2:$V$1001,0),1)&gt;=100000,INDEX($AC$1005:$AS$1005,1,MATCH(COLUMNS($AC$1006:AP1006),$AC$1006:$AS$1006,0))&gt;=100000), " ",IF(INDEX($AC$2:$AS$1001,MATCH(ROWS($V$2:V856),$V$2:$V$1001,0),MATCH(COLUMNS($AC$1006:AP1006),$AC$1006:$AS$1006,0)), HYPERLINK("#",""), HYPERLINK(CONCATENATE("#metadata!", ADDRESS(INDEX($X$2:$X$1001,MATCH(ROWS($V$2:V856),$V$2:$V$1001,0),0), INDEX($AC$1004:$AS$1004,1,MATCH(COLUMNS($AC$1006:AP1006),$AC$1006:$AS$1006,0)))),"Fix")))</f>
        <v xml:space="preserve"> </v>
      </c>
      <c r="P856" s="4" t="str">
        <f ca="1">IF(OR(INDEX($W$2:$W$1001,MATCH(ROWS($V$2:V856),$V$2:$V$1001,0),1)&gt;=100000,INDEX($AC$1005:$AS$1005,1,MATCH(COLUMNS($AC$1006:AQ1006),$AC$1006:$AS$1006,0))&gt;=100000), " ",IF(INDEX($AC$2:$AS$1001,MATCH(ROWS($V$2:V856),$V$2:$V$1001,0),MATCH(COLUMNS($AC$1006:AQ1006),$AC$1006:$AS$1006,0)), HYPERLINK("#",""), HYPERLINK(CONCATENATE("#metadata!", ADDRESS(INDEX($X$2:$X$1001,MATCH(ROWS($V$2:V856),$V$2:$V$1001,0),0), INDEX($AC$1004:$AS$1004,1,MATCH(COLUMNS($AC$1006:AQ1006),$AC$1006:$AS$1006,0)))),"Fix")))</f>
        <v xml:space="preserve"> </v>
      </c>
      <c r="Q856" s="4" t="str">
        <f ca="1">IF(OR(INDEX($W$2:$W$1001,MATCH(ROWS($V$2:V856),$V$2:$V$1001,0),1)&gt;=100000,INDEX($AC$1005:$AS$1005,1,MATCH(COLUMNS($AC$1006:AR1006),$AC$1006:$AS$1006,0))&gt;=100000), " ",IF(INDEX($AC$2:$AS$1001,MATCH(ROWS($V$2:V856),$V$2:$V$1001,0),MATCH(COLUMNS($AC$1006:AR1006),$AC$1006:$AS$1006,0)), HYPERLINK("#",""), HYPERLINK(CONCATENATE("#metadata!", ADDRESS(INDEX($X$2:$X$1001,MATCH(ROWS($V$2:V856),$V$2:$V$1001,0),0), INDEX($AC$1004:$AS$1004,1,MATCH(COLUMNS($AC$1006:AR1006),$AC$1006:$AS$1006,0)))),"Fix")))</f>
        <v xml:space="preserve"> </v>
      </c>
      <c r="R856" s="4" t="str">
        <f ca="1">IF(OR(INDEX($W$2:$W$1001,MATCH(ROWS($V$2:V856),$V$2:$V$1001,0),1)&gt;=100000,INDEX($AC$1005:$AS$1005,1,MATCH(COLUMNS($AC$1006:AS1006),$AC$1006:$AS$1006,0))&gt;=100000), " ",IF(INDEX($AC$2:$AS$1001,MATCH(ROWS($V$2:V856),$V$2:$V$1001,0),MATCH(COLUMNS($AC$1006:AS1006),$AC$1006:$AS$1006,0)), HYPERLINK("#",""), HYPERLINK(CONCATENATE("#metadata!", ADDRESS(INDEX($X$2:$X$1001,MATCH(ROWS($V$2:V856),$V$2:$V$1001,0),0), INDEX($AC$1004:$AS$1004,1,MATCH(COLUMNS($AC$1006:AS1006),$AC$1006:$AS$1006,0)))),"Fix")))</f>
        <v xml:space="preserve"> </v>
      </c>
      <c r="V856">
        <v>855</v>
      </c>
      <c r="W856">
        <v>100856</v>
      </c>
      <c r="X856">
        <v>856</v>
      </c>
      <c r="Y856" t="b">
        <f t="shared" si="13"/>
        <v>1</v>
      </c>
      <c r="Z856" t="b">
        <f>COUNTBLANK(metadata!B856:R856)=COLUMNS(metadata!B856:R856)</f>
        <v>1</v>
      </c>
      <c r="AA856" t="str">
        <v/>
      </c>
      <c r="AC856" t="b">
        <f ca="1"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AD856" t="b">
        <f>IF(metadata!C856="",FALSE,ISNUMBER(VALUE(metadata!C856)))</f>
        <v>0</v>
      </c>
      <c r="AE856" t="b">
        <f>AND(IF(metadata!D856="",FALSE,TRUE),EXACT(metadata!D856,"years"))</f>
        <v>0</v>
      </c>
      <c r="AF856" t="b">
        <f>OR(AND(IF(metadata!E856="",FALSE,TRUE),OR(EXACT(metadata!E856,"not applicable"),EXACT(metadata!E856,"missing: not collected"),EXACT(metadata!E856,"missing: not provided"),EXACT(metadata!E856,"missing: restricted access"))),AND(IF(metadata!E856="",FALSE,ISNUMBER(VALUE(metadata!E856))),metadata!E856&gt;0))</f>
        <v>0</v>
      </c>
      <c r="AG856" t="b">
        <f>AND(IF(metadata!F856="",FALSE,TRUE),EXACT(metadata!F856,"Not applicable"))</f>
        <v>0</v>
      </c>
      <c r="AH856" t="b">
        <f>AND(IF(metadata!G856="",FALSE,TRUE),EXACT(metadata!G856,"urban biome"))</f>
        <v>0</v>
      </c>
      <c r="AI856" t="b">
        <f>AND(IF(metadata!H856="",FALSE,TRUE),EXACT(metadata!H856,"human-associated habitat"))</f>
        <v>0</v>
      </c>
      <c r="AJ856" t="b">
        <f>AND(IF(metadata!I856="",FALSE,TRUE),OR(EXACT(metadata!I856,"human-associated"),EXACT(metadata!I856,"human-skin"),EXACT(metadata!I856,"human-oral"),EXACT(metadata!I856,"human-gut"),EXACT(metadata!I856,"human-vaginal")))</f>
        <v>0</v>
      </c>
      <c r="AK856" t="b">
        <f>IF(metadata!J856="",FALSE,ISNUMBER(VALUE(metadata!J856)))</f>
        <v>0</v>
      </c>
      <c r="AL856" t="b">
        <f>AND(IF(metadata!K856="",FALSE,TRUE),EXACT(metadata!K856,"cm"))</f>
        <v>0</v>
      </c>
      <c r="AM856" t="b">
        <f>AND(IF(metadata!L856="",FALSE,TRUE),EXACT(metadata!L856,"human"))</f>
        <v>0</v>
      </c>
      <c r="AN856" t="b">
        <f>AND(IF(metadata!M856="",FALSE,TRUE),EXACT(metadata!M856,"Homo sapiens"))</f>
        <v>0</v>
      </c>
      <c r="AO856" t="b">
        <f>AND(IF(metadata!N856="",FALSE,TRUE),EXACT(metadata!N856,"9606"))</f>
        <v>0</v>
      </c>
      <c r="AP856" t="b">
        <f>IF(metadata!O856="",FALSE,TRUE)</f>
        <v>0</v>
      </c>
      <c r="AQ856" t="b">
        <f>IF(metadata!P856="",FALSE,TRUE)</f>
        <v>0</v>
      </c>
      <c r="AR856" t="b">
        <f>IF(metadata!Q856="",FALSE,ISNUMBER(VALUE(metadata!Q856)))</f>
        <v>0</v>
      </c>
      <c r="AS856" t="b">
        <f>AND(IF(metadata!R856="",FALSE,TRUE),EXACT(metadata!R856,"kg"))</f>
        <v>0</v>
      </c>
    </row>
    <row r="857" spans="1:45" x14ac:dyDescent="0.2">
      <c r="A857" s="5" t="str">
        <f ca="1">IF(B857=" "," ",HYPERLINK(CONCATENATE("#metadata!",ADDRESS(INDEX($X$2:$X$1001,MATCH(ROWS($V$2:V857),$V$2:$V$1001,0),0),1)),INDEX($AA$2:$AA$1001,MATCH(ROWS($V$2:V857),$V$2:$V$1001,0),0)))</f>
        <v xml:space="preserve"> </v>
      </c>
      <c r="B857" s="4" t="str">
        <f ca="1">IF(OR(INDEX($W$2:$W$1001,MATCH(ROWS($V$2:V857),$V$2:$V$1001,0),1)&gt;=100000,INDEX($AC$1005:$AS$1005,1,MATCH(COLUMNS($AC$1006:AC1006),$AC$1006:$AS$1006,0))&gt;=100000), " ",IF(INDEX($AC$2:$AS$1001,MATCH(ROWS($V$2:V857),$V$2:$V$1001,0),MATCH(COLUMNS($AC$1006:AC1006),$AC$1006:$AS$1006,0)), HYPERLINK("#",""), HYPERLINK(CONCATENATE("#metadata!", ADDRESS(INDEX($X$2:$X$1001,MATCH(ROWS($V$2:V857),$V$2:$V$1001,0),0), INDEX($AC$1004:$AS$1004,1,MATCH(COLUMNS($AC$1006:AC1006),$AC$1006:$AS$1006,0)))),"Fix")))</f>
        <v xml:space="preserve"> </v>
      </c>
      <c r="C857" s="4" t="str">
        <f ca="1">IF(OR(INDEX($W$2:$W$1001,MATCH(ROWS($V$2:V857),$V$2:$V$1001,0),1)&gt;=100000,INDEX($AC$1005:$AS$1005,1,MATCH(COLUMNS($AC$1006:AD1006),$AC$1006:$AS$1006,0))&gt;=100000), " ",IF(INDEX($AC$2:$AS$1001,MATCH(ROWS($V$2:V857),$V$2:$V$1001,0),MATCH(COLUMNS($AC$1006:AD1006),$AC$1006:$AS$1006,0)), HYPERLINK("#",""), HYPERLINK(CONCATENATE("#metadata!", ADDRESS(INDEX($X$2:$X$1001,MATCH(ROWS($V$2:V857),$V$2:$V$1001,0),0), INDEX($AC$1004:$AS$1004,1,MATCH(COLUMNS($AC$1006:AD1006),$AC$1006:$AS$1006,0)))),"Fix")))</f>
        <v xml:space="preserve"> </v>
      </c>
      <c r="D857" s="4" t="str">
        <f ca="1">IF(OR(INDEX($W$2:$W$1001,MATCH(ROWS($V$2:V857),$V$2:$V$1001,0),1)&gt;=100000,INDEX($AC$1005:$AS$1005,1,MATCH(COLUMNS($AC$1006:AE1006),$AC$1006:$AS$1006,0))&gt;=100000), " ",IF(INDEX($AC$2:$AS$1001,MATCH(ROWS($V$2:V857),$V$2:$V$1001,0),MATCH(COLUMNS($AC$1006:AE1006),$AC$1006:$AS$1006,0)), HYPERLINK("#",""), HYPERLINK(CONCATENATE("#metadata!", ADDRESS(INDEX($X$2:$X$1001,MATCH(ROWS($V$2:V857),$V$2:$V$1001,0),0), INDEX($AC$1004:$AS$1004,1,MATCH(COLUMNS($AC$1006:AE1006),$AC$1006:$AS$1006,0)))),"Fix")))</f>
        <v xml:space="preserve"> </v>
      </c>
      <c r="E857" s="4" t="str">
        <f ca="1">IF(OR(INDEX($W$2:$W$1001,MATCH(ROWS($V$2:V857),$V$2:$V$1001,0),1)&gt;=100000,INDEX($AC$1005:$AS$1005,1,MATCH(COLUMNS($AC$1006:AF1006),$AC$1006:$AS$1006,0))&gt;=100000), " ",IF(INDEX($AC$2:$AS$1001,MATCH(ROWS($V$2:V857),$V$2:$V$1001,0),MATCH(COLUMNS($AC$1006:AF1006),$AC$1006:$AS$1006,0)), HYPERLINK("#",""), HYPERLINK(CONCATENATE("#metadata!", ADDRESS(INDEX($X$2:$X$1001,MATCH(ROWS($V$2:V857),$V$2:$V$1001,0),0), INDEX($AC$1004:$AS$1004,1,MATCH(COLUMNS($AC$1006:AF1006),$AC$1006:$AS$1006,0)))),"Fix")))</f>
        <v xml:space="preserve"> </v>
      </c>
      <c r="F857" s="4" t="str">
        <f ca="1">IF(OR(INDEX($W$2:$W$1001,MATCH(ROWS($V$2:V857),$V$2:$V$1001,0),1)&gt;=100000,INDEX($AC$1005:$AS$1005,1,MATCH(COLUMNS($AC$1006:AG1006),$AC$1006:$AS$1006,0))&gt;=100000), " ",IF(INDEX($AC$2:$AS$1001,MATCH(ROWS($V$2:V857),$V$2:$V$1001,0),MATCH(COLUMNS($AC$1006:AG1006),$AC$1006:$AS$1006,0)), HYPERLINK("#",""), HYPERLINK(CONCATENATE("#metadata!", ADDRESS(INDEX($X$2:$X$1001,MATCH(ROWS($V$2:V857),$V$2:$V$1001,0),0), INDEX($AC$1004:$AS$1004,1,MATCH(COLUMNS($AC$1006:AG1006),$AC$1006:$AS$1006,0)))),"Fix")))</f>
        <v xml:space="preserve"> </v>
      </c>
      <c r="G857" s="4" t="str">
        <f ca="1">IF(OR(INDEX($W$2:$W$1001,MATCH(ROWS($V$2:V857),$V$2:$V$1001,0),1)&gt;=100000,INDEX($AC$1005:$AS$1005,1,MATCH(COLUMNS($AC$1006:AH1006),$AC$1006:$AS$1006,0))&gt;=100000), " ",IF(INDEX($AC$2:$AS$1001,MATCH(ROWS($V$2:V857),$V$2:$V$1001,0),MATCH(COLUMNS($AC$1006:AH1006),$AC$1006:$AS$1006,0)), HYPERLINK("#",""), HYPERLINK(CONCATENATE("#metadata!", ADDRESS(INDEX($X$2:$X$1001,MATCH(ROWS($V$2:V857),$V$2:$V$1001,0),0), INDEX($AC$1004:$AS$1004,1,MATCH(COLUMNS($AC$1006:AH1006),$AC$1006:$AS$1006,0)))),"Fix")))</f>
        <v xml:space="preserve"> </v>
      </c>
      <c r="H857" s="4" t="str">
        <f ca="1">IF(OR(INDEX($W$2:$W$1001,MATCH(ROWS($V$2:V857),$V$2:$V$1001,0),1)&gt;=100000,INDEX($AC$1005:$AS$1005,1,MATCH(COLUMNS($AC$1006:AI1006),$AC$1006:$AS$1006,0))&gt;=100000), " ",IF(INDEX($AC$2:$AS$1001,MATCH(ROWS($V$2:V857),$V$2:$V$1001,0),MATCH(COLUMNS($AC$1006:AI1006),$AC$1006:$AS$1006,0)), HYPERLINK("#",""), HYPERLINK(CONCATENATE("#metadata!", ADDRESS(INDEX($X$2:$X$1001,MATCH(ROWS($V$2:V857),$V$2:$V$1001,0),0), INDEX($AC$1004:$AS$1004,1,MATCH(COLUMNS($AC$1006:AI1006),$AC$1006:$AS$1006,0)))),"Fix")))</f>
        <v xml:space="preserve"> </v>
      </c>
      <c r="I857" s="4" t="str">
        <f ca="1">IF(OR(INDEX($W$2:$W$1001,MATCH(ROWS($V$2:V857),$V$2:$V$1001,0),1)&gt;=100000,INDEX($AC$1005:$AS$1005,1,MATCH(COLUMNS($AC$1006:AJ1006),$AC$1006:$AS$1006,0))&gt;=100000), " ",IF(INDEX($AC$2:$AS$1001,MATCH(ROWS($V$2:V857),$V$2:$V$1001,0),MATCH(COLUMNS($AC$1006:AJ1006),$AC$1006:$AS$1006,0)), HYPERLINK("#",""), HYPERLINK(CONCATENATE("#metadata!", ADDRESS(INDEX($X$2:$X$1001,MATCH(ROWS($V$2:V857),$V$2:$V$1001,0),0), INDEX($AC$1004:$AS$1004,1,MATCH(COLUMNS($AC$1006:AJ1006),$AC$1006:$AS$1006,0)))),"Fix")))</f>
        <v xml:space="preserve"> </v>
      </c>
      <c r="J857" s="4" t="str">
        <f ca="1">IF(OR(INDEX($W$2:$W$1001,MATCH(ROWS($V$2:V857),$V$2:$V$1001,0),1)&gt;=100000,INDEX($AC$1005:$AS$1005,1,MATCH(COLUMNS($AC$1006:AK1006),$AC$1006:$AS$1006,0))&gt;=100000), " ",IF(INDEX($AC$2:$AS$1001,MATCH(ROWS($V$2:V857),$V$2:$V$1001,0),MATCH(COLUMNS($AC$1006:AK1006),$AC$1006:$AS$1006,0)), HYPERLINK("#",""), HYPERLINK(CONCATENATE("#metadata!", ADDRESS(INDEX($X$2:$X$1001,MATCH(ROWS($V$2:V857),$V$2:$V$1001,0),0), INDEX($AC$1004:$AS$1004,1,MATCH(COLUMNS($AC$1006:AK1006),$AC$1006:$AS$1006,0)))),"Fix")))</f>
        <v xml:space="preserve"> </v>
      </c>
      <c r="K857" s="4" t="str">
        <f ca="1">IF(OR(INDEX($W$2:$W$1001,MATCH(ROWS($V$2:V857),$V$2:$V$1001,0),1)&gt;=100000,INDEX($AC$1005:$AS$1005,1,MATCH(COLUMNS($AC$1006:AL1006),$AC$1006:$AS$1006,0))&gt;=100000), " ",IF(INDEX($AC$2:$AS$1001,MATCH(ROWS($V$2:V857),$V$2:$V$1001,0),MATCH(COLUMNS($AC$1006:AL1006),$AC$1006:$AS$1006,0)), HYPERLINK("#",""), HYPERLINK(CONCATENATE("#metadata!", ADDRESS(INDEX($X$2:$X$1001,MATCH(ROWS($V$2:V857),$V$2:$V$1001,0),0), INDEX($AC$1004:$AS$1004,1,MATCH(COLUMNS($AC$1006:AL1006),$AC$1006:$AS$1006,0)))),"Fix")))</f>
        <v xml:space="preserve"> </v>
      </c>
      <c r="L857" s="4" t="str">
        <f ca="1">IF(OR(INDEX($W$2:$W$1001,MATCH(ROWS($V$2:V857),$V$2:$V$1001,0),1)&gt;=100000,INDEX($AC$1005:$AS$1005,1,MATCH(COLUMNS($AC$1006:AM1006),$AC$1006:$AS$1006,0))&gt;=100000), " ",IF(INDEX($AC$2:$AS$1001,MATCH(ROWS($V$2:V857),$V$2:$V$1001,0),MATCH(COLUMNS($AC$1006:AM1006),$AC$1006:$AS$1006,0)), HYPERLINK("#",""), HYPERLINK(CONCATENATE("#metadata!", ADDRESS(INDEX($X$2:$X$1001,MATCH(ROWS($V$2:V857),$V$2:$V$1001,0),0), INDEX($AC$1004:$AS$1004,1,MATCH(COLUMNS($AC$1006:AM1006),$AC$1006:$AS$1006,0)))),"Fix")))</f>
        <v xml:space="preserve"> </v>
      </c>
      <c r="M857" s="4" t="str">
        <f ca="1">IF(OR(INDEX($W$2:$W$1001,MATCH(ROWS($V$2:V857),$V$2:$V$1001,0),1)&gt;=100000,INDEX($AC$1005:$AS$1005,1,MATCH(COLUMNS($AC$1006:AN1006),$AC$1006:$AS$1006,0))&gt;=100000), " ",IF(INDEX($AC$2:$AS$1001,MATCH(ROWS($V$2:V857),$V$2:$V$1001,0),MATCH(COLUMNS($AC$1006:AN1006),$AC$1006:$AS$1006,0)), HYPERLINK("#",""), HYPERLINK(CONCATENATE("#metadata!", ADDRESS(INDEX($X$2:$X$1001,MATCH(ROWS($V$2:V857),$V$2:$V$1001,0),0), INDEX($AC$1004:$AS$1004,1,MATCH(COLUMNS($AC$1006:AN1006),$AC$1006:$AS$1006,0)))),"Fix")))</f>
        <v xml:space="preserve"> </v>
      </c>
      <c r="N857" s="4" t="str">
        <f ca="1">IF(OR(INDEX($W$2:$W$1001,MATCH(ROWS($V$2:V857),$V$2:$V$1001,0),1)&gt;=100000,INDEX($AC$1005:$AS$1005,1,MATCH(COLUMNS($AC$1006:AO1006),$AC$1006:$AS$1006,0))&gt;=100000), " ",IF(INDEX($AC$2:$AS$1001,MATCH(ROWS($V$2:V857),$V$2:$V$1001,0),MATCH(COLUMNS($AC$1006:AO1006),$AC$1006:$AS$1006,0)), HYPERLINK("#",""), HYPERLINK(CONCATENATE("#metadata!", ADDRESS(INDEX($X$2:$X$1001,MATCH(ROWS($V$2:V857),$V$2:$V$1001,0),0), INDEX($AC$1004:$AS$1004,1,MATCH(COLUMNS($AC$1006:AO1006),$AC$1006:$AS$1006,0)))),"Fix")))</f>
        <v xml:space="preserve"> </v>
      </c>
      <c r="O857" s="4" t="str">
        <f ca="1">IF(OR(INDEX($W$2:$W$1001,MATCH(ROWS($V$2:V857),$V$2:$V$1001,0),1)&gt;=100000,INDEX($AC$1005:$AS$1005,1,MATCH(COLUMNS($AC$1006:AP1006),$AC$1006:$AS$1006,0))&gt;=100000), " ",IF(INDEX($AC$2:$AS$1001,MATCH(ROWS($V$2:V857),$V$2:$V$1001,0),MATCH(COLUMNS($AC$1006:AP1006),$AC$1006:$AS$1006,0)), HYPERLINK("#",""), HYPERLINK(CONCATENATE("#metadata!", ADDRESS(INDEX($X$2:$X$1001,MATCH(ROWS($V$2:V857),$V$2:$V$1001,0),0), INDEX($AC$1004:$AS$1004,1,MATCH(COLUMNS($AC$1006:AP1006),$AC$1006:$AS$1006,0)))),"Fix")))</f>
        <v xml:space="preserve"> </v>
      </c>
      <c r="P857" s="4" t="str">
        <f ca="1">IF(OR(INDEX($W$2:$W$1001,MATCH(ROWS($V$2:V857),$V$2:$V$1001,0),1)&gt;=100000,INDEX($AC$1005:$AS$1005,1,MATCH(COLUMNS($AC$1006:AQ1006),$AC$1006:$AS$1006,0))&gt;=100000), " ",IF(INDEX($AC$2:$AS$1001,MATCH(ROWS($V$2:V857),$V$2:$V$1001,0),MATCH(COLUMNS($AC$1006:AQ1006),$AC$1006:$AS$1006,0)), HYPERLINK("#",""), HYPERLINK(CONCATENATE("#metadata!", ADDRESS(INDEX($X$2:$X$1001,MATCH(ROWS($V$2:V857),$V$2:$V$1001,0),0), INDEX($AC$1004:$AS$1004,1,MATCH(COLUMNS($AC$1006:AQ1006),$AC$1006:$AS$1006,0)))),"Fix")))</f>
        <v xml:space="preserve"> </v>
      </c>
      <c r="Q857" s="4" t="str">
        <f ca="1">IF(OR(INDEX($W$2:$W$1001,MATCH(ROWS($V$2:V857),$V$2:$V$1001,0),1)&gt;=100000,INDEX($AC$1005:$AS$1005,1,MATCH(COLUMNS($AC$1006:AR1006),$AC$1006:$AS$1006,0))&gt;=100000), " ",IF(INDEX($AC$2:$AS$1001,MATCH(ROWS($V$2:V857),$V$2:$V$1001,0),MATCH(COLUMNS($AC$1006:AR1006),$AC$1006:$AS$1006,0)), HYPERLINK("#",""), HYPERLINK(CONCATENATE("#metadata!", ADDRESS(INDEX($X$2:$X$1001,MATCH(ROWS($V$2:V857),$V$2:$V$1001,0),0), INDEX($AC$1004:$AS$1004,1,MATCH(COLUMNS($AC$1006:AR1006),$AC$1006:$AS$1006,0)))),"Fix")))</f>
        <v xml:space="preserve"> </v>
      </c>
      <c r="R857" s="4" t="str">
        <f ca="1">IF(OR(INDEX($W$2:$W$1001,MATCH(ROWS($V$2:V857),$V$2:$V$1001,0),1)&gt;=100000,INDEX($AC$1005:$AS$1005,1,MATCH(COLUMNS($AC$1006:AS1006),$AC$1006:$AS$1006,0))&gt;=100000), " ",IF(INDEX($AC$2:$AS$1001,MATCH(ROWS($V$2:V857),$V$2:$V$1001,0),MATCH(COLUMNS($AC$1006:AS1006),$AC$1006:$AS$1006,0)), HYPERLINK("#",""), HYPERLINK(CONCATENATE("#metadata!", ADDRESS(INDEX($X$2:$X$1001,MATCH(ROWS($V$2:V857),$V$2:$V$1001,0),0), INDEX($AC$1004:$AS$1004,1,MATCH(COLUMNS($AC$1006:AS1006),$AC$1006:$AS$1006,0)))),"Fix")))</f>
        <v xml:space="preserve"> </v>
      </c>
      <c r="V857">
        <v>856</v>
      </c>
      <c r="W857">
        <v>100857</v>
      </c>
      <c r="X857">
        <v>857</v>
      </c>
      <c r="Y857" t="b">
        <f t="shared" si="13"/>
        <v>1</v>
      </c>
      <c r="Z857" t="b">
        <f>COUNTBLANK(metadata!B857:R857)=COLUMNS(metadata!B857:R857)</f>
        <v>1</v>
      </c>
      <c r="AA857" t="str">
        <v/>
      </c>
      <c r="AC857" t="b">
        <f ca="1"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AD857" t="b">
        <f>IF(metadata!C857="",FALSE,ISNUMBER(VALUE(metadata!C857)))</f>
        <v>0</v>
      </c>
      <c r="AE857" t="b">
        <f>AND(IF(metadata!D857="",FALSE,TRUE),EXACT(metadata!D857,"years"))</f>
        <v>0</v>
      </c>
      <c r="AF857" t="b">
        <f>OR(AND(IF(metadata!E857="",FALSE,TRUE),OR(EXACT(metadata!E857,"not applicable"),EXACT(metadata!E857,"missing: not collected"),EXACT(metadata!E857,"missing: not provided"),EXACT(metadata!E857,"missing: restricted access"))),AND(IF(metadata!E857="",FALSE,ISNUMBER(VALUE(metadata!E857))),metadata!E857&gt;0))</f>
        <v>0</v>
      </c>
      <c r="AG857" t="b">
        <f>AND(IF(metadata!F857="",FALSE,TRUE),EXACT(metadata!F857,"Not applicable"))</f>
        <v>0</v>
      </c>
      <c r="AH857" t="b">
        <f>AND(IF(metadata!G857="",FALSE,TRUE),EXACT(metadata!G857,"urban biome"))</f>
        <v>0</v>
      </c>
      <c r="AI857" t="b">
        <f>AND(IF(metadata!H857="",FALSE,TRUE),EXACT(metadata!H857,"human-associated habitat"))</f>
        <v>0</v>
      </c>
      <c r="AJ857" t="b">
        <f>AND(IF(metadata!I857="",FALSE,TRUE),OR(EXACT(metadata!I857,"human-associated"),EXACT(metadata!I857,"human-skin"),EXACT(metadata!I857,"human-oral"),EXACT(metadata!I857,"human-gut"),EXACT(metadata!I857,"human-vaginal")))</f>
        <v>0</v>
      </c>
      <c r="AK857" t="b">
        <f>IF(metadata!J857="",FALSE,ISNUMBER(VALUE(metadata!J857)))</f>
        <v>0</v>
      </c>
      <c r="AL857" t="b">
        <f>AND(IF(metadata!K857="",FALSE,TRUE),EXACT(metadata!K857,"cm"))</f>
        <v>0</v>
      </c>
      <c r="AM857" t="b">
        <f>AND(IF(metadata!L857="",FALSE,TRUE),EXACT(metadata!L857,"human"))</f>
        <v>0</v>
      </c>
      <c r="AN857" t="b">
        <f>AND(IF(metadata!M857="",FALSE,TRUE),EXACT(metadata!M857,"Homo sapiens"))</f>
        <v>0</v>
      </c>
      <c r="AO857" t="b">
        <f>AND(IF(metadata!N857="",FALSE,TRUE),EXACT(metadata!N857,"9606"))</f>
        <v>0</v>
      </c>
      <c r="AP857" t="b">
        <f>IF(metadata!O857="",FALSE,TRUE)</f>
        <v>0</v>
      </c>
      <c r="AQ857" t="b">
        <f>IF(metadata!P857="",FALSE,TRUE)</f>
        <v>0</v>
      </c>
      <c r="AR857" t="b">
        <f>IF(metadata!Q857="",FALSE,ISNUMBER(VALUE(metadata!Q857)))</f>
        <v>0</v>
      </c>
      <c r="AS857" t="b">
        <f>AND(IF(metadata!R857="",FALSE,TRUE),EXACT(metadata!R857,"kg"))</f>
        <v>0</v>
      </c>
    </row>
    <row r="858" spans="1:45" x14ac:dyDescent="0.2">
      <c r="A858" s="5" t="str">
        <f ca="1">IF(B858=" "," ",HYPERLINK(CONCATENATE("#metadata!",ADDRESS(INDEX($X$2:$X$1001,MATCH(ROWS($V$2:V858),$V$2:$V$1001,0),0),1)),INDEX($AA$2:$AA$1001,MATCH(ROWS($V$2:V858),$V$2:$V$1001,0),0)))</f>
        <v xml:space="preserve"> </v>
      </c>
      <c r="B858" s="4" t="str">
        <f ca="1">IF(OR(INDEX($W$2:$W$1001,MATCH(ROWS($V$2:V858),$V$2:$V$1001,0),1)&gt;=100000,INDEX($AC$1005:$AS$1005,1,MATCH(COLUMNS($AC$1006:AC1006),$AC$1006:$AS$1006,0))&gt;=100000), " ",IF(INDEX($AC$2:$AS$1001,MATCH(ROWS($V$2:V858),$V$2:$V$1001,0),MATCH(COLUMNS($AC$1006:AC1006),$AC$1006:$AS$1006,0)), HYPERLINK("#",""), HYPERLINK(CONCATENATE("#metadata!", ADDRESS(INDEX($X$2:$X$1001,MATCH(ROWS($V$2:V858),$V$2:$V$1001,0),0), INDEX($AC$1004:$AS$1004,1,MATCH(COLUMNS($AC$1006:AC1006),$AC$1006:$AS$1006,0)))),"Fix")))</f>
        <v xml:space="preserve"> </v>
      </c>
      <c r="C858" s="4" t="str">
        <f ca="1">IF(OR(INDEX($W$2:$W$1001,MATCH(ROWS($V$2:V858),$V$2:$V$1001,0),1)&gt;=100000,INDEX($AC$1005:$AS$1005,1,MATCH(COLUMNS($AC$1006:AD1006),$AC$1006:$AS$1006,0))&gt;=100000), " ",IF(INDEX($AC$2:$AS$1001,MATCH(ROWS($V$2:V858),$V$2:$V$1001,0),MATCH(COLUMNS($AC$1006:AD1006),$AC$1006:$AS$1006,0)), HYPERLINK("#",""), HYPERLINK(CONCATENATE("#metadata!", ADDRESS(INDEX($X$2:$X$1001,MATCH(ROWS($V$2:V858),$V$2:$V$1001,0),0), INDEX($AC$1004:$AS$1004,1,MATCH(COLUMNS($AC$1006:AD1006),$AC$1006:$AS$1006,0)))),"Fix")))</f>
        <v xml:space="preserve"> </v>
      </c>
      <c r="D858" s="4" t="str">
        <f ca="1">IF(OR(INDEX($W$2:$W$1001,MATCH(ROWS($V$2:V858),$V$2:$V$1001,0),1)&gt;=100000,INDEX($AC$1005:$AS$1005,1,MATCH(COLUMNS($AC$1006:AE1006),$AC$1006:$AS$1006,0))&gt;=100000), " ",IF(INDEX($AC$2:$AS$1001,MATCH(ROWS($V$2:V858),$V$2:$V$1001,0),MATCH(COLUMNS($AC$1006:AE1006),$AC$1006:$AS$1006,0)), HYPERLINK("#",""), HYPERLINK(CONCATENATE("#metadata!", ADDRESS(INDEX($X$2:$X$1001,MATCH(ROWS($V$2:V858),$V$2:$V$1001,0),0), INDEX($AC$1004:$AS$1004,1,MATCH(COLUMNS($AC$1006:AE1006),$AC$1006:$AS$1006,0)))),"Fix")))</f>
        <v xml:space="preserve"> </v>
      </c>
      <c r="E858" s="4" t="str">
        <f ca="1">IF(OR(INDEX($W$2:$W$1001,MATCH(ROWS($V$2:V858),$V$2:$V$1001,0),1)&gt;=100000,INDEX($AC$1005:$AS$1005,1,MATCH(COLUMNS($AC$1006:AF1006),$AC$1006:$AS$1006,0))&gt;=100000), " ",IF(INDEX($AC$2:$AS$1001,MATCH(ROWS($V$2:V858),$V$2:$V$1001,0),MATCH(COLUMNS($AC$1006:AF1006),$AC$1006:$AS$1006,0)), HYPERLINK("#",""), HYPERLINK(CONCATENATE("#metadata!", ADDRESS(INDEX($X$2:$X$1001,MATCH(ROWS($V$2:V858),$V$2:$V$1001,0),0), INDEX($AC$1004:$AS$1004,1,MATCH(COLUMNS($AC$1006:AF1006),$AC$1006:$AS$1006,0)))),"Fix")))</f>
        <v xml:space="preserve"> </v>
      </c>
      <c r="F858" s="4" t="str">
        <f ca="1">IF(OR(INDEX($W$2:$W$1001,MATCH(ROWS($V$2:V858),$V$2:$V$1001,0),1)&gt;=100000,INDEX($AC$1005:$AS$1005,1,MATCH(COLUMNS($AC$1006:AG1006),$AC$1006:$AS$1006,0))&gt;=100000), " ",IF(INDEX($AC$2:$AS$1001,MATCH(ROWS($V$2:V858),$V$2:$V$1001,0),MATCH(COLUMNS($AC$1006:AG1006),$AC$1006:$AS$1006,0)), HYPERLINK("#",""), HYPERLINK(CONCATENATE("#metadata!", ADDRESS(INDEX($X$2:$X$1001,MATCH(ROWS($V$2:V858),$V$2:$V$1001,0),0), INDEX($AC$1004:$AS$1004,1,MATCH(COLUMNS($AC$1006:AG1006),$AC$1006:$AS$1006,0)))),"Fix")))</f>
        <v xml:space="preserve"> </v>
      </c>
      <c r="G858" s="4" t="str">
        <f ca="1">IF(OR(INDEX($W$2:$W$1001,MATCH(ROWS($V$2:V858),$V$2:$V$1001,0),1)&gt;=100000,INDEX($AC$1005:$AS$1005,1,MATCH(COLUMNS($AC$1006:AH1006),$AC$1006:$AS$1006,0))&gt;=100000), " ",IF(INDEX($AC$2:$AS$1001,MATCH(ROWS($V$2:V858),$V$2:$V$1001,0),MATCH(COLUMNS($AC$1006:AH1006),$AC$1006:$AS$1006,0)), HYPERLINK("#",""), HYPERLINK(CONCATENATE("#metadata!", ADDRESS(INDEX($X$2:$X$1001,MATCH(ROWS($V$2:V858),$V$2:$V$1001,0),0), INDEX($AC$1004:$AS$1004,1,MATCH(COLUMNS($AC$1006:AH1006),$AC$1006:$AS$1006,0)))),"Fix")))</f>
        <v xml:space="preserve"> </v>
      </c>
      <c r="H858" s="4" t="str">
        <f ca="1">IF(OR(INDEX($W$2:$W$1001,MATCH(ROWS($V$2:V858),$V$2:$V$1001,0),1)&gt;=100000,INDEX($AC$1005:$AS$1005,1,MATCH(COLUMNS($AC$1006:AI1006),$AC$1006:$AS$1006,0))&gt;=100000), " ",IF(INDEX($AC$2:$AS$1001,MATCH(ROWS($V$2:V858),$V$2:$V$1001,0),MATCH(COLUMNS($AC$1006:AI1006),$AC$1006:$AS$1006,0)), HYPERLINK("#",""), HYPERLINK(CONCATENATE("#metadata!", ADDRESS(INDEX($X$2:$X$1001,MATCH(ROWS($V$2:V858),$V$2:$V$1001,0),0), INDEX($AC$1004:$AS$1004,1,MATCH(COLUMNS($AC$1006:AI1006),$AC$1006:$AS$1006,0)))),"Fix")))</f>
        <v xml:space="preserve"> </v>
      </c>
      <c r="I858" s="4" t="str">
        <f ca="1">IF(OR(INDEX($W$2:$W$1001,MATCH(ROWS($V$2:V858),$V$2:$V$1001,0),1)&gt;=100000,INDEX($AC$1005:$AS$1005,1,MATCH(COLUMNS($AC$1006:AJ1006),$AC$1006:$AS$1006,0))&gt;=100000), " ",IF(INDEX($AC$2:$AS$1001,MATCH(ROWS($V$2:V858),$V$2:$V$1001,0),MATCH(COLUMNS($AC$1006:AJ1006),$AC$1006:$AS$1006,0)), HYPERLINK("#",""), HYPERLINK(CONCATENATE("#metadata!", ADDRESS(INDEX($X$2:$X$1001,MATCH(ROWS($V$2:V858),$V$2:$V$1001,0),0), INDEX($AC$1004:$AS$1004,1,MATCH(COLUMNS($AC$1006:AJ1006),$AC$1006:$AS$1006,0)))),"Fix")))</f>
        <v xml:space="preserve"> </v>
      </c>
      <c r="J858" s="4" t="str">
        <f ca="1">IF(OR(INDEX($W$2:$W$1001,MATCH(ROWS($V$2:V858),$V$2:$V$1001,0),1)&gt;=100000,INDEX($AC$1005:$AS$1005,1,MATCH(COLUMNS($AC$1006:AK1006),$AC$1006:$AS$1006,0))&gt;=100000), " ",IF(INDEX($AC$2:$AS$1001,MATCH(ROWS($V$2:V858),$V$2:$V$1001,0),MATCH(COLUMNS($AC$1006:AK1006),$AC$1006:$AS$1006,0)), HYPERLINK("#",""), HYPERLINK(CONCATENATE("#metadata!", ADDRESS(INDEX($X$2:$X$1001,MATCH(ROWS($V$2:V858),$V$2:$V$1001,0),0), INDEX($AC$1004:$AS$1004,1,MATCH(COLUMNS($AC$1006:AK1006),$AC$1006:$AS$1006,0)))),"Fix")))</f>
        <v xml:space="preserve"> </v>
      </c>
      <c r="K858" s="4" t="str">
        <f ca="1">IF(OR(INDEX($W$2:$W$1001,MATCH(ROWS($V$2:V858),$V$2:$V$1001,0),1)&gt;=100000,INDEX($AC$1005:$AS$1005,1,MATCH(COLUMNS($AC$1006:AL1006),$AC$1006:$AS$1006,0))&gt;=100000), " ",IF(INDEX($AC$2:$AS$1001,MATCH(ROWS($V$2:V858),$V$2:$V$1001,0),MATCH(COLUMNS($AC$1006:AL1006),$AC$1006:$AS$1006,0)), HYPERLINK("#",""), HYPERLINK(CONCATENATE("#metadata!", ADDRESS(INDEX($X$2:$X$1001,MATCH(ROWS($V$2:V858),$V$2:$V$1001,0),0), INDEX($AC$1004:$AS$1004,1,MATCH(COLUMNS($AC$1006:AL1006),$AC$1006:$AS$1006,0)))),"Fix")))</f>
        <v xml:space="preserve"> </v>
      </c>
      <c r="L858" s="4" t="str">
        <f ca="1">IF(OR(INDEX($W$2:$W$1001,MATCH(ROWS($V$2:V858),$V$2:$V$1001,0),1)&gt;=100000,INDEX($AC$1005:$AS$1005,1,MATCH(COLUMNS($AC$1006:AM1006),$AC$1006:$AS$1006,0))&gt;=100000), " ",IF(INDEX($AC$2:$AS$1001,MATCH(ROWS($V$2:V858),$V$2:$V$1001,0),MATCH(COLUMNS($AC$1006:AM1006),$AC$1006:$AS$1006,0)), HYPERLINK("#",""), HYPERLINK(CONCATENATE("#metadata!", ADDRESS(INDEX($X$2:$X$1001,MATCH(ROWS($V$2:V858),$V$2:$V$1001,0),0), INDEX($AC$1004:$AS$1004,1,MATCH(COLUMNS($AC$1006:AM1006),$AC$1006:$AS$1006,0)))),"Fix")))</f>
        <v xml:space="preserve"> </v>
      </c>
      <c r="M858" s="4" t="str">
        <f ca="1">IF(OR(INDEX($W$2:$W$1001,MATCH(ROWS($V$2:V858),$V$2:$V$1001,0),1)&gt;=100000,INDEX($AC$1005:$AS$1005,1,MATCH(COLUMNS($AC$1006:AN1006),$AC$1006:$AS$1006,0))&gt;=100000), " ",IF(INDEX($AC$2:$AS$1001,MATCH(ROWS($V$2:V858),$V$2:$V$1001,0),MATCH(COLUMNS($AC$1006:AN1006),$AC$1006:$AS$1006,0)), HYPERLINK("#",""), HYPERLINK(CONCATENATE("#metadata!", ADDRESS(INDEX($X$2:$X$1001,MATCH(ROWS($V$2:V858),$V$2:$V$1001,0),0), INDEX($AC$1004:$AS$1004,1,MATCH(COLUMNS($AC$1006:AN1006),$AC$1006:$AS$1006,0)))),"Fix")))</f>
        <v xml:space="preserve"> </v>
      </c>
      <c r="N858" s="4" t="str">
        <f ca="1">IF(OR(INDEX($W$2:$W$1001,MATCH(ROWS($V$2:V858),$V$2:$V$1001,0),1)&gt;=100000,INDEX($AC$1005:$AS$1005,1,MATCH(COLUMNS($AC$1006:AO1006),$AC$1006:$AS$1006,0))&gt;=100000), " ",IF(INDEX($AC$2:$AS$1001,MATCH(ROWS($V$2:V858),$V$2:$V$1001,0),MATCH(COLUMNS($AC$1006:AO1006),$AC$1006:$AS$1006,0)), HYPERLINK("#",""), HYPERLINK(CONCATENATE("#metadata!", ADDRESS(INDEX($X$2:$X$1001,MATCH(ROWS($V$2:V858),$V$2:$V$1001,0),0), INDEX($AC$1004:$AS$1004,1,MATCH(COLUMNS($AC$1006:AO1006),$AC$1006:$AS$1006,0)))),"Fix")))</f>
        <v xml:space="preserve"> </v>
      </c>
      <c r="O858" s="4" t="str">
        <f ca="1">IF(OR(INDEX($W$2:$W$1001,MATCH(ROWS($V$2:V858),$V$2:$V$1001,0),1)&gt;=100000,INDEX($AC$1005:$AS$1005,1,MATCH(COLUMNS($AC$1006:AP1006),$AC$1006:$AS$1006,0))&gt;=100000), " ",IF(INDEX($AC$2:$AS$1001,MATCH(ROWS($V$2:V858),$V$2:$V$1001,0),MATCH(COLUMNS($AC$1006:AP1006),$AC$1006:$AS$1006,0)), HYPERLINK("#",""), HYPERLINK(CONCATENATE("#metadata!", ADDRESS(INDEX($X$2:$X$1001,MATCH(ROWS($V$2:V858),$V$2:$V$1001,0),0), INDEX($AC$1004:$AS$1004,1,MATCH(COLUMNS($AC$1006:AP1006),$AC$1006:$AS$1006,0)))),"Fix")))</f>
        <v xml:space="preserve"> </v>
      </c>
      <c r="P858" s="4" t="str">
        <f ca="1">IF(OR(INDEX($W$2:$W$1001,MATCH(ROWS($V$2:V858),$V$2:$V$1001,0),1)&gt;=100000,INDEX($AC$1005:$AS$1005,1,MATCH(COLUMNS($AC$1006:AQ1006),$AC$1006:$AS$1006,0))&gt;=100000), " ",IF(INDEX($AC$2:$AS$1001,MATCH(ROWS($V$2:V858),$V$2:$V$1001,0),MATCH(COLUMNS($AC$1006:AQ1006),$AC$1006:$AS$1006,0)), HYPERLINK("#",""), HYPERLINK(CONCATENATE("#metadata!", ADDRESS(INDEX($X$2:$X$1001,MATCH(ROWS($V$2:V858),$V$2:$V$1001,0),0), INDEX($AC$1004:$AS$1004,1,MATCH(COLUMNS($AC$1006:AQ1006),$AC$1006:$AS$1006,0)))),"Fix")))</f>
        <v xml:space="preserve"> </v>
      </c>
      <c r="Q858" s="4" t="str">
        <f ca="1">IF(OR(INDEX($W$2:$W$1001,MATCH(ROWS($V$2:V858),$V$2:$V$1001,0),1)&gt;=100000,INDEX($AC$1005:$AS$1005,1,MATCH(COLUMNS($AC$1006:AR1006),$AC$1006:$AS$1006,0))&gt;=100000), " ",IF(INDEX($AC$2:$AS$1001,MATCH(ROWS($V$2:V858),$V$2:$V$1001,0),MATCH(COLUMNS($AC$1006:AR1006),$AC$1006:$AS$1006,0)), HYPERLINK("#",""), HYPERLINK(CONCATENATE("#metadata!", ADDRESS(INDEX($X$2:$X$1001,MATCH(ROWS($V$2:V858),$V$2:$V$1001,0),0), INDEX($AC$1004:$AS$1004,1,MATCH(COLUMNS($AC$1006:AR1006),$AC$1006:$AS$1006,0)))),"Fix")))</f>
        <v xml:space="preserve"> </v>
      </c>
      <c r="R858" s="4" t="str">
        <f ca="1">IF(OR(INDEX($W$2:$W$1001,MATCH(ROWS($V$2:V858),$V$2:$V$1001,0),1)&gt;=100000,INDEX($AC$1005:$AS$1005,1,MATCH(COLUMNS($AC$1006:AS1006),$AC$1006:$AS$1006,0))&gt;=100000), " ",IF(INDEX($AC$2:$AS$1001,MATCH(ROWS($V$2:V858),$V$2:$V$1001,0),MATCH(COLUMNS($AC$1006:AS1006),$AC$1006:$AS$1006,0)), HYPERLINK("#",""), HYPERLINK(CONCATENATE("#metadata!", ADDRESS(INDEX($X$2:$X$1001,MATCH(ROWS($V$2:V858),$V$2:$V$1001,0),0), INDEX($AC$1004:$AS$1004,1,MATCH(COLUMNS($AC$1006:AS1006),$AC$1006:$AS$1006,0)))),"Fix")))</f>
        <v xml:space="preserve"> </v>
      </c>
      <c r="V858">
        <v>857</v>
      </c>
      <c r="W858">
        <v>100858</v>
      </c>
      <c r="X858">
        <v>858</v>
      </c>
      <c r="Y858" t="b">
        <f t="shared" si="13"/>
        <v>1</v>
      </c>
      <c r="Z858" t="b">
        <f>COUNTBLANK(metadata!B858:R858)=COLUMNS(metadata!B858:R858)</f>
        <v>1</v>
      </c>
      <c r="AA858" t="str">
        <v/>
      </c>
      <c r="AC858" t="b">
        <f ca="1"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AD858" t="b">
        <f>IF(metadata!C858="",FALSE,ISNUMBER(VALUE(metadata!C858)))</f>
        <v>0</v>
      </c>
      <c r="AE858" t="b">
        <f>AND(IF(metadata!D858="",FALSE,TRUE),EXACT(metadata!D858,"years"))</f>
        <v>0</v>
      </c>
      <c r="AF858" t="b">
        <f>OR(AND(IF(metadata!E858="",FALSE,TRUE),OR(EXACT(metadata!E858,"not applicable"),EXACT(metadata!E858,"missing: not collected"),EXACT(metadata!E858,"missing: not provided"),EXACT(metadata!E858,"missing: restricted access"))),AND(IF(metadata!E858="",FALSE,ISNUMBER(VALUE(metadata!E858))),metadata!E858&gt;0))</f>
        <v>0</v>
      </c>
      <c r="AG858" t="b">
        <f>AND(IF(metadata!F858="",FALSE,TRUE),EXACT(metadata!F858,"Not applicable"))</f>
        <v>0</v>
      </c>
      <c r="AH858" t="b">
        <f>AND(IF(metadata!G858="",FALSE,TRUE),EXACT(metadata!G858,"urban biome"))</f>
        <v>0</v>
      </c>
      <c r="AI858" t="b">
        <f>AND(IF(metadata!H858="",FALSE,TRUE),EXACT(metadata!H858,"human-associated habitat"))</f>
        <v>0</v>
      </c>
      <c r="AJ858" t="b">
        <f>AND(IF(metadata!I858="",FALSE,TRUE),OR(EXACT(metadata!I858,"human-associated"),EXACT(metadata!I858,"human-skin"),EXACT(metadata!I858,"human-oral"),EXACT(metadata!I858,"human-gut"),EXACT(metadata!I858,"human-vaginal")))</f>
        <v>0</v>
      </c>
      <c r="AK858" t="b">
        <f>IF(metadata!J858="",FALSE,ISNUMBER(VALUE(metadata!J858)))</f>
        <v>0</v>
      </c>
      <c r="AL858" t="b">
        <f>AND(IF(metadata!K858="",FALSE,TRUE),EXACT(metadata!K858,"cm"))</f>
        <v>0</v>
      </c>
      <c r="AM858" t="b">
        <f>AND(IF(metadata!L858="",FALSE,TRUE),EXACT(metadata!L858,"human"))</f>
        <v>0</v>
      </c>
      <c r="AN858" t="b">
        <f>AND(IF(metadata!M858="",FALSE,TRUE),EXACT(metadata!M858,"Homo sapiens"))</f>
        <v>0</v>
      </c>
      <c r="AO858" t="b">
        <f>AND(IF(metadata!N858="",FALSE,TRUE),EXACT(metadata!N858,"9606"))</f>
        <v>0</v>
      </c>
      <c r="AP858" t="b">
        <f>IF(metadata!O858="",FALSE,TRUE)</f>
        <v>0</v>
      </c>
      <c r="AQ858" t="b">
        <f>IF(metadata!P858="",FALSE,TRUE)</f>
        <v>0</v>
      </c>
      <c r="AR858" t="b">
        <f>IF(metadata!Q858="",FALSE,ISNUMBER(VALUE(metadata!Q858)))</f>
        <v>0</v>
      </c>
      <c r="AS858" t="b">
        <f>AND(IF(metadata!R858="",FALSE,TRUE),EXACT(metadata!R858,"kg"))</f>
        <v>0</v>
      </c>
    </row>
    <row r="859" spans="1:45" x14ac:dyDescent="0.2">
      <c r="A859" s="5" t="str">
        <f ca="1">IF(B859=" "," ",HYPERLINK(CONCATENATE("#metadata!",ADDRESS(INDEX($X$2:$X$1001,MATCH(ROWS($V$2:V859),$V$2:$V$1001,0),0),1)),INDEX($AA$2:$AA$1001,MATCH(ROWS($V$2:V859),$V$2:$V$1001,0),0)))</f>
        <v xml:space="preserve"> </v>
      </c>
      <c r="B859" s="4" t="str">
        <f ca="1">IF(OR(INDEX($W$2:$W$1001,MATCH(ROWS($V$2:V859),$V$2:$V$1001,0),1)&gt;=100000,INDEX($AC$1005:$AS$1005,1,MATCH(COLUMNS($AC$1006:AC1006),$AC$1006:$AS$1006,0))&gt;=100000), " ",IF(INDEX($AC$2:$AS$1001,MATCH(ROWS($V$2:V859),$V$2:$V$1001,0),MATCH(COLUMNS($AC$1006:AC1006),$AC$1006:$AS$1006,0)), HYPERLINK("#",""), HYPERLINK(CONCATENATE("#metadata!", ADDRESS(INDEX($X$2:$X$1001,MATCH(ROWS($V$2:V859),$V$2:$V$1001,0),0), INDEX($AC$1004:$AS$1004,1,MATCH(COLUMNS($AC$1006:AC1006),$AC$1006:$AS$1006,0)))),"Fix")))</f>
        <v xml:space="preserve"> </v>
      </c>
      <c r="C859" s="4" t="str">
        <f ca="1">IF(OR(INDEX($W$2:$W$1001,MATCH(ROWS($V$2:V859),$V$2:$V$1001,0),1)&gt;=100000,INDEX($AC$1005:$AS$1005,1,MATCH(COLUMNS($AC$1006:AD1006),$AC$1006:$AS$1006,0))&gt;=100000), " ",IF(INDEX($AC$2:$AS$1001,MATCH(ROWS($V$2:V859),$V$2:$V$1001,0),MATCH(COLUMNS($AC$1006:AD1006),$AC$1006:$AS$1006,0)), HYPERLINK("#",""), HYPERLINK(CONCATENATE("#metadata!", ADDRESS(INDEX($X$2:$X$1001,MATCH(ROWS($V$2:V859),$V$2:$V$1001,0),0), INDEX($AC$1004:$AS$1004,1,MATCH(COLUMNS($AC$1006:AD1006),$AC$1006:$AS$1006,0)))),"Fix")))</f>
        <v xml:space="preserve"> </v>
      </c>
      <c r="D859" s="4" t="str">
        <f ca="1">IF(OR(INDEX($W$2:$W$1001,MATCH(ROWS($V$2:V859),$V$2:$V$1001,0),1)&gt;=100000,INDEX($AC$1005:$AS$1005,1,MATCH(COLUMNS($AC$1006:AE1006),$AC$1006:$AS$1006,0))&gt;=100000), " ",IF(INDEX($AC$2:$AS$1001,MATCH(ROWS($V$2:V859),$V$2:$V$1001,0),MATCH(COLUMNS($AC$1006:AE1006),$AC$1006:$AS$1006,0)), HYPERLINK("#",""), HYPERLINK(CONCATENATE("#metadata!", ADDRESS(INDEX($X$2:$X$1001,MATCH(ROWS($V$2:V859),$V$2:$V$1001,0),0), INDEX($AC$1004:$AS$1004,1,MATCH(COLUMNS($AC$1006:AE1006),$AC$1006:$AS$1006,0)))),"Fix")))</f>
        <v xml:space="preserve"> </v>
      </c>
      <c r="E859" s="4" t="str">
        <f ca="1">IF(OR(INDEX($W$2:$W$1001,MATCH(ROWS($V$2:V859),$V$2:$V$1001,0),1)&gt;=100000,INDEX($AC$1005:$AS$1005,1,MATCH(COLUMNS($AC$1006:AF1006),$AC$1006:$AS$1006,0))&gt;=100000), " ",IF(INDEX($AC$2:$AS$1001,MATCH(ROWS($V$2:V859),$V$2:$V$1001,0),MATCH(COLUMNS($AC$1006:AF1006),$AC$1006:$AS$1006,0)), HYPERLINK("#",""), HYPERLINK(CONCATENATE("#metadata!", ADDRESS(INDEX($X$2:$X$1001,MATCH(ROWS($V$2:V859),$V$2:$V$1001,0),0), INDEX($AC$1004:$AS$1004,1,MATCH(COLUMNS($AC$1006:AF1006),$AC$1006:$AS$1006,0)))),"Fix")))</f>
        <v xml:space="preserve"> </v>
      </c>
      <c r="F859" s="4" t="str">
        <f ca="1">IF(OR(INDEX($W$2:$W$1001,MATCH(ROWS($V$2:V859),$V$2:$V$1001,0),1)&gt;=100000,INDEX($AC$1005:$AS$1005,1,MATCH(COLUMNS($AC$1006:AG1006),$AC$1006:$AS$1006,0))&gt;=100000), " ",IF(INDEX($AC$2:$AS$1001,MATCH(ROWS($V$2:V859),$V$2:$V$1001,0),MATCH(COLUMNS($AC$1006:AG1006),$AC$1006:$AS$1006,0)), HYPERLINK("#",""), HYPERLINK(CONCATENATE("#metadata!", ADDRESS(INDEX($X$2:$X$1001,MATCH(ROWS($V$2:V859),$V$2:$V$1001,0),0), INDEX($AC$1004:$AS$1004,1,MATCH(COLUMNS($AC$1006:AG1006),$AC$1006:$AS$1006,0)))),"Fix")))</f>
        <v xml:space="preserve"> </v>
      </c>
      <c r="G859" s="4" t="str">
        <f ca="1">IF(OR(INDEX($W$2:$W$1001,MATCH(ROWS($V$2:V859),$V$2:$V$1001,0),1)&gt;=100000,INDEX($AC$1005:$AS$1005,1,MATCH(COLUMNS($AC$1006:AH1006),$AC$1006:$AS$1006,0))&gt;=100000), " ",IF(INDEX($AC$2:$AS$1001,MATCH(ROWS($V$2:V859),$V$2:$V$1001,0),MATCH(COLUMNS($AC$1006:AH1006),$AC$1006:$AS$1006,0)), HYPERLINK("#",""), HYPERLINK(CONCATENATE("#metadata!", ADDRESS(INDEX($X$2:$X$1001,MATCH(ROWS($V$2:V859),$V$2:$V$1001,0),0), INDEX($AC$1004:$AS$1004,1,MATCH(COLUMNS($AC$1006:AH1006),$AC$1006:$AS$1006,0)))),"Fix")))</f>
        <v xml:space="preserve"> </v>
      </c>
      <c r="H859" s="4" t="str">
        <f ca="1">IF(OR(INDEX($W$2:$W$1001,MATCH(ROWS($V$2:V859),$V$2:$V$1001,0),1)&gt;=100000,INDEX($AC$1005:$AS$1005,1,MATCH(COLUMNS($AC$1006:AI1006),$AC$1006:$AS$1006,0))&gt;=100000), " ",IF(INDEX($AC$2:$AS$1001,MATCH(ROWS($V$2:V859),$V$2:$V$1001,0),MATCH(COLUMNS($AC$1006:AI1006),$AC$1006:$AS$1006,0)), HYPERLINK("#",""), HYPERLINK(CONCATENATE("#metadata!", ADDRESS(INDEX($X$2:$X$1001,MATCH(ROWS($V$2:V859),$V$2:$V$1001,0),0), INDEX($AC$1004:$AS$1004,1,MATCH(COLUMNS($AC$1006:AI1006),$AC$1006:$AS$1006,0)))),"Fix")))</f>
        <v xml:space="preserve"> </v>
      </c>
      <c r="I859" s="4" t="str">
        <f ca="1">IF(OR(INDEX($W$2:$W$1001,MATCH(ROWS($V$2:V859),$V$2:$V$1001,0),1)&gt;=100000,INDEX($AC$1005:$AS$1005,1,MATCH(COLUMNS($AC$1006:AJ1006),$AC$1006:$AS$1006,0))&gt;=100000), " ",IF(INDEX($AC$2:$AS$1001,MATCH(ROWS($V$2:V859),$V$2:$V$1001,0),MATCH(COLUMNS($AC$1006:AJ1006),$AC$1006:$AS$1006,0)), HYPERLINK("#",""), HYPERLINK(CONCATENATE("#metadata!", ADDRESS(INDEX($X$2:$X$1001,MATCH(ROWS($V$2:V859),$V$2:$V$1001,0),0), INDEX($AC$1004:$AS$1004,1,MATCH(COLUMNS($AC$1006:AJ1006),$AC$1006:$AS$1006,0)))),"Fix")))</f>
        <v xml:space="preserve"> </v>
      </c>
      <c r="J859" s="4" t="str">
        <f ca="1">IF(OR(INDEX($W$2:$W$1001,MATCH(ROWS($V$2:V859),$V$2:$V$1001,0),1)&gt;=100000,INDEX($AC$1005:$AS$1005,1,MATCH(COLUMNS($AC$1006:AK1006),$AC$1006:$AS$1006,0))&gt;=100000), " ",IF(INDEX($AC$2:$AS$1001,MATCH(ROWS($V$2:V859),$V$2:$V$1001,0),MATCH(COLUMNS($AC$1006:AK1006),$AC$1006:$AS$1006,0)), HYPERLINK("#",""), HYPERLINK(CONCATENATE("#metadata!", ADDRESS(INDEX($X$2:$X$1001,MATCH(ROWS($V$2:V859),$V$2:$V$1001,0),0), INDEX($AC$1004:$AS$1004,1,MATCH(COLUMNS($AC$1006:AK1006),$AC$1006:$AS$1006,0)))),"Fix")))</f>
        <v xml:space="preserve"> </v>
      </c>
      <c r="K859" s="4" t="str">
        <f ca="1">IF(OR(INDEX($W$2:$W$1001,MATCH(ROWS($V$2:V859),$V$2:$V$1001,0),1)&gt;=100000,INDEX($AC$1005:$AS$1005,1,MATCH(COLUMNS($AC$1006:AL1006),$AC$1006:$AS$1006,0))&gt;=100000), " ",IF(INDEX($AC$2:$AS$1001,MATCH(ROWS($V$2:V859),$V$2:$V$1001,0),MATCH(COLUMNS($AC$1006:AL1006),$AC$1006:$AS$1006,0)), HYPERLINK("#",""), HYPERLINK(CONCATENATE("#metadata!", ADDRESS(INDEX($X$2:$X$1001,MATCH(ROWS($V$2:V859),$V$2:$V$1001,0),0), INDEX($AC$1004:$AS$1004,1,MATCH(COLUMNS($AC$1006:AL1006),$AC$1006:$AS$1006,0)))),"Fix")))</f>
        <v xml:space="preserve"> </v>
      </c>
      <c r="L859" s="4" t="str">
        <f ca="1">IF(OR(INDEX($W$2:$W$1001,MATCH(ROWS($V$2:V859),$V$2:$V$1001,0),1)&gt;=100000,INDEX($AC$1005:$AS$1005,1,MATCH(COLUMNS($AC$1006:AM1006),$AC$1006:$AS$1006,0))&gt;=100000), " ",IF(INDEX($AC$2:$AS$1001,MATCH(ROWS($V$2:V859),$V$2:$V$1001,0),MATCH(COLUMNS($AC$1006:AM1006),$AC$1006:$AS$1006,0)), HYPERLINK("#",""), HYPERLINK(CONCATENATE("#metadata!", ADDRESS(INDEX($X$2:$X$1001,MATCH(ROWS($V$2:V859),$V$2:$V$1001,0),0), INDEX($AC$1004:$AS$1004,1,MATCH(COLUMNS($AC$1006:AM1006),$AC$1006:$AS$1006,0)))),"Fix")))</f>
        <v xml:space="preserve"> </v>
      </c>
      <c r="M859" s="4" t="str">
        <f ca="1">IF(OR(INDEX($W$2:$W$1001,MATCH(ROWS($V$2:V859),$V$2:$V$1001,0),1)&gt;=100000,INDEX($AC$1005:$AS$1005,1,MATCH(COLUMNS($AC$1006:AN1006),$AC$1006:$AS$1006,0))&gt;=100000), " ",IF(INDEX($AC$2:$AS$1001,MATCH(ROWS($V$2:V859),$V$2:$V$1001,0),MATCH(COLUMNS($AC$1006:AN1006),$AC$1006:$AS$1006,0)), HYPERLINK("#",""), HYPERLINK(CONCATENATE("#metadata!", ADDRESS(INDEX($X$2:$X$1001,MATCH(ROWS($V$2:V859),$V$2:$V$1001,0),0), INDEX($AC$1004:$AS$1004,1,MATCH(COLUMNS($AC$1006:AN1006),$AC$1006:$AS$1006,0)))),"Fix")))</f>
        <v xml:space="preserve"> </v>
      </c>
      <c r="N859" s="4" t="str">
        <f ca="1">IF(OR(INDEX($W$2:$W$1001,MATCH(ROWS($V$2:V859),$V$2:$V$1001,0),1)&gt;=100000,INDEX($AC$1005:$AS$1005,1,MATCH(COLUMNS($AC$1006:AO1006),$AC$1006:$AS$1006,0))&gt;=100000), " ",IF(INDEX($AC$2:$AS$1001,MATCH(ROWS($V$2:V859),$V$2:$V$1001,0),MATCH(COLUMNS($AC$1006:AO1006),$AC$1006:$AS$1006,0)), HYPERLINK("#",""), HYPERLINK(CONCATENATE("#metadata!", ADDRESS(INDEX($X$2:$X$1001,MATCH(ROWS($V$2:V859),$V$2:$V$1001,0),0), INDEX($AC$1004:$AS$1004,1,MATCH(COLUMNS($AC$1006:AO1006),$AC$1006:$AS$1006,0)))),"Fix")))</f>
        <v xml:space="preserve"> </v>
      </c>
      <c r="O859" s="4" t="str">
        <f ca="1">IF(OR(INDEX($W$2:$W$1001,MATCH(ROWS($V$2:V859),$V$2:$V$1001,0),1)&gt;=100000,INDEX($AC$1005:$AS$1005,1,MATCH(COLUMNS($AC$1006:AP1006),$AC$1006:$AS$1006,0))&gt;=100000), " ",IF(INDEX($AC$2:$AS$1001,MATCH(ROWS($V$2:V859),$V$2:$V$1001,0),MATCH(COLUMNS($AC$1006:AP1006),$AC$1006:$AS$1006,0)), HYPERLINK("#",""), HYPERLINK(CONCATENATE("#metadata!", ADDRESS(INDEX($X$2:$X$1001,MATCH(ROWS($V$2:V859),$V$2:$V$1001,0),0), INDEX($AC$1004:$AS$1004,1,MATCH(COLUMNS($AC$1006:AP1006),$AC$1006:$AS$1006,0)))),"Fix")))</f>
        <v xml:space="preserve"> </v>
      </c>
      <c r="P859" s="4" t="str">
        <f ca="1">IF(OR(INDEX($W$2:$W$1001,MATCH(ROWS($V$2:V859),$V$2:$V$1001,0),1)&gt;=100000,INDEX($AC$1005:$AS$1005,1,MATCH(COLUMNS($AC$1006:AQ1006),$AC$1006:$AS$1006,0))&gt;=100000), " ",IF(INDEX($AC$2:$AS$1001,MATCH(ROWS($V$2:V859),$V$2:$V$1001,0),MATCH(COLUMNS($AC$1006:AQ1006),$AC$1006:$AS$1006,0)), HYPERLINK("#",""), HYPERLINK(CONCATENATE("#metadata!", ADDRESS(INDEX($X$2:$X$1001,MATCH(ROWS($V$2:V859),$V$2:$V$1001,0),0), INDEX($AC$1004:$AS$1004,1,MATCH(COLUMNS($AC$1006:AQ1006),$AC$1006:$AS$1006,0)))),"Fix")))</f>
        <v xml:space="preserve"> </v>
      </c>
      <c r="Q859" s="4" t="str">
        <f ca="1">IF(OR(INDEX($W$2:$W$1001,MATCH(ROWS($V$2:V859),$V$2:$V$1001,0),1)&gt;=100000,INDEX($AC$1005:$AS$1005,1,MATCH(COLUMNS($AC$1006:AR1006),$AC$1006:$AS$1006,0))&gt;=100000), " ",IF(INDEX($AC$2:$AS$1001,MATCH(ROWS($V$2:V859),$V$2:$V$1001,0),MATCH(COLUMNS($AC$1006:AR1006),$AC$1006:$AS$1006,0)), HYPERLINK("#",""), HYPERLINK(CONCATENATE("#metadata!", ADDRESS(INDEX($X$2:$X$1001,MATCH(ROWS($V$2:V859),$V$2:$V$1001,0),0), INDEX($AC$1004:$AS$1004,1,MATCH(COLUMNS($AC$1006:AR1006),$AC$1006:$AS$1006,0)))),"Fix")))</f>
        <v xml:space="preserve"> </v>
      </c>
      <c r="R859" s="4" t="str">
        <f ca="1">IF(OR(INDEX($W$2:$W$1001,MATCH(ROWS($V$2:V859),$V$2:$V$1001,0),1)&gt;=100000,INDEX($AC$1005:$AS$1005,1,MATCH(COLUMNS($AC$1006:AS1006),$AC$1006:$AS$1006,0))&gt;=100000), " ",IF(INDEX($AC$2:$AS$1001,MATCH(ROWS($V$2:V859),$V$2:$V$1001,0),MATCH(COLUMNS($AC$1006:AS1006),$AC$1006:$AS$1006,0)), HYPERLINK("#",""), HYPERLINK(CONCATENATE("#metadata!", ADDRESS(INDEX($X$2:$X$1001,MATCH(ROWS($V$2:V859),$V$2:$V$1001,0),0), INDEX($AC$1004:$AS$1004,1,MATCH(COLUMNS($AC$1006:AS1006),$AC$1006:$AS$1006,0)))),"Fix")))</f>
        <v xml:space="preserve"> </v>
      </c>
      <c r="V859">
        <v>858</v>
      </c>
      <c r="W859">
        <v>100859</v>
      </c>
      <c r="X859">
        <v>859</v>
      </c>
      <c r="Y859" t="b">
        <f t="shared" si="13"/>
        <v>1</v>
      </c>
      <c r="Z859" t="b">
        <f>COUNTBLANK(metadata!B859:R859)=COLUMNS(metadata!B859:R859)</f>
        <v>1</v>
      </c>
      <c r="AA859" t="str">
        <v/>
      </c>
      <c r="AC859" t="b">
        <f ca="1"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AD859" t="b">
        <f>IF(metadata!C859="",FALSE,ISNUMBER(VALUE(metadata!C859)))</f>
        <v>0</v>
      </c>
      <c r="AE859" t="b">
        <f>AND(IF(metadata!D859="",FALSE,TRUE),EXACT(metadata!D859,"years"))</f>
        <v>0</v>
      </c>
      <c r="AF859" t="b">
        <f>OR(AND(IF(metadata!E859="",FALSE,TRUE),OR(EXACT(metadata!E859,"not applicable"),EXACT(metadata!E859,"missing: not collected"),EXACT(metadata!E859,"missing: not provided"),EXACT(metadata!E859,"missing: restricted access"))),AND(IF(metadata!E859="",FALSE,ISNUMBER(VALUE(metadata!E859))),metadata!E859&gt;0))</f>
        <v>0</v>
      </c>
      <c r="AG859" t="b">
        <f>AND(IF(metadata!F859="",FALSE,TRUE),EXACT(metadata!F859,"Not applicable"))</f>
        <v>0</v>
      </c>
      <c r="AH859" t="b">
        <f>AND(IF(metadata!G859="",FALSE,TRUE),EXACT(metadata!G859,"urban biome"))</f>
        <v>0</v>
      </c>
      <c r="AI859" t="b">
        <f>AND(IF(metadata!H859="",FALSE,TRUE),EXACT(metadata!H859,"human-associated habitat"))</f>
        <v>0</v>
      </c>
      <c r="AJ859" t="b">
        <f>AND(IF(metadata!I859="",FALSE,TRUE),OR(EXACT(metadata!I859,"human-associated"),EXACT(metadata!I859,"human-skin"),EXACT(metadata!I859,"human-oral"),EXACT(metadata!I859,"human-gut"),EXACT(metadata!I859,"human-vaginal")))</f>
        <v>0</v>
      </c>
      <c r="AK859" t="b">
        <f>IF(metadata!J859="",FALSE,ISNUMBER(VALUE(metadata!J859)))</f>
        <v>0</v>
      </c>
      <c r="AL859" t="b">
        <f>AND(IF(metadata!K859="",FALSE,TRUE),EXACT(metadata!K859,"cm"))</f>
        <v>0</v>
      </c>
      <c r="AM859" t="b">
        <f>AND(IF(metadata!L859="",FALSE,TRUE),EXACT(metadata!L859,"human"))</f>
        <v>0</v>
      </c>
      <c r="AN859" t="b">
        <f>AND(IF(metadata!M859="",FALSE,TRUE),EXACT(metadata!M859,"Homo sapiens"))</f>
        <v>0</v>
      </c>
      <c r="AO859" t="b">
        <f>AND(IF(metadata!N859="",FALSE,TRUE),EXACT(metadata!N859,"9606"))</f>
        <v>0</v>
      </c>
      <c r="AP859" t="b">
        <f>IF(metadata!O859="",FALSE,TRUE)</f>
        <v>0</v>
      </c>
      <c r="AQ859" t="b">
        <f>IF(metadata!P859="",FALSE,TRUE)</f>
        <v>0</v>
      </c>
      <c r="AR859" t="b">
        <f>IF(metadata!Q859="",FALSE,ISNUMBER(VALUE(metadata!Q859)))</f>
        <v>0</v>
      </c>
      <c r="AS859" t="b">
        <f>AND(IF(metadata!R859="",FALSE,TRUE),EXACT(metadata!R859,"kg"))</f>
        <v>0</v>
      </c>
    </row>
    <row r="860" spans="1:45" x14ac:dyDescent="0.2">
      <c r="A860" s="5" t="str">
        <f ca="1">IF(B860=" "," ",HYPERLINK(CONCATENATE("#metadata!",ADDRESS(INDEX($X$2:$X$1001,MATCH(ROWS($V$2:V860),$V$2:$V$1001,0),0),1)),INDEX($AA$2:$AA$1001,MATCH(ROWS($V$2:V860),$V$2:$V$1001,0),0)))</f>
        <v xml:space="preserve"> </v>
      </c>
      <c r="B860" s="4" t="str">
        <f ca="1">IF(OR(INDEX($W$2:$W$1001,MATCH(ROWS($V$2:V860),$V$2:$V$1001,0),1)&gt;=100000,INDEX($AC$1005:$AS$1005,1,MATCH(COLUMNS($AC$1006:AC1006),$AC$1006:$AS$1006,0))&gt;=100000), " ",IF(INDEX($AC$2:$AS$1001,MATCH(ROWS($V$2:V860),$V$2:$V$1001,0),MATCH(COLUMNS($AC$1006:AC1006),$AC$1006:$AS$1006,0)), HYPERLINK("#",""), HYPERLINK(CONCATENATE("#metadata!", ADDRESS(INDEX($X$2:$X$1001,MATCH(ROWS($V$2:V860),$V$2:$V$1001,0),0), INDEX($AC$1004:$AS$1004,1,MATCH(COLUMNS($AC$1006:AC1006),$AC$1006:$AS$1006,0)))),"Fix")))</f>
        <v xml:space="preserve"> </v>
      </c>
      <c r="C860" s="4" t="str">
        <f ca="1">IF(OR(INDEX($W$2:$W$1001,MATCH(ROWS($V$2:V860),$V$2:$V$1001,0),1)&gt;=100000,INDEX($AC$1005:$AS$1005,1,MATCH(COLUMNS($AC$1006:AD1006),$AC$1006:$AS$1006,0))&gt;=100000), " ",IF(INDEX($AC$2:$AS$1001,MATCH(ROWS($V$2:V860),$V$2:$V$1001,0),MATCH(COLUMNS($AC$1006:AD1006),$AC$1006:$AS$1006,0)), HYPERLINK("#",""), HYPERLINK(CONCATENATE("#metadata!", ADDRESS(INDEX($X$2:$X$1001,MATCH(ROWS($V$2:V860),$V$2:$V$1001,0),0), INDEX($AC$1004:$AS$1004,1,MATCH(COLUMNS($AC$1006:AD1006),$AC$1006:$AS$1006,0)))),"Fix")))</f>
        <v xml:space="preserve"> </v>
      </c>
      <c r="D860" s="4" t="str">
        <f ca="1">IF(OR(INDEX($W$2:$W$1001,MATCH(ROWS($V$2:V860),$V$2:$V$1001,0),1)&gt;=100000,INDEX($AC$1005:$AS$1005,1,MATCH(COLUMNS($AC$1006:AE1006),$AC$1006:$AS$1006,0))&gt;=100000), " ",IF(INDEX($AC$2:$AS$1001,MATCH(ROWS($V$2:V860),$V$2:$V$1001,0),MATCH(COLUMNS($AC$1006:AE1006),$AC$1006:$AS$1006,0)), HYPERLINK("#",""), HYPERLINK(CONCATENATE("#metadata!", ADDRESS(INDEX($X$2:$X$1001,MATCH(ROWS($V$2:V860),$V$2:$V$1001,0),0), INDEX($AC$1004:$AS$1004,1,MATCH(COLUMNS($AC$1006:AE1006),$AC$1006:$AS$1006,0)))),"Fix")))</f>
        <v xml:space="preserve"> </v>
      </c>
      <c r="E860" s="4" t="str">
        <f ca="1">IF(OR(INDEX($W$2:$W$1001,MATCH(ROWS($V$2:V860),$V$2:$V$1001,0),1)&gt;=100000,INDEX($AC$1005:$AS$1005,1,MATCH(COLUMNS($AC$1006:AF1006),$AC$1006:$AS$1006,0))&gt;=100000), " ",IF(INDEX($AC$2:$AS$1001,MATCH(ROWS($V$2:V860),$V$2:$V$1001,0),MATCH(COLUMNS($AC$1006:AF1006),$AC$1006:$AS$1006,0)), HYPERLINK("#",""), HYPERLINK(CONCATENATE("#metadata!", ADDRESS(INDEX($X$2:$X$1001,MATCH(ROWS($V$2:V860),$V$2:$V$1001,0),0), INDEX($AC$1004:$AS$1004,1,MATCH(COLUMNS($AC$1006:AF1006),$AC$1006:$AS$1006,0)))),"Fix")))</f>
        <v xml:space="preserve"> </v>
      </c>
      <c r="F860" s="4" t="str">
        <f ca="1">IF(OR(INDEX($W$2:$W$1001,MATCH(ROWS($V$2:V860),$V$2:$V$1001,0),1)&gt;=100000,INDEX($AC$1005:$AS$1005,1,MATCH(COLUMNS($AC$1006:AG1006),$AC$1006:$AS$1006,0))&gt;=100000), " ",IF(INDEX($AC$2:$AS$1001,MATCH(ROWS($V$2:V860),$V$2:$V$1001,0),MATCH(COLUMNS($AC$1006:AG1006),$AC$1006:$AS$1006,0)), HYPERLINK("#",""), HYPERLINK(CONCATENATE("#metadata!", ADDRESS(INDEX($X$2:$X$1001,MATCH(ROWS($V$2:V860),$V$2:$V$1001,0),0), INDEX($AC$1004:$AS$1004,1,MATCH(COLUMNS($AC$1006:AG1006),$AC$1006:$AS$1006,0)))),"Fix")))</f>
        <v xml:space="preserve"> </v>
      </c>
      <c r="G860" s="4" t="str">
        <f ca="1">IF(OR(INDEX($W$2:$W$1001,MATCH(ROWS($V$2:V860),$V$2:$V$1001,0),1)&gt;=100000,INDEX($AC$1005:$AS$1005,1,MATCH(COLUMNS($AC$1006:AH1006),$AC$1006:$AS$1006,0))&gt;=100000), " ",IF(INDEX($AC$2:$AS$1001,MATCH(ROWS($V$2:V860),$V$2:$V$1001,0),MATCH(COLUMNS($AC$1006:AH1006),$AC$1006:$AS$1006,0)), HYPERLINK("#",""), HYPERLINK(CONCATENATE("#metadata!", ADDRESS(INDEX($X$2:$X$1001,MATCH(ROWS($V$2:V860),$V$2:$V$1001,0),0), INDEX($AC$1004:$AS$1004,1,MATCH(COLUMNS($AC$1006:AH1006),$AC$1006:$AS$1006,0)))),"Fix")))</f>
        <v xml:space="preserve"> </v>
      </c>
      <c r="H860" s="4" t="str">
        <f ca="1">IF(OR(INDEX($W$2:$W$1001,MATCH(ROWS($V$2:V860),$V$2:$V$1001,0),1)&gt;=100000,INDEX($AC$1005:$AS$1005,1,MATCH(COLUMNS($AC$1006:AI1006),$AC$1006:$AS$1006,0))&gt;=100000), " ",IF(INDEX($AC$2:$AS$1001,MATCH(ROWS($V$2:V860),$V$2:$V$1001,0),MATCH(COLUMNS($AC$1006:AI1006),$AC$1006:$AS$1006,0)), HYPERLINK("#",""), HYPERLINK(CONCATENATE("#metadata!", ADDRESS(INDEX($X$2:$X$1001,MATCH(ROWS($V$2:V860),$V$2:$V$1001,0),0), INDEX($AC$1004:$AS$1004,1,MATCH(COLUMNS($AC$1006:AI1006),$AC$1006:$AS$1006,0)))),"Fix")))</f>
        <v xml:space="preserve"> </v>
      </c>
      <c r="I860" s="4" t="str">
        <f ca="1">IF(OR(INDEX($W$2:$W$1001,MATCH(ROWS($V$2:V860),$V$2:$V$1001,0),1)&gt;=100000,INDEX($AC$1005:$AS$1005,1,MATCH(COLUMNS($AC$1006:AJ1006),$AC$1006:$AS$1006,0))&gt;=100000), " ",IF(INDEX($AC$2:$AS$1001,MATCH(ROWS($V$2:V860),$V$2:$V$1001,0),MATCH(COLUMNS($AC$1006:AJ1006),$AC$1006:$AS$1006,0)), HYPERLINK("#",""), HYPERLINK(CONCATENATE("#metadata!", ADDRESS(INDEX($X$2:$X$1001,MATCH(ROWS($V$2:V860),$V$2:$V$1001,0),0), INDEX($AC$1004:$AS$1004,1,MATCH(COLUMNS($AC$1006:AJ1006),$AC$1006:$AS$1006,0)))),"Fix")))</f>
        <v xml:space="preserve"> </v>
      </c>
      <c r="J860" s="4" t="str">
        <f ca="1">IF(OR(INDEX($W$2:$W$1001,MATCH(ROWS($V$2:V860),$V$2:$V$1001,0),1)&gt;=100000,INDEX($AC$1005:$AS$1005,1,MATCH(COLUMNS($AC$1006:AK1006),$AC$1006:$AS$1006,0))&gt;=100000), " ",IF(INDEX($AC$2:$AS$1001,MATCH(ROWS($V$2:V860),$V$2:$V$1001,0),MATCH(COLUMNS($AC$1006:AK1006),$AC$1006:$AS$1006,0)), HYPERLINK("#",""), HYPERLINK(CONCATENATE("#metadata!", ADDRESS(INDEX($X$2:$X$1001,MATCH(ROWS($V$2:V860),$V$2:$V$1001,0),0), INDEX($AC$1004:$AS$1004,1,MATCH(COLUMNS($AC$1006:AK1006),$AC$1006:$AS$1006,0)))),"Fix")))</f>
        <v xml:space="preserve"> </v>
      </c>
      <c r="K860" s="4" t="str">
        <f ca="1">IF(OR(INDEX($W$2:$W$1001,MATCH(ROWS($V$2:V860),$V$2:$V$1001,0),1)&gt;=100000,INDEX($AC$1005:$AS$1005,1,MATCH(COLUMNS($AC$1006:AL1006),$AC$1006:$AS$1006,0))&gt;=100000), " ",IF(INDEX($AC$2:$AS$1001,MATCH(ROWS($V$2:V860),$V$2:$V$1001,0),MATCH(COLUMNS($AC$1006:AL1006),$AC$1006:$AS$1006,0)), HYPERLINK("#",""), HYPERLINK(CONCATENATE("#metadata!", ADDRESS(INDEX($X$2:$X$1001,MATCH(ROWS($V$2:V860),$V$2:$V$1001,0),0), INDEX($AC$1004:$AS$1004,1,MATCH(COLUMNS($AC$1006:AL1006),$AC$1006:$AS$1006,0)))),"Fix")))</f>
        <v xml:space="preserve"> </v>
      </c>
      <c r="L860" s="4" t="str">
        <f ca="1">IF(OR(INDEX($W$2:$W$1001,MATCH(ROWS($V$2:V860),$V$2:$V$1001,0),1)&gt;=100000,INDEX($AC$1005:$AS$1005,1,MATCH(COLUMNS($AC$1006:AM1006),$AC$1006:$AS$1006,0))&gt;=100000), " ",IF(INDEX($AC$2:$AS$1001,MATCH(ROWS($V$2:V860),$V$2:$V$1001,0),MATCH(COLUMNS($AC$1006:AM1006),$AC$1006:$AS$1006,0)), HYPERLINK("#",""), HYPERLINK(CONCATENATE("#metadata!", ADDRESS(INDEX($X$2:$X$1001,MATCH(ROWS($V$2:V860),$V$2:$V$1001,0),0), INDEX($AC$1004:$AS$1004,1,MATCH(COLUMNS($AC$1006:AM1006),$AC$1006:$AS$1006,0)))),"Fix")))</f>
        <v xml:space="preserve"> </v>
      </c>
      <c r="M860" s="4" t="str">
        <f ca="1">IF(OR(INDEX($W$2:$W$1001,MATCH(ROWS($V$2:V860),$V$2:$V$1001,0),1)&gt;=100000,INDEX($AC$1005:$AS$1005,1,MATCH(COLUMNS($AC$1006:AN1006),$AC$1006:$AS$1006,0))&gt;=100000), " ",IF(INDEX($AC$2:$AS$1001,MATCH(ROWS($V$2:V860),$V$2:$V$1001,0),MATCH(COLUMNS($AC$1006:AN1006),$AC$1006:$AS$1006,0)), HYPERLINK("#",""), HYPERLINK(CONCATENATE("#metadata!", ADDRESS(INDEX($X$2:$X$1001,MATCH(ROWS($V$2:V860),$V$2:$V$1001,0),0), INDEX($AC$1004:$AS$1004,1,MATCH(COLUMNS($AC$1006:AN1006),$AC$1006:$AS$1006,0)))),"Fix")))</f>
        <v xml:space="preserve"> </v>
      </c>
      <c r="N860" s="4" t="str">
        <f ca="1">IF(OR(INDEX($W$2:$W$1001,MATCH(ROWS($V$2:V860),$V$2:$V$1001,0),1)&gt;=100000,INDEX($AC$1005:$AS$1005,1,MATCH(COLUMNS($AC$1006:AO1006),$AC$1006:$AS$1006,0))&gt;=100000), " ",IF(INDEX($AC$2:$AS$1001,MATCH(ROWS($V$2:V860),$V$2:$V$1001,0),MATCH(COLUMNS($AC$1006:AO1006),$AC$1006:$AS$1006,0)), HYPERLINK("#",""), HYPERLINK(CONCATENATE("#metadata!", ADDRESS(INDEX($X$2:$X$1001,MATCH(ROWS($V$2:V860),$V$2:$V$1001,0),0), INDEX($AC$1004:$AS$1004,1,MATCH(COLUMNS($AC$1006:AO1006),$AC$1006:$AS$1006,0)))),"Fix")))</f>
        <v xml:space="preserve"> </v>
      </c>
      <c r="O860" s="4" t="str">
        <f ca="1">IF(OR(INDEX($W$2:$W$1001,MATCH(ROWS($V$2:V860),$V$2:$V$1001,0),1)&gt;=100000,INDEX($AC$1005:$AS$1005,1,MATCH(COLUMNS($AC$1006:AP1006),$AC$1006:$AS$1006,0))&gt;=100000), " ",IF(INDEX($AC$2:$AS$1001,MATCH(ROWS($V$2:V860),$V$2:$V$1001,0),MATCH(COLUMNS($AC$1006:AP1006),$AC$1006:$AS$1006,0)), HYPERLINK("#",""), HYPERLINK(CONCATENATE("#metadata!", ADDRESS(INDEX($X$2:$X$1001,MATCH(ROWS($V$2:V860),$V$2:$V$1001,0),0), INDEX($AC$1004:$AS$1004,1,MATCH(COLUMNS($AC$1006:AP1006),$AC$1006:$AS$1006,0)))),"Fix")))</f>
        <v xml:space="preserve"> </v>
      </c>
      <c r="P860" s="4" t="str">
        <f ca="1">IF(OR(INDEX($W$2:$W$1001,MATCH(ROWS($V$2:V860),$V$2:$V$1001,0),1)&gt;=100000,INDEX($AC$1005:$AS$1005,1,MATCH(COLUMNS($AC$1006:AQ1006),$AC$1006:$AS$1006,0))&gt;=100000), " ",IF(INDEX($AC$2:$AS$1001,MATCH(ROWS($V$2:V860),$V$2:$V$1001,0),MATCH(COLUMNS($AC$1006:AQ1006),$AC$1006:$AS$1006,0)), HYPERLINK("#",""), HYPERLINK(CONCATENATE("#metadata!", ADDRESS(INDEX($X$2:$X$1001,MATCH(ROWS($V$2:V860),$V$2:$V$1001,0),0), INDEX($AC$1004:$AS$1004,1,MATCH(COLUMNS($AC$1006:AQ1006),$AC$1006:$AS$1006,0)))),"Fix")))</f>
        <v xml:space="preserve"> </v>
      </c>
      <c r="Q860" s="4" t="str">
        <f ca="1">IF(OR(INDEX($W$2:$W$1001,MATCH(ROWS($V$2:V860),$V$2:$V$1001,0),1)&gt;=100000,INDEX($AC$1005:$AS$1005,1,MATCH(COLUMNS($AC$1006:AR1006),$AC$1006:$AS$1006,0))&gt;=100000), " ",IF(INDEX($AC$2:$AS$1001,MATCH(ROWS($V$2:V860),$V$2:$V$1001,0),MATCH(COLUMNS($AC$1006:AR1006),$AC$1006:$AS$1006,0)), HYPERLINK("#",""), HYPERLINK(CONCATENATE("#metadata!", ADDRESS(INDEX($X$2:$X$1001,MATCH(ROWS($V$2:V860),$V$2:$V$1001,0),0), INDEX($AC$1004:$AS$1004,1,MATCH(COLUMNS($AC$1006:AR1006),$AC$1006:$AS$1006,0)))),"Fix")))</f>
        <v xml:space="preserve"> </v>
      </c>
      <c r="R860" s="4" t="str">
        <f ca="1">IF(OR(INDEX($W$2:$W$1001,MATCH(ROWS($V$2:V860),$V$2:$V$1001,0),1)&gt;=100000,INDEX($AC$1005:$AS$1005,1,MATCH(COLUMNS($AC$1006:AS1006),$AC$1006:$AS$1006,0))&gt;=100000), " ",IF(INDEX($AC$2:$AS$1001,MATCH(ROWS($V$2:V860),$V$2:$V$1001,0),MATCH(COLUMNS($AC$1006:AS1006),$AC$1006:$AS$1006,0)), HYPERLINK("#",""), HYPERLINK(CONCATENATE("#metadata!", ADDRESS(INDEX($X$2:$X$1001,MATCH(ROWS($V$2:V860),$V$2:$V$1001,0),0), INDEX($AC$1004:$AS$1004,1,MATCH(COLUMNS($AC$1006:AS1006),$AC$1006:$AS$1006,0)))),"Fix")))</f>
        <v xml:space="preserve"> </v>
      </c>
      <c r="V860">
        <v>859</v>
      </c>
      <c r="W860">
        <v>100860</v>
      </c>
      <c r="X860">
        <v>860</v>
      </c>
      <c r="Y860" t="b">
        <f t="shared" si="13"/>
        <v>1</v>
      </c>
      <c r="Z860" t="b">
        <f>COUNTBLANK(metadata!B860:R860)=COLUMNS(metadata!B860:R860)</f>
        <v>1</v>
      </c>
      <c r="AA860" t="str">
        <v/>
      </c>
      <c r="AC860" t="b">
        <f ca="1"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AD860" t="b">
        <f>IF(metadata!C860="",FALSE,ISNUMBER(VALUE(metadata!C860)))</f>
        <v>0</v>
      </c>
      <c r="AE860" t="b">
        <f>AND(IF(metadata!D860="",FALSE,TRUE),EXACT(metadata!D860,"years"))</f>
        <v>0</v>
      </c>
      <c r="AF860" t="b">
        <f>OR(AND(IF(metadata!E860="",FALSE,TRUE),OR(EXACT(metadata!E860,"not applicable"),EXACT(metadata!E860,"missing: not collected"),EXACT(metadata!E860,"missing: not provided"),EXACT(metadata!E860,"missing: restricted access"))),AND(IF(metadata!E860="",FALSE,ISNUMBER(VALUE(metadata!E860))),metadata!E860&gt;0))</f>
        <v>0</v>
      </c>
      <c r="AG860" t="b">
        <f>AND(IF(metadata!F860="",FALSE,TRUE),EXACT(metadata!F860,"Not applicable"))</f>
        <v>0</v>
      </c>
      <c r="AH860" t="b">
        <f>AND(IF(metadata!G860="",FALSE,TRUE),EXACT(metadata!G860,"urban biome"))</f>
        <v>0</v>
      </c>
      <c r="AI860" t="b">
        <f>AND(IF(metadata!H860="",FALSE,TRUE),EXACT(metadata!H860,"human-associated habitat"))</f>
        <v>0</v>
      </c>
      <c r="AJ860" t="b">
        <f>AND(IF(metadata!I860="",FALSE,TRUE),OR(EXACT(metadata!I860,"human-associated"),EXACT(metadata!I860,"human-skin"),EXACT(metadata!I860,"human-oral"),EXACT(metadata!I860,"human-gut"),EXACT(metadata!I860,"human-vaginal")))</f>
        <v>0</v>
      </c>
      <c r="AK860" t="b">
        <f>IF(metadata!J860="",FALSE,ISNUMBER(VALUE(metadata!J860)))</f>
        <v>0</v>
      </c>
      <c r="AL860" t="b">
        <f>AND(IF(metadata!K860="",FALSE,TRUE),EXACT(metadata!K860,"cm"))</f>
        <v>0</v>
      </c>
      <c r="AM860" t="b">
        <f>AND(IF(metadata!L860="",FALSE,TRUE),EXACT(metadata!L860,"human"))</f>
        <v>0</v>
      </c>
      <c r="AN860" t="b">
        <f>AND(IF(metadata!M860="",FALSE,TRUE),EXACT(metadata!M860,"Homo sapiens"))</f>
        <v>0</v>
      </c>
      <c r="AO860" t="b">
        <f>AND(IF(metadata!N860="",FALSE,TRUE),EXACT(metadata!N860,"9606"))</f>
        <v>0</v>
      </c>
      <c r="AP860" t="b">
        <f>IF(metadata!O860="",FALSE,TRUE)</f>
        <v>0</v>
      </c>
      <c r="AQ860" t="b">
        <f>IF(metadata!P860="",FALSE,TRUE)</f>
        <v>0</v>
      </c>
      <c r="AR860" t="b">
        <f>IF(metadata!Q860="",FALSE,ISNUMBER(VALUE(metadata!Q860)))</f>
        <v>0</v>
      </c>
      <c r="AS860" t="b">
        <f>AND(IF(metadata!R860="",FALSE,TRUE),EXACT(metadata!R860,"kg"))</f>
        <v>0</v>
      </c>
    </row>
    <row r="861" spans="1:45" x14ac:dyDescent="0.2">
      <c r="A861" s="5" t="str">
        <f ca="1">IF(B861=" "," ",HYPERLINK(CONCATENATE("#metadata!",ADDRESS(INDEX($X$2:$X$1001,MATCH(ROWS($V$2:V861),$V$2:$V$1001,0),0),1)),INDEX($AA$2:$AA$1001,MATCH(ROWS($V$2:V861),$V$2:$V$1001,0),0)))</f>
        <v xml:space="preserve"> </v>
      </c>
      <c r="B861" s="4" t="str">
        <f ca="1">IF(OR(INDEX($W$2:$W$1001,MATCH(ROWS($V$2:V861),$V$2:$V$1001,0),1)&gt;=100000,INDEX($AC$1005:$AS$1005,1,MATCH(COLUMNS($AC$1006:AC1006),$AC$1006:$AS$1006,0))&gt;=100000), " ",IF(INDEX($AC$2:$AS$1001,MATCH(ROWS($V$2:V861),$V$2:$V$1001,0),MATCH(COLUMNS($AC$1006:AC1006),$AC$1006:$AS$1006,0)), HYPERLINK("#",""), HYPERLINK(CONCATENATE("#metadata!", ADDRESS(INDEX($X$2:$X$1001,MATCH(ROWS($V$2:V861),$V$2:$V$1001,0),0), INDEX($AC$1004:$AS$1004,1,MATCH(COLUMNS($AC$1006:AC1006),$AC$1006:$AS$1006,0)))),"Fix")))</f>
        <v xml:space="preserve"> </v>
      </c>
      <c r="C861" s="4" t="str">
        <f ca="1">IF(OR(INDEX($W$2:$W$1001,MATCH(ROWS($V$2:V861),$V$2:$V$1001,0),1)&gt;=100000,INDEX($AC$1005:$AS$1005,1,MATCH(COLUMNS($AC$1006:AD1006),$AC$1006:$AS$1006,0))&gt;=100000), " ",IF(INDEX($AC$2:$AS$1001,MATCH(ROWS($V$2:V861),$V$2:$V$1001,0),MATCH(COLUMNS($AC$1006:AD1006),$AC$1006:$AS$1006,0)), HYPERLINK("#",""), HYPERLINK(CONCATENATE("#metadata!", ADDRESS(INDEX($X$2:$X$1001,MATCH(ROWS($V$2:V861),$V$2:$V$1001,0),0), INDEX($AC$1004:$AS$1004,1,MATCH(COLUMNS($AC$1006:AD1006),$AC$1006:$AS$1006,0)))),"Fix")))</f>
        <v xml:space="preserve"> </v>
      </c>
      <c r="D861" s="4" t="str">
        <f ca="1">IF(OR(INDEX($W$2:$W$1001,MATCH(ROWS($V$2:V861),$V$2:$V$1001,0),1)&gt;=100000,INDEX($AC$1005:$AS$1005,1,MATCH(COLUMNS($AC$1006:AE1006),$AC$1006:$AS$1006,0))&gt;=100000), " ",IF(INDEX($AC$2:$AS$1001,MATCH(ROWS($V$2:V861),$V$2:$V$1001,0),MATCH(COLUMNS($AC$1006:AE1006),$AC$1006:$AS$1006,0)), HYPERLINK("#",""), HYPERLINK(CONCATENATE("#metadata!", ADDRESS(INDEX($X$2:$X$1001,MATCH(ROWS($V$2:V861),$V$2:$V$1001,0),0), INDEX($AC$1004:$AS$1004,1,MATCH(COLUMNS($AC$1006:AE1006),$AC$1006:$AS$1006,0)))),"Fix")))</f>
        <v xml:space="preserve"> </v>
      </c>
      <c r="E861" s="4" t="str">
        <f ca="1">IF(OR(INDEX($W$2:$W$1001,MATCH(ROWS($V$2:V861),$V$2:$V$1001,0),1)&gt;=100000,INDEX($AC$1005:$AS$1005,1,MATCH(COLUMNS($AC$1006:AF1006),$AC$1006:$AS$1006,0))&gt;=100000), " ",IF(INDEX($AC$2:$AS$1001,MATCH(ROWS($V$2:V861),$V$2:$V$1001,0),MATCH(COLUMNS($AC$1006:AF1006),$AC$1006:$AS$1006,0)), HYPERLINK("#",""), HYPERLINK(CONCATENATE("#metadata!", ADDRESS(INDEX($X$2:$X$1001,MATCH(ROWS($V$2:V861),$V$2:$V$1001,0),0), INDEX($AC$1004:$AS$1004,1,MATCH(COLUMNS($AC$1006:AF1006),$AC$1006:$AS$1006,0)))),"Fix")))</f>
        <v xml:space="preserve"> </v>
      </c>
      <c r="F861" s="4" t="str">
        <f ca="1">IF(OR(INDEX($W$2:$W$1001,MATCH(ROWS($V$2:V861),$V$2:$V$1001,0),1)&gt;=100000,INDEX($AC$1005:$AS$1005,1,MATCH(COLUMNS($AC$1006:AG1006),$AC$1006:$AS$1006,0))&gt;=100000), " ",IF(INDEX($AC$2:$AS$1001,MATCH(ROWS($V$2:V861),$V$2:$V$1001,0),MATCH(COLUMNS($AC$1006:AG1006),$AC$1006:$AS$1006,0)), HYPERLINK("#",""), HYPERLINK(CONCATENATE("#metadata!", ADDRESS(INDEX($X$2:$X$1001,MATCH(ROWS($V$2:V861),$V$2:$V$1001,0),0), INDEX($AC$1004:$AS$1004,1,MATCH(COLUMNS($AC$1006:AG1006),$AC$1006:$AS$1006,0)))),"Fix")))</f>
        <v xml:space="preserve"> </v>
      </c>
      <c r="G861" s="4" t="str">
        <f ca="1">IF(OR(INDEX($W$2:$W$1001,MATCH(ROWS($V$2:V861),$V$2:$V$1001,0),1)&gt;=100000,INDEX($AC$1005:$AS$1005,1,MATCH(COLUMNS($AC$1006:AH1006),$AC$1006:$AS$1006,0))&gt;=100000), " ",IF(INDEX($AC$2:$AS$1001,MATCH(ROWS($V$2:V861),$V$2:$V$1001,0),MATCH(COLUMNS($AC$1006:AH1006),$AC$1006:$AS$1006,0)), HYPERLINK("#",""), HYPERLINK(CONCATENATE("#metadata!", ADDRESS(INDEX($X$2:$X$1001,MATCH(ROWS($V$2:V861),$V$2:$V$1001,0),0), INDEX($AC$1004:$AS$1004,1,MATCH(COLUMNS($AC$1006:AH1006),$AC$1006:$AS$1006,0)))),"Fix")))</f>
        <v xml:space="preserve"> </v>
      </c>
      <c r="H861" s="4" t="str">
        <f ca="1">IF(OR(INDEX($W$2:$W$1001,MATCH(ROWS($V$2:V861),$V$2:$V$1001,0),1)&gt;=100000,INDEX($AC$1005:$AS$1005,1,MATCH(COLUMNS($AC$1006:AI1006),$AC$1006:$AS$1006,0))&gt;=100000), " ",IF(INDEX($AC$2:$AS$1001,MATCH(ROWS($V$2:V861),$V$2:$V$1001,0),MATCH(COLUMNS($AC$1006:AI1006),$AC$1006:$AS$1006,0)), HYPERLINK("#",""), HYPERLINK(CONCATENATE("#metadata!", ADDRESS(INDEX($X$2:$X$1001,MATCH(ROWS($V$2:V861),$V$2:$V$1001,0),0), INDEX($AC$1004:$AS$1004,1,MATCH(COLUMNS($AC$1006:AI1006),$AC$1006:$AS$1006,0)))),"Fix")))</f>
        <v xml:space="preserve"> </v>
      </c>
      <c r="I861" s="4" t="str">
        <f ca="1">IF(OR(INDEX($W$2:$W$1001,MATCH(ROWS($V$2:V861),$V$2:$V$1001,0),1)&gt;=100000,INDEX($AC$1005:$AS$1005,1,MATCH(COLUMNS($AC$1006:AJ1006),$AC$1006:$AS$1006,0))&gt;=100000), " ",IF(INDEX($AC$2:$AS$1001,MATCH(ROWS($V$2:V861),$V$2:$V$1001,0),MATCH(COLUMNS($AC$1006:AJ1006),$AC$1006:$AS$1006,0)), HYPERLINK("#",""), HYPERLINK(CONCATENATE("#metadata!", ADDRESS(INDEX($X$2:$X$1001,MATCH(ROWS($V$2:V861),$V$2:$V$1001,0),0), INDEX($AC$1004:$AS$1004,1,MATCH(COLUMNS($AC$1006:AJ1006),$AC$1006:$AS$1006,0)))),"Fix")))</f>
        <v xml:space="preserve"> </v>
      </c>
      <c r="J861" s="4" t="str">
        <f ca="1">IF(OR(INDEX($W$2:$W$1001,MATCH(ROWS($V$2:V861),$V$2:$V$1001,0),1)&gt;=100000,INDEX($AC$1005:$AS$1005,1,MATCH(COLUMNS($AC$1006:AK1006),$AC$1006:$AS$1006,0))&gt;=100000), " ",IF(INDEX($AC$2:$AS$1001,MATCH(ROWS($V$2:V861),$V$2:$V$1001,0),MATCH(COLUMNS($AC$1006:AK1006),$AC$1006:$AS$1006,0)), HYPERLINK("#",""), HYPERLINK(CONCATENATE("#metadata!", ADDRESS(INDEX($X$2:$X$1001,MATCH(ROWS($V$2:V861),$V$2:$V$1001,0),0), INDEX($AC$1004:$AS$1004,1,MATCH(COLUMNS($AC$1006:AK1006),$AC$1006:$AS$1006,0)))),"Fix")))</f>
        <v xml:space="preserve"> </v>
      </c>
      <c r="K861" s="4" t="str">
        <f ca="1">IF(OR(INDEX($W$2:$W$1001,MATCH(ROWS($V$2:V861),$V$2:$V$1001,0),1)&gt;=100000,INDEX($AC$1005:$AS$1005,1,MATCH(COLUMNS($AC$1006:AL1006),$AC$1006:$AS$1006,0))&gt;=100000), " ",IF(INDEX($AC$2:$AS$1001,MATCH(ROWS($V$2:V861),$V$2:$V$1001,0),MATCH(COLUMNS($AC$1006:AL1006),$AC$1006:$AS$1006,0)), HYPERLINK("#",""), HYPERLINK(CONCATENATE("#metadata!", ADDRESS(INDEX($X$2:$X$1001,MATCH(ROWS($V$2:V861),$V$2:$V$1001,0),0), INDEX($AC$1004:$AS$1004,1,MATCH(COLUMNS($AC$1006:AL1006),$AC$1006:$AS$1006,0)))),"Fix")))</f>
        <v xml:space="preserve"> </v>
      </c>
      <c r="L861" s="4" t="str">
        <f ca="1">IF(OR(INDEX($W$2:$W$1001,MATCH(ROWS($V$2:V861),$V$2:$V$1001,0),1)&gt;=100000,INDEX($AC$1005:$AS$1005,1,MATCH(COLUMNS($AC$1006:AM1006),$AC$1006:$AS$1006,0))&gt;=100000), " ",IF(INDEX($AC$2:$AS$1001,MATCH(ROWS($V$2:V861),$V$2:$V$1001,0),MATCH(COLUMNS($AC$1006:AM1006),$AC$1006:$AS$1006,0)), HYPERLINK("#",""), HYPERLINK(CONCATENATE("#metadata!", ADDRESS(INDEX($X$2:$X$1001,MATCH(ROWS($V$2:V861),$V$2:$V$1001,0),0), INDEX($AC$1004:$AS$1004,1,MATCH(COLUMNS($AC$1006:AM1006),$AC$1006:$AS$1006,0)))),"Fix")))</f>
        <v xml:space="preserve"> </v>
      </c>
      <c r="M861" s="4" t="str">
        <f ca="1">IF(OR(INDEX($W$2:$W$1001,MATCH(ROWS($V$2:V861),$V$2:$V$1001,0),1)&gt;=100000,INDEX($AC$1005:$AS$1005,1,MATCH(COLUMNS($AC$1006:AN1006),$AC$1006:$AS$1006,0))&gt;=100000), " ",IF(INDEX($AC$2:$AS$1001,MATCH(ROWS($V$2:V861),$V$2:$V$1001,0),MATCH(COLUMNS($AC$1006:AN1006),$AC$1006:$AS$1006,0)), HYPERLINK("#",""), HYPERLINK(CONCATENATE("#metadata!", ADDRESS(INDEX($X$2:$X$1001,MATCH(ROWS($V$2:V861),$V$2:$V$1001,0),0), INDEX($AC$1004:$AS$1004,1,MATCH(COLUMNS($AC$1006:AN1006),$AC$1006:$AS$1006,0)))),"Fix")))</f>
        <v xml:space="preserve"> </v>
      </c>
      <c r="N861" s="4" t="str">
        <f ca="1">IF(OR(INDEX($W$2:$W$1001,MATCH(ROWS($V$2:V861),$V$2:$V$1001,0),1)&gt;=100000,INDEX($AC$1005:$AS$1005,1,MATCH(COLUMNS($AC$1006:AO1006),$AC$1006:$AS$1006,0))&gt;=100000), " ",IF(INDEX($AC$2:$AS$1001,MATCH(ROWS($V$2:V861),$V$2:$V$1001,0),MATCH(COLUMNS($AC$1006:AO1006),$AC$1006:$AS$1006,0)), HYPERLINK("#",""), HYPERLINK(CONCATENATE("#metadata!", ADDRESS(INDEX($X$2:$X$1001,MATCH(ROWS($V$2:V861),$V$2:$V$1001,0),0), INDEX($AC$1004:$AS$1004,1,MATCH(COLUMNS($AC$1006:AO1006),$AC$1006:$AS$1006,0)))),"Fix")))</f>
        <v xml:space="preserve"> </v>
      </c>
      <c r="O861" s="4" t="str">
        <f ca="1">IF(OR(INDEX($W$2:$W$1001,MATCH(ROWS($V$2:V861),$V$2:$V$1001,0),1)&gt;=100000,INDEX($AC$1005:$AS$1005,1,MATCH(COLUMNS($AC$1006:AP1006),$AC$1006:$AS$1006,0))&gt;=100000), " ",IF(INDEX($AC$2:$AS$1001,MATCH(ROWS($V$2:V861),$V$2:$V$1001,0),MATCH(COLUMNS($AC$1006:AP1006),$AC$1006:$AS$1006,0)), HYPERLINK("#",""), HYPERLINK(CONCATENATE("#metadata!", ADDRESS(INDEX($X$2:$X$1001,MATCH(ROWS($V$2:V861),$V$2:$V$1001,0),0), INDEX($AC$1004:$AS$1004,1,MATCH(COLUMNS($AC$1006:AP1006),$AC$1006:$AS$1006,0)))),"Fix")))</f>
        <v xml:space="preserve"> </v>
      </c>
      <c r="P861" s="4" t="str">
        <f ca="1">IF(OR(INDEX($W$2:$W$1001,MATCH(ROWS($V$2:V861),$V$2:$V$1001,0),1)&gt;=100000,INDEX($AC$1005:$AS$1005,1,MATCH(COLUMNS($AC$1006:AQ1006),$AC$1006:$AS$1006,0))&gt;=100000), " ",IF(INDEX($AC$2:$AS$1001,MATCH(ROWS($V$2:V861),$V$2:$V$1001,0),MATCH(COLUMNS($AC$1006:AQ1006),$AC$1006:$AS$1006,0)), HYPERLINK("#",""), HYPERLINK(CONCATENATE("#metadata!", ADDRESS(INDEX($X$2:$X$1001,MATCH(ROWS($V$2:V861),$V$2:$V$1001,0),0), INDEX($AC$1004:$AS$1004,1,MATCH(COLUMNS($AC$1006:AQ1006),$AC$1006:$AS$1006,0)))),"Fix")))</f>
        <v xml:space="preserve"> </v>
      </c>
      <c r="Q861" s="4" t="str">
        <f ca="1">IF(OR(INDEX($W$2:$W$1001,MATCH(ROWS($V$2:V861),$V$2:$V$1001,0),1)&gt;=100000,INDEX($AC$1005:$AS$1005,1,MATCH(COLUMNS($AC$1006:AR1006),$AC$1006:$AS$1006,0))&gt;=100000), " ",IF(INDEX($AC$2:$AS$1001,MATCH(ROWS($V$2:V861),$V$2:$V$1001,0),MATCH(COLUMNS($AC$1006:AR1006),$AC$1006:$AS$1006,0)), HYPERLINK("#",""), HYPERLINK(CONCATENATE("#metadata!", ADDRESS(INDEX($X$2:$X$1001,MATCH(ROWS($V$2:V861),$V$2:$V$1001,0),0), INDEX($AC$1004:$AS$1004,1,MATCH(COLUMNS($AC$1006:AR1006),$AC$1006:$AS$1006,0)))),"Fix")))</f>
        <v xml:space="preserve"> </v>
      </c>
      <c r="R861" s="4" t="str">
        <f ca="1">IF(OR(INDEX($W$2:$W$1001,MATCH(ROWS($V$2:V861),$V$2:$V$1001,0),1)&gt;=100000,INDEX($AC$1005:$AS$1005,1,MATCH(COLUMNS($AC$1006:AS1006),$AC$1006:$AS$1006,0))&gt;=100000), " ",IF(INDEX($AC$2:$AS$1001,MATCH(ROWS($V$2:V861),$V$2:$V$1001,0),MATCH(COLUMNS($AC$1006:AS1006),$AC$1006:$AS$1006,0)), HYPERLINK("#",""), HYPERLINK(CONCATENATE("#metadata!", ADDRESS(INDEX($X$2:$X$1001,MATCH(ROWS($V$2:V861),$V$2:$V$1001,0),0), INDEX($AC$1004:$AS$1004,1,MATCH(COLUMNS($AC$1006:AS1006),$AC$1006:$AS$1006,0)))),"Fix")))</f>
        <v xml:space="preserve"> </v>
      </c>
      <c r="V861">
        <v>860</v>
      </c>
      <c r="W861">
        <v>100861</v>
      </c>
      <c r="X861">
        <v>861</v>
      </c>
      <c r="Y861" t="b">
        <f t="shared" si="13"/>
        <v>1</v>
      </c>
      <c r="Z861" t="b">
        <f>COUNTBLANK(metadata!B861:R861)=COLUMNS(metadata!B861:R861)</f>
        <v>1</v>
      </c>
      <c r="AA861" t="str">
        <v/>
      </c>
      <c r="AC861" t="b">
        <f ca="1"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AD861" t="b">
        <f>IF(metadata!C861="",FALSE,ISNUMBER(VALUE(metadata!C861)))</f>
        <v>0</v>
      </c>
      <c r="AE861" t="b">
        <f>AND(IF(metadata!D861="",FALSE,TRUE),EXACT(metadata!D861,"years"))</f>
        <v>0</v>
      </c>
      <c r="AF861" t="b">
        <f>OR(AND(IF(metadata!E861="",FALSE,TRUE),OR(EXACT(metadata!E861,"not applicable"),EXACT(metadata!E861,"missing: not collected"),EXACT(metadata!E861,"missing: not provided"),EXACT(metadata!E861,"missing: restricted access"))),AND(IF(metadata!E861="",FALSE,ISNUMBER(VALUE(metadata!E861))),metadata!E861&gt;0))</f>
        <v>0</v>
      </c>
      <c r="AG861" t="b">
        <f>AND(IF(metadata!F861="",FALSE,TRUE),EXACT(metadata!F861,"Not applicable"))</f>
        <v>0</v>
      </c>
      <c r="AH861" t="b">
        <f>AND(IF(metadata!G861="",FALSE,TRUE),EXACT(metadata!G861,"urban biome"))</f>
        <v>0</v>
      </c>
      <c r="AI861" t="b">
        <f>AND(IF(metadata!H861="",FALSE,TRUE),EXACT(metadata!H861,"human-associated habitat"))</f>
        <v>0</v>
      </c>
      <c r="AJ861" t="b">
        <f>AND(IF(metadata!I861="",FALSE,TRUE),OR(EXACT(metadata!I861,"human-associated"),EXACT(metadata!I861,"human-skin"),EXACT(metadata!I861,"human-oral"),EXACT(metadata!I861,"human-gut"),EXACT(metadata!I861,"human-vaginal")))</f>
        <v>0</v>
      </c>
      <c r="AK861" t="b">
        <f>IF(metadata!J861="",FALSE,ISNUMBER(VALUE(metadata!J861)))</f>
        <v>0</v>
      </c>
      <c r="AL861" t="b">
        <f>AND(IF(metadata!K861="",FALSE,TRUE),EXACT(metadata!K861,"cm"))</f>
        <v>0</v>
      </c>
      <c r="AM861" t="b">
        <f>AND(IF(metadata!L861="",FALSE,TRUE),EXACT(metadata!L861,"human"))</f>
        <v>0</v>
      </c>
      <c r="AN861" t="b">
        <f>AND(IF(metadata!M861="",FALSE,TRUE),EXACT(metadata!M861,"Homo sapiens"))</f>
        <v>0</v>
      </c>
      <c r="AO861" t="b">
        <f>AND(IF(metadata!N861="",FALSE,TRUE),EXACT(metadata!N861,"9606"))</f>
        <v>0</v>
      </c>
      <c r="AP861" t="b">
        <f>IF(metadata!O861="",FALSE,TRUE)</f>
        <v>0</v>
      </c>
      <c r="AQ861" t="b">
        <f>IF(metadata!P861="",FALSE,TRUE)</f>
        <v>0</v>
      </c>
      <c r="AR861" t="b">
        <f>IF(metadata!Q861="",FALSE,ISNUMBER(VALUE(metadata!Q861)))</f>
        <v>0</v>
      </c>
      <c r="AS861" t="b">
        <f>AND(IF(metadata!R861="",FALSE,TRUE),EXACT(metadata!R861,"kg"))</f>
        <v>0</v>
      </c>
    </row>
    <row r="862" spans="1:45" x14ac:dyDescent="0.2">
      <c r="A862" s="5" t="str">
        <f ca="1">IF(B862=" "," ",HYPERLINK(CONCATENATE("#metadata!",ADDRESS(INDEX($X$2:$X$1001,MATCH(ROWS($V$2:V862),$V$2:$V$1001,0),0),1)),INDEX($AA$2:$AA$1001,MATCH(ROWS($V$2:V862),$V$2:$V$1001,0),0)))</f>
        <v xml:space="preserve"> </v>
      </c>
      <c r="B862" s="4" t="str">
        <f ca="1">IF(OR(INDEX($W$2:$W$1001,MATCH(ROWS($V$2:V862),$V$2:$V$1001,0),1)&gt;=100000,INDEX($AC$1005:$AS$1005,1,MATCH(COLUMNS($AC$1006:AC1006),$AC$1006:$AS$1006,0))&gt;=100000), " ",IF(INDEX($AC$2:$AS$1001,MATCH(ROWS($V$2:V862),$V$2:$V$1001,0),MATCH(COLUMNS($AC$1006:AC1006),$AC$1006:$AS$1006,0)), HYPERLINK("#",""), HYPERLINK(CONCATENATE("#metadata!", ADDRESS(INDEX($X$2:$X$1001,MATCH(ROWS($V$2:V862),$V$2:$V$1001,0),0), INDEX($AC$1004:$AS$1004,1,MATCH(COLUMNS($AC$1006:AC1006),$AC$1006:$AS$1006,0)))),"Fix")))</f>
        <v xml:space="preserve"> </v>
      </c>
      <c r="C862" s="4" t="str">
        <f ca="1">IF(OR(INDEX($W$2:$W$1001,MATCH(ROWS($V$2:V862),$V$2:$V$1001,0),1)&gt;=100000,INDEX($AC$1005:$AS$1005,1,MATCH(COLUMNS($AC$1006:AD1006),$AC$1006:$AS$1006,0))&gt;=100000), " ",IF(INDEX($AC$2:$AS$1001,MATCH(ROWS($V$2:V862),$V$2:$V$1001,0),MATCH(COLUMNS($AC$1006:AD1006),$AC$1006:$AS$1006,0)), HYPERLINK("#",""), HYPERLINK(CONCATENATE("#metadata!", ADDRESS(INDEX($X$2:$X$1001,MATCH(ROWS($V$2:V862),$V$2:$V$1001,0),0), INDEX($AC$1004:$AS$1004,1,MATCH(COLUMNS($AC$1006:AD1006),$AC$1006:$AS$1006,0)))),"Fix")))</f>
        <v xml:space="preserve"> </v>
      </c>
      <c r="D862" s="4" t="str">
        <f ca="1">IF(OR(INDEX($W$2:$W$1001,MATCH(ROWS($V$2:V862),$V$2:$V$1001,0),1)&gt;=100000,INDEX($AC$1005:$AS$1005,1,MATCH(COLUMNS($AC$1006:AE1006),$AC$1006:$AS$1006,0))&gt;=100000), " ",IF(INDEX($AC$2:$AS$1001,MATCH(ROWS($V$2:V862),$V$2:$V$1001,0),MATCH(COLUMNS($AC$1006:AE1006),$AC$1006:$AS$1006,0)), HYPERLINK("#",""), HYPERLINK(CONCATENATE("#metadata!", ADDRESS(INDEX($X$2:$X$1001,MATCH(ROWS($V$2:V862),$V$2:$V$1001,0),0), INDEX($AC$1004:$AS$1004,1,MATCH(COLUMNS($AC$1006:AE1006),$AC$1006:$AS$1006,0)))),"Fix")))</f>
        <v xml:space="preserve"> </v>
      </c>
      <c r="E862" s="4" t="str">
        <f ca="1">IF(OR(INDEX($W$2:$W$1001,MATCH(ROWS($V$2:V862),$V$2:$V$1001,0),1)&gt;=100000,INDEX($AC$1005:$AS$1005,1,MATCH(COLUMNS($AC$1006:AF1006),$AC$1006:$AS$1006,0))&gt;=100000), " ",IF(INDEX($AC$2:$AS$1001,MATCH(ROWS($V$2:V862),$V$2:$V$1001,0),MATCH(COLUMNS($AC$1006:AF1006),$AC$1006:$AS$1006,0)), HYPERLINK("#",""), HYPERLINK(CONCATENATE("#metadata!", ADDRESS(INDEX($X$2:$X$1001,MATCH(ROWS($V$2:V862),$V$2:$V$1001,0),0), INDEX($AC$1004:$AS$1004,1,MATCH(COLUMNS($AC$1006:AF1006),$AC$1006:$AS$1006,0)))),"Fix")))</f>
        <v xml:space="preserve"> </v>
      </c>
      <c r="F862" s="4" t="str">
        <f ca="1">IF(OR(INDEX($W$2:$W$1001,MATCH(ROWS($V$2:V862),$V$2:$V$1001,0),1)&gt;=100000,INDEX($AC$1005:$AS$1005,1,MATCH(COLUMNS($AC$1006:AG1006),$AC$1006:$AS$1006,0))&gt;=100000), " ",IF(INDEX($AC$2:$AS$1001,MATCH(ROWS($V$2:V862),$V$2:$V$1001,0),MATCH(COLUMNS($AC$1006:AG1006),$AC$1006:$AS$1006,0)), HYPERLINK("#",""), HYPERLINK(CONCATENATE("#metadata!", ADDRESS(INDEX($X$2:$X$1001,MATCH(ROWS($V$2:V862),$V$2:$V$1001,0),0), INDEX($AC$1004:$AS$1004,1,MATCH(COLUMNS($AC$1006:AG1006),$AC$1006:$AS$1006,0)))),"Fix")))</f>
        <v xml:space="preserve"> </v>
      </c>
      <c r="G862" s="4" t="str">
        <f ca="1">IF(OR(INDEX($W$2:$W$1001,MATCH(ROWS($V$2:V862),$V$2:$V$1001,0),1)&gt;=100000,INDEX($AC$1005:$AS$1005,1,MATCH(COLUMNS($AC$1006:AH1006),$AC$1006:$AS$1006,0))&gt;=100000), " ",IF(INDEX($AC$2:$AS$1001,MATCH(ROWS($V$2:V862),$V$2:$V$1001,0),MATCH(COLUMNS($AC$1006:AH1006),$AC$1006:$AS$1006,0)), HYPERLINK("#",""), HYPERLINK(CONCATENATE("#metadata!", ADDRESS(INDEX($X$2:$X$1001,MATCH(ROWS($V$2:V862),$V$2:$V$1001,0),0), INDEX($AC$1004:$AS$1004,1,MATCH(COLUMNS($AC$1006:AH1006),$AC$1006:$AS$1006,0)))),"Fix")))</f>
        <v xml:space="preserve"> </v>
      </c>
      <c r="H862" s="4" t="str">
        <f ca="1">IF(OR(INDEX($W$2:$W$1001,MATCH(ROWS($V$2:V862),$V$2:$V$1001,0),1)&gt;=100000,INDEX($AC$1005:$AS$1005,1,MATCH(COLUMNS($AC$1006:AI1006),$AC$1006:$AS$1006,0))&gt;=100000), " ",IF(INDEX($AC$2:$AS$1001,MATCH(ROWS($V$2:V862),$V$2:$V$1001,0),MATCH(COLUMNS($AC$1006:AI1006),$AC$1006:$AS$1006,0)), HYPERLINK("#",""), HYPERLINK(CONCATENATE("#metadata!", ADDRESS(INDEX($X$2:$X$1001,MATCH(ROWS($V$2:V862),$V$2:$V$1001,0),0), INDEX($AC$1004:$AS$1004,1,MATCH(COLUMNS($AC$1006:AI1006),$AC$1006:$AS$1006,0)))),"Fix")))</f>
        <v xml:space="preserve"> </v>
      </c>
      <c r="I862" s="4" t="str">
        <f ca="1">IF(OR(INDEX($W$2:$W$1001,MATCH(ROWS($V$2:V862),$V$2:$V$1001,0),1)&gt;=100000,INDEX($AC$1005:$AS$1005,1,MATCH(COLUMNS($AC$1006:AJ1006),$AC$1006:$AS$1006,0))&gt;=100000), " ",IF(INDEX($AC$2:$AS$1001,MATCH(ROWS($V$2:V862),$V$2:$V$1001,0),MATCH(COLUMNS($AC$1006:AJ1006),$AC$1006:$AS$1006,0)), HYPERLINK("#",""), HYPERLINK(CONCATENATE("#metadata!", ADDRESS(INDEX($X$2:$X$1001,MATCH(ROWS($V$2:V862),$V$2:$V$1001,0),0), INDEX($AC$1004:$AS$1004,1,MATCH(COLUMNS($AC$1006:AJ1006),$AC$1006:$AS$1006,0)))),"Fix")))</f>
        <v xml:space="preserve"> </v>
      </c>
      <c r="J862" s="4" t="str">
        <f ca="1">IF(OR(INDEX($W$2:$W$1001,MATCH(ROWS($V$2:V862),$V$2:$V$1001,0),1)&gt;=100000,INDEX($AC$1005:$AS$1005,1,MATCH(COLUMNS($AC$1006:AK1006),$AC$1006:$AS$1006,0))&gt;=100000), " ",IF(INDEX($AC$2:$AS$1001,MATCH(ROWS($V$2:V862),$V$2:$V$1001,0),MATCH(COLUMNS($AC$1006:AK1006),$AC$1006:$AS$1006,0)), HYPERLINK("#",""), HYPERLINK(CONCATENATE("#metadata!", ADDRESS(INDEX($X$2:$X$1001,MATCH(ROWS($V$2:V862),$V$2:$V$1001,0),0), INDEX($AC$1004:$AS$1004,1,MATCH(COLUMNS($AC$1006:AK1006),$AC$1006:$AS$1006,0)))),"Fix")))</f>
        <v xml:space="preserve"> </v>
      </c>
      <c r="K862" s="4" t="str">
        <f ca="1">IF(OR(INDEX($W$2:$W$1001,MATCH(ROWS($V$2:V862),$V$2:$V$1001,0),1)&gt;=100000,INDEX($AC$1005:$AS$1005,1,MATCH(COLUMNS($AC$1006:AL1006),$AC$1006:$AS$1006,0))&gt;=100000), " ",IF(INDEX($AC$2:$AS$1001,MATCH(ROWS($V$2:V862),$V$2:$V$1001,0),MATCH(COLUMNS($AC$1006:AL1006),$AC$1006:$AS$1006,0)), HYPERLINK("#",""), HYPERLINK(CONCATENATE("#metadata!", ADDRESS(INDEX($X$2:$X$1001,MATCH(ROWS($V$2:V862),$V$2:$V$1001,0),0), INDEX($AC$1004:$AS$1004,1,MATCH(COLUMNS($AC$1006:AL1006),$AC$1006:$AS$1006,0)))),"Fix")))</f>
        <v xml:space="preserve"> </v>
      </c>
      <c r="L862" s="4" t="str">
        <f ca="1">IF(OR(INDEX($W$2:$W$1001,MATCH(ROWS($V$2:V862),$V$2:$V$1001,0),1)&gt;=100000,INDEX($AC$1005:$AS$1005,1,MATCH(COLUMNS($AC$1006:AM1006),$AC$1006:$AS$1006,0))&gt;=100000), " ",IF(INDEX($AC$2:$AS$1001,MATCH(ROWS($V$2:V862),$V$2:$V$1001,0),MATCH(COLUMNS($AC$1006:AM1006),$AC$1006:$AS$1006,0)), HYPERLINK("#",""), HYPERLINK(CONCATENATE("#metadata!", ADDRESS(INDEX($X$2:$X$1001,MATCH(ROWS($V$2:V862),$V$2:$V$1001,0),0), INDEX($AC$1004:$AS$1004,1,MATCH(COLUMNS($AC$1006:AM1006),$AC$1006:$AS$1006,0)))),"Fix")))</f>
        <v xml:space="preserve"> </v>
      </c>
      <c r="M862" s="4" t="str">
        <f ca="1">IF(OR(INDEX($W$2:$W$1001,MATCH(ROWS($V$2:V862),$V$2:$V$1001,0),1)&gt;=100000,INDEX($AC$1005:$AS$1005,1,MATCH(COLUMNS($AC$1006:AN1006),$AC$1006:$AS$1006,0))&gt;=100000), " ",IF(INDEX($AC$2:$AS$1001,MATCH(ROWS($V$2:V862),$V$2:$V$1001,0),MATCH(COLUMNS($AC$1006:AN1006),$AC$1006:$AS$1006,0)), HYPERLINK("#",""), HYPERLINK(CONCATENATE("#metadata!", ADDRESS(INDEX($X$2:$X$1001,MATCH(ROWS($V$2:V862),$V$2:$V$1001,0),0), INDEX($AC$1004:$AS$1004,1,MATCH(COLUMNS($AC$1006:AN1006),$AC$1006:$AS$1006,0)))),"Fix")))</f>
        <v xml:space="preserve"> </v>
      </c>
      <c r="N862" s="4" t="str">
        <f ca="1">IF(OR(INDEX($W$2:$W$1001,MATCH(ROWS($V$2:V862),$V$2:$V$1001,0),1)&gt;=100000,INDEX($AC$1005:$AS$1005,1,MATCH(COLUMNS($AC$1006:AO1006),$AC$1006:$AS$1006,0))&gt;=100000), " ",IF(INDEX($AC$2:$AS$1001,MATCH(ROWS($V$2:V862),$V$2:$V$1001,0),MATCH(COLUMNS($AC$1006:AO1006),$AC$1006:$AS$1006,0)), HYPERLINK("#",""), HYPERLINK(CONCATENATE("#metadata!", ADDRESS(INDEX($X$2:$X$1001,MATCH(ROWS($V$2:V862),$V$2:$V$1001,0),0), INDEX($AC$1004:$AS$1004,1,MATCH(COLUMNS($AC$1006:AO1006),$AC$1006:$AS$1006,0)))),"Fix")))</f>
        <v xml:space="preserve"> </v>
      </c>
      <c r="O862" s="4" t="str">
        <f ca="1">IF(OR(INDEX($W$2:$W$1001,MATCH(ROWS($V$2:V862),$V$2:$V$1001,0),1)&gt;=100000,INDEX($AC$1005:$AS$1005,1,MATCH(COLUMNS($AC$1006:AP1006),$AC$1006:$AS$1006,0))&gt;=100000), " ",IF(INDEX($AC$2:$AS$1001,MATCH(ROWS($V$2:V862),$V$2:$V$1001,0),MATCH(COLUMNS($AC$1006:AP1006),$AC$1006:$AS$1006,0)), HYPERLINK("#",""), HYPERLINK(CONCATENATE("#metadata!", ADDRESS(INDEX($X$2:$X$1001,MATCH(ROWS($V$2:V862),$V$2:$V$1001,0),0), INDEX($AC$1004:$AS$1004,1,MATCH(COLUMNS($AC$1006:AP1006),$AC$1006:$AS$1006,0)))),"Fix")))</f>
        <v xml:space="preserve"> </v>
      </c>
      <c r="P862" s="4" t="str">
        <f ca="1">IF(OR(INDEX($W$2:$W$1001,MATCH(ROWS($V$2:V862),$V$2:$V$1001,0),1)&gt;=100000,INDEX($AC$1005:$AS$1005,1,MATCH(COLUMNS($AC$1006:AQ1006),$AC$1006:$AS$1006,0))&gt;=100000), " ",IF(INDEX($AC$2:$AS$1001,MATCH(ROWS($V$2:V862),$V$2:$V$1001,0),MATCH(COLUMNS($AC$1006:AQ1006),$AC$1006:$AS$1006,0)), HYPERLINK("#",""), HYPERLINK(CONCATENATE("#metadata!", ADDRESS(INDEX($X$2:$X$1001,MATCH(ROWS($V$2:V862),$V$2:$V$1001,0),0), INDEX($AC$1004:$AS$1004,1,MATCH(COLUMNS($AC$1006:AQ1006),$AC$1006:$AS$1006,0)))),"Fix")))</f>
        <v xml:space="preserve"> </v>
      </c>
      <c r="Q862" s="4" t="str">
        <f ca="1">IF(OR(INDEX($W$2:$W$1001,MATCH(ROWS($V$2:V862),$V$2:$V$1001,0),1)&gt;=100000,INDEX($AC$1005:$AS$1005,1,MATCH(COLUMNS($AC$1006:AR1006),$AC$1006:$AS$1006,0))&gt;=100000), " ",IF(INDEX($AC$2:$AS$1001,MATCH(ROWS($V$2:V862),$V$2:$V$1001,0),MATCH(COLUMNS($AC$1006:AR1006),$AC$1006:$AS$1006,0)), HYPERLINK("#",""), HYPERLINK(CONCATENATE("#metadata!", ADDRESS(INDEX($X$2:$X$1001,MATCH(ROWS($V$2:V862),$V$2:$V$1001,0),0), INDEX($AC$1004:$AS$1004,1,MATCH(COLUMNS($AC$1006:AR1006),$AC$1006:$AS$1006,0)))),"Fix")))</f>
        <v xml:space="preserve"> </v>
      </c>
      <c r="R862" s="4" t="str">
        <f ca="1">IF(OR(INDEX($W$2:$W$1001,MATCH(ROWS($V$2:V862),$V$2:$V$1001,0),1)&gt;=100000,INDEX($AC$1005:$AS$1005,1,MATCH(COLUMNS($AC$1006:AS1006),$AC$1006:$AS$1006,0))&gt;=100000), " ",IF(INDEX($AC$2:$AS$1001,MATCH(ROWS($V$2:V862),$V$2:$V$1001,0),MATCH(COLUMNS($AC$1006:AS1006),$AC$1006:$AS$1006,0)), HYPERLINK("#",""), HYPERLINK(CONCATENATE("#metadata!", ADDRESS(INDEX($X$2:$X$1001,MATCH(ROWS($V$2:V862),$V$2:$V$1001,0),0), INDEX($AC$1004:$AS$1004,1,MATCH(COLUMNS($AC$1006:AS1006),$AC$1006:$AS$1006,0)))),"Fix")))</f>
        <v xml:space="preserve"> </v>
      </c>
      <c r="V862">
        <v>861</v>
      </c>
      <c r="W862">
        <v>100862</v>
      </c>
      <c r="X862">
        <v>862</v>
      </c>
      <c r="Y862" t="b">
        <f t="shared" si="13"/>
        <v>1</v>
      </c>
      <c r="Z862" t="b">
        <f>COUNTBLANK(metadata!B862:R862)=COLUMNS(metadata!B862:R862)</f>
        <v>1</v>
      </c>
      <c r="AA862" t="str">
        <v/>
      </c>
      <c r="AC862" t="b">
        <f ca="1"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AD862" t="b">
        <f>IF(metadata!C862="",FALSE,ISNUMBER(VALUE(metadata!C862)))</f>
        <v>0</v>
      </c>
      <c r="AE862" t="b">
        <f>AND(IF(metadata!D862="",FALSE,TRUE),EXACT(metadata!D862,"years"))</f>
        <v>0</v>
      </c>
      <c r="AF862" t="b">
        <f>OR(AND(IF(metadata!E862="",FALSE,TRUE),OR(EXACT(metadata!E862,"not applicable"),EXACT(metadata!E862,"missing: not collected"),EXACT(metadata!E862,"missing: not provided"),EXACT(metadata!E862,"missing: restricted access"))),AND(IF(metadata!E862="",FALSE,ISNUMBER(VALUE(metadata!E862))),metadata!E862&gt;0))</f>
        <v>0</v>
      </c>
      <c r="AG862" t="b">
        <f>AND(IF(metadata!F862="",FALSE,TRUE),EXACT(metadata!F862,"Not applicable"))</f>
        <v>0</v>
      </c>
      <c r="AH862" t="b">
        <f>AND(IF(metadata!G862="",FALSE,TRUE),EXACT(metadata!G862,"urban biome"))</f>
        <v>0</v>
      </c>
      <c r="AI862" t="b">
        <f>AND(IF(metadata!H862="",FALSE,TRUE),EXACT(metadata!H862,"human-associated habitat"))</f>
        <v>0</v>
      </c>
      <c r="AJ862" t="b">
        <f>AND(IF(metadata!I862="",FALSE,TRUE),OR(EXACT(metadata!I862,"human-associated"),EXACT(metadata!I862,"human-skin"),EXACT(metadata!I862,"human-oral"),EXACT(metadata!I862,"human-gut"),EXACT(metadata!I862,"human-vaginal")))</f>
        <v>0</v>
      </c>
      <c r="AK862" t="b">
        <f>IF(metadata!J862="",FALSE,ISNUMBER(VALUE(metadata!J862)))</f>
        <v>0</v>
      </c>
      <c r="AL862" t="b">
        <f>AND(IF(metadata!K862="",FALSE,TRUE),EXACT(metadata!K862,"cm"))</f>
        <v>0</v>
      </c>
      <c r="AM862" t="b">
        <f>AND(IF(metadata!L862="",FALSE,TRUE),EXACT(metadata!L862,"human"))</f>
        <v>0</v>
      </c>
      <c r="AN862" t="b">
        <f>AND(IF(metadata!M862="",FALSE,TRUE),EXACT(metadata!M862,"Homo sapiens"))</f>
        <v>0</v>
      </c>
      <c r="AO862" t="b">
        <f>AND(IF(metadata!N862="",FALSE,TRUE),EXACT(metadata!N862,"9606"))</f>
        <v>0</v>
      </c>
      <c r="AP862" t="b">
        <f>IF(metadata!O862="",FALSE,TRUE)</f>
        <v>0</v>
      </c>
      <c r="AQ862" t="b">
        <f>IF(metadata!P862="",FALSE,TRUE)</f>
        <v>0</v>
      </c>
      <c r="AR862" t="b">
        <f>IF(metadata!Q862="",FALSE,ISNUMBER(VALUE(metadata!Q862)))</f>
        <v>0</v>
      </c>
      <c r="AS862" t="b">
        <f>AND(IF(metadata!R862="",FALSE,TRUE),EXACT(metadata!R862,"kg"))</f>
        <v>0</v>
      </c>
    </row>
    <row r="863" spans="1:45" x14ac:dyDescent="0.2">
      <c r="A863" s="5" t="str">
        <f ca="1">IF(B863=" "," ",HYPERLINK(CONCATENATE("#metadata!",ADDRESS(INDEX($X$2:$X$1001,MATCH(ROWS($V$2:V863),$V$2:$V$1001,0),0),1)),INDEX($AA$2:$AA$1001,MATCH(ROWS($V$2:V863),$V$2:$V$1001,0),0)))</f>
        <v xml:space="preserve"> </v>
      </c>
      <c r="B863" s="4" t="str">
        <f ca="1">IF(OR(INDEX($W$2:$W$1001,MATCH(ROWS($V$2:V863),$V$2:$V$1001,0),1)&gt;=100000,INDEX($AC$1005:$AS$1005,1,MATCH(COLUMNS($AC$1006:AC1006),$AC$1006:$AS$1006,0))&gt;=100000), " ",IF(INDEX($AC$2:$AS$1001,MATCH(ROWS($V$2:V863),$V$2:$V$1001,0),MATCH(COLUMNS($AC$1006:AC1006),$AC$1006:$AS$1006,0)), HYPERLINK("#",""), HYPERLINK(CONCATENATE("#metadata!", ADDRESS(INDEX($X$2:$X$1001,MATCH(ROWS($V$2:V863),$V$2:$V$1001,0),0), INDEX($AC$1004:$AS$1004,1,MATCH(COLUMNS($AC$1006:AC1006),$AC$1006:$AS$1006,0)))),"Fix")))</f>
        <v xml:space="preserve"> </v>
      </c>
      <c r="C863" s="4" t="str">
        <f ca="1">IF(OR(INDEX($W$2:$W$1001,MATCH(ROWS($V$2:V863),$V$2:$V$1001,0),1)&gt;=100000,INDEX($AC$1005:$AS$1005,1,MATCH(COLUMNS($AC$1006:AD1006),$AC$1006:$AS$1006,0))&gt;=100000), " ",IF(INDEX($AC$2:$AS$1001,MATCH(ROWS($V$2:V863),$V$2:$V$1001,0),MATCH(COLUMNS($AC$1006:AD1006),$AC$1006:$AS$1006,0)), HYPERLINK("#",""), HYPERLINK(CONCATENATE("#metadata!", ADDRESS(INDEX($X$2:$X$1001,MATCH(ROWS($V$2:V863),$V$2:$V$1001,0),0), INDEX($AC$1004:$AS$1004,1,MATCH(COLUMNS($AC$1006:AD1006),$AC$1006:$AS$1006,0)))),"Fix")))</f>
        <v xml:space="preserve"> </v>
      </c>
      <c r="D863" s="4" t="str">
        <f ca="1">IF(OR(INDEX($W$2:$W$1001,MATCH(ROWS($V$2:V863),$V$2:$V$1001,0),1)&gt;=100000,INDEX($AC$1005:$AS$1005,1,MATCH(COLUMNS($AC$1006:AE1006),$AC$1006:$AS$1006,0))&gt;=100000), " ",IF(INDEX($AC$2:$AS$1001,MATCH(ROWS($V$2:V863),$V$2:$V$1001,0),MATCH(COLUMNS($AC$1006:AE1006),$AC$1006:$AS$1006,0)), HYPERLINK("#",""), HYPERLINK(CONCATENATE("#metadata!", ADDRESS(INDEX($X$2:$X$1001,MATCH(ROWS($V$2:V863),$V$2:$V$1001,0),0), INDEX($AC$1004:$AS$1004,1,MATCH(COLUMNS($AC$1006:AE1006),$AC$1006:$AS$1006,0)))),"Fix")))</f>
        <v xml:space="preserve"> </v>
      </c>
      <c r="E863" s="4" t="str">
        <f ca="1">IF(OR(INDEX($W$2:$W$1001,MATCH(ROWS($V$2:V863),$V$2:$V$1001,0),1)&gt;=100000,INDEX($AC$1005:$AS$1005,1,MATCH(COLUMNS($AC$1006:AF1006),$AC$1006:$AS$1006,0))&gt;=100000), " ",IF(INDEX($AC$2:$AS$1001,MATCH(ROWS($V$2:V863),$V$2:$V$1001,0),MATCH(COLUMNS($AC$1006:AF1006),$AC$1006:$AS$1006,0)), HYPERLINK("#",""), HYPERLINK(CONCATENATE("#metadata!", ADDRESS(INDEX($X$2:$X$1001,MATCH(ROWS($V$2:V863),$V$2:$V$1001,0),0), INDEX($AC$1004:$AS$1004,1,MATCH(COLUMNS($AC$1006:AF1006),$AC$1006:$AS$1006,0)))),"Fix")))</f>
        <v xml:space="preserve"> </v>
      </c>
      <c r="F863" s="4" t="str">
        <f ca="1">IF(OR(INDEX($W$2:$W$1001,MATCH(ROWS($V$2:V863),$V$2:$V$1001,0),1)&gt;=100000,INDEX($AC$1005:$AS$1005,1,MATCH(COLUMNS($AC$1006:AG1006),$AC$1006:$AS$1006,0))&gt;=100000), " ",IF(INDEX($AC$2:$AS$1001,MATCH(ROWS($V$2:V863),$V$2:$V$1001,0),MATCH(COLUMNS($AC$1006:AG1006),$AC$1006:$AS$1006,0)), HYPERLINK("#",""), HYPERLINK(CONCATENATE("#metadata!", ADDRESS(INDEX($X$2:$X$1001,MATCH(ROWS($V$2:V863),$V$2:$V$1001,0),0), INDEX($AC$1004:$AS$1004,1,MATCH(COLUMNS($AC$1006:AG1006),$AC$1006:$AS$1006,0)))),"Fix")))</f>
        <v xml:space="preserve"> </v>
      </c>
      <c r="G863" s="4" t="str">
        <f ca="1">IF(OR(INDEX($W$2:$W$1001,MATCH(ROWS($V$2:V863),$V$2:$V$1001,0),1)&gt;=100000,INDEX($AC$1005:$AS$1005,1,MATCH(COLUMNS($AC$1006:AH1006),$AC$1006:$AS$1006,0))&gt;=100000), " ",IF(INDEX($AC$2:$AS$1001,MATCH(ROWS($V$2:V863),$V$2:$V$1001,0),MATCH(COLUMNS($AC$1006:AH1006),$AC$1006:$AS$1006,0)), HYPERLINK("#",""), HYPERLINK(CONCATENATE("#metadata!", ADDRESS(INDEX($X$2:$X$1001,MATCH(ROWS($V$2:V863),$V$2:$V$1001,0),0), INDEX($AC$1004:$AS$1004,1,MATCH(COLUMNS($AC$1006:AH1006),$AC$1006:$AS$1006,0)))),"Fix")))</f>
        <v xml:space="preserve"> </v>
      </c>
      <c r="H863" s="4" t="str">
        <f ca="1">IF(OR(INDEX($W$2:$W$1001,MATCH(ROWS($V$2:V863),$V$2:$V$1001,0),1)&gt;=100000,INDEX($AC$1005:$AS$1005,1,MATCH(COLUMNS($AC$1006:AI1006),$AC$1006:$AS$1006,0))&gt;=100000), " ",IF(INDEX($AC$2:$AS$1001,MATCH(ROWS($V$2:V863),$V$2:$V$1001,0),MATCH(COLUMNS($AC$1006:AI1006),$AC$1006:$AS$1006,0)), HYPERLINK("#",""), HYPERLINK(CONCATENATE("#metadata!", ADDRESS(INDEX($X$2:$X$1001,MATCH(ROWS($V$2:V863),$V$2:$V$1001,0),0), INDEX($AC$1004:$AS$1004,1,MATCH(COLUMNS($AC$1006:AI1006),$AC$1006:$AS$1006,0)))),"Fix")))</f>
        <v xml:space="preserve"> </v>
      </c>
      <c r="I863" s="4" t="str">
        <f ca="1">IF(OR(INDEX($W$2:$W$1001,MATCH(ROWS($V$2:V863),$V$2:$V$1001,0),1)&gt;=100000,INDEX($AC$1005:$AS$1005,1,MATCH(COLUMNS($AC$1006:AJ1006),$AC$1006:$AS$1006,0))&gt;=100000), " ",IF(INDEX($AC$2:$AS$1001,MATCH(ROWS($V$2:V863),$V$2:$V$1001,0),MATCH(COLUMNS($AC$1006:AJ1006),$AC$1006:$AS$1006,0)), HYPERLINK("#",""), HYPERLINK(CONCATENATE("#metadata!", ADDRESS(INDEX($X$2:$X$1001,MATCH(ROWS($V$2:V863),$V$2:$V$1001,0),0), INDEX($AC$1004:$AS$1004,1,MATCH(COLUMNS($AC$1006:AJ1006),$AC$1006:$AS$1006,0)))),"Fix")))</f>
        <v xml:space="preserve"> </v>
      </c>
      <c r="J863" s="4" t="str">
        <f ca="1">IF(OR(INDEX($W$2:$W$1001,MATCH(ROWS($V$2:V863),$V$2:$V$1001,0),1)&gt;=100000,INDEX($AC$1005:$AS$1005,1,MATCH(COLUMNS($AC$1006:AK1006),$AC$1006:$AS$1006,0))&gt;=100000), " ",IF(INDEX($AC$2:$AS$1001,MATCH(ROWS($V$2:V863),$V$2:$V$1001,0),MATCH(COLUMNS($AC$1006:AK1006),$AC$1006:$AS$1006,0)), HYPERLINK("#",""), HYPERLINK(CONCATENATE("#metadata!", ADDRESS(INDEX($X$2:$X$1001,MATCH(ROWS($V$2:V863),$V$2:$V$1001,0),0), INDEX($AC$1004:$AS$1004,1,MATCH(COLUMNS($AC$1006:AK1006),$AC$1006:$AS$1006,0)))),"Fix")))</f>
        <v xml:space="preserve"> </v>
      </c>
      <c r="K863" s="4" t="str">
        <f ca="1">IF(OR(INDEX($W$2:$W$1001,MATCH(ROWS($V$2:V863),$V$2:$V$1001,0),1)&gt;=100000,INDEX($AC$1005:$AS$1005,1,MATCH(COLUMNS($AC$1006:AL1006),$AC$1006:$AS$1006,0))&gt;=100000), " ",IF(INDEX($AC$2:$AS$1001,MATCH(ROWS($V$2:V863),$V$2:$V$1001,0),MATCH(COLUMNS($AC$1006:AL1006),$AC$1006:$AS$1006,0)), HYPERLINK("#",""), HYPERLINK(CONCATENATE("#metadata!", ADDRESS(INDEX($X$2:$X$1001,MATCH(ROWS($V$2:V863),$V$2:$V$1001,0),0), INDEX($AC$1004:$AS$1004,1,MATCH(COLUMNS($AC$1006:AL1006),$AC$1006:$AS$1006,0)))),"Fix")))</f>
        <v xml:space="preserve"> </v>
      </c>
      <c r="L863" s="4" t="str">
        <f ca="1">IF(OR(INDEX($W$2:$W$1001,MATCH(ROWS($V$2:V863),$V$2:$V$1001,0),1)&gt;=100000,INDEX($AC$1005:$AS$1005,1,MATCH(COLUMNS($AC$1006:AM1006),$AC$1006:$AS$1006,0))&gt;=100000), " ",IF(INDEX($AC$2:$AS$1001,MATCH(ROWS($V$2:V863),$V$2:$V$1001,0),MATCH(COLUMNS($AC$1006:AM1006),$AC$1006:$AS$1006,0)), HYPERLINK("#",""), HYPERLINK(CONCATENATE("#metadata!", ADDRESS(INDEX($X$2:$X$1001,MATCH(ROWS($V$2:V863),$V$2:$V$1001,0),0), INDEX($AC$1004:$AS$1004,1,MATCH(COLUMNS($AC$1006:AM1006),$AC$1006:$AS$1006,0)))),"Fix")))</f>
        <v xml:space="preserve"> </v>
      </c>
      <c r="M863" s="4" t="str">
        <f ca="1">IF(OR(INDEX($W$2:$W$1001,MATCH(ROWS($V$2:V863),$V$2:$V$1001,0),1)&gt;=100000,INDEX($AC$1005:$AS$1005,1,MATCH(COLUMNS($AC$1006:AN1006),$AC$1006:$AS$1006,0))&gt;=100000), " ",IF(INDEX($AC$2:$AS$1001,MATCH(ROWS($V$2:V863),$V$2:$V$1001,0),MATCH(COLUMNS($AC$1006:AN1006),$AC$1006:$AS$1006,0)), HYPERLINK("#",""), HYPERLINK(CONCATENATE("#metadata!", ADDRESS(INDEX($X$2:$X$1001,MATCH(ROWS($V$2:V863),$V$2:$V$1001,0),0), INDEX($AC$1004:$AS$1004,1,MATCH(COLUMNS($AC$1006:AN1006),$AC$1006:$AS$1006,0)))),"Fix")))</f>
        <v xml:space="preserve"> </v>
      </c>
      <c r="N863" s="4" t="str">
        <f ca="1">IF(OR(INDEX($W$2:$W$1001,MATCH(ROWS($V$2:V863),$V$2:$V$1001,0),1)&gt;=100000,INDEX($AC$1005:$AS$1005,1,MATCH(COLUMNS($AC$1006:AO1006),$AC$1006:$AS$1006,0))&gt;=100000), " ",IF(INDEX($AC$2:$AS$1001,MATCH(ROWS($V$2:V863),$V$2:$V$1001,0),MATCH(COLUMNS($AC$1006:AO1006),$AC$1006:$AS$1006,0)), HYPERLINK("#",""), HYPERLINK(CONCATENATE("#metadata!", ADDRESS(INDEX($X$2:$X$1001,MATCH(ROWS($V$2:V863),$V$2:$V$1001,0),0), INDEX($AC$1004:$AS$1004,1,MATCH(COLUMNS($AC$1006:AO1006),$AC$1006:$AS$1006,0)))),"Fix")))</f>
        <v xml:space="preserve"> </v>
      </c>
      <c r="O863" s="4" t="str">
        <f ca="1">IF(OR(INDEX($W$2:$W$1001,MATCH(ROWS($V$2:V863),$V$2:$V$1001,0),1)&gt;=100000,INDEX($AC$1005:$AS$1005,1,MATCH(COLUMNS($AC$1006:AP1006),$AC$1006:$AS$1006,0))&gt;=100000), " ",IF(INDEX($AC$2:$AS$1001,MATCH(ROWS($V$2:V863),$V$2:$V$1001,0),MATCH(COLUMNS($AC$1006:AP1006),$AC$1006:$AS$1006,0)), HYPERLINK("#",""), HYPERLINK(CONCATENATE("#metadata!", ADDRESS(INDEX($X$2:$X$1001,MATCH(ROWS($V$2:V863),$V$2:$V$1001,0),0), INDEX($AC$1004:$AS$1004,1,MATCH(COLUMNS($AC$1006:AP1006),$AC$1006:$AS$1006,0)))),"Fix")))</f>
        <v xml:space="preserve"> </v>
      </c>
      <c r="P863" s="4" t="str">
        <f ca="1">IF(OR(INDEX($W$2:$W$1001,MATCH(ROWS($V$2:V863),$V$2:$V$1001,0),1)&gt;=100000,INDEX($AC$1005:$AS$1005,1,MATCH(COLUMNS($AC$1006:AQ1006),$AC$1006:$AS$1006,0))&gt;=100000), " ",IF(INDEX($AC$2:$AS$1001,MATCH(ROWS($V$2:V863),$V$2:$V$1001,0),MATCH(COLUMNS($AC$1006:AQ1006),$AC$1006:$AS$1006,0)), HYPERLINK("#",""), HYPERLINK(CONCATENATE("#metadata!", ADDRESS(INDEX($X$2:$X$1001,MATCH(ROWS($V$2:V863),$V$2:$V$1001,0),0), INDEX($AC$1004:$AS$1004,1,MATCH(COLUMNS($AC$1006:AQ1006),$AC$1006:$AS$1006,0)))),"Fix")))</f>
        <v xml:space="preserve"> </v>
      </c>
      <c r="Q863" s="4" t="str">
        <f ca="1">IF(OR(INDEX($W$2:$W$1001,MATCH(ROWS($V$2:V863),$V$2:$V$1001,0),1)&gt;=100000,INDEX($AC$1005:$AS$1005,1,MATCH(COLUMNS($AC$1006:AR1006),$AC$1006:$AS$1006,0))&gt;=100000), " ",IF(INDEX($AC$2:$AS$1001,MATCH(ROWS($V$2:V863),$V$2:$V$1001,0),MATCH(COLUMNS($AC$1006:AR1006),$AC$1006:$AS$1006,0)), HYPERLINK("#",""), HYPERLINK(CONCATENATE("#metadata!", ADDRESS(INDEX($X$2:$X$1001,MATCH(ROWS($V$2:V863),$V$2:$V$1001,0),0), INDEX($AC$1004:$AS$1004,1,MATCH(COLUMNS($AC$1006:AR1006),$AC$1006:$AS$1006,0)))),"Fix")))</f>
        <v xml:space="preserve"> </v>
      </c>
      <c r="R863" s="4" t="str">
        <f ca="1">IF(OR(INDEX($W$2:$W$1001,MATCH(ROWS($V$2:V863),$V$2:$V$1001,0),1)&gt;=100000,INDEX($AC$1005:$AS$1005,1,MATCH(COLUMNS($AC$1006:AS1006),$AC$1006:$AS$1006,0))&gt;=100000), " ",IF(INDEX($AC$2:$AS$1001,MATCH(ROWS($V$2:V863),$V$2:$V$1001,0),MATCH(COLUMNS($AC$1006:AS1006),$AC$1006:$AS$1006,0)), HYPERLINK("#",""), HYPERLINK(CONCATENATE("#metadata!", ADDRESS(INDEX($X$2:$X$1001,MATCH(ROWS($V$2:V863),$V$2:$V$1001,0),0), INDEX($AC$1004:$AS$1004,1,MATCH(COLUMNS($AC$1006:AS1006),$AC$1006:$AS$1006,0)))),"Fix")))</f>
        <v xml:space="preserve"> </v>
      </c>
      <c r="V863">
        <v>862</v>
      </c>
      <c r="W863">
        <v>100863</v>
      </c>
      <c r="X863">
        <v>863</v>
      </c>
      <c r="Y863" t="b">
        <f t="shared" si="13"/>
        <v>1</v>
      </c>
      <c r="Z863" t="b">
        <f>COUNTBLANK(metadata!B863:R863)=COLUMNS(metadata!B863:R863)</f>
        <v>1</v>
      </c>
      <c r="AA863" t="str">
        <v/>
      </c>
      <c r="AC863" t="b">
        <f ca="1"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AD863" t="b">
        <f>IF(metadata!C863="",FALSE,ISNUMBER(VALUE(metadata!C863)))</f>
        <v>0</v>
      </c>
      <c r="AE863" t="b">
        <f>AND(IF(metadata!D863="",FALSE,TRUE),EXACT(metadata!D863,"years"))</f>
        <v>0</v>
      </c>
      <c r="AF863" t="b">
        <f>OR(AND(IF(metadata!E863="",FALSE,TRUE),OR(EXACT(metadata!E863,"not applicable"),EXACT(metadata!E863,"missing: not collected"),EXACT(metadata!E863,"missing: not provided"),EXACT(metadata!E863,"missing: restricted access"))),AND(IF(metadata!E863="",FALSE,ISNUMBER(VALUE(metadata!E863))),metadata!E863&gt;0))</f>
        <v>0</v>
      </c>
      <c r="AG863" t="b">
        <f>AND(IF(metadata!F863="",FALSE,TRUE),EXACT(metadata!F863,"Not applicable"))</f>
        <v>0</v>
      </c>
      <c r="AH863" t="b">
        <f>AND(IF(metadata!G863="",FALSE,TRUE),EXACT(metadata!G863,"urban biome"))</f>
        <v>0</v>
      </c>
      <c r="AI863" t="b">
        <f>AND(IF(metadata!H863="",FALSE,TRUE),EXACT(metadata!H863,"human-associated habitat"))</f>
        <v>0</v>
      </c>
      <c r="AJ863" t="b">
        <f>AND(IF(metadata!I863="",FALSE,TRUE),OR(EXACT(metadata!I863,"human-associated"),EXACT(metadata!I863,"human-skin"),EXACT(metadata!I863,"human-oral"),EXACT(metadata!I863,"human-gut"),EXACT(metadata!I863,"human-vaginal")))</f>
        <v>0</v>
      </c>
      <c r="AK863" t="b">
        <f>IF(metadata!J863="",FALSE,ISNUMBER(VALUE(metadata!J863)))</f>
        <v>0</v>
      </c>
      <c r="AL863" t="b">
        <f>AND(IF(metadata!K863="",FALSE,TRUE),EXACT(metadata!K863,"cm"))</f>
        <v>0</v>
      </c>
      <c r="AM863" t="b">
        <f>AND(IF(metadata!L863="",FALSE,TRUE),EXACT(metadata!L863,"human"))</f>
        <v>0</v>
      </c>
      <c r="AN863" t="b">
        <f>AND(IF(metadata!M863="",FALSE,TRUE),EXACT(metadata!M863,"Homo sapiens"))</f>
        <v>0</v>
      </c>
      <c r="AO863" t="b">
        <f>AND(IF(metadata!N863="",FALSE,TRUE),EXACT(metadata!N863,"9606"))</f>
        <v>0</v>
      </c>
      <c r="AP863" t="b">
        <f>IF(metadata!O863="",FALSE,TRUE)</f>
        <v>0</v>
      </c>
      <c r="AQ863" t="b">
        <f>IF(metadata!P863="",FALSE,TRUE)</f>
        <v>0</v>
      </c>
      <c r="AR863" t="b">
        <f>IF(metadata!Q863="",FALSE,ISNUMBER(VALUE(metadata!Q863)))</f>
        <v>0</v>
      </c>
      <c r="AS863" t="b">
        <f>AND(IF(metadata!R863="",FALSE,TRUE),EXACT(metadata!R863,"kg"))</f>
        <v>0</v>
      </c>
    </row>
    <row r="864" spans="1:45" x14ac:dyDescent="0.2">
      <c r="A864" s="5" t="str">
        <f ca="1">IF(B864=" "," ",HYPERLINK(CONCATENATE("#metadata!",ADDRESS(INDEX($X$2:$X$1001,MATCH(ROWS($V$2:V864),$V$2:$V$1001,0),0),1)),INDEX($AA$2:$AA$1001,MATCH(ROWS($V$2:V864),$V$2:$V$1001,0),0)))</f>
        <v xml:space="preserve"> </v>
      </c>
      <c r="B864" s="4" t="str">
        <f ca="1">IF(OR(INDEX($W$2:$W$1001,MATCH(ROWS($V$2:V864),$V$2:$V$1001,0),1)&gt;=100000,INDEX($AC$1005:$AS$1005,1,MATCH(COLUMNS($AC$1006:AC1006),$AC$1006:$AS$1006,0))&gt;=100000), " ",IF(INDEX($AC$2:$AS$1001,MATCH(ROWS($V$2:V864),$V$2:$V$1001,0),MATCH(COLUMNS($AC$1006:AC1006),$AC$1006:$AS$1006,0)), HYPERLINK("#",""), HYPERLINK(CONCATENATE("#metadata!", ADDRESS(INDEX($X$2:$X$1001,MATCH(ROWS($V$2:V864),$V$2:$V$1001,0),0), INDEX($AC$1004:$AS$1004,1,MATCH(COLUMNS($AC$1006:AC1006),$AC$1006:$AS$1006,0)))),"Fix")))</f>
        <v xml:space="preserve"> </v>
      </c>
      <c r="C864" s="4" t="str">
        <f ca="1">IF(OR(INDEX($W$2:$W$1001,MATCH(ROWS($V$2:V864),$V$2:$V$1001,0),1)&gt;=100000,INDEX($AC$1005:$AS$1005,1,MATCH(COLUMNS($AC$1006:AD1006),$AC$1006:$AS$1006,0))&gt;=100000), " ",IF(INDEX($AC$2:$AS$1001,MATCH(ROWS($V$2:V864),$V$2:$V$1001,0),MATCH(COLUMNS($AC$1006:AD1006),$AC$1006:$AS$1006,0)), HYPERLINK("#",""), HYPERLINK(CONCATENATE("#metadata!", ADDRESS(INDEX($X$2:$X$1001,MATCH(ROWS($V$2:V864),$V$2:$V$1001,0),0), INDEX($AC$1004:$AS$1004,1,MATCH(COLUMNS($AC$1006:AD1006),$AC$1006:$AS$1006,0)))),"Fix")))</f>
        <v xml:space="preserve"> </v>
      </c>
      <c r="D864" s="4" t="str">
        <f ca="1">IF(OR(INDEX($W$2:$W$1001,MATCH(ROWS($V$2:V864),$V$2:$V$1001,0),1)&gt;=100000,INDEX($AC$1005:$AS$1005,1,MATCH(COLUMNS($AC$1006:AE1006),$AC$1006:$AS$1006,0))&gt;=100000), " ",IF(INDEX($AC$2:$AS$1001,MATCH(ROWS($V$2:V864),$V$2:$V$1001,0),MATCH(COLUMNS($AC$1006:AE1006),$AC$1006:$AS$1006,0)), HYPERLINK("#",""), HYPERLINK(CONCATENATE("#metadata!", ADDRESS(INDEX($X$2:$X$1001,MATCH(ROWS($V$2:V864),$V$2:$V$1001,0),0), INDEX($AC$1004:$AS$1004,1,MATCH(COLUMNS($AC$1006:AE1006),$AC$1006:$AS$1006,0)))),"Fix")))</f>
        <v xml:space="preserve"> </v>
      </c>
      <c r="E864" s="4" t="str">
        <f ca="1">IF(OR(INDEX($W$2:$W$1001,MATCH(ROWS($V$2:V864),$V$2:$V$1001,0),1)&gt;=100000,INDEX($AC$1005:$AS$1005,1,MATCH(COLUMNS($AC$1006:AF1006),$AC$1006:$AS$1006,0))&gt;=100000), " ",IF(INDEX($AC$2:$AS$1001,MATCH(ROWS($V$2:V864),$V$2:$V$1001,0),MATCH(COLUMNS($AC$1006:AF1006),$AC$1006:$AS$1006,0)), HYPERLINK("#",""), HYPERLINK(CONCATENATE("#metadata!", ADDRESS(INDEX($X$2:$X$1001,MATCH(ROWS($V$2:V864),$V$2:$V$1001,0),0), INDEX($AC$1004:$AS$1004,1,MATCH(COLUMNS($AC$1006:AF1006),$AC$1006:$AS$1006,0)))),"Fix")))</f>
        <v xml:space="preserve"> </v>
      </c>
      <c r="F864" s="4" t="str">
        <f ca="1">IF(OR(INDEX($W$2:$W$1001,MATCH(ROWS($V$2:V864),$V$2:$V$1001,0),1)&gt;=100000,INDEX($AC$1005:$AS$1005,1,MATCH(COLUMNS($AC$1006:AG1006),$AC$1006:$AS$1006,0))&gt;=100000), " ",IF(INDEX($AC$2:$AS$1001,MATCH(ROWS($V$2:V864),$V$2:$V$1001,0),MATCH(COLUMNS($AC$1006:AG1006),$AC$1006:$AS$1006,0)), HYPERLINK("#",""), HYPERLINK(CONCATENATE("#metadata!", ADDRESS(INDEX($X$2:$X$1001,MATCH(ROWS($V$2:V864),$V$2:$V$1001,0),0), INDEX($AC$1004:$AS$1004,1,MATCH(COLUMNS($AC$1006:AG1006),$AC$1006:$AS$1006,0)))),"Fix")))</f>
        <v xml:space="preserve"> </v>
      </c>
      <c r="G864" s="4" t="str">
        <f ca="1">IF(OR(INDEX($W$2:$W$1001,MATCH(ROWS($V$2:V864),$V$2:$V$1001,0),1)&gt;=100000,INDEX($AC$1005:$AS$1005,1,MATCH(COLUMNS($AC$1006:AH1006),$AC$1006:$AS$1006,0))&gt;=100000), " ",IF(INDEX($AC$2:$AS$1001,MATCH(ROWS($V$2:V864),$V$2:$V$1001,0),MATCH(COLUMNS($AC$1006:AH1006),$AC$1006:$AS$1006,0)), HYPERLINK("#",""), HYPERLINK(CONCATENATE("#metadata!", ADDRESS(INDEX($X$2:$X$1001,MATCH(ROWS($V$2:V864),$V$2:$V$1001,0),0), INDEX($AC$1004:$AS$1004,1,MATCH(COLUMNS($AC$1006:AH1006),$AC$1006:$AS$1006,0)))),"Fix")))</f>
        <v xml:space="preserve"> </v>
      </c>
      <c r="H864" s="4" t="str">
        <f ca="1">IF(OR(INDEX($W$2:$W$1001,MATCH(ROWS($V$2:V864),$V$2:$V$1001,0),1)&gt;=100000,INDEX($AC$1005:$AS$1005,1,MATCH(COLUMNS($AC$1006:AI1006),$AC$1006:$AS$1006,0))&gt;=100000), " ",IF(INDEX($AC$2:$AS$1001,MATCH(ROWS($V$2:V864),$V$2:$V$1001,0),MATCH(COLUMNS($AC$1006:AI1006),$AC$1006:$AS$1006,0)), HYPERLINK("#",""), HYPERLINK(CONCATENATE("#metadata!", ADDRESS(INDEX($X$2:$X$1001,MATCH(ROWS($V$2:V864),$V$2:$V$1001,0),0), INDEX($AC$1004:$AS$1004,1,MATCH(COLUMNS($AC$1006:AI1006),$AC$1006:$AS$1006,0)))),"Fix")))</f>
        <v xml:space="preserve"> </v>
      </c>
      <c r="I864" s="4" t="str">
        <f ca="1">IF(OR(INDEX($W$2:$W$1001,MATCH(ROWS($V$2:V864),$V$2:$V$1001,0),1)&gt;=100000,INDEX($AC$1005:$AS$1005,1,MATCH(COLUMNS($AC$1006:AJ1006),$AC$1006:$AS$1006,0))&gt;=100000), " ",IF(INDEX($AC$2:$AS$1001,MATCH(ROWS($V$2:V864),$V$2:$V$1001,0),MATCH(COLUMNS($AC$1006:AJ1006),$AC$1006:$AS$1006,0)), HYPERLINK("#",""), HYPERLINK(CONCATENATE("#metadata!", ADDRESS(INDEX($X$2:$X$1001,MATCH(ROWS($V$2:V864),$V$2:$V$1001,0),0), INDEX($AC$1004:$AS$1004,1,MATCH(COLUMNS($AC$1006:AJ1006),$AC$1006:$AS$1006,0)))),"Fix")))</f>
        <v xml:space="preserve"> </v>
      </c>
      <c r="J864" s="4" t="str">
        <f ca="1">IF(OR(INDEX($W$2:$W$1001,MATCH(ROWS($V$2:V864),$V$2:$V$1001,0),1)&gt;=100000,INDEX($AC$1005:$AS$1005,1,MATCH(COLUMNS($AC$1006:AK1006),$AC$1006:$AS$1006,0))&gt;=100000), " ",IF(INDEX($AC$2:$AS$1001,MATCH(ROWS($V$2:V864),$V$2:$V$1001,0),MATCH(COLUMNS($AC$1006:AK1006),$AC$1006:$AS$1006,0)), HYPERLINK("#",""), HYPERLINK(CONCATENATE("#metadata!", ADDRESS(INDEX($X$2:$X$1001,MATCH(ROWS($V$2:V864),$V$2:$V$1001,0),0), INDEX($AC$1004:$AS$1004,1,MATCH(COLUMNS($AC$1006:AK1006),$AC$1006:$AS$1006,0)))),"Fix")))</f>
        <v xml:space="preserve"> </v>
      </c>
      <c r="K864" s="4" t="str">
        <f ca="1">IF(OR(INDEX($W$2:$W$1001,MATCH(ROWS($V$2:V864),$V$2:$V$1001,0),1)&gt;=100000,INDEX($AC$1005:$AS$1005,1,MATCH(COLUMNS($AC$1006:AL1006),$AC$1006:$AS$1006,0))&gt;=100000), " ",IF(INDEX($AC$2:$AS$1001,MATCH(ROWS($V$2:V864),$V$2:$V$1001,0),MATCH(COLUMNS($AC$1006:AL1006),$AC$1006:$AS$1006,0)), HYPERLINK("#",""), HYPERLINK(CONCATENATE("#metadata!", ADDRESS(INDEX($X$2:$X$1001,MATCH(ROWS($V$2:V864),$V$2:$V$1001,0),0), INDEX($AC$1004:$AS$1004,1,MATCH(COLUMNS($AC$1006:AL1006),$AC$1006:$AS$1006,0)))),"Fix")))</f>
        <v xml:space="preserve"> </v>
      </c>
      <c r="L864" s="4" t="str">
        <f ca="1">IF(OR(INDEX($W$2:$W$1001,MATCH(ROWS($V$2:V864),$V$2:$V$1001,0),1)&gt;=100000,INDEX($AC$1005:$AS$1005,1,MATCH(COLUMNS($AC$1006:AM1006),$AC$1006:$AS$1006,0))&gt;=100000), " ",IF(INDEX($AC$2:$AS$1001,MATCH(ROWS($V$2:V864),$V$2:$V$1001,0),MATCH(COLUMNS($AC$1006:AM1006),$AC$1006:$AS$1006,0)), HYPERLINK("#",""), HYPERLINK(CONCATENATE("#metadata!", ADDRESS(INDEX($X$2:$X$1001,MATCH(ROWS($V$2:V864),$V$2:$V$1001,0),0), INDEX($AC$1004:$AS$1004,1,MATCH(COLUMNS($AC$1006:AM1006),$AC$1006:$AS$1006,0)))),"Fix")))</f>
        <v xml:space="preserve"> </v>
      </c>
      <c r="M864" s="4" t="str">
        <f ca="1">IF(OR(INDEX($W$2:$W$1001,MATCH(ROWS($V$2:V864),$V$2:$V$1001,0),1)&gt;=100000,INDEX($AC$1005:$AS$1005,1,MATCH(COLUMNS($AC$1006:AN1006),$AC$1006:$AS$1006,0))&gt;=100000), " ",IF(INDEX($AC$2:$AS$1001,MATCH(ROWS($V$2:V864),$V$2:$V$1001,0),MATCH(COLUMNS($AC$1006:AN1006),$AC$1006:$AS$1006,0)), HYPERLINK("#",""), HYPERLINK(CONCATENATE("#metadata!", ADDRESS(INDEX($X$2:$X$1001,MATCH(ROWS($V$2:V864),$V$2:$V$1001,0),0), INDEX($AC$1004:$AS$1004,1,MATCH(COLUMNS($AC$1006:AN1006),$AC$1006:$AS$1006,0)))),"Fix")))</f>
        <v xml:space="preserve"> </v>
      </c>
      <c r="N864" s="4" t="str">
        <f ca="1">IF(OR(INDEX($W$2:$W$1001,MATCH(ROWS($V$2:V864),$V$2:$V$1001,0),1)&gt;=100000,INDEX($AC$1005:$AS$1005,1,MATCH(COLUMNS($AC$1006:AO1006),$AC$1006:$AS$1006,0))&gt;=100000), " ",IF(INDEX($AC$2:$AS$1001,MATCH(ROWS($V$2:V864),$V$2:$V$1001,0),MATCH(COLUMNS($AC$1006:AO1006),$AC$1006:$AS$1006,0)), HYPERLINK("#",""), HYPERLINK(CONCATENATE("#metadata!", ADDRESS(INDEX($X$2:$X$1001,MATCH(ROWS($V$2:V864),$V$2:$V$1001,0),0), INDEX($AC$1004:$AS$1004,1,MATCH(COLUMNS($AC$1006:AO1006),$AC$1006:$AS$1006,0)))),"Fix")))</f>
        <v xml:space="preserve"> </v>
      </c>
      <c r="O864" s="4" t="str">
        <f ca="1">IF(OR(INDEX($W$2:$W$1001,MATCH(ROWS($V$2:V864),$V$2:$V$1001,0),1)&gt;=100000,INDEX($AC$1005:$AS$1005,1,MATCH(COLUMNS($AC$1006:AP1006),$AC$1006:$AS$1006,0))&gt;=100000), " ",IF(INDEX($AC$2:$AS$1001,MATCH(ROWS($V$2:V864),$V$2:$V$1001,0),MATCH(COLUMNS($AC$1006:AP1006),$AC$1006:$AS$1006,0)), HYPERLINK("#",""), HYPERLINK(CONCATENATE("#metadata!", ADDRESS(INDEX($X$2:$X$1001,MATCH(ROWS($V$2:V864),$V$2:$V$1001,0),0), INDEX($AC$1004:$AS$1004,1,MATCH(COLUMNS($AC$1006:AP1006),$AC$1006:$AS$1006,0)))),"Fix")))</f>
        <v xml:space="preserve"> </v>
      </c>
      <c r="P864" s="4" t="str">
        <f ca="1">IF(OR(INDEX($W$2:$W$1001,MATCH(ROWS($V$2:V864),$V$2:$V$1001,0),1)&gt;=100000,INDEX($AC$1005:$AS$1005,1,MATCH(COLUMNS($AC$1006:AQ1006),$AC$1006:$AS$1006,0))&gt;=100000), " ",IF(INDEX($AC$2:$AS$1001,MATCH(ROWS($V$2:V864),$V$2:$V$1001,0),MATCH(COLUMNS($AC$1006:AQ1006),$AC$1006:$AS$1006,0)), HYPERLINK("#",""), HYPERLINK(CONCATENATE("#metadata!", ADDRESS(INDEX($X$2:$X$1001,MATCH(ROWS($V$2:V864),$V$2:$V$1001,0),0), INDEX($AC$1004:$AS$1004,1,MATCH(COLUMNS($AC$1006:AQ1006),$AC$1006:$AS$1006,0)))),"Fix")))</f>
        <v xml:space="preserve"> </v>
      </c>
      <c r="Q864" s="4" t="str">
        <f ca="1">IF(OR(INDEX($W$2:$W$1001,MATCH(ROWS($V$2:V864),$V$2:$V$1001,0),1)&gt;=100000,INDEX($AC$1005:$AS$1005,1,MATCH(COLUMNS($AC$1006:AR1006),$AC$1006:$AS$1006,0))&gt;=100000), " ",IF(INDEX($AC$2:$AS$1001,MATCH(ROWS($V$2:V864),$V$2:$V$1001,0),MATCH(COLUMNS($AC$1006:AR1006),$AC$1006:$AS$1006,0)), HYPERLINK("#",""), HYPERLINK(CONCATENATE("#metadata!", ADDRESS(INDEX($X$2:$X$1001,MATCH(ROWS($V$2:V864),$V$2:$V$1001,0),0), INDEX($AC$1004:$AS$1004,1,MATCH(COLUMNS($AC$1006:AR1006),$AC$1006:$AS$1006,0)))),"Fix")))</f>
        <v xml:space="preserve"> </v>
      </c>
      <c r="R864" s="4" t="str">
        <f ca="1">IF(OR(INDEX($W$2:$W$1001,MATCH(ROWS($V$2:V864),$V$2:$V$1001,0),1)&gt;=100000,INDEX($AC$1005:$AS$1005,1,MATCH(COLUMNS($AC$1006:AS1006),$AC$1006:$AS$1006,0))&gt;=100000), " ",IF(INDEX($AC$2:$AS$1001,MATCH(ROWS($V$2:V864),$V$2:$V$1001,0),MATCH(COLUMNS($AC$1006:AS1006),$AC$1006:$AS$1006,0)), HYPERLINK("#",""), HYPERLINK(CONCATENATE("#metadata!", ADDRESS(INDEX($X$2:$X$1001,MATCH(ROWS($V$2:V864),$V$2:$V$1001,0),0), INDEX($AC$1004:$AS$1004,1,MATCH(COLUMNS($AC$1006:AS1006),$AC$1006:$AS$1006,0)))),"Fix")))</f>
        <v xml:space="preserve"> </v>
      </c>
      <c r="V864">
        <v>863</v>
      </c>
      <c r="W864">
        <v>100864</v>
      </c>
      <c r="X864">
        <v>864</v>
      </c>
      <c r="Y864" t="b">
        <f t="shared" si="13"/>
        <v>1</v>
      </c>
      <c r="Z864" t="b">
        <f>COUNTBLANK(metadata!B864:R864)=COLUMNS(metadata!B864:R864)</f>
        <v>1</v>
      </c>
      <c r="AA864" t="str">
        <v/>
      </c>
      <c r="AC864" t="b">
        <f ca="1"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AD864" t="b">
        <f>IF(metadata!C864="",FALSE,ISNUMBER(VALUE(metadata!C864)))</f>
        <v>0</v>
      </c>
      <c r="AE864" t="b">
        <f>AND(IF(metadata!D864="",FALSE,TRUE),EXACT(metadata!D864,"years"))</f>
        <v>0</v>
      </c>
      <c r="AF864" t="b">
        <f>OR(AND(IF(metadata!E864="",FALSE,TRUE),OR(EXACT(metadata!E864,"not applicable"),EXACT(metadata!E864,"missing: not collected"),EXACT(metadata!E864,"missing: not provided"),EXACT(metadata!E864,"missing: restricted access"))),AND(IF(metadata!E864="",FALSE,ISNUMBER(VALUE(metadata!E864))),metadata!E864&gt;0))</f>
        <v>0</v>
      </c>
      <c r="AG864" t="b">
        <f>AND(IF(metadata!F864="",FALSE,TRUE),EXACT(metadata!F864,"Not applicable"))</f>
        <v>0</v>
      </c>
      <c r="AH864" t="b">
        <f>AND(IF(metadata!G864="",FALSE,TRUE),EXACT(metadata!G864,"urban biome"))</f>
        <v>0</v>
      </c>
      <c r="AI864" t="b">
        <f>AND(IF(metadata!H864="",FALSE,TRUE),EXACT(metadata!H864,"human-associated habitat"))</f>
        <v>0</v>
      </c>
      <c r="AJ864" t="b">
        <f>AND(IF(metadata!I864="",FALSE,TRUE),OR(EXACT(metadata!I864,"human-associated"),EXACT(metadata!I864,"human-skin"),EXACT(metadata!I864,"human-oral"),EXACT(metadata!I864,"human-gut"),EXACT(metadata!I864,"human-vaginal")))</f>
        <v>0</v>
      </c>
      <c r="AK864" t="b">
        <f>IF(metadata!J864="",FALSE,ISNUMBER(VALUE(metadata!J864)))</f>
        <v>0</v>
      </c>
      <c r="AL864" t="b">
        <f>AND(IF(metadata!K864="",FALSE,TRUE),EXACT(metadata!K864,"cm"))</f>
        <v>0</v>
      </c>
      <c r="AM864" t="b">
        <f>AND(IF(metadata!L864="",FALSE,TRUE),EXACT(metadata!L864,"human"))</f>
        <v>0</v>
      </c>
      <c r="AN864" t="b">
        <f>AND(IF(metadata!M864="",FALSE,TRUE),EXACT(metadata!M864,"Homo sapiens"))</f>
        <v>0</v>
      </c>
      <c r="AO864" t="b">
        <f>AND(IF(metadata!N864="",FALSE,TRUE),EXACT(metadata!N864,"9606"))</f>
        <v>0</v>
      </c>
      <c r="AP864" t="b">
        <f>IF(metadata!O864="",FALSE,TRUE)</f>
        <v>0</v>
      </c>
      <c r="AQ864" t="b">
        <f>IF(metadata!P864="",FALSE,TRUE)</f>
        <v>0</v>
      </c>
      <c r="AR864" t="b">
        <f>IF(metadata!Q864="",FALSE,ISNUMBER(VALUE(metadata!Q864)))</f>
        <v>0</v>
      </c>
      <c r="AS864" t="b">
        <f>AND(IF(metadata!R864="",FALSE,TRUE),EXACT(metadata!R864,"kg"))</f>
        <v>0</v>
      </c>
    </row>
    <row r="865" spans="1:45" x14ac:dyDescent="0.2">
      <c r="A865" s="5" t="str">
        <f ca="1">IF(B865=" "," ",HYPERLINK(CONCATENATE("#metadata!",ADDRESS(INDEX($X$2:$X$1001,MATCH(ROWS($V$2:V865),$V$2:$V$1001,0),0),1)),INDEX($AA$2:$AA$1001,MATCH(ROWS($V$2:V865),$V$2:$V$1001,0),0)))</f>
        <v xml:space="preserve"> </v>
      </c>
      <c r="B865" s="4" t="str">
        <f ca="1">IF(OR(INDEX($W$2:$W$1001,MATCH(ROWS($V$2:V865),$V$2:$V$1001,0),1)&gt;=100000,INDEX($AC$1005:$AS$1005,1,MATCH(COLUMNS($AC$1006:AC1006),$AC$1006:$AS$1006,0))&gt;=100000), " ",IF(INDEX($AC$2:$AS$1001,MATCH(ROWS($V$2:V865),$V$2:$V$1001,0),MATCH(COLUMNS($AC$1006:AC1006),$AC$1006:$AS$1006,0)), HYPERLINK("#",""), HYPERLINK(CONCATENATE("#metadata!", ADDRESS(INDEX($X$2:$X$1001,MATCH(ROWS($V$2:V865),$V$2:$V$1001,0),0), INDEX($AC$1004:$AS$1004,1,MATCH(COLUMNS($AC$1006:AC1006),$AC$1006:$AS$1006,0)))),"Fix")))</f>
        <v xml:space="preserve"> </v>
      </c>
      <c r="C865" s="4" t="str">
        <f ca="1">IF(OR(INDEX($W$2:$W$1001,MATCH(ROWS($V$2:V865),$V$2:$V$1001,0),1)&gt;=100000,INDEX($AC$1005:$AS$1005,1,MATCH(COLUMNS($AC$1006:AD1006),$AC$1006:$AS$1006,0))&gt;=100000), " ",IF(INDEX($AC$2:$AS$1001,MATCH(ROWS($V$2:V865),$V$2:$V$1001,0),MATCH(COLUMNS($AC$1006:AD1006),$AC$1006:$AS$1006,0)), HYPERLINK("#",""), HYPERLINK(CONCATENATE("#metadata!", ADDRESS(INDEX($X$2:$X$1001,MATCH(ROWS($V$2:V865),$V$2:$V$1001,0),0), INDEX($AC$1004:$AS$1004,1,MATCH(COLUMNS($AC$1006:AD1006),$AC$1006:$AS$1006,0)))),"Fix")))</f>
        <v xml:space="preserve"> </v>
      </c>
      <c r="D865" s="4" t="str">
        <f ca="1">IF(OR(INDEX($W$2:$W$1001,MATCH(ROWS($V$2:V865),$V$2:$V$1001,0),1)&gt;=100000,INDEX($AC$1005:$AS$1005,1,MATCH(COLUMNS($AC$1006:AE1006),$AC$1006:$AS$1006,0))&gt;=100000), " ",IF(INDEX($AC$2:$AS$1001,MATCH(ROWS($V$2:V865),$V$2:$V$1001,0),MATCH(COLUMNS($AC$1006:AE1006),$AC$1006:$AS$1006,0)), HYPERLINK("#",""), HYPERLINK(CONCATENATE("#metadata!", ADDRESS(INDEX($X$2:$X$1001,MATCH(ROWS($V$2:V865),$V$2:$V$1001,0),0), INDEX($AC$1004:$AS$1004,1,MATCH(COLUMNS($AC$1006:AE1006),$AC$1006:$AS$1006,0)))),"Fix")))</f>
        <v xml:space="preserve"> </v>
      </c>
      <c r="E865" s="4" t="str">
        <f ca="1">IF(OR(INDEX($W$2:$W$1001,MATCH(ROWS($V$2:V865),$V$2:$V$1001,0),1)&gt;=100000,INDEX($AC$1005:$AS$1005,1,MATCH(COLUMNS($AC$1006:AF1006),$AC$1006:$AS$1006,0))&gt;=100000), " ",IF(INDEX($AC$2:$AS$1001,MATCH(ROWS($V$2:V865),$V$2:$V$1001,0),MATCH(COLUMNS($AC$1006:AF1006),$AC$1006:$AS$1006,0)), HYPERLINK("#",""), HYPERLINK(CONCATENATE("#metadata!", ADDRESS(INDEX($X$2:$X$1001,MATCH(ROWS($V$2:V865),$V$2:$V$1001,0),0), INDEX($AC$1004:$AS$1004,1,MATCH(COLUMNS($AC$1006:AF1006),$AC$1006:$AS$1006,0)))),"Fix")))</f>
        <v xml:space="preserve"> </v>
      </c>
      <c r="F865" s="4" t="str">
        <f ca="1">IF(OR(INDEX($W$2:$W$1001,MATCH(ROWS($V$2:V865),$V$2:$V$1001,0),1)&gt;=100000,INDEX($AC$1005:$AS$1005,1,MATCH(COLUMNS($AC$1006:AG1006),$AC$1006:$AS$1006,0))&gt;=100000), " ",IF(INDEX($AC$2:$AS$1001,MATCH(ROWS($V$2:V865),$V$2:$V$1001,0),MATCH(COLUMNS($AC$1006:AG1006),$AC$1006:$AS$1006,0)), HYPERLINK("#",""), HYPERLINK(CONCATENATE("#metadata!", ADDRESS(INDEX($X$2:$X$1001,MATCH(ROWS($V$2:V865),$V$2:$V$1001,0),0), INDEX($AC$1004:$AS$1004,1,MATCH(COLUMNS($AC$1006:AG1006),$AC$1006:$AS$1006,0)))),"Fix")))</f>
        <v xml:space="preserve"> </v>
      </c>
      <c r="G865" s="4" t="str">
        <f ca="1">IF(OR(INDEX($W$2:$W$1001,MATCH(ROWS($V$2:V865),$V$2:$V$1001,0),1)&gt;=100000,INDEX($AC$1005:$AS$1005,1,MATCH(COLUMNS($AC$1006:AH1006),$AC$1006:$AS$1006,0))&gt;=100000), " ",IF(INDEX($AC$2:$AS$1001,MATCH(ROWS($V$2:V865),$V$2:$V$1001,0),MATCH(COLUMNS($AC$1006:AH1006),$AC$1006:$AS$1006,0)), HYPERLINK("#",""), HYPERLINK(CONCATENATE("#metadata!", ADDRESS(INDEX($X$2:$X$1001,MATCH(ROWS($V$2:V865),$V$2:$V$1001,0),0), INDEX($AC$1004:$AS$1004,1,MATCH(COLUMNS($AC$1006:AH1006),$AC$1006:$AS$1006,0)))),"Fix")))</f>
        <v xml:space="preserve"> </v>
      </c>
      <c r="H865" s="4" t="str">
        <f ca="1">IF(OR(INDEX($W$2:$W$1001,MATCH(ROWS($V$2:V865),$V$2:$V$1001,0),1)&gt;=100000,INDEX($AC$1005:$AS$1005,1,MATCH(COLUMNS($AC$1006:AI1006),$AC$1006:$AS$1006,0))&gt;=100000), " ",IF(INDEX($AC$2:$AS$1001,MATCH(ROWS($V$2:V865),$V$2:$V$1001,0),MATCH(COLUMNS($AC$1006:AI1006),$AC$1006:$AS$1006,0)), HYPERLINK("#",""), HYPERLINK(CONCATENATE("#metadata!", ADDRESS(INDEX($X$2:$X$1001,MATCH(ROWS($V$2:V865),$V$2:$V$1001,0),0), INDEX($AC$1004:$AS$1004,1,MATCH(COLUMNS($AC$1006:AI1006),$AC$1006:$AS$1006,0)))),"Fix")))</f>
        <v xml:space="preserve"> </v>
      </c>
      <c r="I865" s="4" t="str">
        <f ca="1">IF(OR(INDEX($W$2:$W$1001,MATCH(ROWS($V$2:V865),$V$2:$V$1001,0),1)&gt;=100000,INDEX($AC$1005:$AS$1005,1,MATCH(COLUMNS($AC$1006:AJ1006),$AC$1006:$AS$1006,0))&gt;=100000), " ",IF(INDEX($AC$2:$AS$1001,MATCH(ROWS($V$2:V865),$V$2:$V$1001,0),MATCH(COLUMNS($AC$1006:AJ1006),$AC$1006:$AS$1006,0)), HYPERLINK("#",""), HYPERLINK(CONCATENATE("#metadata!", ADDRESS(INDEX($X$2:$X$1001,MATCH(ROWS($V$2:V865),$V$2:$V$1001,0),0), INDEX($AC$1004:$AS$1004,1,MATCH(COLUMNS($AC$1006:AJ1006),$AC$1006:$AS$1006,0)))),"Fix")))</f>
        <v xml:space="preserve"> </v>
      </c>
      <c r="J865" s="4" t="str">
        <f ca="1">IF(OR(INDEX($W$2:$W$1001,MATCH(ROWS($V$2:V865),$V$2:$V$1001,0),1)&gt;=100000,INDEX($AC$1005:$AS$1005,1,MATCH(COLUMNS($AC$1006:AK1006),$AC$1006:$AS$1006,0))&gt;=100000), " ",IF(INDEX($AC$2:$AS$1001,MATCH(ROWS($V$2:V865),$V$2:$V$1001,0),MATCH(COLUMNS($AC$1006:AK1006),$AC$1006:$AS$1006,0)), HYPERLINK("#",""), HYPERLINK(CONCATENATE("#metadata!", ADDRESS(INDEX($X$2:$X$1001,MATCH(ROWS($V$2:V865),$V$2:$V$1001,0),0), INDEX($AC$1004:$AS$1004,1,MATCH(COLUMNS($AC$1006:AK1006),$AC$1006:$AS$1006,0)))),"Fix")))</f>
        <v xml:space="preserve"> </v>
      </c>
      <c r="K865" s="4" t="str">
        <f ca="1">IF(OR(INDEX($W$2:$W$1001,MATCH(ROWS($V$2:V865),$V$2:$V$1001,0),1)&gt;=100000,INDEX($AC$1005:$AS$1005,1,MATCH(COLUMNS($AC$1006:AL1006),$AC$1006:$AS$1006,0))&gt;=100000), " ",IF(INDEX($AC$2:$AS$1001,MATCH(ROWS($V$2:V865),$V$2:$V$1001,0),MATCH(COLUMNS($AC$1006:AL1006),$AC$1006:$AS$1006,0)), HYPERLINK("#",""), HYPERLINK(CONCATENATE("#metadata!", ADDRESS(INDEX($X$2:$X$1001,MATCH(ROWS($V$2:V865),$V$2:$V$1001,0),0), INDEX($AC$1004:$AS$1004,1,MATCH(COLUMNS($AC$1006:AL1006),$AC$1006:$AS$1006,0)))),"Fix")))</f>
        <v xml:space="preserve"> </v>
      </c>
      <c r="L865" s="4" t="str">
        <f ca="1">IF(OR(INDEX($W$2:$W$1001,MATCH(ROWS($V$2:V865),$V$2:$V$1001,0),1)&gt;=100000,INDEX($AC$1005:$AS$1005,1,MATCH(COLUMNS($AC$1006:AM1006),$AC$1006:$AS$1006,0))&gt;=100000), " ",IF(INDEX($AC$2:$AS$1001,MATCH(ROWS($V$2:V865),$V$2:$V$1001,0),MATCH(COLUMNS($AC$1006:AM1006),$AC$1006:$AS$1006,0)), HYPERLINK("#",""), HYPERLINK(CONCATENATE("#metadata!", ADDRESS(INDEX($X$2:$X$1001,MATCH(ROWS($V$2:V865),$V$2:$V$1001,0),0), INDEX($AC$1004:$AS$1004,1,MATCH(COLUMNS($AC$1006:AM1006),$AC$1006:$AS$1006,0)))),"Fix")))</f>
        <v xml:space="preserve"> </v>
      </c>
      <c r="M865" s="4" t="str">
        <f ca="1">IF(OR(INDEX($W$2:$W$1001,MATCH(ROWS($V$2:V865),$V$2:$V$1001,0),1)&gt;=100000,INDEX($AC$1005:$AS$1005,1,MATCH(COLUMNS($AC$1006:AN1006),$AC$1006:$AS$1006,0))&gt;=100000), " ",IF(INDEX($AC$2:$AS$1001,MATCH(ROWS($V$2:V865),$V$2:$V$1001,0),MATCH(COLUMNS($AC$1006:AN1006),$AC$1006:$AS$1006,0)), HYPERLINK("#",""), HYPERLINK(CONCATENATE("#metadata!", ADDRESS(INDEX($X$2:$X$1001,MATCH(ROWS($V$2:V865),$V$2:$V$1001,0),0), INDEX($AC$1004:$AS$1004,1,MATCH(COLUMNS($AC$1006:AN1006),$AC$1006:$AS$1006,0)))),"Fix")))</f>
        <v xml:space="preserve"> </v>
      </c>
      <c r="N865" s="4" t="str">
        <f ca="1">IF(OR(INDEX($W$2:$W$1001,MATCH(ROWS($V$2:V865),$V$2:$V$1001,0),1)&gt;=100000,INDEX($AC$1005:$AS$1005,1,MATCH(COLUMNS($AC$1006:AO1006),$AC$1006:$AS$1006,0))&gt;=100000), " ",IF(INDEX($AC$2:$AS$1001,MATCH(ROWS($V$2:V865),$V$2:$V$1001,0),MATCH(COLUMNS($AC$1006:AO1006),$AC$1006:$AS$1006,0)), HYPERLINK("#",""), HYPERLINK(CONCATENATE("#metadata!", ADDRESS(INDEX($X$2:$X$1001,MATCH(ROWS($V$2:V865),$V$2:$V$1001,0),0), INDEX($AC$1004:$AS$1004,1,MATCH(COLUMNS($AC$1006:AO1006),$AC$1006:$AS$1006,0)))),"Fix")))</f>
        <v xml:space="preserve"> </v>
      </c>
      <c r="O865" s="4" t="str">
        <f ca="1">IF(OR(INDEX($W$2:$W$1001,MATCH(ROWS($V$2:V865),$V$2:$V$1001,0),1)&gt;=100000,INDEX($AC$1005:$AS$1005,1,MATCH(COLUMNS($AC$1006:AP1006),$AC$1006:$AS$1006,0))&gt;=100000), " ",IF(INDEX($AC$2:$AS$1001,MATCH(ROWS($V$2:V865),$V$2:$V$1001,0),MATCH(COLUMNS($AC$1006:AP1006),$AC$1006:$AS$1006,0)), HYPERLINK("#",""), HYPERLINK(CONCATENATE("#metadata!", ADDRESS(INDEX($X$2:$X$1001,MATCH(ROWS($V$2:V865),$V$2:$V$1001,0),0), INDEX($AC$1004:$AS$1004,1,MATCH(COLUMNS($AC$1006:AP1006),$AC$1006:$AS$1006,0)))),"Fix")))</f>
        <v xml:space="preserve"> </v>
      </c>
      <c r="P865" s="4" t="str">
        <f ca="1">IF(OR(INDEX($W$2:$W$1001,MATCH(ROWS($V$2:V865),$V$2:$V$1001,0),1)&gt;=100000,INDEX($AC$1005:$AS$1005,1,MATCH(COLUMNS($AC$1006:AQ1006),$AC$1006:$AS$1006,0))&gt;=100000), " ",IF(INDEX($AC$2:$AS$1001,MATCH(ROWS($V$2:V865),$V$2:$V$1001,0),MATCH(COLUMNS($AC$1006:AQ1006),$AC$1006:$AS$1006,0)), HYPERLINK("#",""), HYPERLINK(CONCATENATE("#metadata!", ADDRESS(INDEX($X$2:$X$1001,MATCH(ROWS($V$2:V865),$V$2:$V$1001,0),0), INDEX($AC$1004:$AS$1004,1,MATCH(COLUMNS($AC$1006:AQ1006),$AC$1006:$AS$1006,0)))),"Fix")))</f>
        <v xml:space="preserve"> </v>
      </c>
      <c r="Q865" s="4" t="str">
        <f ca="1">IF(OR(INDEX($W$2:$W$1001,MATCH(ROWS($V$2:V865),$V$2:$V$1001,0),1)&gt;=100000,INDEX($AC$1005:$AS$1005,1,MATCH(COLUMNS($AC$1006:AR1006),$AC$1006:$AS$1006,0))&gt;=100000), " ",IF(INDEX($AC$2:$AS$1001,MATCH(ROWS($V$2:V865),$V$2:$V$1001,0),MATCH(COLUMNS($AC$1006:AR1006),$AC$1006:$AS$1006,0)), HYPERLINK("#",""), HYPERLINK(CONCATENATE("#metadata!", ADDRESS(INDEX($X$2:$X$1001,MATCH(ROWS($V$2:V865),$V$2:$V$1001,0),0), INDEX($AC$1004:$AS$1004,1,MATCH(COLUMNS($AC$1006:AR1006),$AC$1006:$AS$1006,0)))),"Fix")))</f>
        <v xml:space="preserve"> </v>
      </c>
      <c r="R865" s="4" t="str">
        <f ca="1">IF(OR(INDEX($W$2:$W$1001,MATCH(ROWS($V$2:V865),$V$2:$V$1001,0),1)&gt;=100000,INDEX($AC$1005:$AS$1005,1,MATCH(COLUMNS($AC$1006:AS1006),$AC$1006:$AS$1006,0))&gt;=100000), " ",IF(INDEX($AC$2:$AS$1001,MATCH(ROWS($V$2:V865),$V$2:$V$1001,0),MATCH(COLUMNS($AC$1006:AS1006),$AC$1006:$AS$1006,0)), HYPERLINK("#",""), HYPERLINK(CONCATENATE("#metadata!", ADDRESS(INDEX($X$2:$X$1001,MATCH(ROWS($V$2:V865),$V$2:$V$1001,0),0), INDEX($AC$1004:$AS$1004,1,MATCH(COLUMNS($AC$1006:AS1006),$AC$1006:$AS$1006,0)))),"Fix")))</f>
        <v xml:space="preserve"> </v>
      </c>
      <c r="V865">
        <v>864</v>
      </c>
      <c r="W865">
        <v>100865</v>
      </c>
      <c r="X865">
        <v>865</v>
      </c>
      <c r="Y865" t="b">
        <f t="shared" si="13"/>
        <v>1</v>
      </c>
      <c r="Z865" t="b">
        <f>COUNTBLANK(metadata!B865:R865)=COLUMNS(metadata!B865:R865)</f>
        <v>1</v>
      </c>
      <c r="AA865" t="str">
        <v/>
      </c>
      <c r="AC865" t="b">
        <f ca="1"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AD865" t="b">
        <f>IF(metadata!C865="",FALSE,ISNUMBER(VALUE(metadata!C865)))</f>
        <v>0</v>
      </c>
      <c r="AE865" t="b">
        <f>AND(IF(metadata!D865="",FALSE,TRUE),EXACT(metadata!D865,"years"))</f>
        <v>0</v>
      </c>
      <c r="AF865" t="b">
        <f>OR(AND(IF(metadata!E865="",FALSE,TRUE),OR(EXACT(metadata!E865,"not applicable"),EXACT(metadata!E865,"missing: not collected"),EXACT(metadata!E865,"missing: not provided"),EXACT(metadata!E865,"missing: restricted access"))),AND(IF(metadata!E865="",FALSE,ISNUMBER(VALUE(metadata!E865))),metadata!E865&gt;0))</f>
        <v>0</v>
      </c>
      <c r="AG865" t="b">
        <f>AND(IF(metadata!F865="",FALSE,TRUE),EXACT(metadata!F865,"Not applicable"))</f>
        <v>0</v>
      </c>
      <c r="AH865" t="b">
        <f>AND(IF(metadata!G865="",FALSE,TRUE),EXACT(metadata!G865,"urban biome"))</f>
        <v>0</v>
      </c>
      <c r="AI865" t="b">
        <f>AND(IF(metadata!H865="",FALSE,TRUE),EXACT(metadata!H865,"human-associated habitat"))</f>
        <v>0</v>
      </c>
      <c r="AJ865" t="b">
        <f>AND(IF(metadata!I865="",FALSE,TRUE),OR(EXACT(metadata!I865,"human-associated"),EXACT(metadata!I865,"human-skin"),EXACT(metadata!I865,"human-oral"),EXACT(metadata!I865,"human-gut"),EXACT(metadata!I865,"human-vaginal")))</f>
        <v>0</v>
      </c>
      <c r="AK865" t="b">
        <f>IF(metadata!J865="",FALSE,ISNUMBER(VALUE(metadata!J865)))</f>
        <v>0</v>
      </c>
      <c r="AL865" t="b">
        <f>AND(IF(metadata!K865="",FALSE,TRUE),EXACT(metadata!K865,"cm"))</f>
        <v>0</v>
      </c>
      <c r="AM865" t="b">
        <f>AND(IF(metadata!L865="",FALSE,TRUE),EXACT(metadata!L865,"human"))</f>
        <v>0</v>
      </c>
      <c r="AN865" t="b">
        <f>AND(IF(metadata!M865="",FALSE,TRUE),EXACT(metadata!M865,"Homo sapiens"))</f>
        <v>0</v>
      </c>
      <c r="AO865" t="b">
        <f>AND(IF(metadata!N865="",FALSE,TRUE),EXACT(metadata!N865,"9606"))</f>
        <v>0</v>
      </c>
      <c r="AP865" t="b">
        <f>IF(metadata!O865="",FALSE,TRUE)</f>
        <v>0</v>
      </c>
      <c r="AQ865" t="b">
        <f>IF(metadata!P865="",FALSE,TRUE)</f>
        <v>0</v>
      </c>
      <c r="AR865" t="b">
        <f>IF(metadata!Q865="",FALSE,ISNUMBER(VALUE(metadata!Q865)))</f>
        <v>0</v>
      </c>
      <c r="AS865" t="b">
        <f>AND(IF(metadata!R865="",FALSE,TRUE),EXACT(metadata!R865,"kg"))</f>
        <v>0</v>
      </c>
    </row>
    <row r="866" spans="1:45" x14ac:dyDescent="0.2">
      <c r="A866" s="5" t="str">
        <f ca="1">IF(B866=" "," ",HYPERLINK(CONCATENATE("#metadata!",ADDRESS(INDEX($X$2:$X$1001,MATCH(ROWS($V$2:V866),$V$2:$V$1001,0),0),1)),INDEX($AA$2:$AA$1001,MATCH(ROWS($V$2:V866),$V$2:$V$1001,0),0)))</f>
        <v xml:space="preserve"> </v>
      </c>
      <c r="B866" s="4" t="str">
        <f ca="1">IF(OR(INDEX($W$2:$W$1001,MATCH(ROWS($V$2:V866),$V$2:$V$1001,0),1)&gt;=100000,INDEX($AC$1005:$AS$1005,1,MATCH(COLUMNS($AC$1006:AC1006),$AC$1006:$AS$1006,0))&gt;=100000), " ",IF(INDEX($AC$2:$AS$1001,MATCH(ROWS($V$2:V866),$V$2:$V$1001,0),MATCH(COLUMNS($AC$1006:AC1006),$AC$1006:$AS$1006,0)), HYPERLINK("#",""), HYPERLINK(CONCATENATE("#metadata!", ADDRESS(INDEX($X$2:$X$1001,MATCH(ROWS($V$2:V866),$V$2:$V$1001,0),0), INDEX($AC$1004:$AS$1004,1,MATCH(COLUMNS($AC$1006:AC1006),$AC$1006:$AS$1006,0)))),"Fix")))</f>
        <v xml:space="preserve"> </v>
      </c>
      <c r="C866" s="4" t="str">
        <f ca="1">IF(OR(INDEX($W$2:$W$1001,MATCH(ROWS($V$2:V866),$V$2:$V$1001,0),1)&gt;=100000,INDEX($AC$1005:$AS$1005,1,MATCH(COLUMNS($AC$1006:AD1006),$AC$1006:$AS$1006,0))&gt;=100000), " ",IF(INDEX($AC$2:$AS$1001,MATCH(ROWS($V$2:V866),$V$2:$V$1001,0),MATCH(COLUMNS($AC$1006:AD1006),$AC$1006:$AS$1006,0)), HYPERLINK("#",""), HYPERLINK(CONCATENATE("#metadata!", ADDRESS(INDEX($X$2:$X$1001,MATCH(ROWS($V$2:V866),$V$2:$V$1001,0),0), INDEX($AC$1004:$AS$1004,1,MATCH(COLUMNS($AC$1006:AD1006),$AC$1006:$AS$1006,0)))),"Fix")))</f>
        <v xml:space="preserve"> </v>
      </c>
      <c r="D866" s="4" t="str">
        <f ca="1">IF(OR(INDEX($W$2:$W$1001,MATCH(ROWS($V$2:V866),$V$2:$V$1001,0),1)&gt;=100000,INDEX($AC$1005:$AS$1005,1,MATCH(COLUMNS($AC$1006:AE1006),$AC$1006:$AS$1006,0))&gt;=100000), " ",IF(INDEX($AC$2:$AS$1001,MATCH(ROWS($V$2:V866),$V$2:$V$1001,0),MATCH(COLUMNS($AC$1006:AE1006),$AC$1006:$AS$1006,0)), HYPERLINK("#",""), HYPERLINK(CONCATENATE("#metadata!", ADDRESS(INDEX($X$2:$X$1001,MATCH(ROWS($V$2:V866),$V$2:$V$1001,0),0), INDEX($AC$1004:$AS$1004,1,MATCH(COLUMNS($AC$1006:AE1006),$AC$1006:$AS$1006,0)))),"Fix")))</f>
        <v xml:space="preserve"> </v>
      </c>
      <c r="E866" s="4" t="str">
        <f ca="1">IF(OR(INDEX($W$2:$W$1001,MATCH(ROWS($V$2:V866),$V$2:$V$1001,0),1)&gt;=100000,INDEX($AC$1005:$AS$1005,1,MATCH(COLUMNS($AC$1006:AF1006),$AC$1006:$AS$1006,0))&gt;=100000), " ",IF(INDEX($AC$2:$AS$1001,MATCH(ROWS($V$2:V866),$V$2:$V$1001,0),MATCH(COLUMNS($AC$1006:AF1006),$AC$1006:$AS$1006,0)), HYPERLINK("#",""), HYPERLINK(CONCATENATE("#metadata!", ADDRESS(INDEX($X$2:$X$1001,MATCH(ROWS($V$2:V866),$V$2:$V$1001,0),0), INDEX($AC$1004:$AS$1004,1,MATCH(COLUMNS($AC$1006:AF1006),$AC$1006:$AS$1006,0)))),"Fix")))</f>
        <v xml:space="preserve"> </v>
      </c>
      <c r="F866" s="4" t="str">
        <f ca="1">IF(OR(INDEX($W$2:$W$1001,MATCH(ROWS($V$2:V866),$V$2:$V$1001,0),1)&gt;=100000,INDEX($AC$1005:$AS$1005,1,MATCH(COLUMNS($AC$1006:AG1006),$AC$1006:$AS$1006,0))&gt;=100000), " ",IF(INDEX($AC$2:$AS$1001,MATCH(ROWS($V$2:V866),$V$2:$V$1001,0),MATCH(COLUMNS($AC$1006:AG1006),$AC$1006:$AS$1006,0)), HYPERLINK("#",""), HYPERLINK(CONCATENATE("#metadata!", ADDRESS(INDEX($X$2:$X$1001,MATCH(ROWS($V$2:V866),$V$2:$V$1001,0),0), INDEX($AC$1004:$AS$1004,1,MATCH(COLUMNS($AC$1006:AG1006),$AC$1006:$AS$1006,0)))),"Fix")))</f>
        <v xml:space="preserve"> </v>
      </c>
      <c r="G866" s="4" t="str">
        <f ca="1">IF(OR(INDEX($W$2:$W$1001,MATCH(ROWS($V$2:V866),$V$2:$V$1001,0),1)&gt;=100000,INDEX($AC$1005:$AS$1005,1,MATCH(COLUMNS($AC$1006:AH1006),$AC$1006:$AS$1006,0))&gt;=100000), " ",IF(INDEX($AC$2:$AS$1001,MATCH(ROWS($V$2:V866),$V$2:$V$1001,0),MATCH(COLUMNS($AC$1006:AH1006),$AC$1006:$AS$1006,0)), HYPERLINK("#",""), HYPERLINK(CONCATENATE("#metadata!", ADDRESS(INDEX($X$2:$X$1001,MATCH(ROWS($V$2:V866),$V$2:$V$1001,0),0), INDEX($AC$1004:$AS$1004,1,MATCH(COLUMNS($AC$1006:AH1006),$AC$1006:$AS$1006,0)))),"Fix")))</f>
        <v xml:space="preserve"> </v>
      </c>
      <c r="H866" s="4" t="str">
        <f ca="1">IF(OR(INDEX($W$2:$W$1001,MATCH(ROWS($V$2:V866),$V$2:$V$1001,0),1)&gt;=100000,INDEX($AC$1005:$AS$1005,1,MATCH(COLUMNS($AC$1006:AI1006),$AC$1006:$AS$1006,0))&gt;=100000), " ",IF(INDEX($AC$2:$AS$1001,MATCH(ROWS($V$2:V866),$V$2:$V$1001,0),MATCH(COLUMNS($AC$1006:AI1006),$AC$1006:$AS$1006,0)), HYPERLINK("#",""), HYPERLINK(CONCATENATE("#metadata!", ADDRESS(INDEX($X$2:$X$1001,MATCH(ROWS($V$2:V866),$V$2:$V$1001,0),0), INDEX($AC$1004:$AS$1004,1,MATCH(COLUMNS($AC$1006:AI1006),$AC$1006:$AS$1006,0)))),"Fix")))</f>
        <v xml:space="preserve"> </v>
      </c>
      <c r="I866" s="4" t="str">
        <f ca="1">IF(OR(INDEX($W$2:$W$1001,MATCH(ROWS($V$2:V866),$V$2:$V$1001,0),1)&gt;=100000,INDEX($AC$1005:$AS$1005,1,MATCH(COLUMNS($AC$1006:AJ1006),$AC$1006:$AS$1006,0))&gt;=100000), " ",IF(INDEX($AC$2:$AS$1001,MATCH(ROWS($V$2:V866),$V$2:$V$1001,0),MATCH(COLUMNS($AC$1006:AJ1006),$AC$1006:$AS$1006,0)), HYPERLINK("#",""), HYPERLINK(CONCATENATE("#metadata!", ADDRESS(INDEX($X$2:$X$1001,MATCH(ROWS($V$2:V866),$V$2:$V$1001,0),0), INDEX($AC$1004:$AS$1004,1,MATCH(COLUMNS($AC$1006:AJ1006),$AC$1006:$AS$1006,0)))),"Fix")))</f>
        <v xml:space="preserve"> </v>
      </c>
      <c r="J866" s="4" t="str">
        <f ca="1">IF(OR(INDEX($W$2:$W$1001,MATCH(ROWS($V$2:V866),$V$2:$V$1001,0),1)&gt;=100000,INDEX($AC$1005:$AS$1005,1,MATCH(COLUMNS($AC$1006:AK1006),$AC$1006:$AS$1006,0))&gt;=100000), " ",IF(INDEX($AC$2:$AS$1001,MATCH(ROWS($V$2:V866),$V$2:$V$1001,0),MATCH(COLUMNS($AC$1006:AK1006),$AC$1006:$AS$1006,0)), HYPERLINK("#",""), HYPERLINK(CONCATENATE("#metadata!", ADDRESS(INDEX($X$2:$X$1001,MATCH(ROWS($V$2:V866),$V$2:$V$1001,0),0), INDEX($AC$1004:$AS$1004,1,MATCH(COLUMNS($AC$1006:AK1006),$AC$1006:$AS$1006,0)))),"Fix")))</f>
        <v xml:space="preserve"> </v>
      </c>
      <c r="K866" s="4" t="str">
        <f ca="1">IF(OR(INDEX($W$2:$W$1001,MATCH(ROWS($V$2:V866),$V$2:$V$1001,0),1)&gt;=100000,INDEX($AC$1005:$AS$1005,1,MATCH(COLUMNS($AC$1006:AL1006),$AC$1006:$AS$1006,0))&gt;=100000), " ",IF(INDEX($AC$2:$AS$1001,MATCH(ROWS($V$2:V866),$V$2:$V$1001,0),MATCH(COLUMNS($AC$1006:AL1006),$AC$1006:$AS$1006,0)), HYPERLINK("#",""), HYPERLINK(CONCATENATE("#metadata!", ADDRESS(INDEX($X$2:$X$1001,MATCH(ROWS($V$2:V866),$V$2:$V$1001,0),0), INDEX($AC$1004:$AS$1004,1,MATCH(COLUMNS($AC$1006:AL1006),$AC$1006:$AS$1006,0)))),"Fix")))</f>
        <v xml:space="preserve"> </v>
      </c>
      <c r="L866" s="4" t="str">
        <f ca="1">IF(OR(INDEX($W$2:$W$1001,MATCH(ROWS($V$2:V866),$V$2:$V$1001,0),1)&gt;=100000,INDEX($AC$1005:$AS$1005,1,MATCH(COLUMNS($AC$1006:AM1006),$AC$1006:$AS$1006,0))&gt;=100000), " ",IF(INDEX($AC$2:$AS$1001,MATCH(ROWS($V$2:V866),$V$2:$V$1001,0),MATCH(COLUMNS($AC$1006:AM1006),$AC$1006:$AS$1006,0)), HYPERLINK("#",""), HYPERLINK(CONCATENATE("#metadata!", ADDRESS(INDEX($X$2:$X$1001,MATCH(ROWS($V$2:V866),$V$2:$V$1001,0),0), INDEX($AC$1004:$AS$1004,1,MATCH(COLUMNS($AC$1006:AM1006),$AC$1006:$AS$1006,0)))),"Fix")))</f>
        <v xml:space="preserve"> </v>
      </c>
      <c r="M866" s="4" t="str">
        <f ca="1">IF(OR(INDEX($W$2:$W$1001,MATCH(ROWS($V$2:V866),$V$2:$V$1001,0),1)&gt;=100000,INDEX($AC$1005:$AS$1005,1,MATCH(COLUMNS($AC$1006:AN1006),$AC$1006:$AS$1006,0))&gt;=100000), " ",IF(INDEX($AC$2:$AS$1001,MATCH(ROWS($V$2:V866),$V$2:$V$1001,0),MATCH(COLUMNS($AC$1006:AN1006),$AC$1006:$AS$1006,0)), HYPERLINK("#",""), HYPERLINK(CONCATENATE("#metadata!", ADDRESS(INDEX($X$2:$X$1001,MATCH(ROWS($V$2:V866),$V$2:$V$1001,0),0), INDEX($AC$1004:$AS$1004,1,MATCH(COLUMNS($AC$1006:AN1006),$AC$1006:$AS$1006,0)))),"Fix")))</f>
        <v xml:space="preserve"> </v>
      </c>
      <c r="N866" s="4" t="str">
        <f ca="1">IF(OR(INDEX($W$2:$W$1001,MATCH(ROWS($V$2:V866),$V$2:$V$1001,0),1)&gt;=100000,INDEX($AC$1005:$AS$1005,1,MATCH(COLUMNS($AC$1006:AO1006),$AC$1006:$AS$1006,0))&gt;=100000), " ",IF(INDEX($AC$2:$AS$1001,MATCH(ROWS($V$2:V866),$V$2:$V$1001,0),MATCH(COLUMNS($AC$1006:AO1006),$AC$1006:$AS$1006,0)), HYPERLINK("#",""), HYPERLINK(CONCATENATE("#metadata!", ADDRESS(INDEX($X$2:$X$1001,MATCH(ROWS($V$2:V866),$V$2:$V$1001,0),0), INDEX($AC$1004:$AS$1004,1,MATCH(COLUMNS($AC$1006:AO1006),$AC$1006:$AS$1006,0)))),"Fix")))</f>
        <v xml:space="preserve"> </v>
      </c>
      <c r="O866" s="4" t="str">
        <f ca="1">IF(OR(INDEX($W$2:$W$1001,MATCH(ROWS($V$2:V866),$V$2:$V$1001,0),1)&gt;=100000,INDEX($AC$1005:$AS$1005,1,MATCH(COLUMNS($AC$1006:AP1006),$AC$1006:$AS$1006,0))&gt;=100000), " ",IF(INDEX($AC$2:$AS$1001,MATCH(ROWS($V$2:V866),$V$2:$V$1001,0),MATCH(COLUMNS($AC$1006:AP1006),$AC$1006:$AS$1006,0)), HYPERLINK("#",""), HYPERLINK(CONCATENATE("#metadata!", ADDRESS(INDEX($X$2:$X$1001,MATCH(ROWS($V$2:V866),$V$2:$V$1001,0),0), INDEX($AC$1004:$AS$1004,1,MATCH(COLUMNS($AC$1006:AP1006),$AC$1006:$AS$1006,0)))),"Fix")))</f>
        <v xml:space="preserve"> </v>
      </c>
      <c r="P866" s="4" t="str">
        <f ca="1">IF(OR(INDEX($W$2:$W$1001,MATCH(ROWS($V$2:V866),$V$2:$V$1001,0),1)&gt;=100000,INDEX($AC$1005:$AS$1005,1,MATCH(COLUMNS($AC$1006:AQ1006),$AC$1006:$AS$1006,0))&gt;=100000), " ",IF(INDEX($AC$2:$AS$1001,MATCH(ROWS($V$2:V866),$V$2:$V$1001,0),MATCH(COLUMNS($AC$1006:AQ1006),$AC$1006:$AS$1006,0)), HYPERLINK("#",""), HYPERLINK(CONCATENATE("#metadata!", ADDRESS(INDEX($X$2:$X$1001,MATCH(ROWS($V$2:V866),$V$2:$V$1001,0),0), INDEX($AC$1004:$AS$1004,1,MATCH(COLUMNS($AC$1006:AQ1006),$AC$1006:$AS$1006,0)))),"Fix")))</f>
        <v xml:space="preserve"> </v>
      </c>
      <c r="Q866" s="4" t="str">
        <f ca="1">IF(OR(INDEX($W$2:$W$1001,MATCH(ROWS($V$2:V866),$V$2:$V$1001,0),1)&gt;=100000,INDEX($AC$1005:$AS$1005,1,MATCH(COLUMNS($AC$1006:AR1006),$AC$1006:$AS$1006,0))&gt;=100000), " ",IF(INDEX($AC$2:$AS$1001,MATCH(ROWS($V$2:V866),$V$2:$V$1001,0),MATCH(COLUMNS($AC$1006:AR1006),$AC$1006:$AS$1006,0)), HYPERLINK("#",""), HYPERLINK(CONCATENATE("#metadata!", ADDRESS(INDEX($X$2:$X$1001,MATCH(ROWS($V$2:V866),$V$2:$V$1001,0),0), INDEX($AC$1004:$AS$1004,1,MATCH(COLUMNS($AC$1006:AR1006),$AC$1006:$AS$1006,0)))),"Fix")))</f>
        <v xml:space="preserve"> </v>
      </c>
      <c r="R866" s="4" t="str">
        <f ca="1">IF(OR(INDEX($W$2:$W$1001,MATCH(ROWS($V$2:V866),$V$2:$V$1001,0),1)&gt;=100000,INDEX($AC$1005:$AS$1005,1,MATCH(COLUMNS($AC$1006:AS1006),$AC$1006:$AS$1006,0))&gt;=100000), " ",IF(INDEX($AC$2:$AS$1001,MATCH(ROWS($V$2:V866),$V$2:$V$1001,0),MATCH(COLUMNS($AC$1006:AS1006),$AC$1006:$AS$1006,0)), HYPERLINK("#",""), HYPERLINK(CONCATENATE("#metadata!", ADDRESS(INDEX($X$2:$X$1001,MATCH(ROWS($V$2:V866),$V$2:$V$1001,0),0), INDEX($AC$1004:$AS$1004,1,MATCH(COLUMNS($AC$1006:AS1006),$AC$1006:$AS$1006,0)))),"Fix")))</f>
        <v xml:space="preserve"> </v>
      </c>
      <c r="V866">
        <v>865</v>
      </c>
      <c r="W866">
        <v>100866</v>
      </c>
      <c r="X866">
        <v>866</v>
      </c>
      <c r="Y866" t="b">
        <f t="shared" si="13"/>
        <v>1</v>
      </c>
      <c r="Z866" t="b">
        <f>COUNTBLANK(metadata!B866:R866)=COLUMNS(metadata!B866:R866)</f>
        <v>1</v>
      </c>
      <c r="AA866" t="str">
        <v/>
      </c>
      <c r="AC866" t="b">
        <f ca="1"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AD866" t="b">
        <f>IF(metadata!C866="",FALSE,ISNUMBER(VALUE(metadata!C866)))</f>
        <v>0</v>
      </c>
      <c r="AE866" t="b">
        <f>AND(IF(metadata!D866="",FALSE,TRUE),EXACT(metadata!D866,"years"))</f>
        <v>0</v>
      </c>
      <c r="AF866" t="b">
        <f>OR(AND(IF(metadata!E866="",FALSE,TRUE),OR(EXACT(metadata!E866,"not applicable"),EXACT(metadata!E866,"missing: not collected"),EXACT(metadata!E866,"missing: not provided"),EXACT(metadata!E866,"missing: restricted access"))),AND(IF(metadata!E866="",FALSE,ISNUMBER(VALUE(metadata!E866))),metadata!E866&gt;0))</f>
        <v>0</v>
      </c>
      <c r="AG866" t="b">
        <f>AND(IF(metadata!F866="",FALSE,TRUE),EXACT(metadata!F866,"Not applicable"))</f>
        <v>0</v>
      </c>
      <c r="AH866" t="b">
        <f>AND(IF(metadata!G866="",FALSE,TRUE),EXACT(metadata!G866,"urban biome"))</f>
        <v>0</v>
      </c>
      <c r="AI866" t="b">
        <f>AND(IF(metadata!H866="",FALSE,TRUE),EXACT(metadata!H866,"human-associated habitat"))</f>
        <v>0</v>
      </c>
      <c r="AJ866" t="b">
        <f>AND(IF(metadata!I866="",FALSE,TRUE),OR(EXACT(metadata!I866,"human-associated"),EXACT(metadata!I866,"human-skin"),EXACT(metadata!I866,"human-oral"),EXACT(metadata!I866,"human-gut"),EXACT(metadata!I866,"human-vaginal")))</f>
        <v>0</v>
      </c>
      <c r="AK866" t="b">
        <f>IF(metadata!J866="",FALSE,ISNUMBER(VALUE(metadata!J866)))</f>
        <v>0</v>
      </c>
      <c r="AL866" t="b">
        <f>AND(IF(metadata!K866="",FALSE,TRUE),EXACT(metadata!K866,"cm"))</f>
        <v>0</v>
      </c>
      <c r="AM866" t="b">
        <f>AND(IF(metadata!L866="",FALSE,TRUE),EXACT(metadata!L866,"human"))</f>
        <v>0</v>
      </c>
      <c r="AN866" t="b">
        <f>AND(IF(metadata!M866="",FALSE,TRUE),EXACT(metadata!M866,"Homo sapiens"))</f>
        <v>0</v>
      </c>
      <c r="AO866" t="b">
        <f>AND(IF(metadata!N866="",FALSE,TRUE),EXACT(metadata!N866,"9606"))</f>
        <v>0</v>
      </c>
      <c r="AP866" t="b">
        <f>IF(metadata!O866="",FALSE,TRUE)</f>
        <v>0</v>
      </c>
      <c r="AQ866" t="b">
        <f>IF(metadata!P866="",FALSE,TRUE)</f>
        <v>0</v>
      </c>
      <c r="AR866" t="b">
        <f>IF(metadata!Q866="",FALSE,ISNUMBER(VALUE(metadata!Q866)))</f>
        <v>0</v>
      </c>
      <c r="AS866" t="b">
        <f>AND(IF(metadata!R866="",FALSE,TRUE),EXACT(metadata!R866,"kg"))</f>
        <v>0</v>
      </c>
    </row>
    <row r="867" spans="1:45" x14ac:dyDescent="0.2">
      <c r="A867" s="5" t="str">
        <f ca="1">IF(B867=" "," ",HYPERLINK(CONCATENATE("#metadata!",ADDRESS(INDEX($X$2:$X$1001,MATCH(ROWS($V$2:V867),$V$2:$V$1001,0),0),1)),INDEX($AA$2:$AA$1001,MATCH(ROWS($V$2:V867),$V$2:$V$1001,0),0)))</f>
        <v xml:space="preserve"> </v>
      </c>
      <c r="B867" s="4" t="str">
        <f ca="1">IF(OR(INDEX($W$2:$W$1001,MATCH(ROWS($V$2:V867),$V$2:$V$1001,0),1)&gt;=100000,INDEX($AC$1005:$AS$1005,1,MATCH(COLUMNS($AC$1006:AC1006),$AC$1006:$AS$1006,0))&gt;=100000), " ",IF(INDEX($AC$2:$AS$1001,MATCH(ROWS($V$2:V867),$V$2:$V$1001,0),MATCH(COLUMNS($AC$1006:AC1006),$AC$1006:$AS$1006,0)), HYPERLINK("#",""), HYPERLINK(CONCATENATE("#metadata!", ADDRESS(INDEX($X$2:$X$1001,MATCH(ROWS($V$2:V867),$V$2:$V$1001,0),0), INDEX($AC$1004:$AS$1004,1,MATCH(COLUMNS($AC$1006:AC1006),$AC$1006:$AS$1006,0)))),"Fix")))</f>
        <v xml:space="preserve"> </v>
      </c>
      <c r="C867" s="4" t="str">
        <f ca="1">IF(OR(INDEX($W$2:$W$1001,MATCH(ROWS($V$2:V867),$V$2:$V$1001,0),1)&gt;=100000,INDEX($AC$1005:$AS$1005,1,MATCH(COLUMNS($AC$1006:AD1006),$AC$1006:$AS$1006,0))&gt;=100000), " ",IF(INDEX($AC$2:$AS$1001,MATCH(ROWS($V$2:V867),$V$2:$V$1001,0),MATCH(COLUMNS($AC$1006:AD1006),$AC$1006:$AS$1006,0)), HYPERLINK("#",""), HYPERLINK(CONCATENATE("#metadata!", ADDRESS(INDEX($X$2:$X$1001,MATCH(ROWS($V$2:V867),$V$2:$V$1001,0),0), INDEX($AC$1004:$AS$1004,1,MATCH(COLUMNS($AC$1006:AD1006),$AC$1006:$AS$1006,0)))),"Fix")))</f>
        <v xml:space="preserve"> </v>
      </c>
      <c r="D867" s="4" t="str">
        <f ca="1">IF(OR(INDEX($W$2:$W$1001,MATCH(ROWS($V$2:V867),$V$2:$V$1001,0),1)&gt;=100000,INDEX($AC$1005:$AS$1005,1,MATCH(COLUMNS($AC$1006:AE1006),$AC$1006:$AS$1006,0))&gt;=100000), " ",IF(INDEX($AC$2:$AS$1001,MATCH(ROWS($V$2:V867),$V$2:$V$1001,0),MATCH(COLUMNS($AC$1006:AE1006),$AC$1006:$AS$1006,0)), HYPERLINK("#",""), HYPERLINK(CONCATENATE("#metadata!", ADDRESS(INDEX($X$2:$X$1001,MATCH(ROWS($V$2:V867),$V$2:$V$1001,0),0), INDEX($AC$1004:$AS$1004,1,MATCH(COLUMNS($AC$1006:AE1006),$AC$1006:$AS$1006,0)))),"Fix")))</f>
        <v xml:space="preserve"> </v>
      </c>
      <c r="E867" s="4" t="str">
        <f ca="1">IF(OR(INDEX($W$2:$W$1001,MATCH(ROWS($V$2:V867),$V$2:$V$1001,0),1)&gt;=100000,INDEX($AC$1005:$AS$1005,1,MATCH(COLUMNS($AC$1006:AF1006),$AC$1006:$AS$1006,0))&gt;=100000), " ",IF(INDEX($AC$2:$AS$1001,MATCH(ROWS($V$2:V867),$V$2:$V$1001,0),MATCH(COLUMNS($AC$1006:AF1006),$AC$1006:$AS$1006,0)), HYPERLINK("#",""), HYPERLINK(CONCATENATE("#metadata!", ADDRESS(INDEX($X$2:$X$1001,MATCH(ROWS($V$2:V867),$V$2:$V$1001,0),0), INDEX($AC$1004:$AS$1004,1,MATCH(COLUMNS($AC$1006:AF1006),$AC$1006:$AS$1006,0)))),"Fix")))</f>
        <v xml:space="preserve"> </v>
      </c>
      <c r="F867" s="4" t="str">
        <f ca="1">IF(OR(INDEX($W$2:$W$1001,MATCH(ROWS($V$2:V867),$V$2:$V$1001,0),1)&gt;=100000,INDEX($AC$1005:$AS$1005,1,MATCH(COLUMNS($AC$1006:AG1006),$AC$1006:$AS$1006,0))&gt;=100000), " ",IF(INDEX($AC$2:$AS$1001,MATCH(ROWS($V$2:V867),$V$2:$V$1001,0),MATCH(COLUMNS($AC$1006:AG1006),$AC$1006:$AS$1006,0)), HYPERLINK("#",""), HYPERLINK(CONCATENATE("#metadata!", ADDRESS(INDEX($X$2:$X$1001,MATCH(ROWS($V$2:V867),$V$2:$V$1001,0),0), INDEX($AC$1004:$AS$1004,1,MATCH(COLUMNS($AC$1006:AG1006),$AC$1006:$AS$1006,0)))),"Fix")))</f>
        <v xml:space="preserve"> </v>
      </c>
      <c r="G867" s="4" t="str">
        <f ca="1">IF(OR(INDEX($W$2:$W$1001,MATCH(ROWS($V$2:V867),$V$2:$V$1001,0),1)&gt;=100000,INDEX($AC$1005:$AS$1005,1,MATCH(COLUMNS($AC$1006:AH1006),$AC$1006:$AS$1006,0))&gt;=100000), " ",IF(INDEX($AC$2:$AS$1001,MATCH(ROWS($V$2:V867),$V$2:$V$1001,0),MATCH(COLUMNS($AC$1006:AH1006),$AC$1006:$AS$1006,0)), HYPERLINK("#",""), HYPERLINK(CONCATENATE("#metadata!", ADDRESS(INDEX($X$2:$X$1001,MATCH(ROWS($V$2:V867),$V$2:$V$1001,0),0), INDEX($AC$1004:$AS$1004,1,MATCH(COLUMNS($AC$1006:AH1006),$AC$1006:$AS$1006,0)))),"Fix")))</f>
        <v xml:space="preserve"> </v>
      </c>
      <c r="H867" s="4" t="str">
        <f ca="1">IF(OR(INDEX($W$2:$W$1001,MATCH(ROWS($V$2:V867),$V$2:$V$1001,0),1)&gt;=100000,INDEX($AC$1005:$AS$1005,1,MATCH(COLUMNS($AC$1006:AI1006),$AC$1006:$AS$1006,0))&gt;=100000), " ",IF(INDEX($AC$2:$AS$1001,MATCH(ROWS($V$2:V867),$V$2:$V$1001,0),MATCH(COLUMNS($AC$1006:AI1006),$AC$1006:$AS$1006,0)), HYPERLINK("#",""), HYPERLINK(CONCATENATE("#metadata!", ADDRESS(INDEX($X$2:$X$1001,MATCH(ROWS($V$2:V867),$V$2:$V$1001,0),0), INDEX($AC$1004:$AS$1004,1,MATCH(COLUMNS($AC$1006:AI1006),$AC$1006:$AS$1006,0)))),"Fix")))</f>
        <v xml:space="preserve"> </v>
      </c>
      <c r="I867" s="4" t="str">
        <f ca="1">IF(OR(INDEX($W$2:$W$1001,MATCH(ROWS($V$2:V867),$V$2:$V$1001,0),1)&gt;=100000,INDEX($AC$1005:$AS$1005,1,MATCH(COLUMNS($AC$1006:AJ1006),$AC$1006:$AS$1006,0))&gt;=100000), " ",IF(INDEX($AC$2:$AS$1001,MATCH(ROWS($V$2:V867),$V$2:$V$1001,0),MATCH(COLUMNS($AC$1006:AJ1006),$AC$1006:$AS$1006,0)), HYPERLINK("#",""), HYPERLINK(CONCATENATE("#metadata!", ADDRESS(INDEX($X$2:$X$1001,MATCH(ROWS($V$2:V867),$V$2:$V$1001,0),0), INDEX($AC$1004:$AS$1004,1,MATCH(COLUMNS($AC$1006:AJ1006),$AC$1006:$AS$1006,0)))),"Fix")))</f>
        <v xml:space="preserve"> </v>
      </c>
      <c r="J867" s="4" t="str">
        <f ca="1">IF(OR(INDEX($W$2:$W$1001,MATCH(ROWS($V$2:V867),$V$2:$V$1001,0),1)&gt;=100000,INDEX($AC$1005:$AS$1005,1,MATCH(COLUMNS($AC$1006:AK1006),$AC$1006:$AS$1006,0))&gt;=100000), " ",IF(INDEX($AC$2:$AS$1001,MATCH(ROWS($V$2:V867),$V$2:$V$1001,0),MATCH(COLUMNS($AC$1006:AK1006),$AC$1006:$AS$1006,0)), HYPERLINK("#",""), HYPERLINK(CONCATENATE("#metadata!", ADDRESS(INDEX($X$2:$X$1001,MATCH(ROWS($V$2:V867),$V$2:$V$1001,0),0), INDEX($AC$1004:$AS$1004,1,MATCH(COLUMNS($AC$1006:AK1006),$AC$1006:$AS$1006,0)))),"Fix")))</f>
        <v xml:space="preserve"> </v>
      </c>
      <c r="K867" s="4" t="str">
        <f ca="1">IF(OR(INDEX($W$2:$W$1001,MATCH(ROWS($V$2:V867),$V$2:$V$1001,0),1)&gt;=100000,INDEX($AC$1005:$AS$1005,1,MATCH(COLUMNS($AC$1006:AL1006),$AC$1006:$AS$1006,0))&gt;=100000), " ",IF(INDEX($AC$2:$AS$1001,MATCH(ROWS($V$2:V867),$V$2:$V$1001,0),MATCH(COLUMNS($AC$1006:AL1006),$AC$1006:$AS$1006,0)), HYPERLINK("#",""), HYPERLINK(CONCATENATE("#metadata!", ADDRESS(INDEX($X$2:$X$1001,MATCH(ROWS($V$2:V867),$V$2:$V$1001,0),0), INDEX($AC$1004:$AS$1004,1,MATCH(COLUMNS($AC$1006:AL1006),$AC$1006:$AS$1006,0)))),"Fix")))</f>
        <v xml:space="preserve"> </v>
      </c>
      <c r="L867" s="4" t="str">
        <f ca="1">IF(OR(INDEX($W$2:$W$1001,MATCH(ROWS($V$2:V867),$V$2:$V$1001,0),1)&gt;=100000,INDEX($AC$1005:$AS$1005,1,MATCH(COLUMNS($AC$1006:AM1006),$AC$1006:$AS$1006,0))&gt;=100000), " ",IF(INDEX($AC$2:$AS$1001,MATCH(ROWS($V$2:V867),$V$2:$V$1001,0),MATCH(COLUMNS($AC$1006:AM1006),$AC$1006:$AS$1006,0)), HYPERLINK("#",""), HYPERLINK(CONCATENATE("#metadata!", ADDRESS(INDEX($X$2:$X$1001,MATCH(ROWS($V$2:V867),$V$2:$V$1001,0),0), INDEX($AC$1004:$AS$1004,1,MATCH(COLUMNS($AC$1006:AM1006),$AC$1006:$AS$1006,0)))),"Fix")))</f>
        <v xml:space="preserve"> </v>
      </c>
      <c r="M867" s="4" t="str">
        <f ca="1">IF(OR(INDEX($W$2:$W$1001,MATCH(ROWS($V$2:V867),$V$2:$V$1001,0),1)&gt;=100000,INDEX($AC$1005:$AS$1005,1,MATCH(COLUMNS($AC$1006:AN1006),$AC$1006:$AS$1006,0))&gt;=100000), " ",IF(INDEX($AC$2:$AS$1001,MATCH(ROWS($V$2:V867),$V$2:$V$1001,0),MATCH(COLUMNS($AC$1006:AN1006),$AC$1006:$AS$1006,0)), HYPERLINK("#",""), HYPERLINK(CONCATENATE("#metadata!", ADDRESS(INDEX($X$2:$X$1001,MATCH(ROWS($V$2:V867),$V$2:$V$1001,0),0), INDEX($AC$1004:$AS$1004,1,MATCH(COLUMNS($AC$1006:AN1006),$AC$1006:$AS$1006,0)))),"Fix")))</f>
        <v xml:space="preserve"> </v>
      </c>
      <c r="N867" s="4" t="str">
        <f ca="1">IF(OR(INDEX($W$2:$W$1001,MATCH(ROWS($V$2:V867),$V$2:$V$1001,0),1)&gt;=100000,INDEX($AC$1005:$AS$1005,1,MATCH(COLUMNS($AC$1006:AO1006),$AC$1006:$AS$1006,0))&gt;=100000), " ",IF(INDEX($AC$2:$AS$1001,MATCH(ROWS($V$2:V867),$V$2:$V$1001,0),MATCH(COLUMNS($AC$1006:AO1006),$AC$1006:$AS$1006,0)), HYPERLINK("#",""), HYPERLINK(CONCATENATE("#metadata!", ADDRESS(INDEX($X$2:$X$1001,MATCH(ROWS($V$2:V867),$V$2:$V$1001,0),0), INDEX($AC$1004:$AS$1004,1,MATCH(COLUMNS($AC$1006:AO1006),$AC$1006:$AS$1006,0)))),"Fix")))</f>
        <v xml:space="preserve"> </v>
      </c>
      <c r="O867" s="4" t="str">
        <f ca="1">IF(OR(INDEX($W$2:$W$1001,MATCH(ROWS($V$2:V867),$V$2:$V$1001,0),1)&gt;=100000,INDEX($AC$1005:$AS$1005,1,MATCH(COLUMNS($AC$1006:AP1006),$AC$1006:$AS$1006,0))&gt;=100000), " ",IF(INDEX($AC$2:$AS$1001,MATCH(ROWS($V$2:V867),$V$2:$V$1001,0),MATCH(COLUMNS($AC$1006:AP1006),$AC$1006:$AS$1006,0)), HYPERLINK("#",""), HYPERLINK(CONCATENATE("#metadata!", ADDRESS(INDEX($X$2:$X$1001,MATCH(ROWS($V$2:V867),$V$2:$V$1001,0),0), INDEX($AC$1004:$AS$1004,1,MATCH(COLUMNS($AC$1006:AP1006),$AC$1006:$AS$1006,0)))),"Fix")))</f>
        <v xml:space="preserve"> </v>
      </c>
      <c r="P867" s="4" t="str">
        <f ca="1">IF(OR(INDEX($W$2:$W$1001,MATCH(ROWS($V$2:V867),$V$2:$V$1001,0),1)&gt;=100000,INDEX($AC$1005:$AS$1005,1,MATCH(COLUMNS($AC$1006:AQ1006),$AC$1006:$AS$1006,0))&gt;=100000), " ",IF(INDEX($AC$2:$AS$1001,MATCH(ROWS($V$2:V867),$V$2:$V$1001,0),MATCH(COLUMNS($AC$1006:AQ1006),$AC$1006:$AS$1006,0)), HYPERLINK("#",""), HYPERLINK(CONCATENATE("#metadata!", ADDRESS(INDEX($X$2:$X$1001,MATCH(ROWS($V$2:V867),$V$2:$V$1001,0),0), INDEX($AC$1004:$AS$1004,1,MATCH(COLUMNS($AC$1006:AQ1006),$AC$1006:$AS$1006,0)))),"Fix")))</f>
        <v xml:space="preserve"> </v>
      </c>
      <c r="Q867" s="4" t="str">
        <f ca="1">IF(OR(INDEX($W$2:$W$1001,MATCH(ROWS($V$2:V867),$V$2:$V$1001,0),1)&gt;=100000,INDEX($AC$1005:$AS$1005,1,MATCH(COLUMNS($AC$1006:AR1006),$AC$1006:$AS$1006,0))&gt;=100000), " ",IF(INDEX($AC$2:$AS$1001,MATCH(ROWS($V$2:V867),$V$2:$V$1001,0),MATCH(COLUMNS($AC$1006:AR1006),$AC$1006:$AS$1006,0)), HYPERLINK("#",""), HYPERLINK(CONCATENATE("#metadata!", ADDRESS(INDEX($X$2:$X$1001,MATCH(ROWS($V$2:V867),$V$2:$V$1001,0),0), INDEX($AC$1004:$AS$1004,1,MATCH(COLUMNS($AC$1006:AR1006),$AC$1006:$AS$1006,0)))),"Fix")))</f>
        <v xml:space="preserve"> </v>
      </c>
      <c r="R867" s="4" t="str">
        <f ca="1">IF(OR(INDEX($W$2:$W$1001,MATCH(ROWS($V$2:V867),$V$2:$V$1001,0),1)&gt;=100000,INDEX($AC$1005:$AS$1005,1,MATCH(COLUMNS($AC$1006:AS1006),$AC$1006:$AS$1006,0))&gt;=100000), " ",IF(INDEX($AC$2:$AS$1001,MATCH(ROWS($V$2:V867),$V$2:$V$1001,0),MATCH(COLUMNS($AC$1006:AS1006),$AC$1006:$AS$1006,0)), HYPERLINK("#",""), HYPERLINK(CONCATENATE("#metadata!", ADDRESS(INDEX($X$2:$X$1001,MATCH(ROWS($V$2:V867),$V$2:$V$1001,0),0), INDEX($AC$1004:$AS$1004,1,MATCH(COLUMNS($AC$1006:AS1006),$AC$1006:$AS$1006,0)))),"Fix")))</f>
        <v xml:space="preserve"> </v>
      </c>
      <c r="V867">
        <v>866</v>
      </c>
      <c r="W867">
        <v>100867</v>
      </c>
      <c r="X867">
        <v>867</v>
      </c>
      <c r="Y867" t="b">
        <f t="shared" si="13"/>
        <v>1</v>
      </c>
      <c r="Z867" t="b">
        <f>COUNTBLANK(metadata!B867:R867)=COLUMNS(metadata!B867:R867)</f>
        <v>1</v>
      </c>
      <c r="AA867" t="str">
        <v/>
      </c>
      <c r="AC867" t="b">
        <f ca="1"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AD867" t="b">
        <f>IF(metadata!C867="",FALSE,ISNUMBER(VALUE(metadata!C867)))</f>
        <v>0</v>
      </c>
      <c r="AE867" t="b">
        <f>AND(IF(metadata!D867="",FALSE,TRUE),EXACT(metadata!D867,"years"))</f>
        <v>0</v>
      </c>
      <c r="AF867" t="b">
        <f>OR(AND(IF(metadata!E867="",FALSE,TRUE),OR(EXACT(metadata!E867,"not applicable"),EXACT(metadata!E867,"missing: not collected"),EXACT(metadata!E867,"missing: not provided"),EXACT(metadata!E867,"missing: restricted access"))),AND(IF(metadata!E867="",FALSE,ISNUMBER(VALUE(metadata!E867))),metadata!E867&gt;0))</f>
        <v>0</v>
      </c>
      <c r="AG867" t="b">
        <f>AND(IF(metadata!F867="",FALSE,TRUE),EXACT(metadata!F867,"Not applicable"))</f>
        <v>0</v>
      </c>
      <c r="AH867" t="b">
        <f>AND(IF(metadata!G867="",FALSE,TRUE),EXACT(metadata!G867,"urban biome"))</f>
        <v>0</v>
      </c>
      <c r="AI867" t="b">
        <f>AND(IF(metadata!H867="",FALSE,TRUE),EXACT(metadata!H867,"human-associated habitat"))</f>
        <v>0</v>
      </c>
      <c r="AJ867" t="b">
        <f>AND(IF(metadata!I867="",FALSE,TRUE),OR(EXACT(metadata!I867,"human-associated"),EXACT(metadata!I867,"human-skin"),EXACT(metadata!I867,"human-oral"),EXACT(metadata!I867,"human-gut"),EXACT(metadata!I867,"human-vaginal")))</f>
        <v>0</v>
      </c>
      <c r="AK867" t="b">
        <f>IF(metadata!J867="",FALSE,ISNUMBER(VALUE(metadata!J867)))</f>
        <v>0</v>
      </c>
      <c r="AL867" t="b">
        <f>AND(IF(metadata!K867="",FALSE,TRUE),EXACT(metadata!K867,"cm"))</f>
        <v>0</v>
      </c>
      <c r="AM867" t="b">
        <f>AND(IF(metadata!L867="",FALSE,TRUE),EXACT(metadata!L867,"human"))</f>
        <v>0</v>
      </c>
      <c r="AN867" t="b">
        <f>AND(IF(metadata!M867="",FALSE,TRUE),EXACT(metadata!M867,"Homo sapiens"))</f>
        <v>0</v>
      </c>
      <c r="AO867" t="b">
        <f>AND(IF(metadata!N867="",FALSE,TRUE),EXACT(metadata!N867,"9606"))</f>
        <v>0</v>
      </c>
      <c r="AP867" t="b">
        <f>IF(metadata!O867="",FALSE,TRUE)</f>
        <v>0</v>
      </c>
      <c r="AQ867" t="b">
        <f>IF(metadata!P867="",FALSE,TRUE)</f>
        <v>0</v>
      </c>
      <c r="AR867" t="b">
        <f>IF(metadata!Q867="",FALSE,ISNUMBER(VALUE(metadata!Q867)))</f>
        <v>0</v>
      </c>
      <c r="AS867" t="b">
        <f>AND(IF(metadata!R867="",FALSE,TRUE),EXACT(metadata!R867,"kg"))</f>
        <v>0</v>
      </c>
    </row>
    <row r="868" spans="1:45" x14ac:dyDescent="0.2">
      <c r="A868" s="5" t="str">
        <f ca="1">IF(B868=" "," ",HYPERLINK(CONCATENATE("#metadata!",ADDRESS(INDEX($X$2:$X$1001,MATCH(ROWS($V$2:V868),$V$2:$V$1001,0),0),1)),INDEX($AA$2:$AA$1001,MATCH(ROWS($V$2:V868),$V$2:$V$1001,0),0)))</f>
        <v xml:space="preserve"> </v>
      </c>
      <c r="B868" s="4" t="str">
        <f ca="1">IF(OR(INDEX($W$2:$W$1001,MATCH(ROWS($V$2:V868),$V$2:$V$1001,0),1)&gt;=100000,INDEX($AC$1005:$AS$1005,1,MATCH(COLUMNS($AC$1006:AC1006),$AC$1006:$AS$1006,0))&gt;=100000), " ",IF(INDEX($AC$2:$AS$1001,MATCH(ROWS($V$2:V868),$V$2:$V$1001,0),MATCH(COLUMNS($AC$1006:AC1006),$AC$1006:$AS$1006,0)), HYPERLINK("#",""), HYPERLINK(CONCATENATE("#metadata!", ADDRESS(INDEX($X$2:$X$1001,MATCH(ROWS($V$2:V868),$V$2:$V$1001,0),0), INDEX($AC$1004:$AS$1004,1,MATCH(COLUMNS($AC$1006:AC1006),$AC$1006:$AS$1006,0)))),"Fix")))</f>
        <v xml:space="preserve"> </v>
      </c>
      <c r="C868" s="4" t="str">
        <f ca="1">IF(OR(INDEX($W$2:$W$1001,MATCH(ROWS($V$2:V868),$V$2:$V$1001,0),1)&gt;=100000,INDEX($AC$1005:$AS$1005,1,MATCH(COLUMNS($AC$1006:AD1006),$AC$1006:$AS$1006,0))&gt;=100000), " ",IF(INDEX($AC$2:$AS$1001,MATCH(ROWS($V$2:V868),$V$2:$V$1001,0),MATCH(COLUMNS($AC$1006:AD1006),$AC$1006:$AS$1006,0)), HYPERLINK("#",""), HYPERLINK(CONCATENATE("#metadata!", ADDRESS(INDEX($X$2:$X$1001,MATCH(ROWS($V$2:V868),$V$2:$V$1001,0),0), INDEX($AC$1004:$AS$1004,1,MATCH(COLUMNS($AC$1006:AD1006),$AC$1006:$AS$1006,0)))),"Fix")))</f>
        <v xml:space="preserve"> </v>
      </c>
      <c r="D868" s="4" t="str">
        <f ca="1">IF(OR(INDEX($W$2:$W$1001,MATCH(ROWS($V$2:V868),$V$2:$V$1001,0),1)&gt;=100000,INDEX($AC$1005:$AS$1005,1,MATCH(COLUMNS($AC$1006:AE1006),$AC$1006:$AS$1006,0))&gt;=100000), " ",IF(INDEX($AC$2:$AS$1001,MATCH(ROWS($V$2:V868),$V$2:$V$1001,0),MATCH(COLUMNS($AC$1006:AE1006),$AC$1006:$AS$1006,0)), HYPERLINK("#",""), HYPERLINK(CONCATENATE("#metadata!", ADDRESS(INDEX($X$2:$X$1001,MATCH(ROWS($V$2:V868),$V$2:$V$1001,0),0), INDEX($AC$1004:$AS$1004,1,MATCH(COLUMNS($AC$1006:AE1006),$AC$1006:$AS$1006,0)))),"Fix")))</f>
        <v xml:space="preserve"> </v>
      </c>
      <c r="E868" s="4" t="str">
        <f ca="1">IF(OR(INDEX($W$2:$W$1001,MATCH(ROWS($V$2:V868),$V$2:$V$1001,0),1)&gt;=100000,INDEX($AC$1005:$AS$1005,1,MATCH(COLUMNS($AC$1006:AF1006),$AC$1006:$AS$1006,0))&gt;=100000), " ",IF(INDEX($AC$2:$AS$1001,MATCH(ROWS($V$2:V868),$V$2:$V$1001,0),MATCH(COLUMNS($AC$1006:AF1006),$AC$1006:$AS$1006,0)), HYPERLINK("#",""), HYPERLINK(CONCATENATE("#metadata!", ADDRESS(INDEX($X$2:$X$1001,MATCH(ROWS($V$2:V868),$V$2:$V$1001,0),0), INDEX($AC$1004:$AS$1004,1,MATCH(COLUMNS($AC$1006:AF1006),$AC$1006:$AS$1006,0)))),"Fix")))</f>
        <v xml:space="preserve"> </v>
      </c>
      <c r="F868" s="4" t="str">
        <f ca="1">IF(OR(INDEX($W$2:$W$1001,MATCH(ROWS($V$2:V868),$V$2:$V$1001,0),1)&gt;=100000,INDEX($AC$1005:$AS$1005,1,MATCH(COLUMNS($AC$1006:AG1006),$AC$1006:$AS$1006,0))&gt;=100000), " ",IF(INDEX($AC$2:$AS$1001,MATCH(ROWS($V$2:V868),$V$2:$V$1001,0),MATCH(COLUMNS($AC$1006:AG1006),$AC$1006:$AS$1006,0)), HYPERLINK("#",""), HYPERLINK(CONCATENATE("#metadata!", ADDRESS(INDEX($X$2:$X$1001,MATCH(ROWS($V$2:V868),$V$2:$V$1001,0),0), INDEX($AC$1004:$AS$1004,1,MATCH(COLUMNS($AC$1006:AG1006),$AC$1006:$AS$1006,0)))),"Fix")))</f>
        <v xml:space="preserve"> </v>
      </c>
      <c r="G868" s="4" t="str">
        <f ca="1">IF(OR(INDEX($W$2:$W$1001,MATCH(ROWS($V$2:V868),$V$2:$V$1001,0),1)&gt;=100000,INDEX($AC$1005:$AS$1005,1,MATCH(COLUMNS($AC$1006:AH1006),$AC$1006:$AS$1006,0))&gt;=100000), " ",IF(INDEX($AC$2:$AS$1001,MATCH(ROWS($V$2:V868),$V$2:$V$1001,0),MATCH(COLUMNS($AC$1006:AH1006),$AC$1006:$AS$1006,0)), HYPERLINK("#",""), HYPERLINK(CONCATENATE("#metadata!", ADDRESS(INDEX($X$2:$X$1001,MATCH(ROWS($V$2:V868),$V$2:$V$1001,0),0), INDEX($AC$1004:$AS$1004,1,MATCH(COLUMNS($AC$1006:AH1006),$AC$1006:$AS$1006,0)))),"Fix")))</f>
        <v xml:space="preserve"> </v>
      </c>
      <c r="H868" s="4" t="str">
        <f ca="1">IF(OR(INDEX($W$2:$W$1001,MATCH(ROWS($V$2:V868),$V$2:$V$1001,0),1)&gt;=100000,INDEX($AC$1005:$AS$1005,1,MATCH(COLUMNS($AC$1006:AI1006),$AC$1006:$AS$1006,0))&gt;=100000), " ",IF(INDEX($AC$2:$AS$1001,MATCH(ROWS($V$2:V868),$V$2:$V$1001,0),MATCH(COLUMNS($AC$1006:AI1006),$AC$1006:$AS$1006,0)), HYPERLINK("#",""), HYPERLINK(CONCATENATE("#metadata!", ADDRESS(INDEX($X$2:$X$1001,MATCH(ROWS($V$2:V868),$V$2:$V$1001,0),0), INDEX($AC$1004:$AS$1004,1,MATCH(COLUMNS($AC$1006:AI1006),$AC$1006:$AS$1006,0)))),"Fix")))</f>
        <v xml:space="preserve"> </v>
      </c>
      <c r="I868" s="4" t="str">
        <f ca="1">IF(OR(INDEX($W$2:$W$1001,MATCH(ROWS($V$2:V868),$V$2:$V$1001,0),1)&gt;=100000,INDEX($AC$1005:$AS$1005,1,MATCH(COLUMNS($AC$1006:AJ1006),$AC$1006:$AS$1006,0))&gt;=100000), " ",IF(INDEX($AC$2:$AS$1001,MATCH(ROWS($V$2:V868),$V$2:$V$1001,0),MATCH(COLUMNS($AC$1006:AJ1006),$AC$1006:$AS$1006,0)), HYPERLINK("#",""), HYPERLINK(CONCATENATE("#metadata!", ADDRESS(INDEX($X$2:$X$1001,MATCH(ROWS($V$2:V868),$V$2:$V$1001,0),0), INDEX($AC$1004:$AS$1004,1,MATCH(COLUMNS($AC$1006:AJ1006),$AC$1006:$AS$1006,0)))),"Fix")))</f>
        <v xml:space="preserve"> </v>
      </c>
      <c r="J868" s="4" t="str">
        <f ca="1">IF(OR(INDEX($W$2:$W$1001,MATCH(ROWS($V$2:V868),$V$2:$V$1001,0),1)&gt;=100000,INDEX($AC$1005:$AS$1005,1,MATCH(COLUMNS($AC$1006:AK1006),$AC$1006:$AS$1006,0))&gt;=100000), " ",IF(INDEX($AC$2:$AS$1001,MATCH(ROWS($V$2:V868),$V$2:$V$1001,0),MATCH(COLUMNS($AC$1006:AK1006),$AC$1006:$AS$1006,0)), HYPERLINK("#",""), HYPERLINK(CONCATENATE("#metadata!", ADDRESS(INDEX($X$2:$X$1001,MATCH(ROWS($V$2:V868),$V$2:$V$1001,0),0), INDEX($AC$1004:$AS$1004,1,MATCH(COLUMNS($AC$1006:AK1006),$AC$1006:$AS$1006,0)))),"Fix")))</f>
        <v xml:space="preserve"> </v>
      </c>
      <c r="K868" s="4" t="str">
        <f ca="1">IF(OR(INDEX($W$2:$W$1001,MATCH(ROWS($V$2:V868),$V$2:$V$1001,0),1)&gt;=100000,INDEX($AC$1005:$AS$1005,1,MATCH(COLUMNS($AC$1006:AL1006),$AC$1006:$AS$1006,0))&gt;=100000), " ",IF(INDEX($AC$2:$AS$1001,MATCH(ROWS($V$2:V868),$V$2:$V$1001,0),MATCH(COLUMNS($AC$1006:AL1006),$AC$1006:$AS$1006,0)), HYPERLINK("#",""), HYPERLINK(CONCATENATE("#metadata!", ADDRESS(INDEX($X$2:$X$1001,MATCH(ROWS($V$2:V868),$V$2:$V$1001,0),0), INDEX($AC$1004:$AS$1004,1,MATCH(COLUMNS($AC$1006:AL1006),$AC$1006:$AS$1006,0)))),"Fix")))</f>
        <v xml:space="preserve"> </v>
      </c>
      <c r="L868" s="4" t="str">
        <f ca="1">IF(OR(INDEX($W$2:$W$1001,MATCH(ROWS($V$2:V868),$V$2:$V$1001,0),1)&gt;=100000,INDEX($AC$1005:$AS$1005,1,MATCH(COLUMNS($AC$1006:AM1006),$AC$1006:$AS$1006,0))&gt;=100000), " ",IF(INDEX($AC$2:$AS$1001,MATCH(ROWS($V$2:V868),$V$2:$V$1001,0),MATCH(COLUMNS($AC$1006:AM1006),$AC$1006:$AS$1006,0)), HYPERLINK("#",""), HYPERLINK(CONCATENATE("#metadata!", ADDRESS(INDEX($X$2:$X$1001,MATCH(ROWS($V$2:V868),$V$2:$V$1001,0),0), INDEX($AC$1004:$AS$1004,1,MATCH(COLUMNS($AC$1006:AM1006),$AC$1006:$AS$1006,0)))),"Fix")))</f>
        <v xml:space="preserve"> </v>
      </c>
      <c r="M868" s="4" t="str">
        <f ca="1">IF(OR(INDEX($W$2:$W$1001,MATCH(ROWS($V$2:V868),$V$2:$V$1001,0),1)&gt;=100000,INDEX($AC$1005:$AS$1005,1,MATCH(COLUMNS($AC$1006:AN1006),$AC$1006:$AS$1006,0))&gt;=100000), " ",IF(INDEX($AC$2:$AS$1001,MATCH(ROWS($V$2:V868),$V$2:$V$1001,0),MATCH(COLUMNS($AC$1006:AN1006),$AC$1006:$AS$1006,0)), HYPERLINK("#",""), HYPERLINK(CONCATENATE("#metadata!", ADDRESS(INDEX($X$2:$X$1001,MATCH(ROWS($V$2:V868),$V$2:$V$1001,0),0), INDEX($AC$1004:$AS$1004,1,MATCH(COLUMNS($AC$1006:AN1006),$AC$1006:$AS$1006,0)))),"Fix")))</f>
        <v xml:space="preserve"> </v>
      </c>
      <c r="N868" s="4" t="str">
        <f ca="1">IF(OR(INDEX($W$2:$W$1001,MATCH(ROWS($V$2:V868),$V$2:$V$1001,0),1)&gt;=100000,INDEX($AC$1005:$AS$1005,1,MATCH(COLUMNS($AC$1006:AO1006),$AC$1006:$AS$1006,0))&gt;=100000), " ",IF(INDEX($AC$2:$AS$1001,MATCH(ROWS($V$2:V868),$V$2:$V$1001,0),MATCH(COLUMNS($AC$1006:AO1006),$AC$1006:$AS$1006,0)), HYPERLINK("#",""), HYPERLINK(CONCATENATE("#metadata!", ADDRESS(INDEX($X$2:$X$1001,MATCH(ROWS($V$2:V868),$V$2:$V$1001,0),0), INDEX($AC$1004:$AS$1004,1,MATCH(COLUMNS($AC$1006:AO1006),$AC$1006:$AS$1006,0)))),"Fix")))</f>
        <v xml:space="preserve"> </v>
      </c>
      <c r="O868" s="4" t="str">
        <f ca="1">IF(OR(INDEX($W$2:$W$1001,MATCH(ROWS($V$2:V868),$V$2:$V$1001,0),1)&gt;=100000,INDEX($AC$1005:$AS$1005,1,MATCH(COLUMNS($AC$1006:AP1006),$AC$1006:$AS$1006,0))&gt;=100000), " ",IF(INDEX($AC$2:$AS$1001,MATCH(ROWS($V$2:V868),$V$2:$V$1001,0),MATCH(COLUMNS($AC$1006:AP1006),$AC$1006:$AS$1006,0)), HYPERLINK("#",""), HYPERLINK(CONCATENATE("#metadata!", ADDRESS(INDEX($X$2:$X$1001,MATCH(ROWS($V$2:V868),$V$2:$V$1001,0),0), INDEX($AC$1004:$AS$1004,1,MATCH(COLUMNS($AC$1006:AP1006),$AC$1006:$AS$1006,0)))),"Fix")))</f>
        <v xml:space="preserve"> </v>
      </c>
      <c r="P868" s="4" t="str">
        <f ca="1">IF(OR(INDEX($W$2:$W$1001,MATCH(ROWS($V$2:V868),$V$2:$V$1001,0),1)&gt;=100000,INDEX($AC$1005:$AS$1005,1,MATCH(COLUMNS($AC$1006:AQ1006),$AC$1006:$AS$1006,0))&gt;=100000), " ",IF(INDEX($AC$2:$AS$1001,MATCH(ROWS($V$2:V868),$V$2:$V$1001,0),MATCH(COLUMNS($AC$1006:AQ1006),$AC$1006:$AS$1006,0)), HYPERLINK("#",""), HYPERLINK(CONCATENATE("#metadata!", ADDRESS(INDEX($X$2:$X$1001,MATCH(ROWS($V$2:V868),$V$2:$V$1001,0),0), INDEX($AC$1004:$AS$1004,1,MATCH(COLUMNS($AC$1006:AQ1006),$AC$1006:$AS$1006,0)))),"Fix")))</f>
        <v xml:space="preserve"> </v>
      </c>
      <c r="Q868" s="4" t="str">
        <f ca="1">IF(OR(INDEX($W$2:$W$1001,MATCH(ROWS($V$2:V868),$V$2:$V$1001,0),1)&gt;=100000,INDEX($AC$1005:$AS$1005,1,MATCH(COLUMNS($AC$1006:AR1006),$AC$1006:$AS$1006,0))&gt;=100000), " ",IF(INDEX($AC$2:$AS$1001,MATCH(ROWS($V$2:V868),$V$2:$V$1001,0),MATCH(COLUMNS($AC$1006:AR1006),$AC$1006:$AS$1006,0)), HYPERLINK("#",""), HYPERLINK(CONCATENATE("#metadata!", ADDRESS(INDEX($X$2:$X$1001,MATCH(ROWS($V$2:V868),$V$2:$V$1001,0),0), INDEX($AC$1004:$AS$1004,1,MATCH(COLUMNS($AC$1006:AR1006),$AC$1006:$AS$1006,0)))),"Fix")))</f>
        <v xml:space="preserve"> </v>
      </c>
      <c r="R868" s="4" t="str">
        <f ca="1">IF(OR(INDEX($W$2:$W$1001,MATCH(ROWS($V$2:V868),$V$2:$V$1001,0),1)&gt;=100000,INDEX($AC$1005:$AS$1005,1,MATCH(COLUMNS($AC$1006:AS1006),$AC$1006:$AS$1006,0))&gt;=100000), " ",IF(INDEX($AC$2:$AS$1001,MATCH(ROWS($V$2:V868),$V$2:$V$1001,0),MATCH(COLUMNS($AC$1006:AS1006),$AC$1006:$AS$1006,0)), HYPERLINK("#",""), HYPERLINK(CONCATENATE("#metadata!", ADDRESS(INDEX($X$2:$X$1001,MATCH(ROWS($V$2:V868),$V$2:$V$1001,0),0), INDEX($AC$1004:$AS$1004,1,MATCH(COLUMNS($AC$1006:AS1006),$AC$1006:$AS$1006,0)))),"Fix")))</f>
        <v xml:space="preserve"> </v>
      </c>
      <c r="V868">
        <v>867</v>
      </c>
      <c r="W868">
        <v>100868</v>
      </c>
      <c r="X868">
        <v>868</v>
      </c>
      <c r="Y868" t="b">
        <f t="shared" si="13"/>
        <v>1</v>
      </c>
      <c r="Z868" t="b">
        <f>COUNTBLANK(metadata!B868:R868)=COLUMNS(metadata!B868:R868)</f>
        <v>1</v>
      </c>
      <c r="AA868" t="str">
        <v/>
      </c>
      <c r="AC868" t="b">
        <f ca="1"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AD868" t="b">
        <f>IF(metadata!C868="",FALSE,ISNUMBER(VALUE(metadata!C868)))</f>
        <v>0</v>
      </c>
      <c r="AE868" t="b">
        <f>AND(IF(metadata!D868="",FALSE,TRUE),EXACT(metadata!D868,"years"))</f>
        <v>0</v>
      </c>
      <c r="AF868" t="b">
        <f>OR(AND(IF(metadata!E868="",FALSE,TRUE),OR(EXACT(metadata!E868,"not applicable"),EXACT(metadata!E868,"missing: not collected"),EXACT(metadata!E868,"missing: not provided"),EXACT(metadata!E868,"missing: restricted access"))),AND(IF(metadata!E868="",FALSE,ISNUMBER(VALUE(metadata!E868))),metadata!E868&gt;0))</f>
        <v>0</v>
      </c>
      <c r="AG868" t="b">
        <f>AND(IF(metadata!F868="",FALSE,TRUE),EXACT(metadata!F868,"Not applicable"))</f>
        <v>0</v>
      </c>
      <c r="AH868" t="b">
        <f>AND(IF(metadata!G868="",FALSE,TRUE),EXACT(metadata!G868,"urban biome"))</f>
        <v>0</v>
      </c>
      <c r="AI868" t="b">
        <f>AND(IF(metadata!H868="",FALSE,TRUE),EXACT(metadata!H868,"human-associated habitat"))</f>
        <v>0</v>
      </c>
      <c r="AJ868" t="b">
        <f>AND(IF(metadata!I868="",FALSE,TRUE),OR(EXACT(metadata!I868,"human-associated"),EXACT(metadata!I868,"human-skin"),EXACT(metadata!I868,"human-oral"),EXACT(metadata!I868,"human-gut"),EXACT(metadata!I868,"human-vaginal")))</f>
        <v>0</v>
      </c>
      <c r="AK868" t="b">
        <f>IF(metadata!J868="",FALSE,ISNUMBER(VALUE(metadata!J868)))</f>
        <v>0</v>
      </c>
      <c r="AL868" t="b">
        <f>AND(IF(metadata!K868="",FALSE,TRUE),EXACT(metadata!K868,"cm"))</f>
        <v>0</v>
      </c>
      <c r="AM868" t="b">
        <f>AND(IF(metadata!L868="",FALSE,TRUE),EXACT(metadata!L868,"human"))</f>
        <v>0</v>
      </c>
      <c r="AN868" t="b">
        <f>AND(IF(metadata!M868="",FALSE,TRUE),EXACT(metadata!M868,"Homo sapiens"))</f>
        <v>0</v>
      </c>
      <c r="AO868" t="b">
        <f>AND(IF(metadata!N868="",FALSE,TRUE),EXACT(metadata!N868,"9606"))</f>
        <v>0</v>
      </c>
      <c r="AP868" t="b">
        <f>IF(metadata!O868="",FALSE,TRUE)</f>
        <v>0</v>
      </c>
      <c r="AQ868" t="b">
        <f>IF(metadata!P868="",FALSE,TRUE)</f>
        <v>0</v>
      </c>
      <c r="AR868" t="b">
        <f>IF(metadata!Q868="",FALSE,ISNUMBER(VALUE(metadata!Q868)))</f>
        <v>0</v>
      </c>
      <c r="AS868" t="b">
        <f>AND(IF(metadata!R868="",FALSE,TRUE),EXACT(metadata!R868,"kg"))</f>
        <v>0</v>
      </c>
    </row>
    <row r="869" spans="1:45" x14ac:dyDescent="0.2">
      <c r="A869" s="5" t="str">
        <f ca="1">IF(B869=" "," ",HYPERLINK(CONCATENATE("#metadata!",ADDRESS(INDEX($X$2:$X$1001,MATCH(ROWS($V$2:V869),$V$2:$V$1001,0),0),1)),INDEX($AA$2:$AA$1001,MATCH(ROWS($V$2:V869),$V$2:$V$1001,0),0)))</f>
        <v xml:space="preserve"> </v>
      </c>
      <c r="B869" s="4" t="str">
        <f ca="1">IF(OR(INDEX($W$2:$W$1001,MATCH(ROWS($V$2:V869),$V$2:$V$1001,0),1)&gt;=100000,INDEX($AC$1005:$AS$1005,1,MATCH(COLUMNS($AC$1006:AC1006),$AC$1006:$AS$1006,0))&gt;=100000), " ",IF(INDEX($AC$2:$AS$1001,MATCH(ROWS($V$2:V869),$V$2:$V$1001,0),MATCH(COLUMNS($AC$1006:AC1006),$AC$1006:$AS$1006,0)), HYPERLINK("#",""), HYPERLINK(CONCATENATE("#metadata!", ADDRESS(INDEX($X$2:$X$1001,MATCH(ROWS($V$2:V869),$V$2:$V$1001,0),0), INDEX($AC$1004:$AS$1004,1,MATCH(COLUMNS($AC$1006:AC1006),$AC$1006:$AS$1006,0)))),"Fix")))</f>
        <v xml:space="preserve"> </v>
      </c>
      <c r="C869" s="4" t="str">
        <f ca="1">IF(OR(INDEX($W$2:$W$1001,MATCH(ROWS($V$2:V869),$V$2:$V$1001,0),1)&gt;=100000,INDEX($AC$1005:$AS$1005,1,MATCH(COLUMNS($AC$1006:AD1006),$AC$1006:$AS$1006,0))&gt;=100000), " ",IF(INDEX($AC$2:$AS$1001,MATCH(ROWS($V$2:V869),$V$2:$V$1001,0),MATCH(COLUMNS($AC$1006:AD1006),$AC$1006:$AS$1006,0)), HYPERLINK("#",""), HYPERLINK(CONCATENATE("#metadata!", ADDRESS(INDEX($X$2:$X$1001,MATCH(ROWS($V$2:V869),$V$2:$V$1001,0),0), INDEX($AC$1004:$AS$1004,1,MATCH(COLUMNS($AC$1006:AD1006),$AC$1006:$AS$1006,0)))),"Fix")))</f>
        <v xml:space="preserve"> </v>
      </c>
      <c r="D869" s="4" t="str">
        <f ca="1">IF(OR(INDEX($W$2:$W$1001,MATCH(ROWS($V$2:V869),$V$2:$V$1001,0),1)&gt;=100000,INDEX($AC$1005:$AS$1005,1,MATCH(COLUMNS($AC$1006:AE1006),$AC$1006:$AS$1006,0))&gt;=100000), " ",IF(INDEX($AC$2:$AS$1001,MATCH(ROWS($V$2:V869),$V$2:$V$1001,0),MATCH(COLUMNS($AC$1006:AE1006),$AC$1006:$AS$1006,0)), HYPERLINK("#",""), HYPERLINK(CONCATENATE("#metadata!", ADDRESS(INDEX($X$2:$X$1001,MATCH(ROWS($V$2:V869),$V$2:$V$1001,0),0), INDEX($AC$1004:$AS$1004,1,MATCH(COLUMNS($AC$1006:AE1006),$AC$1006:$AS$1006,0)))),"Fix")))</f>
        <v xml:space="preserve"> </v>
      </c>
      <c r="E869" s="4" t="str">
        <f ca="1">IF(OR(INDEX($W$2:$W$1001,MATCH(ROWS($V$2:V869),$V$2:$V$1001,0),1)&gt;=100000,INDEX($AC$1005:$AS$1005,1,MATCH(COLUMNS($AC$1006:AF1006),$AC$1006:$AS$1006,0))&gt;=100000), " ",IF(INDEX($AC$2:$AS$1001,MATCH(ROWS($V$2:V869),$V$2:$V$1001,0),MATCH(COLUMNS($AC$1006:AF1006),$AC$1006:$AS$1006,0)), HYPERLINK("#",""), HYPERLINK(CONCATENATE("#metadata!", ADDRESS(INDEX($X$2:$X$1001,MATCH(ROWS($V$2:V869),$V$2:$V$1001,0),0), INDEX($AC$1004:$AS$1004,1,MATCH(COLUMNS($AC$1006:AF1006),$AC$1006:$AS$1006,0)))),"Fix")))</f>
        <v xml:space="preserve"> </v>
      </c>
      <c r="F869" s="4" t="str">
        <f ca="1">IF(OR(INDEX($W$2:$W$1001,MATCH(ROWS($V$2:V869),$V$2:$V$1001,0),1)&gt;=100000,INDEX($AC$1005:$AS$1005,1,MATCH(COLUMNS($AC$1006:AG1006),$AC$1006:$AS$1006,0))&gt;=100000), " ",IF(INDEX($AC$2:$AS$1001,MATCH(ROWS($V$2:V869),$V$2:$V$1001,0),MATCH(COLUMNS($AC$1006:AG1006),$AC$1006:$AS$1006,0)), HYPERLINK("#",""), HYPERLINK(CONCATENATE("#metadata!", ADDRESS(INDEX($X$2:$X$1001,MATCH(ROWS($V$2:V869),$V$2:$V$1001,0),0), INDEX($AC$1004:$AS$1004,1,MATCH(COLUMNS($AC$1006:AG1006),$AC$1006:$AS$1006,0)))),"Fix")))</f>
        <v xml:space="preserve"> </v>
      </c>
      <c r="G869" s="4" t="str">
        <f ca="1">IF(OR(INDEX($W$2:$W$1001,MATCH(ROWS($V$2:V869),$V$2:$V$1001,0),1)&gt;=100000,INDEX($AC$1005:$AS$1005,1,MATCH(COLUMNS($AC$1006:AH1006),$AC$1006:$AS$1006,0))&gt;=100000), " ",IF(INDEX($AC$2:$AS$1001,MATCH(ROWS($V$2:V869),$V$2:$V$1001,0),MATCH(COLUMNS($AC$1006:AH1006),$AC$1006:$AS$1006,0)), HYPERLINK("#",""), HYPERLINK(CONCATENATE("#metadata!", ADDRESS(INDEX($X$2:$X$1001,MATCH(ROWS($V$2:V869),$V$2:$V$1001,0),0), INDEX($AC$1004:$AS$1004,1,MATCH(COLUMNS($AC$1006:AH1006),$AC$1006:$AS$1006,0)))),"Fix")))</f>
        <v xml:space="preserve"> </v>
      </c>
      <c r="H869" s="4" t="str">
        <f ca="1">IF(OR(INDEX($W$2:$W$1001,MATCH(ROWS($V$2:V869),$V$2:$V$1001,0),1)&gt;=100000,INDEX($AC$1005:$AS$1005,1,MATCH(COLUMNS($AC$1006:AI1006),$AC$1006:$AS$1006,0))&gt;=100000), " ",IF(INDEX($AC$2:$AS$1001,MATCH(ROWS($V$2:V869),$V$2:$V$1001,0),MATCH(COLUMNS($AC$1006:AI1006),$AC$1006:$AS$1006,0)), HYPERLINK("#",""), HYPERLINK(CONCATENATE("#metadata!", ADDRESS(INDEX($X$2:$X$1001,MATCH(ROWS($V$2:V869),$V$2:$V$1001,0),0), INDEX($AC$1004:$AS$1004,1,MATCH(COLUMNS($AC$1006:AI1006),$AC$1006:$AS$1006,0)))),"Fix")))</f>
        <v xml:space="preserve"> </v>
      </c>
      <c r="I869" s="4" t="str">
        <f ca="1">IF(OR(INDEX($W$2:$W$1001,MATCH(ROWS($V$2:V869),$V$2:$V$1001,0),1)&gt;=100000,INDEX($AC$1005:$AS$1005,1,MATCH(COLUMNS($AC$1006:AJ1006),$AC$1006:$AS$1006,0))&gt;=100000), " ",IF(INDEX($AC$2:$AS$1001,MATCH(ROWS($V$2:V869),$V$2:$V$1001,0),MATCH(COLUMNS($AC$1006:AJ1006),$AC$1006:$AS$1006,0)), HYPERLINK("#",""), HYPERLINK(CONCATENATE("#metadata!", ADDRESS(INDEX($X$2:$X$1001,MATCH(ROWS($V$2:V869),$V$2:$V$1001,0),0), INDEX($AC$1004:$AS$1004,1,MATCH(COLUMNS($AC$1006:AJ1006),$AC$1006:$AS$1006,0)))),"Fix")))</f>
        <v xml:space="preserve"> </v>
      </c>
      <c r="J869" s="4" t="str">
        <f ca="1">IF(OR(INDEX($W$2:$W$1001,MATCH(ROWS($V$2:V869),$V$2:$V$1001,0),1)&gt;=100000,INDEX($AC$1005:$AS$1005,1,MATCH(COLUMNS($AC$1006:AK1006),$AC$1006:$AS$1006,0))&gt;=100000), " ",IF(INDEX($AC$2:$AS$1001,MATCH(ROWS($V$2:V869),$V$2:$V$1001,0),MATCH(COLUMNS($AC$1006:AK1006),$AC$1006:$AS$1006,0)), HYPERLINK("#",""), HYPERLINK(CONCATENATE("#metadata!", ADDRESS(INDEX($X$2:$X$1001,MATCH(ROWS($V$2:V869),$V$2:$V$1001,0),0), INDEX($AC$1004:$AS$1004,1,MATCH(COLUMNS($AC$1006:AK1006),$AC$1006:$AS$1006,0)))),"Fix")))</f>
        <v xml:space="preserve"> </v>
      </c>
      <c r="K869" s="4" t="str">
        <f ca="1">IF(OR(INDEX($W$2:$W$1001,MATCH(ROWS($V$2:V869),$V$2:$V$1001,0),1)&gt;=100000,INDEX($AC$1005:$AS$1005,1,MATCH(COLUMNS($AC$1006:AL1006),$AC$1006:$AS$1006,0))&gt;=100000), " ",IF(INDEX($AC$2:$AS$1001,MATCH(ROWS($V$2:V869),$V$2:$V$1001,0),MATCH(COLUMNS($AC$1006:AL1006),$AC$1006:$AS$1006,0)), HYPERLINK("#",""), HYPERLINK(CONCATENATE("#metadata!", ADDRESS(INDEX($X$2:$X$1001,MATCH(ROWS($V$2:V869),$V$2:$V$1001,0),0), INDEX($AC$1004:$AS$1004,1,MATCH(COLUMNS($AC$1006:AL1006),$AC$1006:$AS$1006,0)))),"Fix")))</f>
        <v xml:space="preserve"> </v>
      </c>
      <c r="L869" s="4" t="str">
        <f ca="1">IF(OR(INDEX($W$2:$W$1001,MATCH(ROWS($V$2:V869),$V$2:$V$1001,0),1)&gt;=100000,INDEX($AC$1005:$AS$1005,1,MATCH(COLUMNS($AC$1006:AM1006),$AC$1006:$AS$1006,0))&gt;=100000), " ",IF(INDEX($AC$2:$AS$1001,MATCH(ROWS($V$2:V869),$V$2:$V$1001,0),MATCH(COLUMNS($AC$1006:AM1006),$AC$1006:$AS$1006,0)), HYPERLINK("#",""), HYPERLINK(CONCATENATE("#metadata!", ADDRESS(INDEX($X$2:$X$1001,MATCH(ROWS($V$2:V869),$V$2:$V$1001,0),0), INDEX($AC$1004:$AS$1004,1,MATCH(COLUMNS($AC$1006:AM1006),$AC$1006:$AS$1006,0)))),"Fix")))</f>
        <v xml:space="preserve"> </v>
      </c>
      <c r="M869" s="4" t="str">
        <f ca="1">IF(OR(INDEX($W$2:$W$1001,MATCH(ROWS($V$2:V869),$V$2:$V$1001,0),1)&gt;=100000,INDEX($AC$1005:$AS$1005,1,MATCH(COLUMNS($AC$1006:AN1006),$AC$1006:$AS$1006,0))&gt;=100000), " ",IF(INDEX($AC$2:$AS$1001,MATCH(ROWS($V$2:V869),$V$2:$V$1001,0),MATCH(COLUMNS($AC$1006:AN1006),$AC$1006:$AS$1006,0)), HYPERLINK("#",""), HYPERLINK(CONCATENATE("#metadata!", ADDRESS(INDEX($X$2:$X$1001,MATCH(ROWS($V$2:V869),$V$2:$V$1001,0),0), INDEX($AC$1004:$AS$1004,1,MATCH(COLUMNS($AC$1006:AN1006),$AC$1006:$AS$1006,0)))),"Fix")))</f>
        <v xml:space="preserve"> </v>
      </c>
      <c r="N869" s="4" t="str">
        <f ca="1">IF(OR(INDEX($W$2:$W$1001,MATCH(ROWS($V$2:V869),$V$2:$V$1001,0),1)&gt;=100000,INDEX($AC$1005:$AS$1005,1,MATCH(COLUMNS($AC$1006:AO1006),$AC$1006:$AS$1006,0))&gt;=100000), " ",IF(INDEX($AC$2:$AS$1001,MATCH(ROWS($V$2:V869),$V$2:$V$1001,0),MATCH(COLUMNS($AC$1006:AO1006),$AC$1006:$AS$1006,0)), HYPERLINK("#",""), HYPERLINK(CONCATENATE("#metadata!", ADDRESS(INDEX($X$2:$X$1001,MATCH(ROWS($V$2:V869),$V$2:$V$1001,0),0), INDEX($AC$1004:$AS$1004,1,MATCH(COLUMNS($AC$1006:AO1006),$AC$1006:$AS$1006,0)))),"Fix")))</f>
        <v xml:space="preserve"> </v>
      </c>
      <c r="O869" s="4" t="str">
        <f ca="1">IF(OR(INDEX($W$2:$W$1001,MATCH(ROWS($V$2:V869),$V$2:$V$1001,0),1)&gt;=100000,INDEX($AC$1005:$AS$1005,1,MATCH(COLUMNS($AC$1006:AP1006),$AC$1006:$AS$1006,0))&gt;=100000), " ",IF(INDEX($AC$2:$AS$1001,MATCH(ROWS($V$2:V869),$V$2:$V$1001,0),MATCH(COLUMNS($AC$1006:AP1006),$AC$1006:$AS$1006,0)), HYPERLINK("#",""), HYPERLINK(CONCATENATE("#metadata!", ADDRESS(INDEX($X$2:$X$1001,MATCH(ROWS($V$2:V869),$V$2:$V$1001,0),0), INDEX($AC$1004:$AS$1004,1,MATCH(COLUMNS($AC$1006:AP1006),$AC$1006:$AS$1006,0)))),"Fix")))</f>
        <v xml:space="preserve"> </v>
      </c>
      <c r="P869" s="4" t="str">
        <f ca="1">IF(OR(INDEX($W$2:$W$1001,MATCH(ROWS($V$2:V869),$V$2:$V$1001,0),1)&gt;=100000,INDEX($AC$1005:$AS$1005,1,MATCH(COLUMNS($AC$1006:AQ1006),$AC$1006:$AS$1006,0))&gt;=100000), " ",IF(INDEX($AC$2:$AS$1001,MATCH(ROWS($V$2:V869),$V$2:$V$1001,0),MATCH(COLUMNS($AC$1006:AQ1006),$AC$1006:$AS$1006,0)), HYPERLINK("#",""), HYPERLINK(CONCATENATE("#metadata!", ADDRESS(INDEX($X$2:$X$1001,MATCH(ROWS($V$2:V869),$V$2:$V$1001,0),0), INDEX($AC$1004:$AS$1004,1,MATCH(COLUMNS($AC$1006:AQ1006),$AC$1006:$AS$1006,0)))),"Fix")))</f>
        <v xml:space="preserve"> </v>
      </c>
      <c r="Q869" s="4" t="str">
        <f ca="1">IF(OR(INDEX($W$2:$W$1001,MATCH(ROWS($V$2:V869),$V$2:$V$1001,0),1)&gt;=100000,INDEX($AC$1005:$AS$1005,1,MATCH(COLUMNS($AC$1006:AR1006),$AC$1006:$AS$1006,0))&gt;=100000), " ",IF(INDEX($AC$2:$AS$1001,MATCH(ROWS($V$2:V869),$V$2:$V$1001,0),MATCH(COLUMNS($AC$1006:AR1006),$AC$1006:$AS$1006,0)), HYPERLINK("#",""), HYPERLINK(CONCATENATE("#metadata!", ADDRESS(INDEX($X$2:$X$1001,MATCH(ROWS($V$2:V869),$V$2:$V$1001,0),0), INDEX($AC$1004:$AS$1004,1,MATCH(COLUMNS($AC$1006:AR1006),$AC$1006:$AS$1006,0)))),"Fix")))</f>
        <v xml:space="preserve"> </v>
      </c>
      <c r="R869" s="4" t="str">
        <f ca="1">IF(OR(INDEX($W$2:$W$1001,MATCH(ROWS($V$2:V869),$V$2:$V$1001,0),1)&gt;=100000,INDEX($AC$1005:$AS$1005,1,MATCH(COLUMNS($AC$1006:AS1006),$AC$1006:$AS$1006,0))&gt;=100000), " ",IF(INDEX($AC$2:$AS$1001,MATCH(ROWS($V$2:V869),$V$2:$V$1001,0),MATCH(COLUMNS($AC$1006:AS1006),$AC$1006:$AS$1006,0)), HYPERLINK("#",""), HYPERLINK(CONCATENATE("#metadata!", ADDRESS(INDEX($X$2:$X$1001,MATCH(ROWS($V$2:V869),$V$2:$V$1001,0),0), INDEX($AC$1004:$AS$1004,1,MATCH(COLUMNS($AC$1006:AS1006),$AC$1006:$AS$1006,0)))),"Fix")))</f>
        <v xml:space="preserve"> </v>
      </c>
      <c r="V869">
        <v>868</v>
      </c>
      <c r="W869">
        <v>100869</v>
      </c>
      <c r="X869">
        <v>869</v>
      </c>
      <c r="Y869" t="b">
        <f t="shared" si="13"/>
        <v>1</v>
      </c>
      <c r="Z869" t="b">
        <f>COUNTBLANK(metadata!B869:R869)=COLUMNS(metadata!B869:R869)</f>
        <v>1</v>
      </c>
      <c r="AA869" t="str">
        <v/>
      </c>
      <c r="AC869" t="b">
        <f ca="1"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AD869" t="b">
        <f>IF(metadata!C869="",FALSE,ISNUMBER(VALUE(metadata!C869)))</f>
        <v>0</v>
      </c>
      <c r="AE869" t="b">
        <f>AND(IF(metadata!D869="",FALSE,TRUE),EXACT(metadata!D869,"years"))</f>
        <v>0</v>
      </c>
      <c r="AF869" t="b">
        <f>OR(AND(IF(metadata!E869="",FALSE,TRUE),OR(EXACT(metadata!E869,"not applicable"),EXACT(metadata!E869,"missing: not collected"),EXACT(metadata!E869,"missing: not provided"),EXACT(metadata!E869,"missing: restricted access"))),AND(IF(metadata!E869="",FALSE,ISNUMBER(VALUE(metadata!E869))),metadata!E869&gt;0))</f>
        <v>0</v>
      </c>
      <c r="AG869" t="b">
        <f>AND(IF(metadata!F869="",FALSE,TRUE),EXACT(metadata!F869,"Not applicable"))</f>
        <v>0</v>
      </c>
      <c r="AH869" t="b">
        <f>AND(IF(metadata!G869="",FALSE,TRUE),EXACT(metadata!G869,"urban biome"))</f>
        <v>0</v>
      </c>
      <c r="AI869" t="b">
        <f>AND(IF(metadata!H869="",FALSE,TRUE),EXACT(metadata!H869,"human-associated habitat"))</f>
        <v>0</v>
      </c>
      <c r="AJ869" t="b">
        <f>AND(IF(metadata!I869="",FALSE,TRUE),OR(EXACT(metadata!I869,"human-associated"),EXACT(metadata!I869,"human-skin"),EXACT(metadata!I869,"human-oral"),EXACT(metadata!I869,"human-gut"),EXACT(metadata!I869,"human-vaginal")))</f>
        <v>0</v>
      </c>
      <c r="AK869" t="b">
        <f>IF(metadata!J869="",FALSE,ISNUMBER(VALUE(metadata!J869)))</f>
        <v>0</v>
      </c>
      <c r="AL869" t="b">
        <f>AND(IF(metadata!K869="",FALSE,TRUE),EXACT(metadata!K869,"cm"))</f>
        <v>0</v>
      </c>
      <c r="AM869" t="b">
        <f>AND(IF(metadata!L869="",FALSE,TRUE),EXACT(metadata!L869,"human"))</f>
        <v>0</v>
      </c>
      <c r="AN869" t="b">
        <f>AND(IF(metadata!M869="",FALSE,TRUE),EXACT(metadata!M869,"Homo sapiens"))</f>
        <v>0</v>
      </c>
      <c r="AO869" t="b">
        <f>AND(IF(metadata!N869="",FALSE,TRUE),EXACT(metadata!N869,"9606"))</f>
        <v>0</v>
      </c>
      <c r="AP869" t="b">
        <f>IF(metadata!O869="",FALSE,TRUE)</f>
        <v>0</v>
      </c>
      <c r="AQ869" t="b">
        <f>IF(metadata!P869="",FALSE,TRUE)</f>
        <v>0</v>
      </c>
      <c r="AR869" t="b">
        <f>IF(metadata!Q869="",FALSE,ISNUMBER(VALUE(metadata!Q869)))</f>
        <v>0</v>
      </c>
      <c r="AS869" t="b">
        <f>AND(IF(metadata!R869="",FALSE,TRUE),EXACT(metadata!R869,"kg"))</f>
        <v>0</v>
      </c>
    </row>
    <row r="870" spans="1:45" x14ac:dyDescent="0.2">
      <c r="A870" s="5" t="str">
        <f ca="1">IF(B870=" "," ",HYPERLINK(CONCATENATE("#metadata!",ADDRESS(INDEX($X$2:$X$1001,MATCH(ROWS($V$2:V870),$V$2:$V$1001,0),0),1)),INDEX($AA$2:$AA$1001,MATCH(ROWS($V$2:V870),$V$2:$V$1001,0),0)))</f>
        <v xml:space="preserve"> </v>
      </c>
      <c r="B870" s="4" t="str">
        <f ca="1">IF(OR(INDEX($W$2:$W$1001,MATCH(ROWS($V$2:V870),$V$2:$V$1001,0),1)&gt;=100000,INDEX($AC$1005:$AS$1005,1,MATCH(COLUMNS($AC$1006:AC1006),$AC$1006:$AS$1006,0))&gt;=100000), " ",IF(INDEX($AC$2:$AS$1001,MATCH(ROWS($V$2:V870),$V$2:$V$1001,0),MATCH(COLUMNS($AC$1006:AC1006),$AC$1006:$AS$1006,0)), HYPERLINK("#",""), HYPERLINK(CONCATENATE("#metadata!", ADDRESS(INDEX($X$2:$X$1001,MATCH(ROWS($V$2:V870),$V$2:$V$1001,0),0), INDEX($AC$1004:$AS$1004,1,MATCH(COLUMNS($AC$1006:AC1006),$AC$1006:$AS$1006,0)))),"Fix")))</f>
        <v xml:space="preserve"> </v>
      </c>
      <c r="C870" s="4" t="str">
        <f ca="1">IF(OR(INDEX($W$2:$W$1001,MATCH(ROWS($V$2:V870),$V$2:$V$1001,0),1)&gt;=100000,INDEX($AC$1005:$AS$1005,1,MATCH(COLUMNS($AC$1006:AD1006),$AC$1006:$AS$1006,0))&gt;=100000), " ",IF(INDEX($AC$2:$AS$1001,MATCH(ROWS($V$2:V870),$V$2:$V$1001,0),MATCH(COLUMNS($AC$1006:AD1006),$AC$1006:$AS$1006,0)), HYPERLINK("#",""), HYPERLINK(CONCATENATE("#metadata!", ADDRESS(INDEX($X$2:$X$1001,MATCH(ROWS($V$2:V870),$V$2:$V$1001,0),0), INDEX($AC$1004:$AS$1004,1,MATCH(COLUMNS($AC$1006:AD1006),$AC$1006:$AS$1006,0)))),"Fix")))</f>
        <v xml:space="preserve"> </v>
      </c>
      <c r="D870" s="4" t="str">
        <f ca="1">IF(OR(INDEX($W$2:$W$1001,MATCH(ROWS($V$2:V870),$V$2:$V$1001,0),1)&gt;=100000,INDEX($AC$1005:$AS$1005,1,MATCH(COLUMNS($AC$1006:AE1006),$AC$1006:$AS$1006,0))&gt;=100000), " ",IF(INDEX($AC$2:$AS$1001,MATCH(ROWS($V$2:V870),$V$2:$V$1001,0),MATCH(COLUMNS($AC$1006:AE1006),$AC$1006:$AS$1006,0)), HYPERLINK("#",""), HYPERLINK(CONCATENATE("#metadata!", ADDRESS(INDEX($X$2:$X$1001,MATCH(ROWS($V$2:V870),$V$2:$V$1001,0),0), INDEX($AC$1004:$AS$1004,1,MATCH(COLUMNS($AC$1006:AE1006),$AC$1006:$AS$1006,0)))),"Fix")))</f>
        <v xml:space="preserve"> </v>
      </c>
      <c r="E870" s="4" t="str">
        <f ca="1">IF(OR(INDEX($W$2:$W$1001,MATCH(ROWS($V$2:V870),$V$2:$V$1001,0),1)&gt;=100000,INDEX($AC$1005:$AS$1005,1,MATCH(COLUMNS($AC$1006:AF1006),$AC$1006:$AS$1006,0))&gt;=100000), " ",IF(INDEX($AC$2:$AS$1001,MATCH(ROWS($V$2:V870),$V$2:$V$1001,0),MATCH(COLUMNS($AC$1006:AF1006),$AC$1006:$AS$1006,0)), HYPERLINK("#",""), HYPERLINK(CONCATENATE("#metadata!", ADDRESS(INDEX($X$2:$X$1001,MATCH(ROWS($V$2:V870),$V$2:$V$1001,0),0), INDEX($AC$1004:$AS$1004,1,MATCH(COLUMNS($AC$1006:AF1006),$AC$1006:$AS$1006,0)))),"Fix")))</f>
        <v xml:space="preserve"> </v>
      </c>
      <c r="F870" s="4" t="str">
        <f ca="1">IF(OR(INDEX($W$2:$W$1001,MATCH(ROWS($V$2:V870),$V$2:$V$1001,0),1)&gt;=100000,INDEX($AC$1005:$AS$1005,1,MATCH(COLUMNS($AC$1006:AG1006),$AC$1006:$AS$1006,0))&gt;=100000), " ",IF(INDEX($AC$2:$AS$1001,MATCH(ROWS($V$2:V870),$V$2:$V$1001,0),MATCH(COLUMNS($AC$1006:AG1006),$AC$1006:$AS$1006,0)), HYPERLINK("#",""), HYPERLINK(CONCATENATE("#metadata!", ADDRESS(INDEX($X$2:$X$1001,MATCH(ROWS($V$2:V870),$V$2:$V$1001,0),0), INDEX($AC$1004:$AS$1004,1,MATCH(COLUMNS($AC$1006:AG1006),$AC$1006:$AS$1006,0)))),"Fix")))</f>
        <v xml:space="preserve"> </v>
      </c>
      <c r="G870" s="4" t="str">
        <f ca="1">IF(OR(INDEX($W$2:$W$1001,MATCH(ROWS($V$2:V870),$V$2:$V$1001,0),1)&gt;=100000,INDEX($AC$1005:$AS$1005,1,MATCH(COLUMNS($AC$1006:AH1006),$AC$1006:$AS$1006,0))&gt;=100000), " ",IF(INDEX($AC$2:$AS$1001,MATCH(ROWS($V$2:V870),$V$2:$V$1001,0),MATCH(COLUMNS($AC$1006:AH1006),$AC$1006:$AS$1006,0)), HYPERLINK("#",""), HYPERLINK(CONCATENATE("#metadata!", ADDRESS(INDEX($X$2:$X$1001,MATCH(ROWS($V$2:V870),$V$2:$V$1001,0),0), INDEX($AC$1004:$AS$1004,1,MATCH(COLUMNS($AC$1006:AH1006),$AC$1006:$AS$1006,0)))),"Fix")))</f>
        <v xml:space="preserve"> </v>
      </c>
      <c r="H870" s="4" t="str">
        <f ca="1">IF(OR(INDEX($W$2:$W$1001,MATCH(ROWS($V$2:V870),$V$2:$V$1001,0),1)&gt;=100000,INDEX($AC$1005:$AS$1005,1,MATCH(COLUMNS($AC$1006:AI1006),$AC$1006:$AS$1006,0))&gt;=100000), " ",IF(INDEX($AC$2:$AS$1001,MATCH(ROWS($V$2:V870),$V$2:$V$1001,0),MATCH(COLUMNS($AC$1006:AI1006),$AC$1006:$AS$1006,0)), HYPERLINK("#",""), HYPERLINK(CONCATENATE("#metadata!", ADDRESS(INDEX($X$2:$X$1001,MATCH(ROWS($V$2:V870),$V$2:$V$1001,0),0), INDEX($AC$1004:$AS$1004,1,MATCH(COLUMNS($AC$1006:AI1006),$AC$1006:$AS$1006,0)))),"Fix")))</f>
        <v xml:space="preserve"> </v>
      </c>
      <c r="I870" s="4" t="str">
        <f ca="1">IF(OR(INDEX($W$2:$W$1001,MATCH(ROWS($V$2:V870),$V$2:$V$1001,0),1)&gt;=100000,INDEX($AC$1005:$AS$1005,1,MATCH(COLUMNS($AC$1006:AJ1006),$AC$1006:$AS$1006,0))&gt;=100000), " ",IF(INDEX($AC$2:$AS$1001,MATCH(ROWS($V$2:V870),$V$2:$V$1001,0),MATCH(COLUMNS($AC$1006:AJ1006),$AC$1006:$AS$1006,0)), HYPERLINK("#",""), HYPERLINK(CONCATENATE("#metadata!", ADDRESS(INDEX($X$2:$X$1001,MATCH(ROWS($V$2:V870),$V$2:$V$1001,0),0), INDEX($AC$1004:$AS$1004,1,MATCH(COLUMNS($AC$1006:AJ1006),$AC$1006:$AS$1006,0)))),"Fix")))</f>
        <v xml:space="preserve"> </v>
      </c>
      <c r="J870" s="4" t="str">
        <f ca="1">IF(OR(INDEX($W$2:$W$1001,MATCH(ROWS($V$2:V870),$V$2:$V$1001,0),1)&gt;=100000,INDEX($AC$1005:$AS$1005,1,MATCH(COLUMNS($AC$1006:AK1006),$AC$1006:$AS$1006,0))&gt;=100000), " ",IF(INDEX($AC$2:$AS$1001,MATCH(ROWS($V$2:V870),$V$2:$V$1001,0),MATCH(COLUMNS($AC$1006:AK1006),$AC$1006:$AS$1006,0)), HYPERLINK("#",""), HYPERLINK(CONCATENATE("#metadata!", ADDRESS(INDEX($X$2:$X$1001,MATCH(ROWS($V$2:V870),$V$2:$V$1001,0),0), INDEX($AC$1004:$AS$1004,1,MATCH(COLUMNS($AC$1006:AK1006),$AC$1006:$AS$1006,0)))),"Fix")))</f>
        <v xml:space="preserve"> </v>
      </c>
      <c r="K870" s="4" t="str">
        <f ca="1">IF(OR(INDEX($W$2:$W$1001,MATCH(ROWS($V$2:V870),$V$2:$V$1001,0),1)&gt;=100000,INDEX($AC$1005:$AS$1005,1,MATCH(COLUMNS($AC$1006:AL1006),$AC$1006:$AS$1006,0))&gt;=100000), " ",IF(INDEX($AC$2:$AS$1001,MATCH(ROWS($V$2:V870),$V$2:$V$1001,0),MATCH(COLUMNS($AC$1006:AL1006),$AC$1006:$AS$1006,0)), HYPERLINK("#",""), HYPERLINK(CONCATENATE("#metadata!", ADDRESS(INDEX($X$2:$X$1001,MATCH(ROWS($V$2:V870),$V$2:$V$1001,0),0), INDEX($AC$1004:$AS$1004,1,MATCH(COLUMNS($AC$1006:AL1006),$AC$1006:$AS$1006,0)))),"Fix")))</f>
        <v xml:space="preserve"> </v>
      </c>
      <c r="L870" s="4" t="str">
        <f ca="1">IF(OR(INDEX($W$2:$W$1001,MATCH(ROWS($V$2:V870),$V$2:$V$1001,0),1)&gt;=100000,INDEX($AC$1005:$AS$1005,1,MATCH(COLUMNS($AC$1006:AM1006),$AC$1006:$AS$1006,0))&gt;=100000), " ",IF(INDEX($AC$2:$AS$1001,MATCH(ROWS($V$2:V870),$V$2:$V$1001,0),MATCH(COLUMNS($AC$1006:AM1006),$AC$1006:$AS$1006,0)), HYPERLINK("#",""), HYPERLINK(CONCATENATE("#metadata!", ADDRESS(INDEX($X$2:$X$1001,MATCH(ROWS($V$2:V870),$V$2:$V$1001,0),0), INDEX($AC$1004:$AS$1004,1,MATCH(COLUMNS($AC$1006:AM1006),$AC$1006:$AS$1006,0)))),"Fix")))</f>
        <v xml:space="preserve"> </v>
      </c>
      <c r="M870" s="4" t="str">
        <f ca="1">IF(OR(INDEX($W$2:$W$1001,MATCH(ROWS($V$2:V870),$V$2:$V$1001,0),1)&gt;=100000,INDEX($AC$1005:$AS$1005,1,MATCH(COLUMNS($AC$1006:AN1006),$AC$1006:$AS$1006,0))&gt;=100000), " ",IF(INDEX($AC$2:$AS$1001,MATCH(ROWS($V$2:V870),$V$2:$V$1001,0),MATCH(COLUMNS($AC$1006:AN1006),$AC$1006:$AS$1006,0)), HYPERLINK("#",""), HYPERLINK(CONCATENATE("#metadata!", ADDRESS(INDEX($X$2:$X$1001,MATCH(ROWS($V$2:V870),$V$2:$V$1001,0),0), INDEX($AC$1004:$AS$1004,1,MATCH(COLUMNS($AC$1006:AN1006),$AC$1006:$AS$1006,0)))),"Fix")))</f>
        <v xml:space="preserve"> </v>
      </c>
      <c r="N870" s="4" t="str">
        <f ca="1">IF(OR(INDEX($W$2:$W$1001,MATCH(ROWS($V$2:V870),$V$2:$V$1001,0),1)&gt;=100000,INDEX($AC$1005:$AS$1005,1,MATCH(COLUMNS($AC$1006:AO1006),$AC$1006:$AS$1006,0))&gt;=100000), " ",IF(INDEX($AC$2:$AS$1001,MATCH(ROWS($V$2:V870),$V$2:$V$1001,0),MATCH(COLUMNS($AC$1006:AO1006),$AC$1006:$AS$1006,0)), HYPERLINK("#",""), HYPERLINK(CONCATENATE("#metadata!", ADDRESS(INDEX($X$2:$X$1001,MATCH(ROWS($V$2:V870),$V$2:$V$1001,0),0), INDEX($AC$1004:$AS$1004,1,MATCH(COLUMNS($AC$1006:AO1006),$AC$1006:$AS$1006,0)))),"Fix")))</f>
        <v xml:space="preserve"> </v>
      </c>
      <c r="O870" s="4" t="str">
        <f ca="1">IF(OR(INDEX($W$2:$W$1001,MATCH(ROWS($V$2:V870),$V$2:$V$1001,0),1)&gt;=100000,INDEX($AC$1005:$AS$1005,1,MATCH(COLUMNS($AC$1006:AP1006),$AC$1006:$AS$1006,0))&gt;=100000), " ",IF(INDEX($AC$2:$AS$1001,MATCH(ROWS($V$2:V870),$V$2:$V$1001,0),MATCH(COLUMNS($AC$1006:AP1006),$AC$1006:$AS$1006,0)), HYPERLINK("#",""), HYPERLINK(CONCATENATE("#metadata!", ADDRESS(INDEX($X$2:$X$1001,MATCH(ROWS($V$2:V870),$V$2:$V$1001,0),0), INDEX($AC$1004:$AS$1004,1,MATCH(COLUMNS($AC$1006:AP1006),$AC$1006:$AS$1006,0)))),"Fix")))</f>
        <v xml:space="preserve"> </v>
      </c>
      <c r="P870" s="4" t="str">
        <f ca="1">IF(OR(INDEX($W$2:$W$1001,MATCH(ROWS($V$2:V870),$V$2:$V$1001,0),1)&gt;=100000,INDEX($AC$1005:$AS$1005,1,MATCH(COLUMNS($AC$1006:AQ1006),$AC$1006:$AS$1006,0))&gt;=100000), " ",IF(INDEX($AC$2:$AS$1001,MATCH(ROWS($V$2:V870),$V$2:$V$1001,0),MATCH(COLUMNS($AC$1006:AQ1006),$AC$1006:$AS$1006,0)), HYPERLINK("#",""), HYPERLINK(CONCATENATE("#metadata!", ADDRESS(INDEX($X$2:$X$1001,MATCH(ROWS($V$2:V870),$V$2:$V$1001,0),0), INDEX($AC$1004:$AS$1004,1,MATCH(COLUMNS($AC$1006:AQ1006),$AC$1006:$AS$1006,0)))),"Fix")))</f>
        <v xml:space="preserve"> </v>
      </c>
      <c r="Q870" s="4" t="str">
        <f ca="1">IF(OR(INDEX($W$2:$W$1001,MATCH(ROWS($V$2:V870),$V$2:$V$1001,0),1)&gt;=100000,INDEX($AC$1005:$AS$1005,1,MATCH(COLUMNS($AC$1006:AR1006),$AC$1006:$AS$1006,0))&gt;=100000), " ",IF(INDEX($AC$2:$AS$1001,MATCH(ROWS($V$2:V870),$V$2:$V$1001,0),MATCH(COLUMNS($AC$1006:AR1006),$AC$1006:$AS$1006,0)), HYPERLINK("#",""), HYPERLINK(CONCATENATE("#metadata!", ADDRESS(INDEX($X$2:$X$1001,MATCH(ROWS($V$2:V870),$V$2:$V$1001,0),0), INDEX($AC$1004:$AS$1004,1,MATCH(COLUMNS($AC$1006:AR1006),$AC$1006:$AS$1006,0)))),"Fix")))</f>
        <v xml:space="preserve"> </v>
      </c>
      <c r="R870" s="4" t="str">
        <f ca="1">IF(OR(INDEX($W$2:$W$1001,MATCH(ROWS($V$2:V870),$V$2:$V$1001,0),1)&gt;=100000,INDEX($AC$1005:$AS$1005,1,MATCH(COLUMNS($AC$1006:AS1006),$AC$1006:$AS$1006,0))&gt;=100000), " ",IF(INDEX($AC$2:$AS$1001,MATCH(ROWS($V$2:V870),$V$2:$V$1001,0),MATCH(COLUMNS($AC$1006:AS1006),$AC$1006:$AS$1006,0)), HYPERLINK("#",""), HYPERLINK(CONCATENATE("#metadata!", ADDRESS(INDEX($X$2:$X$1001,MATCH(ROWS($V$2:V870),$V$2:$V$1001,0),0), INDEX($AC$1004:$AS$1004,1,MATCH(COLUMNS($AC$1006:AS1006),$AC$1006:$AS$1006,0)))),"Fix")))</f>
        <v xml:space="preserve"> </v>
      </c>
      <c r="V870">
        <v>869</v>
      </c>
      <c r="W870">
        <v>100870</v>
      </c>
      <c r="X870">
        <v>870</v>
      </c>
      <c r="Y870" t="b">
        <f t="shared" si="13"/>
        <v>1</v>
      </c>
      <c r="Z870" t="b">
        <f>COUNTBLANK(metadata!B870:R870)=COLUMNS(metadata!B870:R870)</f>
        <v>1</v>
      </c>
      <c r="AA870" t="str">
        <v/>
      </c>
      <c r="AC870" t="b">
        <f ca="1"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AD870" t="b">
        <f>IF(metadata!C870="",FALSE,ISNUMBER(VALUE(metadata!C870)))</f>
        <v>0</v>
      </c>
      <c r="AE870" t="b">
        <f>AND(IF(metadata!D870="",FALSE,TRUE),EXACT(metadata!D870,"years"))</f>
        <v>0</v>
      </c>
      <c r="AF870" t="b">
        <f>OR(AND(IF(metadata!E870="",FALSE,TRUE),OR(EXACT(metadata!E870,"not applicable"),EXACT(metadata!E870,"missing: not collected"),EXACT(metadata!E870,"missing: not provided"),EXACT(metadata!E870,"missing: restricted access"))),AND(IF(metadata!E870="",FALSE,ISNUMBER(VALUE(metadata!E870))),metadata!E870&gt;0))</f>
        <v>0</v>
      </c>
      <c r="AG870" t="b">
        <f>AND(IF(metadata!F870="",FALSE,TRUE),EXACT(metadata!F870,"Not applicable"))</f>
        <v>0</v>
      </c>
      <c r="AH870" t="b">
        <f>AND(IF(metadata!G870="",FALSE,TRUE),EXACT(metadata!G870,"urban biome"))</f>
        <v>0</v>
      </c>
      <c r="AI870" t="b">
        <f>AND(IF(metadata!H870="",FALSE,TRUE),EXACT(metadata!H870,"human-associated habitat"))</f>
        <v>0</v>
      </c>
      <c r="AJ870" t="b">
        <f>AND(IF(metadata!I870="",FALSE,TRUE),OR(EXACT(metadata!I870,"human-associated"),EXACT(metadata!I870,"human-skin"),EXACT(metadata!I870,"human-oral"),EXACT(metadata!I870,"human-gut"),EXACT(metadata!I870,"human-vaginal")))</f>
        <v>0</v>
      </c>
      <c r="AK870" t="b">
        <f>IF(metadata!J870="",FALSE,ISNUMBER(VALUE(metadata!J870)))</f>
        <v>0</v>
      </c>
      <c r="AL870" t="b">
        <f>AND(IF(metadata!K870="",FALSE,TRUE),EXACT(metadata!K870,"cm"))</f>
        <v>0</v>
      </c>
      <c r="AM870" t="b">
        <f>AND(IF(metadata!L870="",FALSE,TRUE),EXACT(metadata!L870,"human"))</f>
        <v>0</v>
      </c>
      <c r="AN870" t="b">
        <f>AND(IF(metadata!M870="",FALSE,TRUE),EXACT(metadata!M870,"Homo sapiens"))</f>
        <v>0</v>
      </c>
      <c r="AO870" t="b">
        <f>AND(IF(metadata!N870="",FALSE,TRUE),EXACT(metadata!N870,"9606"))</f>
        <v>0</v>
      </c>
      <c r="AP870" t="b">
        <f>IF(metadata!O870="",FALSE,TRUE)</f>
        <v>0</v>
      </c>
      <c r="AQ870" t="b">
        <f>IF(metadata!P870="",FALSE,TRUE)</f>
        <v>0</v>
      </c>
      <c r="AR870" t="b">
        <f>IF(metadata!Q870="",FALSE,ISNUMBER(VALUE(metadata!Q870)))</f>
        <v>0</v>
      </c>
      <c r="AS870" t="b">
        <f>AND(IF(metadata!R870="",FALSE,TRUE),EXACT(metadata!R870,"kg"))</f>
        <v>0</v>
      </c>
    </row>
    <row r="871" spans="1:45" x14ac:dyDescent="0.2">
      <c r="A871" s="5" t="str">
        <f ca="1">IF(B871=" "," ",HYPERLINK(CONCATENATE("#metadata!",ADDRESS(INDEX($X$2:$X$1001,MATCH(ROWS($V$2:V871),$V$2:$V$1001,0),0),1)),INDEX($AA$2:$AA$1001,MATCH(ROWS($V$2:V871),$V$2:$V$1001,0),0)))</f>
        <v xml:space="preserve"> </v>
      </c>
      <c r="B871" s="4" t="str">
        <f ca="1">IF(OR(INDEX($W$2:$W$1001,MATCH(ROWS($V$2:V871),$V$2:$V$1001,0),1)&gt;=100000,INDEX($AC$1005:$AS$1005,1,MATCH(COLUMNS($AC$1006:AC1006),$AC$1006:$AS$1006,0))&gt;=100000), " ",IF(INDEX($AC$2:$AS$1001,MATCH(ROWS($V$2:V871),$V$2:$V$1001,0),MATCH(COLUMNS($AC$1006:AC1006),$AC$1006:$AS$1006,0)), HYPERLINK("#",""), HYPERLINK(CONCATENATE("#metadata!", ADDRESS(INDEX($X$2:$X$1001,MATCH(ROWS($V$2:V871),$V$2:$V$1001,0),0), INDEX($AC$1004:$AS$1004,1,MATCH(COLUMNS($AC$1006:AC1006),$AC$1006:$AS$1006,0)))),"Fix")))</f>
        <v xml:space="preserve"> </v>
      </c>
      <c r="C871" s="4" t="str">
        <f ca="1">IF(OR(INDEX($W$2:$W$1001,MATCH(ROWS($V$2:V871),$V$2:$V$1001,0),1)&gt;=100000,INDEX($AC$1005:$AS$1005,1,MATCH(COLUMNS($AC$1006:AD1006),$AC$1006:$AS$1006,0))&gt;=100000), " ",IF(INDEX($AC$2:$AS$1001,MATCH(ROWS($V$2:V871),$V$2:$V$1001,0),MATCH(COLUMNS($AC$1006:AD1006),$AC$1006:$AS$1006,0)), HYPERLINK("#",""), HYPERLINK(CONCATENATE("#metadata!", ADDRESS(INDEX($X$2:$X$1001,MATCH(ROWS($V$2:V871),$V$2:$V$1001,0),0), INDEX($AC$1004:$AS$1004,1,MATCH(COLUMNS($AC$1006:AD1006),$AC$1006:$AS$1006,0)))),"Fix")))</f>
        <v xml:space="preserve"> </v>
      </c>
      <c r="D871" s="4" t="str">
        <f ca="1">IF(OR(INDEX($W$2:$W$1001,MATCH(ROWS($V$2:V871),$V$2:$V$1001,0),1)&gt;=100000,INDEX($AC$1005:$AS$1005,1,MATCH(COLUMNS($AC$1006:AE1006),$AC$1006:$AS$1006,0))&gt;=100000), " ",IF(INDEX($AC$2:$AS$1001,MATCH(ROWS($V$2:V871),$V$2:$V$1001,0),MATCH(COLUMNS($AC$1006:AE1006),$AC$1006:$AS$1006,0)), HYPERLINK("#",""), HYPERLINK(CONCATENATE("#metadata!", ADDRESS(INDEX($X$2:$X$1001,MATCH(ROWS($V$2:V871),$V$2:$V$1001,0),0), INDEX($AC$1004:$AS$1004,1,MATCH(COLUMNS($AC$1006:AE1006),$AC$1006:$AS$1006,0)))),"Fix")))</f>
        <v xml:space="preserve"> </v>
      </c>
      <c r="E871" s="4" t="str">
        <f ca="1">IF(OR(INDEX($W$2:$W$1001,MATCH(ROWS($V$2:V871),$V$2:$V$1001,0),1)&gt;=100000,INDEX($AC$1005:$AS$1005,1,MATCH(COLUMNS($AC$1006:AF1006),$AC$1006:$AS$1006,0))&gt;=100000), " ",IF(INDEX($AC$2:$AS$1001,MATCH(ROWS($V$2:V871),$V$2:$V$1001,0),MATCH(COLUMNS($AC$1006:AF1006),$AC$1006:$AS$1006,0)), HYPERLINK("#",""), HYPERLINK(CONCATENATE("#metadata!", ADDRESS(INDEX($X$2:$X$1001,MATCH(ROWS($V$2:V871),$V$2:$V$1001,0),0), INDEX($AC$1004:$AS$1004,1,MATCH(COLUMNS($AC$1006:AF1006),$AC$1006:$AS$1006,0)))),"Fix")))</f>
        <v xml:space="preserve"> </v>
      </c>
      <c r="F871" s="4" t="str">
        <f ca="1">IF(OR(INDEX($W$2:$W$1001,MATCH(ROWS($V$2:V871),$V$2:$V$1001,0),1)&gt;=100000,INDEX($AC$1005:$AS$1005,1,MATCH(COLUMNS($AC$1006:AG1006),$AC$1006:$AS$1006,0))&gt;=100000), " ",IF(INDEX($AC$2:$AS$1001,MATCH(ROWS($V$2:V871),$V$2:$V$1001,0),MATCH(COLUMNS($AC$1006:AG1006),$AC$1006:$AS$1006,0)), HYPERLINK("#",""), HYPERLINK(CONCATENATE("#metadata!", ADDRESS(INDEX($X$2:$X$1001,MATCH(ROWS($V$2:V871),$V$2:$V$1001,0),0), INDEX($AC$1004:$AS$1004,1,MATCH(COLUMNS($AC$1006:AG1006),$AC$1006:$AS$1006,0)))),"Fix")))</f>
        <v xml:space="preserve"> </v>
      </c>
      <c r="G871" s="4" t="str">
        <f ca="1">IF(OR(INDEX($W$2:$W$1001,MATCH(ROWS($V$2:V871),$V$2:$V$1001,0),1)&gt;=100000,INDEX($AC$1005:$AS$1005,1,MATCH(COLUMNS($AC$1006:AH1006),$AC$1006:$AS$1006,0))&gt;=100000), " ",IF(INDEX($AC$2:$AS$1001,MATCH(ROWS($V$2:V871),$V$2:$V$1001,0),MATCH(COLUMNS($AC$1006:AH1006),$AC$1006:$AS$1006,0)), HYPERLINK("#",""), HYPERLINK(CONCATENATE("#metadata!", ADDRESS(INDEX($X$2:$X$1001,MATCH(ROWS($V$2:V871),$V$2:$V$1001,0),0), INDEX($AC$1004:$AS$1004,1,MATCH(COLUMNS($AC$1006:AH1006),$AC$1006:$AS$1006,0)))),"Fix")))</f>
        <v xml:space="preserve"> </v>
      </c>
      <c r="H871" s="4" t="str">
        <f ca="1">IF(OR(INDEX($W$2:$W$1001,MATCH(ROWS($V$2:V871),$V$2:$V$1001,0),1)&gt;=100000,INDEX($AC$1005:$AS$1005,1,MATCH(COLUMNS($AC$1006:AI1006),$AC$1006:$AS$1006,0))&gt;=100000), " ",IF(INDEX($AC$2:$AS$1001,MATCH(ROWS($V$2:V871),$V$2:$V$1001,0),MATCH(COLUMNS($AC$1006:AI1006),$AC$1006:$AS$1006,0)), HYPERLINK("#",""), HYPERLINK(CONCATENATE("#metadata!", ADDRESS(INDEX($X$2:$X$1001,MATCH(ROWS($V$2:V871),$V$2:$V$1001,0),0), INDEX($AC$1004:$AS$1004,1,MATCH(COLUMNS($AC$1006:AI1006),$AC$1006:$AS$1006,0)))),"Fix")))</f>
        <v xml:space="preserve"> </v>
      </c>
      <c r="I871" s="4" t="str">
        <f ca="1">IF(OR(INDEX($W$2:$W$1001,MATCH(ROWS($V$2:V871),$V$2:$V$1001,0),1)&gt;=100000,INDEX($AC$1005:$AS$1005,1,MATCH(COLUMNS($AC$1006:AJ1006),$AC$1006:$AS$1006,0))&gt;=100000), " ",IF(INDEX($AC$2:$AS$1001,MATCH(ROWS($V$2:V871),$V$2:$V$1001,0),MATCH(COLUMNS($AC$1006:AJ1006),$AC$1006:$AS$1006,0)), HYPERLINK("#",""), HYPERLINK(CONCATENATE("#metadata!", ADDRESS(INDEX($X$2:$X$1001,MATCH(ROWS($V$2:V871),$V$2:$V$1001,0),0), INDEX($AC$1004:$AS$1004,1,MATCH(COLUMNS($AC$1006:AJ1006),$AC$1006:$AS$1006,0)))),"Fix")))</f>
        <v xml:space="preserve"> </v>
      </c>
      <c r="J871" s="4" t="str">
        <f ca="1">IF(OR(INDEX($W$2:$W$1001,MATCH(ROWS($V$2:V871),$V$2:$V$1001,0),1)&gt;=100000,INDEX($AC$1005:$AS$1005,1,MATCH(COLUMNS($AC$1006:AK1006),$AC$1006:$AS$1006,0))&gt;=100000), " ",IF(INDEX($AC$2:$AS$1001,MATCH(ROWS($V$2:V871),$V$2:$V$1001,0),MATCH(COLUMNS($AC$1006:AK1006),$AC$1006:$AS$1006,0)), HYPERLINK("#",""), HYPERLINK(CONCATENATE("#metadata!", ADDRESS(INDEX($X$2:$X$1001,MATCH(ROWS($V$2:V871),$V$2:$V$1001,0),0), INDEX($AC$1004:$AS$1004,1,MATCH(COLUMNS($AC$1006:AK1006),$AC$1006:$AS$1006,0)))),"Fix")))</f>
        <v xml:space="preserve"> </v>
      </c>
      <c r="K871" s="4" t="str">
        <f ca="1">IF(OR(INDEX($W$2:$W$1001,MATCH(ROWS($V$2:V871),$V$2:$V$1001,0),1)&gt;=100000,INDEX($AC$1005:$AS$1005,1,MATCH(COLUMNS($AC$1006:AL1006),$AC$1006:$AS$1006,0))&gt;=100000), " ",IF(INDEX($AC$2:$AS$1001,MATCH(ROWS($V$2:V871),$V$2:$V$1001,0),MATCH(COLUMNS($AC$1006:AL1006),$AC$1006:$AS$1006,0)), HYPERLINK("#",""), HYPERLINK(CONCATENATE("#metadata!", ADDRESS(INDEX($X$2:$X$1001,MATCH(ROWS($V$2:V871),$V$2:$V$1001,0),0), INDEX($AC$1004:$AS$1004,1,MATCH(COLUMNS($AC$1006:AL1006),$AC$1006:$AS$1006,0)))),"Fix")))</f>
        <v xml:space="preserve"> </v>
      </c>
      <c r="L871" s="4" t="str">
        <f ca="1">IF(OR(INDEX($W$2:$W$1001,MATCH(ROWS($V$2:V871),$V$2:$V$1001,0),1)&gt;=100000,INDEX($AC$1005:$AS$1005,1,MATCH(COLUMNS($AC$1006:AM1006),$AC$1006:$AS$1006,0))&gt;=100000), " ",IF(INDEX($AC$2:$AS$1001,MATCH(ROWS($V$2:V871),$V$2:$V$1001,0),MATCH(COLUMNS($AC$1006:AM1006),$AC$1006:$AS$1006,0)), HYPERLINK("#",""), HYPERLINK(CONCATENATE("#metadata!", ADDRESS(INDEX($X$2:$X$1001,MATCH(ROWS($V$2:V871),$V$2:$V$1001,0),0), INDEX($AC$1004:$AS$1004,1,MATCH(COLUMNS($AC$1006:AM1006),$AC$1006:$AS$1006,0)))),"Fix")))</f>
        <v xml:space="preserve"> </v>
      </c>
      <c r="M871" s="4" t="str">
        <f ca="1">IF(OR(INDEX($W$2:$W$1001,MATCH(ROWS($V$2:V871),$V$2:$V$1001,0),1)&gt;=100000,INDEX($AC$1005:$AS$1005,1,MATCH(COLUMNS($AC$1006:AN1006),$AC$1006:$AS$1006,0))&gt;=100000), " ",IF(INDEX($AC$2:$AS$1001,MATCH(ROWS($V$2:V871),$V$2:$V$1001,0),MATCH(COLUMNS($AC$1006:AN1006),$AC$1006:$AS$1006,0)), HYPERLINK("#",""), HYPERLINK(CONCATENATE("#metadata!", ADDRESS(INDEX($X$2:$X$1001,MATCH(ROWS($V$2:V871),$V$2:$V$1001,0),0), INDEX($AC$1004:$AS$1004,1,MATCH(COLUMNS($AC$1006:AN1006),$AC$1006:$AS$1006,0)))),"Fix")))</f>
        <v xml:space="preserve"> </v>
      </c>
      <c r="N871" s="4" t="str">
        <f ca="1">IF(OR(INDEX($W$2:$W$1001,MATCH(ROWS($V$2:V871),$V$2:$V$1001,0),1)&gt;=100000,INDEX($AC$1005:$AS$1005,1,MATCH(COLUMNS($AC$1006:AO1006),$AC$1006:$AS$1006,0))&gt;=100000), " ",IF(INDEX($AC$2:$AS$1001,MATCH(ROWS($V$2:V871),$V$2:$V$1001,0),MATCH(COLUMNS($AC$1006:AO1006),$AC$1006:$AS$1006,0)), HYPERLINK("#",""), HYPERLINK(CONCATENATE("#metadata!", ADDRESS(INDEX($X$2:$X$1001,MATCH(ROWS($V$2:V871),$V$2:$V$1001,0),0), INDEX($AC$1004:$AS$1004,1,MATCH(COLUMNS($AC$1006:AO1006),$AC$1006:$AS$1006,0)))),"Fix")))</f>
        <v xml:space="preserve"> </v>
      </c>
      <c r="O871" s="4" t="str">
        <f ca="1">IF(OR(INDEX($W$2:$W$1001,MATCH(ROWS($V$2:V871),$V$2:$V$1001,0),1)&gt;=100000,INDEX($AC$1005:$AS$1005,1,MATCH(COLUMNS($AC$1006:AP1006),$AC$1006:$AS$1006,0))&gt;=100000), " ",IF(INDEX($AC$2:$AS$1001,MATCH(ROWS($V$2:V871),$V$2:$V$1001,0),MATCH(COLUMNS($AC$1006:AP1006),$AC$1006:$AS$1006,0)), HYPERLINK("#",""), HYPERLINK(CONCATENATE("#metadata!", ADDRESS(INDEX($X$2:$X$1001,MATCH(ROWS($V$2:V871),$V$2:$V$1001,0),0), INDEX($AC$1004:$AS$1004,1,MATCH(COLUMNS($AC$1006:AP1006),$AC$1006:$AS$1006,0)))),"Fix")))</f>
        <v xml:space="preserve"> </v>
      </c>
      <c r="P871" s="4" t="str">
        <f ca="1">IF(OR(INDEX($W$2:$W$1001,MATCH(ROWS($V$2:V871),$V$2:$V$1001,0),1)&gt;=100000,INDEX($AC$1005:$AS$1005,1,MATCH(COLUMNS($AC$1006:AQ1006),$AC$1006:$AS$1006,0))&gt;=100000), " ",IF(INDEX($AC$2:$AS$1001,MATCH(ROWS($V$2:V871),$V$2:$V$1001,0),MATCH(COLUMNS($AC$1006:AQ1006),$AC$1006:$AS$1006,0)), HYPERLINK("#",""), HYPERLINK(CONCATENATE("#metadata!", ADDRESS(INDEX($X$2:$X$1001,MATCH(ROWS($V$2:V871),$V$2:$V$1001,0),0), INDEX($AC$1004:$AS$1004,1,MATCH(COLUMNS($AC$1006:AQ1006),$AC$1006:$AS$1006,0)))),"Fix")))</f>
        <v xml:space="preserve"> </v>
      </c>
      <c r="Q871" s="4" t="str">
        <f ca="1">IF(OR(INDEX($W$2:$W$1001,MATCH(ROWS($V$2:V871),$V$2:$V$1001,0),1)&gt;=100000,INDEX($AC$1005:$AS$1005,1,MATCH(COLUMNS($AC$1006:AR1006),$AC$1006:$AS$1006,0))&gt;=100000), " ",IF(INDEX($AC$2:$AS$1001,MATCH(ROWS($V$2:V871),$V$2:$V$1001,0),MATCH(COLUMNS($AC$1006:AR1006),$AC$1006:$AS$1006,0)), HYPERLINK("#",""), HYPERLINK(CONCATENATE("#metadata!", ADDRESS(INDEX($X$2:$X$1001,MATCH(ROWS($V$2:V871),$V$2:$V$1001,0),0), INDEX($AC$1004:$AS$1004,1,MATCH(COLUMNS($AC$1006:AR1006),$AC$1006:$AS$1006,0)))),"Fix")))</f>
        <v xml:space="preserve"> </v>
      </c>
      <c r="R871" s="4" t="str">
        <f ca="1">IF(OR(INDEX($W$2:$W$1001,MATCH(ROWS($V$2:V871),$V$2:$V$1001,0),1)&gt;=100000,INDEX($AC$1005:$AS$1005,1,MATCH(COLUMNS($AC$1006:AS1006),$AC$1006:$AS$1006,0))&gt;=100000), " ",IF(INDEX($AC$2:$AS$1001,MATCH(ROWS($V$2:V871),$V$2:$V$1001,0),MATCH(COLUMNS($AC$1006:AS1006),$AC$1006:$AS$1006,0)), HYPERLINK("#",""), HYPERLINK(CONCATENATE("#metadata!", ADDRESS(INDEX($X$2:$X$1001,MATCH(ROWS($V$2:V871),$V$2:$V$1001,0),0), INDEX($AC$1004:$AS$1004,1,MATCH(COLUMNS($AC$1006:AS1006),$AC$1006:$AS$1006,0)))),"Fix")))</f>
        <v xml:space="preserve"> </v>
      </c>
      <c r="V871">
        <v>870</v>
      </c>
      <c r="W871">
        <v>100871</v>
      </c>
      <c r="X871">
        <v>871</v>
      </c>
      <c r="Y871" t="b">
        <f t="shared" si="13"/>
        <v>1</v>
      </c>
      <c r="Z871" t="b">
        <f>COUNTBLANK(metadata!B871:R871)=COLUMNS(metadata!B871:R871)</f>
        <v>1</v>
      </c>
      <c r="AA871" t="str">
        <v/>
      </c>
      <c r="AC871" t="b">
        <f ca="1"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AD871" t="b">
        <f>IF(metadata!C871="",FALSE,ISNUMBER(VALUE(metadata!C871)))</f>
        <v>0</v>
      </c>
      <c r="AE871" t="b">
        <f>AND(IF(metadata!D871="",FALSE,TRUE),EXACT(metadata!D871,"years"))</f>
        <v>0</v>
      </c>
      <c r="AF871" t="b">
        <f>OR(AND(IF(metadata!E871="",FALSE,TRUE),OR(EXACT(metadata!E871,"not applicable"),EXACT(metadata!E871,"missing: not collected"),EXACT(metadata!E871,"missing: not provided"),EXACT(metadata!E871,"missing: restricted access"))),AND(IF(metadata!E871="",FALSE,ISNUMBER(VALUE(metadata!E871))),metadata!E871&gt;0))</f>
        <v>0</v>
      </c>
      <c r="AG871" t="b">
        <f>AND(IF(metadata!F871="",FALSE,TRUE),EXACT(metadata!F871,"Not applicable"))</f>
        <v>0</v>
      </c>
      <c r="AH871" t="b">
        <f>AND(IF(metadata!G871="",FALSE,TRUE),EXACT(metadata!G871,"urban biome"))</f>
        <v>0</v>
      </c>
      <c r="AI871" t="b">
        <f>AND(IF(metadata!H871="",FALSE,TRUE),EXACT(metadata!H871,"human-associated habitat"))</f>
        <v>0</v>
      </c>
      <c r="AJ871" t="b">
        <f>AND(IF(metadata!I871="",FALSE,TRUE),OR(EXACT(metadata!I871,"human-associated"),EXACT(metadata!I871,"human-skin"),EXACT(metadata!I871,"human-oral"),EXACT(metadata!I871,"human-gut"),EXACT(metadata!I871,"human-vaginal")))</f>
        <v>0</v>
      </c>
      <c r="AK871" t="b">
        <f>IF(metadata!J871="",FALSE,ISNUMBER(VALUE(metadata!J871)))</f>
        <v>0</v>
      </c>
      <c r="AL871" t="b">
        <f>AND(IF(metadata!K871="",FALSE,TRUE),EXACT(metadata!K871,"cm"))</f>
        <v>0</v>
      </c>
      <c r="AM871" t="b">
        <f>AND(IF(metadata!L871="",FALSE,TRUE),EXACT(metadata!L871,"human"))</f>
        <v>0</v>
      </c>
      <c r="AN871" t="b">
        <f>AND(IF(metadata!M871="",FALSE,TRUE),EXACT(metadata!M871,"Homo sapiens"))</f>
        <v>0</v>
      </c>
      <c r="AO871" t="b">
        <f>AND(IF(metadata!N871="",FALSE,TRUE),EXACT(metadata!N871,"9606"))</f>
        <v>0</v>
      </c>
      <c r="AP871" t="b">
        <f>IF(metadata!O871="",FALSE,TRUE)</f>
        <v>0</v>
      </c>
      <c r="AQ871" t="b">
        <f>IF(metadata!P871="",FALSE,TRUE)</f>
        <v>0</v>
      </c>
      <c r="AR871" t="b">
        <f>IF(metadata!Q871="",FALSE,ISNUMBER(VALUE(metadata!Q871)))</f>
        <v>0</v>
      </c>
      <c r="AS871" t="b">
        <f>AND(IF(metadata!R871="",FALSE,TRUE),EXACT(metadata!R871,"kg"))</f>
        <v>0</v>
      </c>
    </row>
    <row r="872" spans="1:45" x14ac:dyDescent="0.2">
      <c r="A872" s="5" t="str">
        <f ca="1">IF(B872=" "," ",HYPERLINK(CONCATENATE("#metadata!",ADDRESS(INDEX($X$2:$X$1001,MATCH(ROWS($V$2:V872),$V$2:$V$1001,0),0),1)),INDEX($AA$2:$AA$1001,MATCH(ROWS($V$2:V872),$V$2:$V$1001,0),0)))</f>
        <v xml:space="preserve"> </v>
      </c>
      <c r="B872" s="4" t="str">
        <f ca="1">IF(OR(INDEX($W$2:$W$1001,MATCH(ROWS($V$2:V872),$V$2:$V$1001,0),1)&gt;=100000,INDEX($AC$1005:$AS$1005,1,MATCH(COLUMNS($AC$1006:AC1006),$AC$1006:$AS$1006,0))&gt;=100000), " ",IF(INDEX($AC$2:$AS$1001,MATCH(ROWS($V$2:V872),$V$2:$V$1001,0),MATCH(COLUMNS($AC$1006:AC1006),$AC$1006:$AS$1006,0)), HYPERLINK("#",""), HYPERLINK(CONCATENATE("#metadata!", ADDRESS(INDEX($X$2:$X$1001,MATCH(ROWS($V$2:V872),$V$2:$V$1001,0),0), INDEX($AC$1004:$AS$1004,1,MATCH(COLUMNS($AC$1006:AC1006),$AC$1006:$AS$1006,0)))),"Fix")))</f>
        <v xml:space="preserve"> </v>
      </c>
      <c r="C872" s="4" t="str">
        <f ca="1">IF(OR(INDEX($W$2:$W$1001,MATCH(ROWS($V$2:V872),$V$2:$V$1001,0),1)&gt;=100000,INDEX($AC$1005:$AS$1005,1,MATCH(COLUMNS($AC$1006:AD1006),$AC$1006:$AS$1006,0))&gt;=100000), " ",IF(INDEX($AC$2:$AS$1001,MATCH(ROWS($V$2:V872),$V$2:$V$1001,0),MATCH(COLUMNS($AC$1006:AD1006),$AC$1006:$AS$1006,0)), HYPERLINK("#",""), HYPERLINK(CONCATENATE("#metadata!", ADDRESS(INDEX($X$2:$X$1001,MATCH(ROWS($V$2:V872),$V$2:$V$1001,0),0), INDEX($AC$1004:$AS$1004,1,MATCH(COLUMNS($AC$1006:AD1006),$AC$1006:$AS$1006,0)))),"Fix")))</f>
        <v xml:space="preserve"> </v>
      </c>
      <c r="D872" s="4" t="str">
        <f ca="1">IF(OR(INDEX($W$2:$W$1001,MATCH(ROWS($V$2:V872),$V$2:$V$1001,0),1)&gt;=100000,INDEX($AC$1005:$AS$1005,1,MATCH(COLUMNS($AC$1006:AE1006),$AC$1006:$AS$1006,0))&gt;=100000), " ",IF(INDEX($AC$2:$AS$1001,MATCH(ROWS($V$2:V872),$V$2:$V$1001,0),MATCH(COLUMNS($AC$1006:AE1006),$AC$1006:$AS$1006,0)), HYPERLINK("#",""), HYPERLINK(CONCATENATE("#metadata!", ADDRESS(INDEX($X$2:$X$1001,MATCH(ROWS($V$2:V872),$V$2:$V$1001,0),0), INDEX($AC$1004:$AS$1004,1,MATCH(COLUMNS($AC$1006:AE1006),$AC$1006:$AS$1006,0)))),"Fix")))</f>
        <v xml:space="preserve"> </v>
      </c>
      <c r="E872" s="4" t="str">
        <f ca="1">IF(OR(INDEX($W$2:$W$1001,MATCH(ROWS($V$2:V872),$V$2:$V$1001,0),1)&gt;=100000,INDEX($AC$1005:$AS$1005,1,MATCH(COLUMNS($AC$1006:AF1006),$AC$1006:$AS$1006,0))&gt;=100000), " ",IF(INDEX($AC$2:$AS$1001,MATCH(ROWS($V$2:V872),$V$2:$V$1001,0),MATCH(COLUMNS($AC$1006:AF1006),$AC$1006:$AS$1006,0)), HYPERLINK("#",""), HYPERLINK(CONCATENATE("#metadata!", ADDRESS(INDEX($X$2:$X$1001,MATCH(ROWS($V$2:V872),$V$2:$V$1001,0),0), INDEX($AC$1004:$AS$1004,1,MATCH(COLUMNS($AC$1006:AF1006),$AC$1006:$AS$1006,0)))),"Fix")))</f>
        <v xml:space="preserve"> </v>
      </c>
      <c r="F872" s="4" t="str">
        <f ca="1">IF(OR(INDEX($W$2:$W$1001,MATCH(ROWS($V$2:V872),$V$2:$V$1001,0),1)&gt;=100000,INDEX($AC$1005:$AS$1005,1,MATCH(COLUMNS($AC$1006:AG1006),$AC$1006:$AS$1006,0))&gt;=100000), " ",IF(INDEX($AC$2:$AS$1001,MATCH(ROWS($V$2:V872),$V$2:$V$1001,0),MATCH(COLUMNS($AC$1006:AG1006),$AC$1006:$AS$1006,0)), HYPERLINK("#",""), HYPERLINK(CONCATENATE("#metadata!", ADDRESS(INDEX($X$2:$X$1001,MATCH(ROWS($V$2:V872),$V$2:$V$1001,0),0), INDEX($AC$1004:$AS$1004,1,MATCH(COLUMNS($AC$1006:AG1006),$AC$1006:$AS$1006,0)))),"Fix")))</f>
        <v xml:space="preserve"> </v>
      </c>
      <c r="G872" s="4" t="str">
        <f ca="1">IF(OR(INDEX($W$2:$W$1001,MATCH(ROWS($V$2:V872),$V$2:$V$1001,0),1)&gt;=100000,INDEX($AC$1005:$AS$1005,1,MATCH(COLUMNS($AC$1006:AH1006),$AC$1006:$AS$1006,0))&gt;=100000), " ",IF(INDEX($AC$2:$AS$1001,MATCH(ROWS($V$2:V872),$V$2:$V$1001,0),MATCH(COLUMNS($AC$1006:AH1006),$AC$1006:$AS$1006,0)), HYPERLINK("#",""), HYPERLINK(CONCATENATE("#metadata!", ADDRESS(INDEX($X$2:$X$1001,MATCH(ROWS($V$2:V872),$V$2:$V$1001,0),0), INDEX($AC$1004:$AS$1004,1,MATCH(COLUMNS($AC$1006:AH1006),$AC$1006:$AS$1006,0)))),"Fix")))</f>
        <v xml:space="preserve"> </v>
      </c>
      <c r="H872" s="4" t="str">
        <f ca="1">IF(OR(INDEX($W$2:$W$1001,MATCH(ROWS($V$2:V872),$V$2:$V$1001,0),1)&gt;=100000,INDEX($AC$1005:$AS$1005,1,MATCH(COLUMNS($AC$1006:AI1006),$AC$1006:$AS$1006,0))&gt;=100000), " ",IF(INDEX($AC$2:$AS$1001,MATCH(ROWS($V$2:V872),$V$2:$V$1001,0),MATCH(COLUMNS($AC$1006:AI1006),$AC$1006:$AS$1006,0)), HYPERLINK("#",""), HYPERLINK(CONCATENATE("#metadata!", ADDRESS(INDEX($X$2:$X$1001,MATCH(ROWS($V$2:V872),$V$2:$V$1001,0),0), INDEX($AC$1004:$AS$1004,1,MATCH(COLUMNS($AC$1006:AI1006),$AC$1006:$AS$1006,0)))),"Fix")))</f>
        <v xml:space="preserve"> </v>
      </c>
      <c r="I872" s="4" t="str">
        <f ca="1">IF(OR(INDEX($W$2:$W$1001,MATCH(ROWS($V$2:V872),$V$2:$V$1001,0),1)&gt;=100000,INDEX($AC$1005:$AS$1005,1,MATCH(COLUMNS($AC$1006:AJ1006),$AC$1006:$AS$1006,0))&gt;=100000), " ",IF(INDEX($AC$2:$AS$1001,MATCH(ROWS($V$2:V872),$V$2:$V$1001,0),MATCH(COLUMNS($AC$1006:AJ1006),$AC$1006:$AS$1006,0)), HYPERLINK("#",""), HYPERLINK(CONCATENATE("#metadata!", ADDRESS(INDEX($X$2:$X$1001,MATCH(ROWS($V$2:V872),$V$2:$V$1001,0),0), INDEX($AC$1004:$AS$1004,1,MATCH(COLUMNS($AC$1006:AJ1006),$AC$1006:$AS$1006,0)))),"Fix")))</f>
        <v xml:space="preserve"> </v>
      </c>
      <c r="J872" s="4" t="str">
        <f ca="1">IF(OR(INDEX($W$2:$W$1001,MATCH(ROWS($V$2:V872),$V$2:$V$1001,0),1)&gt;=100000,INDEX($AC$1005:$AS$1005,1,MATCH(COLUMNS($AC$1006:AK1006),$AC$1006:$AS$1006,0))&gt;=100000), " ",IF(INDEX($AC$2:$AS$1001,MATCH(ROWS($V$2:V872),$V$2:$V$1001,0),MATCH(COLUMNS($AC$1006:AK1006),$AC$1006:$AS$1006,0)), HYPERLINK("#",""), HYPERLINK(CONCATENATE("#metadata!", ADDRESS(INDEX($X$2:$X$1001,MATCH(ROWS($V$2:V872),$V$2:$V$1001,0),0), INDEX($AC$1004:$AS$1004,1,MATCH(COLUMNS($AC$1006:AK1006),$AC$1006:$AS$1006,0)))),"Fix")))</f>
        <v xml:space="preserve"> </v>
      </c>
      <c r="K872" s="4" t="str">
        <f ca="1">IF(OR(INDEX($W$2:$W$1001,MATCH(ROWS($V$2:V872),$V$2:$V$1001,0),1)&gt;=100000,INDEX($AC$1005:$AS$1005,1,MATCH(COLUMNS($AC$1006:AL1006),$AC$1006:$AS$1006,0))&gt;=100000), " ",IF(INDEX($AC$2:$AS$1001,MATCH(ROWS($V$2:V872),$V$2:$V$1001,0),MATCH(COLUMNS($AC$1006:AL1006),$AC$1006:$AS$1006,0)), HYPERLINK("#",""), HYPERLINK(CONCATENATE("#metadata!", ADDRESS(INDEX($X$2:$X$1001,MATCH(ROWS($V$2:V872),$V$2:$V$1001,0),0), INDEX($AC$1004:$AS$1004,1,MATCH(COLUMNS($AC$1006:AL1006),$AC$1006:$AS$1006,0)))),"Fix")))</f>
        <v xml:space="preserve"> </v>
      </c>
      <c r="L872" s="4" t="str">
        <f ca="1">IF(OR(INDEX($W$2:$W$1001,MATCH(ROWS($V$2:V872),$V$2:$V$1001,0),1)&gt;=100000,INDEX($AC$1005:$AS$1005,1,MATCH(COLUMNS($AC$1006:AM1006),$AC$1006:$AS$1006,0))&gt;=100000), " ",IF(INDEX($AC$2:$AS$1001,MATCH(ROWS($V$2:V872),$V$2:$V$1001,0),MATCH(COLUMNS($AC$1006:AM1006),$AC$1006:$AS$1006,0)), HYPERLINK("#",""), HYPERLINK(CONCATENATE("#metadata!", ADDRESS(INDEX($X$2:$X$1001,MATCH(ROWS($V$2:V872),$V$2:$V$1001,0),0), INDEX($AC$1004:$AS$1004,1,MATCH(COLUMNS($AC$1006:AM1006),$AC$1006:$AS$1006,0)))),"Fix")))</f>
        <v xml:space="preserve"> </v>
      </c>
      <c r="M872" s="4" t="str">
        <f ca="1">IF(OR(INDEX($W$2:$W$1001,MATCH(ROWS($V$2:V872),$V$2:$V$1001,0),1)&gt;=100000,INDEX($AC$1005:$AS$1005,1,MATCH(COLUMNS($AC$1006:AN1006),$AC$1006:$AS$1006,0))&gt;=100000), " ",IF(INDEX($AC$2:$AS$1001,MATCH(ROWS($V$2:V872),$V$2:$V$1001,0),MATCH(COLUMNS($AC$1006:AN1006),$AC$1006:$AS$1006,0)), HYPERLINK("#",""), HYPERLINK(CONCATENATE("#metadata!", ADDRESS(INDEX($X$2:$X$1001,MATCH(ROWS($V$2:V872),$V$2:$V$1001,0),0), INDEX($AC$1004:$AS$1004,1,MATCH(COLUMNS($AC$1006:AN1006),$AC$1006:$AS$1006,0)))),"Fix")))</f>
        <v xml:space="preserve"> </v>
      </c>
      <c r="N872" s="4" t="str">
        <f ca="1">IF(OR(INDEX($W$2:$W$1001,MATCH(ROWS($V$2:V872),$V$2:$V$1001,0),1)&gt;=100000,INDEX($AC$1005:$AS$1005,1,MATCH(COLUMNS($AC$1006:AO1006),$AC$1006:$AS$1006,0))&gt;=100000), " ",IF(INDEX($AC$2:$AS$1001,MATCH(ROWS($V$2:V872),$V$2:$V$1001,0),MATCH(COLUMNS($AC$1006:AO1006),$AC$1006:$AS$1006,0)), HYPERLINK("#",""), HYPERLINK(CONCATENATE("#metadata!", ADDRESS(INDEX($X$2:$X$1001,MATCH(ROWS($V$2:V872),$V$2:$V$1001,0),0), INDEX($AC$1004:$AS$1004,1,MATCH(COLUMNS($AC$1006:AO1006),$AC$1006:$AS$1006,0)))),"Fix")))</f>
        <v xml:space="preserve"> </v>
      </c>
      <c r="O872" s="4" t="str">
        <f ca="1">IF(OR(INDEX($W$2:$W$1001,MATCH(ROWS($V$2:V872),$V$2:$V$1001,0),1)&gt;=100000,INDEX($AC$1005:$AS$1005,1,MATCH(COLUMNS($AC$1006:AP1006),$AC$1006:$AS$1006,0))&gt;=100000), " ",IF(INDEX($AC$2:$AS$1001,MATCH(ROWS($V$2:V872),$V$2:$V$1001,0),MATCH(COLUMNS($AC$1006:AP1006),$AC$1006:$AS$1006,0)), HYPERLINK("#",""), HYPERLINK(CONCATENATE("#metadata!", ADDRESS(INDEX($X$2:$X$1001,MATCH(ROWS($V$2:V872),$V$2:$V$1001,0),0), INDEX($AC$1004:$AS$1004,1,MATCH(COLUMNS($AC$1006:AP1006),$AC$1006:$AS$1006,0)))),"Fix")))</f>
        <v xml:space="preserve"> </v>
      </c>
      <c r="P872" s="4" t="str">
        <f ca="1">IF(OR(INDEX($W$2:$W$1001,MATCH(ROWS($V$2:V872),$V$2:$V$1001,0),1)&gt;=100000,INDEX($AC$1005:$AS$1005,1,MATCH(COLUMNS($AC$1006:AQ1006),$AC$1006:$AS$1006,0))&gt;=100000), " ",IF(INDEX($AC$2:$AS$1001,MATCH(ROWS($V$2:V872),$V$2:$V$1001,0),MATCH(COLUMNS($AC$1006:AQ1006),$AC$1006:$AS$1006,0)), HYPERLINK("#",""), HYPERLINK(CONCATENATE("#metadata!", ADDRESS(INDEX($X$2:$X$1001,MATCH(ROWS($V$2:V872),$V$2:$V$1001,0),0), INDEX($AC$1004:$AS$1004,1,MATCH(COLUMNS($AC$1006:AQ1006),$AC$1006:$AS$1006,0)))),"Fix")))</f>
        <v xml:space="preserve"> </v>
      </c>
      <c r="Q872" s="4" t="str">
        <f ca="1">IF(OR(INDEX($W$2:$W$1001,MATCH(ROWS($V$2:V872),$V$2:$V$1001,0),1)&gt;=100000,INDEX($AC$1005:$AS$1005,1,MATCH(COLUMNS($AC$1006:AR1006),$AC$1006:$AS$1006,0))&gt;=100000), " ",IF(INDEX($AC$2:$AS$1001,MATCH(ROWS($V$2:V872),$V$2:$V$1001,0),MATCH(COLUMNS($AC$1006:AR1006),$AC$1006:$AS$1006,0)), HYPERLINK("#",""), HYPERLINK(CONCATENATE("#metadata!", ADDRESS(INDEX($X$2:$X$1001,MATCH(ROWS($V$2:V872),$V$2:$V$1001,0),0), INDEX($AC$1004:$AS$1004,1,MATCH(COLUMNS($AC$1006:AR1006),$AC$1006:$AS$1006,0)))),"Fix")))</f>
        <v xml:space="preserve"> </v>
      </c>
      <c r="R872" s="4" t="str">
        <f ca="1">IF(OR(INDEX($W$2:$W$1001,MATCH(ROWS($V$2:V872),$V$2:$V$1001,0),1)&gt;=100000,INDEX($AC$1005:$AS$1005,1,MATCH(COLUMNS($AC$1006:AS1006),$AC$1006:$AS$1006,0))&gt;=100000), " ",IF(INDEX($AC$2:$AS$1001,MATCH(ROWS($V$2:V872),$V$2:$V$1001,0),MATCH(COLUMNS($AC$1006:AS1006),$AC$1006:$AS$1006,0)), HYPERLINK("#",""), HYPERLINK(CONCATENATE("#metadata!", ADDRESS(INDEX($X$2:$X$1001,MATCH(ROWS($V$2:V872),$V$2:$V$1001,0),0), INDEX($AC$1004:$AS$1004,1,MATCH(COLUMNS($AC$1006:AS1006),$AC$1006:$AS$1006,0)))),"Fix")))</f>
        <v xml:space="preserve"> </v>
      </c>
      <c r="V872">
        <v>871</v>
      </c>
      <c r="W872">
        <v>100872</v>
      </c>
      <c r="X872">
        <v>872</v>
      </c>
      <c r="Y872" t="b">
        <f t="shared" si="13"/>
        <v>1</v>
      </c>
      <c r="Z872" t="b">
        <f>COUNTBLANK(metadata!B872:R872)=COLUMNS(metadata!B872:R872)</f>
        <v>1</v>
      </c>
      <c r="AA872" t="str">
        <v/>
      </c>
      <c r="AC872" t="b">
        <f ca="1"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AD872" t="b">
        <f>IF(metadata!C872="",FALSE,ISNUMBER(VALUE(metadata!C872)))</f>
        <v>0</v>
      </c>
      <c r="AE872" t="b">
        <f>AND(IF(metadata!D872="",FALSE,TRUE),EXACT(metadata!D872,"years"))</f>
        <v>0</v>
      </c>
      <c r="AF872" t="b">
        <f>OR(AND(IF(metadata!E872="",FALSE,TRUE),OR(EXACT(metadata!E872,"not applicable"),EXACT(metadata!E872,"missing: not collected"),EXACT(metadata!E872,"missing: not provided"),EXACT(metadata!E872,"missing: restricted access"))),AND(IF(metadata!E872="",FALSE,ISNUMBER(VALUE(metadata!E872))),metadata!E872&gt;0))</f>
        <v>0</v>
      </c>
      <c r="AG872" t="b">
        <f>AND(IF(metadata!F872="",FALSE,TRUE),EXACT(metadata!F872,"Not applicable"))</f>
        <v>0</v>
      </c>
      <c r="AH872" t="b">
        <f>AND(IF(metadata!G872="",FALSE,TRUE),EXACT(metadata!G872,"urban biome"))</f>
        <v>0</v>
      </c>
      <c r="AI872" t="b">
        <f>AND(IF(metadata!H872="",FALSE,TRUE),EXACT(metadata!H872,"human-associated habitat"))</f>
        <v>0</v>
      </c>
      <c r="AJ872" t="b">
        <f>AND(IF(metadata!I872="",FALSE,TRUE),OR(EXACT(metadata!I872,"human-associated"),EXACT(metadata!I872,"human-skin"),EXACT(metadata!I872,"human-oral"),EXACT(metadata!I872,"human-gut"),EXACT(metadata!I872,"human-vaginal")))</f>
        <v>0</v>
      </c>
      <c r="AK872" t="b">
        <f>IF(metadata!J872="",FALSE,ISNUMBER(VALUE(metadata!J872)))</f>
        <v>0</v>
      </c>
      <c r="AL872" t="b">
        <f>AND(IF(metadata!K872="",FALSE,TRUE),EXACT(metadata!K872,"cm"))</f>
        <v>0</v>
      </c>
      <c r="AM872" t="b">
        <f>AND(IF(metadata!L872="",FALSE,TRUE),EXACT(metadata!L872,"human"))</f>
        <v>0</v>
      </c>
      <c r="AN872" t="b">
        <f>AND(IF(metadata!M872="",FALSE,TRUE),EXACT(metadata!M872,"Homo sapiens"))</f>
        <v>0</v>
      </c>
      <c r="AO872" t="b">
        <f>AND(IF(metadata!N872="",FALSE,TRUE),EXACT(metadata!N872,"9606"))</f>
        <v>0</v>
      </c>
      <c r="AP872" t="b">
        <f>IF(metadata!O872="",FALSE,TRUE)</f>
        <v>0</v>
      </c>
      <c r="AQ872" t="b">
        <f>IF(metadata!P872="",FALSE,TRUE)</f>
        <v>0</v>
      </c>
      <c r="AR872" t="b">
        <f>IF(metadata!Q872="",FALSE,ISNUMBER(VALUE(metadata!Q872)))</f>
        <v>0</v>
      </c>
      <c r="AS872" t="b">
        <f>AND(IF(metadata!R872="",FALSE,TRUE),EXACT(metadata!R872,"kg"))</f>
        <v>0</v>
      </c>
    </row>
    <row r="873" spans="1:45" x14ac:dyDescent="0.2">
      <c r="A873" s="5" t="str">
        <f ca="1">IF(B873=" "," ",HYPERLINK(CONCATENATE("#metadata!",ADDRESS(INDEX($X$2:$X$1001,MATCH(ROWS($V$2:V873),$V$2:$V$1001,0),0),1)),INDEX($AA$2:$AA$1001,MATCH(ROWS($V$2:V873),$V$2:$V$1001,0),0)))</f>
        <v xml:space="preserve"> </v>
      </c>
      <c r="B873" s="4" t="str">
        <f ca="1">IF(OR(INDEX($W$2:$W$1001,MATCH(ROWS($V$2:V873),$V$2:$V$1001,0),1)&gt;=100000,INDEX($AC$1005:$AS$1005,1,MATCH(COLUMNS($AC$1006:AC1006),$AC$1006:$AS$1006,0))&gt;=100000), " ",IF(INDEX($AC$2:$AS$1001,MATCH(ROWS($V$2:V873),$V$2:$V$1001,0),MATCH(COLUMNS($AC$1006:AC1006),$AC$1006:$AS$1006,0)), HYPERLINK("#",""), HYPERLINK(CONCATENATE("#metadata!", ADDRESS(INDEX($X$2:$X$1001,MATCH(ROWS($V$2:V873),$V$2:$V$1001,0),0), INDEX($AC$1004:$AS$1004,1,MATCH(COLUMNS($AC$1006:AC1006),$AC$1006:$AS$1006,0)))),"Fix")))</f>
        <v xml:space="preserve"> </v>
      </c>
      <c r="C873" s="4" t="str">
        <f ca="1">IF(OR(INDEX($W$2:$W$1001,MATCH(ROWS($V$2:V873),$V$2:$V$1001,0),1)&gt;=100000,INDEX($AC$1005:$AS$1005,1,MATCH(COLUMNS($AC$1006:AD1006),$AC$1006:$AS$1006,0))&gt;=100000), " ",IF(INDEX($AC$2:$AS$1001,MATCH(ROWS($V$2:V873),$V$2:$V$1001,0),MATCH(COLUMNS($AC$1006:AD1006),$AC$1006:$AS$1006,0)), HYPERLINK("#",""), HYPERLINK(CONCATENATE("#metadata!", ADDRESS(INDEX($X$2:$X$1001,MATCH(ROWS($V$2:V873),$V$2:$V$1001,0),0), INDEX($AC$1004:$AS$1004,1,MATCH(COLUMNS($AC$1006:AD1006),$AC$1006:$AS$1006,0)))),"Fix")))</f>
        <v xml:space="preserve"> </v>
      </c>
      <c r="D873" s="4" t="str">
        <f ca="1">IF(OR(INDEX($W$2:$W$1001,MATCH(ROWS($V$2:V873),$V$2:$V$1001,0),1)&gt;=100000,INDEX($AC$1005:$AS$1005,1,MATCH(COLUMNS($AC$1006:AE1006),$AC$1006:$AS$1006,0))&gt;=100000), " ",IF(INDEX($AC$2:$AS$1001,MATCH(ROWS($V$2:V873),$V$2:$V$1001,0),MATCH(COLUMNS($AC$1006:AE1006),$AC$1006:$AS$1006,0)), HYPERLINK("#",""), HYPERLINK(CONCATENATE("#metadata!", ADDRESS(INDEX($X$2:$X$1001,MATCH(ROWS($V$2:V873),$V$2:$V$1001,0),0), INDEX($AC$1004:$AS$1004,1,MATCH(COLUMNS($AC$1006:AE1006),$AC$1006:$AS$1006,0)))),"Fix")))</f>
        <v xml:space="preserve"> </v>
      </c>
      <c r="E873" s="4" t="str">
        <f ca="1">IF(OR(INDEX($W$2:$W$1001,MATCH(ROWS($V$2:V873),$V$2:$V$1001,0),1)&gt;=100000,INDEX($AC$1005:$AS$1005,1,MATCH(COLUMNS($AC$1006:AF1006),$AC$1006:$AS$1006,0))&gt;=100000), " ",IF(INDEX($AC$2:$AS$1001,MATCH(ROWS($V$2:V873),$V$2:$V$1001,0),MATCH(COLUMNS($AC$1006:AF1006),$AC$1006:$AS$1006,0)), HYPERLINK("#",""), HYPERLINK(CONCATENATE("#metadata!", ADDRESS(INDEX($X$2:$X$1001,MATCH(ROWS($V$2:V873),$V$2:$V$1001,0),0), INDEX($AC$1004:$AS$1004,1,MATCH(COLUMNS($AC$1006:AF1006),$AC$1006:$AS$1006,0)))),"Fix")))</f>
        <v xml:space="preserve"> </v>
      </c>
      <c r="F873" s="4" t="str">
        <f ca="1">IF(OR(INDEX($W$2:$W$1001,MATCH(ROWS($V$2:V873),$V$2:$V$1001,0),1)&gt;=100000,INDEX($AC$1005:$AS$1005,1,MATCH(COLUMNS($AC$1006:AG1006),$AC$1006:$AS$1006,0))&gt;=100000), " ",IF(INDEX($AC$2:$AS$1001,MATCH(ROWS($V$2:V873),$V$2:$V$1001,0),MATCH(COLUMNS($AC$1006:AG1006),$AC$1006:$AS$1006,0)), HYPERLINK("#",""), HYPERLINK(CONCATENATE("#metadata!", ADDRESS(INDEX($X$2:$X$1001,MATCH(ROWS($V$2:V873),$V$2:$V$1001,0),0), INDEX($AC$1004:$AS$1004,1,MATCH(COLUMNS($AC$1006:AG1006),$AC$1006:$AS$1006,0)))),"Fix")))</f>
        <v xml:space="preserve"> </v>
      </c>
      <c r="G873" s="4" t="str">
        <f ca="1">IF(OR(INDEX($W$2:$W$1001,MATCH(ROWS($V$2:V873),$V$2:$V$1001,0),1)&gt;=100000,INDEX($AC$1005:$AS$1005,1,MATCH(COLUMNS($AC$1006:AH1006),$AC$1006:$AS$1006,0))&gt;=100000), " ",IF(INDEX($AC$2:$AS$1001,MATCH(ROWS($V$2:V873),$V$2:$V$1001,0),MATCH(COLUMNS($AC$1006:AH1006),$AC$1006:$AS$1006,0)), HYPERLINK("#",""), HYPERLINK(CONCATENATE("#metadata!", ADDRESS(INDEX($X$2:$X$1001,MATCH(ROWS($V$2:V873),$V$2:$V$1001,0),0), INDEX($AC$1004:$AS$1004,1,MATCH(COLUMNS($AC$1006:AH1006),$AC$1006:$AS$1006,0)))),"Fix")))</f>
        <v xml:space="preserve"> </v>
      </c>
      <c r="H873" s="4" t="str">
        <f ca="1">IF(OR(INDEX($W$2:$W$1001,MATCH(ROWS($V$2:V873),$V$2:$V$1001,0),1)&gt;=100000,INDEX($AC$1005:$AS$1005,1,MATCH(COLUMNS($AC$1006:AI1006),$AC$1006:$AS$1006,0))&gt;=100000), " ",IF(INDEX($AC$2:$AS$1001,MATCH(ROWS($V$2:V873),$V$2:$V$1001,0),MATCH(COLUMNS($AC$1006:AI1006),$AC$1006:$AS$1006,0)), HYPERLINK("#",""), HYPERLINK(CONCATENATE("#metadata!", ADDRESS(INDEX($X$2:$X$1001,MATCH(ROWS($V$2:V873),$V$2:$V$1001,0),0), INDEX($AC$1004:$AS$1004,1,MATCH(COLUMNS($AC$1006:AI1006),$AC$1006:$AS$1006,0)))),"Fix")))</f>
        <v xml:space="preserve"> </v>
      </c>
      <c r="I873" s="4" t="str">
        <f ca="1">IF(OR(INDEX($W$2:$W$1001,MATCH(ROWS($V$2:V873),$V$2:$V$1001,0),1)&gt;=100000,INDEX($AC$1005:$AS$1005,1,MATCH(COLUMNS($AC$1006:AJ1006),$AC$1006:$AS$1006,0))&gt;=100000), " ",IF(INDEX($AC$2:$AS$1001,MATCH(ROWS($V$2:V873),$V$2:$V$1001,0),MATCH(COLUMNS($AC$1006:AJ1006),$AC$1006:$AS$1006,0)), HYPERLINK("#",""), HYPERLINK(CONCATENATE("#metadata!", ADDRESS(INDEX($X$2:$X$1001,MATCH(ROWS($V$2:V873),$V$2:$V$1001,0),0), INDEX($AC$1004:$AS$1004,1,MATCH(COLUMNS($AC$1006:AJ1006),$AC$1006:$AS$1006,0)))),"Fix")))</f>
        <v xml:space="preserve"> </v>
      </c>
      <c r="J873" s="4" t="str">
        <f ca="1">IF(OR(INDEX($W$2:$W$1001,MATCH(ROWS($V$2:V873),$V$2:$V$1001,0),1)&gt;=100000,INDEX($AC$1005:$AS$1005,1,MATCH(COLUMNS($AC$1006:AK1006),$AC$1006:$AS$1006,0))&gt;=100000), " ",IF(INDEX($AC$2:$AS$1001,MATCH(ROWS($V$2:V873),$V$2:$V$1001,0),MATCH(COLUMNS($AC$1006:AK1006),$AC$1006:$AS$1006,0)), HYPERLINK("#",""), HYPERLINK(CONCATENATE("#metadata!", ADDRESS(INDEX($X$2:$X$1001,MATCH(ROWS($V$2:V873),$V$2:$V$1001,0),0), INDEX($AC$1004:$AS$1004,1,MATCH(COLUMNS($AC$1006:AK1006),$AC$1006:$AS$1006,0)))),"Fix")))</f>
        <v xml:space="preserve"> </v>
      </c>
      <c r="K873" s="4" t="str">
        <f ca="1">IF(OR(INDEX($W$2:$W$1001,MATCH(ROWS($V$2:V873),$V$2:$V$1001,0),1)&gt;=100000,INDEX($AC$1005:$AS$1005,1,MATCH(COLUMNS($AC$1006:AL1006),$AC$1006:$AS$1006,0))&gt;=100000), " ",IF(INDEX($AC$2:$AS$1001,MATCH(ROWS($V$2:V873),$V$2:$V$1001,0),MATCH(COLUMNS($AC$1006:AL1006),$AC$1006:$AS$1006,0)), HYPERLINK("#",""), HYPERLINK(CONCATENATE("#metadata!", ADDRESS(INDEX($X$2:$X$1001,MATCH(ROWS($V$2:V873),$V$2:$V$1001,0),0), INDEX($AC$1004:$AS$1004,1,MATCH(COLUMNS($AC$1006:AL1006),$AC$1006:$AS$1006,0)))),"Fix")))</f>
        <v xml:space="preserve"> </v>
      </c>
      <c r="L873" s="4" t="str">
        <f ca="1">IF(OR(INDEX($W$2:$W$1001,MATCH(ROWS($V$2:V873),$V$2:$V$1001,0),1)&gt;=100000,INDEX($AC$1005:$AS$1005,1,MATCH(COLUMNS($AC$1006:AM1006),$AC$1006:$AS$1006,0))&gt;=100000), " ",IF(INDEX($AC$2:$AS$1001,MATCH(ROWS($V$2:V873),$V$2:$V$1001,0),MATCH(COLUMNS($AC$1006:AM1006),$AC$1006:$AS$1006,0)), HYPERLINK("#",""), HYPERLINK(CONCATENATE("#metadata!", ADDRESS(INDEX($X$2:$X$1001,MATCH(ROWS($V$2:V873),$V$2:$V$1001,0),0), INDEX($AC$1004:$AS$1004,1,MATCH(COLUMNS($AC$1006:AM1006),$AC$1006:$AS$1006,0)))),"Fix")))</f>
        <v xml:space="preserve"> </v>
      </c>
      <c r="M873" s="4" t="str">
        <f ca="1">IF(OR(INDEX($W$2:$W$1001,MATCH(ROWS($V$2:V873),$V$2:$V$1001,0),1)&gt;=100000,INDEX($AC$1005:$AS$1005,1,MATCH(COLUMNS($AC$1006:AN1006),$AC$1006:$AS$1006,0))&gt;=100000), " ",IF(INDEX($AC$2:$AS$1001,MATCH(ROWS($V$2:V873),$V$2:$V$1001,0),MATCH(COLUMNS($AC$1006:AN1006),$AC$1006:$AS$1006,0)), HYPERLINK("#",""), HYPERLINK(CONCATENATE("#metadata!", ADDRESS(INDEX($X$2:$X$1001,MATCH(ROWS($V$2:V873),$V$2:$V$1001,0),0), INDEX($AC$1004:$AS$1004,1,MATCH(COLUMNS($AC$1006:AN1006),$AC$1006:$AS$1006,0)))),"Fix")))</f>
        <v xml:space="preserve"> </v>
      </c>
      <c r="N873" s="4" t="str">
        <f ca="1">IF(OR(INDEX($W$2:$W$1001,MATCH(ROWS($V$2:V873),$V$2:$V$1001,0),1)&gt;=100000,INDEX($AC$1005:$AS$1005,1,MATCH(COLUMNS($AC$1006:AO1006),$AC$1006:$AS$1006,0))&gt;=100000), " ",IF(INDEX($AC$2:$AS$1001,MATCH(ROWS($V$2:V873),$V$2:$V$1001,0),MATCH(COLUMNS($AC$1006:AO1006),$AC$1006:$AS$1006,0)), HYPERLINK("#",""), HYPERLINK(CONCATENATE("#metadata!", ADDRESS(INDEX($X$2:$X$1001,MATCH(ROWS($V$2:V873),$V$2:$V$1001,0),0), INDEX($AC$1004:$AS$1004,1,MATCH(COLUMNS($AC$1006:AO1006),$AC$1006:$AS$1006,0)))),"Fix")))</f>
        <v xml:space="preserve"> </v>
      </c>
      <c r="O873" s="4" t="str">
        <f ca="1">IF(OR(INDEX($W$2:$W$1001,MATCH(ROWS($V$2:V873),$V$2:$V$1001,0),1)&gt;=100000,INDEX($AC$1005:$AS$1005,1,MATCH(COLUMNS($AC$1006:AP1006),$AC$1006:$AS$1006,0))&gt;=100000), " ",IF(INDEX($AC$2:$AS$1001,MATCH(ROWS($V$2:V873),$V$2:$V$1001,0),MATCH(COLUMNS($AC$1006:AP1006),$AC$1006:$AS$1006,0)), HYPERLINK("#",""), HYPERLINK(CONCATENATE("#metadata!", ADDRESS(INDEX($X$2:$X$1001,MATCH(ROWS($V$2:V873),$V$2:$V$1001,0),0), INDEX($AC$1004:$AS$1004,1,MATCH(COLUMNS($AC$1006:AP1006),$AC$1006:$AS$1006,0)))),"Fix")))</f>
        <v xml:space="preserve"> </v>
      </c>
      <c r="P873" s="4" t="str">
        <f ca="1">IF(OR(INDEX($W$2:$W$1001,MATCH(ROWS($V$2:V873),$V$2:$V$1001,0),1)&gt;=100000,INDEX($AC$1005:$AS$1005,1,MATCH(COLUMNS($AC$1006:AQ1006),$AC$1006:$AS$1006,0))&gt;=100000), " ",IF(INDEX($AC$2:$AS$1001,MATCH(ROWS($V$2:V873),$V$2:$V$1001,0),MATCH(COLUMNS($AC$1006:AQ1006),$AC$1006:$AS$1006,0)), HYPERLINK("#",""), HYPERLINK(CONCATENATE("#metadata!", ADDRESS(INDEX($X$2:$X$1001,MATCH(ROWS($V$2:V873),$V$2:$V$1001,0),0), INDEX($AC$1004:$AS$1004,1,MATCH(COLUMNS($AC$1006:AQ1006),$AC$1006:$AS$1006,0)))),"Fix")))</f>
        <v xml:space="preserve"> </v>
      </c>
      <c r="Q873" s="4" t="str">
        <f ca="1">IF(OR(INDEX($W$2:$W$1001,MATCH(ROWS($V$2:V873),$V$2:$V$1001,0),1)&gt;=100000,INDEX($AC$1005:$AS$1005,1,MATCH(COLUMNS($AC$1006:AR1006),$AC$1006:$AS$1006,0))&gt;=100000), " ",IF(INDEX($AC$2:$AS$1001,MATCH(ROWS($V$2:V873),$V$2:$V$1001,0),MATCH(COLUMNS($AC$1006:AR1006),$AC$1006:$AS$1006,0)), HYPERLINK("#",""), HYPERLINK(CONCATENATE("#metadata!", ADDRESS(INDEX($X$2:$X$1001,MATCH(ROWS($V$2:V873),$V$2:$V$1001,0),0), INDEX($AC$1004:$AS$1004,1,MATCH(COLUMNS($AC$1006:AR1006),$AC$1006:$AS$1006,0)))),"Fix")))</f>
        <v xml:space="preserve"> </v>
      </c>
      <c r="R873" s="4" t="str">
        <f ca="1">IF(OR(INDEX($W$2:$W$1001,MATCH(ROWS($V$2:V873),$V$2:$V$1001,0),1)&gt;=100000,INDEX($AC$1005:$AS$1005,1,MATCH(COLUMNS($AC$1006:AS1006),$AC$1006:$AS$1006,0))&gt;=100000), " ",IF(INDEX($AC$2:$AS$1001,MATCH(ROWS($V$2:V873),$V$2:$V$1001,0),MATCH(COLUMNS($AC$1006:AS1006),$AC$1006:$AS$1006,0)), HYPERLINK("#",""), HYPERLINK(CONCATENATE("#metadata!", ADDRESS(INDEX($X$2:$X$1001,MATCH(ROWS($V$2:V873),$V$2:$V$1001,0),0), INDEX($AC$1004:$AS$1004,1,MATCH(COLUMNS($AC$1006:AS1006),$AC$1006:$AS$1006,0)))),"Fix")))</f>
        <v xml:space="preserve"> </v>
      </c>
      <c r="V873">
        <v>872</v>
      </c>
      <c r="W873">
        <v>100873</v>
      </c>
      <c r="X873">
        <v>873</v>
      </c>
      <c r="Y873" t="b">
        <f t="shared" si="13"/>
        <v>1</v>
      </c>
      <c r="Z873" t="b">
        <f>COUNTBLANK(metadata!B873:R873)=COLUMNS(metadata!B873:R873)</f>
        <v>1</v>
      </c>
      <c r="AA873" t="str">
        <v/>
      </c>
      <c r="AC873" t="b">
        <f ca="1"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AD873" t="b">
        <f>IF(metadata!C873="",FALSE,ISNUMBER(VALUE(metadata!C873)))</f>
        <v>0</v>
      </c>
      <c r="AE873" t="b">
        <f>AND(IF(metadata!D873="",FALSE,TRUE),EXACT(metadata!D873,"years"))</f>
        <v>0</v>
      </c>
      <c r="AF873" t="b">
        <f>OR(AND(IF(metadata!E873="",FALSE,TRUE),OR(EXACT(metadata!E873,"not applicable"),EXACT(metadata!E873,"missing: not collected"),EXACT(metadata!E873,"missing: not provided"),EXACT(metadata!E873,"missing: restricted access"))),AND(IF(metadata!E873="",FALSE,ISNUMBER(VALUE(metadata!E873))),metadata!E873&gt;0))</f>
        <v>0</v>
      </c>
      <c r="AG873" t="b">
        <f>AND(IF(metadata!F873="",FALSE,TRUE),EXACT(metadata!F873,"Not applicable"))</f>
        <v>0</v>
      </c>
      <c r="AH873" t="b">
        <f>AND(IF(metadata!G873="",FALSE,TRUE),EXACT(metadata!G873,"urban biome"))</f>
        <v>0</v>
      </c>
      <c r="AI873" t="b">
        <f>AND(IF(metadata!H873="",FALSE,TRUE),EXACT(metadata!H873,"human-associated habitat"))</f>
        <v>0</v>
      </c>
      <c r="AJ873" t="b">
        <f>AND(IF(metadata!I873="",FALSE,TRUE),OR(EXACT(metadata!I873,"human-associated"),EXACT(metadata!I873,"human-skin"),EXACT(metadata!I873,"human-oral"),EXACT(metadata!I873,"human-gut"),EXACT(metadata!I873,"human-vaginal")))</f>
        <v>0</v>
      </c>
      <c r="AK873" t="b">
        <f>IF(metadata!J873="",FALSE,ISNUMBER(VALUE(metadata!J873)))</f>
        <v>0</v>
      </c>
      <c r="AL873" t="b">
        <f>AND(IF(metadata!K873="",FALSE,TRUE),EXACT(metadata!K873,"cm"))</f>
        <v>0</v>
      </c>
      <c r="AM873" t="b">
        <f>AND(IF(metadata!L873="",FALSE,TRUE),EXACT(metadata!L873,"human"))</f>
        <v>0</v>
      </c>
      <c r="AN873" t="b">
        <f>AND(IF(metadata!M873="",FALSE,TRUE),EXACT(metadata!M873,"Homo sapiens"))</f>
        <v>0</v>
      </c>
      <c r="AO873" t="b">
        <f>AND(IF(metadata!N873="",FALSE,TRUE),EXACT(metadata!N873,"9606"))</f>
        <v>0</v>
      </c>
      <c r="AP873" t="b">
        <f>IF(metadata!O873="",FALSE,TRUE)</f>
        <v>0</v>
      </c>
      <c r="AQ873" t="b">
        <f>IF(metadata!P873="",FALSE,TRUE)</f>
        <v>0</v>
      </c>
      <c r="AR873" t="b">
        <f>IF(metadata!Q873="",FALSE,ISNUMBER(VALUE(metadata!Q873)))</f>
        <v>0</v>
      </c>
      <c r="AS873" t="b">
        <f>AND(IF(metadata!R873="",FALSE,TRUE),EXACT(metadata!R873,"kg"))</f>
        <v>0</v>
      </c>
    </row>
    <row r="874" spans="1:45" x14ac:dyDescent="0.2">
      <c r="A874" s="5" t="str">
        <f ca="1">IF(B874=" "," ",HYPERLINK(CONCATENATE("#metadata!",ADDRESS(INDEX($X$2:$X$1001,MATCH(ROWS($V$2:V874),$V$2:$V$1001,0),0),1)),INDEX($AA$2:$AA$1001,MATCH(ROWS($V$2:V874),$V$2:$V$1001,0),0)))</f>
        <v xml:space="preserve"> </v>
      </c>
      <c r="B874" s="4" t="str">
        <f ca="1">IF(OR(INDEX($W$2:$W$1001,MATCH(ROWS($V$2:V874),$V$2:$V$1001,0),1)&gt;=100000,INDEX($AC$1005:$AS$1005,1,MATCH(COLUMNS($AC$1006:AC1006),$AC$1006:$AS$1006,0))&gt;=100000), " ",IF(INDEX($AC$2:$AS$1001,MATCH(ROWS($V$2:V874),$V$2:$V$1001,0),MATCH(COLUMNS($AC$1006:AC1006),$AC$1006:$AS$1006,0)), HYPERLINK("#",""), HYPERLINK(CONCATENATE("#metadata!", ADDRESS(INDEX($X$2:$X$1001,MATCH(ROWS($V$2:V874),$V$2:$V$1001,0),0), INDEX($AC$1004:$AS$1004,1,MATCH(COLUMNS($AC$1006:AC1006),$AC$1006:$AS$1006,0)))),"Fix")))</f>
        <v xml:space="preserve"> </v>
      </c>
      <c r="C874" s="4" t="str">
        <f ca="1">IF(OR(INDEX($W$2:$W$1001,MATCH(ROWS($V$2:V874),$V$2:$V$1001,0),1)&gt;=100000,INDEX($AC$1005:$AS$1005,1,MATCH(COLUMNS($AC$1006:AD1006),$AC$1006:$AS$1006,0))&gt;=100000), " ",IF(INDEX($AC$2:$AS$1001,MATCH(ROWS($V$2:V874),$V$2:$V$1001,0),MATCH(COLUMNS($AC$1006:AD1006),$AC$1006:$AS$1006,0)), HYPERLINK("#",""), HYPERLINK(CONCATENATE("#metadata!", ADDRESS(INDEX($X$2:$X$1001,MATCH(ROWS($V$2:V874),$V$2:$V$1001,0),0), INDEX($AC$1004:$AS$1004,1,MATCH(COLUMNS($AC$1006:AD1006),$AC$1006:$AS$1006,0)))),"Fix")))</f>
        <v xml:space="preserve"> </v>
      </c>
      <c r="D874" s="4" t="str">
        <f ca="1">IF(OR(INDEX($W$2:$W$1001,MATCH(ROWS($V$2:V874),$V$2:$V$1001,0),1)&gt;=100000,INDEX($AC$1005:$AS$1005,1,MATCH(COLUMNS($AC$1006:AE1006),$AC$1006:$AS$1006,0))&gt;=100000), " ",IF(INDEX($AC$2:$AS$1001,MATCH(ROWS($V$2:V874),$V$2:$V$1001,0),MATCH(COLUMNS($AC$1006:AE1006),$AC$1006:$AS$1006,0)), HYPERLINK("#",""), HYPERLINK(CONCATENATE("#metadata!", ADDRESS(INDEX($X$2:$X$1001,MATCH(ROWS($V$2:V874),$V$2:$V$1001,0),0), INDEX($AC$1004:$AS$1004,1,MATCH(COLUMNS($AC$1006:AE1006),$AC$1006:$AS$1006,0)))),"Fix")))</f>
        <v xml:space="preserve"> </v>
      </c>
      <c r="E874" s="4" t="str">
        <f ca="1">IF(OR(INDEX($W$2:$W$1001,MATCH(ROWS($V$2:V874),$V$2:$V$1001,0),1)&gt;=100000,INDEX($AC$1005:$AS$1005,1,MATCH(COLUMNS($AC$1006:AF1006),$AC$1006:$AS$1006,0))&gt;=100000), " ",IF(INDEX($AC$2:$AS$1001,MATCH(ROWS($V$2:V874),$V$2:$V$1001,0),MATCH(COLUMNS($AC$1006:AF1006),$AC$1006:$AS$1006,0)), HYPERLINK("#",""), HYPERLINK(CONCATENATE("#metadata!", ADDRESS(INDEX($X$2:$X$1001,MATCH(ROWS($V$2:V874),$V$2:$V$1001,0),0), INDEX($AC$1004:$AS$1004,1,MATCH(COLUMNS($AC$1006:AF1006),$AC$1006:$AS$1006,0)))),"Fix")))</f>
        <v xml:space="preserve"> </v>
      </c>
      <c r="F874" s="4" t="str">
        <f ca="1">IF(OR(INDEX($W$2:$W$1001,MATCH(ROWS($V$2:V874),$V$2:$V$1001,0),1)&gt;=100000,INDEX($AC$1005:$AS$1005,1,MATCH(COLUMNS($AC$1006:AG1006),$AC$1006:$AS$1006,0))&gt;=100000), " ",IF(INDEX($AC$2:$AS$1001,MATCH(ROWS($V$2:V874),$V$2:$V$1001,0),MATCH(COLUMNS($AC$1006:AG1006),$AC$1006:$AS$1006,0)), HYPERLINK("#",""), HYPERLINK(CONCATENATE("#metadata!", ADDRESS(INDEX($X$2:$X$1001,MATCH(ROWS($V$2:V874),$V$2:$V$1001,0),0), INDEX($AC$1004:$AS$1004,1,MATCH(COLUMNS($AC$1006:AG1006),$AC$1006:$AS$1006,0)))),"Fix")))</f>
        <v xml:space="preserve"> </v>
      </c>
      <c r="G874" s="4" t="str">
        <f ca="1">IF(OR(INDEX($W$2:$W$1001,MATCH(ROWS($V$2:V874),$V$2:$V$1001,0),1)&gt;=100000,INDEX($AC$1005:$AS$1005,1,MATCH(COLUMNS($AC$1006:AH1006),$AC$1006:$AS$1006,0))&gt;=100000), " ",IF(INDEX($AC$2:$AS$1001,MATCH(ROWS($V$2:V874),$V$2:$V$1001,0),MATCH(COLUMNS($AC$1006:AH1006),$AC$1006:$AS$1006,0)), HYPERLINK("#",""), HYPERLINK(CONCATENATE("#metadata!", ADDRESS(INDEX($X$2:$X$1001,MATCH(ROWS($V$2:V874),$V$2:$V$1001,0),0), INDEX($AC$1004:$AS$1004,1,MATCH(COLUMNS($AC$1006:AH1006),$AC$1006:$AS$1006,0)))),"Fix")))</f>
        <v xml:space="preserve"> </v>
      </c>
      <c r="H874" s="4" t="str">
        <f ca="1">IF(OR(INDEX($W$2:$W$1001,MATCH(ROWS($V$2:V874),$V$2:$V$1001,0),1)&gt;=100000,INDEX($AC$1005:$AS$1005,1,MATCH(COLUMNS($AC$1006:AI1006),$AC$1006:$AS$1006,0))&gt;=100000), " ",IF(INDEX($AC$2:$AS$1001,MATCH(ROWS($V$2:V874),$V$2:$V$1001,0),MATCH(COLUMNS($AC$1006:AI1006),$AC$1006:$AS$1006,0)), HYPERLINK("#",""), HYPERLINK(CONCATENATE("#metadata!", ADDRESS(INDEX($X$2:$X$1001,MATCH(ROWS($V$2:V874),$V$2:$V$1001,0),0), INDEX($AC$1004:$AS$1004,1,MATCH(COLUMNS($AC$1006:AI1006),$AC$1006:$AS$1006,0)))),"Fix")))</f>
        <v xml:space="preserve"> </v>
      </c>
      <c r="I874" s="4" t="str">
        <f ca="1">IF(OR(INDEX($W$2:$W$1001,MATCH(ROWS($V$2:V874),$V$2:$V$1001,0),1)&gt;=100000,INDEX($AC$1005:$AS$1005,1,MATCH(COLUMNS($AC$1006:AJ1006),$AC$1006:$AS$1006,0))&gt;=100000), " ",IF(INDEX($AC$2:$AS$1001,MATCH(ROWS($V$2:V874),$V$2:$V$1001,0),MATCH(COLUMNS($AC$1006:AJ1006),$AC$1006:$AS$1006,0)), HYPERLINK("#",""), HYPERLINK(CONCATENATE("#metadata!", ADDRESS(INDEX($X$2:$X$1001,MATCH(ROWS($V$2:V874),$V$2:$V$1001,0),0), INDEX($AC$1004:$AS$1004,1,MATCH(COLUMNS($AC$1006:AJ1006),$AC$1006:$AS$1006,0)))),"Fix")))</f>
        <v xml:space="preserve"> </v>
      </c>
      <c r="J874" s="4" t="str">
        <f ca="1">IF(OR(INDEX($W$2:$W$1001,MATCH(ROWS($V$2:V874),$V$2:$V$1001,0),1)&gt;=100000,INDEX($AC$1005:$AS$1005,1,MATCH(COLUMNS($AC$1006:AK1006),$AC$1006:$AS$1006,0))&gt;=100000), " ",IF(INDEX($AC$2:$AS$1001,MATCH(ROWS($V$2:V874),$V$2:$V$1001,0),MATCH(COLUMNS($AC$1006:AK1006),$AC$1006:$AS$1006,0)), HYPERLINK("#",""), HYPERLINK(CONCATENATE("#metadata!", ADDRESS(INDEX($X$2:$X$1001,MATCH(ROWS($V$2:V874),$V$2:$V$1001,0),0), INDEX($AC$1004:$AS$1004,1,MATCH(COLUMNS($AC$1006:AK1006),$AC$1006:$AS$1006,0)))),"Fix")))</f>
        <v xml:space="preserve"> </v>
      </c>
      <c r="K874" s="4" t="str">
        <f ca="1">IF(OR(INDEX($W$2:$W$1001,MATCH(ROWS($V$2:V874),$V$2:$V$1001,0),1)&gt;=100000,INDEX($AC$1005:$AS$1005,1,MATCH(COLUMNS($AC$1006:AL1006),$AC$1006:$AS$1006,0))&gt;=100000), " ",IF(INDEX($AC$2:$AS$1001,MATCH(ROWS($V$2:V874),$V$2:$V$1001,0),MATCH(COLUMNS($AC$1006:AL1006),$AC$1006:$AS$1006,0)), HYPERLINK("#",""), HYPERLINK(CONCATENATE("#metadata!", ADDRESS(INDEX($X$2:$X$1001,MATCH(ROWS($V$2:V874),$V$2:$V$1001,0),0), INDEX($AC$1004:$AS$1004,1,MATCH(COLUMNS($AC$1006:AL1006),$AC$1006:$AS$1006,0)))),"Fix")))</f>
        <v xml:space="preserve"> </v>
      </c>
      <c r="L874" s="4" t="str">
        <f ca="1">IF(OR(INDEX($W$2:$W$1001,MATCH(ROWS($V$2:V874),$V$2:$V$1001,0),1)&gt;=100000,INDEX($AC$1005:$AS$1005,1,MATCH(COLUMNS($AC$1006:AM1006),$AC$1006:$AS$1006,0))&gt;=100000), " ",IF(INDEX($AC$2:$AS$1001,MATCH(ROWS($V$2:V874),$V$2:$V$1001,0),MATCH(COLUMNS($AC$1006:AM1006),$AC$1006:$AS$1006,0)), HYPERLINK("#",""), HYPERLINK(CONCATENATE("#metadata!", ADDRESS(INDEX($X$2:$X$1001,MATCH(ROWS($V$2:V874),$V$2:$V$1001,0),0), INDEX($AC$1004:$AS$1004,1,MATCH(COLUMNS($AC$1006:AM1006),$AC$1006:$AS$1006,0)))),"Fix")))</f>
        <v xml:space="preserve"> </v>
      </c>
      <c r="M874" s="4" t="str">
        <f ca="1">IF(OR(INDEX($W$2:$W$1001,MATCH(ROWS($V$2:V874),$V$2:$V$1001,0),1)&gt;=100000,INDEX($AC$1005:$AS$1005,1,MATCH(COLUMNS($AC$1006:AN1006),$AC$1006:$AS$1006,0))&gt;=100000), " ",IF(INDEX($AC$2:$AS$1001,MATCH(ROWS($V$2:V874),$V$2:$V$1001,0),MATCH(COLUMNS($AC$1006:AN1006),$AC$1006:$AS$1006,0)), HYPERLINK("#",""), HYPERLINK(CONCATENATE("#metadata!", ADDRESS(INDEX($X$2:$X$1001,MATCH(ROWS($V$2:V874),$V$2:$V$1001,0),0), INDEX($AC$1004:$AS$1004,1,MATCH(COLUMNS($AC$1006:AN1006),$AC$1006:$AS$1006,0)))),"Fix")))</f>
        <v xml:space="preserve"> </v>
      </c>
      <c r="N874" s="4" t="str">
        <f ca="1">IF(OR(INDEX($W$2:$W$1001,MATCH(ROWS($V$2:V874),$V$2:$V$1001,0),1)&gt;=100000,INDEX($AC$1005:$AS$1005,1,MATCH(COLUMNS($AC$1006:AO1006),$AC$1006:$AS$1006,0))&gt;=100000), " ",IF(INDEX($AC$2:$AS$1001,MATCH(ROWS($V$2:V874),$V$2:$V$1001,0),MATCH(COLUMNS($AC$1006:AO1006),$AC$1006:$AS$1006,0)), HYPERLINK("#",""), HYPERLINK(CONCATENATE("#metadata!", ADDRESS(INDEX($X$2:$X$1001,MATCH(ROWS($V$2:V874),$V$2:$V$1001,0),0), INDEX($AC$1004:$AS$1004,1,MATCH(COLUMNS($AC$1006:AO1006),$AC$1006:$AS$1006,0)))),"Fix")))</f>
        <v xml:space="preserve"> </v>
      </c>
      <c r="O874" s="4" t="str">
        <f ca="1">IF(OR(INDEX($W$2:$W$1001,MATCH(ROWS($V$2:V874),$V$2:$V$1001,0),1)&gt;=100000,INDEX($AC$1005:$AS$1005,1,MATCH(COLUMNS($AC$1006:AP1006),$AC$1006:$AS$1006,0))&gt;=100000), " ",IF(INDEX($AC$2:$AS$1001,MATCH(ROWS($V$2:V874),$V$2:$V$1001,0),MATCH(COLUMNS($AC$1006:AP1006),$AC$1006:$AS$1006,0)), HYPERLINK("#",""), HYPERLINK(CONCATENATE("#metadata!", ADDRESS(INDEX($X$2:$X$1001,MATCH(ROWS($V$2:V874),$V$2:$V$1001,0),0), INDEX($AC$1004:$AS$1004,1,MATCH(COLUMNS($AC$1006:AP1006),$AC$1006:$AS$1006,0)))),"Fix")))</f>
        <v xml:space="preserve"> </v>
      </c>
      <c r="P874" s="4" t="str">
        <f ca="1">IF(OR(INDEX($W$2:$W$1001,MATCH(ROWS($V$2:V874),$V$2:$V$1001,0),1)&gt;=100000,INDEX($AC$1005:$AS$1005,1,MATCH(COLUMNS($AC$1006:AQ1006),$AC$1006:$AS$1006,0))&gt;=100000), " ",IF(INDEX($AC$2:$AS$1001,MATCH(ROWS($V$2:V874),$V$2:$V$1001,0),MATCH(COLUMNS($AC$1006:AQ1006),$AC$1006:$AS$1006,0)), HYPERLINK("#",""), HYPERLINK(CONCATENATE("#metadata!", ADDRESS(INDEX($X$2:$X$1001,MATCH(ROWS($V$2:V874),$V$2:$V$1001,0),0), INDEX($AC$1004:$AS$1004,1,MATCH(COLUMNS($AC$1006:AQ1006),$AC$1006:$AS$1006,0)))),"Fix")))</f>
        <v xml:space="preserve"> </v>
      </c>
      <c r="Q874" s="4" t="str">
        <f ca="1">IF(OR(INDEX($W$2:$W$1001,MATCH(ROWS($V$2:V874),$V$2:$V$1001,0),1)&gt;=100000,INDEX($AC$1005:$AS$1005,1,MATCH(COLUMNS($AC$1006:AR1006),$AC$1006:$AS$1006,0))&gt;=100000), " ",IF(INDEX($AC$2:$AS$1001,MATCH(ROWS($V$2:V874),$V$2:$V$1001,0),MATCH(COLUMNS($AC$1006:AR1006),$AC$1006:$AS$1006,0)), HYPERLINK("#",""), HYPERLINK(CONCATENATE("#metadata!", ADDRESS(INDEX($X$2:$X$1001,MATCH(ROWS($V$2:V874),$V$2:$V$1001,0),0), INDEX($AC$1004:$AS$1004,1,MATCH(COLUMNS($AC$1006:AR1006),$AC$1006:$AS$1006,0)))),"Fix")))</f>
        <v xml:space="preserve"> </v>
      </c>
      <c r="R874" s="4" t="str">
        <f ca="1">IF(OR(INDEX($W$2:$W$1001,MATCH(ROWS($V$2:V874),$V$2:$V$1001,0),1)&gt;=100000,INDEX($AC$1005:$AS$1005,1,MATCH(COLUMNS($AC$1006:AS1006),$AC$1006:$AS$1006,0))&gt;=100000), " ",IF(INDEX($AC$2:$AS$1001,MATCH(ROWS($V$2:V874),$V$2:$V$1001,0),MATCH(COLUMNS($AC$1006:AS1006),$AC$1006:$AS$1006,0)), HYPERLINK("#",""), HYPERLINK(CONCATENATE("#metadata!", ADDRESS(INDEX($X$2:$X$1001,MATCH(ROWS($V$2:V874),$V$2:$V$1001,0),0), INDEX($AC$1004:$AS$1004,1,MATCH(COLUMNS($AC$1006:AS1006),$AC$1006:$AS$1006,0)))),"Fix")))</f>
        <v xml:space="preserve"> </v>
      </c>
      <c r="V874">
        <v>873</v>
      </c>
      <c r="W874">
        <v>100874</v>
      </c>
      <c r="X874">
        <v>874</v>
      </c>
      <c r="Y874" t="b">
        <f t="shared" si="13"/>
        <v>1</v>
      </c>
      <c r="Z874" t="b">
        <f>COUNTBLANK(metadata!B874:R874)=COLUMNS(metadata!B874:R874)</f>
        <v>1</v>
      </c>
      <c r="AA874" t="str">
        <v/>
      </c>
      <c r="AC874" t="b">
        <f ca="1"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AD874" t="b">
        <f>IF(metadata!C874="",FALSE,ISNUMBER(VALUE(metadata!C874)))</f>
        <v>0</v>
      </c>
      <c r="AE874" t="b">
        <f>AND(IF(metadata!D874="",FALSE,TRUE),EXACT(metadata!D874,"years"))</f>
        <v>0</v>
      </c>
      <c r="AF874" t="b">
        <f>OR(AND(IF(metadata!E874="",FALSE,TRUE),OR(EXACT(metadata!E874,"not applicable"),EXACT(metadata!E874,"missing: not collected"),EXACT(metadata!E874,"missing: not provided"),EXACT(metadata!E874,"missing: restricted access"))),AND(IF(metadata!E874="",FALSE,ISNUMBER(VALUE(metadata!E874))),metadata!E874&gt;0))</f>
        <v>0</v>
      </c>
      <c r="AG874" t="b">
        <f>AND(IF(metadata!F874="",FALSE,TRUE),EXACT(metadata!F874,"Not applicable"))</f>
        <v>0</v>
      </c>
      <c r="AH874" t="b">
        <f>AND(IF(metadata!G874="",FALSE,TRUE),EXACT(metadata!G874,"urban biome"))</f>
        <v>0</v>
      </c>
      <c r="AI874" t="b">
        <f>AND(IF(metadata!H874="",FALSE,TRUE),EXACT(metadata!H874,"human-associated habitat"))</f>
        <v>0</v>
      </c>
      <c r="AJ874" t="b">
        <f>AND(IF(metadata!I874="",FALSE,TRUE),OR(EXACT(metadata!I874,"human-associated"),EXACT(metadata!I874,"human-skin"),EXACT(metadata!I874,"human-oral"),EXACT(metadata!I874,"human-gut"),EXACT(metadata!I874,"human-vaginal")))</f>
        <v>0</v>
      </c>
      <c r="AK874" t="b">
        <f>IF(metadata!J874="",FALSE,ISNUMBER(VALUE(metadata!J874)))</f>
        <v>0</v>
      </c>
      <c r="AL874" t="b">
        <f>AND(IF(metadata!K874="",FALSE,TRUE),EXACT(metadata!K874,"cm"))</f>
        <v>0</v>
      </c>
      <c r="AM874" t="b">
        <f>AND(IF(metadata!L874="",FALSE,TRUE),EXACT(metadata!L874,"human"))</f>
        <v>0</v>
      </c>
      <c r="AN874" t="b">
        <f>AND(IF(metadata!M874="",FALSE,TRUE),EXACT(metadata!M874,"Homo sapiens"))</f>
        <v>0</v>
      </c>
      <c r="AO874" t="b">
        <f>AND(IF(metadata!N874="",FALSE,TRUE),EXACT(metadata!N874,"9606"))</f>
        <v>0</v>
      </c>
      <c r="AP874" t="b">
        <f>IF(metadata!O874="",FALSE,TRUE)</f>
        <v>0</v>
      </c>
      <c r="AQ874" t="b">
        <f>IF(metadata!P874="",FALSE,TRUE)</f>
        <v>0</v>
      </c>
      <c r="AR874" t="b">
        <f>IF(metadata!Q874="",FALSE,ISNUMBER(VALUE(metadata!Q874)))</f>
        <v>0</v>
      </c>
      <c r="AS874" t="b">
        <f>AND(IF(metadata!R874="",FALSE,TRUE),EXACT(metadata!R874,"kg"))</f>
        <v>0</v>
      </c>
    </row>
    <row r="875" spans="1:45" x14ac:dyDescent="0.2">
      <c r="A875" s="5" t="str">
        <f ca="1">IF(B875=" "," ",HYPERLINK(CONCATENATE("#metadata!",ADDRESS(INDEX($X$2:$X$1001,MATCH(ROWS($V$2:V875),$V$2:$V$1001,0),0),1)),INDEX($AA$2:$AA$1001,MATCH(ROWS($V$2:V875),$V$2:$V$1001,0),0)))</f>
        <v xml:space="preserve"> </v>
      </c>
      <c r="B875" s="4" t="str">
        <f ca="1">IF(OR(INDEX($W$2:$W$1001,MATCH(ROWS($V$2:V875),$V$2:$V$1001,0),1)&gt;=100000,INDEX($AC$1005:$AS$1005,1,MATCH(COLUMNS($AC$1006:AC1006),$AC$1006:$AS$1006,0))&gt;=100000), " ",IF(INDEX($AC$2:$AS$1001,MATCH(ROWS($V$2:V875),$V$2:$V$1001,0),MATCH(COLUMNS($AC$1006:AC1006),$AC$1006:$AS$1006,0)), HYPERLINK("#",""), HYPERLINK(CONCATENATE("#metadata!", ADDRESS(INDEX($X$2:$X$1001,MATCH(ROWS($V$2:V875),$V$2:$V$1001,0),0), INDEX($AC$1004:$AS$1004,1,MATCH(COLUMNS($AC$1006:AC1006),$AC$1006:$AS$1006,0)))),"Fix")))</f>
        <v xml:space="preserve"> </v>
      </c>
      <c r="C875" s="4" t="str">
        <f ca="1">IF(OR(INDEX($W$2:$W$1001,MATCH(ROWS($V$2:V875),$V$2:$V$1001,0),1)&gt;=100000,INDEX($AC$1005:$AS$1005,1,MATCH(COLUMNS($AC$1006:AD1006),$AC$1006:$AS$1006,0))&gt;=100000), " ",IF(INDEX($AC$2:$AS$1001,MATCH(ROWS($V$2:V875),$V$2:$V$1001,0),MATCH(COLUMNS($AC$1006:AD1006),$AC$1006:$AS$1006,0)), HYPERLINK("#",""), HYPERLINK(CONCATENATE("#metadata!", ADDRESS(INDEX($X$2:$X$1001,MATCH(ROWS($V$2:V875),$V$2:$V$1001,0),0), INDEX($AC$1004:$AS$1004,1,MATCH(COLUMNS($AC$1006:AD1006),$AC$1006:$AS$1006,0)))),"Fix")))</f>
        <v xml:space="preserve"> </v>
      </c>
      <c r="D875" s="4" t="str">
        <f ca="1">IF(OR(INDEX($W$2:$W$1001,MATCH(ROWS($V$2:V875),$V$2:$V$1001,0),1)&gt;=100000,INDEX($AC$1005:$AS$1005,1,MATCH(COLUMNS($AC$1006:AE1006),$AC$1006:$AS$1006,0))&gt;=100000), " ",IF(INDEX($AC$2:$AS$1001,MATCH(ROWS($V$2:V875),$V$2:$V$1001,0),MATCH(COLUMNS($AC$1006:AE1006),$AC$1006:$AS$1006,0)), HYPERLINK("#",""), HYPERLINK(CONCATENATE("#metadata!", ADDRESS(INDEX($X$2:$X$1001,MATCH(ROWS($V$2:V875),$V$2:$V$1001,0),0), INDEX($AC$1004:$AS$1004,1,MATCH(COLUMNS($AC$1006:AE1006),$AC$1006:$AS$1006,0)))),"Fix")))</f>
        <v xml:space="preserve"> </v>
      </c>
      <c r="E875" s="4" t="str">
        <f ca="1">IF(OR(INDEX($W$2:$W$1001,MATCH(ROWS($V$2:V875),$V$2:$V$1001,0),1)&gt;=100000,INDEX($AC$1005:$AS$1005,1,MATCH(COLUMNS($AC$1006:AF1006),$AC$1006:$AS$1006,0))&gt;=100000), " ",IF(INDEX($AC$2:$AS$1001,MATCH(ROWS($V$2:V875),$V$2:$V$1001,0),MATCH(COLUMNS($AC$1006:AF1006),$AC$1006:$AS$1006,0)), HYPERLINK("#",""), HYPERLINK(CONCATENATE("#metadata!", ADDRESS(INDEX($X$2:$X$1001,MATCH(ROWS($V$2:V875),$V$2:$V$1001,0),0), INDEX($AC$1004:$AS$1004,1,MATCH(COLUMNS($AC$1006:AF1006),$AC$1006:$AS$1006,0)))),"Fix")))</f>
        <v xml:space="preserve"> </v>
      </c>
      <c r="F875" s="4" t="str">
        <f ca="1">IF(OR(INDEX($W$2:$W$1001,MATCH(ROWS($V$2:V875),$V$2:$V$1001,0),1)&gt;=100000,INDEX($AC$1005:$AS$1005,1,MATCH(COLUMNS($AC$1006:AG1006),$AC$1006:$AS$1006,0))&gt;=100000), " ",IF(INDEX($AC$2:$AS$1001,MATCH(ROWS($V$2:V875),$V$2:$V$1001,0),MATCH(COLUMNS($AC$1006:AG1006),$AC$1006:$AS$1006,0)), HYPERLINK("#",""), HYPERLINK(CONCATENATE("#metadata!", ADDRESS(INDEX($X$2:$X$1001,MATCH(ROWS($V$2:V875),$V$2:$V$1001,0),0), INDEX($AC$1004:$AS$1004,1,MATCH(COLUMNS($AC$1006:AG1006),$AC$1006:$AS$1006,0)))),"Fix")))</f>
        <v xml:space="preserve"> </v>
      </c>
      <c r="G875" s="4" t="str">
        <f ca="1">IF(OR(INDEX($W$2:$W$1001,MATCH(ROWS($V$2:V875),$V$2:$V$1001,0),1)&gt;=100000,INDEX($AC$1005:$AS$1005,1,MATCH(COLUMNS($AC$1006:AH1006),$AC$1006:$AS$1006,0))&gt;=100000), " ",IF(INDEX($AC$2:$AS$1001,MATCH(ROWS($V$2:V875),$V$2:$V$1001,0),MATCH(COLUMNS($AC$1006:AH1006),$AC$1006:$AS$1006,0)), HYPERLINK("#",""), HYPERLINK(CONCATENATE("#metadata!", ADDRESS(INDEX($X$2:$X$1001,MATCH(ROWS($V$2:V875),$V$2:$V$1001,0),0), INDEX($AC$1004:$AS$1004,1,MATCH(COLUMNS($AC$1006:AH1006),$AC$1006:$AS$1006,0)))),"Fix")))</f>
        <v xml:space="preserve"> </v>
      </c>
      <c r="H875" s="4" t="str">
        <f ca="1">IF(OR(INDEX($W$2:$W$1001,MATCH(ROWS($V$2:V875),$V$2:$V$1001,0),1)&gt;=100000,INDEX($AC$1005:$AS$1005,1,MATCH(COLUMNS($AC$1006:AI1006),$AC$1006:$AS$1006,0))&gt;=100000), " ",IF(INDEX($AC$2:$AS$1001,MATCH(ROWS($V$2:V875),$V$2:$V$1001,0),MATCH(COLUMNS($AC$1006:AI1006),$AC$1006:$AS$1006,0)), HYPERLINK("#",""), HYPERLINK(CONCATENATE("#metadata!", ADDRESS(INDEX($X$2:$X$1001,MATCH(ROWS($V$2:V875),$V$2:$V$1001,0),0), INDEX($AC$1004:$AS$1004,1,MATCH(COLUMNS($AC$1006:AI1006),$AC$1006:$AS$1006,0)))),"Fix")))</f>
        <v xml:space="preserve"> </v>
      </c>
      <c r="I875" s="4" t="str">
        <f ca="1">IF(OR(INDEX($W$2:$W$1001,MATCH(ROWS($V$2:V875),$V$2:$V$1001,0),1)&gt;=100000,INDEX($AC$1005:$AS$1005,1,MATCH(COLUMNS($AC$1006:AJ1006),$AC$1006:$AS$1006,0))&gt;=100000), " ",IF(INDEX($AC$2:$AS$1001,MATCH(ROWS($V$2:V875),$V$2:$V$1001,0),MATCH(COLUMNS($AC$1006:AJ1006),$AC$1006:$AS$1006,0)), HYPERLINK("#",""), HYPERLINK(CONCATENATE("#metadata!", ADDRESS(INDEX($X$2:$X$1001,MATCH(ROWS($V$2:V875),$V$2:$V$1001,0),0), INDEX($AC$1004:$AS$1004,1,MATCH(COLUMNS($AC$1006:AJ1006),$AC$1006:$AS$1006,0)))),"Fix")))</f>
        <v xml:space="preserve"> </v>
      </c>
      <c r="J875" s="4" t="str">
        <f ca="1">IF(OR(INDEX($W$2:$W$1001,MATCH(ROWS($V$2:V875),$V$2:$V$1001,0),1)&gt;=100000,INDEX($AC$1005:$AS$1005,1,MATCH(COLUMNS($AC$1006:AK1006),$AC$1006:$AS$1006,0))&gt;=100000), " ",IF(INDEX($AC$2:$AS$1001,MATCH(ROWS($V$2:V875),$V$2:$V$1001,0),MATCH(COLUMNS($AC$1006:AK1006),$AC$1006:$AS$1006,0)), HYPERLINK("#",""), HYPERLINK(CONCATENATE("#metadata!", ADDRESS(INDEX($X$2:$X$1001,MATCH(ROWS($V$2:V875),$V$2:$V$1001,0),0), INDEX($AC$1004:$AS$1004,1,MATCH(COLUMNS($AC$1006:AK1006),$AC$1006:$AS$1006,0)))),"Fix")))</f>
        <v xml:space="preserve"> </v>
      </c>
      <c r="K875" s="4" t="str">
        <f ca="1">IF(OR(INDEX($W$2:$W$1001,MATCH(ROWS($V$2:V875),$V$2:$V$1001,0),1)&gt;=100000,INDEX($AC$1005:$AS$1005,1,MATCH(COLUMNS($AC$1006:AL1006),$AC$1006:$AS$1006,0))&gt;=100000), " ",IF(INDEX($AC$2:$AS$1001,MATCH(ROWS($V$2:V875),$V$2:$V$1001,0),MATCH(COLUMNS($AC$1006:AL1006),$AC$1006:$AS$1006,0)), HYPERLINK("#",""), HYPERLINK(CONCATENATE("#metadata!", ADDRESS(INDEX($X$2:$X$1001,MATCH(ROWS($V$2:V875),$V$2:$V$1001,0),0), INDEX($AC$1004:$AS$1004,1,MATCH(COLUMNS($AC$1006:AL1006),$AC$1006:$AS$1006,0)))),"Fix")))</f>
        <v xml:space="preserve"> </v>
      </c>
      <c r="L875" s="4" t="str">
        <f ca="1">IF(OR(INDEX($W$2:$W$1001,MATCH(ROWS($V$2:V875),$V$2:$V$1001,0),1)&gt;=100000,INDEX($AC$1005:$AS$1005,1,MATCH(COLUMNS($AC$1006:AM1006),$AC$1006:$AS$1006,0))&gt;=100000), " ",IF(INDEX($AC$2:$AS$1001,MATCH(ROWS($V$2:V875),$V$2:$V$1001,0),MATCH(COLUMNS($AC$1006:AM1006),$AC$1006:$AS$1006,0)), HYPERLINK("#",""), HYPERLINK(CONCATENATE("#metadata!", ADDRESS(INDEX($X$2:$X$1001,MATCH(ROWS($V$2:V875),$V$2:$V$1001,0),0), INDEX($AC$1004:$AS$1004,1,MATCH(COLUMNS($AC$1006:AM1006),$AC$1006:$AS$1006,0)))),"Fix")))</f>
        <v xml:space="preserve"> </v>
      </c>
      <c r="M875" s="4" t="str">
        <f ca="1">IF(OR(INDEX($W$2:$W$1001,MATCH(ROWS($V$2:V875),$V$2:$V$1001,0),1)&gt;=100000,INDEX($AC$1005:$AS$1005,1,MATCH(COLUMNS($AC$1006:AN1006),$AC$1006:$AS$1006,0))&gt;=100000), " ",IF(INDEX($AC$2:$AS$1001,MATCH(ROWS($V$2:V875),$V$2:$V$1001,0),MATCH(COLUMNS($AC$1006:AN1006),$AC$1006:$AS$1006,0)), HYPERLINK("#",""), HYPERLINK(CONCATENATE("#metadata!", ADDRESS(INDEX($X$2:$X$1001,MATCH(ROWS($V$2:V875),$V$2:$V$1001,0),0), INDEX($AC$1004:$AS$1004,1,MATCH(COLUMNS($AC$1006:AN1006),$AC$1006:$AS$1006,0)))),"Fix")))</f>
        <v xml:space="preserve"> </v>
      </c>
      <c r="N875" s="4" t="str">
        <f ca="1">IF(OR(INDEX($W$2:$W$1001,MATCH(ROWS($V$2:V875),$V$2:$V$1001,0),1)&gt;=100000,INDEX($AC$1005:$AS$1005,1,MATCH(COLUMNS($AC$1006:AO1006),$AC$1006:$AS$1006,0))&gt;=100000), " ",IF(INDEX($AC$2:$AS$1001,MATCH(ROWS($V$2:V875),$V$2:$V$1001,0),MATCH(COLUMNS($AC$1006:AO1006),$AC$1006:$AS$1006,0)), HYPERLINK("#",""), HYPERLINK(CONCATENATE("#metadata!", ADDRESS(INDEX($X$2:$X$1001,MATCH(ROWS($V$2:V875),$V$2:$V$1001,0),0), INDEX($AC$1004:$AS$1004,1,MATCH(COLUMNS($AC$1006:AO1006),$AC$1006:$AS$1006,0)))),"Fix")))</f>
        <v xml:space="preserve"> </v>
      </c>
      <c r="O875" s="4" t="str">
        <f ca="1">IF(OR(INDEX($W$2:$W$1001,MATCH(ROWS($V$2:V875),$V$2:$V$1001,0),1)&gt;=100000,INDEX($AC$1005:$AS$1005,1,MATCH(COLUMNS($AC$1006:AP1006),$AC$1006:$AS$1006,0))&gt;=100000), " ",IF(INDEX($AC$2:$AS$1001,MATCH(ROWS($V$2:V875),$V$2:$V$1001,0),MATCH(COLUMNS($AC$1006:AP1006),$AC$1006:$AS$1006,0)), HYPERLINK("#",""), HYPERLINK(CONCATENATE("#metadata!", ADDRESS(INDEX($X$2:$X$1001,MATCH(ROWS($V$2:V875),$V$2:$V$1001,0),0), INDEX($AC$1004:$AS$1004,1,MATCH(COLUMNS($AC$1006:AP1006),$AC$1006:$AS$1006,0)))),"Fix")))</f>
        <v xml:space="preserve"> </v>
      </c>
      <c r="P875" s="4" t="str">
        <f ca="1">IF(OR(INDEX($W$2:$W$1001,MATCH(ROWS($V$2:V875),$V$2:$V$1001,0),1)&gt;=100000,INDEX($AC$1005:$AS$1005,1,MATCH(COLUMNS($AC$1006:AQ1006),$AC$1006:$AS$1006,0))&gt;=100000), " ",IF(INDEX($AC$2:$AS$1001,MATCH(ROWS($V$2:V875),$V$2:$V$1001,0),MATCH(COLUMNS($AC$1006:AQ1006),$AC$1006:$AS$1006,0)), HYPERLINK("#",""), HYPERLINK(CONCATENATE("#metadata!", ADDRESS(INDEX($X$2:$X$1001,MATCH(ROWS($V$2:V875),$V$2:$V$1001,0),0), INDEX($AC$1004:$AS$1004,1,MATCH(COLUMNS($AC$1006:AQ1006),$AC$1006:$AS$1006,0)))),"Fix")))</f>
        <v xml:space="preserve"> </v>
      </c>
      <c r="Q875" s="4" t="str">
        <f ca="1">IF(OR(INDEX($W$2:$W$1001,MATCH(ROWS($V$2:V875),$V$2:$V$1001,0),1)&gt;=100000,INDEX($AC$1005:$AS$1005,1,MATCH(COLUMNS($AC$1006:AR1006),$AC$1006:$AS$1006,0))&gt;=100000), " ",IF(INDEX($AC$2:$AS$1001,MATCH(ROWS($V$2:V875),$V$2:$V$1001,0),MATCH(COLUMNS($AC$1006:AR1006),$AC$1006:$AS$1006,0)), HYPERLINK("#",""), HYPERLINK(CONCATENATE("#metadata!", ADDRESS(INDEX($X$2:$X$1001,MATCH(ROWS($V$2:V875),$V$2:$V$1001,0),0), INDEX($AC$1004:$AS$1004,1,MATCH(COLUMNS($AC$1006:AR1006),$AC$1006:$AS$1006,0)))),"Fix")))</f>
        <v xml:space="preserve"> </v>
      </c>
      <c r="R875" s="4" t="str">
        <f ca="1">IF(OR(INDEX($W$2:$W$1001,MATCH(ROWS($V$2:V875),$V$2:$V$1001,0),1)&gt;=100000,INDEX($AC$1005:$AS$1005,1,MATCH(COLUMNS($AC$1006:AS1006),$AC$1006:$AS$1006,0))&gt;=100000), " ",IF(INDEX($AC$2:$AS$1001,MATCH(ROWS($V$2:V875),$V$2:$V$1001,0),MATCH(COLUMNS($AC$1006:AS1006),$AC$1006:$AS$1006,0)), HYPERLINK("#",""), HYPERLINK(CONCATENATE("#metadata!", ADDRESS(INDEX($X$2:$X$1001,MATCH(ROWS($V$2:V875),$V$2:$V$1001,0),0), INDEX($AC$1004:$AS$1004,1,MATCH(COLUMNS($AC$1006:AS1006),$AC$1006:$AS$1006,0)))),"Fix")))</f>
        <v xml:space="preserve"> </v>
      </c>
      <c r="V875">
        <v>874</v>
      </c>
      <c r="W875">
        <v>100875</v>
      </c>
      <c r="X875">
        <v>875</v>
      </c>
      <c r="Y875" t="b">
        <f t="shared" si="13"/>
        <v>1</v>
      </c>
      <c r="Z875" t="b">
        <f>COUNTBLANK(metadata!B875:R875)=COLUMNS(metadata!B875:R875)</f>
        <v>1</v>
      </c>
      <c r="AA875" t="str">
        <v/>
      </c>
      <c r="AC875" t="b">
        <f ca="1"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AD875" t="b">
        <f>IF(metadata!C875="",FALSE,ISNUMBER(VALUE(metadata!C875)))</f>
        <v>0</v>
      </c>
      <c r="AE875" t="b">
        <f>AND(IF(metadata!D875="",FALSE,TRUE),EXACT(metadata!D875,"years"))</f>
        <v>0</v>
      </c>
      <c r="AF875" t="b">
        <f>OR(AND(IF(metadata!E875="",FALSE,TRUE),OR(EXACT(metadata!E875,"not applicable"),EXACT(metadata!E875,"missing: not collected"),EXACT(metadata!E875,"missing: not provided"),EXACT(metadata!E875,"missing: restricted access"))),AND(IF(metadata!E875="",FALSE,ISNUMBER(VALUE(metadata!E875))),metadata!E875&gt;0))</f>
        <v>0</v>
      </c>
      <c r="AG875" t="b">
        <f>AND(IF(metadata!F875="",FALSE,TRUE),EXACT(metadata!F875,"Not applicable"))</f>
        <v>0</v>
      </c>
      <c r="AH875" t="b">
        <f>AND(IF(metadata!G875="",FALSE,TRUE),EXACT(metadata!G875,"urban biome"))</f>
        <v>0</v>
      </c>
      <c r="AI875" t="b">
        <f>AND(IF(metadata!H875="",FALSE,TRUE),EXACT(metadata!H875,"human-associated habitat"))</f>
        <v>0</v>
      </c>
      <c r="AJ875" t="b">
        <f>AND(IF(metadata!I875="",FALSE,TRUE),OR(EXACT(metadata!I875,"human-associated"),EXACT(metadata!I875,"human-skin"),EXACT(metadata!I875,"human-oral"),EXACT(metadata!I875,"human-gut"),EXACT(metadata!I875,"human-vaginal")))</f>
        <v>0</v>
      </c>
      <c r="AK875" t="b">
        <f>IF(metadata!J875="",FALSE,ISNUMBER(VALUE(metadata!J875)))</f>
        <v>0</v>
      </c>
      <c r="AL875" t="b">
        <f>AND(IF(metadata!K875="",FALSE,TRUE),EXACT(metadata!K875,"cm"))</f>
        <v>0</v>
      </c>
      <c r="AM875" t="b">
        <f>AND(IF(metadata!L875="",FALSE,TRUE),EXACT(metadata!L875,"human"))</f>
        <v>0</v>
      </c>
      <c r="AN875" t="b">
        <f>AND(IF(metadata!M875="",FALSE,TRUE),EXACT(metadata!M875,"Homo sapiens"))</f>
        <v>0</v>
      </c>
      <c r="AO875" t="b">
        <f>AND(IF(metadata!N875="",FALSE,TRUE),EXACT(metadata!N875,"9606"))</f>
        <v>0</v>
      </c>
      <c r="AP875" t="b">
        <f>IF(metadata!O875="",FALSE,TRUE)</f>
        <v>0</v>
      </c>
      <c r="AQ875" t="b">
        <f>IF(metadata!P875="",FALSE,TRUE)</f>
        <v>0</v>
      </c>
      <c r="AR875" t="b">
        <f>IF(metadata!Q875="",FALSE,ISNUMBER(VALUE(metadata!Q875)))</f>
        <v>0</v>
      </c>
      <c r="AS875" t="b">
        <f>AND(IF(metadata!R875="",FALSE,TRUE),EXACT(metadata!R875,"kg"))</f>
        <v>0</v>
      </c>
    </row>
    <row r="876" spans="1:45" x14ac:dyDescent="0.2">
      <c r="A876" s="5" t="str">
        <f ca="1">IF(B876=" "," ",HYPERLINK(CONCATENATE("#metadata!",ADDRESS(INDEX($X$2:$X$1001,MATCH(ROWS($V$2:V876),$V$2:$V$1001,0),0),1)),INDEX($AA$2:$AA$1001,MATCH(ROWS($V$2:V876),$V$2:$V$1001,0),0)))</f>
        <v xml:space="preserve"> </v>
      </c>
      <c r="B876" s="4" t="str">
        <f ca="1">IF(OR(INDEX($W$2:$W$1001,MATCH(ROWS($V$2:V876),$V$2:$V$1001,0),1)&gt;=100000,INDEX($AC$1005:$AS$1005,1,MATCH(COLUMNS($AC$1006:AC1006),$AC$1006:$AS$1006,0))&gt;=100000), " ",IF(INDEX($AC$2:$AS$1001,MATCH(ROWS($V$2:V876),$V$2:$V$1001,0),MATCH(COLUMNS($AC$1006:AC1006),$AC$1006:$AS$1006,0)), HYPERLINK("#",""), HYPERLINK(CONCATENATE("#metadata!", ADDRESS(INDEX($X$2:$X$1001,MATCH(ROWS($V$2:V876),$V$2:$V$1001,0),0), INDEX($AC$1004:$AS$1004,1,MATCH(COLUMNS($AC$1006:AC1006),$AC$1006:$AS$1006,0)))),"Fix")))</f>
        <v xml:space="preserve"> </v>
      </c>
      <c r="C876" s="4" t="str">
        <f ca="1">IF(OR(INDEX($W$2:$W$1001,MATCH(ROWS($V$2:V876),$V$2:$V$1001,0),1)&gt;=100000,INDEX($AC$1005:$AS$1005,1,MATCH(COLUMNS($AC$1006:AD1006),$AC$1006:$AS$1006,0))&gt;=100000), " ",IF(INDEX($AC$2:$AS$1001,MATCH(ROWS($V$2:V876),$V$2:$V$1001,0),MATCH(COLUMNS($AC$1006:AD1006),$AC$1006:$AS$1006,0)), HYPERLINK("#",""), HYPERLINK(CONCATENATE("#metadata!", ADDRESS(INDEX($X$2:$X$1001,MATCH(ROWS($V$2:V876),$V$2:$V$1001,0),0), INDEX($AC$1004:$AS$1004,1,MATCH(COLUMNS($AC$1006:AD1006),$AC$1006:$AS$1006,0)))),"Fix")))</f>
        <v xml:space="preserve"> </v>
      </c>
      <c r="D876" s="4" t="str">
        <f ca="1">IF(OR(INDEX($W$2:$W$1001,MATCH(ROWS($V$2:V876),$V$2:$V$1001,0),1)&gt;=100000,INDEX($AC$1005:$AS$1005,1,MATCH(COLUMNS($AC$1006:AE1006),$AC$1006:$AS$1006,0))&gt;=100000), " ",IF(INDEX($AC$2:$AS$1001,MATCH(ROWS($V$2:V876),$V$2:$V$1001,0),MATCH(COLUMNS($AC$1006:AE1006),$AC$1006:$AS$1006,0)), HYPERLINK("#",""), HYPERLINK(CONCATENATE("#metadata!", ADDRESS(INDEX($X$2:$X$1001,MATCH(ROWS($V$2:V876),$V$2:$V$1001,0),0), INDEX($AC$1004:$AS$1004,1,MATCH(COLUMNS($AC$1006:AE1006),$AC$1006:$AS$1006,0)))),"Fix")))</f>
        <v xml:space="preserve"> </v>
      </c>
      <c r="E876" s="4" t="str">
        <f ca="1">IF(OR(INDEX($W$2:$W$1001,MATCH(ROWS($V$2:V876),$V$2:$V$1001,0),1)&gt;=100000,INDEX($AC$1005:$AS$1005,1,MATCH(COLUMNS($AC$1006:AF1006),$AC$1006:$AS$1006,0))&gt;=100000), " ",IF(INDEX($AC$2:$AS$1001,MATCH(ROWS($V$2:V876),$V$2:$V$1001,0),MATCH(COLUMNS($AC$1006:AF1006),$AC$1006:$AS$1006,0)), HYPERLINK("#",""), HYPERLINK(CONCATENATE("#metadata!", ADDRESS(INDEX($X$2:$X$1001,MATCH(ROWS($V$2:V876),$V$2:$V$1001,0),0), INDEX($AC$1004:$AS$1004,1,MATCH(COLUMNS($AC$1006:AF1006),$AC$1006:$AS$1006,0)))),"Fix")))</f>
        <v xml:space="preserve"> </v>
      </c>
      <c r="F876" s="4" t="str">
        <f ca="1">IF(OR(INDEX($W$2:$W$1001,MATCH(ROWS($V$2:V876),$V$2:$V$1001,0),1)&gt;=100000,INDEX($AC$1005:$AS$1005,1,MATCH(COLUMNS($AC$1006:AG1006),$AC$1006:$AS$1006,0))&gt;=100000), " ",IF(INDEX($AC$2:$AS$1001,MATCH(ROWS($V$2:V876),$V$2:$V$1001,0),MATCH(COLUMNS($AC$1006:AG1006),$AC$1006:$AS$1006,0)), HYPERLINK("#",""), HYPERLINK(CONCATENATE("#metadata!", ADDRESS(INDEX($X$2:$X$1001,MATCH(ROWS($V$2:V876),$V$2:$V$1001,0),0), INDEX($AC$1004:$AS$1004,1,MATCH(COLUMNS($AC$1006:AG1006),$AC$1006:$AS$1006,0)))),"Fix")))</f>
        <v xml:space="preserve"> </v>
      </c>
      <c r="G876" s="4" t="str">
        <f ca="1">IF(OR(INDEX($W$2:$W$1001,MATCH(ROWS($V$2:V876),$V$2:$V$1001,0),1)&gt;=100000,INDEX($AC$1005:$AS$1005,1,MATCH(COLUMNS($AC$1006:AH1006),$AC$1006:$AS$1006,0))&gt;=100000), " ",IF(INDEX($AC$2:$AS$1001,MATCH(ROWS($V$2:V876),$V$2:$V$1001,0),MATCH(COLUMNS($AC$1006:AH1006),$AC$1006:$AS$1006,0)), HYPERLINK("#",""), HYPERLINK(CONCATENATE("#metadata!", ADDRESS(INDEX($X$2:$X$1001,MATCH(ROWS($V$2:V876),$V$2:$V$1001,0),0), INDEX($AC$1004:$AS$1004,1,MATCH(COLUMNS($AC$1006:AH1006),$AC$1006:$AS$1006,0)))),"Fix")))</f>
        <v xml:space="preserve"> </v>
      </c>
      <c r="H876" s="4" t="str">
        <f ca="1">IF(OR(INDEX($W$2:$W$1001,MATCH(ROWS($V$2:V876),$V$2:$V$1001,0),1)&gt;=100000,INDEX($AC$1005:$AS$1005,1,MATCH(COLUMNS($AC$1006:AI1006),$AC$1006:$AS$1006,0))&gt;=100000), " ",IF(INDEX($AC$2:$AS$1001,MATCH(ROWS($V$2:V876),$V$2:$V$1001,0),MATCH(COLUMNS($AC$1006:AI1006),$AC$1006:$AS$1006,0)), HYPERLINK("#",""), HYPERLINK(CONCATENATE("#metadata!", ADDRESS(INDEX($X$2:$X$1001,MATCH(ROWS($V$2:V876),$V$2:$V$1001,0),0), INDEX($AC$1004:$AS$1004,1,MATCH(COLUMNS($AC$1006:AI1006),$AC$1006:$AS$1006,0)))),"Fix")))</f>
        <v xml:space="preserve"> </v>
      </c>
      <c r="I876" s="4" t="str">
        <f ca="1">IF(OR(INDEX($W$2:$W$1001,MATCH(ROWS($V$2:V876),$V$2:$V$1001,0),1)&gt;=100000,INDEX($AC$1005:$AS$1005,1,MATCH(COLUMNS($AC$1006:AJ1006),$AC$1006:$AS$1006,0))&gt;=100000), " ",IF(INDEX($AC$2:$AS$1001,MATCH(ROWS($V$2:V876),$V$2:$V$1001,0),MATCH(COLUMNS($AC$1006:AJ1006),$AC$1006:$AS$1006,0)), HYPERLINK("#",""), HYPERLINK(CONCATENATE("#metadata!", ADDRESS(INDEX($X$2:$X$1001,MATCH(ROWS($V$2:V876),$V$2:$V$1001,0),0), INDEX($AC$1004:$AS$1004,1,MATCH(COLUMNS($AC$1006:AJ1006),$AC$1006:$AS$1006,0)))),"Fix")))</f>
        <v xml:space="preserve"> </v>
      </c>
      <c r="J876" s="4" t="str">
        <f ca="1">IF(OR(INDEX($W$2:$W$1001,MATCH(ROWS($V$2:V876),$V$2:$V$1001,0),1)&gt;=100000,INDEX($AC$1005:$AS$1005,1,MATCH(COLUMNS($AC$1006:AK1006),$AC$1006:$AS$1006,0))&gt;=100000), " ",IF(INDEX($AC$2:$AS$1001,MATCH(ROWS($V$2:V876),$V$2:$V$1001,0),MATCH(COLUMNS($AC$1006:AK1006),$AC$1006:$AS$1006,0)), HYPERLINK("#",""), HYPERLINK(CONCATENATE("#metadata!", ADDRESS(INDEX($X$2:$X$1001,MATCH(ROWS($V$2:V876),$V$2:$V$1001,0),0), INDEX($AC$1004:$AS$1004,1,MATCH(COLUMNS($AC$1006:AK1006),$AC$1006:$AS$1006,0)))),"Fix")))</f>
        <v xml:space="preserve"> </v>
      </c>
      <c r="K876" s="4" t="str">
        <f ca="1">IF(OR(INDEX($W$2:$W$1001,MATCH(ROWS($V$2:V876),$V$2:$V$1001,0),1)&gt;=100000,INDEX($AC$1005:$AS$1005,1,MATCH(COLUMNS($AC$1006:AL1006),$AC$1006:$AS$1006,0))&gt;=100000), " ",IF(INDEX($AC$2:$AS$1001,MATCH(ROWS($V$2:V876),$V$2:$V$1001,0),MATCH(COLUMNS($AC$1006:AL1006),$AC$1006:$AS$1006,0)), HYPERLINK("#",""), HYPERLINK(CONCATENATE("#metadata!", ADDRESS(INDEX($X$2:$X$1001,MATCH(ROWS($V$2:V876),$V$2:$V$1001,0),0), INDEX($AC$1004:$AS$1004,1,MATCH(COLUMNS($AC$1006:AL1006),$AC$1006:$AS$1006,0)))),"Fix")))</f>
        <v xml:space="preserve"> </v>
      </c>
      <c r="L876" s="4" t="str">
        <f ca="1">IF(OR(INDEX($W$2:$W$1001,MATCH(ROWS($V$2:V876),$V$2:$V$1001,0),1)&gt;=100000,INDEX($AC$1005:$AS$1005,1,MATCH(COLUMNS($AC$1006:AM1006),$AC$1006:$AS$1006,0))&gt;=100000), " ",IF(INDEX($AC$2:$AS$1001,MATCH(ROWS($V$2:V876),$V$2:$V$1001,0),MATCH(COLUMNS($AC$1006:AM1006),$AC$1006:$AS$1006,0)), HYPERLINK("#",""), HYPERLINK(CONCATENATE("#metadata!", ADDRESS(INDEX($X$2:$X$1001,MATCH(ROWS($V$2:V876),$V$2:$V$1001,0),0), INDEX($AC$1004:$AS$1004,1,MATCH(COLUMNS($AC$1006:AM1006),$AC$1006:$AS$1006,0)))),"Fix")))</f>
        <v xml:space="preserve"> </v>
      </c>
      <c r="M876" s="4" t="str">
        <f ca="1">IF(OR(INDEX($W$2:$W$1001,MATCH(ROWS($V$2:V876),$V$2:$V$1001,0),1)&gt;=100000,INDEX($AC$1005:$AS$1005,1,MATCH(COLUMNS($AC$1006:AN1006),$AC$1006:$AS$1006,0))&gt;=100000), " ",IF(INDEX($AC$2:$AS$1001,MATCH(ROWS($V$2:V876),$V$2:$V$1001,0),MATCH(COLUMNS($AC$1006:AN1006),$AC$1006:$AS$1006,0)), HYPERLINK("#",""), HYPERLINK(CONCATENATE("#metadata!", ADDRESS(INDEX($X$2:$X$1001,MATCH(ROWS($V$2:V876),$V$2:$V$1001,0),0), INDEX($AC$1004:$AS$1004,1,MATCH(COLUMNS($AC$1006:AN1006),$AC$1006:$AS$1006,0)))),"Fix")))</f>
        <v xml:space="preserve"> </v>
      </c>
      <c r="N876" s="4" t="str">
        <f ca="1">IF(OR(INDEX($W$2:$W$1001,MATCH(ROWS($V$2:V876),$V$2:$V$1001,0),1)&gt;=100000,INDEX($AC$1005:$AS$1005,1,MATCH(COLUMNS($AC$1006:AO1006),$AC$1006:$AS$1006,0))&gt;=100000), " ",IF(INDEX($AC$2:$AS$1001,MATCH(ROWS($V$2:V876),$V$2:$V$1001,0),MATCH(COLUMNS($AC$1006:AO1006),$AC$1006:$AS$1006,0)), HYPERLINK("#",""), HYPERLINK(CONCATENATE("#metadata!", ADDRESS(INDEX($X$2:$X$1001,MATCH(ROWS($V$2:V876),$V$2:$V$1001,0),0), INDEX($AC$1004:$AS$1004,1,MATCH(COLUMNS($AC$1006:AO1006),$AC$1006:$AS$1006,0)))),"Fix")))</f>
        <v xml:space="preserve"> </v>
      </c>
      <c r="O876" s="4" t="str">
        <f ca="1">IF(OR(INDEX($W$2:$W$1001,MATCH(ROWS($V$2:V876),$V$2:$V$1001,0),1)&gt;=100000,INDEX($AC$1005:$AS$1005,1,MATCH(COLUMNS($AC$1006:AP1006),$AC$1006:$AS$1006,0))&gt;=100000), " ",IF(INDEX($AC$2:$AS$1001,MATCH(ROWS($V$2:V876),$V$2:$V$1001,0),MATCH(COLUMNS($AC$1006:AP1006),$AC$1006:$AS$1006,0)), HYPERLINK("#",""), HYPERLINK(CONCATENATE("#metadata!", ADDRESS(INDEX($X$2:$X$1001,MATCH(ROWS($V$2:V876),$V$2:$V$1001,0),0), INDEX($AC$1004:$AS$1004,1,MATCH(COLUMNS($AC$1006:AP1006),$AC$1006:$AS$1006,0)))),"Fix")))</f>
        <v xml:space="preserve"> </v>
      </c>
      <c r="P876" s="4" t="str">
        <f ca="1">IF(OR(INDEX($W$2:$W$1001,MATCH(ROWS($V$2:V876),$V$2:$V$1001,0),1)&gt;=100000,INDEX($AC$1005:$AS$1005,1,MATCH(COLUMNS($AC$1006:AQ1006),$AC$1006:$AS$1006,0))&gt;=100000), " ",IF(INDEX($AC$2:$AS$1001,MATCH(ROWS($V$2:V876),$V$2:$V$1001,0),MATCH(COLUMNS($AC$1006:AQ1006),$AC$1006:$AS$1006,0)), HYPERLINK("#",""), HYPERLINK(CONCATENATE("#metadata!", ADDRESS(INDEX($X$2:$X$1001,MATCH(ROWS($V$2:V876),$V$2:$V$1001,0),0), INDEX($AC$1004:$AS$1004,1,MATCH(COLUMNS($AC$1006:AQ1006),$AC$1006:$AS$1006,0)))),"Fix")))</f>
        <v xml:space="preserve"> </v>
      </c>
      <c r="Q876" s="4" t="str">
        <f ca="1">IF(OR(INDEX($W$2:$W$1001,MATCH(ROWS($V$2:V876),$V$2:$V$1001,0),1)&gt;=100000,INDEX($AC$1005:$AS$1005,1,MATCH(COLUMNS($AC$1006:AR1006),$AC$1006:$AS$1006,0))&gt;=100000), " ",IF(INDEX($AC$2:$AS$1001,MATCH(ROWS($V$2:V876),$V$2:$V$1001,0),MATCH(COLUMNS($AC$1006:AR1006),$AC$1006:$AS$1006,0)), HYPERLINK("#",""), HYPERLINK(CONCATENATE("#metadata!", ADDRESS(INDEX($X$2:$X$1001,MATCH(ROWS($V$2:V876),$V$2:$V$1001,0),0), INDEX($AC$1004:$AS$1004,1,MATCH(COLUMNS($AC$1006:AR1006),$AC$1006:$AS$1006,0)))),"Fix")))</f>
        <v xml:space="preserve"> </v>
      </c>
      <c r="R876" s="4" t="str">
        <f ca="1">IF(OR(INDEX($W$2:$W$1001,MATCH(ROWS($V$2:V876),$V$2:$V$1001,0),1)&gt;=100000,INDEX($AC$1005:$AS$1005,1,MATCH(COLUMNS($AC$1006:AS1006),$AC$1006:$AS$1006,0))&gt;=100000), " ",IF(INDEX($AC$2:$AS$1001,MATCH(ROWS($V$2:V876),$V$2:$V$1001,0),MATCH(COLUMNS($AC$1006:AS1006),$AC$1006:$AS$1006,0)), HYPERLINK("#",""), HYPERLINK(CONCATENATE("#metadata!", ADDRESS(INDEX($X$2:$X$1001,MATCH(ROWS($V$2:V876),$V$2:$V$1001,0),0), INDEX($AC$1004:$AS$1004,1,MATCH(COLUMNS($AC$1006:AS1006),$AC$1006:$AS$1006,0)))),"Fix")))</f>
        <v xml:space="preserve"> </v>
      </c>
      <c r="V876">
        <v>875</v>
      </c>
      <c r="W876">
        <v>100876</v>
      </c>
      <c r="X876">
        <v>876</v>
      </c>
      <c r="Y876" t="b">
        <f t="shared" si="13"/>
        <v>1</v>
      </c>
      <c r="Z876" t="b">
        <f>COUNTBLANK(metadata!B876:R876)=COLUMNS(metadata!B876:R876)</f>
        <v>1</v>
      </c>
      <c r="AA876" t="str">
        <v/>
      </c>
      <c r="AC876" t="b">
        <f ca="1"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AD876" t="b">
        <f>IF(metadata!C876="",FALSE,ISNUMBER(VALUE(metadata!C876)))</f>
        <v>0</v>
      </c>
      <c r="AE876" t="b">
        <f>AND(IF(metadata!D876="",FALSE,TRUE),EXACT(metadata!D876,"years"))</f>
        <v>0</v>
      </c>
      <c r="AF876" t="b">
        <f>OR(AND(IF(metadata!E876="",FALSE,TRUE),OR(EXACT(metadata!E876,"not applicable"),EXACT(metadata!E876,"missing: not collected"),EXACT(metadata!E876,"missing: not provided"),EXACT(metadata!E876,"missing: restricted access"))),AND(IF(metadata!E876="",FALSE,ISNUMBER(VALUE(metadata!E876))),metadata!E876&gt;0))</f>
        <v>0</v>
      </c>
      <c r="AG876" t="b">
        <f>AND(IF(metadata!F876="",FALSE,TRUE),EXACT(metadata!F876,"Not applicable"))</f>
        <v>0</v>
      </c>
      <c r="AH876" t="b">
        <f>AND(IF(metadata!G876="",FALSE,TRUE),EXACT(metadata!G876,"urban biome"))</f>
        <v>0</v>
      </c>
      <c r="AI876" t="b">
        <f>AND(IF(metadata!H876="",FALSE,TRUE),EXACT(metadata!H876,"human-associated habitat"))</f>
        <v>0</v>
      </c>
      <c r="AJ876" t="b">
        <f>AND(IF(metadata!I876="",FALSE,TRUE),OR(EXACT(metadata!I876,"human-associated"),EXACT(metadata!I876,"human-skin"),EXACT(metadata!I876,"human-oral"),EXACT(metadata!I876,"human-gut"),EXACT(metadata!I876,"human-vaginal")))</f>
        <v>0</v>
      </c>
      <c r="AK876" t="b">
        <f>IF(metadata!J876="",FALSE,ISNUMBER(VALUE(metadata!J876)))</f>
        <v>0</v>
      </c>
      <c r="AL876" t="b">
        <f>AND(IF(metadata!K876="",FALSE,TRUE),EXACT(metadata!K876,"cm"))</f>
        <v>0</v>
      </c>
      <c r="AM876" t="b">
        <f>AND(IF(metadata!L876="",FALSE,TRUE),EXACT(metadata!L876,"human"))</f>
        <v>0</v>
      </c>
      <c r="AN876" t="b">
        <f>AND(IF(metadata!M876="",FALSE,TRUE),EXACT(metadata!M876,"Homo sapiens"))</f>
        <v>0</v>
      </c>
      <c r="AO876" t="b">
        <f>AND(IF(metadata!N876="",FALSE,TRUE),EXACT(metadata!N876,"9606"))</f>
        <v>0</v>
      </c>
      <c r="AP876" t="b">
        <f>IF(metadata!O876="",FALSE,TRUE)</f>
        <v>0</v>
      </c>
      <c r="AQ876" t="b">
        <f>IF(metadata!P876="",FALSE,TRUE)</f>
        <v>0</v>
      </c>
      <c r="AR876" t="b">
        <f>IF(metadata!Q876="",FALSE,ISNUMBER(VALUE(metadata!Q876)))</f>
        <v>0</v>
      </c>
      <c r="AS876" t="b">
        <f>AND(IF(metadata!R876="",FALSE,TRUE),EXACT(metadata!R876,"kg"))</f>
        <v>0</v>
      </c>
    </row>
    <row r="877" spans="1:45" x14ac:dyDescent="0.2">
      <c r="A877" s="5" t="str">
        <f ca="1">IF(B877=" "," ",HYPERLINK(CONCATENATE("#metadata!",ADDRESS(INDEX($X$2:$X$1001,MATCH(ROWS($V$2:V877),$V$2:$V$1001,0),0),1)),INDEX($AA$2:$AA$1001,MATCH(ROWS($V$2:V877),$V$2:$V$1001,0),0)))</f>
        <v xml:space="preserve"> </v>
      </c>
      <c r="B877" s="4" t="str">
        <f ca="1">IF(OR(INDEX($W$2:$W$1001,MATCH(ROWS($V$2:V877),$V$2:$V$1001,0),1)&gt;=100000,INDEX($AC$1005:$AS$1005,1,MATCH(COLUMNS($AC$1006:AC1006),$AC$1006:$AS$1006,0))&gt;=100000), " ",IF(INDEX($AC$2:$AS$1001,MATCH(ROWS($V$2:V877),$V$2:$V$1001,0),MATCH(COLUMNS($AC$1006:AC1006),$AC$1006:$AS$1006,0)), HYPERLINK("#",""), HYPERLINK(CONCATENATE("#metadata!", ADDRESS(INDEX($X$2:$X$1001,MATCH(ROWS($V$2:V877),$V$2:$V$1001,0),0), INDEX($AC$1004:$AS$1004,1,MATCH(COLUMNS($AC$1006:AC1006),$AC$1006:$AS$1006,0)))),"Fix")))</f>
        <v xml:space="preserve"> </v>
      </c>
      <c r="C877" s="4" t="str">
        <f ca="1">IF(OR(INDEX($W$2:$W$1001,MATCH(ROWS($V$2:V877),$V$2:$V$1001,0),1)&gt;=100000,INDEX($AC$1005:$AS$1005,1,MATCH(COLUMNS($AC$1006:AD1006),$AC$1006:$AS$1006,0))&gt;=100000), " ",IF(INDEX($AC$2:$AS$1001,MATCH(ROWS($V$2:V877),$V$2:$V$1001,0),MATCH(COLUMNS($AC$1006:AD1006),$AC$1006:$AS$1006,0)), HYPERLINK("#",""), HYPERLINK(CONCATENATE("#metadata!", ADDRESS(INDEX($X$2:$X$1001,MATCH(ROWS($V$2:V877),$V$2:$V$1001,0),0), INDEX($AC$1004:$AS$1004,1,MATCH(COLUMNS($AC$1006:AD1006),$AC$1006:$AS$1006,0)))),"Fix")))</f>
        <v xml:space="preserve"> </v>
      </c>
      <c r="D877" s="4" t="str">
        <f ca="1">IF(OR(INDEX($W$2:$W$1001,MATCH(ROWS($V$2:V877),$V$2:$V$1001,0),1)&gt;=100000,INDEX($AC$1005:$AS$1005,1,MATCH(COLUMNS($AC$1006:AE1006),$AC$1006:$AS$1006,0))&gt;=100000), " ",IF(INDEX($AC$2:$AS$1001,MATCH(ROWS($V$2:V877),$V$2:$V$1001,0),MATCH(COLUMNS($AC$1006:AE1006),$AC$1006:$AS$1006,0)), HYPERLINK("#",""), HYPERLINK(CONCATENATE("#metadata!", ADDRESS(INDEX($X$2:$X$1001,MATCH(ROWS($V$2:V877),$V$2:$V$1001,0),0), INDEX($AC$1004:$AS$1004,1,MATCH(COLUMNS($AC$1006:AE1006),$AC$1006:$AS$1006,0)))),"Fix")))</f>
        <v xml:space="preserve"> </v>
      </c>
      <c r="E877" s="4" t="str">
        <f ca="1">IF(OR(INDEX($W$2:$W$1001,MATCH(ROWS($V$2:V877),$V$2:$V$1001,0),1)&gt;=100000,INDEX($AC$1005:$AS$1005,1,MATCH(COLUMNS($AC$1006:AF1006),$AC$1006:$AS$1006,0))&gt;=100000), " ",IF(INDEX($AC$2:$AS$1001,MATCH(ROWS($V$2:V877),$V$2:$V$1001,0),MATCH(COLUMNS($AC$1006:AF1006),$AC$1006:$AS$1006,0)), HYPERLINK("#",""), HYPERLINK(CONCATENATE("#metadata!", ADDRESS(INDEX($X$2:$X$1001,MATCH(ROWS($V$2:V877),$V$2:$V$1001,0),0), INDEX($AC$1004:$AS$1004,1,MATCH(COLUMNS($AC$1006:AF1006),$AC$1006:$AS$1006,0)))),"Fix")))</f>
        <v xml:space="preserve"> </v>
      </c>
      <c r="F877" s="4" t="str">
        <f ca="1">IF(OR(INDEX($W$2:$W$1001,MATCH(ROWS($V$2:V877),$V$2:$V$1001,0),1)&gt;=100000,INDEX($AC$1005:$AS$1005,1,MATCH(COLUMNS($AC$1006:AG1006),$AC$1006:$AS$1006,0))&gt;=100000), " ",IF(INDEX($AC$2:$AS$1001,MATCH(ROWS($V$2:V877),$V$2:$V$1001,0),MATCH(COLUMNS($AC$1006:AG1006),$AC$1006:$AS$1006,0)), HYPERLINK("#",""), HYPERLINK(CONCATENATE("#metadata!", ADDRESS(INDEX($X$2:$X$1001,MATCH(ROWS($V$2:V877),$V$2:$V$1001,0),0), INDEX($AC$1004:$AS$1004,1,MATCH(COLUMNS($AC$1006:AG1006),$AC$1006:$AS$1006,0)))),"Fix")))</f>
        <v xml:space="preserve"> </v>
      </c>
      <c r="G877" s="4" t="str">
        <f ca="1">IF(OR(INDEX($W$2:$W$1001,MATCH(ROWS($V$2:V877),$V$2:$V$1001,0),1)&gt;=100000,INDEX($AC$1005:$AS$1005,1,MATCH(COLUMNS($AC$1006:AH1006),$AC$1006:$AS$1006,0))&gt;=100000), " ",IF(INDEX($AC$2:$AS$1001,MATCH(ROWS($V$2:V877),$V$2:$V$1001,0),MATCH(COLUMNS($AC$1006:AH1006),$AC$1006:$AS$1006,0)), HYPERLINK("#",""), HYPERLINK(CONCATENATE("#metadata!", ADDRESS(INDEX($X$2:$X$1001,MATCH(ROWS($V$2:V877),$V$2:$V$1001,0),0), INDEX($AC$1004:$AS$1004,1,MATCH(COLUMNS($AC$1006:AH1006),$AC$1006:$AS$1006,0)))),"Fix")))</f>
        <v xml:space="preserve"> </v>
      </c>
      <c r="H877" s="4" t="str">
        <f ca="1">IF(OR(INDEX($W$2:$W$1001,MATCH(ROWS($V$2:V877),$V$2:$V$1001,0),1)&gt;=100000,INDEX($AC$1005:$AS$1005,1,MATCH(COLUMNS($AC$1006:AI1006),$AC$1006:$AS$1006,0))&gt;=100000), " ",IF(INDEX($AC$2:$AS$1001,MATCH(ROWS($V$2:V877),$V$2:$V$1001,0),MATCH(COLUMNS($AC$1006:AI1006),$AC$1006:$AS$1006,0)), HYPERLINK("#",""), HYPERLINK(CONCATENATE("#metadata!", ADDRESS(INDEX($X$2:$X$1001,MATCH(ROWS($V$2:V877),$V$2:$V$1001,0),0), INDEX($AC$1004:$AS$1004,1,MATCH(COLUMNS($AC$1006:AI1006),$AC$1006:$AS$1006,0)))),"Fix")))</f>
        <v xml:space="preserve"> </v>
      </c>
      <c r="I877" s="4" t="str">
        <f ca="1">IF(OR(INDEX($W$2:$W$1001,MATCH(ROWS($V$2:V877),$V$2:$V$1001,0),1)&gt;=100000,INDEX($AC$1005:$AS$1005,1,MATCH(COLUMNS($AC$1006:AJ1006),$AC$1006:$AS$1006,0))&gt;=100000), " ",IF(INDEX($AC$2:$AS$1001,MATCH(ROWS($V$2:V877),$V$2:$V$1001,0),MATCH(COLUMNS($AC$1006:AJ1006),$AC$1006:$AS$1006,0)), HYPERLINK("#",""), HYPERLINK(CONCATENATE("#metadata!", ADDRESS(INDEX($X$2:$X$1001,MATCH(ROWS($V$2:V877),$V$2:$V$1001,0),0), INDEX($AC$1004:$AS$1004,1,MATCH(COLUMNS($AC$1006:AJ1006),$AC$1006:$AS$1006,0)))),"Fix")))</f>
        <v xml:space="preserve"> </v>
      </c>
      <c r="J877" s="4" t="str">
        <f ca="1">IF(OR(INDEX($W$2:$W$1001,MATCH(ROWS($V$2:V877),$V$2:$V$1001,0),1)&gt;=100000,INDEX($AC$1005:$AS$1005,1,MATCH(COLUMNS($AC$1006:AK1006),$AC$1006:$AS$1006,0))&gt;=100000), " ",IF(INDEX($AC$2:$AS$1001,MATCH(ROWS($V$2:V877),$V$2:$V$1001,0),MATCH(COLUMNS($AC$1006:AK1006),$AC$1006:$AS$1006,0)), HYPERLINK("#",""), HYPERLINK(CONCATENATE("#metadata!", ADDRESS(INDEX($X$2:$X$1001,MATCH(ROWS($V$2:V877),$V$2:$V$1001,0),0), INDEX($AC$1004:$AS$1004,1,MATCH(COLUMNS($AC$1006:AK1006),$AC$1006:$AS$1006,0)))),"Fix")))</f>
        <v xml:space="preserve"> </v>
      </c>
      <c r="K877" s="4" t="str">
        <f ca="1">IF(OR(INDEX($W$2:$W$1001,MATCH(ROWS($V$2:V877),$V$2:$V$1001,0),1)&gt;=100000,INDEX($AC$1005:$AS$1005,1,MATCH(COLUMNS($AC$1006:AL1006),$AC$1006:$AS$1006,0))&gt;=100000), " ",IF(INDEX($AC$2:$AS$1001,MATCH(ROWS($V$2:V877),$V$2:$V$1001,0),MATCH(COLUMNS($AC$1006:AL1006),$AC$1006:$AS$1006,0)), HYPERLINK("#",""), HYPERLINK(CONCATENATE("#metadata!", ADDRESS(INDEX($X$2:$X$1001,MATCH(ROWS($V$2:V877),$V$2:$V$1001,0),0), INDEX($AC$1004:$AS$1004,1,MATCH(COLUMNS($AC$1006:AL1006),$AC$1006:$AS$1006,0)))),"Fix")))</f>
        <v xml:space="preserve"> </v>
      </c>
      <c r="L877" s="4" t="str">
        <f ca="1">IF(OR(INDEX($W$2:$W$1001,MATCH(ROWS($V$2:V877),$V$2:$V$1001,0),1)&gt;=100000,INDEX($AC$1005:$AS$1005,1,MATCH(COLUMNS($AC$1006:AM1006),$AC$1006:$AS$1006,0))&gt;=100000), " ",IF(INDEX($AC$2:$AS$1001,MATCH(ROWS($V$2:V877),$V$2:$V$1001,0),MATCH(COLUMNS($AC$1006:AM1006),$AC$1006:$AS$1006,0)), HYPERLINK("#",""), HYPERLINK(CONCATENATE("#metadata!", ADDRESS(INDEX($X$2:$X$1001,MATCH(ROWS($V$2:V877),$V$2:$V$1001,0),0), INDEX($AC$1004:$AS$1004,1,MATCH(COLUMNS($AC$1006:AM1006),$AC$1006:$AS$1006,0)))),"Fix")))</f>
        <v xml:space="preserve"> </v>
      </c>
      <c r="M877" s="4" t="str">
        <f ca="1">IF(OR(INDEX($W$2:$W$1001,MATCH(ROWS($V$2:V877),$V$2:$V$1001,0),1)&gt;=100000,INDEX($AC$1005:$AS$1005,1,MATCH(COLUMNS($AC$1006:AN1006),$AC$1006:$AS$1006,0))&gt;=100000), " ",IF(INDEX($AC$2:$AS$1001,MATCH(ROWS($V$2:V877),$V$2:$V$1001,0),MATCH(COLUMNS($AC$1006:AN1006),$AC$1006:$AS$1006,0)), HYPERLINK("#",""), HYPERLINK(CONCATENATE("#metadata!", ADDRESS(INDEX($X$2:$X$1001,MATCH(ROWS($V$2:V877),$V$2:$V$1001,0),0), INDEX($AC$1004:$AS$1004,1,MATCH(COLUMNS($AC$1006:AN1006),$AC$1006:$AS$1006,0)))),"Fix")))</f>
        <v xml:space="preserve"> </v>
      </c>
      <c r="N877" s="4" t="str">
        <f ca="1">IF(OR(INDEX($W$2:$W$1001,MATCH(ROWS($V$2:V877),$V$2:$V$1001,0),1)&gt;=100000,INDEX($AC$1005:$AS$1005,1,MATCH(COLUMNS($AC$1006:AO1006),$AC$1006:$AS$1006,0))&gt;=100000), " ",IF(INDEX($AC$2:$AS$1001,MATCH(ROWS($V$2:V877),$V$2:$V$1001,0),MATCH(COLUMNS($AC$1006:AO1006),$AC$1006:$AS$1006,0)), HYPERLINK("#",""), HYPERLINK(CONCATENATE("#metadata!", ADDRESS(INDEX($X$2:$X$1001,MATCH(ROWS($V$2:V877),$V$2:$V$1001,0),0), INDEX($AC$1004:$AS$1004,1,MATCH(COLUMNS($AC$1006:AO1006),$AC$1006:$AS$1006,0)))),"Fix")))</f>
        <v xml:space="preserve"> </v>
      </c>
      <c r="O877" s="4" t="str">
        <f ca="1">IF(OR(INDEX($W$2:$W$1001,MATCH(ROWS($V$2:V877),$V$2:$V$1001,0),1)&gt;=100000,INDEX($AC$1005:$AS$1005,1,MATCH(COLUMNS($AC$1006:AP1006),$AC$1006:$AS$1006,0))&gt;=100000), " ",IF(INDEX($AC$2:$AS$1001,MATCH(ROWS($V$2:V877),$V$2:$V$1001,0),MATCH(COLUMNS($AC$1006:AP1006),$AC$1006:$AS$1006,0)), HYPERLINK("#",""), HYPERLINK(CONCATENATE("#metadata!", ADDRESS(INDEX($X$2:$X$1001,MATCH(ROWS($V$2:V877),$V$2:$V$1001,0),0), INDEX($AC$1004:$AS$1004,1,MATCH(COLUMNS($AC$1006:AP1006),$AC$1006:$AS$1006,0)))),"Fix")))</f>
        <v xml:space="preserve"> </v>
      </c>
      <c r="P877" s="4" t="str">
        <f ca="1">IF(OR(INDEX($W$2:$W$1001,MATCH(ROWS($V$2:V877),$V$2:$V$1001,0),1)&gt;=100000,INDEX($AC$1005:$AS$1005,1,MATCH(COLUMNS($AC$1006:AQ1006),$AC$1006:$AS$1006,0))&gt;=100000), " ",IF(INDEX($AC$2:$AS$1001,MATCH(ROWS($V$2:V877),$V$2:$V$1001,0),MATCH(COLUMNS($AC$1006:AQ1006),$AC$1006:$AS$1006,0)), HYPERLINK("#",""), HYPERLINK(CONCATENATE("#metadata!", ADDRESS(INDEX($X$2:$X$1001,MATCH(ROWS($V$2:V877),$V$2:$V$1001,0),0), INDEX($AC$1004:$AS$1004,1,MATCH(COLUMNS($AC$1006:AQ1006),$AC$1006:$AS$1006,0)))),"Fix")))</f>
        <v xml:space="preserve"> </v>
      </c>
      <c r="Q877" s="4" t="str">
        <f ca="1">IF(OR(INDEX($W$2:$W$1001,MATCH(ROWS($V$2:V877),$V$2:$V$1001,0),1)&gt;=100000,INDEX($AC$1005:$AS$1005,1,MATCH(COLUMNS($AC$1006:AR1006),$AC$1006:$AS$1006,0))&gt;=100000), " ",IF(INDEX($AC$2:$AS$1001,MATCH(ROWS($V$2:V877),$V$2:$V$1001,0),MATCH(COLUMNS($AC$1006:AR1006),$AC$1006:$AS$1006,0)), HYPERLINK("#",""), HYPERLINK(CONCATENATE("#metadata!", ADDRESS(INDEX($X$2:$X$1001,MATCH(ROWS($V$2:V877),$V$2:$V$1001,0),0), INDEX($AC$1004:$AS$1004,1,MATCH(COLUMNS($AC$1006:AR1006),$AC$1006:$AS$1006,0)))),"Fix")))</f>
        <v xml:space="preserve"> </v>
      </c>
      <c r="R877" s="4" t="str">
        <f ca="1">IF(OR(INDEX($W$2:$W$1001,MATCH(ROWS($V$2:V877),$V$2:$V$1001,0),1)&gt;=100000,INDEX($AC$1005:$AS$1005,1,MATCH(COLUMNS($AC$1006:AS1006),$AC$1006:$AS$1006,0))&gt;=100000), " ",IF(INDEX($AC$2:$AS$1001,MATCH(ROWS($V$2:V877),$V$2:$V$1001,0),MATCH(COLUMNS($AC$1006:AS1006),$AC$1006:$AS$1006,0)), HYPERLINK("#",""), HYPERLINK(CONCATENATE("#metadata!", ADDRESS(INDEX($X$2:$X$1001,MATCH(ROWS($V$2:V877),$V$2:$V$1001,0),0), INDEX($AC$1004:$AS$1004,1,MATCH(COLUMNS($AC$1006:AS1006),$AC$1006:$AS$1006,0)))),"Fix")))</f>
        <v xml:space="preserve"> </v>
      </c>
      <c r="V877">
        <v>876</v>
      </c>
      <c r="W877">
        <v>100877</v>
      </c>
      <c r="X877">
        <v>877</v>
      </c>
      <c r="Y877" t="b">
        <f t="shared" si="13"/>
        <v>1</v>
      </c>
      <c r="Z877" t="b">
        <f>COUNTBLANK(metadata!B877:R877)=COLUMNS(metadata!B877:R877)</f>
        <v>1</v>
      </c>
      <c r="AA877" t="str">
        <v/>
      </c>
      <c r="AC877" t="b">
        <f ca="1"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AD877" t="b">
        <f>IF(metadata!C877="",FALSE,ISNUMBER(VALUE(metadata!C877)))</f>
        <v>0</v>
      </c>
      <c r="AE877" t="b">
        <f>AND(IF(metadata!D877="",FALSE,TRUE),EXACT(metadata!D877,"years"))</f>
        <v>0</v>
      </c>
      <c r="AF877" t="b">
        <f>OR(AND(IF(metadata!E877="",FALSE,TRUE),OR(EXACT(metadata!E877,"not applicable"),EXACT(metadata!E877,"missing: not collected"),EXACT(metadata!E877,"missing: not provided"),EXACT(metadata!E877,"missing: restricted access"))),AND(IF(metadata!E877="",FALSE,ISNUMBER(VALUE(metadata!E877))),metadata!E877&gt;0))</f>
        <v>0</v>
      </c>
      <c r="AG877" t="b">
        <f>AND(IF(metadata!F877="",FALSE,TRUE),EXACT(metadata!F877,"Not applicable"))</f>
        <v>0</v>
      </c>
      <c r="AH877" t="b">
        <f>AND(IF(metadata!G877="",FALSE,TRUE),EXACT(metadata!G877,"urban biome"))</f>
        <v>0</v>
      </c>
      <c r="AI877" t="b">
        <f>AND(IF(metadata!H877="",FALSE,TRUE),EXACT(metadata!H877,"human-associated habitat"))</f>
        <v>0</v>
      </c>
      <c r="AJ877" t="b">
        <f>AND(IF(metadata!I877="",FALSE,TRUE),OR(EXACT(metadata!I877,"human-associated"),EXACT(metadata!I877,"human-skin"),EXACT(metadata!I877,"human-oral"),EXACT(metadata!I877,"human-gut"),EXACT(metadata!I877,"human-vaginal")))</f>
        <v>0</v>
      </c>
      <c r="AK877" t="b">
        <f>IF(metadata!J877="",FALSE,ISNUMBER(VALUE(metadata!J877)))</f>
        <v>0</v>
      </c>
      <c r="AL877" t="b">
        <f>AND(IF(metadata!K877="",FALSE,TRUE),EXACT(metadata!K877,"cm"))</f>
        <v>0</v>
      </c>
      <c r="AM877" t="b">
        <f>AND(IF(metadata!L877="",FALSE,TRUE),EXACT(metadata!L877,"human"))</f>
        <v>0</v>
      </c>
      <c r="AN877" t="b">
        <f>AND(IF(metadata!M877="",FALSE,TRUE),EXACT(metadata!M877,"Homo sapiens"))</f>
        <v>0</v>
      </c>
      <c r="AO877" t="b">
        <f>AND(IF(metadata!N877="",FALSE,TRUE),EXACT(metadata!N877,"9606"))</f>
        <v>0</v>
      </c>
      <c r="AP877" t="b">
        <f>IF(metadata!O877="",FALSE,TRUE)</f>
        <v>0</v>
      </c>
      <c r="AQ877" t="b">
        <f>IF(metadata!P877="",FALSE,TRUE)</f>
        <v>0</v>
      </c>
      <c r="AR877" t="b">
        <f>IF(metadata!Q877="",FALSE,ISNUMBER(VALUE(metadata!Q877)))</f>
        <v>0</v>
      </c>
      <c r="AS877" t="b">
        <f>AND(IF(metadata!R877="",FALSE,TRUE),EXACT(metadata!R877,"kg"))</f>
        <v>0</v>
      </c>
    </row>
    <row r="878" spans="1:45" x14ac:dyDescent="0.2">
      <c r="A878" s="5" t="str">
        <f ca="1">IF(B878=" "," ",HYPERLINK(CONCATENATE("#metadata!",ADDRESS(INDEX($X$2:$X$1001,MATCH(ROWS($V$2:V878),$V$2:$V$1001,0),0),1)),INDEX($AA$2:$AA$1001,MATCH(ROWS($V$2:V878),$V$2:$V$1001,0),0)))</f>
        <v xml:space="preserve"> </v>
      </c>
      <c r="B878" s="4" t="str">
        <f ca="1">IF(OR(INDEX($W$2:$W$1001,MATCH(ROWS($V$2:V878),$V$2:$V$1001,0),1)&gt;=100000,INDEX($AC$1005:$AS$1005,1,MATCH(COLUMNS($AC$1006:AC1006),$AC$1006:$AS$1006,0))&gt;=100000), " ",IF(INDEX($AC$2:$AS$1001,MATCH(ROWS($V$2:V878),$V$2:$V$1001,0),MATCH(COLUMNS($AC$1006:AC1006),$AC$1006:$AS$1006,0)), HYPERLINK("#",""), HYPERLINK(CONCATENATE("#metadata!", ADDRESS(INDEX($X$2:$X$1001,MATCH(ROWS($V$2:V878),$V$2:$V$1001,0),0), INDEX($AC$1004:$AS$1004,1,MATCH(COLUMNS($AC$1006:AC1006),$AC$1006:$AS$1006,0)))),"Fix")))</f>
        <v xml:space="preserve"> </v>
      </c>
      <c r="C878" s="4" t="str">
        <f ca="1">IF(OR(INDEX($W$2:$W$1001,MATCH(ROWS($V$2:V878),$V$2:$V$1001,0),1)&gt;=100000,INDEX($AC$1005:$AS$1005,1,MATCH(COLUMNS($AC$1006:AD1006),$AC$1006:$AS$1006,0))&gt;=100000), " ",IF(INDEX($AC$2:$AS$1001,MATCH(ROWS($V$2:V878),$V$2:$V$1001,0),MATCH(COLUMNS($AC$1006:AD1006),$AC$1006:$AS$1006,0)), HYPERLINK("#",""), HYPERLINK(CONCATENATE("#metadata!", ADDRESS(INDEX($X$2:$X$1001,MATCH(ROWS($V$2:V878),$V$2:$V$1001,0),0), INDEX($AC$1004:$AS$1004,1,MATCH(COLUMNS($AC$1006:AD1006),$AC$1006:$AS$1006,0)))),"Fix")))</f>
        <v xml:space="preserve"> </v>
      </c>
      <c r="D878" s="4" t="str">
        <f ca="1">IF(OR(INDEX($W$2:$W$1001,MATCH(ROWS($V$2:V878),$V$2:$V$1001,0),1)&gt;=100000,INDEX($AC$1005:$AS$1005,1,MATCH(COLUMNS($AC$1006:AE1006),$AC$1006:$AS$1006,0))&gt;=100000), " ",IF(INDEX($AC$2:$AS$1001,MATCH(ROWS($V$2:V878),$V$2:$V$1001,0),MATCH(COLUMNS($AC$1006:AE1006),$AC$1006:$AS$1006,0)), HYPERLINK("#",""), HYPERLINK(CONCATENATE("#metadata!", ADDRESS(INDEX($X$2:$X$1001,MATCH(ROWS($V$2:V878),$V$2:$V$1001,0),0), INDEX($AC$1004:$AS$1004,1,MATCH(COLUMNS($AC$1006:AE1006),$AC$1006:$AS$1006,0)))),"Fix")))</f>
        <v xml:space="preserve"> </v>
      </c>
      <c r="E878" s="4" t="str">
        <f ca="1">IF(OR(INDEX($W$2:$W$1001,MATCH(ROWS($V$2:V878),$V$2:$V$1001,0),1)&gt;=100000,INDEX($AC$1005:$AS$1005,1,MATCH(COLUMNS($AC$1006:AF1006),$AC$1006:$AS$1006,0))&gt;=100000), " ",IF(INDEX($AC$2:$AS$1001,MATCH(ROWS($V$2:V878),$V$2:$V$1001,0),MATCH(COLUMNS($AC$1006:AF1006),$AC$1006:$AS$1006,0)), HYPERLINK("#",""), HYPERLINK(CONCATENATE("#metadata!", ADDRESS(INDEX($X$2:$X$1001,MATCH(ROWS($V$2:V878),$V$2:$V$1001,0),0), INDEX($AC$1004:$AS$1004,1,MATCH(COLUMNS($AC$1006:AF1006),$AC$1006:$AS$1006,0)))),"Fix")))</f>
        <v xml:space="preserve"> </v>
      </c>
      <c r="F878" s="4" t="str">
        <f ca="1">IF(OR(INDEX($W$2:$W$1001,MATCH(ROWS($V$2:V878),$V$2:$V$1001,0),1)&gt;=100000,INDEX($AC$1005:$AS$1005,1,MATCH(COLUMNS($AC$1006:AG1006),$AC$1006:$AS$1006,0))&gt;=100000), " ",IF(INDEX($AC$2:$AS$1001,MATCH(ROWS($V$2:V878),$V$2:$V$1001,0),MATCH(COLUMNS($AC$1006:AG1006),$AC$1006:$AS$1006,0)), HYPERLINK("#",""), HYPERLINK(CONCATENATE("#metadata!", ADDRESS(INDEX($X$2:$X$1001,MATCH(ROWS($V$2:V878),$V$2:$V$1001,0),0), INDEX($AC$1004:$AS$1004,1,MATCH(COLUMNS($AC$1006:AG1006),$AC$1006:$AS$1006,0)))),"Fix")))</f>
        <v xml:space="preserve"> </v>
      </c>
      <c r="G878" s="4" t="str">
        <f ca="1">IF(OR(INDEX($W$2:$W$1001,MATCH(ROWS($V$2:V878),$V$2:$V$1001,0),1)&gt;=100000,INDEX($AC$1005:$AS$1005,1,MATCH(COLUMNS($AC$1006:AH1006),$AC$1006:$AS$1006,0))&gt;=100000), " ",IF(INDEX($AC$2:$AS$1001,MATCH(ROWS($V$2:V878),$V$2:$V$1001,0),MATCH(COLUMNS($AC$1006:AH1006),$AC$1006:$AS$1006,0)), HYPERLINK("#",""), HYPERLINK(CONCATENATE("#metadata!", ADDRESS(INDEX($X$2:$X$1001,MATCH(ROWS($V$2:V878),$V$2:$V$1001,0),0), INDEX($AC$1004:$AS$1004,1,MATCH(COLUMNS($AC$1006:AH1006),$AC$1006:$AS$1006,0)))),"Fix")))</f>
        <v xml:space="preserve"> </v>
      </c>
      <c r="H878" s="4" t="str">
        <f ca="1">IF(OR(INDEX($W$2:$W$1001,MATCH(ROWS($V$2:V878),$V$2:$V$1001,0),1)&gt;=100000,INDEX($AC$1005:$AS$1005,1,MATCH(COLUMNS($AC$1006:AI1006),$AC$1006:$AS$1006,0))&gt;=100000), " ",IF(INDEX($AC$2:$AS$1001,MATCH(ROWS($V$2:V878),$V$2:$V$1001,0),MATCH(COLUMNS($AC$1006:AI1006),$AC$1006:$AS$1006,0)), HYPERLINK("#",""), HYPERLINK(CONCATENATE("#metadata!", ADDRESS(INDEX($X$2:$X$1001,MATCH(ROWS($V$2:V878),$V$2:$V$1001,0),0), INDEX($AC$1004:$AS$1004,1,MATCH(COLUMNS($AC$1006:AI1006),$AC$1006:$AS$1006,0)))),"Fix")))</f>
        <v xml:space="preserve"> </v>
      </c>
      <c r="I878" s="4" t="str">
        <f ca="1">IF(OR(INDEX($W$2:$W$1001,MATCH(ROWS($V$2:V878),$V$2:$V$1001,0),1)&gt;=100000,INDEX($AC$1005:$AS$1005,1,MATCH(COLUMNS($AC$1006:AJ1006),$AC$1006:$AS$1006,0))&gt;=100000), " ",IF(INDEX($AC$2:$AS$1001,MATCH(ROWS($V$2:V878),$V$2:$V$1001,0),MATCH(COLUMNS($AC$1006:AJ1006),$AC$1006:$AS$1006,0)), HYPERLINK("#",""), HYPERLINK(CONCATENATE("#metadata!", ADDRESS(INDEX($X$2:$X$1001,MATCH(ROWS($V$2:V878),$V$2:$V$1001,0),0), INDEX($AC$1004:$AS$1004,1,MATCH(COLUMNS($AC$1006:AJ1006),$AC$1006:$AS$1006,0)))),"Fix")))</f>
        <v xml:space="preserve"> </v>
      </c>
      <c r="J878" s="4" t="str">
        <f ca="1">IF(OR(INDEX($W$2:$W$1001,MATCH(ROWS($V$2:V878),$V$2:$V$1001,0),1)&gt;=100000,INDEX($AC$1005:$AS$1005,1,MATCH(COLUMNS($AC$1006:AK1006),$AC$1006:$AS$1006,0))&gt;=100000), " ",IF(INDEX($AC$2:$AS$1001,MATCH(ROWS($V$2:V878),$V$2:$V$1001,0),MATCH(COLUMNS($AC$1006:AK1006),$AC$1006:$AS$1006,0)), HYPERLINK("#",""), HYPERLINK(CONCATENATE("#metadata!", ADDRESS(INDEX($X$2:$X$1001,MATCH(ROWS($V$2:V878),$V$2:$V$1001,0),0), INDEX($AC$1004:$AS$1004,1,MATCH(COLUMNS($AC$1006:AK1006),$AC$1006:$AS$1006,0)))),"Fix")))</f>
        <v xml:space="preserve"> </v>
      </c>
      <c r="K878" s="4" t="str">
        <f ca="1">IF(OR(INDEX($W$2:$W$1001,MATCH(ROWS($V$2:V878),$V$2:$V$1001,0),1)&gt;=100000,INDEX($AC$1005:$AS$1005,1,MATCH(COLUMNS($AC$1006:AL1006),$AC$1006:$AS$1006,0))&gt;=100000), " ",IF(INDEX($AC$2:$AS$1001,MATCH(ROWS($V$2:V878),$V$2:$V$1001,0),MATCH(COLUMNS($AC$1006:AL1006),$AC$1006:$AS$1006,0)), HYPERLINK("#",""), HYPERLINK(CONCATENATE("#metadata!", ADDRESS(INDEX($X$2:$X$1001,MATCH(ROWS($V$2:V878),$V$2:$V$1001,0),0), INDEX($AC$1004:$AS$1004,1,MATCH(COLUMNS($AC$1006:AL1006),$AC$1006:$AS$1006,0)))),"Fix")))</f>
        <v xml:space="preserve"> </v>
      </c>
      <c r="L878" s="4" t="str">
        <f ca="1">IF(OR(INDEX($W$2:$W$1001,MATCH(ROWS($V$2:V878),$V$2:$V$1001,0),1)&gt;=100000,INDEX($AC$1005:$AS$1005,1,MATCH(COLUMNS($AC$1006:AM1006),$AC$1006:$AS$1006,0))&gt;=100000), " ",IF(INDEX($AC$2:$AS$1001,MATCH(ROWS($V$2:V878),$V$2:$V$1001,0),MATCH(COLUMNS($AC$1006:AM1006),$AC$1006:$AS$1006,0)), HYPERLINK("#",""), HYPERLINK(CONCATENATE("#metadata!", ADDRESS(INDEX($X$2:$X$1001,MATCH(ROWS($V$2:V878),$V$2:$V$1001,0),0), INDEX($AC$1004:$AS$1004,1,MATCH(COLUMNS($AC$1006:AM1006),$AC$1006:$AS$1006,0)))),"Fix")))</f>
        <v xml:space="preserve"> </v>
      </c>
      <c r="M878" s="4" t="str">
        <f ca="1">IF(OR(INDEX($W$2:$W$1001,MATCH(ROWS($V$2:V878),$V$2:$V$1001,0),1)&gt;=100000,INDEX($AC$1005:$AS$1005,1,MATCH(COLUMNS($AC$1006:AN1006),$AC$1006:$AS$1006,0))&gt;=100000), " ",IF(INDEX($AC$2:$AS$1001,MATCH(ROWS($V$2:V878),$V$2:$V$1001,0),MATCH(COLUMNS($AC$1006:AN1006),$AC$1006:$AS$1006,0)), HYPERLINK("#",""), HYPERLINK(CONCATENATE("#metadata!", ADDRESS(INDEX($X$2:$X$1001,MATCH(ROWS($V$2:V878),$V$2:$V$1001,0),0), INDEX($AC$1004:$AS$1004,1,MATCH(COLUMNS($AC$1006:AN1006),$AC$1006:$AS$1006,0)))),"Fix")))</f>
        <v xml:space="preserve"> </v>
      </c>
      <c r="N878" s="4" t="str">
        <f ca="1">IF(OR(INDEX($W$2:$W$1001,MATCH(ROWS($V$2:V878),$V$2:$V$1001,0),1)&gt;=100000,INDEX($AC$1005:$AS$1005,1,MATCH(COLUMNS($AC$1006:AO1006),$AC$1006:$AS$1006,0))&gt;=100000), " ",IF(INDEX($AC$2:$AS$1001,MATCH(ROWS($V$2:V878),$V$2:$V$1001,0),MATCH(COLUMNS($AC$1006:AO1006),$AC$1006:$AS$1006,0)), HYPERLINK("#",""), HYPERLINK(CONCATENATE("#metadata!", ADDRESS(INDEX($X$2:$X$1001,MATCH(ROWS($V$2:V878),$V$2:$V$1001,0),0), INDEX($AC$1004:$AS$1004,1,MATCH(COLUMNS($AC$1006:AO1006),$AC$1006:$AS$1006,0)))),"Fix")))</f>
        <v xml:space="preserve"> </v>
      </c>
      <c r="O878" s="4" t="str">
        <f ca="1">IF(OR(INDEX($W$2:$W$1001,MATCH(ROWS($V$2:V878),$V$2:$V$1001,0),1)&gt;=100000,INDEX($AC$1005:$AS$1005,1,MATCH(COLUMNS($AC$1006:AP1006),$AC$1006:$AS$1006,0))&gt;=100000), " ",IF(INDEX($AC$2:$AS$1001,MATCH(ROWS($V$2:V878),$V$2:$V$1001,0),MATCH(COLUMNS($AC$1006:AP1006),$AC$1006:$AS$1006,0)), HYPERLINK("#",""), HYPERLINK(CONCATENATE("#metadata!", ADDRESS(INDEX($X$2:$X$1001,MATCH(ROWS($V$2:V878),$V$2:$V$1001,0),0), INDEX($AC$1004:$AS$1004,1,MATCH(COLUMNS($AC$1006:AP1006),$AC$1006:$AS$1006,0)))),"Fix")))</f>
        <v xml:space="preserve"> </v>
      </c>
      <c r="P878" s="4" t="str">
        <f ca="1">IF(OR(INDEX($W$2:$W$1001,MATCH(ROWS($V$2:V878),$V$2:$V$1001,0),1)&gt;=100000,INDEX($AC$1005:$AS$1005,1,MATCH(COLUMNS($AC$1006:AQ1006),$AC$1006:$AS$1006,0))&gt;=100000), " ",IF(INDEX($AC$2:$AS$1001,MATCH(ROWS($V$2:V878),$V$2:$V$1001,0),MATCH(COLUMNS($AC$1006:AQ1006),$AC$1006:$AS$1006,0)), HYPERLINK("#",""), HYPERLINK(CONCATENATE("#metadata!", ADDRESS(INDEX($X$2:$X$1001,MATCH(ROWS($V$2:V878),$V$2:$V$1001,0),0), INDEX($AC$1004:$AS$1004,1,MATCH(COLUMNS($AC$1006:AQ1006),$AC$1006:$AS$1006,0)))),"Fix")))</f>
        <v xml:space="preserve"> </v>
      </c>
      <c r="Q878" s="4" t="str">
        <f ca="1">IF(OR(INDEX($W$2:$W$1001,MATCH(ROWS($V$2:V878),$V$2:$V$1001,0),1)&gt;=100000,INDEX($AC$1005:$AS$1005,1,MATCH(COLUMNS($AC$1006:AR1006),$AC$1006:$AS$1006,0))&gt;=100000), " ",IF(INDEX($AC$2:$AS$1001,MATCH(ROWS($V$2:V878),$V$2:$V$1001,0),MATCH(COLUMNS($AC$1006:AR1006),$AC$1006:$AS$1006,0)), HYPERLINK("#",""), HYPERLINK(CONCATENATE("#metadata!", ADDRESS(INDEX($X$2:$X$1001,MATCH(ROWS($V$2:V878),$V$2:$V$1001,0),0), INDEX($AC$1004:$AS$1004,1,MATCH(COLUMNS($AC$1006:AR1006),$AC$1006:$AS$1006,0)))),"Fix")))</f>
        <v xml:space="preserve"> </v>
      </c>
      <c r="R878" s="4" t="str">
        <f ca="1">IF(OR(INDEX($W$2:$W$1001,MATCH(ROWS($V$2:V878),$V$2:$V$1001,0),1)&gt;=100000,INDEX($AC$1005:$AS$1005,1,MATCH(COLUMNS($AC$1006:AS1006),$AC$1006:$AS$1006,0))&gt;=100000), " ",IF(INDEX($AC$2:$AS$1001,MATCH(ROWS($V$2:V878),$V$2:$V$1001,0),MATCH(COLUMNS($AC$1006:AS1006),$AC$1006:$AS$1006,0)), HYPERLINK("#",""), HYPERLINK(CONCATENATE("#metadata!", ADDRESS(INDEX($X$2:$X$1001,MATCH(ROWS($V$2:V878),$V$2:$V$1001,0),0), INDEX($AC$1004:$AS$1004,1,MATCH(COLUMNS($AC$1006:AS1006),$AC$1006:$AS$1006,0)))),"Fix")))</f>
        <v xml:space="preserve"> </v>
      </c>
      <c r="V878">
        <v>877</v>
      </c>
      <c r="W878">
        <v>100878</v>
      </c>
      <c r="X878">
        <v>878</v>
      </c>
      <c r="Y878" t="b">
        <f t="shared" si="13"/>
        <v>1</v>
      </c>
      <c r="Z878" t="b">
        <f>COUNTBLANK(metadata!B878:R878)=COLUMNS(metadata!B878:R878)</f>
        <v>1</v>
      </c>
      <c r="AA878" t="str">
        <v/>
      </c>
      <c r="AC878" t="b">
        <f ca="1"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AD878" t="b">
        <f>IF(metadata!C878="",FALSE,ISNUMBER(VALUE(metadata!C878)))</f>
        <v>0</v>
      </c>
      <c r="AE878" t="b">
        <f>AND(IF(metadata!D878="",FALSE,TRUE),EXACT(metadata!D878,"years"))</f>
        <v>0</v>
      </c>
      <c r="AF878" t="b">
        <f>OR(AND(IF(metadata!E878="",FALSE,TRUE),OR(EXACT(metadata!E878,"not applicable"),EXACT(metadata!E878,"missing: not collected"),EXACT(metadata!E878,"missing: not provided"),EXACT(metadata!E878,"missing: restricted access"))),AND(IF(metadata!E878="",FALSE,ISNUMBER(VALUE(metadata!E878))),metadata!E878&gt;0))</f>
        <v>0</v>
      </c>
      <c r="AG878" t="b">
        <f>AND(IF(metadata!F878="",FALSE,TRUE),EXACT(metadata!F878,"Not applicable"))</f>
        <v>0</v>
      </c>
      <c r="AH878" t="b">
        <f>AND(IF(metadata!G878="",FALSE,TRUE),EXACT(metadata!G878,"urban biome"))</f>
        <v>0</v>
      </c>
      <c r="AI878" t="b">
        <f>AND(IF(metadata!H878="",FALSE,TRUE),EXACT(metadata!H878,"human-associated habitat"))</f>
        <v>0</v>
      </c>
      <c r="AJ878" t="b">
        <f>AND(IF(metadata!I878="",FALSE,TRUE),OR(EXACT(metadata!I878,"human-associated"),EXACT(metadata!I878,"human-skin"),EXACT(metadata!I878,"human-oral"),EXACT(metadata!I878,"human-gut"),EXACT(metadata!I878,"human-vaginal")))</f>
        <v>0</v>
      </c>
      <c r="AK878" t="b">
        <f>IF(metadata!J878="",FALSE,ISNUMBER(VALUE(metadata!J878)))</f>
        <v>0</v>
      </c>
      <c r="AL878" t="b">
        <f>AND(IF(metadata!K878="",FALSE,TRUE),EXACT(metadata!K878,"cm"))</f>
        <v>0</v>
      </c>
      <c r="AM878" t="b">
        <f>AND(IF(metadata!L878="",FALSE,TRUE),EXACT(metadata!L878,"human"))</f>
        <v>0</v>
      </c>
      <c r="AN878" t="b">
        <f>AND(IF(metadata!M878="",FALSE,TRUE),EXACT(metadata!M878,"Homo sapiens"))</f>
        <v>0</v>
      </c>
      <c r="AO878" t="b">
        <f>AND(IF(metadata!N878="",FALSE,TRUE),EXACT(metadata!N878,"9606"))</f>
        <v>0</v>
      </c>
      <c r="AP878" t="b">
        <f>IF(metadata!O878="",FALSE,TRUE)</f>
        <v>0</v>
      </c>
      <c r="AQ878" t="b">
        <f>IF(metadata!P878="",FALSE,TRUE)</f>
        <v>0</v>
      </c>
      <c r="AR878" t="b">
        <f>IF(metadata!Q878="",FALSE,ISNUMBER(VALUE(metadata!Q878)))</f>
        <v>0</v>
      </c>
      <c r="AS878" t="b">
        <f>AND(IF(metadata!R878="",FALSE,TRUE),EXACT(metadata!R878,"kg"))</f>
        <v>0</v>
      </c>
    </row>
    <row r="879" spans="1:45" x14ac:dyDescent="0.2">
      <c r="A879" s="5" t="str">
        <f ca="1">IF(B879=" "," ",HYPERLINK(CONCATENATE("#metadata!",ADDRESS(INDEX($X$2:$X$1001,MATCH(ROWS($V$2:V879),$V$2:$V$1001,0),0),1)),INDEX($AA$2:$AA$1001,MATCH(ROWS($V$2:V879),$V$2:$V$1001,0),0)))</f>
        <v xml:space="preserve"> </v>
      </c>
      <c r="B879" s="4" t="str">
        <f ca="1">IF(OR(INDEX($W$2:$W$1001,MATCH(ROWS($V$2:V879),$V$2:$V$1001,0),1)&gt;=100000,INDEX($AC$1005:$AS$1005,1,MATCH(COLUMNS($AC$1006:AC1006),$AC$1006:$AS$1006,0))&gt;=100000), " ",IF(INDEX($AC$2:$AS$1001,MATCH(ROWS($V$2:V879),$V$2:$V$1001,0),MATCH(COLUMNS($AC$1006:AC1006),$AC$1006:$AS$1006,0)), HYPERLINK("#",""), HYPERLINK(CONCATENATE("#metadata!", ADDRESS(INDEX($X$2:$X$1001,MATCH(ROWS($V$2:V879),$V$2:$V$1001,0),0), INDEX($AC$1004:$AS$1004,1,MATCH(COLUMNS($AC$1006:AC1006),$AC$1006:$AS$1006,0)))),"Fix")))</f>
        <v xml:space="preserve"> </v>
      </c>
      <c r="C879" s="4" t="str">
        <f ca="1">IF(OR(INDEX($W$2:$W$1001,MATCH(ROWS($V$2:V879),$V$2:$V$1001,0),1)&gt;=100000,INDEX($AC$1005:$AS$1005,1,MATCH(COLUMNS($AC$1006:AD1006),$AC$1006:$AS$1006,0))&gt;=100000), " ",IF(INDEX($AC$2:$AS$1001,MATCH(ROWS($V$2:V879),$V$2:$V$1001,0),MATCH(COLUMNS($AC$1006:AD1006),$AC$1006:$AS$1006,0)), HYPERLINK("#",""), HYPERLINK(CONCATENATE("#metadata!", ADDRESS(INDEX($X$2:$X$1001,MATCH(ROWS($V$2:V879),$V$2:$V$1001,0),0), INDEX($AC$1004:$AS$1004,1,MATCH(COLUMNS($AC$1006:AD1006),$AC$1006:$AS$1006,0)))),"Fix")))</f>
        <v xml:space="preserve"> </v>
      </c>
      <c r="D879" s="4" t="str">
        <f ca="1">IF(OR(INDEX($W$2:$W$1001,MATCH(ROWS($V$2:V879),$V$2:$V$1001,0),1)&gt;=100000,INDEX($AC$1005:$AS$1005,1,MATCH(COLUMNS($AC$1006:AE1006),$AC$1006:$AS$1006,0))&gt;=100000), " ",IF(INDEX($AC$2:$AS$1001,MATCH(ROWS($V$2:V879),$V$2:$V$1001,0),MATCH(COLUMNS($AC$1006:AE1006),$AC$1006:$AS$1006,0)), HYPERLINK("#",""), HYPERLINK(CONCATENATE("#metadata!", ADDRESS(INDEX($X$2:$X$1001,MATCH(ROWS($V$2:V879),$V$2:$V$1001,0),0), INDEX($AC$1004:$AS$1004,1,MATCH(COLUMNS($AC$1006:AE1006),$AC$1006:$AS$1006,0)))),"Fix")))</f>
        <v xml:space="preserve"> </v>
      </c>
      <c r="E879" s="4" t="str">
        <f ca="1">IF(OR(INDEX($W$2:$W$1001,MATCH(ROWS($V$2:V879),$V$2:$V$1001,0),1)&gt;=100000,INDEX($AC$1005:$AS$1005,1,MATCH(COLUMNS($AC$1006:AF1006),$AC$1006:$AS$1006,0))&gt;=100000), " ",IF(INDEX($AC$2:$AS$1001,MATCH(ROWS($V$2:V879),$V$2:$V$1001,0),MATCH(COLUMNS($AC$1006:AF1006),$AC$1006:$AS$1006,0)), HYPERLINK("#",""), HYPERLINK(CONCATENATE("#metadata!", ADDRESS(INDEX($X$2:$X$1001,MATCH(ROWS($V$2:V879),$V$2:$V$1001,0),0), INDEX($AC$1004:$AS$1004,1,MATCH(COLUMNS($AC$1006:AF1006),$AC$1006:$AS$1006,0)))),"Fix")))</f>
        <v xml:space="preserve"> </v>
      </c>
      <c r="F879" s="4" t="str">
        <f ca="1">IF(OR(INDEX($W$2:$W$1001,MATCH(ROWS($V$2:V879),$V$2:$V$1001,0),1)&gt;=100000,INDEX($AC$1005:$AS$1005,1,MATCH(COLUMNS($AC$1006:AG1006),$AC$1006:$AS$1006,0))&gt;=100000), " ",IF(INDEX($AC$2:$AS$1001,MATCH(ROWS($V$2:V879),$V$2:$V$1001,0),MATCH(COLUMNS($AC$1006:AG1006),$AC$1006:$AS$1006,0)), HYPERLINK("#",""), HYPERLINK(CONCATENATE("#metadata!", ADDRESS(INDEX($X$2:$X$1001,MATCH(ROWS($V$2:V879),$V$2:$V$1001,0),0), INDEX($AC$1004:$AS$1004,1,MATCH(COLUMNS($AC$1006:AG1006),$AC$1006:$AS$1006,0)))),"Fix")))</f>
        <v xml:space="preserve"> </v>
      </c>
      <c r="G879" s="4" t="str">
        <f ca="1">IF(OR(INDEX($W$2:$W$1001,MATCH(ROWS($V$2:V879),$V$2:$V$1001,0),1)&gt;=100000,INDEX($AC$1005:$AS$1005,1,MATCH(COLUMNS($AC$1006:AH1006),$AC$1006:$AS$1006,0))&gt;=100000), " ",IF(INDEX($AC$2:$AS$1001,MATCH(ROWS($V$2:V879),$V$2:$V$1001,0),MATCH(COLUMNS($AC$1006:AH1006),$AC$1006:$AS$1006,0)), HYPERLINK("#",""), HYPERLINK(CONCATENATE("#metadata!", ADDRESS(INDEX($X$2:$X$1001,MATCH(ROWS($V$2:V879),$V$2:$V$1001,0),0), INDEX($AC$1004:$AS$1004,1,MATCH(COLUMNS($AC$1006:AH1006),$AC$1006:$AS$1006,0)))),"Fix")))</f>
        <v xml:space="preserve"> </v>
      </c>
      <c r="H879" s="4" t="str">
        <f ca="1">IF(OR(INDEX($W$2:$W$1001,MATCH(ROWS($V$2:V879),$V$2:$V$1001,0),1)&gt;=100000,INDEX($AC$1005:$AS$1005,1,MATCH(COLUMNS($AC$1006:AI1006),$AC$1006:$AS$1006,0))&gt;=100000), " ",IF(INDEX($AC$2:$AS$1001,MATCH(ROWS($V$2:V879),$V$2:$V$1001,0),MATCH(COLUMNS($AC$1006:AI1006),$AC$1006:$AS$1006,0)), HYPERLINK("#",""), HYPERLINK(CONCATENATE("#metadata!", ADDRESS(INDEX($X$2:$X$1001,MATCH(ROWS($V$2:V879),$V$2:$V$1001,0),0), INDEX($AC$1004:$AS$1004,1,MATCH(COLUMNS($AC$1006:AI1006),$AC$1006:$AS$1006,0)))),"Fix")))</f>
        <v xml:space="preserve"> </v>
      </c>
      <c r="I879" s="4" t="str">
        <f ca="1">IF(OR(INDEX($W$2:$W$1001,MATCH(ROWS($V$2:V879),$V$2:$V$1001,0),1)&gt;=100000,INDEX($AC$1005:$AS$1005,1,MATCH(COLUMNS($AC$1006:AJ1006),$AC$1006:$AS$1006,0))&gt;=100000), " ",IF(INDEX($AC$2:$AS$1001,MATCH(ROWS($V$2:V879),$V$2:$V$1001,0),MATCH(COLUMNS($AC$1006:AJ1006),$AC$1006:$AS$1006,0)), HYPERLINK("#",""), HYPERLINK(CONCATENATE("#metadata!", ADDRESS(INDEX($X$2:$X$1001,MATCH(ROWS($V$2:V879),$V$2:$V$1001,0),0), INDEX($AC$1004:$AS$1004,1,MATCH(COLUMNS($AC$1006:AJ1006),$AC$1006:$AS$1006,0)))),"Fix")))</f>
        <v xml:space="preserve"> </v>
      </c>
      <c r="J879" s="4" t="str">
        <f ca="1">IF(OR(INDEX($W$2:$W$1001,MATCH(ROWS($V$2:V879),$V$2:$V$1001,0),1)&gt;=100000,INDEX($AC$1005:$AS$1005,1,MATCH(COLUMNS($AC$1006:AK1006),$AC$1006:$AS$1006,0))&gt;=100000), " ",IF(INDEX($AC$2:$AS$1001,MATCH(ROWS($V$2:V879),$V$2:$V$1001,0),MATCH(COLUMNS($AC$1006:AK1006),$AC$1006:$AS$1006,0)), HYPERLINK("#",""), HYPERLINK(CONCATENATE("#metadata!", ADDRESS(INDEX($X$2:$X$1001,MATCH(ROWS($V$2:V879),$V$2:$V$1001,0),0), INDEX($AC$1004:$AS$1004,1,MATCH(COLUMNS($AC$1006:AK1006),$AC$1006:$AS$1006,0)))),"Fix")))</f>
        <v xml:space="preserve"> </v>
      </c>
      <c r="K879" s="4" t="str">
        <f ca="1">IF(OR(INDEX($W$2:$W$1001,MATCH(ROWS($V$2:V879),$V$2:$V$1001,0),1)&gt;=100000,INDEX($AC$1005:$AS$1005,1,MATCH(COLUMNS($AC$1006:AL1006),$AC$1006:$AS$1006,0))&gt;=100000), " ",IF(INDEX($AC$2:$AS$1001,MATCH(ROWS($V$2:V879),$V$2:$V$1001,0),MATCH(COLUMNS($AC$1006:AL1006),$AC$1006:$AS$1006,0)), HYPERLINK("#",""), HYPERLINK(CONCATENATE("#metadata!", ADDRESS(INDEX($X$2:$X$1001,MATCH(ROWS($V$2:V879),$V$2:$V$1001,0),0), INDEX($AC$1004:$AS$1004,1,MATCH(COLUMNS($AC$1006:AL1006),$AC$1006:$AS$1006,0)))),"Fix")))</f>
        <v xml:space="preserve"> </v>
      </c>
      <c r="L879" s="4" t="str">
        <f ca="1">IF(OR(INDEX($W$2:$W$1001,MATCH(ROWS($V$2:V879),$V$2:$V$1001,0),1)&gt;=100000,INDEX($AC$1005:$AS$1005,1,MATCH(COLUMNS($AC$1006:AM1006),$AC$1006:$AS$1006,0))&gt;=100000), " ",IF(INDEX($AC$2:$AS$1001,MATCH(ROWS($V$2:V879),$V$2:$V$1001,0),MATCH(COLUMNS($AC$1006:AM1006),$AC$1006:$AS$1006,0)), HYPERLINK("#",""), HYPERLINK(CONCATENATE("#metadata!", ADDRESS(INDEX($X$2:$X$1001,MATCH(ROWS($V$2:V879),$V$2:$V$1001,0),0), INDEX($AC$1004:$AS$1004,1,MATCH(COLUMNS($AC$1006:AM1006),$AC$1006:$AS$1006,0)))),"Fix")))</f>
        <v xml:space="preserve"> </v>
      </c>
      <c r="M879" s="4" t="str">
        <f ca="1">IF(OR(INDEX($W$2:$W$1001,MATCH(ROWS($V$2:V879),$V$2:$V$1001,0),1)&gt;=100000,INDEX($AC$1005:$AS$1005,1,MATCH(COLUMNS($AC$1006:AN1006),$AC$1006:$AS$1006,0))&gt;=100000), " ",IF(INDEX($AC$2:$AS$1001,MATCH(ROWS($V$2:V879),$V$2:$V$1001,0),MATCH(COLUMNS($AC$1006:AN1006),$AC$1006:$AS$1006,0)), HYPERLINK("#",""), HYPERLINK(CONCATENATE("#metadata!", ADDRESS(INDEX($X$2:$X$1001,MATCH(ROWS($V$2:V879),$V$2:$V$1001,0),0), INDEX($AC$1004:$AS$1004,1,MATCH(COLUMNS($AC$1006:AN1006),$AC$1006:$AS$1006,0)))),"Fix")))</f>
        <v xml:space="preserve"> </v>
      </c>
      <c r="N879" s="4" t="str">
        <f ca="1">IF(OR(INDEX($W$2:$W$1001,MATCH(ROWS($V$2:V879),$V$2:$V$1001,0),1)&gt;=100000,INDEX($AC$1005:$AS$1005,1,MATCH(COLUMNS($AC$1006:AO1006),$AC$1006:$AS$1006,0))&gt;=100000), " ",IF(INDEX($AC$2:$AS$1001,MATCH(ROWS($V$2:V879),$V$2:$V$1001,0),MATCH(COLUMNS($AC$1006:AO1006),$AC$1006:$AS$1006,0)), HYPERLINK("#",""), HYPERLINK(CONCATENATE("#metadata!", ADDRESS(INDEX($X$2:$X$1001,MATCH(ROWS($V$2:V879),$V$2:$V$1001,0),0), INDEX($AC$1004:$AS$1004,1,MATCH(COLUMNS($AC$1006:AO1006),$AC$1006:$AS$1006,0)))),"Fix")))</f>
        <v xml:space="preserve"> </v>
      </c>
      <c r="O879" s="4" t="str">
        <f ca="1">IF(OR(INDEX($W$2:$W$1001,MATCH(ROWS($V$2:V879),$V$2:$V$1001,0),1)&gt;=100000,INDEX($AC$1005:$AS$1005,1,MATCH(COLUMNS($AC$1006:AP1006),$AC$1006:$AS$1006,0))&gt;=100000), " ",IF(INDEX($AC$2:$AS$1001,MATCH(ROWS($V$2:V879),$V$2:$V$1001,0),MATCH(COLUMNS($AC$1006:AP1006),$AC$1006:$AS$1006,0)), HYPERLINK("#",""), HYPERLINK(CONCATENATE("#metadata!", ADDRESS(INDEX($X$2:$X$1001,MATCH(ROWS($V$2:V879),$V$2:$V$1001,0),0), INDEX($AC$1004:$AS$1004,1,MATCH(COLUMNS($AC$1006:AP1006),$AC$1006:$AS$1006,0)))),"Fix")))</f>
        <v xml:space="preserve"> </v>
      </c>
      <c r="P879" s="4" t="str">
        <f ca="1">IF(OR(INDEX($W$2:$W$1001,MATCH(ROWS($V$2:V879),$V$2:$V$1001,0),1)&gt;=100000,INDEX($AC$1005:$AS$1005,1,MATCH(COLUMNS($AC$1006:AQ1006),$AC$1006:$AS$1006,0))&gt;=100000), " ",IF(INDEX($AC$2:$AS$1001,MATCH(ROWS($V$2:V879),$V$2:$V$1001,0),MATCH(COLUMNS($AC$1006:AQ1006),$AC$1006:$AS$1006,0)), HYPERLINK("#",""), HYPERLINK(CONCATENATE("#metadata!", ADDRESS(INDEX($X$2:$X$1001,MATCH(ROWS($V$2:V879),$V$2:$V$1001,0),0), INDEX($AC$1004:$AS$1004,1,MATCH(COLUMNS($AC$1006:AQ1006),$AC$1006:$AS$1006,0)))),"Fix")))</f>
        <v xml:space="preserve"> </v>
      </c>
      <c r="Q879" s="4" t="str">
        <f ca="1">IF(OR(INDEX($W$2:$W$1001,MATCH(ROWS($V$2:V879),$V$2:$V$1001,0),1)&gt;=100000,INDEX($AC$1005:$AS$1005,1,MATCH(COLUMNS($AC$1006:AR1006),$AC$1006:$AS$1006,0))&gt;=100000), " ",IF(INDEX($AC$2:$AS$1001,MATCH(ROWS($V$2:V879),$V$2:$V$1001,0),MATCH(COLUMNS($AC$1006:AR1006),$AC$1006:$AS$1006,0)), HYPERLINK("#",""), HYPERLINK(CONCATENATE("#metadata!", ADDRESS(INDEX($X$2:$X$1001,MATCH(ROWS($V$2:V879),$V$2:$V$1001,0),0), INDEX($AC$1004:$AS$1004,1,MATCH(COLUMNS($AC$1006:AR1006),$AC$1006:$AS$1006,0)))),"Fix")))</f>
        <v xml:space="preserve"> </v>
      </c>
      <c r="R879" s="4" t="str">
        <f ca="1">IF(OR(INDEX($W$2:$W$1001,MATCH(ROWS($V$2:V879),$V$2:$V$1001,0),1)&gt;=100000,INDEX($AC$1005:$AS$1005,1,MATCH(COLUMNS($AC$1006:AS1006),$AC$1006:$AS$1006,0))&gt;=100000), " ",IF(INDEX($AC$2:$AS$1001,MATCH(ROWS($V$2:V879),$V$2:$V$1001,0),MATCH(COLUMNS($AC$1006:AS1006),$AC$1006:$AS$1006,0)), HYPERLINK("#",""), HYPERLINK(CONCATENATE("#metadata!", ADDRESS(INDEX($X$2:$X$1001,MATCH(ROWS($V$2:V879),$V$2:$V$1001,0),0), INDEX($AC$1004:$AS$1004,1,MATCH(COLUMNS($AC$1006:AS1006),$AC$1006:$AS$1006,0)))),"Fix")))</f>
        <v xml:space="preserve"> </v>
      </c>
      <c r="V879">
        <v>878</v>
      </c>
      <c r="W879">
        <v>100879</v>
      </c>
      <c r="X879">
        <v>879</v>
      </c>
      <c r="Y879" t="b">
        <f t="shared" si="13"/>
        <v>1</v>
      </c>
      <c r="Z879" t="b">
        <f>COUNTBLANK(metadata!B879:R879)=COLUMNS(metadata!B879:R879)</f>
        <v>1</v>
      </c>
      <c r="AA879" t="str">
        <v/>
      </c>
      <c r="AC879" t="b">
        <f ca="1"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AD879" t="b">
        <f>IF(metadata!C879="",FALSE,ISNUMBER(VALUE(metadata!C879)))</f>
        <v>0</v>
      </c>
      <c r="AE879" t="b">
        <f>AND(IF(metadata!D879="",FALSE,TRUE),EXACT(metadata!D879,"years"))</f>
        <v>0</v>
      </c>
      <c r="AF879" t="b">
        <f>OR(AND(IF(metadata!E879="",FALSE,TRUE),OR(EXACT(metadata!E879,"not applicable"),EXACT(metadata!E879,"missing: not collected"),EXACT(metadata!E879,"missing: not provided"),EXACT(metadata!E879,"missing: restricted access"))),AND(IF(metadata!E879="",FALSE,ISNUMBER(VALUE(metadata!E879))),metadata!E879&gt;0))</f>
        <v>0</v>
      </c>
      <c r="AG879" t="b">
        <f>AND(IF(metadata!F879="",FALSE,TRUE),EXACT(metadata!F879,"Not applicable"))</f>
        <v>0</v>
      </c>
      <c r="AH879" t="b">
        <f>AND(IF(metadata!G879="",FALSE,TRUE),EXACT(metadata!G879,"urban biome"))</f>
        <v>0</v>
      </c>
      <c r="AI879" t="b">
        <f>AND(IF(metadata!H879="",FALSE,TRUE),EXACT(metadata!H879,"human-associated habitat"))</f>
        <v>0</v>
      </c>
      <c r="AJ879" t="b">
        <f>AND(IF(metadata!I879="",FALSE,TRUE),OR(EXACT(metadata!I879,"human-associated"),EXACT(metadata!I879,"human-skin"),EXACT(metadata!I879,"human-oral"),EXACT(metadata!I879,"human-gut"),EXACT(metadata!I879,"human-vaginal")))</f>
        <v>0</v>
      </c>
      <c r="AK879" t="b">
        <f>IF(metadata!J879="",FALSE,ISNUMBER(VALUE(metadata!J879)))</f>
        <v>0</v>
      </c>
      <c r="AL879" t="b">
        <f>AND(IF(metadata!K879="",FALSE,TRUE),EXACT(metadata!K879,"cm"))</f>
        <v>0</v>
      </c>
      <c r="AM879" t="b">
        <f>AND(IF(metadata!L879="",FALSE,TRUE),EXACT(metadata!L879,"human"))</f>
        <v>0</v>
      </c>
      <c r="AN879" t="b">
        <f>AND(IF(metadata!M879="",FALSE,TRUE),EXACT(metadata!M879,"Homo sapiens"))</f>
        <v>0</v>
      </c>
      <c r="AO879" t="b">
        <f>AND(IF(metadata!N879="",FALSE,TRUE),EXACT(metadata!N879,"9606"))</f>
        <v>0</v>
      </c>
      <c r="AP879" t="b">
        <f>IF(metadata!O879="",FALSE,TRUE)</f>
        <v>0</v>
      </c>
      <c r="AQ879" t="b">
        <f>IF(metadata!P879="",FALSE,TRUE)</f>
        <v>0</v>
      </c>
      <c r="AR879" t="b">
        <f>IF(metadata!Q879="",FALSE,ISNUMBER(VALUE(metadata!Q879)))</f>
        <v>0</v>
      </c>
      <c r="AS879" t="b">
        <f>AND(IF(metadata!R879="",FALSE,TRUE),EXACT(metadata!R879,"kg"))</f>
        <v>0</v>
      </c>
    </row>
    <row r="880" spans="1:45" x14ac:dyDescent="0.2">
      <c r="A880" s="5" t="str">
        <f ca="1">IF(B880=" "," ",HYPERLINK(CONCATENATE("#metadata!",ADDRESS(INDEX($X$2:$X$1001,MATCH(ROWS($V$2:V880),$V$2:$V$1001,0),0),1)),INDEX($AA$2:$AA$1001,MATCH(ROWS($V$2:V880),$V$2:$V$1001,0),0)))</f>
        <v xml:space="preserve"> </v>
      </c>
      <c r="B880" s="4" t="str">
        <f ca="1">IF(OR(INDEX($W$2:$W$1001,MATCH(ROWS($V$2:V880),$V$2:$V$1001,0),1)&gt;=100000,INDEX($AC$1005:$AS$1005,1,MATCH(COLUMNS($AC$1006:AC1006),$AC$1006:$AS$1006,0))&gt;=100000), " ",IF(INDEX($AC$2:$AS$1001,MATCH(ROWS($V$2:V880),$V$2:$V$1001,0),MATCH(COLUMNS($AC$1006:AC1006),$AC$1006:$AS$1006,0)), HYPERLINK("#",""), HYPERLINK(CONCATENATE("#metadata!", ADDRESS(INDEX($X$2:$X$1001,MATCH(ROWS($V$2:V880),$V$2:$V$1001,0),0), INDEX($AC$1004:$AS$1004,1,MATCH(COLUMNS($AC$1006:AC1006),$AC$1006:$AS$1006,0)))),"Fix")))</f>
        <v xml:space="preserve"> </v>
      </c>
      <c r="C880" s="4" t="str">
        <f ca="1">IF(OR(INDEX($W$2:$W$1001,MATCH(ROWS($V$2:V880),$V$2:$V$1001,0),1)&gt;=100000,INDEX($AC$1005:$AS$1005,1,MATCH(COLUMNS($AC$1006:AD1006),$AC$1006:$AS$1006,0))&gt;=100000), " ",IF(INDEX($AC$2:$AS$1001,MATCH(ROWS($V$2:V880),$V$2:$V$1001,0),MATCH(COLUMNS($AC$1006:AD1006),$AC$1006:$AS$1006,0)), HYPERLINK("#",""), HYPERLINK(CONCATENATE("#metadata!", ADDRESS(INDEX($X$2:$X$1001,MATCH(ROWS($V$2:V880),$V$2:$V$1001,0),0), INDEX($AC$1004:$AS$1004,1,MATCH(COLUMNS($AC$1006:AD1006),$AC$1006:$AS$1006,0)))),"Fix")))</f>
        <v xml:space="preserve"> </v>
      </c>
      <c r="D880" s="4" t="str">
        <f ca="1">IF(OR(INDEX($W$2:$W$1001,MATCH(ROWS($V$2:V880),$V$2:$V$1001,0),1)&gt;=100000,INDEX($AC$1005:$AS$1005,1,MATCH(COLUMNS($AC$1006:AE1006),$AC$1006:$AS$1006,0))&gt;=100000), " ",IF(INDEX($AC$2:$AS$1001,MATCH(ROWS($V$2:V880),$V$2:$V$1001,0),MATCH(COLUMNS($AC$1006:AE1006),$AC$1006:$AS$1006,0)), HYPERLINK("#",""), HYPERLINK(CONCATENATE("#metadata!", ADDRESS(INDEX($X$2:$X$1001,MATCH(ROWS($V$2:V880),$V$2:$V$1001,0),0), INDEX($AC$1004:$AS$1004,1,MATCH(COLUMNS($AC$1006:AE1006),$AC$1006:$AS$1006,0)))),"Fix")))</f>
        <v xml:space="preserve"> </v>
      </c>
      <c r="E880" s="4" t="str">
        <f ca="1">IF(OR(INDEX($W$2:$W$1001,MATCH(ROWS($V$2:V880),$V$2:$V$1001,0),1)&gt;=100000,INDEX($AC$1005:$AS$1005,1,MATCH(COLUMNS($AC$1006:AF1006),$AC$1006:$AS$1006,0))&gt;=100000), " ",IF(INDEX($AC$2:$AS$1001,MATCH(ROWS($V$2:V880),$V$2:$V$1001,0),MATCH(COLUMNS($AC$1006:AF1006),$AC$1006:$AS$1006,0)), HYPERLINK("#",""), HYPERLINK(CONCATENATE("#metadata!", ADDRESS(INDEX($X$2:$X$1001,MATCH(ROWS($V$2:V880),$V$2:$V$1001,0),0), INDEX($AC$1004:$AS$1004,1,MATCH(COLUMNS($AC$1006:AF1006),$AC$1006:$AS$1006,0)))),"Fix")))</f>
        <v xml:space="preserve"> </v>
      </c>
      <c r="F880" s="4" t="str">
        <f ca="1">IF(OR(INDEX($W$2:$W$1001,MATCH(ROWS($V$2:V880),$V$2:$V$1001,0),1)&gt;=100000,INDEX($AC$1005:$AS$1005,1,MATCH(COLUMNS($AC$1006:AG1006),$AC$1006:$AS$1006,0))&gt;=100000), " ",IF(INDEX($AC$2:$AS$1001,MATCH(ROWS($V$2:V880),$V$2:$V$1001,0),MATCH(COLUMNS($AC$1006:AG1006),$AC$1006:$AS$1006,0)), HYPERLINK("#",""), HYPERLINK(CONCATENATE("#metadata!", ADDRESS(INDEX($X$2:$X$1001,MATCH(ROWS($V$2:V880),$V$2:$V$1001,0),0), INDEX($AC$1004:$AS$1004,1,MATCH(COLUMNS($AC$1006:AG1006),$AC$1006:$AS$1006,0)))),"Fix")))</f>
        <v xml:space="preserve"> </v>
      </c>
      <c r="G880" s="4" t="str">
        <f ca="1">IF(OR(INDEX($W$2:$W$1001,MATCH(ROWS($V$2:V880),$V$2:$V$1001,0),1)&gt;=100000,INDEX($AC$1005:$AS$1005,1,MATCH(COLUMNS($AC$1006:AH1006),$AC$1006:$AS$1006,0))&gt;=100000), " ",IF(INDEX($AC$2:$AS$1001,MATCH(ROWS($V$2:V880),$V$2:$V$1001,0),MATCH(COLUMNS($AC$1006:AH1006),$AC$1006:$AS$1006,0)), HYPERLINK("#",""), HYPERLINK(CONCATENATE("#metadata!", ADDRESS(INDEX($X$2:$X$1001,MATCH(ROWS($V$2:V880),$V$2:$V$1001,0),0), INDEX($AC$1004:$AS$1004,1,MATCH(COLUMNS($AC$1006:AH1006),$AC$1006:$AS$1006,0)))),"Fix")))</f>
        <v xml:space="preserve"> </v>
      </c>
      <c r="H880" s="4" t="str">
        <f ca="1">IF(OR(INDEX($W$2:$W$1001,MATCH(ROWS($V$2:V880),$V$2:$V$1001,0),1)&gt;=100000,INDEX($AC$1005:$AS$1005,1,MATCH(COLUMNS($AC$1006:AI1006),$AC$1006:$AS$1006,0))&gt;=100000), " ",IF(INDEX($AC$2:$AS$1001,MATCH(ROWS($V$2:V880),$V$2:$V$1001,0),MATCH(COLUMNS($AC$1006:AI1006),$AC$1006:$AS$1006,0)), HYPERLINK("#",""), HYPERLINK(CONCATENATE("#metadata!", ADDRESS(INDEX($X$2:$X$1001,MATCH(ROWS($V$2:V880),$V$2:$V$1001,0),0), INDEX($AC$1004:$AS$1004,1,MATCH(COLUMNS($AC$1006:AI1006),$AC$1006:$AS$1006,0)))),"Fix")))</f>
        <v xml:space="preserve"> </v>
      </c>
      <c r="I880" s="4" t="str">
        <f ca="1">IF(OR(INDEX($W$2:$W$1001,MATCH(ROWS($V$2:V880),$V$2:$V$1001,0),1)&gt;=100000,INDEX($AC$1005:$AS$1005,1,MATCH(COLUMNS($AC$1006:AJ1006),$AC$1006:$AS$1006,0))&gt;=100000), " ",IF(INDEX($AC$2:$AS$1001,MATCH(ROWS($V$2:V880),$V$2:$V$1001,0),MATCH(COLUMNS($AC$1006:AJ1006),$AC$1006:$AS$1006,0)), HYPERLINK("#",""), HYPERLINK(CONCATENATE("#metadata!", ADDRESS(INDEX($X$2:$X$1001,MATCH(ROWS($V$2:V880),$V$2:$V$1001,0),0), INDEX($AC$1004:$AS$1004,1,MATCH(COLUMNS($AC$1006:AJ1006),$AC$1006:$AS$1006,0)))),"Fix")))</f>
        <v xml:space="preserve"> </v>
      </c>
      <c r="J880" s="4" t="str">
        <f ca="1">IF(OR(INDEX($W$2:$W$1001,MATCH(ROWS($V$2:V880),$V$2:$V$1001,0),1)&gt;=100000,INDEX($AC$1005:$AS$1005,1,MATCH(COLUMNS($AC$1006:AK1006),$AC$1006:$AS$1006,0))&gt;=100000), " ",IF(INDEX($AC$2:$AS$1001,MATCH(ROWS($V$2:V880),$V$2:$V$1001,0),MATCH(COLUMNS($AC$1006:AK1006),$AC$1006:$AS$1006,0)), HYPERLINK("#",""), HYPERLINK(CONCATENATE("#metadata!", ADDRESS(INDEX($X$2:$X$1001,MATCH(ROWS($V$2:V880),$V$2:$V$1001,0),0), INDEX($AC$1004:$AS$1004,1,MATCH(COLUMNS($AC$1006:AK1006),$AC$1006:$AS$1006,0)))),"Fix")))</f>
        <v xml:space="preserve"> </v>
      </c>
      <c r="K880" s="4" t="str">
        <f ca="1">IF(OR(INDEX($W$2:$W$1001,MATCH(ROWS($V$2:V880),$V$2:$V$1001,0),1)&gt;=100000,INDEX($AC$1005:$AS$1005,1,MATCH(COLUMNS($AC$1006:AL1006),$AC$1006:$AS$1006,0))&gt;=100000), " ",IF(INDEX($AC$2:$AS$1001,MATCH(ROWS($V$2:V880),$V$2:$V$1001,0),MATCH(COLUMNS($AC$1006:AL1006),$AC$1006:$AS$1006,0)), HYPERLINK("#",""), HYPERLINK(CONCATENATE("#metadata!", ADDRESS(INDEX($X$2:$X$1001,MATCH(ROWS($V$2:V880),$V$2:$V$1001,0),0), INDEX($AC$1004:$AS$1004,1,MATCH(COLUMNS($AC$1006:AL1006),$AC$1006:$AS$1006,0)))),"Fix")))</f>
        <v xml:space="preserve"> </v>
      </c>
      <c r="L880" s="4" t="str">
        <f ca="1">IF(OR(INDEX($W$2:$W$1001,MATCH(ROWS($V$2:V880),$V$2:$V$1001,0),1)&gt;=100000,INDEX($AC$1005:$AS$1005,1,MATCH(COLUMNS($AC$1006:AM1006),$AC$1006:$AS$1006,0))&gt;=100000), " ",IF(INDEX($AC$2:$AS$1001,MATCH(ROWS($V$2:V880),$V$2:$V$1001,0),MATCH(COLUMNS($AC$1006:AM1006),$AC$1006:$AS$1006,0)), HYPERLINK("#",""), HYPERLINK(CONCATENATE("#metadata!", ADDRESS(INDEX($X$2:$X$1001,MATCH(ROWS($V$2:V880),$V$2:$V$1001,0),0), INDEX($AC$1004:$AS$1004,1,MATCH(COLUMNS($AC$1006:AM1006),$AC$1006:$AS$1006,0)))),"Fix")))</f>
        <v xml:space="preserve"> </v>
      </c>
      <c r="M880" s="4" t="str">
        <f ca="1">IF(OR(INDEX($W$2:$W$1001,MATCH(ROWS($V$2:V880),$V$2:$V$1001,0),1)&gt;=100000,INDEX($AC$1005:$AS$1005,1,MATCH(COLUMNS($AC$1006:AN1006),$AC$1006:$AS$1006,0))&gt;=100000), " ",IF(INDEX($AC$2:$AS$1001,MATCH(ROWS($V$2:V880),$V$2:$V$1001,0),MATCH(COLUMNS($AC$1006:AN1006),$AC$1006:$AS$1006,0)), HYPERLINK("#",""), HYPERLINK(CONCATENATE("#metadata!", ADDRESS(INDEX($X$2:$X$1001,MATCH(ROWS($V$2:V880),$V$2:$V$1001,0),0), INDEX($AC$1004:$AS$1004,1,MATCH(COLUMNS($AC$1006:AN1006),$AC$1006:$AS$1006,0)))),"Fix")))</f>
        <v xml:space="preserve"> </v>
      </c>
      <c r="N880" s="4" t="str">
        <f ca="1">IF(OR(INDEX($W$2:$W$1001,MATCH(ROWS($V$2:V880),$V$2:$V$1001,0),1)&gt;=100000,INDEX($AC$1005:$AS$1005,1,MATCH(COLUMNS($AC$1006:AO1006),$AC$1006:$AS$1006,0))&gt;=100000), " ",IF(INDEX($AC$2:$AS$1001,MATCH(ROWS($V$2:V880),$V$2:$V$1001,0),MATCH(COLUMNS($AC$1006:AO1006),$AC$1006:$AS$1006,0)), HYPERLINK("#",""), HYPERLINK(CONCATENATE("#metadata!", ADDRESS(INDEX($X$2:$X$1001,MATCH(ROWS($V$2:V880),$V$2:$V$1001,0),0), INDEX($AC$1004:$AS$1004,1,MATCH(COLUMNS($AC$1006:AO1006),$AC$1006:$AS$1006,0)))),"Fix")))</f>
        <v xml:space="preserve"> </v>
      </c>
      <c r="O880" s="4" t="str">
        <f ca="1">IF(OR(INDEX($W$2:$W$1001,MATCH(ROWS($V$2:V880),$V$2:$V$1001,0),1)&gt;=100000,INDEX($AC$1005:$AS$1005,1,MATCH(COLUMNS($AC$1006:AP1006),$AC$1006:$AS$1006,0))&gt;=100000), " ",IF(INDEX($AC$2:$AS$1001,MATCH(ROWS($V$2:V880),$V$2:$V$1001,0),MATCH(COLUMNS($AC$1006:AP1006),$AC$1006:$AS$1006,0)), HYPERLINK("#",""), HYPERLINK(CONCATENATE("#metadata!", ADDRESS(INDEX($X$2:$X$1001,MATCH(ROWS($V$2:V880),$V$2:$V$1001,0),0), INDEX($AC$1004:$AS$1004,1,MATCH(COLUMNS($AC$1006:AP1006),$AC$1006:$AS$1006,0)))),"Fix")))</f>
        <v xml:space="preserve"> </v>
      </c>
      <c r="P880" s="4" t="str">
        <f ca="1">IF(OR(INDEX($W$2:$W$1001,MATCH(ROWS($V$2:V880),$V$2:$V$1001,0),1)&gt;=100000,INDEX($AC$1005:$AS$1005,1,MATCH(COLUMNS($AC$1006:AQ1006),$AC$1006:$AS$1006,0))&gt;=100000), " ",IF(INDEX($AC$2:$AS$1001,MATCH(ROWS($V$2:V880),$V$2:$V$1001,0),MATCH(COLUMNS($AC$1006:AQ1006),$AC$1006:$AS$1006,0)), HYPERLINK("#",""), HYPERLINK(CONCATENATE("#metadata!", ADDRESS(INDEX($X$2:$X$1001,MATCH(ROWS($V$2:V880),$V$2:$V$1001,0),0), INDEX($AC$1004:$AS$1004,1,MATCH(COLUMNS($AC$1006:AQ1006),$AC$1006:$AS$1006,0)))),"Fix")))</f>
        <v xml:space="preserve"> </v>
      </c>
      <c r="Q880" s="4" t="str">
        <f ca="1">IF(OR(INDEX($W$2:$W$1001,MATCH(ROWS($V$2:V880),$V$2:$V$1001,0),1)&gt;=100000,INDEX($AC$1005:$AS$1005,1,MATCH(COLUMNS($AC$1006:AR1006),$AC$1006:$AS$1006,0))&gt;=100000), " ",IF(INDEX($AC$2:$AS$1001,MATCH(ROWS($V$2:V880),$V$2:$V$1001,0),MATCH(COLUMNS($AC$1006:AR1006),$AC$1006:$AS$1006,0)), HYPERLINK("#",""), HYPERLINK(CONCATENATE("#metadata!", ADDRESS(INDEX($X$2:$X$1001,MATCH(ROWS($V$2:V880),$V$2:$V$1001,0),0), INDEX($AC$1004:$AS$1004,1,MATCH(COLUMNS($AC$1006:AR1006),$AC$1006:$AS$1006,0)))),"Fix")))</f>
        <v xml:space="preserve"> </v>
      </c>
      <c r="R880" s="4" t="str">
        <f ca="1">IF(OR(INDEX($W$2:$W$1001,MATCH(ROWS($V$2:V880),$V$2:$V$1001,0),1)&gt;=100000,INDEX($AC$1005:$AS$1005,1,MATCH(COLUMNS($AC$1006:AS1006),$AC$1006:$AS$1006,0))&gt;=100000), " ",IF(INDEX($AC$2:$AS$1001,MATCH(ROWS($V$2:V880),$V$2:$V$1001,0),MATCH(COLUMNS($AC$1006:AS1006),$AC$1006:$AS$1006,0)), HYPERLINK("#",""), HYPERLINK(CONCATENATE("#metadata!", ADDRESS(INDEX($X$2:$X$1001,MATCH(ROWS($V$2:V880),$V$2:$V$1001,0),0), INDEX($AC$1004:$AS$1004,1,MATCH(COLUMNS($AC$1006:AS1006),$AC$1006:$AS$1006,0)))),"Fix")))</f>
        <v xml:space="preserve"> </v>
      </c>
      <c r="V880">
        <v>879</v>
      </c>
      <c r="W880">
        <v>100880</v>
      </c>
      <c r="X880">
        <v>880</v>
      </c>
      <c r="Y880" t="b">
        <f t="shared" si="13"/>
        <v>1</v>
      </c>
      <c r="Z880" t="b">
        <f>COUNTBLANK(metadata!B880:R880)=COLUMNS(metadata!B880:R880)</f>
        <v>1</v>
      </c>
      <c r="AA880" t="str">
        <v/>
      </c>
      <c r="AC880" t="b">
        <f ca="1"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AD880" t="b">
        <f>IF(metadata!C880="",FALSE,ISNUMBER(VALUE(metadata!C880)))</f>
        <v>0</v>
      </c>
      <c r="AE880" t="b">
        <f>AND(IF(metadata!D880="",FALSE,TRUE),EXACT(metadata!D880,"years"))</f>
        <v>0</v>
      </c>
      <c r="AF880" t="b">
        <f>OR(AND(IF(metadata!E880="",FALSE,TRUE),OR(EXACT(metadata!E880,"not applicable"),EXACT(metadata!E880,"missing: not collected"),EXACT(metadata!E880,"missing: not provided"),EXACT(metadata!E880,"missing: restricted access"))),AND(IF(metadata!E880="",FALSE,ISNUMBER(VALUE(metadata!E880))),metadata!E880&gt;0))</f>
        <v>0</v>
      </c>
      <c r="AG880" t="b">
        <f>AND(IF(metadata!F880="",FALSE,TRUE),EXACT(metadata!F880,"Not applicable"))</f>
        <v>0</v>
      </c>
      <c r="AH880" t="b">
        <f>AND(IF(metadata!G880="",FALSE,TRUE),EXACT(metadata!G880,"urban biome"))</f>
        <v>0</v>
      </c>
      <c r="AI880" t="b">
        <f>AND(IF(metadata!H880="",FALSE,TRUE),EXACT(metadata!H880,"human-associated habitat"))</f>
        <v>0</v>
      </c>
      <c r="AJ880" t="b">
        <f>AND(IF(metadata!I880="",FALSE,TRUE),OR(EXACT(metadata!I880,"human-associated"),EXACT(metadata!I880,"human-skin"),EXACT(metadata!I880,"human-oral"),EXACT(metadata!I880,"human-gut"),EXACT(metadata!I880,"human-vaginal")))</f>
        <v>0</v>
      </c>
      <c r="AK880" t="b">
        <f>IF(metadata!J880="",FALSE,ISNUMBER(VALUE(metadata!J880)))</f>
        <v>0</v>
      </c>
      <c r="AL880" t="b">
        <f>AND(IF(metadata!K880="",FALSE,TRUE),EXACT(metadata!K880,"cm"))</f>
        <v>0</v>
      </c>
      <c r="AM880" t="b">
        <f>AND(IF(metadata!L880="",FALSE,TRUE),EXACT(metadata!L880,"human"))</f>
        <v>0</v>
      </c>
      <c r="AN880" t="b">
        <f>AND(IF(metadata!M880="",FALSE,TRUE),EXACT(metadata!M880,"Homo sapiens"))</f>
        <v>0</v>
      </c>
      <c r="AO880" t="b">
        <f>AND(IF(metadata!N880="",FALSE,TRUE),EXACT(metadata!N880,"9606"))</f>
        <v>0</v>
      </c>
      <c r="AP880" t="b">
        <f>IF(metadata!O880="",FALSE,TRUE)</f>
        <v>0</v>
      </c>
      <c r="AQ880" t="b">
        <f>IF(metadata!P880="",FALSE,TRUE)</f>
        <v>0</v>
      </c>
      <c r="AR880" t="b">
        <f>IF(metadata!Q880="",FALSE,ISNUMBER(VALUE(metadata!Q880)))</f>
        <v>0</v>
      </c>
      <c r="AS880" t="b">
        <f>AND(IF(metadata!R880="",FALSE,TRUE),EXACT(metadata!R880,"kg"))</f>
        <v>0</v>
      </c>
    </row>
    <row r="881" spans="1:45" x14ac:dyDescent="0.2">
      <c r="A881" s="5" t="str">
        <f ca="1">IF(B881=" "," ",HYPERLINK(CONCATENATE("#metadata!",ADDRESS(INDEX($X$2:$X$1001,MATCH(ROWS($V$2:V881),$V$2:$V$1001,0),0),1)),INDEX($AA$2:$AA$1001,MATCH(ROWS($V$2:V881),$V$2:$V$1001,0),0)))</f>
        <v xml:space="preserve"> </v>
      </c>
      <c r="B881" s="4" t="str">
        <f ca="1">IF(OR(INDEX($W$2:$W$1001,MATCH(ROWS($V$2:V881),$V$2:$V$1001,0),1)&gt;=100000,INDEX($AC$1005:$AS$1005,1,MATCH(COLUMNS($AC$1006:AC1006),$AC$1006:$AS$1006,0))&gt;=100000), " ",IF(INDEX($AC$2:$AS$1001,MATCH(ROWS($V$2:V881),$V$2:$V$1001,0),MATCH(COLUMNS($AC$1006:AC1006),$AC$1006:$AS$1006,0)), HYPERLINK("#",""), HYPERLINK(CONCATENATE("#metadata!", ADDRESS(INDEX($X$2:$X$1001,MATCH(ROWS($V$2:V881),$V$2:$V$1001,0),0), INDEX($AC$1004:$AS$1004,1,MATCH(COLUMNS($AC$1006:AC1006),$AC$1006:$AS$1006,0)))),"Fix")))</f>
        <v xml:space="preserve"> </v>
      </c>
      <c r="C881" s="4" t="str">
        <f ca="1">IF(OR(INDEX($W$2:$W$1001,MATCH(ROWS($V$2:V881),$V$2:$V$1001,0),1)&gt;=100000,INDEX($AC$1005:$AS$1005,1,MATCH(COLUMNS($AC$1006:AD1006),$AC$1006:$AS$1006,0))&gt;=100000), " ",IF(INDEX($AC$2:$AS$1001,MATCH(ROWS($V$2:V881),$V$2:$V$1001,0),MATCH(COLUMNS($AC$1006:AD1006),$AC$1006:$AS$1006,0)), HYPERLINK("#",""), HYPERLINK(CONCATENATE("#metadata!", ADDRESS(INDEX($X$2:$X$1001,MATCH(ROWS($V$2:V881),$V$2:$V$1001,0),0), INDEX($AC$1004:$AS$1004,1,MATCH(COLUMNS($AC$1006:AD1006),$AC$1006:$AS$1006,0)))),"Fix")))</f>
        <v xml:space="preserve"> </v>
      </c>
      <c r="D881" s="4" t="str">
        <f ca="1">IF(OR(INDEX($W$2:$W$1001,MATCH(ROWS($V$2:V881),$V$2:$V$1001,0),1)&gt;=100000,INDEX($AC$1005:$AS$1005,1,MATCH(COLUMNS($AC$1006:AE1006),$AC$1006:$AS$1006,0))&gt;=100000), " ",IF(INDEX($AC$2:$AS$1001,MATCH(ROWS($V$2:V881),$V$2:$V$1001,0),MATCH(COLUMNS($AC$1006:AE1006),$AC$1006:$AS$1006,0)), HYPERLINK("#",""), HYPERLINK(CONCATENATE("#metadata!", ADDRESS(INDEX($X$2:$X$1001,MATCH(ROWS($V$2:V881),$V$2:$V$1001,0),0), INDEX($AC$1004:$AS$1004,1,MATCH(COLUMNS($AC$1006:AE1006),$AC$1006:$AS$1006,0)))),"Fix")))</f>
        <v xml:space="preserve"> </v>
      </c>
      <c r="E881" s="4" t="str">
        <f ca="1">IF(OR(INDEX($W$2:$W$1001,MATCH(ROWS($V$2:V881),$V$2:$V$1001,0),1)&gt;=100000,INDEX($AC$1005:$AS$1005,1,MATCH(COLUMNS($AC$1006:AF1006),$AC$1006:$AS$1006,0))&gt;=100000), " ",IF(INDEX($AC$2:$AS$1001,MATCH(ROWS($V$2:V881),$V$2:$V$1001,0),MATCH(COLUMNS($AC$1006:AF1006),$AC$1006:$AS$1006,0)), HYPERLINK("#",""), HYPERLINK(CONCATENATE("#metadata!", ADDRESS(INDEX($X$2:$X$1001,MATCH(ROWS($V$2:V881),$V$2:$V$1001,0),0), INDEX($AC$1004:$AS$1004,1,MATCH(COLUMNS($AC$1006:AF1006),$AC$1006:$AS$1006,0)))),"Fix")))</f>
        <v xml:space="preserve"> </v>
      </c>
      <c r="F881" s="4" t="str">
        <f ca="1">IF(OR(INDEX($W$2:$W$1001,MATCH(ROWS($V$2:V881),$V$2:$V$1001,0),1)&gt;=100000,INDEX($AC$1005:$AS$1005,1,MATCH(COLUMNS($AC$1006:AG1006),$AC$1006:$AS$1006,0))&gt;=100000), " ",IF(INDEX($AC$2:$AS$1001,MATCH(ROWS($V$2:V881),$V$2:$V$1001,0),MATCH(COLUMNS($AC$1006:AG1006),$AC$1006:$AS$1006,0)), HYPERLINK("#",""), HYPERLINK(CONCATENATE("#metadata!", ADDRESS(INDEX($X$2:$X$1001,MATCH(ROWS($V$2:V881),$V$2:$V$1001,0),0), INDEX($AC$1004:$AS$1004,1,MATCH(COLUMNS($AC$1006:AG1006),$AC$1006:$AS$1006,0)))),"Fix")))</f>
        <v xml:space="preserve"> </v>
      </c>
      <c r="G881" s="4" t="str">
        <f ca="1">IF(OR(INDEX($W$2:$W$1001,MATCH(ROWS($V$2:V881),$V$2:$V$1001,0),1)&gt;=100000,INDEX($AC$1005:$AS$1005,1,MATCH(COLUMNS($AC$1006:AH1006),$AC$1006:$AS$1006,0))&gt;=100000), " ",IF(INDEX($AC$2:$AS$1001,MATCH(ROWS($V$2:V881),$V$2:$V$1001,0),MATCH(COLUMNS($AC$1006:AH1006),$AC$1006:$AS$1006,0)), HYPERLINK("#",""), HYPERLINK(CONCATENATE("#metadata!", ADDRESS(INDEX($X$2:$X$1001,MATCH(ROWS($V$2:V881),$V$2:$V$1001,0),0), INDEX($AC$1004:$AS$1004,1,MATCH(COLUMNS($AC$1006:AH1006),$AC$1006:$AS$1006,0)))),"Fix")))</f>
        <v xml:space="preserve"> </v>
      </c>
      <c r="H881" s="4" t="str">
        <f ca="1">IF(OR(INDEX($W$2:$W$1001,MATCH(ROWS($V$2:V881),$V$2:$V$1001,0),1)&gt;=100000,INDEX($AC$1005:$AS$1005,1,MATCH(COLUMNS($AC$1006:AI1006),$AC$1006:$AS$1006,0))&gt;=100000), " ",IF(INDEX($AC$2:$AS$1001,MATCH(ROWS($V$2:V881),$V$2:$V$1001,0),MATCH(COLUMNS($AC$1006:AI1006),$AC$1006:$AS$1006,0)), HYPERLINK("#",""), HYPERLINK(CONCATENATE("#metadata!", ADDRESS(INDEX($X$2:$X$1001,MATCH(ROWS($V$2:V881),$V$2:$V$1001,0),0), INDEX($AC$1004:$AS$1004,1,MATCH(COLUMNS($AC$1006:AI1006),$AC$1006:$AS$1006,0)))),"Fix")))</f>
        <v xml:space="preserve"> </v>
      </c>
      <c r="I881" s="4" t="str">
        <f ca="1">IF(OR(INDEX($W$2:$W$1001,MATCH(ROWS($V$2:V881),$V$2:$V$1001,0),1)&gt;=100000,INDEX($AC$1005:$AS$1005,1,MATCH(COLUMNS($AC$1006:AJ1006),$AC$1006:$AS$1006,0))&gt;=100000), " ",IF(INDEX($AC$2:$AS$1001,MATCH(ROWS($V$2:V881),$V$2:$V$1001,0),MATCH(COLUMNS($AC$1006:AJ1006),$AC$1006:$AS$1006,0)), HYPERLINK("#",""), HYPERLINK(CONCATENATE("#metadata!", ADDRESS(INDEX($X$2:$X$1001,MATCH(ROWS($V$2:V881),$V$2:$V$1001,0),0), INDEX($AC$1004:$AS$1004,1,MATCH(COLUMNS($AC$1006:AJ1006),$AC$1006:$AS$1006,0)))),"Fix")))</f>
        <v xml:space="preserve"> </v>
      </c>
      <c r="J881" s="4" t="str">
        <f ca="1">IF(OR(INDEX($W$2:$W$1001,MATCH(ROWS($V$2:V881),$V$2:$V$1001,0),1)&gt;=100000,INDEX($AC$1005:$AS$1005,1,MATCH(COLUMNS($AC$1006:AK1006),$AC$1006:$AS$1006,0))&gt;=100000), " ",IF(INDEX($AC$2:$AS$1001,MATCH(ROWS($V$2:V881),$V$2:$V$1001,0),MATCH(COLUMNS($AC$1006:AK1006),$AC$1006:$AS$1006,0)), HYPERLINK("#",""), HYPERLINK(CONCATENATE("#metadata!", ADDRESS(INDEX($X$2:$X$1001,MATCH(ROWS($V$2:V881),$V$2:$V$1001,0),0), INDEX($AC$1004:$AS$1004,1,MATCH(COLUMNS($AC$1006:AK1006),$AC$1006:$AS$1006,0)))),"Fix")))</f>
        <v xml:space="preserve"> </v>
      </c>
      <c r="K881" s="4" t="str">
        <f ca="1">IF(OR(INDEX($W$2:$W$1001,MATCH(ROWS($V$2:V881),$V$2:$V$1001,0),1)&gt;=100000,INDEX($AC$1005:$AS$1005,1,MATCH(COLUMNS($AC$1006:AL1006),$AC$1006:$AS$1006,0))&gt;=100000), " ",IF(INDEX($AC$2:$AS$1001,MATCH(ROWS($V$2:V881),$V$2:$V$1001,0),MATCH(COLUMNS($AC$1006:AL1006),$AC$1006:$AS$1006,0)), HYPERLINK("#",""), HYPERLINK(CONCATENATE("#metadata!", ADDRESS(INDEX($X$2:$X$1001,MATCH(ROWS($V$2:V881),$V$2:$V$1001,0),0), INDEX($AC$1004:$AS$1004,1,MATCH(COLUMNS($AC$1006:AL1006),$AC$1006:$AS$1006,0)))),"Fix")))</f>
        <v xml:space="preserve"> </v>
      </c>
      <c r="L881" s="4" t="str">
        <f ca="1">IF(OR(INDEX($W$2:$W$1001,MATCH(ROWS($V$2:V881),$V$2:$V$1001,0),1)&gt;=100000,INDEX($AC$1005:$AS$1005,1,MATCH(COLUMNS($AC$1006:AM1006),$AC$1006:$AS$1006,0))&gt;=100000), " ",IF(INDEX($AC$2:$AS$1001,MATCH(ROWS($V$2:V881),$V$2:$V$1001,0),MATCH(COLUMNS($AC$1006:AM1006),$AC$1006:$AS$1006,0)), HYPERLINK("#",""), HYPERLINK(CONCATENATE("#metadata!", ADDRESS(INDEX($X$2:$X$1001,MATCH(ROWS($V$2:V881),$V$2:$V$1001,0),0), INDEX($AC$1004:$AS$1004,1,MATCH(COLUMNS($AC$1006:AM1006),$AC$1006:$AS$1006,0)))),"Fix")))</f>
        <v xml:space="preserve"> </v>
      </c>
      <c r="M881" s="4" t="str">
        <f ca="1">IF(OR(INDEX($W$2:$W$1001,MATCH(ROWS($V$2:V881),$V$2:$V$1001,0),1)&gt;=100000,INDEX($AC$1005:$AS$1005,1,MATCH(COLUMNS($AC$1006:AN1006),$AC$1006:$AS$1006,0))&gt;=100000), " ",IF(INDEX($AC$2:$AS$1001,MATCH(ROWS($V$2:V881),$V$2:$V$1001,0),MATCH(COLUMNS($AC$1006:AN1006),$AC$1006:$AS$1006,0)), HYPERLINK("#",""), HYPERLINK(CONCATENATE("#metadata!", ADDRESS(INDEX($X$2:$X$1001,MATCH(ROWS($V$2:V881),$V$2:$V$1001,0),0), INDEX($AC$1004:$AS$1004,1,MATCH(COLUMNS($AC$1006:AN1006),$AC$1006:$AS$1006,0)))),"Fix")))</f>
        <v xml:space="preserve"> </v>
      </c>
      <c r="N881" s="4" t="str">
        <f ca="1">IF(OR(INDEX($W$2:$W$1001,MATCH(ROWS($V$2:V881),$V$2:$V$1001,0),1)&gt;=100000,INDEX($AC$1005:$AS$1005,1,MATCH(COLUMNS($AC$1006:AO1006),$AC$1006:$AS$1006,0))&gt;=100000), " ",IF(INDEX($AC$2:$AS$1001,MATCH(ROWS($V$2:V881),$V$2:$V$1001,0),MATCH(COLUMNS($AC$1006:AO1006),$AC$1006:$AS$1006,0)), HYPERLINK("#",""), HYPERLINK(CONCATENATE("#metadata!", ADDRESS(INDEX($X$2:$X$1001,MATCH(ROWS($V$2:V881),$V$2:$V$1001,0),0), INDEX($AC$1004:$AS$1004,1,MATCH(COLUMNS($AC$1006:AO1006),$AC$1006:$AS$1006,0)))),"Fix")))</f>
        <v xml:space="preserve"> </v>
      </c>
      <c r="O881" s="4" t="str">
        <f ca="1">IF(OR(INDEX($W$2:$W$1001,MATCH(ROWS($V$2:V881),$V$2:$V$1001,0),1)&gt;=100000,INDEX($AC$1005:$AS$1005,1,MATCH(COLUMNS($AC$1006:AP1006),$AC$1006:$AS$1006,0))&gt;=100000), " ",IF(INDEX($AC$2:$AS$1001,MATCH(ROWS($V$2:V881),$V$2:$V$1001,0),MATCH(COLUMNS($AC$1006:AP1006),$AC$1006:$AS$1006,0)), HYPERLINK("#",""), HYPERLINK(CONCATENATE("#metadata!", ADDRESS(INDEX($X$2:$X$1001,MATCH(ROWS($V$2:V881),$V$2:$V$1001,0),0), INDEX($AC$1004:$AS$1004,1,MATCH(COLUMNS($AC$1006:AP1006),$AC$1006:$AS$1006,0)))),"Fix")))</f>
        <v xml:space="preserve"> </v>
      </c>
      <c r="P881" s="4" t="str">
        <f ca="1">IF(OR(INDEX($W$2:$W$1001,MATCH(ROWS($V$2:V881),$V$2:$V$1001,0),1)&gt;=100000,INDEX($AC$1005:$AS$1005,1,MATCH(COLUMNS($AC$1006:AQ1006),$AC$1006:$AS$1006,0))&gt;=100000), " ",IF(INDEX($AC$2:$AS$1001,MATCH(ROWS($V$2:V881),$V$2:$V$1001,0),MATCH(COLUMNS($AC$1006:AQ1006),$AC$1006:$AS$1006,0)), HYPERLINK("#",""), HYPERLINK(CONCATENATE("#metadata!", ADDRESS(INDEX($X$2:$X$1001,MATCH(ROWS($V$2:V881),$V$2:$V$1001,0),0), INDEX($AC$1004:$AS$1004,1,MATCH(COLUMNS($AC$1006:AQ1006),$AC$1006:$AS$1006,0)))),"Fix")))</f>
        <v xml:space="preserve"> </v>
      </c>
      <c r="Q881" s="4" t="str">
        <f ca="1">IF(OR(INDEX($W$2:$W$1001,MATCH(ROWS($V$2:V881),$V$2:$V$1001,0),1)&gt;=100000,INDEX($AC$1005:$AS$1005,1,MATCH(COLUMNS($AC$1006:AR1006),$AC$1006:$AS$1006,0))&gt;=100000), " ",IF(INDEX($AC$2:$AS$1001,MATCH(ROWS($V$2:V881),$V$2:$V$1001,0),MATCH(COLUMNS($AC$1006:AR1006),$AC$1006:$AS$1006,0)), HYPERLINK("#",""), HYPERLINK(CONCATENATE("#metadata!", ADDRESS(INDEX($X$2:$X$1001,MATCH(ROWS($V$2:V881),$V$2:$V$1001,0),0), INDEX($AC$1004:$AS$1004,1,MATCH(COLUMNS($AC$1006:AR1006),$AC$1006:$AS$1006,0)))),"Fix")))</f>
        <v xml:space="preserve"> </v>
      </c>
      <c r="R881" s="4" t="str">
        <f ca="1">IF(OR(INDEX($W$2:$W$1001,MATCH(ROWS($V$2:V881),$V$2:$V$1001,0),1)&gt;=100000,INDEX($AC$1005:$AS$1005,1,MATCH(COLUMNS($AC$1006:AS1006),$AC$1006:$AS$1006,0))&gt;=100000), " ",IF(INDEX($AC$2:$AS$1001,MATCH(ROWS($V$2:V881),$V$2:$V$1001,0),MATCH(COLUMNS($AC$1006:AS1006),$AC$1006:$AS$1006,0)), HYPERLINK("#",""), HYPERLINK(CONCATENATE("#metadata!", ADDRESS(INDEX($X$2:$X$1001,MATCH(ROWS($V$2:V881),$V$2:$V$1001,0),0), INDEX($AC$1004:$AS$1004,1,MATCH(COLUMNS($AC$1006:AS1006),$AC$1006:$AS$1006,0)))),"Fix")))</f>
        <v xml:space="preserve"> </v>
      </c>
      <c r="V881">
        <v>880</v>
      </c>
      <c r="W881">
        <v>100881</v>
      </c>
      <c r="X881">
        <v>881</v>
      </c>
      <c r="Y881" t="b">
        <f t="shared" si="13"/>
        <v>1</v>
      </c>
      <c r="Z881" t="b">
        <f>COUNTBLANK(metadata!B881:R881)=COLUMNS(metadata!B881:R881)</f>
        <v>1</v>
      </c>
      <c r="AA881" t="str">
        <v/>
      </c>
      <c r="AC881" t="b">
        <f ca="1"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AD881" t="b">
        <f>IF(metadata!C881="",FALSE,ISNUMBER(VALUE(metadata!C881)))</f>
        <v>0</v>
      </c>
      <c r="AE881" t="b">
        <f>AND(IF(metadata!D881="",FALSE,TRUE),EXACT(metadata!D881,"years"))</f>
        <v>0</v>
      </c>
      <c r="AF881" t="b">
        <f>OR(AND(IF(metadata!E881="",FALSE,TRUE),OR(EXACT(metadata!E881,"not applicable"),EXACT(metadata!E881,"missing: not collected"),EXACT(metadata!E881,"missing: not provided"),EXACT(metadata!E881,"missing: restricted access"))),AND(IF(metadata!E881="",FALSE,ISNUMBER(VALUE(metadata!E881))),metadata!E881&gt;0))</f>
        <v>0</v>
      </c>
      <c r="AG881" t="b">
        <f>AND(IF(metadata!F881="",FALSE,TRUE),EXACT(metadata!F881,"Not applicable"))</f>
        <v>0</v>
      </c>
      <c r="AH881" t="b">
        <f>AND(IF(metadata!G881="",FALSE,TRUE),EXACT(metadata!G881,"urban biome"))</f>
        <v>0</v>
      </c>
      <c r="AI881" t="b">
        <f>AND(IF(metadata!H881="",FALSE,TRUE),EXACT(metadata!H881,"human-associated habitat"))</f>
        <v>0</v>
      </c>
      <c r="AJ881" t="b">
        <f>AND(IF(metadata!I881="",FALSE,TRUE),OR(EXACT(metadata!I881,"human-associated"),EXACT(metadata!I881,"human-skin"),EXACT(metadata!I881,"human-oral"),EXACT(metadata!I881,"human-gut"),EXACT(metadata!I881,"human-vaginal")))</f>
        <v>0</v>
      </c>
      <c r="AK881" t="b">
        <f>IF(metadata!J881="",FALSE,ISNUMBER(VALUE(metadata!J881)))</f>
        <v>0</v>
      </c>
      <c r="AL881" t="b">
        <f>AND(IF(metadata!K881="",FALSE,TRUE),EXACT(metadata!K881,"cm"))</f>
        <v>0</v>
      </c>
      <c r="AM881" t="b">
        <f>AND(IF(metadata!L881="",FALSE,TRUE),EXACT(metadata!L881,"human"))</f>
        <v>0</v>
      </c>
      <c r="AN881" t="b">
        <f>AND(IF(metadata!M881="",FALSE,TRUE),EXACT(metadata!M881,"Homo sapiens"))</f>
        <v>0</v>
      </c>
      <c r="AO881" t="b">
        <f>AND(IF(metadata!N881="",FALSE,TRUE),EXACT(metadata!N881,"9606"))</f>
        <v>0</v>
      </c>
      <c r="AP881" t="b">
        <f>IF(metadata!O881="",FALSE,TRUE)</f>
        <v>0</v>
      </c>
      <c r="AQ881" t="b">
        <f>IF(metadata!P881="",FALSE,TRUE)</f>
        <v>0</v>
      </c>
      <c r="AR881" t="b">
        <f>IF(metadata!Q881="",FALSE,ISNUMBER(VALUE(metadata!Q881)))</f>
        <v>0</v>
      </c>
      <c r="AS881" t="b">
        <f>AND(IF(metadata!R881="",FALSE,TRUE),EXACT(metadata!R881,"kg"))</f>
        <v>0</v>
      </c>
    </row>
    <row r="882" spans="1:45" x14ac:dyDescent="0.2">
      <c r="A882" s="5" t="str">
        <f ca="1">IF(B882=" "," ",HYPERLINK(CONCATENATE("#metadata!",ADDRESS(INDEX($X$2:$X$1001,MATCH(ROWS($V$2:V882),$V$2:$V$1001,0),0),1)),INDEX($AA$2:$AA$1001,MATCH(ROWS($V$2:V882),$V$2:$V$1001,0),0)))</f>
        <v xml:space="preserve"> </v>
      </c>
      <c r="B882" s="4" t="str">
        <f ca="1">IF(OR(INDEX($W$2:$W$1001,MATCH(ROWS($V$2:V882),$V$2:$V$1001,0),1)&gt;=100000,INDEX($AC$1005:$AS$1005,1,MATCH(COLUMNS($AC$1006:AC1006),$AC$1006:$AS$1006,0))&gt;=100000), " ",IF(INDEX($AC$2:$AS$1001,MATCH(ROWS($V$2:V882),$V$2:$V$1001,0),MATCH(COLUMNS($AC$1006:AC1006),$AC$1006:$AS$1006,0)), HYPERLINK("#",""), HYPERLINK(CONCATENATE("#metadata!", ADDRESS(INDEX($X$2:$X$1001,MATCH(ROWS($V$2:V882),$V$2:$V$1001,0),0), INDEX($AC$1004:$AS$1004,1,MATCH(COLUMNS($AC$1006:AC1006),$AC$1006:$AS$1006,0)))),"Fix")))</f>
        <v xml:space="preserve"> </v>
      </c>
      <c r="C882" s="4" t="str">
        <f ca="1">IF(OR(INDEX($W$2:$W$1001,MATCH(ROWS($V$2:V882),$V$2:$V$1001,0),1)&gt;=100000,INDEX($AC$1005:$AS$1005,1,MATCH(COLUMNS($AC$1006:AD1006),$AC$1006:$AS$1006,0))&gt;=100000), " ",IF(INDEX($AC$2:$AS$1001,MATCH(ROWS($V$2:V882),$V$2:$V$1001,0),MATCH(COLUMNS($AC$1006:AD1006),$AC$1006:$AS$1006,0)), HYPERLINK("#",""), HYPERLINK(CONCATENATE("#metadata!", ADDRESS(INDEX($X$2:$X$1001,MATCH(ROWS($V$2:V882),$V$2:$V$1001,0),0), INDEX($AC$1004:$AS$1004,1,MATCH(COLUMNS($AC$1006:AD1006),$AC$1006:$AS$1006,0)))),"Fix")))</f>
        <v xml:space="preserve"> </v>
      </c>
      <c r="D882" s="4" t="str">
        <f ca="1">IF(OR(INDEX($W$2:$W$1001,MATCH(ROWS($V$2:V882),$V$2:$V$1001,0),1)&gt;=100000,INDEX($AC$1005:$AS$1005,1,MATCH(COLUMNS($AC$1006:AE1006),$AC$1006:$AS$1006,0))&gt;=100000), " ",IF(INDEX($AC$2:$AS$1001,MATCH(ROWS($V$2:V882),$V$2:$V$1001,0),MATCH(COLUMNS($AC$1006:AE1006),$AC$1006:$AS$1006,0)), HYPERLINK("#",""), HYPERLINK(CONCATENATE("#metadata!", ADDRESS(INDEX($X$2:$X$1001,MATCH(ROWS($V$2:V882),$V$2:$V$1001,0),0), INDEX($AC$1004:$AS$1004,1,MATCH(COLUMNS($AC$1006:AE1006),$AC$1006:$AS$1006,0)))),"Fix")))</f>
        <v xml:space="preserve"> </v>
      </c>
      <c r="E882" s="4" t="str">
        <f ca="1">IF(OR(INDEX($W$2:$W$1001,MATCH(ROWS($V$2:V882),$V$2:$V$1001,0),1)&gt;=100000,INDEX($AC$1005:$AS$1005,1,MATCH(COLUMNS($AC$1006:AF1006),$AC$1006:$AS$1006,0))&gt;=100000), " ",IF(INDEX($AC$2:$AS$1001,MATCH(ROWS($V$2:V882),$V$2:$V$1001,0),MATCH(COLUMNS($AC$1006:AF1006),$AC$1006:$AS$1006,0)), HYPERLINK("#",""), HYPERLINK(CONCATENATE("#metadata!", ADDRESS(INDEX($X$2:$X$1001,MATCH(ROWS($V$2:V882),$V$2:$V$1001,0),0), INDEX($AC$1004:$AS$1004,1,MATCH(COLUMNS($AC$1006:AF1006),$AC$1006:$AS$1006,0)))),"Fix")))</f>
        <v xml:space="preserve"> </v>
      </c>
      <c r="F882" s="4" t="str">
        <f ca="1">IF(OR(INDEX($W$2:$W$1001,MATCH(ROWS($V$2:V882),$V$2:$V$1001,0),1)&gt;=100000,INDEX($AC$1005:$AS$1005,1,MATCH(COLUMNS($AC$1006:AG1006),$AC$1006:$AS$1006,0))&gt;=100000), " ",IF(INDEX($AC$2:$AS$1001,MATCH(ROWS($V$2:V882),$V$2:$V$1001,0),MATCH(COLUMNS($AC$1006:AG1006),$AC$1006:$AS$1006,0)), HYPERLINK("#",""), HYPERLINK(CONCATENATE("#metadata!", ADDRESS(INDEX($X$2:$X$1001,MATCH(ROWS($V$2:V882),$V$2:$V$1001,0),0), INDEX($AC$1004:$AS$1004,1,MATCH(COLUMNS($AC$1006:AG1006),$AC$1006:$AS$1006,0)))),"Fix")))</f>
        <v xml:space="preserve"> </v>
      </c>
      <c r="G882" s="4" t="str">
        <f ca="1">IF(OR(INDEX($W$2:$W$1001,MATCH(ROWS($V$2:V882),$V$2:$V$1001,0),1)&gt;=100000,INDEX($AC$1005:$AS$1005,1,MATCH(COLUMNS($AC$1006:AH1006),$AC$1006:$AS$1006,0))&gt;=100000), " ",IF(INDEX($AC$2:$AS$1001,MATCH(ROWS($V$2:V882),$V$2:$V$1001,0),MATCH(COLUMNS($AC$1006:AH1006),$AC$1006:$AS$1006,0)), HYPERLINK("#",""), HYPERLINK(CONCATENATE("#metadata!", ADDRESS(INDEX($X$2:$X$1001,MATCH(ROWS($V$2:V882),$V$2:$V$1001,0),0), INDEX($AC$1004:$AS$1004,1,MATCH(COLUMNS($AC$1006:AH1006),$AC$1006:$AS$1006,0)))),"Fix")))</f>
        <v xml:space="preserve"> </v>
      </c>
      <c r="H882" s="4" t="str">
        <f ca="1">IF(OR(INDEX($W$2:$W$1001,MATCH(ROWS($V$2:V882),$V$2:$V$1001,0),1)&gt;=100000,INDEX($AC$1005:$AS$1005,1,MATCH(COLUMNS($AC$1006:AI1006),$AC$1006:$AS$1006,0))&gt;=100000), " ",IF(INDEX($AC$2:$AS$1001,MATCH(ROWS($V$2:V882),$V$2:$V$1001,0),MATCH(COLUMNS($AC$1006:AI1006),$AC$1006:$AS$1006,0)), HYPERLINK("#",""), HYPERLINK(CONCATENATE("#metadata!", ADDRESS(INDEX($X$2:$X$1001,MATCH(ROWS($V$2:V882),$V$2:$V$1001,0),0), INDEX($AC$1004:$AS$1004,1,MATCH(COLUMNS($AC$1006:AI1006),$AC$1006:$AS$1006,0)))),"Fix")))</f>
        <v xml:space="preserve"> </v>
      </c>
      <c r="I882" s="4" t="str">
        <f ca="1">IF(OR(INDEX($W$2:$W$1001,MATCH(ROWS($V$2:V882),$V$2:$V$1001,0),1)&gt;=100000,INDEX($AC$1005:$AS$1005,1,MATCH(COLUMNS($AC$1006:AJ1006),$AC$1006:$AS$1006,0))&gt;=100000), " ",IF(INDEX($AC$2:$AS$1001,MATCH(ROWS($V$2:V882),$V$2:$V$1001,0),MATCH(COLUMNS($AC$1006:AJ1006),$AC$1006:$AS$1006,0)), HYPERLINK("#",""), HYPERLINK(CONCATENATE("#metadata!", ADDRESS(INDEX($X$2:$X$1001,MATCH(ROWS($V$2:V882),$V$2:$V$1001,0),0), INDEX($AC$1004:$AS$1004,1,MATCH(COLUMNS($AC$1006:AJ1006),$AC$1006:$AS$1006,0)))),"Fix")))</f>
        <v xml:space="preserve"> </v>
      </c>
      <c r="J882" s="4" t="str">
        <f ca="1">IF(OR(INDEX($W$2:$W$1001,MATCH(ROWS($V$2:V882),$V$2:$V$1001,0),1)&gt;=100000,INDEX($AC$1005:$AS$1005,1,MATCH(COLUMNS($AC$1006:AK1006),$AC$1006:$AS$1006,0))&gt;=100000), " ",IF(INDEX($AC$2:$AS$1001,MATCH(ROWS($V$2:V882),$V$2:$V$1001,0),MATCH(COLUMNS($AC$1006:AK1006),$AC$1006:$AS$1006,0)), HYPERLINK("#",""), HYPERLINK(CONCATENATE("#metadata!", ADDRESS(INDEX($X$2:$X$1001,MATCH(ROWS($V$2:V882),$V$2:$V$1001,0),0), INDEX($AC$1004:$AS$1004,1,MATCH(COLUMNS($AC$1006:AK1006),$AC$1006:$AS$1006,0)))),"Fix")))</f>
        <v xml:space="preserve"> </v>
      </c>
      <c r="K882" s="4" t="str">
        <f ca="1">IF(OR(INDEX($W$2:$W$1001,MATCH(ROWS($V$2:V882),$V$2:$V$1001,0),1)&gt;=100000,INDEX($AC$1005:$AS$1005,1,MATCH(COLUMNS($AC$1006:AL1006),$AC$1006:$AS$1006,0))&gt;=100000), " ",IF(INDEX($AC$2:$AS$1001,MATCH(ROWS($V$2:V882),$V$2:$V$1001,0),MATCH(COLUMNS($AC$1006:AL1006),$AC$1006:$AS$1006,0)), HYPERLINK("#",""), HYPERLINK(CONCATENATE("#metadata!", ADDRESS(INDEX($X$2:$X$1001,MATCH(ROWS($V$2:V882),$V$2:$V$1001,0),0), INDEX($AC$1004:$AS$1004,1,MATCH(COLUMNS($AC$1006:AL1006),$AC$1006:$AS$1006,0)))),"Fix")))</f>
        <v xml:space="preserve"> </v>
      </c>
      <c r="L882" s="4" t="str">
        <f ca="1">IF(OR(INDEX($W$2:$W$1001,MATCH(ROWS($V$2:V882),$V$2:$V$1001,0),1)&gt;=100000,INDEX($AC$1005:$AS$1005,1,MATCH(COLUMNS($AC$1006:AM1006),$AC$1006:$AS$1006,0))&gt;=100000), " ",IF(INDEX($AC$2:$AS$1001,MATCH(ROWS($V$2:V882),$V$2:$V$1001,0),MATCH(COLUMNS($AC$1006:AM1006),$AC$1006:$AS$1006,0)), HYPERLINK("#",""), HYPERLINK(CONCATENATE("#metadata!", ADDRESS(INDEX($X$2:$X$1001,MATCH(ROWS($V$2:V882),$V$2:$V$1001,0),0), INDEX($AC$1004:$AS$1004,1,MATCH(COLUMNS($AC$1006:AM1006),$AC$1006:$AS$1006,0)))),"Fix")))</f>
        <v xml:space="preserve"> </v>
      </c>
      <c r="M882" s="4" t="str">
        <f ca="1">IF(OR(INDEX($W$2:$W$1001,MATCH(ROWS($V$2:V882),$V$2:$V$1001,0),1)&gt;=100000,INDEX($AC$1005:$AS$1005,1,MATCH(COLUMNS($AC$1006:AN1006),$AC$1006:$AS$1006,0))&gt;=100000), " ",IF(INDEX($AC$2:$AS$1001,MATCH(ROWS($V$2:V882),$V$2:$V$1001,0),MATCH(COLUMNS($AC$1006:AN1006),$AC$1006:$AS$1006,0)), HYPERLINK("#",""), HYPERLINK(CONCATENATE("#metadata!", ADDRESS(INDEX($X$2:$X$1001,MATCH(ROWS($V$2:V882),$V$2:$V$1001,0),0), INDEX($AC$1004:$AS$1004,1,MATCH(COLUMNS($AC$1006:AN1006),$AC$1006:$AS$1006,0)))),"Fix")))</f>
        <v xml:space="preserve"> </v>
      </c>
      <c r="N882" s="4" t="str">
        <f ca="1">IF(OR(INDEX($W$2:$W$1001,MATCH(ROWS($V$2:V882),$V$2:$V$1001,0),1)&gt;=100000,INDEX($AC$1005:$AS$1005,1,MATCH(COLUMNS($AC$1006:AO1006),$AC$1006:$AS$1006,0))&gt;=100000), " ",IF(INDEX($AC$2:$AS$1001,MATCH(ROWS($V$2:V882),$V$2:$V$1001,0),MATCH(COLUMNS($AC$1006:AO1006),$AC$1006:$AS$1006,0)), HYPERLINK("#",""), HYPERLINK(CONCATENATE("#metadata!", ADDRESS(INDEX($X$2:$X$1001,MATCH(ROWS($V$2:V882),$V$2:$V$1001,0),0), INDEX($AC$1004:$AS$1004,1,MATCH(COLUMNS($AC$1006:AO1006),$AC$1006:$AS$1006,0)))),"Fix")))</f>
        <v xml:space="preserve"> </v>
      </c>
      <c r="O882" s="4" t="str">
        <f ca="1">IF(OR(INDEX($W$2:$W$1001,MATCH(ROWS($V$2:V882),$V$2:$V$1001,0),1)&gt;=100000,INDEX($AC$1005:$AS$1005,1,MATCH(COLUMNS($AC$1006:AP1006),$AC$1006:$AS$1006,0))&gt;=100000), " ",IF(INDEX($AC$2:$AS$1001,MATCH(ROWS($V$2:V882),$V$2:$V$1001,0),MATCH(COLUMNS($AC$1006:AP1006),$AC$1006:$AS$1006,0)), HYPERLINK("#",""), HYPERLINK(CONCATENATE("#metadata!", ADDRESS(INDEX($X$2:$X$1001,MATCH(ROWS($V$2:V882),$V$2:$V$1001,0),0), INDEX($AC$1004:$AS$1004,1,MATCH(COLUMNS($AC$1006:AP1006),$AC$1006:$AS$1006,0)))),"Fix")))</f>
        <v xml:space="preserve"> </v>
      </c>
      <c r="P882" s="4" t="str">
        <f ca="1">IF(OR(INDEX($W$2:$W$1001,MATCH(ROWS($V$2:V882),$V$2:$V$1001,0),1)&gt;=100000,INDEX($AC$1005:$AS$1005,1,MATCH(COLUMNS($AC$1006:AQ1006),$AC$1006:$AS$1006,0))&gt;=100000), " ",IF(INDEX($AC$2:$AS$1001,MATCH(ROWS($V$2:V882),$V$2:$V$1001,0),MATCH(COLUMNS($AC$1006:AQ1006),$AC$1006:$AS$1006,0)), HYPERLINK("#",""), HYPERLINK(CONCATENATE("#metadata!", ADDRESS(INDEX($X$2:$X$1001,MATCH(ROWS($V$2:V882),$V$2:$V$1001,0),0), INDEX($AC$1004:$AS$1004,1,MATCH(COLUMNS($AC$1006:AQ1006),$AC$1006:$AS$1006,0)))),"Fix")))</f>
        <v xml:space="preserve"> </v>
      </c>
      <c r="Q882" s="4" t="str">
        <f ca="1">IF(OR(INDEX($W$2:$W$1001,MATCH(ROWS($V$2:V882),$V$2:$V$1001,0),1)&gt;=100000,INDEX($AC$1005:$AS$1005,1,MATCH(COLUMNS($AC$1006:AR1006),$AC$1006:$AS$1006,0))&gt;=100000), " ",IF(INDEX($AC$2:$AS$1001,MATCH(ROWS($V$2:V882),$V$2:$V$1001,0),MATCH(COLUMNS($AC$1006:AR1006),$AC$1006:$AS$1006,0)), HYPERLINK("#",""), HYPERLINK(CONCATENATE("#metadata!", ADDRESS(INDEX($X$2:$X$1001,MATCH(ROWS($V$2:V882),$V$2:$V$1001,0),0), INDEX($AC$1004:$AS$1004,1,MATCH(COLUMNS($AC$1006:AR1006),$AC$1006:$AS$1006,0)))),"Fix")))</f>
        <v xml:space="preserve"> </v>
      </c>
      <c r="R882" s="4" t="str">
        <f ca="1">IF(OR(INDEX($W$2:$W$1001,MATCH(ROWS($V$2:V882),$V$2:$V$1001,0),1)&gt;=100000,INDEX($AC$1005:$AS$1005,1,MATCH(COLUMNS($AC$1006:AS1006),$AC$1006:$AS$1006,0))&gt;=100000), " ",IF(INDEX($AC$2:$AS$1001,MATCH(ROWS($V$2:V882),$V$2:$V$1001,0),MATCH(COLUMNS($AC$1006:AS1006),$AC$1006:$AS$1006,0)), HYPERLINK("#",""), HYPERLINK(CONCATENATE("#metadata!", ADDRESS(INDEX($X$2:$X$1001,MATCH(ROWS($V$2:V882),$V$2:$V$1001,0),0), INDEX($AC$1004:$AS$1004,1,MATCH(COLUMNS($AC$1006:AS1006),$AC$1006:$AS$1006,0)))),"Fix")))</f>
        <v xml:space="preserve"> </v>
      </c>
      <c r="V882">
        <v>881</v>
      </c>
      <c r="W882">
        <v>100882</v>
      </c>
      <c r="X882">
        <v>882</v>
      </c>
      <c r="Y882" t="b">
        <f t="shared" si="13"/>
        <v>1</v>
      </c>
      <c r="Z882" t="b">
        <f>COUNTBLANK(metadata!B882:R882)=COLUMNS(metadata!B882:R882)</f>
        <v>1</v>
      </c>
      <c r="AA882" t="str">
        <v/>
      </c>
      <c r="AC882" t="b">
        <f ca="1"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AD882" t="b">
        <f>IF(metadata!C882="",FALSE,ISNUMBER(VALUE(metadata!C882)))</f>
        <v>0</v>
      </c>
      <c r="AE882" t="b">
        <f>AND(IF(metadata!D882="",FALSE,TRUE),EXACT(metadata!D882,"years"))</f>
        <v>0</v>
      </c>
      <c r="AF882" t="b">
        <f>OR(AND(IF(metadata!E882="",FALSE,TRUE),OR(EXACT(metadata!E882,"not applicable"),EXACT(metadata!E882,"missing: not collected"),EXACT(metadata!E882,"missing: not provided"),EXACT(metadata!E882,"missing: restricted access"))),AND(IF(metadata!E882="",FALSE,ISNUMBER(VALUE(metadata!E882))),metadata!E882&gt;0))</f>
        <v>0</v>
      </c>
      <c r="AG882" t="b">
        <f>AND(IF(metadata!F882="",FALSE,TRUE),EXACT(metadata!F882,"Not applicable"))</f>
        <v>0</v>
      </c>
      <c r="AH882" t="b">
        <f>AND(IF(metadata!G882="",FALSE,TRUE),EXACT(metadata!G882,"urban biome"))</f>
        <v>0</v>
      </c>
      <c r="AI882" t="b">
        <f>AND(IF(metadata!H882="",FALSE,TRUE),EXACT(metadata!H882,"human-associated habitat"))</f>
        <v>0</v>
      </c>
      <c r="AJ882" t="b">
        <f>AND(IF(metadata!I882="",FALSE,TRUE),OR(EXACT(metadata!I882,"human-associated"),EXACT(metadata!I882,"human-skin"),EXACT(metadata!I882,"human-oral"),EXACT(metadata!I882,"human-gut"),EXACT(metadata!I882,"human-vaginal")))</f>
        <v>0</v>
      </c>
      <c r="AK882" t="b">
        <f>IF(metadata!J882="",FALSE,ISNUMBER(VALUE(metadata!J882)))</f>
        <v>0</v>
      </c>
      <c r="AL882" t="b">
        <f>AND(IF(metadata!K882="",FALSE,TRUE),EXACT(metadata!K882,"cm"))</f>
        <v>0</v>
      </c>
      <c r="AM882" t="b">
        <f>AND(IF(metadata!L882="",FALSE,TRUE),EXACT(metadata!L882,"human"))</f>
        <v>0</v>
      </c>
      <c r="AN882" t="b">
        <f>AND(IF(metadata!M882="",FALSE,TRUE),EXACT(metadata!M882,"Homo sapiens"))</f>
        <v>0</v>
      </c>
      <c r="AO882" t="b">
        <f>AND(IF(metadata!N882="",FALSE,TRUE),EXACT(metadata!N882,"9606"))</f>
        <v>0</v>
      </c>
      <c r="AP882" t="b">
        <f>IF(metadata!O882="",FALSE,TRUE)</f>
        <v>0</v>
      </c>
      <c r="AQ882" t="b">
        <f>IF(metadata!P882="",FALSE,TRUE)</f>
        <v>0</v>
      </c>
      <c r="AR882" t="b">
        <f>IF(metadata!Q882="",FALSE,ISNUMBER(VALUE(metadata!Q882)))</f>
        <v>0</v>
      </c>
      <c r="AS882" t="b">
        <f>AND(IF(metadata!R882="",FALSE,TRUE),EXACT(metadata!R882,"kg"))</f>
        <v>0</v>
      </c>
    </row>
    <row r="883" spans="1:45" x14ac:dyDescent="0.2">
      <c r="A883" s="5" t="str">
        <f ca="1">IF(B883=" "," ",HYPERLINK(CONCATENATE("#metadata!",ADDRESS(INDEX($X$2:$X$1001,MATCH(ROWS($V$2:V883),$V$2:$V$1001,0),0),1)),INDEX($AA$2:$AA$1001,MATCH(ROWS($V$2:V883),$V$2:$V$1001,0),0)))</f>
        <v xml:space="preserve"> </v>
      </c>
      <c r="B883" s="4" t="str">
        <f ca="1">IF(OR(INDEX($W$2:$W$1001,MATCH(ROWS($V$2:V883),$V$2:$V$1001,0),1)&gt;=100000,INDEX($AC$1005:$AS$1005,1,MATCH(COLUMNS($AC$1006:AC1006),$AC$1006:$AS$1006,0))&gt;=100000), " ",IF(INDEX($AC$2:$AS$1001,MATCH(ROWS($V$2:V883),$V$2:$V$1001,0),MATCH(COLUMNS($AC$1006:AC1006),$AC$1006:$AS$1006,0)), HYPERLINK("#",""), HYPERLINK(CONCATENATE("#metadata!", ADDRESS(INDEX($X$2:$X$1001,MATCH(ROWS($V$2:V883),$V$2:$V$1001,0),0), INDEX($AC$1004:$AS$1004,1,MATCH(COLUMNS($AC$1006:AC1006),$AC$1006:$AS$1006,0)))),"Fix")))</f>
        <v xml:space="preserve"> </v>
      </c>
      <c r="C883" s="4" t="str">
        <f ca="1">IF(OR(INDEX($W$2:$W$1001,MATCH(ROWS($V$2:V883),$V$2:$V$1001,0),1)&gt;=100000,INDEX($AC$1005:$AS$1005,1,MATCH(COLUMNS($AC$1006:AD1006),$AC$1006:$AS$1006,0))&gt;=100000), " ",IF(INDEX($AC$2:$AS$1001,MATCH(ROWS($V$2:V883),$V$2:$V$1001,0),MATCH(COLUMNS($AC$1006:AD1006),$AC$1006:$AS$1006,0)), HYPERLINK("#",""), HYPERLINK(CONCATENATE("#metadata!", ADDRESS(INDEX($X$2:$X$1001,MATCH(ROWS($V$2:V883),$V$2:$V$1001,0),0), INDEX($AC$1004:$AS$1004,1,MATCH(COLUMNS($AC$1006:AD1006),$AC$1006:$AS$1006,0)))),"Fix")))</f>
        <v xml:space="preserve"> </v>
      </c>
      <c r="D883" s="4" t="str">
        <f ca="1">IF(OR(INDEX($W$2:$W$1001,MATCH(ROWS($V$2:V883),$V$2:$V$1001,0),1)&gt;=100000,INDEX($AC$1005:$AS$1005,1,MATCH(COLUMNS($AC$1006:AE1006),$AC$1006:$AS$1006,0))&gt;=100000), " ",IF(INDEX($AC$2:$AS$1001,MATCH(ROWS($V$2:V883),$V$2:$V$1001,0),MATCH(COLUMNS($AC$1006:AE1006),$AC$1006:$AS$1006,0)), HYPERLINK("#",""), HYPERLINK(CONCATENATE("#metadata!", ADDRESS(INDEX($X$2:$X$1001,MATCH(ROWS($V$2:V883),$V$2:$V$1001,0),0), INDEX($AC$1004:$AS$1004,1,MATCH(COLUMNS($AC$1006:AE1006),$AC$1006:$AS$1006,0)))),"Fix")))</f>
        <v xml:space="preserve"> </v>
      </c>
      <c r="E883" s="4" t="str">
        <f ca="1">IF(OR(INDEX($W$2:$W$1001,MATCH(ROWS($V$2:V883),$V$2:$V$1001,0),1)&gt;=100000,INDEX($AC$1005:$AS$1005,1,MATCH(COLUMNS($AC$1006:AF1006),$AC$1006:$AS$1006,0))&gt;=100000), " ",IF(INDEX($AC$2:$AS$1001,MATCH(ROWS($V$2:V883),$V$2:$V$1001,0),MATCH(COLUMNS($AC$1006:AF1006),$AC$1006:$AS$1006,0)), HYPERLINK("#",""), HYPERLINK(CONCATENATE("#metadata!", ADDRESS(INDEX($X$2:$X$1001,MATCH(ROWS($V$2:V883),$V$2:$V$1001,0),0), INDEX($AC$1004:$AS$1004,1,MATCH(COLUMNS($AC$1006:AF1006),$AC$1006:$AS$1006,0)))),"Fix")))</f>
        <v xml:space="preserve"> </v>
      </c>
      <c r="F883" s="4" t="str">
        <f ca="1">IF(OR(INDEX($W$2:$W$1001,MATCH(ROWS($V$2:V883),$V$2:$V$1001,0),1)&gt;=100000,INDEX($AC$1005:$AS$1005,1,MATCH(COLUMNS($AC$1006:AG1006),$AC$1006:$AS$1006,0))&gt;=100000), " ",IF(INDEX($AC$2:$AS$1001,MATCH(ROWS($V$2:V883),$V$2:$V$1001,0),MATCH(COLUMNS($AC$1006:AG1006),$AC$1006:$AS$1006,0)), HYPERLINK("#",""), HYPERLINK(CONCATENATE("#metadata!", ADDRESS(INDEX($X$2:$X$1001,MATCH(ROWS($V$2:V883),$V$2:$V$1001,0),0), INDEX($AC$1004:$AS$1004,1,MATCH(COLUMNS($AC$1006:AG1006),$AC$1006:$AS$1006,0)))),"Fix")))</f>
        <v xml:space="preserve"> </v>
      </c>
      <c r="G883" s="4" t="str">
        <f ca="1">IF(OR(INDEX($W$2:$W$1001,MATCH(ROWS($V$2:V883),$V$2:$V$1001,0),1)&gt;=100000,INDEX($AC$1005:$AS$1005,1,MATCH(COLUMNS($AC$1006:AH1006),$AC$1006:$AS$1006,0))&gt;=100000), " ",IF(INDEX($AC$2:$AS$1001,MATCH(ROWS($V$2:V883),$V$2:$V$1001,0),MATCH(COLUMNS($AC$1006:AH1006),$AC$1006:$AS$1006,0)), HYPERLINK("#",""), HYPERLINK(CONCATENATE("#metadata!", ADDRESS(INDEX($X$2:$X$1001,MATCH(ROWS($V$2:V883),$V$2:$V$1001,0),0), INDEX($AC$1004:$AS$1004,1,MATCH(COLUMNS($AC$1006:AH1006),$AC$1006:$AS$1006,0)))),"Fix")))</f>
        <v xml:space="preserve"> </v>
      </c>
      <c r="H883" s="4" t="str">
        <f ca="1">IF(OR(INDEX($W$2:$W$1001,MATCH(ROWS($V$2:V883),$V$2:$V$1001,0),1)&gt;=100000,INDEX($AC$1005:$AS$1005,1,MATCH(COLUMNS($AC$1006:AI1006),$AC$1006:$AS$1006,0))&gt;=100000), " ",IF(INDEX($AC$2:$AS$1001,MATCH(ROWS($V$2:V883),$V$2:$V$1001,0),MATCH(COLUMNS($AC$1006:AI1006),$AC$1006:$AS$1006,0)), HYPERLINK("#",""), HYPERLINK(CONCATENATE("#metadata!", ADDRESS(INDEX($X$2:$X$1001,MATCH(ROWS($V$2:V883),$V$2:$V$1001,0),0), INDEX($AC$1004:$AS$1004,1,MATCH(COLUMNS($AC$1006:AI1006),$AC$1006:$AS$1006,0)))),"Fix")))</f>
        <v xml:space="preserve"> </v>
      </c>
      <c r="I883" s="4" t="str">
        <f ca="1">IF(OR(INDEX($W$2:$W$1001,MATCH(ROWS($V$2:V883),$V$2:$V$1001,0),1)&gt;=100000,INDEX($AC$1005:$AS$1005,1,MATCH(COLUMNS($AC$1006:AJ1006),$AC$1006:$AS$1006,0))&gt;=100000), " ",IF(INDEX($AC$2:$AS$1001,MATCH(ROWS($V$2:V883),$V$2:$V$1001,0),MATCH(COLUMNS($AC$1006:AJ1006),$AC$1006:$AS$1006,0)), HYPERLINK("#",""), HYPERLINK(CONCATENATE("#metadata!", ADDRESS(INDEX($X$2:$X$1001,MATCH(ROWS($V$2:V883),$V$2:$V$1001,0),0), INDEX($AC$1004:$AS$1004,1,MATCH(COLUMNS($AC$1006:AJ1006),$AC$1006:$AS$1006,0)))),"Fix")))</f>
        <v xml:space="preserve"> </v>
      </c>
      <c r="J883" s="4" t="str">
        <f ca="1">IF(OR(INDEX($W$2:$W$1001,MATCH(ROWS($V$2:V883),$V$2:$V$1001,0),1)&gt;=100000,INDEX($AC$1005:$AS$1005,1,MATCH(COLUMNS($AC$1006:AK1006),$AC$1006:$AS$1006,0))&gt;=100000), " ",IF(INDEX($AC$2:$AS$1001,MATCH(ROWS($V$2:V883),$V$2:$V$1001,0),MATCH(COLUMNS($AC$1006:AK1006),$AC$1006:$AS$1006,0)), HYPERLINK("#",""), HYPERLINK(CONCATENATE("#metadata!", ADDRESS(INDEX($X$2:$X$1001,MATCH(ROWS($V$2:V883),$V$2:$V$1001,0),0), INDEX($AC$1004:$AS$1004,1,MATCH(COLUMNS($AC$1006:AK1006),$AC$1006:$AS$1006,0)))),"Fix")))</f>
        <v xml:space="preserve"> </v>
      </c>
      <c r="K883" s="4" t="str">
        <f ca="1">IF(OR(INDEX($W$2:$W$1001,MATCH(ROWS($V$2:V883),$V$2:$V$1001,0),1)&gt;=100000,INDEX($AC$1005:$AS$1005,1,MATCH(COLUMNS($AC$1006:AL1006),$AC$1006:$AS$1006,0))&gt;=100000), " ",IF(INDEX($AC$2:$AS$1001,MATCH(ROWS($V$2:V883),$V$2:$V$1001,0),MATCH(COLUMNS($AC$1006:AL1006),$AC$1006:$AS$1006,0)), HYPERLINK("#",""), HYPERLINK(CONCATENATE("#metadata!", ADDRESS(INDEX($X$2:$X$1001,MATCH(ROWS($V$2:V883),$V$2:$V$1001,0),0), INDEX($AC$1004:$AS$1004,1,MATCH(COLUMNS($AC$1006:AL1006),$AC$1006:$AS$1006,0)))),"Fix")))</f>
        <v xml:space="preserve"> </v>
      </c>
      <c r="L883" s="4" t="str">
        <f ca="1">IF(OR(INDEX($W$2:$W$1001,MATCH(ROWS($V$2:V883),$V$2:$V$1001,0),1)&gt;=100000,INDEX($AC$1005:$AS$1005,1,MATCH(COLUMNS($AC$1006:AM1006),$AC$1006:$AS$1006,0))&gt;=100000), " ",IF(INDEX($AC$2:$AS$1001,MATCH(ROWS($V$2:V883),$V$2:$V$1001,0),MATCH(COLUMNS($AC$1006:AM1006),$AC$1006:$AS$1006,0)), HYPERLINK("#",""), HYPERLINK(CONCATENATE("#metadata!", ADDRESS(INDEX($X$2:$X$1001,MATCH(ROWS($V$2:V883),$V$2:$V$1001,0),0), INDEX($AC$1004:$AS$1004,1,MATCH(COLUMNS($AC$1006:AM1006),$AC$1006:$AS$1006,0)))),"Fix")))</f>
        <v xml:space="preserve"> </v>
      </c>
      <c r="M883" s="4" t="str">
        <f ca="1">IF(OR(INDEX($W$2:$W$1001,MATCH(ROWS($V$2:V883),$V$2:$V$1001,0),1)&gt;=100000,INDEX($AC$1005:$AS$1005,1,MATCH(COLUMNS($AC$1006:AN1006),$AC$1006:$AS$1006,0))&gt;=100000), " ",IF(INDEX($AC$2:$AS$1001,MATCH(ROWS($V$2:V883),$V$2:$V$1001,0),MATCH(COLUMNS($AC$1006:AN1006),$AC$1006:$AS$1006,0)), HYPERLINK("#",""), HYPERLINK(CONCATENATE("#metadata!", ADDRESS(INDEX($X$2:$X$1001,MATCH(ROWS($V$2:V883),$V$2:$V$1001,0),0), INDEX($AC$1004:$AS$1004,1,MATCH(COLUMNS($AC$1006:AN1006),$AC$1006:$AS$1006,0)))),"Fix")))</f>
        <v xml:space="preserve"> </v>
      </c>
      <c r="N883" s="4" t="str">
        <f ca="1">IF(OR(INDEX($W$2:$W$1001,MATCH(ROWS($V$2:V883),$V$2:$V$1001,0),1)&gt;=100000,INDEX($AC$1005:$AS$1005,1,MATCH(COLUMNS($AC$1006:AO1006),$AC$1006:$AS$1006,0))&gt;=100000), " ",IF(INDEX($AC$2:$AS$1001,MATCH(ROWS($V$2:V883),$V$2:$V$1001,0),MATCH(COLUMNS($AC$1006:AO1006),$AC$1006:$AS$1006,0)), HYPERLINK("#",""), HYPERLINK(CONCATENATE("#metadata!", ADDRESS(INDEX($X$2:$X$1001,MATCH(ROWS($V$2:V883),$V$2:$V$1001,0),0), INDEX($AC$1004:$AS$1004,1,MATCH(COLUMNS($AC$1006:AO1006),$AC$1006:$AS$1006,0)))),"Fix")))</f>
        <v xml:space="preserve"> </v>
      </c>
      <c r="O883" s="4" t="str">
        <f ca="1">IF(OR(INDEX($W$2:$W$1001,MATCH(ROWS($V$2:V883),$V$2:$V$1001,0),1)&gt;=100000,INDEX($AC$1005:$AS$1005,1,MATCH(COLUMNS($AC$1006:AP1006),$AC$1006:$AS$1006,0))&gt;=100000), " ",IF(INDEX($AC$2:$AS$1001,MATCH(ROWS($V$2:V883),$V$2:$V$1001,0),MATCH(COLUMNS($AC$1006:AP1006),$AC$1006:$AS$1006,0)), HYPERLINK("#",""), HYPERLINK(CONCATENATE("#metadata!", ADDRESS(INDEX($X$2:$X$1001,MATCH(ROWS($V$2:V883),$V$2:$V$1001,0),0), INDEX($AC$1004:$AS$1004,1,MATCH(COLUMNS($AC$1006:AP1006),$AC$1006:$AS$1006,0)))),"Fix")))</f>
        <v xml:space="preserve"> </v>
      </c>
      <c r="P883" s="4" t="str">
        <f ca="1">IF(OR(INDEX($W$2:$W$1001,MATCH(ROWS($V$2:V883),$V$2:$V$1001,0),1)&gt;=100000,INDEX($AC$1005:$AS$1005,1,MATCH(COLUMNS($AC$1006:AQ1006),$AC$1006:$AS$1006,0))&gt;=100000), " ",IF(INDEX($AC$2:$AS$1001,MATCH(ROWS($V$2:V883),$V$2:$V$1001,0),MATCH(COLUMNS($AC$1006:AQ1006),$AC$1006:$AS$1006,0)), HYPERLINK("#",""), HYPERLINK(CONCATENATE("#metadata!", ADDRESS(INDEX($X$2:$X$1001,MATCH(ROWS($V$2:V883),$V$2:$V$1001,0),0), INDEX($AC$1004:$AS$1004,1,MATCH(COLUMNS($AC$1006:AQ1006),$AC$1006:$AS$1006,0)))),"Fix")))</f>
        <v xml:space="preserve"> </v>
      </c>
      <c r="Q883" s="4" t="str">
        <f ca="1">IF(OR(INDEX($W$2:$W$1001,MATCH(ROWS($V$2:V883),$V$2:$V$1001,0),1)&gt;=100000,INDEX($AC$1005:$AS$1005,1,MATCH(COLUMNS($AC$1006:AR1006),$AC$1006:$AS$1006,0))&gt;=100000), " ",IF(INDEX($AC$2:$AS$1001,MATCH(ROWS($V$2:V883),$V$2:$V$1001,0),MATCH(COLUMNS($AC$1006:AR1006),$AC$1006:$AS$1006,0)), HYPERLINK("#",""), HYPERLINK(CONCATENATE("#metadata!", ADDRESS(INDEX($X$2:$X$1001,MATCH(ROWS($V$2:V883),$V$2:$V$1001,0),0), INDEX($AC$1004:$AS$1004,1,MATCH(COLUMNS($AC$1006:AR1006),$AC$1006:$AS$1006,0)))),"Fix")))</f>
        <v xml:space="preserve"> </v>
      </c>
      <c r="R883" s="4" t="str">
        <f ca="1">IF(OR(INDEX($W$2:$W$1001,MATCH(ROWS($V$2:V883),$V$2:$V$1001,0),1)&gt;=100000,INDEX($AC$1005:$AS$1005,1,MATCH(COLUMNS($AC$1006:AS1006),$AC$1006:$AS$1006,0))&gt;=100000), " ",IF(INDEX($AC$2:$AS$1001,MATCH(ROWS($V$2:V883),$V$2:$V$1001,0),MATCH(COLUMNS($AC$1006:AS1006),$AC$1006:$AS$1006,0)), HYPERLINK("#",""), HYPERLINK(CONCATENATE("#metadata!", ADDRESS(INDEX($X$2:$X$1001,MATCH(ROWS($V$2:V883),$V$2:$V$1001,0),0), INDEX($AC$1004:$AS$1004,1,MATCH(COLUMNS($AC$1006:AS1006),$AC$1006:$AS$1006,0)))),"Fix")))</f>
        <v xml:space="preserve"> </v>
      </c>
      <c r="V883">
        <v>882</v>
      </c>
      <c r="W883">
        <v>100883</v>
      </c>
      <c r="X883">
        <v>883</v>
      </c>
      <c r="Y883" t="b">
        <f t="shared" si="13"/>
        <v>1</v>
      </c>
      <c r="Z883" t="b">
        <f>COUNTBLANK(metadata!B883:R883)=COLUMNS(metadata!B883:R883)</f>
        <v>1</v>
      </c>
      <c r="AA883" t="str">
        <v/>
      </c>
      <c r="AC883" t="b">
        <f ca="1"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AD883" t="b">
        <f>IF(metadata!C883="",FALSE,ISNUMBER(VALUE(metadata!C883)))</f>
        <v>0</v>
      </c>
      <c r="AE883" t="b">
        <f>AND(IF(metadata!D883="",FALSE,TRUE),EXACT(metadata!D883,"years"))</f>
        <v>0</v>
      </c>
      <c r="AF883" t="b">
        <f>OR(AND(IF(metadata!E883="",FALSE,TRUE),OR(EXACT(metadata!E883,"not applicable"),EXACT(metadata!E883,"missing: not collected"),EXACT(metadata!E883,"missing: not provided"),EXACT(metadata!E883,"missing: restricted access"))),AND(IF(metadata!E883="",FALSE,ISNUMBER(VALUE(metadata!E883))),metadata!E883&gt;0))</f>
        <v>0</v>
      </c>
      <c r="AG883" t="b">
        <f>AND(IF(metadata!F883="",FALSE,TRUE),EXACT(metadata!F883,"Not applicable"))</f>
        <v>0</v>
      </c>
      <c r="AH883" t="b">
        <f>AND(IF(metadata!G883="",FALSE,TRUE),EXACT(metadata!G883,"urban biome"))</f>
        <v>0</v>
      </c>
      <c r="AI883" t="b">
        <f>AND(IF(metadata!H883="",FALSE,TRUE),EXACT(metadata!H883,"human-associated habitat"))</f>
        <v>0</v>
      </c>
      <c r="AJ883" t="b">
        <f>AND(IF(metadata!I883="",FALSE,TRUE),OR(EXACT(metadata!I883,"human-associated"),EXACT(metadata!I883,"human-skin"),EXACT(metadata!I883,"human-oral"),EXACT(metadata!I883,"human-gut"),EXACT(metadata!I883,"human-vaginal")))</f>
        <v>0</v>
      </c>
      <c r="AK883" t="b">
        <f>IF(metadata!J883="",FALSE,ISNUMBER(VALUE(metadata!J883)))</f>
        <v>0</v>
      </c>
      <c r="AL883" t="b">
        <f>AND(IF(metadata!K883="",FALSE,TRUE),EXACT(metadata!K883,"cm"))</f>
        <v>0</v>
      </c>
      <c r="AM883" t="b">
        <f>AND(IF(metadata!L883="",FALSE,TRUE),EXACT(metadata!L883,"human"))</f>
        <v>0</v>
      </c>
      <c r="AN883" t="b">
        <f>AND(IF(metadata!M883="",FALSE,TRUE),EXACT(metadata!M883,"Homo sapiens"))</f>
        <v>0</v>
      </c>
      <c r="AO883" t="b">
        <f>AND(IF(metadata!N883="",FALSE,TRUE),EXACT(metadata!N883,"9606"))</f>
        <v>0</v>
      </c>
      <c r="AP883" t="b">
        <f>IF(metadata!O883="",FALSE,TRUE)</f>
        <v>0</v>
      </c>
      <c r="AQ883" t="b">
        <f>IF(metadata!P883="",FALSE,TRUE)</f>
        <v>0</v>
      </c>
      <c r="AR883" t="b">
        <f>IF(metadata!Q883="",FALSE,ISNUMBER(VALUE(metadata!Q883)))</f>
        <v>0</v>
      </c>
      <c r="AS883" t="b">
        <f>AND(IF(metadata!R883="",FALSE,TRUE),EXACT(metadata!R883,"kg"))</f>
        <v>0</v>
      </c>
    </row>
    <row r="884" spans="1:45" x14ac:dyDescent="0.2">
      <c r="A884" s="5" t="str">
        <f ca="1">IF(B884=" "," ",HYPERLINK(CONCATENATE("#metadata!",ADDRESS(INDEX($X$2:$X$1001,MATCH(ROWS($V$2:V884),$V$2:$V$1001,0),0),1)),INDEX($AA$2:$AA$1001,MATCH(ROWS($V$2:V884),$V$2:$V$1001,0),0)))</f>
        <v xml:space="preserve"> </v>
      </c>
      <c r="B884" s="4" t="str">
        <f ca="1">IF(OR(INDEX($W$2:$W$1001,MATCH(ROWS($V$2:V884),$V$2:$V$1001,0),1)&gt;=100000,INDEX($AC$1005:$AS$1005,1,MATCH(COLUMNS($AC$1006:AC1006),$AC$1006:$AS$1006,0))&gt;=100000), " ",IF(INDEX($AC$2:$AS$1001,MATCH(ROWS($V$2:V884),$V$2:$V$1001,0),MATCH(COLUMNS($AC$1006:AC1006),$AC$1006:$AS$1006,0)), HYPERLINK("#",""), HYPERLINK(CONCATENATE("#metadata!", ADDRESS(INDEX($X$2:$X$1001,MATCH(ROWS($V$2:V884),$V$2:$V$1001,0),0), INDEX($AC$1004:$AS$1004,1,MATCH(COLUMNS($AC$1006:AC1006),$AC$1006:$AS$1006,0)))),"Fix")))</f>
        <v xml:space="preserve"> </v>
      </c>
      <c r="C884" s="4" t="str">
        <f ca="1">IF(OR(INDEX($W$2:$W$1001,MATCH(ROWS($V$2:V884),$V$2:$V$1001,0),1)&gt;=100000,INDEX($AC$1005:$AS$1005,1,MATCH(COLUMNS($AC$1006:AD1006),$AC$1006:$AS$1006,0))&gt;=100000), " ",IF(INDEX($AC$2:$AS$1001,MATCH(ROWS($V$2:V884),$V$2:$V$1001,0),MATCH(COLUMNS($AC$1006:AD1006),$AC$1006:$AS$1006,0)), HYPERLINK("#",""), HYPERLINK(CONCATENATE("#metadata!", ADDRESS(INDEX($X$2:$X$1001,MATCH(ROWS($V$2:V884),$V$2:$V$1001,0),0), INDEX($AC$1004:$AS$1004,1,MATCH(COLUMNS($AC$1006:AD1006),$AC$1006:$AS$1006,0)))),"Fix")))</f>
        <v xml:space="preserve"> </v>
      </c>
      <c r="D884" s="4" t="str">
        <f ca="1">IF(OR(INDEX($W$2:$W$1001,MATCH(ROWS($V$2:V884),$V$2:$V$1001,0),1)&gt;=100000,INDEX($AC$1005:$AS$1005,1,MATCH(COLUMNS($AC$1006:AE1006),$AC$1006:$AS$1006,0))&gt;=100000), " ",IF(INDEX($AC$2:$AS$1001,MATCH(ROWS($V$2:V884),$V$2:$V$1001,0),MATCH(COLUMNS($AC$1006:AE1006),$AC$1006:$AS$1006,0)), HYPERLINK("#",""), HYPERLINK(CONCATENATE("#metadata!", ADDRESS(INDEX($X$2:$X$1001,MATCH(ROWS($V$2:V884),$V$2:$V$1001,0),0), INDEX($AC$1004:$AS$1004,1,MATCH(COLUMNS($AC$1006:AE1006),$AC$1006:$AS$1006,0)))),"Fix")))</f>
        <v xml:space="preserve"> </v>
      </c>
      <c r="E884" s="4" t="str">
        <f ca="1">IF(OR(INDEX($W$2:$W$1001,MATCH(ROWS($V$2:V884),$V$2:$V$1001,0),1)&gt;=100000,INDEX($AC$1005:$AS$1005,1,MATCH(COLUMNS($AC$1006:AF1006),$AC$1006:$AS$1006,0))&gt;=100000), " ",IF(INDEX($AC$2:$AS$1001,MATCH(ROWS($V$2:V884),$V$2:$V$1001,0),MATCH(COLUMNS($AC$1006:AF1006),$AC$1006:$AS$1006,0)), HYPERLINK("#",""), HYPERLINK(CONCATENATE("#metadata!", ADDRESS(INDEX($X$2:$X$1001,MATCH(ROWS($V$2:V884),$V$2:$V$1001,0),0), INDEX($AC$1004:$AS$1004,1,MATCH(COLUMNS($AC$1006:AF1006),$AC$1006:$AS$1006,0)))),"Fix")))</f>
        <v xml:space="preserve"> </v>
      </c>
      <c r="F884" s="4" t="str">
        <f ca="1">IF(OR(INDEX($W$2:$W$1001,MATCH(ROWS($V$2:V884),$V$2:$V$1001,0),1)&gt;=100000,INDEX($AC$1005:$AS$1005,1,MATCH(COLUMNS($AC$1006:AG1006),$AC$1006:$AS$1006,0))&gt;=100000), " ",IF(INDEX($AC$2:$AS$1001,MATCH(ROWS($V$2:V884),$V$2:$V$1001,0),MATCH(COLUMNS($AC$1006:AG1006),$AC$1006:$AS$1006,0)), HYPERLINK("#",""), HYPERLINK(CONCATENATE("#metadata!", ADDRESS(INDEX($X$2:$X$1001,MATCH(ROWS($V$2:V884),$V$2:$V$1001,0),0), INDEX($AC$1004:$AS$1004,1,MATCH(COLUMNS($AC$1006:AG1006),$AC$1006:$AS$1006,0)))),"Fix")))</f>
        <v xml:space="preserve"> </v>
      </c>
      <c r="G884" s="4" t="str">
        <f ca="1">IF(OR(INDEX($W$2:$W$1001,MATCH(ROWS($V$2:V884),$V$2:$V$1001,0),1)&gt;=100000,INDEX($AC$1005:$AS$1005,1,MATCH(COLUMNS($AC$1006:AH1006),$AC$1006:$AS$1006,0))&gt;=100000), " ",IF(INDEX($AC$2:$AS$1001,MATCH(ROWS($V$2:V884),$V$2:$V$1001,0),MATCH(COLUMNS($AC$1006:AH1006),$AC$1006:$AS$1006,0)), HYPERLINK("#",""), HYPERLINK(CONCATENATE("#metadata!", ADDRESS(INDEX($X$2:$X$1001,MATCH(ROWS($V$2:V884),$V$2:$V$1001,0),0), INDEX($AC$1004:$AS$1004,1,MATCH(COLUMNS($AC$1006:AH1006),$AC$1006:$AS$1006,0)))),"Fix")))</f>
        <v xml:space="preserve"> </v>
      </c>
      <c r="H884" s="4" t="str">
        <f ca="1">IF(OR(INDEX($W$2:$W$1001,MATCH(ROWS($V$2:V884),$V$2:$V$1001,0),1)&gt;=100000,INDEX($AC$1005:$AS$1005,1,MATCH(COLUMNS($AC$1006:AI1006),$AC$1006:$AS$1006,0))&gt;=100000), " ",IF(INDEX($AC$2:$AS$1001,MATCH(ROWS($V$2:V884),$V$2:$V$1001,0),MATCH(COLUMNS($AC$1006:AI1006),$AC$1006:$AS$1006,0)), HYPERLINK("#",""), HYPERLINK(CONCATENATE("#metadata!", ADDRESS(INDEX($X$2:$X$1001,MATCH(ROWS($V$2:V884),$V$2:$V$1001,0),0), INDEX($AC$1004:$AS$1004,1,MATCH(COLUMNS($AC$1006:AI1006),$AC$1006:$AS$1006,0)))),"Fix")))</f>
        <v xml:space="preserve"> </v>
      </c>
      <c r="I884" s="4" t="str">
        <f ca="1">IF(OR(INDEX($W$2:$W$1001,MATCH(ROWS($V$2:V884),$V$2:$V$1001,0),1)&gt;=100000,INDEX($AC$1005:$AS$1005,1,MATCH(COLUMNS($AC$1006:AJ1006),$AC$1006:$AS$1006,0))&gt;=100000), " ",IF(INDEX($AC$2:$AS$1001,MATCH(ROWS($V$2:V884),$V$2:$V$1001,0),MATCH(COLUMNS($AC$1006:AJ1006),$AC$1006:$AS$1006,0)), HYPERLINK("#",""), HYPERLINK(CONCATENATE("#metadata!", ADDRESS(INDEX($X$2:$X$1001,MATCH(ROWS($V$2:V884),$V$2:$V$1001,0),0), INDEX($AC$1004:$AS$1004,1,MATCH(COLUMNS($AC$1006:AJ1006),$AC$1006:$AS$1006,0)))),"Fix")))</f>
        <v xml:space="preserve"> </v>
      </c>
      <c r="J884" s="4" t="str">
        <f ca="1">IF(OR(INDEX($W$2:$W$1001,MATCH(ROWS($V$2:V884),$V$2:$V$1001,0),1)&gt;=100000,INDEX($AC$1005:$AS$1005,1,MATCH(COLUMNS($AC$1006:AK1006),$AC$1006:$AS$1006,0))&gt;=100000), " ",IF(INDEX($AC$2:$AS$1001,MATCH(ROWS($V$2:V884),$V$2:$V$1001,0),MATCH(COLUMNS($AC$1006:AK1006),$AC$1006:$AS$1006,0)), HYPERLINK("#",""), HYPERLINK(CONCATENATE("#metadata!", ADDRESS(INDEX($X$2:$X$1001,MATCH(ROWS($V$2:V884),$V$2:$V$1001,0),0), INDEX($AC$1004:$AS$1004,1,MATCH(COLUMNS($AC$1006:AK1006),$AC$1006:$AS$1006,0)))),"Fix")))</f>
        <v xml:space="preserve"> </v>
      </c>
      <c r="K884" s="4" t="str">
        <f ca="1">IF(OR(INDEX($W$2:$W$1001,MATCH(ROWS($V$2:V884),$V$2:$V$1001,0),1)&gt;=100000,INDEX($AC$1005:$AS$1005,1,MATCH(COLUMNS($AC$1006:AL1006),$AC$1006:$AS$1006,0))&gt;=100000), " ",IF(INDEX($AC$2:$AS$1001,MATCH(ROWS($V$2:V884),$V$2:$V$1001,0),MATCH(COLUMNS($AC$1006:AL1006),$AC$1006:$AS$1006,0)), HYPERLINK("#",""), HYPERLINK(CONCATENATE("#metadata!", ADDRESS(INDEX($X$2:$X$1001,MATCH(ROWS($V$2:V884),$V$2:$V$1001,0),0), INDEX($AC$1004:$AS$1004,1,MATCH(COLUMNS($AC$1006:AL1006),$AC$1006:$AS$1006,0)))),"Fix")))</f>
        <v xml:space="preserve"> </v>
      </c>
      <c r="L884" s="4" t="str">
        <f ca="1">IF(OR(INDEX($W$2:$W$1001,MATCH(ROWS($V$2:V884),$V$2:$V$1001,0),1)&gt;=100000,INDEX($AC$1005:$AS$1005,1,MATCH(COLUMNS($AC$1006:AM1006),$AC$1006:$AS$1006,0))&gt;=100000), " ",IF(INDEX($AC$2:$AS$1001,MATCH(ROWS($V$2:V884),$V$2:$V$1001,0),MATCH(COLUMNS($AC$1006:AM1006),$AC$1006:$AS$1006,0)), HYPERLINK("#",""), HYPERLINK(CONCATENATE("#metadata!", ADDRESS(INDEX($X$2:$X$1001,MATCH(ROWS($V$2:V884),$V$2:$V$1001,0),0), INDEX($AC$1004:$AS$1004,1,MATCH(COLUMNS($AC$1006:AM1006),$AC$1006:$AS$1006,0)))),"Fix")))</f>
        <v xml:space="preserve"> </v>
      </c>
      <c r="M884" s="4" t="str">
        <f ca="1">IF(OR(INDEX($W$2:$W$1001,MATCH(ROWS($V$2:V884),$V$2:$V$1001,0),1)&gt;=100000,INDEX($AC$1005:$AS$1005,1,MATCH(COLUMNS($AC$1006:AN1006),$AC$1006:$AS$1006,0))&gt;=100000), " ",IF(INDEX($AC$2:$AS$1001,MATCH(ROWS($V$2:V884),$V$2:$V$1001,0),MATCH(COLUMNS($AC$1006:AN1006),$AC$1006:$AS$1006,0)), HYPERLINK("#",""), HYPERLINK(CONCATENATE("#metadata!", ADDRESS(INDEX($X$2:$X$1001,MATCH(ROWS($V$2:V884),$V$2:$V$1001,0),0), INDEX($AC$1004:$AS$1004,1,MATCH(COLUMNS($AC$1006:AN1006),$AC$1006:$AS$1006,0)))),"Fix")))</f>
        <v xml:space="preserve"> </v>
      </c>
      <c r="N884" s="4" t="str">
        <f ca="1">IF(OR(INDEX($W$2:$W$1001,MATCH(ROWS($V$2:V884),$V$2:$V$1001,0),1)&gt;=100000,INDEX($AC$1005:$AS$1005,1,MATCH(COLUMNS($AC$1006:AO1006),$AC$1006:$AS$1006,0))&gt;=100000), " ",IF(INDEX($AC$2:$AS$1001,MATCH(ROWS($V$2:V884),$V$2:$V$1001,0),MATCH(COLUMNS($AC$1006:AO1006),$AC$1006:$AS$1006,0)), HYPERLINK("#",""), HYPERLINK(CONCATENATE("#metadata!", ADDRESS(INDEX($X$2:$X$1001,MATCH(ROWS($V$2:V884),$V$2:$V$1001,0),0), INDEX($AC$1004:$AS$1004,1,MATCH(COLUMNS($AC$1006:AO1006),$AC$1006:$AS$1006,0)))),"Fix")))</f>
        <v xml:space="preserve"> </v>
      </c>
      <c r="O884" s="4" t="str">
        <f ca="1">IF(OR(INDEX($W$2:$W$1001,MATCH(ROWS($V$2:V884),$V$2:$V$1001,0),1)&gt;=100000,INDEX($AC$1005:$AS$1005,1,MATCH(COLUMNS($AC$1006:AP1006),$AC$1006:$AS$1006,0))&gt;=100000), " ",IF(INDEX($AC$2:$AS$1001,MATCH(ROWS($V$2:V884),$V$2:$V$1001,0),MATCH(COLUMNS($AC$1006:AP1006),$AC$1006:$AS$1006,0)), HYPERLINK("#",""), HYPERLINK(CONCATENATE("#metadata!", ADDRESS(INDEX($X$2:$X$1001,MATCH(ROWS($V$2:V884),$V$2:$V$1001,0),0), INDEX($AC$1004:$AS$1004,1,MATCH(COLUMNS($AC$1006:AP1006),$AC$1006:$AS$1006,0)))),"Fix")))</f>
        <v xml:space="preserve"> </v>
      </c>
      <c r="P884" s="4" t="str">
        <f ca="1">IF(OR(INDEX($W$2:$W$1001,MATCH(ROWS($V$2:V884),$V$2:$V$1001,0),1)&gt;=100000,INDEX($AC$1005:$AS$1005,1,MATCH(COLUMNS($AC$1006:AQ1006),$AC$1006:$AS$1006,0))&gt;=100000), " ",IF(INDEX($AC$2:$AS$1001,MATCH(ROWS($V$2:V884),$V$2:$V$1001,0),MATCH(COLUMNS($AC$1006:AQ1006),$AC$1006:$AS$1006,0)), HYPERLINK("#",""), HYPERLINK(CONCATENATE("#metadata!", ADDRESS(INDEX($X$2:$X$1001,MATCH(ROWS($V$2:V884),$V$2:$V$1001,0),0), INDEX($AC$1004:$AS$1004,1,MATCH(COLUMNS($AC$1006:AQ1006),$AC$1006:$AS$1006,0)))),"Fix")))</f>
        <v xml:space="preserve"> </v>
      </c>
      <c r="Q884" s="4" t="str">
        <f ca="1">IF(OR(INDEX($W$2:$W$1001,MATCH(ROWS($V$2:V884),$V$2:$V$1001,0),1)&gt;=100000,INDEX($AC$1005:$AS$1005,1,MATCH(COLUMNS($AC$1006:AR1006),$AC$1006:$AS$1006,0))&gt;=100000), " ",IF(INDEX($AC$2:$AS$1001,MATCH(ROWS($V$2:V884),$V$2:$V$1001,0),MATCH(COLUMNS($AC$1006:AR1006),$AC$1006:$AS$1006,0)), HYPERLINK("#",""), HYPERLINK(CONCATENATE("#metadata!", ADDRESS(INDEX($X$2:$X$1001,MATCH(ROWS($V$2:V884),$V$2:$V$1001,0),0), INDEX($AC$1004:$AS$1004,1,MATCH(COLUMNS($AC$1006:AR1006),$AC$1006:$AS$1006,0)))),"Fix")))</f>
        <v xml:space="preserve"> </v>
      </c>
      <c r="R884" s="4" t="str">
        <f ca="1">IF(OR(INDEX($W$2:$W$1001,MATCH(ROWS($V$2:V884),$V$2:$V$1001,0),1)&gt;=100000,INDEX($AC$1005:$AS$1005,1,MATCH(COLUMNS($AC$1006:AS1006),$AC$1006:$AS$1006,0))&gt;=100000), " ",IF(INDEX($AC$2:$AS$1001,MATCH(ROWS($V$2:V884),$V$2:$V$1001,0),MATCH(COLUMNS($AC$1006:AS1006),$AC$1006:$AS$1006,0)), HYPERLINK("#",""), HYPERLINK(CONCATENATE("#metadata!", ADDRESS(INDEX($X$2:$X$1001,MATCH(ROWS($V$2:V884),$V$2:$V$1001,0),0), INDEX($AC$1004:$AS$1004,1,MATCH(COLUMNS($AC$1006:AS1006),$AC$1006:$AS$1006,0)))),"Fix")))</f>
        <v xml:space="preserve"> </v>
      </c>
      <c r="V884">
        <v>883</v>
      </c>
      <c r="W884">
        <v>100884</v>
      </c>
      <c r="X884">
        <v>884</v>
      </c>
      <c r="Y884" t="b">
        <f t="shared" si="13"/>
        <v>1</v>
      </c>
      <c r="Z884" t="b">
        <f>COUNTBLANK(metadata!B884:R884)=COLUMNS(metadata!B884:R884)</f>
        <v>1</v>
      </c>
      <c r="AA884" t="str">
        <v/>
      </c>
      <c r="AC884" t="b">
        <f ca="1"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AD884" t="b">
        <f>IF(metadata!C884="",FALSE,ISNUMBER(VALUE(metadata!C884)))</f>
        <v>0</v>
      </c>
      <c r="AE884" t="b">
        <f>AND(IF(metadata!D884="",FALSE,TRUE),EXACT(metadata!D884,"years"))</f>
        <v>0</v>
      </c>
      <c r="AF884" t="b">
        <f>OR(AND(IF(metadata!E884="",FALSE,TRUE),OR(EXACT(metadata!E884,"not applicable"),EXACT(metadata!E884,"missing: not collected"),EXACT(metadata!E884,"missing: not provided"),EXACT(metadata!E884,"missing: restricted access"))),AND(IF(metadata!E884="",FALSE,ISNUMBER(VALUE(metadata!E884))),metadata!E884&gt;0))</f>
        <v>0</v>
      </c>
      <c r="AG884" t="b">
        <f>AND(IF(metadata!F884="",FALSE,TRUE),EXACT(metadata!F884,"Not applicable"))</f>
        <v>0</v>
      </c>
      <c r="AH884" t="b">
        <f>AND(IF(metadata!G884="",FALSE,TRUE),EXACT(metadata!G884,"urban biome"))</f>
        <v>0</v>
      </c>
      <c r="AI884" t="b">
        <f>AND(IF(metadata!H884="",FALSE,TRUE),EXACT(metadata!H884,"human-associated habitat"))</f>
        <v>0</v>
      </c>
      <c r="AJ884" t="b">
        <f>AND(IF(metadata!I884="",FALSE,TRUE),OR(EXACT(metadata!I884,"human-associated"),EXACT(metadata!I884,"human-skin"),EXACT(metadata!I884,"human-oral"),EXACT(metadata!I884,"human-gut"),EXACT(metadata!I884,"human-vaginal")))</f>
        <v>0</v>
      </c>
      <c r="AK884" t="b">
        <f>IF(metadata!J884="",FALSE,ISNUMBER(VALUE(metadata!J884)))</f>
        <v>0</v>
      </c>
      <c r="AL884" t="b">
        <f>AND(IF(metadata!K884="",FALSE,TRUE),EXACT(metadata!K884,"cm"))</f>
        <v>0</v>
      </c>
      <c r="AM884" t="b">
        <f>AND(IF(metadata!L884="",FALSE,TRUE),EXACT(metadata!L884,"human"))</f>
        <v>0</v>
      </c>
      <c r="AN884" t="b">
        <f>AND(IF(metadata!M884="",FALSE,TRUE),EXACT(metadata!M884,"Homo sapiens"))</f>
        <v>0</v>
      </c>
      <c r="AO884" t="b">
        <f>AND(IF(metadata!N884="",FALSE,TRUE),EXACT(metadata!N884,"9606"))</f>
        <v>0</v>
      </c>
      <c r="AP884" t="b">
        <f>IF(metadata!O884="",FALSE,TRUE)</f>
        <v>0</v>
      </c>
      <c r="AQ884" t="b">
        <f>IF(metadata!P884="",FALSE,TRUE)</f>
        <v>0</v>
      </c>
      <c r="AR884" t="b">
        <f>IF(metadata!Q884="",FALSE,ISNUMBER(VALUE(metadata!Q884)))</f>
        <v>0</v>
      </c>
      <c r="AS884" t="b">
        <f>AND(IF(metadata!R884="",FALSE,TRUE),EXACT(metadata!R884,"kg"))</f>
        <v>0</v>
      </c>
    </row>
    <row r="885" spans="1:45" x14ac:dyDescent="0.2">
      <c r="A885" s="5" t="str">
        <f ca="1">IF(B885=" "," ",HYPERLINK(CONCATENATE("#metadata!",ADDRESS(INDEX($X$2:$X$1001,MATCH(ROWS($V$2:V885),$V$2:$V$1001,0),0),1)),INDEX($AA$2:$AA$1001,MATCH(ROWS($V$2:V885),$V$2:$V$1001,0),0)))</f>
        <v xml:space="preserve"> </v>
      </c>
      <c r="B885" s="4" t="str">
        <f ca="1">IF(OR(INDEX($W$2:$W$1001,MATCH(ROWS($V$2:V885),$V$2:$V$1001,0),1)&gt;=100000,INDEX($AC$1005:$AS$1005,1,MATCH(COLUMNS($AC$1006:AC1006),$AC$1006:$AS$1006,0))&gt;=100000), " ",IF(INDEX($AC$2:$AS$1001,MATCH(ROWS($V$2:V885),$V$2:$V$1001,0),MATCH(COLUMNS($AC$1006:AC1006),$AC$1006:$AS$1006,0)), HYPERLINK("#",""), HYPERLINK(CONCATENATE("#metadata!", ADDRESS(INDEX($X$2:$X$1001,MATCH(ROWS($V$2:V885),$V$2:$V$1001,0),0), INDEX($AC$1004:$AS$1004,1,MATCH(COLUMNS($AC$1006:AC1006),$AC$1006:$AS$1006,0)))),"Fix")))</f>
        <v xml:space="preserve"> </v>
      </c>
      <c r="C885" s="4" t="str">
        <f ca="1">IF(OR(INDEX($W$2:$W$1001,MATCH(ROWS($V$2:V885),$V$2:$V$1001,0),1)&gt;=100000,INDEX($AC$1005:$AS$1005,1,MATCH(COLUMNS($AC$1006:AD1006),$AC$1006:$AS$1006,0))&gt;=100000), " ",IF(INDEX($AC$2:$AS$1001,MATCH(ROWS($V$2:V885),$V$2:$V$1001,0),MATCH(COLUMNS($AC$1006:AD1006),$AC$1006:$AS$1006,0)), HYPERLINK("#",""), HYPERLINK(CONCATENATE("#metadata!", ADDRESS(INDEX($X$2:$X$1001,MATCH(ROWS($V$2:V885),$V$2:$V$1001,0),0), INDEX($AC$1004:$AS$1004,1,MATCH(COLUMNS($AC$1006:AD1006),$AC$1006:$AS$1006,0)))),"Fix")))</f>
        <v xml:space="preserve"> </v>
      </c>
      <c r="D885" s="4" t="str">
        <f ca="1">IF(OR(INDEX($W$2:$W$1001,MATCH(ROWS($V$2:V885),$V$2:$V$1001,0),1)&gt;=100000,INDEX($AC$1005:$AS$1005,1,MATCH(COLUMNS($AC$1006:AE1006),$AC$1006:$AS$1006,0))&gt;=100000), " ",IF(INDEX($AC$2:$AS$1001,MATCH(ROWS($V$2:V885),$V$2:$V$1001,0),MATCH(COLUMNS($AC$1006:AE1006),$AC$1006:$AS$1006,0)), HYPERLINK("#",""), HYPERLINK(CONCATENATE("#metadata!", ADDRESS(INDEX($X$2:$X$1001,MATCH(ROWS($V$2:V885),$V$2:$V$1001,0),0), INDEX($AC$1004:$AS$1004,1,MATCH(COLUMNS($AC$1006:AE1006),$AC$1006:$AS$1006,0)))),"Fix")))</f>
        <v xml:space="preserve"> </v>
      </c>
      <c r="E885" s="4" t="str">
        <f ca="1">IF(OR(INDEX($W$2:$W$1001,MATCH(ROWS($V$2:V885),$V$2:$V$1001,0),1)&gt;=100000,INDEX($AC$1005:$AS$1005,1,MATCH(COLUMNS($AC$1006:AF1006),$AC$1006:$AS$1006,0))&gt;=100000), " ",IF(INDEX($AC$2:$AS$1001,MATCH(ROWS($V$2:V885),$V$2:$V$1001,0),MATCH(COLUMNS($AC$1006:AF1006),$AC$1006:$AS$1006,0)), HYPERLINK("#",""), HYPERLINK(CONCATENATE("#metadata!", ADDRESS(INDEX($X$2:$X$1001,MATCH(ROWS($V$2:V885),$V$2:$V$1001,0),0), INDEX($AC$1004:$AS$1004,1,MATCH(COLUMNS($AC$1006:AF1006),$AC$1006:$AS$1006,0)))),"Fix")))</f>
        <v xml:space="preserve"> </v>
      </c>
      <c r="F885" s="4" t="str">
        <f ca="1">IF(OR(INDEX($W$2:$W$1001,MATCH(ROWS($V$2:V885),$V$2:$V$1001,0),1)&gt;=100000,INDEX($AC$1005:$AS$1005,1,MATCH(COLUMNS($AC$1006:AG1006),$AC$1006:$AS$1006,0))&gt;=100000), " ",IF(INDEX($AC$2:$AS$1001,MATCH(ROWS($V$2:V885),$V$2:$V$1001,0),MATCH(COLUMNS($AC$1006:AG1006),$AC$1006:$AS$1006,0)), HYPERLINK("#",""), HYPERLINK(CONCATENATE("#metadata!", ADDRESS(INDEX($X$2:$X$1001,MATCH(ROWS($V$2:V885),$V$2:$V$1001,0),0), INDEX($AC$1004:$AS$1004,1,MATCH(COLUMNS($AC$1006:AG1006),$AC$1006:$AS$1006,0)))),"Fix")))</f>
        <v xml:space="preserve"> </v>
      </c>
      <c r="G885" s="4" t="str">
        <f ca="1">IF(OR(INDEX($W$2:$W$1001,MATCH(ROWS($V$2:V885),$V$2:$V$1001,0),1)&gt;=100000,INDEX($AC$1005:$AS$1005,1,MATCH(COLUMNS($AC$1006:AH1006),$AC$1006:$AS$1006,0))&gt;=100000), " ",IF(INDEX($AC$2:$AS$1001,MATCH(ROWS($V$2:V885),$V$2:$V$1001,0),MATCH(COLUMNS($AC$1006:AH1006),$AC$1006:$AS$1006,0)), HYPERLINK("#",""), HYPERLINK(CONCATENATE("#metadata!", ADDRESS(INDEX($X$2:$X$1001,MATCH(ROWS($V$2:V885),$V$2:$V$1001,0),0), INDEX($AC$1004:$AS$1004,1,MATCH(COLUMNS($AC$1006:AH1006),$AC$1006:$AS$1006,0)))),"Fix")))</f>
        <v xml:space="preserve"> </v>
      </c>
      <c r="H885" s="4" t="str">
        <f ca="1">IF(OR(INDEX($W$2:$W$1001,MATCH(ROWS($V$2:V885),$V$2:$V$1001,0),1)&gt;=100000,INDEX($AC$1005:$AS$1005,1,MATCH(COLUMNS($AC$1006:AI1006),$AC$1006:$AS$1006,0))&gt;=100000), " ",IF(INDEX($AC$2:$AS$1001,MATCH(ROWS($V$2:V885),$V$2:$V$1001,0),MATCH(COLUMNS($AC$1006:AI1006),$AC$1006:$AS$1006,0)), HYPERLINK("#",""), HYPERLINK(CONCATENATE("#metadata!", ADDRESS(INDEX($X$2:$X$1001,MATCH(ROWS($V$2:V885),$V$2:$V$1001,0),0), INDEX($AC$1004:$AS$1004,1,MATCH(COLUMNS($AC$1006:AI1006),$AC$1006:$AS$1006,0)))),"Fix")))</f>
        <v xml:space="preserve"> </v>
      </c>
      <c r="I885" s="4" t="str">
        <f ca="1">IF(OR(INDEX($W$2:$W$1001,MATCH(ROWS($V$2:V885),$V$2:$V$1001,0),1)&gt;=100000,INDEX($AC$1005:$AS$1005,1,MATCH(COLUMNS($AC$1006:AJ1006),$AC$1006:$AS$1006,0))&gt;=100000), " ",IF(INDEX($AC$2:$AS$1001,MATCH(ROWS($V$2:V885),$V$2:$V$1001,0),MATCH(COLUMNS($AC$1006:AJ1006),$AC$1006:$AS$1006,0)), HYPERLINK("#",""), HYPERLINK(CONCATENATE("#metadata!", ADDRESS(INDEX($X$2:$X$1001,MATCH(ROWS($V$2:V885),$V$2:$V$1001,0),0), INDEX($AC$1004:$AS$1004,1,MATCH(COLUMNS($AC$1006:AJ1006),$AC$1006:$AS$1006,0)))),"Fix")))</f>
        <v xml:space="preserve"> </v>
      </c>
      <c r="J885" s="4" t="str">
        <f ca="1">IF(OR(INDEX($W$2:$W$1001,MATCH(ROWS($V$2:V885),$V$2:$V$1001,0),1)&gt;=100000,INDEX($AC$1005:$AS$1005,1,MATCH(COLUMNS($AC$1006:AK1006),$AC$1006:$AS$1006,0))&gt;=100000), " ",IF(INDEX($AC$2:$AS$1001,MATCH(ROWS($V$2:V885),$V$2:$V$1001,0),MATCH(COLUMNS($AC$1006:AK1006),$AC$1006:$AS$1006,0)), HYPERLINK("#",""), HYPERLINK(CONCATENATE("#metadata!", ADDRESS(INDEX($X$2:$X$1001,MATCH(ROWS($V$2:V885),$V$2:$V$1001,0),0), INDEX($AC$1004:$AS$1004,1,MATCH(COLUMNS($AC$1006:AK1006),$AC$1006:$AS$1006,0)))),"Fix")))</f>
        <v xml:space="preserve"> </v>
      </c>
      <c r="K885" s="4" t="str">
        <f ca="1">IF(OR(INDEX($W$2:$W$1001,MATCH(ROWS($V$2:V885),$V$2:$V$1001,0),1)&gt;=100000,INDEX($AC$1005:$AS$1005,1,MATCH(COLUMNS($AC$1006:AL1006),$AC$1006:$AS$1006,0))&gt;=100000), " ",IF(INDEX($AC$2:$AS$1001,MATCH(ROWS($V$2:V885),$V$2:$V$1001,0),MATCH(COLUMNS($AC$1006:AL1006),$AC$1006:$AS$1006,0)), HYPERLINK("#",""), HYPERLINK(CONCATENATE("#metadata!", ADDRESS(INDEX($X$2:$X$1001,MATCH(ROWS($V$2:V885),$V$2:$V$1001,0),0), INDEX($AC$1004:$AS$1004,1,MATCH(COLUMNS($AC$1006:AL1006),$AC$1006:$AS$1006,0)))),"Fix")))</f>
        <v xml:space="preserve"> </v>
      </c>
      <c r="L885" s="4" t="str">
        <f ca="1">IF(OR(INDEX($W$2:$W$1001,MATCH(ROWS($V$2:V885),$V$2:$V$1001,0),1)&gt;=100000,INDEX($AC$1005:$AS$1005,1,MATCH(COLUMNS($AC$1006:AM1006),$AC$1006:$AS$1006,0))&gt;=100000), " ",IF(INDEX($AC$2:$AS$1001,MATCH(ROWS($V$2:V885),$V$2:$V$1001,0),MATCH(COLUMNS($AC$1006:AM1006),$AC$1006:$AS$1006,0)), HYPERLINK("#",""), HYPERLINK(CONCATENATE("#metadata!", ADDRESS(INDEX($X$2:$X$1001,MATCH(ROWS($V$2:V885),$V$2:$V$1001,0),0), INDEX($AC$1004:$AS$1004,1,MATCH(COLUMNS($AC$1006:AM1006),$AC$1006:$AS$1006,0)))),"Fix")))</f>
        <v xml:space="preserve"> </v>
      </c>
      <c r="M885" s="4" t="str">
        <f ca="1">IF(OR(INDEX($W$2:$W$1001,MATCH(ROWS($V$2:V885),$V$2:$V$1001,0),1)&gt;=100000,INDEX($AC$1005:$AS$1005,1,MATCH(COLUMNS($AC$1006:AN1006),$AC$1006:$AS$1006,0))&gt;=100000), " ",IF(INDEX($AC$2:$AS$1001,MATCH(ROWS($V$2:V885),$V$2:$V$1001,0),MATCH(COLUMNS($AC$1006:AN1006),$AC$1006:$AS$1006,0)), HYPERLINK("#",""), HYPERLINK(CONCATENATE("#metadata!", ADDRESS(INDEX($X$2:$X$1001,MATCH(ROWS($V$2:V885),$V$2:$V$1001,0),0), INDEX($AC$1004:$AS$1004,1,MATCH(COLUMNS($AC$1006:AN1006),$AC$1006:$AS$1006,0)))),"Fix")))</f>
        <v xml:space="preserve"> </v>
      </c>
      <c r="N885" s="4" t="str">
        <f ca="1">IF(OR(INDEX($W$2:$W$1001,MATCH(ROWS($V$2:V885),$V$2:$V$1001,0),1)&gt;=100000,INDEX($AC$1005:$AS$1005,1,MATCH(COLUMNS($AC$1006:AO1006),$AC$1006:$AS$1006,0))&gt;=100000), " ",IF(INDEX($AC$2:$AS$1001,MATCH(ROWS($V$2:V885),$V$2:$V$1001,0),MATCH(COLUMNS($AC$1006:AO1006),$AC$1006:$AS$1006,0)), HYPERLINK("#",""), HYPERLINK(CONCATENATE("#metadata!", ADDRESS(INDEX($X$2:$X$1001,MATCH(ROWS($V$2:V885),$V$2:$V$1001,0),0), INDEX($AC$1004:$AS$1004,1,MATCH(COLUMNS($AC$1006:AO1006),$AC$1006:$AS$1006,0)))),"Fix")))</f>
        <v xml:space="preserve"> </v>
      </c>
      <c r="O885" s="4" t="str">
        <f ca="1">IF(OR(INDEX($W$2:$W$1001,MATCH(ROWS($V$2:V885),$V$2:$V$1001,0),1)&gt;=100000,INDEX($AC$1005:$AS$1005,1,MATCH(COLUMNS($AC$1006:AP1006),$AC$1006:$AS$1006,0))&gt;=100000), " ",IF(INDEX($AC$2:$AS$1001,MATCH(ROWS($V$2:V885),$V$2:$V$1001,0),MATCH(COLUMNS($AC$1006:AP1006),$AC$1006:$AS$1006,0)), HYPERLINK("#",""), HYPERLINK(CONCATENATE("#metadata!", ADDRESS(INDEX($X$2:$X$1001,MATCH(ROWS($V$2:V885),$V$2:$V$1001,0),0), INDEX($AC$1004:$AS$1004,1,MATCH(COLUMNS($AC$1006:AP1006),$AC$1006:$AS$1006,0)))),"Fix")))</f>
        <v xml:space="preserve"> </v>
      </c>
      <c r="P885" s="4" t="str">
        <f ca="1">IF(OR(INDEX($W$2:$W$1001,MATCH(ROWS($V$2:V885),$V$2:$V$1001,0),1)&gt;=100000,INDEX($AC$1005:$AS$1005,1,MATCH(COLUMNS($AC$1006:AQ1006),$AC$1006:$AS$1006,0))&gt;=100000), " ",IF(INDEX($AC$2:$AS$1001,MATCH(ROWS($V$2:V885),$V$2:$V$1001,0),MATCH(COLUMNS($AC$1006:AQ1006),$AC$1006:$AS$1006,0)), HYPERLINK("#",""), HYPERLINK(CONCATENATE("#metadata!", ADDRESS(INDEX($X$2:$X$1001,MATCH(ROWS($V$2:V885),$V$2:$V$1001,0),0), INDEX($AC$1004:$AS$1004,1,MATCH(COLUMNS($AC$1006:AQ1006),$AC$1006:$AS$1006,0)))),"Fix")))</f>
        <v xml:space="preserve"> </v>
      </c>
      <c r="Q885" s="4" t="str">
        <f ca="1">IF(OR(INDEX($W$2:$W$1001,MATCH(ROWS($V$2:V885),$V$2:$V$1001,0),1)&gt;=100000,INDEX($AC$1005:$AS$1005,1,MATCH(COLUMNS($AC$1006:AR1006),$AC$1006:$AS$1006,0))&gt;=100000), " ",IF(INDEX($AC$2:$AS$1001,MATCH(ROWS($V$2:V885),$V$2:$V$1001,0),MATCH(COLUMNS($AC$1006:AR1006),$AC$1006:$AS$1006,0)), HYPERLINK("#",""), HYPERLINK(CONCATENATE("#metadata!", ADDRESS(INDEX($X$2:$X$1001,MATCH(ROWS($V$2:V885),$V$2:$V$1001,0),0), INDEX($AC$1004:$AS$1004,1,MATCH(COLUMNS($AC$1006:AR1006),$AC$1006:$AS$1006,0)))),"Fix")))</f>
        <v xml:space="preserve"> </v>
      </c>
      <c r="R885" s="4" t="str">
        <f ca="1">IF(OR(INDEX($W$2:$W$1001,MATCH(ROWS($V$2:V885),$V$2:$V$1001,0),1)&gt;=100000,INDEX($AC$1005:$AS$1005,1,MATCH(COLUMNS($AC$1006:AS1006),$AC$1006:$AS$1006,0))&gt;=100000), " ",IF(INDEX($AC$2:$AS$1001,MATCH(ROWS($V$2:V885),$V$2:$V$1001,0),MATCH(COLUMNS($AC$1006:AS1006),$AC$1006:$AS$1006,0)), HYPERLINK("#",""), HYPERLINK(CONCATENATE("#metadata!", ADDRESS(INDEX($X$2:$X$1001,MATCH(ROWS($V$2:V885),$V$2:$V$1001,0),0), INDEX($AC$1004:$AS$1004,1,MATCH(COLUMNS($AC$1006:AS1006),$AC$1006:$AS$1006,0)))),"Fix")))</f>
        <v xml:space="preserve"> </v>
      </c>
      <c r="V885">
        <v>884</v>
      </c>
      <c r="W885">
        <v>100885</v>
      </c>
      <c r="X885">
        <v>885</v>
      </c>
      <c r="Y885" t="b">
        <f t="shared" si="13"/>
        <v>1</v>
      </c>
      <c r="Z885" t="b">
        <f>COUNTBLANK(metadata!B885:R885)=COLUMNS(metadata!B885:R885)</f>
        <v>1</v>
      </c>
      <c r="AA885" t="str">
        <v/>
      </c>
      <c r="AC885" t="b">
        <f ca="1"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AD885" t="b">
        <f>IF(metadata!C885="",FALSE,ISNUMBER(VALUE(metadata!C885)))</f>
        <v>0</v>
      </c>
      <c r="AE885" t="b">
        <f>AND(IF(metadata!D885="",FALSE,TRUE),EXACT(metadata!D885,"years"))</f>
        <v>0</v>
      </c>
      <c r="AF885" t="b">
        <f>OR(AND(IF(metadata!E885="",FALSE,TRUE),OR(EXACT(metadata!E885,"not applicable"),EXACT(metadata!E885,"missing: not collected"),EXACT(metadata!E885,"missing: not provided"),EXACT(metadata!E885,"missing: restricted access"))),AND(IF(metadata!E885="",FALSE,ISNUMBER(VALUE(metadata!E885))),metadata!E885&gt;0))</f>
        <v>0</v>
      </c>
      <c r="AG885" t="b">
        <f>AND(IF(metadata!F885="",FALSE,TRUE),EXACT(metadata!F885,"Not applicable"))</f>
        <v>0</v>
      </c>
      <c r="AH885" t="b">
        <f>AND(IF(metadata!G885="",FALSE,TRUE),EXACT(metadata!G885,"urban biome"))</f>
        <v>0</v>
      </c>
      <c r="AI885" t="b">
        <f>AND(IF(metadata!H885="",FALSE,TRUE),EXACT(metadata!H885,"human-associated habitat"))</f>
        <v>0</v>
      </c>
      <c r="AJ885" t="b">
        <f>AND(IF(metadata!I885="",FALSE,TRUE),OR(EXACT(metadata!I885,"human-associated"),EXACT(metadata!I885,"human-skin"),EXACT(metadata!I885,"human-oral"),EXACT(metadata!I885,"human-gut"),EXACT(metadata!I885,"human-vaginal")))</f>
        <v>0</v>
      </c>
      <c r="AK885" t="b">
        <f>IF(metadata!J885="",FALSE,ISNUMBER(VALUE(metadata!J885)))</f>
        <v>0</v>
      </c>
      <c r="AL885" t="b">
        <f>AND(IF(metadata!K885="",FALSE,TRUE),EXACT(metadata!K885,"cm"))</f>
        <v>0</v>
      </c>
      <c r="AM885" t="b">
        <f>AND(IF(metadata!L885="",FALSE,TRUE),EXACT(metadata!L885,"human"))</f>
        <v>0</v>
      </c>
      <c r="AN885" t="b">
        <f>AND(IF(metadata!M885="",FALSE,TRUE),EXACT(metadata!M885,"Homo sapiens"))</f>
        <v>0</v>
      </c>
      <c r="AO885" t="b">
        <f>AND(IF(metadata!N885="",FALSE,TRUE),EXACT(metadata!N885,"9606"))</f>
        <v>0</v>
      </c>
      <c r="AP885" t="b">
        <f>IF(metadata!O885="",FALSE,TRUE)</f>
        <v>0</v>
      </c>
      <c r="AQ885" t="b">
        <f>IF(metadata!P885="",FALSE,TRUE)</f>
        <v>0</v>
      </c>
      <c r="AR885" t="b">
        <f>IF(metadata!Q885="",FALSE,ISNUMBER(VALUE(metadata!Q885)))</f>
        <v>0</v>
      </c>
      <c r="AS885" t="b">
        <f>AND(IF(metadata!R885="",FALSE,TRUE),EXACT(metadata!R885,"kg"))</f>
        <v>0</v>
      </c>
    </row>
    <row r="886" spans="1:45" x14ac:dyDescent="0.2">
      <c r="A886" s="5" t="str">
        <f ca="1">IF(B886=" "," ",HYPERLINK(CONCATENATE("#metadata!",ADDRESS(INDEX($X$2:$X$1001,MATCH(ROWS($V$2:V886),$V$2:$V$1001,0),0),1)),INDEX($AA$2:$AA$1001,MATCH(ROWS($V$2:V886),$V$2:$V$1001,0),0)))</f>
        <v xml:space="preserve"> </v>
      </c>
      <c r="B886" s="4" t="str">
        <f ca="1">IF(OR(INDEX($W$2:$W$1001,MATCH(ROWS($V$2:V886),$V$2:$V$1001,0),1)&gt;=100000,INDEX($AC$1005:$AS$1005,1,MATCH(COLUMNS($AC$1006:AC1006),$AC$1006:$AS$1006,0))&gt;=100000), " ",IF(INDEX($AC$2:$AS$1001,MATCH(ROWS($V$2:V886),$V$2:$V$1001,0),MATCH(COLUMNS($AC$1006:AC1006),$AC$1006:$AS$1006,0)), HYPERLINK("#",""), HYPERLINK(CONCATENATE("#metadata!", ADDRESS(INDEX($X$2:$X$1001,MATCH(ROWS($V$2:V886),$V$2:$V$1001,0),0), INDEX($AC$1004:$AS$1004,1,MATCH(COLUMNS($AC$1006:AC1006),$AC$1006:$AS$1006,0)))),"Fix")))</f>
        <v xml:space="preserve"> </v>
      </c>
      <c r="C886" s="4" t="str">
        <f ca="1">IF(OR(INDEX($W$2:$W$1001,MATCH(ROWS($V$2:V886),$V$2:$V$1001,0),1)&gt;=100000,INDEX($AC$1005:$AS$1005,1,MATCH(COLUMNS($AC$1006:AD1006),$AC$1006:$AS$1006,0))&gt;=100000), " ",IF(INDEX($AC$2:$AS$1001,MATCH(ROWS($V$2:V886),$V$2:$V$1001,0),MATCH(COLUMNS($AC$1006:AD1006),$AC$1006:$AS$1006,0)), HYPERLINK("#",""), HYPERLINK(CONCATENATE("#metadata!", ADDRESS(INDEX($X$2:$X$1001,MATCH(ROWS($V$2:V886),$V$2:$V$1001,0),0), INDEX($AC$1004:$AS$1004,1,MATCH(COLUMNS($AC$1006:AD1006),$AC$1006:$AS$1006,0)))),"Fix")))</f>
        <v xml:space="preserve"> </v>
      </c>
      <c r="D886" s="4" t="str">
        <f ca="1">IF(OR(INDEX($W$2:$W$1001,MATCH(ROWS($V$2:V886),$V$2:$V$1001,0),1)&gt;=100000,INDEX($AC$1005:$AS$1005,1,MATCH(COLUMNS($AC$1006:AE1006),$AC$1006:$AS$1006,0))&gt;=100000), " ",IF(INDEX($AC$2:$AS$1001,MATCH(ROWS($V$2:V886),$V$2:$V$1001,0),MATCH(COLUMNS($AC$1006:AE1006),$AC$1006:$AS$1006,0)), HYPERLINK("#",""), HYPERLINK(CONCATENATE("#metadata!", ADDRESS(INDEX($X$2:$X$1001,MATCH(ROWS($V$2:V886),$V$2:$V$1001,0),0), INDEX($AC$1004:$AS$1004,1,MATCH(COLUMNS($AC$1006:AE1006),$AC$1006:$AS$1006,0)))),"Fix")))</f>
        <v xml:space="preserve"> </v>
      </c>
      <c r="E886" s="4" t="str">
        <f ca="1">IF(OR(INDEX($W$2:$W$1001,MATCH(ROWS($V$2:V886),$V$2:$V$1001,0),1)&gt;=100000,INDEX($AC$1005:$AS$1005,1,MATCH(COLUMNS($AC$1006:AF1006),$AC$1006:$AS$1006,0))&gt;=100000), " ",IF(INDEX($AC$2:$AS$1001,MATCH(ROWS($V$2:V886),$V$2:$V$1001,0),MATCH(COLUMNS($AC$1006:AF1006),$AC$1006:$AS$1006,0)), HYPERLINK("#",""), HYPERLINK(CONCATENATE("#metadata!", ADDRESS(INDEX($X$2:$X$1001,MATCH(ROWS($V$2:V886),$V$2:$V$1001,0),0), INDEX($AC$1004:$AS$1004,1,MATCH(COLUMNS($AC$1006:AF1006),$AC$1006:$AS$1006,0)))),"Fix")))</f>
        <v xml:space="preserve"> </v>
      </c>
      <c r="F886" s="4" t="str">
        <f ca="1">IF(OR(INDEX($W$2:$W$1001,MATCH(ROWS($V$2:V886),$V$2:$V$1001,0),1)&gt;=100000,INDEX($AC$1005:$AS$1005,1,MATCH(COLUMNS($AC$1006:AG1006),$AC$1006:$AS$1006,0))&gt;=100000), " ",IF(INDEX($AC$2:$AS$1001,MATCH(ROWS($V$2:V886),$V$2:$V$1001,0),MATCH(COLUMNS($AC$1006:AG1006),$AC$1006:$AS$1006,0)), HYPERLINK("#",""), HYPERLINK(CONCATENATE("#metadata!", ADDRESS(INDEX($X$2:$X$1001,MATCH(ROWS($V$2:V886),$V$2:$V$1001,0),0), INDEX($AC$1004:$AS$1004,1,MATCH(COLUMNS($AC$1006:AG1006),$AC$1006:$AS$1006,0)))),"Fix")))</f>
        <v xml:space="preserve"> </v>
      </c>
      <c r="G886" s="4" t="str">
        <f ca="1">IF(OR(INDEX($W$2:$W$1001,MATCH(ROWS($V$2:V886),$V$2:$V$1001,0),1)&gt;=100000,INDEX($AC$1005:$AS$1005,1,MATCH(COLUMNS($AC$1006:AH1006),$AC$1006:$AS$1006,0))&gt;=100000), " ",IF(INDEX($AC$2:$AS$1001,MATCH(ROWS($V$2:V886),$V$2:$V$1001,0),MATCH(COLUMNS($AC$1006:AH1006),$AC$1006:$AS$1006,0)), HYPERLINK("#",""), HYPERLINK(CONCATENATE("#metadata!", ADDRESS(INDEX($X$2:$X$1001,MATCH(ROWS($V$2:V886),$V$2:$V$1001,0),0), INDEX($AC$1004:$AS$1004,1,MATCH(COLUMNS($AC$1006:AH1006),$AC$1006:$AS$1006,0)))),"Fix")))</f>
        <v xml:space="preserve"> </v>
      </c>
      <c r="H886" s="4" t="str">
        <f ca="1">IF(OR(INDEX($W$2:$W$1001,MATCH(ROWS($V$2:V886),$V$2:$V$1001,0),1)&gt;=100000,INDEX($AC$1005:$AS$1005,1,MATCH(COLUMNS($AC$1006:AI1006),$AC$1006:$AS$1006,0))&gt;=100000), " ",IF(INDEX($AC$2:$AS$1001,MATCH(ROWS($V$2:V886),$V$2:$V$1001,0),MATCH(COLUMNS($AC$1006:AI1006),$AC$1006:$AS$1006,0)), HYPERLINK("#",""), HYPERLINK(CONCATENATE("#metadata!", ADDRESS(INDEX($X$2:$X$1001,MATCH(ROWS($V$2:V886),$V$2:$V$1001,0),0), INDEX($AC$1004:$AS$1004,1,MATCH(COLUMNS($AC$1006:AI1006),$AC$1006:$AS$1006,0)))),"Fix")))</f>
        <v xml:space="preserve"> </v>
      </c>
      <c r="I886" s="4" t="str">
        <f ca="1">IF(OR(INDEX($W$2:$W$1001,MATCH(ROWS($V$2:V886),$V$2:$V$1001,0),1)&gt;=100000,INDEX($AC$1005:$AS$1005,1,MATCH(COLUMNS($AC$1006:AJ1006),$AC$1006:$AS$1006,0))&gt;=100000), " ",IF(INDEX($AC$2:$AS$1001,MATCH(ROWS($V$2:V886),$V$2:$V$1001,0),MATCH(COLUMNS($AC$1006:AJ1006),$AC$1006:$AS$1006,0)), HYPERLINK("#",""), HYPERLINK(CONCATENATE("#metadata!", ADDRESS(INDEX($X$2:$X$1001,MATCH(ROWS($V$2:V886),$V$2:$V$1001,0),0), INDEX($AC$1004:$AS$1004,1,MATCH(COLUMNS($AC$1006:AJ1006),$AC$1006:$AS$1006,0)))),"Fix")))</f>
        <v xml:space="preserve"> </v>
      </c>
      <c r="J886" s="4" t="str">
        <f ca="1">IF(OR(INDEX($W$2:$W$1001,MATCH(ROWS($V$2:V886),$V$2:$V$1001,0),1)&gt;=100000,INDEX($AC$1005:$AS$1005,1,MATCH(COLUMNS($AC$1006:AK1006),$AC$1006:$AS$1006,0))&gt;=100000), " ",IF(INDEX($AC$2:$AS$1001,MATCH(ROWS($V$2:V886),$V$2:$V$1001,0),MATCH(COLUMNS($AC$1006:AK1006),$AC$1006:$AS$1006,0)), HYPERLINK("#",""), HYPERLINK(CONCATENATE("#metadata!", ADDRESS(INDEX($X$2:$X$1001,MATCH(ROWS($V$2:V886),$V$2:$V$1001,0),0), INDEX($AC$1004:$AS$1004,1,MATCH(COLUMNS($AC$1006:AK1006),$AC$1006:$AS$1006,0)))),"Fix")))</f>
        <v xml:space="preserve"> </v>
      </c>
      <c r="K886" s="4" t="str">
        <f ca="1">IF(OR(INDEX($W$2:$W$1001,MATCH(ROWS($V$2:V886),$V$2:$V$1001,0),1)&gt;=100000,INDEX($AC$1005:$AS$1005,1,MATCH(COLUMNS($AC$1006:AL1006),$AC$1006:$AS$1006,0))&gt;=100000), " ",IF(INDEX($AC$2:$AS$1001,MATCH(ROWS($V$2:V886),$V$2:$V$1001,0),MATCH(COLUMNS($AC$1006:AL1006),$AC$1006:$AS$1006,0)), HYPERLINK("#",""), HYPERLINK(CONCATENATE("#metadata!", ADDRESS(INDEX($X$2:$X$1001,MATCH(ROWS($V$2:V886),$V$2:$V$1001,0),0), INDEX($AC$1004:$AS$1004,1,MATCH(COLUMNS($AC$1006:AL1006),$AC$1006:$AS$1006,0)))),"Fix")))</f>
        <v xml:space="preserve"> </v>
      </c>
      <c r="L886" s="4" t="str">
        <f ca="1">IF(OR(INDEX($W$2:$W$1001,MATCH(ROWS($V$2:V886),$V$2:$V$1001,0),1)&gt;=100000,INDEX($AC$1005:$AS$1005,1,MATCH(COLUMNS($AC$1006:AM1006),$AC$1006:$AS$1006,0))&gt;=100000), " ",IF(INDEX($AC$2:$AS$1001,MATCH(ROWS($V$2:V886),$V$2:$V$1001,0),MATCH(COLUMNS($AC$1006:AM1006),$AC$1006:$AS$1006,0)), HYPERLINK("#",""), HYPERLINK(CONCATENATE("#metadata!", ADDRESS(INDEX($X$2:$X$1001,MATCH(ROWS($V$2:V886),$V$2:$V$1001,0),0), INDEX($AC$1004:$AS$1004,1,MATCH(COLUMNS($AC$1006:AM1006),$AC$1006:$AS$1006,0)))),"Fix")))</f>
        <v xml:space="preserve"> </v>
      </c>
      <c r="M886" s="4" t="str">
        <f ca="1">IF(OR(INDEX($W$2:$W$1001,MATCH(ROWS($V$2:V886),$V$2:$V$1001,0),1)&gt;=100000,INDEX($AC$1005:$AS$1005,1,MATCH(COLUMNS($AC$1006:AN1006),$AC$1006:$AS$1006,0))&gt;=100000), " ",IF(INDEX($AC$2:$AS$1001,MATCH(ROWS($V$2:V886),$V$2:$V$1001,0),MATCH(COLUMNS($AC$1006:AN1006),$AC$1006:$AS$1006,0)), HYPERLINK("#",""), HYPERLINK(CONCATENATE("#metadata!", ADDRESS(INDEX($X$2:$X$1001,MATCH(ROWS($V$2:V886),$V$2:$V$1001,0),0), INDEX($AC$1004:$AS$1004,1,MATCH(COLUMNS($AC$1006:AN1006),$AC$1006:$AS$1006,0)))),"Fix")))</f>
        <v xml:space="preserve"> </v>
      </c>
      <c r="N886" s="4" t="str">
        <f ca="1">IF(OR(INDEX($W$2:$W$1001,MATCH(ROWS($V$2:V886),$V$2:$V$1001,0),1)&gt;=100000,INDEX($AC$1005:$AS$1005,1,MATCH(COLUMNS($AC$1006:AO1006),$AC$1006:$AS$1006,0))&gt;=100000), " ",IF(INDEX($AC$2:$AS$1001,MATCH(ROWS($V$2:V886),$V$2:$V$1001,0),MATCH(COLUMNS($AC$1006:AO1006),$AC$1006:$AS$1006,0)), HYPERLINK("#",""), HYPERLINK(CONCATENATE("#metadata!", ADDRESS(INDEX($X$2:$X$1001,MATCH(ROWS($V$2:V886),$V$2:$V$1001,0),0), INDEX($AC$1004:$AS$1004,1,MATCH(COLUMNS($AC$1006:AO1006),$AC$1006:$AS$1006,0)))),"Fix")))</f>
        <v xml:space="preserve"> </v>
      </c>
      <c r="O886" s="4" t="str">
        <f ca="1">IF(OR(INDEX($W$2:$W$1001,MATCH(ROWS($V$2:V886),$V$2:$V$1001,0),1)&gt;=100000,INDEX($AC$1005:$AS$1005,1,MATCH(COLUMNS($AC$1006:AP1006),$AC$1006:$AS$1006,0))&gt;=100000), " ",IF(INDEX($AC$2:$AS$1001,MATCH(ROWS($V$2:V886),$V$2:$V$1001,0),MATCH(COLUMNS($AC$1006:AP1006),$AC$1006:$AS$1006,0)), HYPERLINK("#",""), HYPERLINK(CONCATENATE("#metadata!", ADDRESS(INDEX($X$2:$X$1001,MATCH(ROWS($V$2:V886),$V$2:$V$1001,0),0), INDEX($AC$1004:$AS$1004,1,MATCH(COLUMNS($AC$1006:AP1006),$AC$1006:$AS$1006,0)))),"Fix")))</f>
        <v xml:space="preserve"> </v>
      </c>
      <c r="P886" s="4" t="str">
        <f ca="1">IF(OR(INDEX($W$2:$W$1001,MATCH(ROWS($V$2:V886),$V$2:$V$1001,0),1)&gt;=100000,INDEX($AC$1005:$AS$1005,1,MATCH(COLUMNS($AC$1006:AQ1006),$AC$1006:$AS$1006,0))&gt;=100000), " ",IF(INDEX($AC$2:$AS$1001,MATCH(ROWS($V$2:V886),$V$2:$V$1001,0),MATCH(COLUMNS($AC$1006:AQ1006),$AC$1006:$AS$1006,0)), HYPERLINK("#",""), HYPERLINK(CONCATENATE("#metadata!", ADDRESS(INDEX($X$2:$X$1001,MATCH(ROWS($V$2:V886),$V$2:$V$1001,0),0), INDEX($AC$1004:$AS$1004,1,MATCH(COLUMNS($AC$1006:AQ1006),$AC$1006:$AS$1006,0)))),"Fix")))</f>
        <v xml:space="preserve"> </v>
      </c>
      <c r="Q886" s="4" t="str">
        <f ca="1">IF(OR(INDEX($W$2:$W$1001,MATCH(ROWS($V$2:V886),$V$2:$V$1001,0),1)&gt;=100000,INDEX($AC$1005:$AS$1005,1,MATCH(COLUMNS($AC$1006:AR1006),$AC$1006:$AS$1006,0))&gt;=100000), " ",IF(INDEX($AC$2:$AS$1001,MATCH(ROWS($V$2:V886),$V$2:$V$1001,0),MATCH(COLUMNS($AC$1006:AR1006),$AC$1006:$AS$1006,0)), HYPERLINK("#",""), HYPERLINK(CONCATENATE("#metadata!", ADDRESS(INDEX($X$2:$X$1001,MATCH(ROWS($V$2:V886),$V$2:$V$1001,0),0), INDEX($AC$1004:$AS$1004,1,MATCH(COLUMNS($AC$1006:AR1006),$AC$1006:$AS$1006,0)))),"Fix")))</f>
        <v xml:space="preserve"> </v>
      </c>
      <c r="R886" s="4" t="str">
        <f ca="1">IF(OR(INDEX($W$2:$W$1001,MATCH(ROWS($V$2:V886),$V$2:$V$1001,0),1)&gt;=100000,INDEX($AC$1005:$AS$1005,1,MATCH(COLUMNS($AC$1006:AS1006),$AC$1006:$AS$1006,0))&gt;=100000), " ",IF(INDEX($AC$2:$AS$1001,MATCH(ROWS($V$2:V886),$V$2:$V$1001,0),MATCH(COLUMNS($AC$1006:AS1006),$AC$1006:$AS$1006,0)), HYPERLINK("#",""), HYPERLINK(CONCATENATE("#metadata!", ADDRESS(INDEX($X$2:$X$1001,MATCH(ROWS($V$2:V886),$V$2:$V$1001,0),0), INDEX($AC$1004:$AS$1004,1,MATCH(COLUMNS($AC$1006:AS1006),$AC$1006:$AS$1006,0)))),"Fix")))</f>
        <v xml:space="preserve"> </v>
      </c>
      <c r="V886">
        <v>885</v>
      </c>
      <c r="W886">
        <v>100886</v>
      </c>
      <c r="X886">
        <v>886</v>
      </c>
      <c r="Y886" t="b">
        <f t="shared" si="13"/>
        <v>1</v>
      </c>
      <c r="Z886" t="b">
        <f>COUNTBLANK(metadata!B886:R886)=COLUMNS(metadata!B886:R886)</f>
        <v>1</v>
      </c>
      <c r="AA886" t="str">
        <v/>
      </c>
      <c r="AC886" t="b">
        <f ca="1"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AD886" t="b">
        <f>IF(metadata!C886="",FALSE,ISNUMBER(VALUE(metadata!C886)))</f>
        <v>0</v>
      </c>
      <c r="AE886" t="b">
        <f>AND(IF(metadata!D886="",FALSE,TRUE),EXACT(metadata!D886,"years"))</f>
        <v>0</v>
      </c>
      <c r="AF886" t="b">
        <f>OR(AND(IF(metadata!E886="",FALSE,TRUE),OR(EXACT(metadata!E886,"not applicable"),EXACT(metadata!E886,"missing: not collected"),EXACT(metadata!E886,"missing: not provided"),EXACT(metadata!E886,"missing: restricted access"))),AND(IF(metadata!E886="",FALSE,ISNUMBER(VALUE(metadata!E886))),metadata!E886&gt;0))</f>
        <v>0</v>
      </c>
      <c r="AG886" t="b">
        <f>AND(IF(metadata!F886="",FALSE,TRUE),EXACT(metadata!F886,"Not applicable"))</f>
        <v>0</v>
      </c>
      <c r="AH886" t="b">
        <f>AND(IF(metadata!G886="",FALSE,TRUE),EXACT(metadata!G886,"urban biome"))</f>
        <v>0</v>
      </c>
      <c r="AI886" t="b">
        <f>AND(IF(metadata!H886="",FALSE,TRUE),EXACT(metadata!H886,"human-associated habitat"))</f>
        <v>0</v>
      </c>
      <c r="AJ886" t="b">
        <f>AND(IF(metadata!I886="",FALSE,TRUE),OR(EXACT(metadata!I886,"human-associated"),EXACT(metadata!I886,"human-skin"),EXACT(metadata!I886,"human-oral"),EXACT(metadata!I886,"human-gut"),EXACT(metadata!I886,"human-vaginal")))</f>
        <v>0</v>
      </c>
      <c r="AK886" t="b">
        <f>IF(metadata!J886="",FALSE,ISNUMBER(VALUE(metadata!J886)))</f>
        <v>0</v>
      </c>
      <c r="AL886" t="b">
        <f>AND(IF(metadata!K886="",FALSE,TRUE),EXACT(metadata!K886,"cm"))</f>
        <v>0</v>
      </c>
      <c r="AM886" t="b">
        <f>AND(IF(metadata!L886="",FALSE,TRUE),EXACT(metadata!L886,"human"))</f>
        <v>0</v>
      </c>
      <c r="AN886" t="b">
        <f>AND(IF(metadata!M886="",FALSE,TRUE),EXACT(metadata!M886,"Homo sapiens"))</f>
        <v>0</v>
      </c>
      <c r="AO886" t="b">
        <f>AND(IF(metadata!N886="",FALSE,TRUE),EXACT(metadata!N886,"9606"))</f>
        <v>0</v>
      </c>
      <c r="AP886" t="b">
        <f>IF(metadata!O886="",FALSE,TRUE)</f>
        <v>0</v>
      </c>
      <c r="AQ886" t="b">
        <f>IF(metadata!P886="",FALSE,TRUE)</f>
        <v>0</v>
      </c>
      <c r="AR886" t="b">
        <f>IF(metadata!Q886="",FALSE,ISNUMBER(VALUE(metadata!Q886)))</f>
        <v>0</v>
      </c>
      <c r="AS886" t="b">
        <f>AND(IF(metadata!R886="",FALSE,TRUE),EXACT(metadata!R886,"kg"))</f>
        <v>0</v>
      </c>
    </row>
    <row r="887" spans="1:45" x14ac:dyDescent="0.2">
      <c r="A887" s="5" t="str">
        <f ca="1">IF(B887=" "," ",HYPERLINK(CONCATENATE("#metadata!",ADDRESS(INDEX($X$2:$X$1001,MATCH(ROWS($V$2:V887),$V$2:$V$1001,0),0),1)),INDEX($AA$2:$AA$1001,MATCH(ROWS($V$2:V887),$V$2:$V$1001,0),0)))</f>
        <v xml:space="preserve"> </v>
      </c>
      <c r="B887" s="4" t="str">
        <f ca="1">IF(OR(INDEX($W$2:$W$1001,MATCH(ROWS($V$2:V887),$V$2:$V$1001,0),1)&gt;=100000,INDEX($AC$1005:$AS$1005,1,MATCH(COLUMNS($AC$1006:AC1006),$AC$1006:$AS$1006,0))&gt;=100000), " ",IF(INDEX($AC$2:$AS$1001,MATCH(ROWS($V$2:V887),$V$2:$V$1001,0),MATCH(COLUMNS($AC$1006:AC1006),$AC$1006:$AS$1006,0)), HYPERLINK("#",""), HYPERLINK(CONCATENATE("#metadata!", ADDRESS(INDEX($X$2:$X$1001,MATCH(ROWS($V$2:V887),$V$2:$V$1001,0),0), INDEX($AC$1004:$AS$1004,1,MATCH(COLUMNS($AC$1006:AC1006),$AC$1006:$AS$1006,0)))),"Fix")))</f>
        <v xml:space="preserve"> </v>
      </c>
      <c r="C887" s="4" t="str">
        <f ca="1">IF(OR(INDEX($W$2:$W$1001,MATCH(ROWS($V$2:V887),$V$2:$V$1001,0),1)&gt;=100000,INDEX($AC$1005:$AS$1005,1,MATCH(COLUMNS($AC$1006:AD1006),$AC$1006:$AS$1006,0))&gt;=100000), " ",IF(INDEX($AC$2:$AS$1001,MATCH(ROWS($V$2:V887),$V$2:$V$1001,0),MATCH(COLUMNS($AC$1006:AD1006),$AC$1006:$AS$1006,0)), HYPERLINK("#",""), HYPERLINK(CONCATENATE("#metadata!", ADDRESS(INDEX($X$2:$X$1001,MATCH(ROWS($V$2:V887),$V$2:$V$1001,0),0), INDEX($AC$1004:$AS$1004,1,MATCH(COLUMNS($AC$1006:AD1006),$AC$1006:$AS$1006,0)))),"Fix")))</f>
        <v xml:space="preserve"> </v>
      </c>
      <c r="D887" s="4" t="str">
        <f ca="1">IF(OR(INDEX($W$2:$W$1001,MATCH(ROWS($V$2:V887),$V$2:$V$1001,0),1)&gt;=100000,INDEX($AC$1005:$AS$1005,1,MATCH(COLUMNS($AC$1006:AE1006),$AC$1006:$AS$1006,0))&gt;=100000), " ",IF(INDEX($AC$2:$AS$1001,MATCH(ROWS($V$2:V887),$V$2:$V$1001,0),MATCH(COLUMNS($AC$1006:AE1006),$AC$1006:$AS$1006,0)), HYPERLINK("#",""), HYPERLINK(CONCATENATE("#metadata!", ADDRESS(INDEX($X$2:$X$1001,MATCH(ROWS($V$2:V887),$V$2:$V$1001,0),0), INDEX($AC$1004:$AS$1004,1,MATCH(COLUMNS($AC$1006:AE1006),$AC$1006:$AS$1006,0)))),"Fix")))</f>
        <v xml:space="preserve"> </v>
      </c>
      <c r="E887" s="4" t="str">
        <f ca="1">IF(OR(INDEX($W$2:$W$1001,MATCH(ROWS($V$2:V887),$V$2:$V$1001,0),1)&gt;=100000,INDEX($AC$1005:$AS$1005,1,MATCH(COLUMNS($AC$1006:AF1006),$AC$1006:$AS$1006,0))&gt;=100000), " ",IF(INDEX($AC$2:$AS$1001,MATCH(ROWS($V$2:V887),$V$2:$V$1001,0),MATCH(COLUMNS($AC$1006:AF1006),$AC$1006:$AS$1006,0)), HYPERLINK("#",""), HYPERLINK(CONCATENATE("#metadata!", ADDRESS(INDEX($X$2:$X$1001,MATCH(ROWS($V$2:V887),$V$2:$V$1001,0),0), INDEX($AC$1004:$AS$1004,1,MATCH(COLUMNS($AC$1006:AF1006),$AC$1006:$AS$1006,0)))),"Fix")))</f>
        <v xml:space="preserve"> </v>
      </c>
      <c r="F887" s="4" t="str">
        <f ca="1">IF(OR(INDEX($W$2:$W$1001,MATCH(ROWS($V$2:V887),$V$2:$V$1001,0),1)&gt;=100000,INDEX($AC$1005:$AS$1005,1,MATCH(COLUMNS($AC$1006:AG1006),$AC$1006:$AS$1006,0))&gt;=100000), " ",IF(INDEX($AC$2:$AS$1001,MATCH(ROWS($V$2:V887),$V$2:$V$1001,0),MATCH(COLUMNS($AC$1006:AG1006),$AC$1006:$AS$1006,0)), HYPERLINK("#",""), HYPERLINK(CONCATENATE("#metadata!", ADDRESS(INDEX($X$2:$X$1001,MATCH(ROWS($V$2:V887),$V$2:$V$1001,0),0), INDEX($AC$1004:$AS$1004,1,MATCH(COLUMNS($AC$1006:AG1006),$AC$1006:$AS$1006,0)))),"Fix")))</f>
        <v xml:space="preserve"> </v>
      </c>
      <c r="G887" s="4" t="str">
        <f ca="1">IF(OR(INDEX($W$2:$W$1001,MATCH(ROWS($V$2:V887),$V$2:$V$1001,0),1)&gt;=100000,INDEX($AC$1005:$AS$1005,1,MATCH(COLUMNS($AC$1006:AH1006),$AC$1006:$AS$1006,0))&gt;=100000), " ",IF(INDEX($AC$2:$AS$1001,MATCH(ROWS($V$2:V887),$V$2:$V$1001,0),MATCH(COLUMNS($AC$1006:AH1006),$AC$1006:$AS$1006,0)), HYPERLINK("#",""), HYPERLINK(CONCATENATE("#metadata!", ADDRESS(INDEX($X$2:$X$1001,MATCH(ROWS($V$2:V887),$V$2:$V$1001,0),0), INDEX($AC$1004:$AS$1004,1,MATCH(COLUMNS($AC$1006:AH1006),$AC$1006:$AS$1006,0)))),"Fix")))</f>
        <v xml:space="preserve"> </v>
      </c>
      <c r="H887" s="4" t="str">
        <f ca="1">IF(OR(INDEX($W$2:$W$1001,MATCH(ROWS($V$2:V887),$V$2:$V$1001,0),1)&gt;=100000,INDEX($AC$1005:$AS$1005,1,MATCH(COLUMNS($AC$1006:AI1006),$AC$1006:$AS$1006,0))&gt;=100000), " ",IF(INDEX($AC$2:$AS$1001,MATCH(ROWS($V$2:V887),$V$2:$V$1001,0),MATCH(COLUMNS($AC$1006:AI1006),$AC$1006:$AS$1006,0)), HYPERLINK("#",""), HYPERLINK(CONCATENATE("#metadata!", ADDRESS(INDEX($X$2:$X$1001,MATCH(ROWS($V$2:V887),$V$2:$V$1001,0),0), INDEX($AC$1004:$AS$1004,1,MATCH(COLUMNS($AC$1006:AI1006),$AC$1006:$AS$1006,0)))),"Fix")))</f>
        <v xml:space="preserve"> </v>
      </c>
      <c r="I887" s="4" t="str">
        <f ca="1">IF(OR(INDEX($W$2:$W$1001,MATCH(ROWS($V$2:V887),$V$2:$V$1001,0),1)&gt;=100000,INDEX($AC$1005:$AS$1005,1,MATCH(COLUMNS($AC$1006:AJ1006),$AC$1006:$AS$1006,0))&gt;=100000), " ",IF(INDEX($AC$2:$AS$1001,MATCH(ROWS($V$2:V887),$V$2:$V$1001,0),MATCH(COLUMNS($AC$1006:AJ1006),$AC$1006:$AS$1006,0)), HYPERLINK("#",""), HYPERLINK(CONCATENATE("#metadata!", ADDRESS(INDEX($X$2:$X$1001,MATCH(ROWS($V$2:V887),$V$2:$V$1001,0),0), INDEX($AC$1004:$AS$1004,1,MATCH(COLUMNS($AC$1006:AJ1006),$AC$1006:$AS$1006,0)))),"Fix")))</f>
        <v xml:space="preserve"> </v>
      </c>
      <c r="J887" s="4" t="str">
        <f ca="1">IF(OR(INDEX($W$2:$W$1001,MATCH(ROWS($V$2:V887),$V$2:$V$1001,0),1)&gt;=100000,INDEX($AC$1005:$AS$1005,1,MATCH(COLUMNS($AC$1006:AK1006),$AC$1006:$AS$1006,0))&gt;=100000), " ",IF(INDEX($AC$2:$AS$1001,MATCH(ROWS($V$2:V887),$V$2:$V$1001,0),MATCH(COLUMNS($AC$1006:AK1006),$AC$1006:$AS$1006,0)), HYPERLINK("#",""), HYPERLINK(CONCATENATE("#metadata!", ADDRESS(INDEX($X$2:$X$1001,MATCH(ROWS($V$2:V887),$V$2:$V$1001,0),0), INDEX($AC$1004:$AS$1004,1,MATCH(COLUMNS($AC$1006:AK1006),$AC$1006:$AS$1006,0)))),"Fix")))</f>
        <v xml:space="preserve"> </v>
      </c>
      <c r="K887" s="4" t="str">
        <f ca="1">IF(OR(INDEX($W$2:$W$1001,MATCH(ROWS($V$2:V887),$V$2:$V$1001,0),1)&gt;=100000,INDEX($AC$1005:$AS$1005,1,MATCH(COLUMNS($AC$1006:AL1006),$AC$1006:$AS$1006,0))&gt;=100000), " ",IF(INDEX($AC$2:$AS$1001,MATCH(ROWS($V$2:V887),$V$2:$V$1001,0),MATCH(COLUMNS($AC$1006:AL1006),$AC$1006:$AS$1006,0)), HYPERLINK("#",""), HYPERLINK(CONCATENATE("#metadata!", ADDRESS(INDEX($X$2:$X$1001,MATCH(ROWS($V$2:V887),$V$2:$V$1001,0),0), INDEX($AC$1004:$AS$1004,1,MATCH(COLUMNS($AC$1006:AL1006),$AC$1006:$AS$1006,0)))),"Fix")))</f>
        <v xml:space="preserve"> </v>
      </c>
      <c r="L887" s="4" t="str">
        <f ca="1">IF(OR(INDEX($W$2:$W$1001,MATCH(ROWS($V$2:V887),$V$2:$V$1001,0),1)&gt;=100000,INDEX($AC$1005:$AS$1005,1,MATCH(COLUMNS($AC$1006:AM1006),$AC$1006:$AS$1006,0))&gt;=100000), " ",IF(INDEX($AC$2:$AS$1001,MATCH(ROWS($V$2:V887),$V$2:$V$1001,0),MATCH(COLUMNS($AC$1006:AM1006),$AC$1006:$AS$1006,0)), HYPERLINK("#",""), HYPERLINK(CONCATENATE("#metadata!", ADDRESS(INDEX($X$2:$X$1001,MATCH(ROWS($V$2:V887),$V$2:$V$1001,0),0), INDEX($AC$1004:$AS$1004,1,MATCH(COLUMNS($AC$1006:AM1006),$AC$1006:$AS$1006,0)))),"Fix")))</f>
        <v xml:space="preserve"> </v>
      </c>
      <c r="M887" s="4" t="str">
        <f ca="1">IF(OR(INDEX($W$2:$W$1001,MATCH(ROWS($V$2:V887),$V$2:$V$1001,0),1)&gt;=100000,INDEX($AC$1005:$AS$1005,1,MATCH(COLUMNS($AC$1006:AN1006),$AC$1006:$AS$1006,0))&gt;=100000), " ",IF(INDEX($AC$2:$AS$1001,MATCH(ROWS($V$2:V887),$V$2:$V$1001,0),MATCH(COLUMNS($AC$1006:AN1006),$AC$1006:$AS$1006,0)), HYPERLINK("#",""), HYPERLINK(CONCATENATE("#metadata!", ADDRESS(INDEX($X$2:$X$1001,MATCH(ROWS($V$2:V887),$V$2:$V$1001,0),0), INDEX($AC$1004:$AS$1004,1,MATCH(COLUMNS($AC$1006:AN1006),$AC$1006:$AS$1006,0)))),"Fix")))</f>
        <v xml:space="preserve"> </v>
      </c>
      <c r="N887" s="4" t="str">
        <f ca="1">IF(OR(INDEX($W$2:$W$1001,MATCH(ROWS($V$2:V887),$V$2:$V$1001,0),1)&gt;=100000,INDEX($AC$1005:$AS$1005,1,MATCH(COLUMNS($AC$1006:AO1006),$AC$1006:$AS$1006,0))&gt;=100000), " ",IF(INDEX($AC$2:$AS$1001,MATCH(ROWS($V$2:V887),$V$2:$V$1001,0),MATCH(COLUMNS($AC$1006:AO1006),$AC$1006:$AS$1006,0)), HYPERLINK("#",""), HYPERLINK(CONCATENATE("#metadata!", ADDRESS(INDEX($X$2:$X$1001,MATCH(ROWS($V$2:V887),$V$2:$V$1001,0),0), INDEX($AC$1004:$AS$1004,1,MATCH(COLUMNS($AC$1006:AO1006),$AC$1006:$AS$1006,0)))),"Fix")))</f>
        <v xml:space="preserve"> </v>
      </c>
      <c r="O887" s="4" t="str">
        <f ca="1">IF(OR(INDEX($W$2:$W$1001,MATCH(ROWS($V$2:V887),$V$2:$V$1001,0),1)&gt;=100000,INDEX($AC$1005:$AS$1005,1,MATCH(COLUMNS($AC$1006:AP1006),$AC$1006:$AS$1006,0))&gt;=100000), " ",IF(INDEX($AC$2:$AS$1001,MATCH(ROWS($V$2:V887),$V$2:$V$1001,0),MATCH(COLUMNS($AC$1006:AP1006),$AC$1006:$AS$1006,0)), HYPERLINK("#",""), HYPERLINK(CONCATENATE("#metadata!", ADDRESS(INDEX($X$2:$X$1001,MATCH(ROWS($V$2:V887),$V$2:$V$1001,0),0), INDEX($AC$1004:$AS$1004,1,MATCH(COLUMNS($AC$1006:AP1006),$AC$1006:$AS$1006,0)))),"Fix")))</f>
        <v xml:space="preserve"> </v>
      </c>
      <c r="P887" s="4" t="str">
        <f ca="1">IF(OR(INDEX($W$2:$W$1001,MATCH(ROWS($V$2:V887),$V$2:$V$1001,0),1)&gt;=100000,INDEX($AC$1005:$AS$1005,1,MATCH(COLUMNS($AC$1006:AQ1006),$AC$1006:$AS$1006,0))&gt;=100000), " ",IF(INDEX($AC$2:$AS$1001,MATCH(ROWS($V$2:V887),$V$2:$V$1001,0),MATCH(COLUMNS($AC$1006:AQ1006),$AC$1006:$AS$1006,0)), HYPERLINK("#",""), HYPERLINK(CONCATENATE("#metadata!", ADDRESS(INDEX($X$2:$X$1001,MATCH(ROWS($V$2:V887),$V$2:$V$1001,0),0), INDEX($AC$1004:$AS$1004,1,MATCH(COLUMNS($AC$1006:AQ1006),$AC$1006:$AS$1006,0)))),"Fix")))</f>
        <v xml:space="preserve"> </v>
      </c>
      <c r="Q887" s="4" t="str">
        <f ca="1">IF(OR(INDEX($W$2:$W$1001,MATCH(ROWS($V$2:V887),$V$2:$V$1001,0),1)&gt;=100000,INDEX($AC$1005:$AS$1005,1,MATCH(COLUMNS($AC$1006:AR1006),$AC$1006:$AS$1006,0))&gt;=100000), " ",IF(INDEX($AC$2:$AS$1001,MATCH(ROWS($V$2:V887),$V$2:$V$1001,0),MATCH(COLUMNS($AC$1006:AR1006),$AC$1006:$AS$1006,0)), HYPERLINK("#",""), HYPERLINK(CONCATENATE("#metadata!", ADDRESS(INDEX($X$2:$X$1001,MATCH(ROWS($V$2:V887),$V$2:$V$1001,0),0), INDEX($AC$1004:$AS$1004,1,MATCH(COLUMNS($AC$1006:AR1006),$AC$1006:$AS$1006,0)))),"Fix")))</f>
        <v xml:space="preserve"> </v>
      </c>
      <c r="R887" s="4" t="str">
        <f ca="1">IF(OR(INDEX($W$2:$W$1001,MATCH(ROWS($V$2:V887),$V$2:$V$1001,0),1)&gt;=100000,INDEX($AC$1005:$AS$1005,1,MATCH(COLUMNS($AC$1006:AS1006),$AC$1006:$AS$1006,0))&gt;=100000), " ",IF(INDEX($AC$2:$AS$1001,MATCH(ROWS($V$2:V887),$V$2:$V$1001,0),MATCH(COLUMNS($AC$1006:AS1006),$AC$1006:$AS$1006,0)), HYPERLINK("#",""), HYPERLINK(CONCATENATE("#metadata!", ADDRESS(INDEX($X$2:$X$1001,MATCH(ROWS($V$2:V887),$V$2:$V$1001,0),0), INDEX($AC$1004:$AS$1004,1,MATCH(COLUMNS($AC$1006:AS1006),$AC$1006:$AS$1006,0)))),"Fix")))</f>
        <v xml:space="preserve"> </v>
      </c>
      <c r="V887">
        <v>886</v>
      </c>
      <c r="W887">
        <v>100887</v>
      </c>
      <c r="X887">
        <v>887</v>
      </c>
      <c r="Y887" t="b">
        <f t="shared" si="13"/>
        <v>1</v>
      </c>
      <c r="Z887" t="b">
        <f>COUNTBLANK(metadata!B887:R887)=COLUMNS(metadata!B887:R887)</f>
        <v>1</v>
      </c>
      <c r="AA887" t="str">
        <v/>
      </c>
      <c r="AC887" t="b">
        <f ca="1"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AD887" t="b">
        <f>IF(metadata!C887="",FALSE,ISNUMBER(VALUE(metadata!C887)))</f>
        <v>0</v>
      </c>
      <c r="AE887" t="b">
        <f>AND(IF(metadata!D887="",FALSE,TRUE),EXACT(metadata!D887,"years"))</f>
        <v>0</v>
      </c>
      <c r="AF887" t="b">
        <f>OR(AND(IF(metadata!E887="",FALSE,TRUE),OR(EXACT(metadata!E887,"not applicable"),EXACT(metadata!E887,"missing: not collected"),EXACT(metadata!E887,"missing: not provided"),EXACT(metadata!E887,"missing: restricted access"))),AND(IF(metadata!E887="",FALSE,ISNUMBER(VALUE(metadata!E887))),metadata!E887&gt;0))</f>
        <v>0</v>
      </c>
      <c r="AG887" t="b">
        <f>AND(IF(metadata!F887="",FALSE,TRUE),EXACT(metadata!F887,"Not applicable"))</f>
        <v>0</v>
      </c>
      <c r="AH887" t="b">
        <f>AND(IF(metadata!G887="",FALSE,TRUE),EXACT(metadata!G887,"urban biome"))</f>
        <v>0</v>
      </c>
      <c r="AI887" t="b">
        <f>AND(IF(metadata!H887="",FALSE,TRUE),EXACT(metadata!H887,"human-associated habitat"))</f>
        <v>0</v>
      </c>
      <c r="AJ887" t="b">
        <f>AND(IF(metadata!I887="",FALSE,TRUE),OR(EXACT(metadata!I887,"human-associated"),EXACT(metadata!I887,"human-skin"),EXACT(metadata!I887,"human-oral"),EXACT(metadata!I887,"human-gut"),EXACT(metadata!I887,"human-vaginal")))</f>
        <v>0</v>
      </c>
      <c r="AK887" t="b">
        <f>IF(metadata!J887="",FALSE,ISNUMBER(VALUE(metadata!J887)))</f>
        <v>0</v>
      </c>
      <c r="AL887" t="b">
        <f>AND(IF(metadata!K887="",FALSE,TRUE),EXACT(metadata!K887,"cm"))</f>
        <v>0</v>
      </c>
      <c r="AM887" t="b">
        <f>AND(IF(metadata!L887="",FALSE,TRUE),EXACT(metadata!L887,"human"))</f>
        <v>0</v>
      </c>
      <c r="AN887" t="b">
        <f>AND(IF(metadata!M887="",FALSE,TRUE),EXACT(metadata!M887,"Homo sapiens"))</f>
        <v>0</v>
      </c>
      <c r="AO887" t="b">
        <f>AND(IF(metadata!N887="",FALSE,TRUE),EXACT(metadata!N887,"9606"))</f>
        <v>0</v>
      </c>
      <c r="AP887" t="b">
        <f>IF(metadata!O887="",FALSE,TRUE)</f>
        <v>0</v>
      </c>
      <c r="AQ887" t="b">
        <f>IF(metadata!P887="",FALSE,TRUE)</f>
        <v>0</v>
      </c>
      <c r="AR887" t="b">
        <f>IF(metadata!Q887="",FALSE,ISNUMBER(VALUE(metadata!Q887)))</f>
        <v>0</v>
      </c>
      <c r="AS887" t="b">
        <f>AND(IF(metadata!R887="",FALSE,TRUE),EXACT(metadata!R887,"kg"))</f>
        <v>0</v>
      </c>
    </row>
    <row r="888" spans="1:45" x14ac:dyDescent="0.2">
      <c r="A888" s="5" t="str">
        <f ca="1">IF(B888=" "," ",HYPERLINK(CONCATENATE("#metadata!",ADDRESS(INDEX($X$2:$X$1001,MATCH(ROWS($V$2:V888),$V$2:$V$1001,0),0),1)),INDEX($AA$2:$AA$1001,MATCH(ROWS($V$2:V888),$V$2:$V$1001,0),0)))</f>
        <v xml:space="preserve"> </v>
      </c>
      <c r="B888" s="4" t="str">
        <f ca="1">IF(OR(INDEX($W$2:$W$1001,MATCH(ROWS($V$2:V888),$V$2:$V$1001,0),1)&gt;=100000,INDEX($AC$1005:$AS$1005,1,MATCH(COLUMNS($AC$1006:AC1006),$AC$1006:$AS$1006,0))&gt;=100000), " ",IF(INDEX($AC$2:$AS$1001,MATCH(ROWS($V$2:V888),$V$2:$V$1001,0),MATCH(COLUMNS($AC$1006:AC1006),$AC$1006:$AS$1006,0)), HYPERLINK("#",""), HYPERLINK(CONCATENATE("#metadata!", ADDRESS(INDEX($X$2:$X$1001,MATCH(ROWS($V$2:V888),$V$2:$V$1001,0),0), INDEX($AC$1004:$AS$1004,1,MATCH(COLUMNS($AC$1006:AC1006),$AC$1006:$AS$1006,0)))),"Fix")))</f>
        <v xml:space="preserve"> </v>
      </c>
      <c r="C888" s="4" t="str">
        <f ca="1">IF(OR(INDEX($W$2:$W$1001,MATCH(ROWS($V$2:V888),$V$2:$V$1001,0),1)&gt;=100000,INDEX($AC$1005:$AS$1005,1,MATCH(COLUMNS($AC$1006:AD1006),$AC$1006:$AS$1006,0))&gt;=100000), " ",IF(INDEX($AC$2:$AS$1001,MATCH(ROWS($V$2:V888),$V$2:$V$1001,0),MATCH(COLUMNS($AC$1006:AD1006),$AC$1006:$AS$1006,0)), HYPERLINK("#",""), HYPERLINK(CONCATENATE("#metadata!", ADDRESS(INDEX($X$2:$X$1001,MATCH(ROWS($V$2:V888),$V$2:$V$1001,0),0), INDEX($AC$1004:$AS$1004,1,MATCH(COLUMNS($AC$1006:AD1006),$AC$1006:$AS$1006,0)))),"Fix")))</f>
        <v xml:space="preserve"> </v>
      </c>
      <c r="D888" s="4" t="str">
        <f ca="1">IF(OR(INDEX($W$2:$W$1001,MATCH(ROWS($V$2:V888),$V$2:$V$1001,0),1)&gt;=100000,INDEX($AC$1005:$AS$1005,1,MATCH(COLUMNS($AC$1006:AE1006),$AC$1006:$AS$1006,0))&gt;=100000), " ",IF(INDEX($AC$2:$AS$1001,MATCH(ROWS($V$2:V888),$V$2:$V$1001,0),MATCH(COLUMNS($AC$1006:AE1006),$AC$1006:$AS$1006,0)), HYPERLINK("#",""), HYPERLINK(CONCATENATE("#metadata!", ADDRESS(INDEX($X$2:$X$1001,MATCH(ROWS($V$2:V888),$V$2:$V$1001,0),0), INDEX($AC$1004:$AS$1004,1,MATCH(COLUMNS($AC$1006:AE1006),$AC$1006:$AS$1006,0)))),"Fix")))</f>
        <v xml:space="preserve"> </v>
      </c>
      <c r="E888" s="4" t="str">
        <f ca="1">IF(OR(INDEX($W$2:$W$1001,MATCH(ROWS($V$2:V888),$V$2:$V$1001,0),1)&gt;=100000,INDEX($AC$1005:$AS$1005,1,MATCH(COLUMNS($AC$1006:AF1006),$AC$1006:$AS$1006,0))&gt;=100000), " ",IF(INDEX($AC$2:$AS$1001,MATCH(ROWS($V$2:V888),$V$2:$V$1001,0),MATCH(COLUMNS($AC$1006:AF1006),$AC$1006:$AS$1006,0)), HYPERLINK("#",""), HYPERLINK(CONCATENATE("#metadata!", ADDRESS(INDEX($X$2:$X$1001,MATCH(ROWS($V$2:V888),$V$2:$V$1001,0),0), INDEX($AC$1004:$AS$1004,1,MATCH(COLUMNS($AC$1006:AF1006),$AC$1006:$AS$1006,0)))),"Fix")))</f>
        <v xml:space="preserve"> </v>
      </c>
      <c r="F888" s="4" t="str">
        <f ca="1">IF(OR(INDEX($W$2:$W$1001,MATCH(ROWS($V$2:V888),$V$2:$V$1001,0),1)&gt;=100000,INDEX($AC$1005:$AS$1005,1,MATCH(COLUMNS($AC$1006:AG1006),$AC$1006:$AS$1006,0))&gt;=100000), " ",IF(INDEX($AC$2:$AS$1001,MATCH(ROWS($V$2:V888),$V$2:$V$1001,0),MATCH(COLUMNS($AC$1006:AG1006),$AC$1006:$AS$1006,0)), HYPERLINK("#",""), HYPERLINK(CONCATENATE("#metadata!", ADDRESS(INDEX($X$2:$X$1001,MATCH(ROWS($V$2:V888),$V$2:$V$1001,0),0), INDEX($AC$1004:$AS$1004,1,MATCH(COLUMNS($AC$1006:AG1006),$AC$1006:$AS$1006,0)))),"Fix")))</f>
        <v xml:space="preserve"> </v>
      </c>
      <c r="G888" s="4" t="str">
        <f ca="1">IF(OR(INDEX($W$2:$W$1001,MATCH(ROWS($V$2:V888),$V$2:$V$1001,0),1)&gt;=100000,INDEX($AC$1005:$AS$1005,1,MATCH(COLUMNS($AC$1006:AH1006),$AC$1006:$AS$1006,0))&gt;=100000), " ",IF(INDEX($AC$2:$AS$1001,MATCH(ROWS($V$2:V888),$V$2:$V$1001,0),MATCH(COLUMNS($AC$1006:AH1006),$AC$1006:$AS$1006,0)), HYPERLINK("#",""), HYPERLINK(CONCATENATE("#metadata!", ADDRESS(INDEX($X$2:$X$1001,MATCH(ROWS($V$2:V888),$V$2:$V$1001,0),0), INDEX($AC$1004:$AS$1004,1,MATCH(COLUMNS($AC$1006:AH1006),$AC$1006:$AS$1006,0)))),"Fix")))</f>
        <v xml:space="preserve"> </v>
      </c>
      <c r="H888" s="4" t="str">
        <f ca="1">IF(OR(INDEX($W$2:$W$1001,MATCH(ROWS($V$2:V888),$V$2:$V$1001,0),1)&gt;=100000,INDEX($AC$1005:$AS$1005,1,MATCH(COLUMNS($AC$1006:AI1006),$AC$1006:$AS$1006,0))&gt;=100000), " ",IF(INDEX($AC$2:$AS$1001,MATCH(ROWS($V$2:V888),$V$2:$V$1001,0),MATCH(COLUMNS($AC$1006:AI1006),$AC$1006:$AS$1006,0)), HYPERLINK("#",""), HYPERLINK(CONCATENATE("#metadata!", ADDRESS(INDEX($X$2:$X$1001,MATCH(ROWS($V$2:V888),$V$2:$V$1001,0),0), INDEX($AC$1004:$AS$1004,1,MATCH(COLUMNS($AC$1006:AI1006),$AC$1006:$AS$1006,0)))),"Fix")))</f>
        <v xml:space="preserve"> </v>
      </c>
      <c r="I888" s="4" t="str">
        <f ca="1">IF(OR(INDEX($W$2:$W$1001,MATCH(ROWS($V$2:V888),$V$2:$V$1001,0),1)&gt;=100000,INDEX($AC$1005:$AS$1005,1,MATCH(COLUMNS($AC$1006:AJ1006),$AC$1006:$AS$1006,0))&gt;=100000), " ",IF(INDEX($AC$2:$AS$1001,MATCH(ROWS($V$2:V888),$V$2:$V$1001,0),MATCH(COLUMNS($AC$1006:AJ1006),$AC$1006:$AS$1006,0)), HYPERLINK("#",""), HYPERLINK(CONCATENATE("#metadata!", ADDRESS(INDEX($X$2:$X$1001,MATCH(ROWS($V$2:V888),$V$2:$V$1001,0),0), INDEX($AC$1004:$AS$1004,1,MATCH(COLUMNS($AC$1006:AJ1006),$AC$1006:$AS$1006,0)))),"Fix")))</f>
        <v xml:space="preserve"> </v>
      </c>
      <c r="J888" s="4" t="str">
        <f ca="1">IF(OR(INDEX($W$2:$W$1001,MATCH(ROWS($V$2:V888),$V$2:$V$1001,0),1)&gt;=100000,INDEX($AC$1005:$AS$1005,1,MATCH(COLUMNS($AC$1006:AK1006),$AC$1006:$AS$1006,0))&gt;=100000), " ",IF(INDEX($AC$2:$AS$1001,MATCH(ROWS($V$2:V888),$V$2:$V$1001,0),MATCH(COLUMNS($AC$1006:AK1006),$AC$1006:$AS$1006,0)), HYPERLINK("#",""), HYPERLINK(CONCATENATE("#metadata!", ADDRESS(INDEX($X$2:$X$1001,MATCH(ROWS($V$2:V888),$V$2:$V$1001,0),0), INDEX($AC$1004:$AS$1004,1,MATCH(COLUMNS($AC$1006:AK1006),$AC$1006:$AS$1006,0)))),"Fix")))</f>
        <v xml:space="preserve"> </v>
      </c>
      <c r="K888" s="4" t="str">
        <f ca="1">IF(OR(INDEX($W$2:$W$1001,MATCH(ROWS($V$2:V888),$V$2:$V$1001,0),1)&gt;=100000,INDEX($AC$1005:$AS$1005,1,MATCH(COLUMNS($AC$1006:AL1006),$AC$1006:$AS$1006,0))&gt;=100000), " ",IF(INDEX($AC$2:$AS$1001,MATCH(ROWS($V$2:V888),$V$2:$V$1001,0),MATCH(COLUMNS($AC$1006:AL1006),$AC$1006:$AS$1006,0)), HYPERLINK("#",""), HYPERLINK(CONCATENATE("#metadata!", ADDRESS(INDEX($X$2:$X$1001,MATCH(ROWS($V$2:V888),$V$2:$V$1001,0),0), INDEX($AC$1004:$AS$1004,1,MATCH(COLUMNS($AC$1006:AL1006),$AC$1006:$AS$1006,0)))),"Fix")))</f>
        <v xml:space="preserve"> </v>
      </c>
      <c r="L888" s="4" t="str">
        <f ca="1">IF(OR(INDEX($W$2:$W$1001,MATCH(ROWS($V$2:V888),$V$2:$V$1001,0),1)&gt;=100000,INDEX($AC$1005:$AS$1005,1,MATCH(COLUMNS($AC$1006:AM1006),$AC$1006:$AS$1006,0))&gt;=100000), " ",IF(INDEX($AC$2:$AS$1001,MATCH(ROWS($V$2:V888),$V$2:$V$1001,0),MATCH(COLUMNS($AC$1006:AM1006),$AC$1006:$AS$1006,0)), HYPERLINK("#",""), HYPERLINK(CONCATENATE("#metadata!", ADDRESS(INDEX($X$2:$X$1001,MATCH(ROWS($V$2:V888),$V$2:$V$1001,0),0), INDEX($AC$1004:$AS$1004,1,MATCH(COLUMNS($AC$1006:AM1006),$AC$1006:$AS$1006,0)))),"Fix")))</f>
        <v xml:space="preserve"> </v>
      </c>
      <c r="M888" s="4" t="str">
        <f ca="1">IF(OR(INDEX($W$2:$W$1001,MATCH(ROWS($V$2:V888),$V$2:$V$1001,0),1)&gt;=100000,INDEX($AC$1005:$AS$1005,1,MATCH(COLUMNS($AC$1006:AN1006),$AC$1006:$AS$1006,0))&gt;=100000), " ",IF(INDEX($AC$2:$AS$1001,MATCH(ROWS($V$2:V888),$V$2:$V$1001,0),MATCH(COLUMNS($AC$1006:AN1006),$AC$1006:$AS$1006,0)), HYPERLINK("#",""), HYPERLINK(CONCATENATE("#metadata!", ADDRESS(INDEX($X$2:$X$1001,MATCH(ROWS($V$2:V888),$V$2:$V$1001,0),0), INDEX($AC$1004:$AS$1004,1,MATCH(COLUMNS($AC$1006:AN1006),$AC$1006:$AS$1006,0)))),"Fix")))</f>
        <v xml:space="preserve"> </v>
      </c>
      <c r="N888" s="4" t="str">
        <f ca="1">IF(OR(INDEX($W$2:$W$1001,MATCH(ROWS($V$2:V888),$V$2:$V$1001,0),1)&gt;=100000,INDEX($AC$1005:$AS$1005,1,MATCH(COLUMNS($AC$1006:AO1006),$AC$1006:$AS$1006,0))&gt;=100000), " ",IF(INDEX($AC$2:$AS$1001,MATCH(ROWS($V$2:V888),$V$2:$V$1001,0),MATCH(COLUMNS($AC$1006:AO1006),$AC$1006:$AS$1006,0)), HYPERLINK("#",""), HYPERLINK(CONCATENATE("#metadata!", ADDRESS(INDEX($X$2:$X$1001,MATCH(ROWS($V$2:V888),$V$2:$V$1001,0),0), INDEX($AC$1004:$AS$1004,1,MATCH(COLUMNS($AC$1006:AO1006),$AC$1006:$AS$1006,0)))),"Fix")))</f>
        <v xml:space="preserve"> </v>
      </c>
      <c r="O888" s="4" t="str">
        <f ca="1">IF(OR(INDEX($W$2:$W$1001,MATCH(ROWS($V$2:V888),$V$2:$V$1001,0),1)&gt;=100000,INDEX($AC$1005:$AS$1005,1,MATCH(COLUMNS($AC$1006:AP1006),$AC$1006:$AS$1006,0))&gt;=100000), " ",IF(INDEX($AC$2:$AS$1001,MATCH(ROWS($V$2:V888),$V$2:$V$1001,0),MATCH(COLUMNS($AC$1006:AP1006),$AC$1006:$AS$1006,0)), HYPERLINK("#",""), HYPERLINK(CONCATENATE("#metadata!", ADDRESS(INDEX($X$2:$X$1001,MATCH(ROWS($V$2:V888),$V$2:$V$1001,0),0), INDEX($AC$1004:$AS$1004,1,MATCH(COLUMNS($AC$1006:AP1006),$AC$1006:$AS$1006,0)))),"Fix")))</f>
        <v xml:space="preserve"> </v>
      </c>
      <c r="P888" s="4" t="str">
        <f ca="1">IF(OR(INDEX($W$2:$W$1001,MATCH(ROWS($V$2:V888),$V$2:$V$1001,0),1)&gt;=100000,INDEX($AC$1005:$AS$1005,1,MATCH(COLUMNS($AC$1006:AQ1006),$AC$1006:$AS$1006,0))&gt;=100000), " ",IF(INDEX($AC$2:$AS$1001,MATCH(ROWS($V$2:V888),$V$2:$V$1001,0),MATCH(COLUMNS($AC$1006:AQ1006),$AC$1006:$AS$1006,0)), HYPERLINK("#",""), HYPERLINK(CONCATENATE("#metadata!", ADDRESS(INDEX($X$2:$X$1001,MATCH(ROWS($V$2:V888),$V$2:$V$1001,0),0), INDEX($AC$1004:$AS$1004,1,MATCH(COLUMNS($AC$1006:AQ1006),$AC$1006:$AS$1006,0)))),"Fix")))</f>
        <v xml:space="preserve"> </v>
      </c>
      <c r="Q888" s="4" t="str">
        <f ca="1">IF(OR(INDEX($W$2:$W$1001,MATCH(ROWS($V$2:V888),$V$2:$V$1001,0),1)&gt;=100000,INDEX($AC$1005:$AS$1005,1,MATCH(COLUMNS($AC$1006:AR1006),$AC$1006:$AS$1006,0))&gt;=100000), " ",IF(INDEX($AC$2:$AS$1001,MATCH(ROWS($V$2:V888),$V$2:$V$1001,0),MATCH(COLUMNS($AC$1006:AR1006),$AC$1006:$AS$1006,0)), HYPERLINK("#",""), HYPERLINK(CONCATENATE("#metadata!", ADDRESS(INDEX($X$2:$X$1001,MATCH(ROWS($V$2:V888),$V$2:$V$1001,0),0), INDEX($AC$1004:$AS$1004,1,MATCH(COLUMNS($AC$1006:AR1006),$AC$1006:$AS$1006,0)))),"Fix")))</f>
        <v xml:space="preserve"> </v>
      </c>
      <c r="R888" s="4" t="str">
        <f ca="1">IF(OR(INDEX($W$2:$W$1001,MATCH(ROWS($V$2:V888),$V$2:$V$1001,0),1)&gt;=100000,INDEX($AC$1005:$AS$1005,1,MATCH(COLUMNS($AC$1006:AS1006),$AC$1006:$AS$1006,0))&gt;=100000), " ",IF(INDEX($AC$2:$AS$1001,MATCH(ROWS($V$2:V888),$V$2:$V$1001,0),MATCH(COLUMNS($AC$1006:AS1006),$AC$1006:$AS$1006,0)), HYPERLINK("#",""), HYPERLINK(CONCATENATE("#metadata!", ADDRESS(INDEX($X$2:$X$1001,MATCH(ROWS($V$2:V888),$V$2:$V$1001,0),0), INDEX($AC$1004:$AS$1004,1,MATCH(COLUMNS($AC$1006:AS1006),$AC$1006:$AS$1006,0)))),"Fix")))</f>
        <v xml:space="preserve"> </v>
      </c>
      <c r="V888">
        <v>887</v>
      </c>
      <c r="W888">
        <v>100888</v>
      </c>
      <c r="X888">
        <v>888</v>
      </c>
      <c r="Y888" t="b">
        <f t="shared" si="13"/>
        <v>1</v>
      </c>
      <c r="Z888" t="b">
        <f>COUNTBLANK(metadata!B888:R888)=COLUMNS(metadata!B888:R888)</f>
        <v>1</v>
      </c>
      <c r="AA888" t="str">
        <v/>
      </c>
      <c r="AC888" t="b">
        <f ca="1"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AD888" t="b">
        <f>IF(metadata!C888="",FALSE,ISNUMBER(VALUE(metadata!C888)))</f>
        <v>0</v>
      </c>
      <c r="AE888" t="b">
        <f>AND(IF(metadata!D888="",FALSE,TRUE),EXACT(metadata!D888,"years"))</f>
        <v>0</v>
      </c>
      <c r="AF888" t="b">
        <f>OR(AND(IF(metadata!E888="",FALSE,TRUE),OR(EXACT(metadata!E888,"not applicable"),EXACT(metadata!E888,"missing: not collected"),EXACT(metadata!E888,"missing: not provided"),EXACT(metadata!E888,"missing: restricted access"))),AND(IF(metadata!E888="",FALSE,ISNUMBER(VALUE(metadata!E888))),metadata!E888&gt;0))</f>
        <v>0</v>
      </c>
      <c r="AG888" t="b">
        <f>AND(IF(metadata!F888="",FALSE,TRUE),EXACT(metadata!F888,"Not applicable"))</f>
        <v>0</v>
      </c>
      <c r="AH888" t="b">
        <f>AND(IF(metadata!G888="",FALSE,TRUE),EXACT(metadata!G888,"urban biome"))</f>
        <v>0</v>
      </c>
      <c r="AI888" t="b">
        <f>AND(IF(metadata!H888="",FALSE,TRUE),EXACT(metadata!H888,"human-associated habitat"))</f>
        <v>0</v>
      </c>
      <c r="AJ888" t="b">
        <f>AND(IF(metadata!I888="",FALSE,TRUE),OR(EXACT(metadata!I888,"human-associated"),EXACT(metadata!I888,"human-skin"),EXACT(metadata!I888,"human-oral"),EXACT(metadata!I888,"human-gut"),EXACT(metadata!I888,"human-vaginal")))</f>
        <v>0</v>
      </c>
      <c r="AK888" t="b">
        <f>IF(metadata!J888="",FALSE,ISNUMBER(VALUE(metadata!J888)))</f>
        <v>0</v>
      </c>
      <c r="AL888" t="b">
        <f>AND(IF(metadata!K888="",FALSE,TRUE),EXACT(metadata!K888,"cm"))</f>
        <v>0</v>
      </c>
      <c r="AM888" t="b">
        <f>AND(IF(metadata!L888="",FALSE,TRUE),EXACT(metadata!L888,"human"))</f>
        <v>0</v>
      </c>
      <c r="AN888" t="b">
        <f>AND(IF(metadata!M888="",FALSE,TRUE),EXACT(metadata!M888,"Homo sapiens"))</f>
        <v>0</v>
      </c>
      <c r="AO888" t="b">
        <f>AND(IF(metadata!N888="",FALSE,TRUE),EXACT(metadata!N888,"9606"))</f>
        <v>0</v>
      </c>
      <c r="AP888" t="b">
        <f>IF(metadata!O888="",FALSE,TRUE)</f>
        <v>0</v>
      </c>
      <c r="AQ888" t="b">
        <f>IF(metadata!P888="",FALSE,TRUE)</f>
        <v>0</v>
      </c>
      <c r="AR888" t="b">
        <f>IF(metadata!Q888="",FALSE,ISNUMBER(VALUE(metadata!Q888)))</f>
        <v>0</v>
      </c>
      <c r="AS888" t="b">
        <f>AND(IF(metadata!R888="",FALSE,TRUE),EXACT(metadata!R888,"kg"))</f>
        <v>0</v>
      </c>
    </row>
    <row r="889" spans="1:45" x14ac:dyDescent="0.2">
      <c r="A889" s="5" t="str">
        <f ca="1">IF(B889=" "," ",HYPERLINK(CONCATENATE("#metadata!",ADDRESS(INDEX($X$2:$X$1001,MATCH(ROWS($V$2:V889),$V$2:$V$1001,0),0),1)),INDEX($AA$2:$AA$1001,MATCH(ROWS($V$2:V889),$V$2:$V$1001,0),0)))</f>
        <v xml:space="preserve"> </v>
      </c>
      <c r="B889" s="4" t="str">
        <f ca="1">IF(OR(INDEX($W$2:$W$1001,MATCH(ROWS($V$2:V889),$V$2:$V$1001,0),1)&gt;=100000,INDEX($AC$1005:$AS$1005,1,MATCH(COLUMNS($AC$1006:AC1006),$AC$1006:$AS$1006,0))&gt;=100000), " ",IF(INDEX($AC$2:$AS$1001,MATCH(ROWS($V$2:V889),$V$2:$V$1001,0),MATCH(COLUMNS($AC$1006:AC1006),$AC$1006:$AS$1006,0)), HYPERLINK("#",""), HYPERLINK(CONCATENATE("#metadata!", ADDRESS(INDEX($X$2:$X$1001,MATCH(ROWS($V$2:V889),$V$2:$V$1001,0),0), INDEX($AC$1004:$AS$1004,1,MATCH(COLUMNS($AC$1006:AC1006),$AC$1006:$AS$1006,0)))),"Fix")))</f>
        <v xml:space="preserve"> </v>
      </c>
      <c r="C889" s="4" t="str">
        <f ca="1">IF(OR(INDEX($W$2:$W$1001,MATCH(ROWS($V$2:V889),$V$2:$V$1001,0),1)&gt;=100000,INDEX($AC$1005:$AS$1005,1,MATCH(COLUMNS($AC$1006:AD1006),$AC$1006:$AS$1006,0))&gt;=100000), " ",IF(INDEX($AC$2:$AS$1001,MATCH(ROWS($V$2:V889),$V$2:$V$1001,0),MATCH(COLUMNS($AC$1006:AD1006),$AC$1006:$AS$1006,0)), HYPERLINK("#",""), HYPERLINK(CONCATENATE("#metadata!", ADDRESS(INDEX($X$2:$X$1001,MATCH(ROWS($V$2:V889),$V$2:$V$1001,0),0), INDEX($AC$1004:$AS$1004,1,MATCH(COLUMNS($AC$1006:AD1006),$AC$1006:$AS$1006,0)))),"Fix")))</f>
        <v xml:space="preserve"> </v>
      </c>
      <c r="D889" s="4" t="str">
        <f ca="1">IF(OR(INDEX($W$2:$W$1001,MATCH(ROWS($V$2:V889),$V$2:$V$1001,0),1)&gt;=100000,INDEX($AC$1005:$AS$1005,1,MATCH(COLUMNS($AC$1006:AE1006),$AC$1006:$AS$1006,0))&gt;=100000), " ",IF(INDEX($AC$2:$AS$1001,MATCH(ROWS($V$2:V889),$V$2:$V$1001,0),MATCH(COLUMNS($AC$1006:AE1006),$AC$1006:$AS$1006,0)), HYPERLINK("#",""), HYPERLINK(CONCATENATE("#metadata!", ADDRESS(INDEX($X$2:$X$1001,MATCH(ROWS($V$2:V889),$V$2:$V$1001,0),0), INDEX($AC$1004:$AS$1004,1,MATCH(COLUMNS($AC$1006:AE1006),$AC$1006:$AS$1006,0)))),"Fix")))</f>
        <v xml:space="preserve"> </v>
      </c>
      <c r="E889" s="4" t="str">
        <f ca="1">IF(OR(INDEX($W$2:$W$1001,MATCH(ROWS($V$2:V889),$V$2:$V$1001,0),1)&gt;=100000,INDEX($AC$1005:$AS$1005,1,MATCH(COLUMNS($AC$1006:AF1006),$AC$1006:$AS$1006,0))&gt;=100000), " ",IF(INDEX($AC$2:$AS$1001,MATCH(ROWS($V$2:V889),$V$2:$V$1001,0),MATCH(COLUMNS($AC$1006:AF1006),$AC$1006:$AS$1006,0)), HYPERLINK("#",""), HYPERLINK(CONCATENATE("#metadata!", ADDRESS(INDEX($X$2:$X$1001,MATCH(ROWS($V$2:V889),$V$2:$V$1001,0),0), INDEX($AC$1004:$AS$1004,1,MATCH(COLUMNS($AC$1006:AF1006),$AC$1006:$AS$1006,0)))),"Fix")))</f>
        <v xml:space="preserve"> </v>
      </c>
      <c r="F889" s="4" t="str">
        <f ca="1">IF(OR(INDEX($W$2:$W$1001,MATCH(ROWS($V$2:V889),$V$2:$V$1001,0),1)&gt;=100000,INDEX($AC$1005:$AS$1005,1,MATCH(COLUMNS($AC$1006:AG1006),$AC$1006:$AS$1006,0))&gt;=100000), " ",IF(INDEX($AC$2:$AS$1001,MATCH(ROWS($V$2:V889),$V$2:$V$1001,0),MATCH(COLUMNS($AC$1006:AG1006),$AC$1006:$AS$1006,0)), HYPERLINK("#",""), HYPERLINK(CONCATENATE("#metadata!", ADDRESS(INDEX($X$2:$X$1001,MATCH(ROWS($V$2:V889),$V$2:$V$1001,0),0), INDEX($AC$1004:$AS$1004,1,MATCH(COLUMNS($AC$1006:AG1006),$AC$1006:$AS$1006,0)))),"Fix")))</f>
        <v xml:space="preserve"> </v>
      </c>
      <c r="G889" s="4" t="str">
        <f ca="1">IF(OR(INDEX($W$2:$W$1001,MATCH(ROWS($V$2:V889),$V$2:$V$1001,0),1)&gt;=100000,INDEX($AC$1005:$AS$1005,1,MATCH(COLUMNS($AC$1006:AH1006),$AC$1006:$AS$1006,0))&gt;=100000), " ",IF(INDEX($AC$2:$AS$1001,MATCH(ROWS($V$2:V889),$V$2:$V$1001,0),MATCH(COLUMNS($AC$1006:AH1006),$AC$1006:$AS$1006,0)), HYPERLINK("#",""), HYPERLINK(CONCATENATE("#metadata!", ADDRESS(INDEX($X$2:$X$1001,MATCH(ROWS($V$2:V889),$V$2:$V$1001,0),0), INDEX($AC$1004:$AS$1004,1,MATCH(COLUMNS($AC$1006:AH1006),$AC$1006:$AS$1006,0)))),"Fix")))</f>
        <v xml:space="preserve"> </v>
      </c>
      <c r="H889" s="4" t="str">
        <f ca="1">IF(OR(INDEX($W$2:$W$1001,MATCH(ROWS($V$2:V889),$V$2:$V$1001,0),1)&gt;=100000,INDEX($AC$1005:$AS$1005,1,MATCH(COLUMNS($AC$1006:AI1006),$AC$1006:$AS$1006,0))&gt;=100000), " ",IF(INDEX($AC$2:$AS$1001,MATCH(ROWS($V$2:V889),$V$2:$V$1001,0),MATCH(COLUMNS($AC$1006:AI1006),$AC$1006:$AS$1006,0)), HYPERLINK("#",""), HYPERLINK(CONCATENATE("#metadata!", ADDRESS(INDEX($X$2:$X$1001,MATCH(ROWS($V$2:V889),$V$2:$V$1001,0),0), INDEX($AC$1004:$AS$1004,1,MATCH(COLUMNS($AC$1006:AI1006),$AC$1006:$AS$1006,0)))),"Fix")))</f>
        <v xml:space="preserve"> </v>
      </c>
      <c r="I889" s="4" t="str">
        <f ca="1">IF(OR(INDEX($W$2:$W$1001,MATCH(ROWS($V$2:V889),$V$2:$V$1001,0),1)&gt;=100000,INDEX($AC$1005:$AS$1005,1,MATCH(COLUMNS($AC$1006:AJ1006),$AC$1006:$AS$1006,0))&gt;=100000), " ",IF(INDEX($AC$2:$AS$1001,MATCH(ROWS($V$2:V889),$V$2:$V$1001,0),MATCH(COLUMNS($AC$1006:AJ1006),$AC$1006:$AS$1006,0)), HYPERLINK("#",""), HYPERLINK(CONCATENATE("#metadata!", ADDRESS(INDEX($X$2:$X$1001,MATCH(ROWS($V$2:V889),$V$2:$V$1001,0),0), INDEX($AC$1004:$AS$1004,1,MATCH(COLUMNS($AC$1006:AJ1006),$AC$1006:$AS$1006,0)))),"Fix")))</f>
        <v xml:space="preserve"> </v>
      </c>
      <c r="J889" s="4" t="str">
        <f ca="1">IF(OR(INDEX($W$2:$W$1001,MATCH(ROWS($V$2:V889),$V$2:$V$1001,0),1)&gt;=100000,INDEX($AC$1005:$AS$1005,1,MATCH(COLUMNS($AC$1006:AK1006),$AC$1006:$AS$1006,0))&gt;=100000), " ",IF(INDEX($AC$2:$AS$1001,MATCH(ROWS($V$2:V889),$V$2:$V$1001,0),MATCH(COLUMNS($AC$1006:AK1006),$AC$1006:$AS$1006,0)), HYPERLINK("#",""), HYPERLINK(CONCATENATE("#metadata!", ADDRESS(INDEX($X$2:$X$1001,MATCH(ROWS($V$2:V889),$V$2:$V$1001,0),0), INDEX($AC$1004:$AS$1004,1,MATCH(COLUMNS($AC$1006:AK1006),$AC$1006:$AS$1006,0)))),"Fix")))</f>
        <v xml:space="preserve"> </v>
      </c>
      <c r="K889" s="4" t="str">
        <f ca="1">IF(OR(INDEX($W$2:$W$1001,MATCH(ROWS($V$2:V889),$V$2:$V$1001,0),1)&gt;=100000,INDEX($AC$1005:$AS$1005,1,MATCH(COLUMNS($AC$1006:AL1006),$AC$1006:$AS$1006,0))&gt;=100000), " ",IF(INDEX($AC$2:$AS$1001,MATCH(ROWS($V$2:V889),$V$2:$V$1001,0),MATCH(COLUMNS($AC$1006:AL1006),$AC$1006:$AS$1006,0)), HYPERLINK("#",""), HYPERLINK(CONCATENATE("#metadata!", ADDRESS(INDEX($X$2:$X$1001,MATCH(ROWS($V$2:V889),$V$2:$V$1001,0),0), INDEX($AC$1004:$AS$1004,1,MATCH(COLUMNS($AC$1006:AL1006),$AC$1006:$AS$1006,0)))),"Fix")))</f>
        <v xml:space="preserve"> </v>
      </c>
      <c r="L889" s="4" t="str">
        <f ca="1">IF(OR(INDEX($W$2:$W$1001,MATCH(ROWS($V$2:V889),$V$2:$V$1001,0),1)&gt;=100000,INDEX($AC$1005:$AS$1005,1,MATCH(COLUMNS($AC$1006:AM1006),$AC$1006:$AS$1006,0))&gt;=100000), " ",IF(INDEX($AC$2:$AS$1001,MATCH(ROWS($V$2:V889),$V$2:$V$1001,0),MATCH(COLUMNS($AC$1006:AM1006),$AC$1006:$AS$1006,0)), HYPERLINK("#",""), HYPERLINK(CONCATENATE("#metadata!", ADDRESS(INDEX($X$2:$X$1001,MATCH(ROWS($V$2:V889),$V$2:$V$1001,0),0), INDEX($AC$1004:$AS$1004,1,MATCH(COLUMNS($AC$1006:AM1006),$AC$1006:$AS$1006,0)))),"Fix")))</f>
        <v xml:space="preserve"> </v>
      </c>
      <c r="M889" s="4" t="str">
        <f ca="1">IF(OR(INDEX($W$2:$W$1001,MATCH(ROWS($V$2:V889),$V$2:$V$1001,0),1)&gt;=100000,INDEX($AC$1005:$AS$1005,1,MATCH(COLUMNS($AC$1006:AN1006),$AC$1006:$AS$1006,0))&gt;=100000), " ",IF(INDEX($AC$2:$AS$1001,MATCH(ROWS($V$2:V889),$V$2:$V$1001,0),MATCH(COLUMNS($AC$1006:AN1006),$AC$1006:$AS$1006,0)), HYPERLINK("#",""), HYPERLINK(CONCATENATE("#metadata!", ADDRESS(INDEX($X$2:$X$1001,MATCH(ROWS($V$2:V889),$V$2:$V$1001,0),0), INDEX($AC$1004:$AS$1004,1,MATCH(COLUMNS($AC$1006:AN1006),$AC$1006:$AS$1006,0)))),"Fix")))</f>
        <v xml:space="preserve"> </v>
      </c>
      <c r="N889" s="4" t="str">
        <f ca="1">IF(OR(INDEX($W$2:$W$1001,MATCH(ROWS($V$2:V889),$V$2:$V$1001,0),1)&gt;=100000,INDEX($AC$1005:$AS$1005,1,MATCH(COLUMNS($AC$1006:AO1006),$AC$1006:$AS$1006,0))&gt;=100000), " ",IF(INDEX($AC$2:$AS$1001,MATCH(ROWS($V$2:V889),$V$2:$V$1001,0),MATCH(COLUMNS($AC$1006:AO1006),$AC$1006:$AS$1006,0)), HYPERLINK("#",""), HYPERLINK(CONCATENATE("#metadata!", ADDRESS(INDEX($X$2:$X$1001,MATCH(ROWS($V$2:V889),$V$2:$V$1001,0),0), INDEX($AC$1004:$AS$1004,1,MATCH(COLUMNS($AC$1006:AO1006),$AC$1006:$AS$1006,0)))),"Fix")))</f>
        <v xml:space="preserve"> </v>
      </c>
      <c r="O889" s="4" t="str">
        <f ca="1">IF(OR(INDEX($W$2:$W$1001,MATCH(ROWS($V$2:V889),$V$2:$V$1001,0),1)&gt;=100000,INDEX($AC$1005:$AS$1005,1,MATCH(COLUMNS($AC$1006:AP1006),$AC$1006:$AS$1006,0))&gt;=100000), " ",IF(INDEX($AC$2:$AS$1001,MATCH(ROWS($V$2:V889),$V$2:$V$1001,0),MATCH(COLUMNS($AC$1006:AP1006),$AC$1006:$AS$1006,0)), HYPERLINK("#",""), HYPERLINK(CONCATENATE("#metadata!", ADDRESS(INDEX($X$2:$X$1001,MATCH(ROWS($V$2:V889),$V$2:$V$1001,0),0), INDEX($AC$1004:$AS$1004,1,MATCH(COLUMNS($AC$1006:AP1006),$AC$1006:$AS$1006,0)))),"Fix")))</f>
        <v xml:space="preserve"> </v>
      </c>
      <c r="P889" s="4" t="str">
        <f ca="1">IF(OR(INDEX($W$2:$W$1001,MATCH(ROWS($V$2:V889),$V$2:$V$1001,0),1)&gt;=100000,INDEX($AC$1005:$AS$1005,1,MATCH(COLUMNS($AC$1006:AQ1006),$AC$1006:$AS$1006,0))&gt;=100000), " ",IF(INDEX($AC$2:$AS$1001,MATCH(ROWS($V$2:V889),$V$2:$V$1001,0),MATCH(COLUMNS($AC$1006:AQ1006),$AC$1006:$AS$1006,0)), HYPERLINK("#",""), HYPERLINK(CONCATENATE("#metadata!", ADDRESS(INDEX($X$2:$X$1001,MATCH(ROWS($V$2:V889),$V$2:$V$1001,0),0), INDEX($AC$1004:$AS$1004,1,MATCH(COLUMNS($AC$1006:AQ1006),$AC$1006:$AS$1006,0)))),"Fix")))</f>
        <v xml:space="preserve"> </v>
      </c>
      <c r="Q889" s="4" t="str">
        <f ca="1">IF(OR(INDEX($W$2:$W$1001,MATCH(ROWS($V$2:V889),$V$2:$V$1001,0),1)&gt;=100000,INDEX($AC$1005:$AS$1005,1,MATCH(COLUMNS($AC$1006:AR1006),$AC$1006:$AS$1006,0))&gt;=100000), " ",IF(INDEX($AC$2:$AS$1001,MATCH(ROWS($V$2:V889),$V$2:$V$1001,0),MATCH(COLUMNS($AC$1006:AR1006),$AC$1006:$AS$1006,0)), HYPERLINK("#",""), HYPERLINK(CONCATENATE("#metadata!", ADDRESS(INDEX($X$2:$X$1001,MATCH(ROWS($V$2:V889),$V$2:$V$1001,0),0), INDEX($AC$1004:$AS$1004,1,MATCH(COLUMNS($AC$1006:AR1006),$AC$1006:$AS$1006,0)))),"Fix")))</f>
        <v xml:space="preserve"> </v>
      </c>
      <c r="R889" s="4" t="str">
        <f ca="1">IF(OR(INDEX($W$2:$W$1001,MATCH(ROWS($V$2:V889),$V$2:$V$1001,0),1)&gt;=100000,INDEX($AC$1005:$AS$1005,1,MATCH(COLUMNS($AC$1006:AS1006),$AC$1006:$AS$1006,0))&gt;=100000), " ",IF(INDEX($AC$2:$AS$1001,MATCH(ROWS($V$2:V889),$V$2:$V$1001,0),MATCH(COLUMNS($AC$1006:AS1006),$AC$1006:$AS$1006,0)), HYPERLINK("#",""), HYPERLINK(CONCATENATE("#metadata!", ADDRESS(INDEX($X$2:$X$1001,MATCH(ROWS($V$2:V889),$V$2:$V$1001,0),0), INDEX($AC$1004:$AS$1004,1,MATCH(COLUMNS($AC$1006:AS1006),$AC$1006:$AS$1006,0)))),"Fix")))</f>
        <v xml:space="preserve"> </v>
      </c>
      <c r="V889">
        <v>888</v>
      </c>
      <c r="W889">
        <v>100889</v>
      </c>
      <c r="X889">
        <v>889</v>
      </c>
      <c r="Y889" t="b">
        <f t="shared" si="13"/>
        <v>1</v>
      </c>
      <c r="Z889" t="b">
        <f>COUNTBLANK(metadata!B889:R889)=COLUMNS(metadata!B889:R889)</f>
        <v>1</v>
      </c>
      <c r="AA889" t="str">
        <v/>
      </c>
      <c r="AC889" t="b">
        <f ca="1"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AD889" t="b">
        <f>IF(metadata!C889="",FALSE,ISNUMBER(VALUE(metadata!C889)))</f>
        <v>0</v>
      </c>
      <c r="AE889" t="b">
        <f>AND(IF(metadata!D889="",FALSE,TRUE),EXACT(metadata!D889,"years"))</f>
        <v>0</v>
      </c>
      <c r="AF889" t="b">
        <f>OR(AND(IF(metadata!E889="",FALSE,TRUE),OR(EXACT(metadata!E889,"not applicable"),EXACT(metadata!E889,"missing: not collected"),EXACT(metadata!E889,"missing: not provided"),EXACT(metadata!E889,"missing: restricted access"))),AND(IF(metadata!E889="",FALSE,ISNUMBER(VALUE(metadata!E889))),metadata!E889&gt;0))</f>
        <v>0</v>
      </c>
      <c r="AG889" t="b">
        <f>AND(IF(metadata!F889="",FALSE,TRUE),EXACT(metadata!F889,"Not applicable"))</f>
        <v>0</v>
      </c>
      <c r="AH889" t="b">
        <f>AND(IF(metadata!G889="",FALSE,TRUE),EXACT(metadata!G889,"urban biome"))</f>
        <v>0</v>
      </c>
      <c r="AI889" t="b">
        <f>AND(IF(metadata!H889="",FALSE,TRUE),EXACT(metadata!H889,"human-associated habitat"))</f>
        <v>0</v>
      </c>
      <c r="AJ889" t="b">
        <f>AND(IF(metadata!I889="",FALSE,TRUE),OR(EXACT(metadata!I889,"human-associated"),EXACT(metadata!I889,"human-skin"),EXACT(metadata!I889,"human-oral"),EXACT(metadata!I889,"human-gut"),EXACT(metadata!I889,"human-vaginal")))</f>
        <v>0</v>
      </c>
      <c r="AK889" t="b">
        <f>IF(metadata!J889="",FALSE,ISNUMBER(VALUE(metadata!J889)))</f>
        <v>0</v>
      </c>
      <c r="AL889" t="b">
        <f>AND(IF(metadata!K889="",FALSE,TRUE),EXACT(metadata!K889,"cm"))</f>
        <v>0</v>
      </c>
      <c r="AM889" t="b">
        <f>AND(IF(metadata!L889="",FALSE,TRUE),EXACT(metadata!L889,"human"))</f>
        <v>0</v>
      </c>
      <c r="AN889" t="b">
        <f>AND(IF(metadata!M889="",FALSE,TRUE),EXACT(metadata!M889,"Homo sapiens"))</f>
        <v>0</v>
      </c>
      <c r="AO889" t="b">
        <f>AND(IF(metadata!N889="",FALSE,TRUE),EXACT(metadata!N889,"9606"))</f>
        <v>0</v>
      </c>
      <c r="AP889" t="b">
        <f>IF(metadata!O889="",FALSE,TRUE)</f>
        <v>0</v>
      </c>
      <c r="AQ889" t="b">
        <f>IF(metadata!P889="",FALSE,TRUE)</f>
        <v>0</v>
      </c>
      <c r="AR889" t="b">
        <f>IF(metadata!Q889="",FALSE,ISNUMBER(VALUE(metadata!Q889)))</f>
        <v>0</v>
      </c>
      <c r="AS889" t="b">
        <f>AND(IF(metadata!R889="",FALSE,TRUE),EXACT(metadata!R889,"kg"))</f>
        <v>0</v>
      </c>
    </row>
    <row r="890" spans="1:45" x14ac:dyDescent="0.2">
      <c r="A890" s="5" t="str">
        <f ca="1">IF(B890=" "," ",HYPERLINK(CONCATENATE("#metadata!",ADDRESS(INDEX($X$2:$X$1001,MATCH(ROWS($V$2:V890),$V$2:$V$1001,0),0),1)),INDEX($AA$2:$AA$1001,MATCH(ROWS($V$2:V890),$V$2:$V$1001,0),0)))</f>
        <v xml:space="preserve"> </v>
      </c>
      <c r="B890" s="4" t="str">
        <f ca="1">IF(OR(INDEX($W$2:$W$1001,MATCH(ROWS($V$2:V890),$V$2:$V$1001,0),1)&gt;=100000,INDEX($AC$1005:$AS$1005,1,MATCH(COLUMNS($AC$1006:AC1006),$AC$1006:$AS$1006,0))&gt;=100000), " ",IF(INDEX($AC$2:$AS$1001,MATCH(ROWS($V$2:V890),$V$2:$V$1001,0),MATCH(COLUMNS($AC$1006:AC1006),$AC$1006:$AS$1006,0)), HYPERLINK("#",""), HYPERLINK(CONCATENATE("#metadata!", ADDRESS(INDEX($X$2:$X$1001,MATCH(ROWS($V$2:V890),$V$2:$V$1001,0),0), INDEX($AC$1004:$AS$1004,1,MATCH(COLUMNS($AC$1006:AC1006),$AC$1006:$AS$1006,0)))),"Fix")))</f>
        <v xml:space="preserve"> </v>
      </c>
      <c r="C890" s="4" t="str">
        <f ca="1">IF(OR(INDEX($W$2:$W$1001,MATCH(ROWS($V$2:V890),$V$2:$V$1001,0),1)&gt;=100000,INDEX($AC$1005:$AS$1005,1,MATCH(COLUMNS($AC$1006:AD1006),$AC$1006:$AS$1006,0))&gt;=100000), " ",IF(INDEX($AC$2:$AS$1001,MATCH(ROWS($V$2:V890),$V$2:$V$1001,0),MATCH(COLUMNS($AC$1006:AD1006),$AC$1006:$AS$1006,0)), HYPERLINK("#",""), HYPERLINK(CONCATENATE("#metadata!", ADDRESS(INDEX($X$2:$X$1001,MATCH(ROWS($V$2:V890),$V$2:$V$1001,0),0), INDEX($AC$1004:$AS$1004,1,MATCH(COLUMNS($AC$1006:AD1006),$AC$1006:$AS$1006,0)))),"Fix")))</f>
        <v xml:space="preserve"> </v>
      </c>
      <c r="D890" s="4" t="str">
        <f ca="1">IF(OR(INDEX($W$2:$W$1001,MATCH(ROWS($V$2:V890),$V$2:$V$1001,0),1)&gt;=100000,INDEX($AC$1005:$AS$1005,1,MATCH(COLUMNS($AC$1006:AE1006),$AC$1006:$AS$1006,0))&gt;=100000), " ",IF(INDEX($AC$2:$AS$1001,MATCH(ROWS($V$2:V890),$V$2:$V$1001,0),MATCH(COLUMNS($AC$1006:AE1006),$AC$1006:$AS$1006,0)), HYPERLINK("#",""), HYPERLINK(CONCATENATE("#metadata!", ADDRESS(INDEX($X$2:$X$1001,MATCH(ROWS($V$2:V890),$V$2:$V$1001,0),0), INDEX($AC$1004:$AS$1004,1,MATCH(COLUMNS($AC$1006:AE1006),$AC$1006:$AS$1006,0)))),"Fix")))</f>
        <v xml:space="preserve"> </v>
      </c>
      <c r="E890" s="4" t="str">
        <f ca="1">IF(OR(INDEX($W$2:$W$1001,MATCH(ROWS($V$2:V890),$V$2:$V$1001,0),1)&gt;=100000,INDEX($AC$1005:$AS$1005,1,MATCH(COLUMNS($AC$1006:AF1006),$AC$1006:$AS$1006,0))&gt;=100000), " ",IF(INDEX($AC$2:$AS$1001,MATCH(ROWS($V$2:V890),$V$2:$V$1001,0),MATCH(COLUMNS($AC$1006:AF1006),$AC$1006:$AS$1006,0)), HYPERLINK("#",""), HYPERLINK(CONCATENATE("#metadata!", ADDRESS(INDEX($X$2:$X$1001,MATCH(ROWS($V$2:V890),$V$2:$V$1001,0),0), INDEX($AC$1004:$AS$1004,1,MATCH(COLUMNS($AC$1006:AF1006),$AC$1006:$AS$1006,0)))),"Fix")))</f>
        <v xml:space="preserve"> </v>
      </c>
      <c r="F890" s="4" t="str">
        <f ca="1">IF(OR(INDEX($W$2:$W$1001,MATCH(ROWS($V$2:V890),$V$2:$V$1001,0),1)&gt;=100000,INDEX($AC$1005:$AS$1005,1,MATCH(COLUMNS($AC$1006:AG1006),$AC$1006:$AS$1006,0))&gt;=100000), " ",IF(INDEX($AC$2:$AS$1001,MATCH(ROWS($V$2:V890),$V$2:$V$1001,0),MATCH(COLUMNS($AC$1006:AG1006),$AC$1006:$AS$1006,0)), HYPERLINK("#",""), HYPERLINK(CONCATENATE("#metadata!", ADDRESS(INDEX($X$2:$X$1001,MATCH(ROWS($V$2:V890),$V$2:$V$1001,0),0), INDEX($AC$1004:$AS$1004,1,MATCH(COLUMNS($AC$1006:AG1006),$AC$1006:$AS$1006,0)))),"Fix")))</f>
        <v xml:space="preserve"> </v>
      </c>
      <c r="G890" s="4" t="str">
        <f ca="1">IF(OR(INDEX($W$2:$W$1001,MATCH(ROWS($V$2:V890),$V$2:$V$1001,0),1)&gt;=100000,INDEX($AC$1005:$AS$1005,1,MATCH(COLUMNS($AC$1006:AH1006),$AC$1006:$AS$1006,0))&gt;=100000), " ",IF(INDEX($AC$2:$AS$1001,MATCH(ROWS($V$2:V890),$V$2:$V$1001,0),MATCH(COLUMNS($AC$1006:AH1006),$AC$1006:$AS$1006,0)), HYPERLINK("#",""), HYPERLINK(CONCATENATE("#metadata!", ADDRESS(INDEX($X$2:$X$1001,MATCH(ROWS($V$2:V890),$V$2:$V$1001,0),0), INDEX($AC$1004:$AS$1004,1,MATCH(COLUMNS($AC$1006:AH1006),$AC$1006:$AS$1006,0)))),"Fix")))</f>
        <v xml:space="preserve"> </v>
      </c>
      <c r="H890" s="4" t="str">
        <f ca="1">IF(OR(INDEX($W$2:$W$1001,MATCH(ROWS($V$2:V890),$V$2:$V$1001,0),1)&gt;=100000,INDEX($AC$1005:$AS$1005,1,MATCH(COLUMNS($AC$1006:AI1006),$AC$1006:$AS$1006,0))&gt;=100000), " ",IF(INDEX($AC$2:$AS$1001,MATCH(ROWS($V$2:V890),$V$2:$V$1001,0),MATCH(COLUMNS($AC$1006:AI1006),$AC$1006:$AS$1006,0)), HYPERLINK("#",""), HYPERLINK(CONCATENATE("#metadata!", ADDRESS(INDEX($X$2:$X$1001,MATCH(ROWS($V$2:V890),$V$2:$V$1001,0),0), INDEX($AC$1004:$AS$1004,1,MATCH(COLUMNS($AC$1006:AI1006),$AC$1006:$AS$1006,0)))),"Fix")))</f>
        <v xml:space="preserve"> </v>
      </c>
      <c r="I890" s="4" t="str">
        <f ca="1">IF(OR(INDEX($W$2:$W$1001,MATCH(ROWS($V$2:V890),$V$2:$V$1001,0),1)&gt;=100000,INDEX($AC$1005:$AS$1005,1,MATCH(COLUMNS($AC$1006:AJ1006),$AC$1006:$AS$1006,0))&gt;=100000), " ",IF(INDEX($AC$2:$AS$1001,MATCH(ROWS($V$2:V890),$V$2:$V$1001,0),MATCH(COLUMNS($AC$1006:AJ1006),$AC$1006:$AS$1006,0)), HYPERLINK("#",""), HYPERLINK(CONCATENATE("#metadata!", ADDRESS(INDEX($X$2:$X$1001,MATCH(ROWS($V$2:V890),$V$2:$V$1001,0),0), INDEX($AC$1004:$AS$1004,1,MATCH(COLUMNS($AC$1006:AJ1006),$AC$1006:$AS$1006,0)))),"Fix")))</f>
        <v xml:space="preserve"> </v>
      </c>
      <c r="J890" s="4" t="str">
        <f ca="1">IF(OR(INDEX($W$2:$W$1001,MATCH(ROWS($V$2:V890),$V$2:$V$1001,0),1)&gt;=100000,INDEX($AC$1005:$AS$1005,1,MATCH(COLUMNS($AC$1006:AK1006),$AC$1006:$AS$1006,0))&gt;=100000), " ",IF(INDEX($AC$2:$AS$1001,MATCH(ROWS($V$2:V890),$V$2:$V$1001,0),MATCH(COLUMNS($AC$1006:AK1006),$AC$1006:$AS$1006,0)), HYPERLINK("#",""), HYPERLINK(CONCATENATE("#metadata!", ADDRESS(INDEX($X$2:$X$1001,MATCH(ROWS($V$2:V890),$V$2:$V$1001,0),0), INDEX($AC$1004:$AS$1004,1,MATCH(COLUMNS($AC$1006:AK1006),$AC$1006:$AS$1006,0)))),"Fix")))</f>
        <v xml:space="preserve"> </v>
      </c>
      <c r="K890" s="4" t="str">
        <f ca="1">IF(OR(INDEX($W$2:$W$1001,MATCH(ROWS($V$2:V890),$V$2:$V$1001,0),1)&gt;=100000,INDEX($AC$1005:$AS$1005,1,MATCH(COLUMNS($AC$1006:AL1006),$AC$1006:$AS$1006,0))&gt;=100000), " ",IF(INDEX($AC$2:$AS$1001,MATCH(ROWS($V$2:V890),$V$2:$V$1001,0),MATCH(COLUMNS($AC$1006:AL1006),$AC$1006:$AS$1006,0)), HYPERLINK("#",""), HYPERLINK(CONCATENATE("#metadata!", ADDRESS(INDEX($X$2:$X$1001,MATCH(ROWS($V$2:V890),$V$2:$V$1001,0),0), INDEX($AC$1004:$AS$1004,1,MATCH(COLUMNS($AC$1006:AL1006),$AC$1006:$AS$1006,0)))),"Fix")))</f>
        <v xml:space="preserve"> </v>
      </c>
      <c r="L890" s="4" t="str">
        <f ca="1">IF(OR(INDEX($W$2:$W$1001,MATCH(ROWS($V$2:V890),$V$2:$V$1001,0),1)&gt;=100000,INDEX($AC$1005:$AS$1005,1,MATCH(COLUMNS($AC$1006:AM1006),$AC$1006:$AS$1006,0))&gt;=100000), " ",IF(INDEX($AC$2:$AS$1001,MATCH(ROWS($V$2:V890),$V$2:$V$1001,0),MATCH(COLUMNS($AC$1006:AM1006),$AC$1006:$AS$1006,0)), HYPERLINK("#",""), HYPERLINK(CONCATENATE("#metadata!", ADDRESS(INDEX($X$2:$X$1001,MATCH(ROWS($V$2:V890),$V$2:$V$1001,0),0), INDEX($AC$1004:$AS$1004,1,MATCH(COLUMNS($AC$1006:AM1006),$AC$1006:$AS$1006,0)))),"Fix")))</f>
        <v xml:space="preserve"> </v>
      </c>
      <c r="M890" s="4" t="str">
        <f ca="1">IF(OR(INDEX($W$2:$W$1001,MATCH(ROWS($V$2:V890),$V$2:$V$1001,0),1)&gt;=100000,INDEX($AC$1005:$AS$1005,1,MATCH(COLUMNS($AC$1006:AN1006),$AC$1006:$AS$1006,0))&gt;=100000), " ",IF(INDEX($AC$2:$AS$1001,MATCH(ROWS($V$2:V890),$V$2:$V$1001,0),MATCH(COLUMNS($AC$1006:AN1006),$AC$1006:$AS$1006,0)), HYPERLINK("#",""), HYPERLINK(CONCATENATE("#metadata!", ADDRESS(INDEX($X$2:$X$1001,MATCH(ROWS($V$2:V890),$V$2:$V$1001,0),0), INDEX($AC$1004:$AS$1004,1,MATCH(COLUMNS($AC$1006:AN1006),$AC$1006:$AS$1006,0)))),"Fix")))</f>
        <v xml:space="preserve"> </v>
      </c>
      <c r="N890" s="4" t="str">
        <f ca="1">IF(OR(INDEX($W$2:$W$1001,MATCH(ROWS($V$2:V890),$V$2:$V$1001,0),1)&gt;=100000,INDEX($AC$1005:$AS$1005,1,MATCH(COLUMNS($AC$1006:AO1006),$AC$1006:$AS$1006,0))&gt;=100000), " ",IF(INDEX($AC$2:$AS$1001,MATCH(ROWS($V$2:V890),$V$2:$V$1001,0),MATCH(COLUMNS($AC$1006:AO1006),$AC$1006:$AS$1006,0)), HYPERLINK("#",""), HYPERLINK(CONCATENATE("#metadata!", ADDRESS(INDEX($X$2:$X$1001,MATCH(ROWS($V$2:V890),$V$2:$V$1001,0),0), INDEX($AC$1004:$AS$1004,1,MATCH(COLUMNS($AC$1006:AO1006),$AC$1006:$AS$1006,0)))),"Fix")))</f>
        <v xml:space="preserve"> </v>
      </c>
      <c r="O890" s="4" t="str">
        <f ca="1">IF(OR(INDEX($W$2:$W$1001,MATCH(ROWS($V$2:V890),$V$2:$V$1001,0),1)&gt;=100000,INDEX($AC$1005:$AS$1005,1,MATCH(COLUMNS($AC$1006:AP1006),$AC$1006:$AS$1006,0))&gt;=100000), " ",IF(INDEX($AC$2:$AS$1001,MATCH(ROWS($V$2:V890),$V$2:$V$1001,0),MATCH(COLUMNS($AC$1006:AP1006),$AC$1006:$AS$1006,0)), HYPERLINK("#",""), HYPERLINK(CONCATENATE("#metadata!", ADDRESS(INDEX($X$2:$X$1001,MATCH(ROWS($V$2:V890),$V$2:$V$1001,0),0), INDEX($AC$1004:$AS$1004,1,MATCH(COLUMNS($AC$1006:AP1006),$AC$1006:$AS$1006,0)))),"Fix")))</f>
        <v xml:space="preserve"> </v>
      </c>
      <c r="P890" s="4" t="str">
        <f ca="1">IF(OR(INDEX($W$2:$W$1001,MATCH(ROWS($V$2:V890),$V$2:$V$1001,0),1)&gt;=100000,INDEX($AC$1005:$AS$1005,1,MATCH(COLUMNS($AC$1006:AQ1006),$AC$1006:$AS$1006,0))&gt;=100000), " ",IF(INDEX($AC$2:$AS$1001,MATCH(ROWS($V$2:V890),$V$2:$V$1001,0),MATCH(COLUMNS($AC$1006:AQ1006),$AC$1006:$AS$1006,0)), HYPERLINK("#",""), HYPERLINK(CONCATENATE("#metadata!", ADDRESS(INDEX($X$2:$X$1001,MATCH(ROWS($V$2:V890),$V$2:$V$1001,0),0), INDEX($AC$1004:$AS$1004,1,MATCH(COLUMNS($AC$1006:AQ1006),$AC$1006:$AS$1006,0)))),"Fix")))</f>
        <v xml:space="preserve"> </v>
      </c>
      <c r="Q890" s="4" t="str">
        <f ca="1">IF(OR(INDEX($W$2:$W$1001,MATCH(ROWS($V$2:V890),$V$2:$V$1001,0),1)&gt;=100000,INDEX($AC$1005:$AS$1005,1,MATCH(COLUMNS($AC$1006:AR1006),$AC$1006:$AS$1006,0))&gt;=100000), " ",IF(INDEX($AC$2:$AS$1001,MATCH(ROWS($V$2:V890),$V$2:$V$1001,0),MATCH(COLUMNS($AC$1006:AR1006),$AC$1006:$AS$1006,0)), HYPERLINK("#",""), HYPERLINK(CONCATENATE("#metadata!", ADDRESS(INDEX($X$2:$X$1001,MATCH(ROWS($V$2:V890),$V$2:$V$1001,0),0), INDEX($AC$1004:$AS$1004,1,MATCH(COLUMNS($AC$1006:AR1006),$AC$1006:$AS$1006,0)))),"Fix")))</f>
        <v xml:space="preserve"> </v>
      </c>
      <c r="R890" s="4" t="str">
        <f ca="1">IF(OR(INDEX($W$2:$W$1001,MATCH(ROWS($V$2:V890),$V$2:$V$1001,0),1)&gt;=100000,INDEX($AC$1005:$AS$1005,1,MATCH(COLUMNS($AC$1006:AS1006),$AC$1006:$AS$1006,0))&gt;=100000), " ",IF(INDEX($AC$2:$AS$1001,MATCH(ROWS($V$2:V890),$V$2:$V$1001,0),MATCH(COLUMNS($AC$1006:AS1006),$AC$1006:$AS$1006,0)), HYPERLINK("#",""), HYPERLINK(CONCATENATE("#metadata!", ADDRESS(INDEX($X$2:$X$1001,MATCH(ROWS($V$2:V890),$V$2:$V$1001,0),0), INDEX($AC$1004:$AS$1004,1,MATCH(COLUMNS($AC$1006:AS1006),$AC$1006:$AS$1006,0)))),"Fix")))</f>
        <v xml:space="preserve"> </v>
      </c>
      <c r="V890">
        <v>889</v>
      </c>
      <c r="W890">
        <v>100890</v>
      </c>
      <c r="X890">
        <v>890</v>
      </c>
      <c r="Y890" t="b">
        <f t="shared" si="13"/>
        <v>1</v>
      </c>
      <c r="Z890" t="b">
        <f>COUNTBLANK(metadata!B890:R890)=COLUMNS(metadata!B890:R890)</f>
        <v>1</v>
      </c>
      <c r="AA890" t="str">
        <v/>
      </c>
      <c r="AC890" t="b">
        <f ca="1"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AD890" t="b">
        <f>IF(metadata!C890="",FALSE,ISNUMBER(VALUE(metadata!C890)))</f>
        <v>0</v>
      </c>
      <c r="AE890" t="b">
        <f>AND(IF(metadata!D890="",FALSE,TRUE),EXACT(metadata!D890,"years"))</f>
        <v>0</v>
      </c>
      <c r="AF890" t="b">
        <f>OR(AND(IF(metadata!E890="",FALSE,TRUE),OR(EXACT(metadata!E890,"not applicable"),EXACT(metadata!E890,"missing: not collected"),EXACT(metadata!E890,"missing: not provided"),EXACT(metadata!E890,"missing: restricted access"))),AND(IF(metadata!E890="",FALSE,ISNUMBER(VALUE(metadata!E890))),metadata!E890&gt;0))</f>
        <v>0</v>
      </c>
      <c r="AG890" t="b">
        <f>AND(IF(metadata!F890="",FALSE,TRUE),EXACT(metadata!F890,"Not applicable"))</f>
        <v>0</v>
      </c>
      <c r="AH890" t="b">
        <f>AND(IF(metadata!G890="",FALSE,TRUE),EXACT(metadata!G890,"urban biome"))</f>
        <v>0</v>
      </c>
      <c r="AI890" t="b">
        <f>AND(IF(metadata!H890="",FALSE,TRUE),EXACT(metadata!H890,"human-associated habitat"))</f>
        <v>0</v>
      </c>
      <c r="AJ890" t="b">
        <f>AND(IF(metadata!I890="",FALSE,TRUE),OR(EXACT(metadata!I890,"human-associated"),EXACT(metadata!I890,"human-skin"),EXACT(metadata!I890,"human-oral"),EXACT(metadata!I890,"human-gut"),EXACT(metadata!I890,"human-vaginal")))</f>
        <v>0</v>
      </c>
      <c r="AK890" t="b">
        <f>IF(metadata!J890="",FALSE,ISNUMBER(VALUE(metadata!J890)))</f>
        <v>0</v>
      </c>
      <c r="AL890" t="b">
        <f>AND(IF(metadata!K890="",FALSE,TRUE),EXACT(metadata!K890,"cm"))</f>
        <v>0</v>
      </c>
      <c r="AM890" t="b">
        <f>AND(IF(metadata!L890="",FALSE,TRUE),EXACT(metadata!L890,"human"))</f>
        <v>0</v>
      </c>
      <c r="AN890" t="b">
        <f>AND(IF(metadata!M890="",FALSE,TRUE),EXACT(metadata!M890,"Homo sapiens"))</f>
        <v>0</v>
      </c>
      <c r="AO890" t="b">
        <f>AND(IF(metadata!N890="",FALSE,TRUE),EXACT(metadata!N890,"9606"))</f>
        <v>0</v>
      </c>
      <c r="AP890" t="b">
        <f>IF(metadata!O890="",FALSE,TRUE)</f>
        <v>0</v>
      </c>
      <c r="AQ890" t="b">
        <f>IF(metadata!P890="",FALSE,TRUE)</f>
        <v>0</v>
      </c>
      <c r="AR890" t="b">
        <f>IF(metadata!Q890="",FALSE,ISNUMBER(VALUE(metadata!Q890)))</f>
        <v>0</v>
      </c>
      <c r="AS890" t="b">
        <f>AND(IF(metadata!R890="",FALSE,TRUE),EXACT(metadata!R890,"kg"))</f>
        <v>0</v>
      </c>
    </row>
    <row r="891" spans="1:45" x14ac:dyDescent="0.2">
      <c r="A891" s="5" t="str">
        <f ca="1">IF(B891=" "," ",HYPERLINK(CONCATENATE("#metadata!",ADDRESS(INDEX($X$2:$X$1001,MATCH(ROWS($V$2:V891),$V$2:$V$1001,0),0),1)),INDEX($AA$2:$AA$1001,MATCH(ROWS($V$2:V891),$V$2:$V$1001,0),0)))</f>
        <v xml:space="preserve"> </v>
      </c>
      <c r="B891" s="4" t="str">
        <f ca="1">IF(OR(INDEX($W$2:$W$1001,MATCH(ROWS($V$2:V891),$V$2:$V$1001,0),1)&gt;=100000,INDEX($AC$1005:$AS$1005,1,MATCH(COLUMNS($AC$1006:AC1006),$AC$1006:$AS$1006,0))&gt;=100000), " ",IF(INDEX($AC$2:$AS$1001,MATCH(ROWS($V$2:V891),$V$2:$V$1001,0),MATCH(COLUMNS($AC$1006:AC1006),$AC$1006:$AS$1006,0)), HYPERLINK("#",""), HYPERLINK(CONCATENATE("#metadata!", ADDRESS(INDEX($X$2:$X$1001,MATCH(ROWS($V$2:V891),$V$2:$V$1001,0),0), INDEX($AC$1004:$AS$1004,1,MATCH(COLUMNS($AC$1006:AC1006),$AC$1006:$AS$1006,0)))),"Fix")))</f>
        <v xml:space="preserve"> </v>
      </c>
      <c r="C891" s="4" t="str">
        <f ca="1">IF(OR(INDEX($W$2:$W$1001,MATCH(ROWS($V$2:V891),$V$2:$V$1001,0),1)&gt;=100000,INDEX($AC$1005:$AS$1005,1,MATCH(COLUMNS($AC$1006:AD1006),$AC$1006:$AS$1006,0))&gt;=100000), " ",IF(INDEX($AC$2:$AS$1001,MATCH(ROWS($V$2:V891),$V$2:$V$1001,0),MATCH(COLUMNS($AC$1006:AD1006),$AC$1006:$AS$1006,0)), HYPERLINK("#",""), HYPERLINK(CONCATENATE("#metadata!", ADDRESS(INDEX($X$2:$X$1001,MATCH(ROWS($V$2:V891),$V$2:$V$1001,0),0), INDEX($AC$1004:$AS$1004,1,MATCH(COLUMNS($AC$1006:AD1006),$AC$1006:$AS$1006,0)))),"Fix")))</f>
        <v xml:space="preserve"> </v>
      </c>
      <c r="D891" s="4" t="str">
        <f ca="1">IF(OR(INDEX($W$2:$W$1001,MATCH(ROWS($V$2:V891),$V$2:$V$1001,0),1)&gt;=100000,INDEX($AC$1005:$AS$1005,1,MATCH(COLUMNS($AC$1006:AE1006),$AC$1006:$AS$1006,0))&gt;=100000), " ",IF(INDEX($AC$2:$AS$1001,MATCH(ROWS($V$2:V891),$V$2:$V$1001,0),MATCH(COLUMNS($AC$1006:AE1006),$AC$1006:$AS$1006,0)), HYPERLINK("#",""), HYPERLINK(CONCATENATE("#metadata!", ADDRESS(INDEX($X$2:$X$1001,MATCH(ROWS($V$2:V891),$V$2:$V$1001,0),0), INDEX($AC$1004:$AS$1004,1,MATCH(COLUMNS($AC$1006:AE1006),$AC$1006:$AS$1006,0)))),"Fix")))</f>
        <v xml:space="preserve"> </v>
      </c>
      <c r="E891" s="4" t="str">
        <f ca="1">IF(OR(INDEX($W$2:$W$1001,MATCH(ROWS($V$2:V891),$V$2:$V$1001,0),1)&gt;=100000,INDEX($AC$1005:$AS$1005,1,MATCH(COLUMNS($AC$1006:AF1006),$AC$1006:$AS$1006,0))&gt;=100000), " ",IF(INDEX($AC$2:$AS$1001,MATCH(ROWS($V$2:V891),$V$2:$V$1001,0),MATCH(COLUMNS($AC$1006:AF1006),$AC$1006:$AS$1006,0)), HYPERLINK("#",""), HYPERLINK(CONCATENATE("#metadata!", ADDRESS(INDEX($X$2:$X$1001,MATCH(ROWS($V$2:V891),$V$2:$V$1001,0),0), INDEX($AC$1004:$AS$1004,1,MATCH(COLUMNS($AC$1006:AF1006),$AC$1006:$AS$1006,0)))),"Fix")))</f>
        <v xml:space="preserve"> </v>
      </c>
      <c r="F891" s="4" t="str">
        <f ca="1">IF(OR(INDEX($W$2:$W$1001,MATCH(ROWS($V$2:V891),$V$2:$V$1001,0),1)&gt;=100000,INDEX($AC$1005:$AS$1005,1,MATCH(COLUMNS($AC$1006:AG1006),$AC$1006:$AS$1006,0))&gt;=100000), " ",IF(INDEX($AC$2:$AS$1001,MATCH(ROWS($V$2:V891),$V$2:$V$1001,0),MATCH(COLUMNS($AC$1006:AG1006),$AC$1006:$AS$1006,0)), HYPERLINK("#",""), HYPERLINK(CONCATENATE("#metadata!", ADDRESS(INDEX($X$2:$X$1001,MATCH(ROWS($V$2:V891),$V$2:$V$1001,0),0), INDEX($AC$1004:$AS$1004,1,MATCH(COLUMNS($AC$1006:AG1006),$AC$1006:$AS$1006,0)))),"Fix")))</f>
        <v xml:space="preserve"> </v>
      </c>
      <c r="G891" s="4" t="str">
        <f ca="1">IF(OR(INDEX($W$2:$W$1001,MATCH(ROWS($V$2:V891),$V$2:$V$1001,0),1)&gt;=100000,INDEX($AC$1005:$AS$1005,1,MATCH(COLUMNS($AC$1006:AH1006),$AC$1006:$AS$1006,0))&gt;=100000), " ",IF(INDEX($AC$2:$AS$1001,MATCH(ROWS($V$2:V891),$V$2:$V$1001,0),MATCH(COLUMNS($AC$1006:AH1006),$AC$1006:$AS$1006,0)), HYPERLINK("#",""), HYPERLINK(CONCATENATE("#metadata!", ADDRESS(INDEX($X$2:$X$1001,MATCH(ROWS($V$2:V891),$V$2:$V$1001,0),0), INDEX($AC$1004:$AS$1004,1,MATCH(COLUMNS($AC$1006:AH1006),$AC$1006:$AS$1006,0)))),"Fix")))</f>
        <v xml:space="preserve"> </v>
      </c>
      <c r="H891" s="4" t="str">
        <f ca="1">IF(OR(INDEX($W$2:$W$1001,MATCH(ROWS($V$2:V891),$V$2:$V$1001,0),1)&gt;=100000,INDEX($AC$1005:$AS$1005,1,MATCH(COLUMNS($AC$1006:AI1006),$AC$1006:$AS$1006,0))&gt;=100000), " ",IF(INDEX($AC$2:$AS$1001,MATCH(ROWS($V$2:V891),$V$2:$V$1001,0),MATCH(COLUMNS($AC$1006:AI1006),$AC$1006:$AS$1006,0)), HYPERLINK("#",""), HYPERLINK(CONCATENATE("#metadata!", ADDRESS(INDEX($X$2:$X$1001,MATCH(ROWS($V$2:V891),$V$2:$V$1001,0),0), INDEX($AC$1004:$AS$1004,1,MATCH(COLUMNS($AC$1006:AI1006),$AC$1006:$AS$1006,0)))),"Fix")))</f>
        <v xml:space="preserve"> </v>
      </c>
      <c r="I891" s="4" t="str">
        <f ca="1">IF(OR(INDEX($W$2:$W$1001,MATCH(ROWS($V$2:V891),$V$2:$V$1001,0),1)&gt;=100000,INDEX($AC$1005:$AS$1005,1,MATCH(COLUMNS($AC$1006:AJ1006),$AC$1006:$AS$1006,0))&gt;=100000), " ",IF(INDEX($AC$2:$AS$1001,MATCH(ROWS($V$2:V891),$V$2:$V$1001,0),MATCH(COLUMNS($AC$1006:AJ1006),$AC$1006:$AS$1006,0)), HYPERLINK("#",""), HYPERLINK(CONCATENATE("#metadata!", ADDRESS(INDEX($X$2:$X$1001,MATCH(ROWS($V$2:V891),$V$2:$V$1001,0),0), INDEX($AC$1004:$AS$1004,1,MATCH(COLUMNS($AC$1006:AJ1006),$AC$1006:$AS$1006,0)))),"Fix")))</f>
        <v xml:space="preserve"> </v>
      </c>
      <c r="J891" s="4" t="str">
        <f ca="1">IF(OR(INDEX($W$2:$W$1001,MATCH(ROWS($V$2:V891),$V$2:$V$1001,0),1)&gt;=100000,INDEX($AC$1005:$AS$1005,1,MATCH(COLUMNS($AC$1006:AK1006),$AC$1006:$AS$1006,0))&gt;=100000), " ",IF(INDEX($AC$2:$AS$1001,MATCH(ROWS($V$2:V891),$V$2:$V$1001,0),MATCH(COLUMNS($AC$1006:AK1006),$AC$1006:$AS$1006,0)), HYPERLINK("#",""), HYPERLINK(CONCATENATE("#metadata!", ADDRESS(INDEX($X$2:$X$1001,MATCH(ROWS($V$2:V891),$V$2:$V$1001,0),0), INDEX($AC$1004:$AS$1004,1,MATCH(COLUMNS($AC$1006:AK1006),$AC$1006:$AS$1006,0)))),"Fix")))</f>
        <v xml:space="preserve"> </v>
      </c>
      <c r="K891" s="4" t="str">
        <f ca="1">IF(OR(INDEX($W$2:$W$1001,MATCH(ROWS($V$2:V891),$V$2:$V$1001,0),1)&gt;=100000,INDEX($AC$1005:$AS$1005,1,MATCH(COLUMNS($AC$1006:AL1006),$AC$1006:$AS$1006,0))&gt;=100000), " ",IF(INDEX($AC$2:$AS$1001,MATCH(ROWS($V$2:V891),$V$2:$V$1001,0),MATCH(COLUMNS($AC$1006:AL1006),$AC$1006:$AS$1006,0)), HYPERLINK("#",""), HYPERLINK(CONCATENATE("#metadata!", ADDRESS(INDEX($X$2:$X$1001,MATCH(ROWS($V$2:V891),$V$2:$V$1001,0),0), INDEX($AC$1004:$AS$1004,1,MATCH(COLUMNS($AC$1006:AL1006),$AC$1006:$AS$1006,0)))),"Fix")))</f>
        <v xml:space="preserve"> </v>
      </c>
      <c r="L891" s="4" t="str">
        <f ca="1">IF(OR(INDEX($W$2:$W$1001,MATCH(ROWS($V$2:V891),$V$2:$V$1001,0),1)&gt;=100000,INDEX($AC$1005:$AS$1005,1,MATCH(COLUMNS($AC$1006:AM1006),$AC$1006:$AS$1006,0))&gt;=100000), " ",IF(INDEX($AC$2:$AS$1001,MATCH(ROWS($V$2:V891),$V$2:$V$1001,0),MATCH(COLUMNS($AC$1006:AM1006),$AC$1006:$AS$1006,0)), HYPERLINK("#",""), HYPERLINK(CONCATENATE("#metadata!", ADDRESS(INDEX($X$2:$X$1001,MATCH(ROWS($V$2:V891),$V$2:$V$1001,0),0), INDEX($AC$1004:$AS$1004,1,MATCH(COLUMNS($AC$1006:AM1006),$AC$1006:$AS$1006,0)))),"Fix")))</f>
        <v xml:space="preserve"> </v>
      </c>
      <c r="M891" s="4" t="str">
        <f ca="1">IF(OR(INDEX($W$2:$W$1001,MATCH(ROWS($V$2:V891),$V$2:$V$1001,0),1)&gt;=100000,INDEX($AC$1005:$AS$1005,1,MATCH(COLUMNS($AC$1006:AN1006),$AC$1006:$AS$1006,0))&gt;=100000), " ",IF(INDEX($AC$2:$AS$1001,MATCH(ROWS($V$2:V891),$V$2:$V$1001,0),MATCH(COLUMNS($AC$1006:AN1006),$AC$1006:$AS$1006,0)), HYPERLINK("#",""), HYPERLINK(CONCATENATE("#metadata!", ADDRESS(INDEX($X$2:$X$1001,MATCH(ROWS($V$2:V891),$V$2:$V$1001,0),0), INDEX($AC$1004:$AS$1004,1,MATCH(COLUMNS($AC$1006:AN1006),$AC$1006:$AS$1006,0)))),"Fix")))</f>
        <v xml:space="preserve"> </v>
      </c>
      <c r="N891" s="4" t="str">
        <f ca="1">IF(OR(INDEX($W$2:$W$1001,MATCH(ROWS($V$2:V891),$V$2:$V$1001,0),1)&gt;=100000,INDEX($AC$1005:$AS$1005,1,MATCH(COLUMNS($AC$1006:AO1006),$AC$1006:$AS$1006,0))&gt;=100000), " ",IF(INDEX($AC$2:$AS$1001,MATCH(ROWS($V$2:V891),$V$2:$V$1001,0),MATCH(COLUMNS($AC$1006:AO1006),$AC$1006:$AS$1006,0)), HYPERLINK("#",""), HYPERLINK(CONCATENATE("#metadata!", ADDRESS(INDEX($X$2:$X$1001,MATCH(ROWS($V$2:V891),$V$2:$V$1001,0),0), INDEX($AC$1004:$AS$1004,1,MATCH(COLUMNS($AC$1006:AO1006),$AC$1006:$AS$1006,0)))),"Fix")))</f>
        <v xml:space="preserve"> </v>
      </c>
      <c r="O891" s="4" t="str">
        <f ca="1">IF(OR(INDEX($W$2:$W$1001,MATCH(ROWS($V$2:V891),$V$2:$V$1001,0),1)&gt;=100000,INDEX($AC$1005:$AS$1005,1,MATCH(COLUMNS($AC$1006:AP1006),$AC$1006:$AS$1006,0))&gt;=100000), " ",IF(INDEX($AC$2:$AS$1001,MATCH(ROWS($V$2:V891),$V$2:$V$1001,0),MATCH(COLUMNS($AC$1006:AP1006),$AC$1006:$AS$1006,0)), HYPERLINK("#",""), HYPERLINK(CONCATENATE("#metadata!", ADDRESS(INDEX($X$2:$X$1001,MATCH(ROWS($V$2:V891),$V$2:$V$1001,0),0), INDEX($AC$1004:$AS$1004,1,MATCH(COLUMNS($AC$1006:AP1006),$AC$1006:$AS$1006,0)))),"Fix")))</f>
        <v xml:space="preserve"> </v>
      </c>
      <c r="P891" s="4" t="str">
        <f ca="1">IF(OR(INDEX($W$2:$W$1001,MATCH(ROWS($V$2:V891),$V$2:$V$1001,0),1)&gt;=100000,INDEX($AC$1005:$AS$1005,1,MATCH(COLUMNS($AC$1006:AQ1006),$AC$1006:$AS$1006,0))&gt;=100000), " ",IF(INDEX($AC$2:$AS$1001,MATCH(ROWS($V$2:V891),$V$2:$V$1001,0),MATCH(COLUMNS($AC$1006:AQ1006),$AC$1006:$AS$1006,0)), HYPERLINK("#",""), HYPERLINK(CONCATENATE("#metadata!", ADDRESS(INDEX($X$2:$X$1001,MATCH(ROWS($V$2:V891),$V$2:$V$1001,0),0), INDEX($AC$1004:$AS$1004,1,MATCH(COLUMNS($AC$1006:AQ1006),$AC$1006:$AS$1006,0)))),"Fix")))</f>
        <v xml:space="preserve"> </v>
      </c>
      <c r="Q891" s="4" t="str">
        <f ca="1">IF(OR(INDEX($W$2:$W$1001,MATCH(ROWS($V$2:V891),$V$2:$V$1001,0),1)&gt;=100000,INDEX($AC$1005:$AS$1005,1,MATCH(COLUMNS($AC$1006:AR1006),$AC$1006:$AS$1006,0))&gt;=100000), " ",IF(INDEX($AC$2:$AS$1001,MATCH(ROWS($V$2:V891),$V$2:$V$1001,0),MATCH(COLUMNS($AC$1006:AR1006),$AC$1006:$AS$1006,0)), HYPERLINK("#",""), HYPERLINK(CONCATENATE("#metadata!", ADDRESS(INDEX($X$2:$X$1001,MATCH(ROWS($V$2:V891),$V$2:$V$1001,0),0), INDEX($AC$1004:$AS$1004,1,MATCH(COLUMNS($AC$1006:AR1006),$AC$1006:$AS$1006,0)))),"Fix")))</f>
        <v xml:space="preserve"> </v>
      </c>
      <c r="R891" s="4" t="str">
        <f ca="1">IF(OR(INDEX($W$2:$W$1001,MATCH(ROWS($V$2:V891),$V$2:$V$1001,0),1)&gt;=100000,INDEX($AC$1005:$AS$1005,1,MATCH(COLUMNS($AC$1006:AS1006),$AC$1006:$AS$1006,0))&gt;=100000), " ",IF(INDEX($AC$2:$AS$1001,MATCH(ROWS($V$2:V891),$V$2:$V$1001,0),MATCH(COLUMNS($AC$1006:AS1006),$AC$1006:$AS$1006,0)), HYPERLINK("#",""), HYPERLINK(CONCATENATE("#metadata!", ADDRESS(INDEX($X$2:$X$1001,MATCH(ROWS($V$2:V891),$V$2:$V$1001,0),0), INDEX($AC$1004:$AS$1004,1,MATCH(COLUMNS($AC$1006:AS1006),$AC$1006:$AS$1006,0)))),"Fix")))</f>
        <v xml:space="preserve"> </v>
      </c>
      <c r="V891">
        <v>890</v>
      </c>
      <c r="W891">
        <v>100891</v>
      </c>
      <c r="X891">
        <v>891</v>
      </c>
      <c r="Y891" t="b">
        <f t="shared" si="13"/>
        <v>1</v>
      </c>
      <c r="Z891" t="b">
        <f>COUNTBLANK(metadata!B891:R891)=COLUMNS(metadata!B891:R891)</f>
        <v>1</v>
      </c>
      <c r="AA891" t="str">
        <v/>
      </c>
      <c r="AC891" t="b">
        <f ca="1"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AD891" t="b">
        <f>IF(metadata!C891="",FALSE,ISNUMBER(VALUE(metadata!C891)))</f>
        <v>0</v>
      </c>
      <c r="AE891" t="b">
        <f>AND(IF(metadata!D891="",FALSE,TRUE),EXACT(metadata!D891,"years"))</f>
        <v>0</v>
      </c>
      <c r="AF891" t="b">
        <f>OR(AND(IF(metadata!E891="",FALSE,TRUE),OR(EXACT(metadata!E891,"not applicable"),EXACT(metadata!E891,"missing: not collected"),EXACT(metadata!E891,"missing: not provided"),EXACT(metadata!E891,"missing: restricted access"))),AND(IF(metadata!E891="",FALSE,ISNUMBER(VALUE(metadata!E891))),metadata!E891&gt;0))</f>
        <v>0</v>
      </c>
      <c r="AG891" t="b">
        <f>AND(IF(metadata!F891="",FALSE,TRUE),EXACT(metadata!F891,"Not applicable"))</f>
        <v>0</v>
      </c>
      <c r="AH891" t="b">
        <f>AND(IF(metadata!G891="",FALSE,TRUE),EXACT(metadata!G891,"urban biome"))</f>
        <v>0</v>
      </c>
      <c r="AI891" t="b">
        <f>AND(IF(metadata!H891="",FALSE,TRUE),EXACT(metadata!H891,"human-associated habitat"))</f>
        <v>0</v>
      </c>
      <c r="AJ891" t="b">
        <f>AND(IF(metadata!I891="",FALSE,TRUE),OR(EXACT(metadata!I891,"human-associated"),EXACT(metadata!I891,"human-skin"),EXACT(metadata!I891,"human-oral"),EXACT(metadata!I891,"human-gut"),EXACT(metadata!I891,"human-vaginal")))</f>
        <v>0</v>
      </c>
      <c r="AK891" t="b">
        <f>IF(metadata!J891="",FALSE,ISNUMBER(VALUE(metadata!J891)))</f>
        <v>0</v>
      </c>
      <c r="AL891" t="b">
        <f>AND(IF(metadata!K891="",FALSE,TRUE),EXACT(metadata!K891,"cm"))</f>
        <v>0</v>
      </c>
      <c r="AM891" t="b">
        <f>AND(IF(metadata!L891="",FALSE,TRUE),EXACT(metadata!L891,"human"))</f>
        <v>0</v>
      </c>
      <c r="AN891" t="b">
        <f>AND(IF(metadata!M891="",FALSE,TRUE),EXACT(metadata!M891,"Homo sapiens"))</f>
        <v>0</v>
      </c>
      <c r="AO891" t="b">
        <f>AND(IF(metadata!N891="",FALSE,TRUE),EXACT(metadata!N891,"9606"))</f>
        <v>0</v>
      </c>
      <c r="AP891" t="b">
        <f>IF(metadata!O891="",FALSE,TRUE)</f>
        <v>0</v>
      </c>
      <c r="AQ891" t="b">
        <f>IF(metadata!P891="",FALSE,TRUE)</f>
        <v>0</v>
      </c>
      <c r="AR891" t="b">
        <f>IF(metadata!Q891="",FALSE,ISNUMBER(VALUE(metadata!Q891)))</f>
        <v>0</v>
      </c>
      <c r="AS891" t="b">
        <f>AND(IF(metadata!R891="",FALSE,TRUE),EXACT(metadata!R891,"kg"))</f>
        <v>0</v>
      </c>
    </row>
    <row r="892" spans="1:45" x14ac:dyDescent="0.2">
      <c r="A892" s="5" t="str">
        <f ca="1">IF(B892=" "," ",HYPERLINK(CONCATENATE("#metadata!",ADDRESS(INDEX($X$2:$X$1001,MATCH(ROWS($V$2:V892),$V$2:$V$1001,0),0),1)),INDEX($AA$2:$AA$1001,MATCH(ROWS($V$2:V892),$V$2:$V$1001,0),0)))</f>
        <v xml:space="preserve"> </v>
      </c>
      <c r="B892" s="4" t="str">
        <f ca="1">IF(OR(INDEX($W$2:$W$1001,MATCH(ROWS($V$2:V892),$V$2:$V$1001,0),1)&gt;=100000,INDEX($AC$1005:$AS$1005,1,MATCH(COLUMNS($AC$1006:AC1006),$AC$1006:$AS$1006,0))&gt;=100000), " ",IF(INDEX($AC$2:$AS$1001,MATCH(ROWS($V$2:V892),$V$2:$V$1001,0),MATCH(COLUMNS($AC$1006:AC1006),$AC$1006:$AS$1006,0)), HYPERLINK("#",""), HYPERLINK(CONCATENATE("#metadata!", ADDRESS(INDEX($X$2:$X$1001,MATCH(ROWS($V$2:V892),$V$2:$V$1001,0),0), INDEX($AC$1004:$AS$1004,1,MATCH(COLUMNS($AC$1006:AC1006),$AC$1006:$AS$1006,0)))),"Fix")))</f>
        <v xml:space="preserve"> </v>
      </c>
      <c r="C892" s="4" t="str">
        <f ca="1">IF(OR(INDEX($W$2:$W$1001,MATCH(ROWS($V$2:V892),$V$2:$V$1001,0),1)&gt;=100000,INDEX($AC$1005:$AS$1005,1,MATCH(COLUMNS($AC$1006:AD1006),$AC$1006:$AS$1006,0))&gt;=100000), " ",IF(INDEX($AC$2:$AS$1001,MATCH(ROWS($V$2:V892),$V$2:$V$1001,0),MATCH(COLUMNS($AC$1006:AD1006),$AC$1006:$AS$1006,0)), HYPERLINK("#",""), HYPERLINK(CONCATENATE("#metadata!", ADDRESS(INDEX($X$2:$X$1001,MATCH(ROWS($V$2:V892),$V$2:$V$1001,0),0), INDEX($AC$1004:$AS$1004,1,MATCH(COLUMNS($AC$1006:AD1006),$AC$1006:$AS$1006,0)))),"Fix")))</f>
        <v xml:space="preserve"> </v>
      </c>
      <c r="D892" s="4" t="str">
        <f ca="1">IF(OR(INDEX($W$2:$W$1001,MATCH(ROWS($V$2:V892),$V$2:$V$1001,0),1)&gt;=100000,INDEX($AC$1005:$AS$1005,1,MATCH(COLUMNS($AC$1006:AE1006),$AC$1006:$AS$1006,0))&gt;=100000), " ",IF(INDEX($AC$2:$AS$1001,MATCH(ROWS($V$2:V892),$V$2:$V$1001,0),MATCH(COLUMNS($AC$1006:AE1006),$AC$1006:$AS$1006,0)), HYPERLINK("#",""), HYPERLINK(CONCATENATE("#metadata!", ADDRESS(INDEX($X$2:$X$1001,MATCH(ROWS($V$2:V892),$V$2:$V$1001,0),0), INDEX($AC$1004:$AS$1004,1,MATCH(COLUMNS($AC$1006:AE1006),$AC$1006:$AS$1006,0)))),"Fix")))</f>
        <v xml:space="preserve"> </v>
      </c>
      <c r="E892" s="4" t="str">
        <f ca="1">IF(OR(INDEX($W$2:$W$1001,MATCH(ROWS($V$2:V892),$V$2:$V$1001,0),1)&gt;=100000,INDEX($AC$1005:$AS$1005,1,MATCH(COLUMNS($AC$1006:AF1006),$AC$1006:$AS$1006,0))&gt;=100000), " ",IF(INDEX($AC$2:$AS$1001,MATCH(ROWS($V$2:V892),$V$2:$V$1001,0),MATCH(COLUMNS($AC$1006:AF1006),$AC$1006:$AS$1006,0)), HYPERLINK("#",""), HYPERLINK(CONCATENATE("#metadata!", ADDRESS(INDEX($X$2:$X$1001,MATCH(ROWS($V$2:V892),$V$2:$V$1001,0),0), INDEX($AC$1004:$AS$1004,1,MATCH(COLUMNS($AC$1006:AF1006),$AC$1006:$AS$1006,0)))),"Fix")))</f>
        <v xml:space="preserve"> </v>
      </c>
      <c r="F892" s="4" t="str">
        <f ca="1">IF(OR(INDEX($W$2:$W$1001,MATCH(ROWS($V$2:V892),$V$2:$V$1001,0),1)&gt;=100000,INDEX($AC$1005:$AS$1005,1,MATCH(COLUMNS($AC$1006:AG1006),$AC$1006:$AS$1006,0))&gt;=100000), " ",IF(INDEX($AC$2:$AS$1001,MATCH(ROWS($V$2:V892),$V$2:$V$1001,0),MATCH(COLUMNS($AC$1006:AG1006),$AC$1006:$AS$1006,0)), HYPERLINK("#",""), HYPERLINK(CONCATENATE("#metadata!", ADDRESS(INDEX($X$2:$X$1001,MATCH(ROWS($V$2:V892),$V$2:$V$1001,0),0), INDEX($AC$1004:$AS$1004,1,MATCH(COLUMNS($AC$1006:AG1006),$AC$1006:$AS$1006,0)))),"Fix")))</f>
        <v xml:space="preserve"> </v>
      </c>
      <c r="G892" s="4" t="str">
        <f ca="1">IF(OR(INDEX($W$2:$W$1001,MATCH(ROWS($V$2:V892),$V$2:$V$1001,0),1)&gt;=100000,INDEX($AC$1005:$AS$1005,1,MATCH(COLUMNS($AC$1006:AH1006),$AC$1006:$AS$1006,0))&gt;=100000), " ",IF(INDEX($AC$2:$AS$1001,MATCH(ROWS($V$2:V892),$V$2:$V$1001,0),MATCH(COLUMNS($AC$1006:AH1006),$AC$1006:$AS$1006,0)), HYPERLINK("#",""), HYPERLINK(CONCATENATE("#metadata!", ADDRESS(INDEX($X$2:$X$1001,MATCH(ROWS($V$2:V892),$V$2:$V$1001,0),0), INDEX($AC$1004:$AS$1004,1,MATCH(COLUMNS($AC$1006:AH1006),$AC$1006:$AS$1006,0)))),"Fix")))</f>
        <v xml:space="preserve"> </v>
      </c>
      <c r="H892" s="4" t="str">
        <f ca="1">IF(OR(INDEX($W$2:$W$1001,MATCH(ROWS($V$2:V892),$V$2:$V$1001,0),1)&gt;=100000,INDEX($AC$1005:$AS$1005,1,MATCH(COLUMNS($AC$1006:AI1006),$AC$1006:$AS$1006,0))&gt;=100000), " ",IF(INDEX($AC$2:$AS$1001,MATCH(ROWS($V$2:V892),$V$2:$V$1001,0),MATCH(COLUMNS($AC$1006:AI1006),$AC$1006:$AS$1006,0)), HYPERLINK("#",""), HYPERLINK(CONCATENATE("#metadata!", ADDRESS(INDEX($X$2:$X$1001,MATCH(ROWS($V$2:V892),$V$2:$V$1001,0),0), INDEX($AC$1004:$AS$1004,1,MATCH(COLUMNS($AC$1006:AI1006),$AC$1006:$AS$1006,0)))),"Fix")))</f>
        <v xml:space="preserve"> </v>
      </c>
      <c r="I892" s="4" t="str">
        <f ca="1">IF(OR(INDEX($W$2:$W$1001,MATCH(ROWS($V$2:V892),$V$2:$V$1001,0),1)&gt;=100000,INDEX($AC$1005:$AS$1005,1,MATCH(COLUMNS($AC$1006:AJ1006),$AC$1006:$AS$1006,0))&gt;=100000), " ",IF(INDEX($AC$2:$AS$1001,MATCH(ROWS($V$2:V892),$V$2:$V$1001,0),MATCH(COLUMNS($AC$1006:AJ1006),$AC$1006:$AS$1006,0)), HYPERLINK("#",""), HYPERLINK(CONCATENATE("#metadata!", ADDRESS(INDEX($X$2:$X$1001,MATCH(ROWS($V$2:V892),$V$2:$V$1001,0),0), INDEX($AC$1004:$AS$1004,1,MATCH(COLUMNS($AC$1006:AJ1006),$AC$1006:$AS$1006,0)))),"Fix")))</f>
        <v xml:space="preserve"> </v>
      </c>
      <c r="J892" s="4" t="str">
        <f ca="1">IF(OR(INDEX($W$2:$W$1001,MATCH(ROWS($V$2:V892),$V$2:$V$1001,0),1)&gt;=100000,INDEX($AC$1005:$AS$1005,1,MATCH(COLUMNS($AC$1006:AK1006),$AC$1006:$AS$1006,0))&gt;=100000), " ",IF(INDEX($AC$2:$AS$1001,MATCH(ROWS($V$2:V892),$V$2:$V$1001,0),MATCH(COLUMNS($AC$1006:AK1006),$AC$1006:$AS$1006,0)), HYPERLINK("#",""), HYPERLINK(CONCATENATE("#metadata!", ADDRESS(INDEX($X$2:$X$1001,MATCH(ROWS($V$2:V892),$V$2:$V$1001,0),0), INDEX($AC$1004:$AS$1004,1,MATCH(COLUMNS($AC$1006:AK1006),$AC$1006:$AS$1006,0)))),"Fix")))</f>
        <v xml:space="preserve"> </v>
      </c>
      <c r="K892" s="4" t="str">
        <f ca="1">IF(OR(INDEX($W$2:$W$1001,MATCH(ROWS($V$2:V892),$V$2:$V$1001,0),1)&gt;=100000,INDEX($AC$1005:$AS$1005,1,MATCH(COLUMNS($AC$1006:AL1006),$AC$1006:$AS$1006,0))&gt;=100000), " ",IF(INDEX($AC$2:$AS$1001,MATCH(ROWS($V$2:V892),$V$2:$V$1001,0),MATCH(COLUMNS($AC$1006:AL1006),$AC$1006:$AS$1006,0)), HYPERLINK("#",""), HYPERLINK(CONCATENATE("#metadata!", ADDRESS(INDEX($X$2:$X$1001,MATCH(ROWS($V$2:V892),$V$2:$V$1001,0),0), INDEX($AC$1004:$AS$1004,1,MATCH(COLUMNS($AC$1006:AL1006),$AC$1006:$AS$1006,0)))),"Fix")))</f>
        <v xml:space="preserve"> </v>
      </c>
      <c r="L892" s="4" t="str">
        <f ca="1">IF(OR(INDEX($W$2:$W$1001,MATCH(ROWS($V$2:V892),$V$2:$V$1001,0),1)&gt;=100000,INDEX($AC$1005:$AS$1005,1,MATCH(COLUMNS($AC$1006:AM1006),$AC$1006:$AS$1006,0))&gt;=100000), " ",IF(INDEX($AC$2:$AS$1001,MATCH(ROWS($V$2:V892),$V$2:$V$1001,0),MATCH(COLUMNS($AC$1006:AM1006),$AC$1006:$AS$1006,0)), HYPERLINK("#",""), HYPERLINK(CONCATENATE("#metadata!", ADDRESS(INDEX($X$2:$X$1001,MATCH(ROWS($V$2:V892),$V$2:$V$1001,0),0), INDEX($AC$1004:$AS$1004,1,MATCH(COLUMNS($AC$1006:AM1006),$AC$1006:$AS$1006,0)))),"Fix")))</f>
        <v xml:space="preserve"> </v>
      </c>
      <c r="M892" s="4" t="str">
        <f ca="1">IF(OR(INDEX($W$2:$W$1001,MATCH(ROWS($V$2:V892),$V$2:$V$1001,0),1)&gt;=100000,INDEX($AC$1005:$AS$1005,1,MATCH(COLUMNS($AC$1006:AN1006),$AC$1006:$AS$1006,0))&gt;=100000), " ",IF(INDEX($AC$2:$AS$1001,MATCH(ROWS($V$2:V892),$V$2:$V$1001,0),MATCH(COLUMNS($AC$1006:AN1006),$AC$1006:$AS$1006,0)), HYPERLINK("#",""), HYPERLINK(CONCATENATE("#metadata!", ADDRESS(INDEX($X$2:$X$1001,MATCH(ROWS($V$2:V892),$V$2:$V$1001,0),0), INDEX($AC$1004:$AS$1004,1,MATCH(COLUMNS($AC$1006:AN1006),$AC$1006:$AS$1006,0)))),"Fix")))</f>
        <v xml:space="preserve"> </v>
      </c>
      <c r="N892" s="4" t="str">
        <f ca="1">IF(OR(INDEX($W$2:$W$1001,MATCH(ROWS($V$2:V892),$V$2:$V$1001,0),1)&gt;=100000,INDEX($AC$1005:$AS$1005,1,MATCH(COLUMNS($AC$1006:AO1006),$AC$1006:$AS$1006,0))&gt;=100000), " ",IF(INDEX($AC$2:$AS$1001,MATCH(ROWS($V$2:V892),$V$2:$V$1001,0),MATCH(COLUMNS($AC$1006:AO1006),$AC$1006:$AS$1006,0)), HYPERLINK("#",""), HYPERLINK(CONCATENATE("#metadata!", ADDRESS(INDEX($X$2:$X$1001,MATCH(ROWS($V$2:V892),$V$2:$V$1001,0),0), INDEX($AC$1004:$AS$1004,1,MATCH(COLUMNS($AC$1006:AO1006),$AC$1006:$AS$1006,0)))),"Fix")))</f>
        <v xml:space="preserve"> </v>
      </c>
      <c r="O892" s="4" t="str">
        <f ca="1">IF(OR(INDEX($W$2:$W$1001,MATCH(ROWS($V$2:V892),$V$2:$V$1001,0),1)&gt;=100000,INDEX($AC$1005:$AS$1005,1,MATCH(COLUMNS($AC$1006:AP1006),$AC$1006:$AS$1006,0))&gt;=100000), " ",IF(INDEX($AC$2:$AS$1001,MATCH(ROWS($V$2:V892),$V$2:$V$1001,0),MATCH(COLUMNS($AC$1006:AP1006),$AC$1006:$AS$1006,0)), HYPERLINK("#",""), HYPERLINK(CONCATENATE("#metadata!", ADDRESS(INDEX($X$2:$X$1001,MATCH(ROWS($V$2:V892),$V$2:$V$1001,0),0), INDEX($AC$1004:$AS$1004,1,MATCH(COLUMNS($AC$1006:AP1006),$AC$1006:$AS$1006,0)))),"Fix")))</f>
        <v xml:space="preserve"> </v>
      </c>
      <c r="P892" s="4" t="str">
        <f ca="1">IF(OR(INDEX($W$2:$W$1001,MATCH(ROWS($V$2:V892),$V$2:$V$1001,0),1)&gt;=100000,INDEX($AC$1005:$AS$1005,1,MATCH(COLUMNS($AC$1006:AQ1006),$AC$1006:$AS$1006,0))&gt;=100000), " ",IF(INDEX($AC$2:$AS$1001,MATCH(ROWS($V$2:V892),$V$2:$V$1001,0),MATCH(COLUMNS($AC$1006:AQ1006),$AC$1006:$AS$1006,0)), HYPERLINK("#",""), HYPERLINK(CONCATENATE("#metadata!", ADDRESS(INDEX($X$2:$X$1001,MATCH(ROWS($V$2:V892),$V$2:$V$1001,0),0), INDEX($AC$1004:$AS$1004,1,MATCH(COLUMNS($AC$1006:AQ1006),$AC$1006:$AS$1006,0)))),"Fix")))</f>
        <v xml:space="preserve"> </v>
      </c>
      <c r="Q892" s="4" t="str">
        <f ca="1">IF(OR(INDEX($W$2:$W$1001,MATCH(ROWS($V$2:V892),$V$2:$V$1001,0),1)&gt;=100000,INDEX($AC$1005:$AS$1005,1,MATCH(COLUMNS($AC$1006:AR1006),$AC$1006:$AS$1006,0))&gt;=100000), " ",IF(INDEX($AC$2:$AS$1001,MATCH(ROWS($V$2:V892),$V$2:$V$1001,0),MATCH(COLUMNS($AC$1006:AR1006),$AC$1006:$AS$1006,0)), HYPERLINK("#",""), HYPERLINK(CONCATENATE("#metadata!", ADDRESS(INDEX($X$2:$X$1001,MATCH(ROWS($V$2:V892),$V$2:$V$1001,0),0), INDEX($AC$1004:$AS$1004,1,MATCH(COLUMNS($AC$1006:AR1006),$AC$1006:$AS$1006,0)))),"Fix")))</f>
        <v xml:space="preserve"> </v>
      </c>
      <c r="R892" s="4" t="str">
        <f ca="1">IF(OR(INDEX($W$2:$W$1001,MATCH(ROWS($V$2:V892),$V$2:$V$1001,0),1)&gt;=100000,INDEX($AC$1005:$AS$1005,1,MATCH(COLUMNS($AC$1006:AS1006),$AC$1006:$AS$1006,0))&gt;=100000), " ",IF(INDEX($AC$2:$AS$1001,MATCH(ROWS($V$2:V892),$V$2:$V$1001,0),MATCH(COLUMNS($AC$1006:AS1006),$AC$1006:$AS$1006,0)), HYPERLINK("#",""), HYPERLINK(CONCATENATE("#metadata!", ADDRESS(INDEX($X$2:$X$1001,MATCH(ROWS($V$2:V892),$V$2:$V$1001,0),0), INDEX($AC$1004:$AS$1004,1,MATCH(COLUMNS($AC$1006:AS1006),$AC$1006:$AS$1006,0)))),"Fix")))</f>
        <v xml:space="preserve"> </v>
      </c>
      <c r="V892">
        <v>891</v>
      </c>
      <c r="W892">
        <v>100892</v>
      </c>
      <c r="X892">
        <v>892</v>
      </c>
      <c r="Y892" t="b">
        <f t="shared" si="13"/>
        <v>1</v>
      </c>
      <c r="Z892" t="b">
        <f>COUNTBLANK(metadata!B892:R892)=COLUMNS(metadata!B892:R892)</f>
        <v>1</v>
      </c>
      <c r="AA892" t="str">
        <v/>
      </c>
      <c r="AC892" t="b">
        <f ca="1"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AD892" t="b">
        <f>IF(metadata!C892="",FALSE,ISNUMBER(VALUE(metadata!C892)))</f>
        <v>0</v>
      </c>
      <c r="AE892" t="b">
        <f>AND(IF(metadata!D892="",FALSE,TRUE),EXACT(metadata!D892,"years"))</f>
        <v>0</v>
      </c>
      <c r="AF892" t="b">
        <f>OR(AND(IF(metadata!E892="",FALSE,TRUE),OR(EXACT(metadata!E892,"not applicable"),EXACT(metadata!E892,"missing: not collected"),EXACT(metadata!E892,"missing: not provided"),EXACT(metadata!E892,"missing: restricted access"))),AND(IF(metadata!E892="",FALSE,ISNUMBER(VALUE(metadata!E892))),metadata!E892&gt;0))</f>
        <v>0</v>
      </c>
      <c r="AG892" t="b">
        <f>AND(IF(metadata!F892="",FALSE,TRUE),EXACT(metadata!F892,"Not applicable"))</f>
        <v>0</v>
      </c>
      <c r="AH892" t="b">
        <f>AND(IF(metadata!G892="",FALSE,TRUE),EXACT(metadata!G892,"urban biome"))</f>
        <v>0</v>
      </c>
      <c r="AI892" t="b">
        <f>AND(IF(metadata!H892="",FALSE,TRUE),EXACT(metadata!H892,"human-associated habitat"))</f>
        <v>0</v>
      </c>
      <c r="AJ892" t="b">
        <f>AND(IF(metadata!I892="",FALSE,TRUE),OR(EXACT(metadata!I892,"human-associated"),EXACT(metadata!I892,"human-skin"),EXACT(metadata!I892,"human-oral"),EXACT(metadata!I892,"human-gut"),EXACT(metadata!I892,"human-vaginal")))</f>
        <v>0</v>
      </c>
      <c r="AK892" t="b">
        <f>IF(metadata!J892="",FALSE,ISNUMBER(VALUE(metadata!J892)))</f>
        <v>0</v>
      </c>
      <c r="AL892" t="b">
        <f>AND(IF(metadata!K892="",FALSE,TRUE),EXACT(metadata!K892,"cm"))</f>
        <v>0</v>
      </c>
      <c r="AM892" t="b">
        <f>AND(IF(metadata!L892="",FALSE,TRUE),EXACT(metadata!L892,"human"))</f>
        <v>0</v>
      </c>
      <c r="AN892" t="b">
        <f>AND(IF(metadata!M892="",FALSE,TRUE),EXACT(metadata!M892,"Homo sapiens"))</f>
        <v>0</v>
      </c>
      <c r="AO892" t="b">
        <f>AND(IF(metadata!N892="",FALSE,TRUE),EXACT(metadata!N892,"9606"))</f>
        <v>0</v>
      </c>
      <c r="AP892" t="b">
        <f>IF(metadata!O892="",FALSE,TRUE)</f>
        <v>0</v>
      </c>
      <c r="AQ892" t="b">
        <f>IF(metadata!P892="",FALSE,TRUE)</f>
        <v>0</v>
      </c>
      <c r="AR892" t="b">
        <f>IF(metadata!Q892="",FALSE,ISNUMBER(VALUE(metadata!Q892)))</f>
        <v>0</v>
      </c>
      <c r="AS892" t="b">
        <f>AND(IF(metadata!R892="",FALSE,TRUE),EXACT(metadata!R892,"kg"))</f>
        <v>0</v>
      </c>
    </row>
    <row r="893" spans="1:45" x14ac:dyDescent="0.2">
      <c r="A893" s="5" t="str">
        <f ca="1">IF(B893=" "," ",HYPERLINK(CONCATENATE("#metadata!",ADDRESS(INDEX($X$2:$X$1001,MATCH(ROWS($V$2:V893),$V$2:$V$1001,0),0),1)),INDEX($AA$2:$AA$1001,MATCH(ROWS($V$2:V893),$V$2:$V$1001,0),0)))</f>
        <v xml:space="preserve"> </v>
      </c>
      <c r="B893" s="4" t="str">
        <f ca="1">IF(OR(INDEX($W$2:$W$1001,MATCH(ROWS($V$2:V893),$V$2:$V$1001,0),1)&gt;=100000,INDEX($AC$1005:$AS$1005,1,MATCH(COLUMNS($AC$1006:AC1006),$AC$1006:$AS$1006,0))&gt;=100000), " ",IF(INDEX($AC$2:$AS$1001,MATCH(ROWS($V$2:V893),$V$2:$V$1001,0),MATCH(COLUMNS($AC$1006:AC1006),$AC$1006:$AS$1006,0)), HYPERLINK("#",""), HYPERLINK(CONCATENATE("#metadata!", ADDRESS(INDEX($X$2:$X$1001,MATCH(ROWS($V$2:V893),$V$2:$V$1001,0),0), INDEX($AC$1004:$AS$1004,1,MATCH(COLUMNS($AC$1006:AC1006),$AC$1006:$AS$1006,0)))),"Fix")))</f>
        <v xml:space="preserve"> </v>
      </c>
      <c r="C893" s="4" t="str">
        <f ca="1">IF(OR(INDEX($W$2:$W$1001,MATCH(ROWS($V$2:V893),$V$2:$V$1001,0),1)&gt;=100000,INDEX($AC$1005:$AS$1005,1,MATCH(COLUMNS($AC$1006:AD1006),$AC$1006:$AS$1006,0))&gt;=100000), " ",IF(INDEX($AC$2:$AS$1001,MATCH(ROWS($V$2:V893),$V$2:$V$1001,0),MATCH(COLUMNS($AC$1006:AD1006),$AC$1006:$AS$1006,0)), HYPERLINK("#",""), HYPERLINK(CONCATENATE("#metadata!", ADDRESS(INDEX($X$2:$X$1001,MATCH(ROWS($V$2:V893),$V$2:$V$1001,0),0), INDEX($AC$1004:$AS$1004,1,MATCH(COLUMNS($AC$1006:AD1006),$AC$1006:$AS$1006,0)))),"Fix")))</f>
        <v xml:space="preserve"> </v>
      </c>
      <c r="D893" s="4" t="str">
        <f ca="1">IF(OR(INDEX($W$2:$W$1001,MATCH(ROWS($V$2:V893),$V$2:$V$1001,0),1)&gt;=100000,INDEX($AC$1005:$AS$1005,1,MATCH(COLUMNS($AC$1006:AE1006),$AC$1006:$AS$1006,0))&gt;=100000), " ",IF(INDEX($AC$2:$AS$1001,MATCH(ROWS($V$2:V893),$V$2:$V$1001,0),MATCH(COLUMNS($AC$1006:AE1006),$AC$1006:$AS$1006,0)), HYPERLINK("#",""), HYPERLINK(CONCATENATE("#metadata!", ADDRESS(INDEX($X$2:$X$1001,MATCH(ROWS($V$2:V893),$V$2:$V$1001,0),0), INDEX($AC$1004:$AS$1004,1,MATCH(COLUMNS($AC$1006:AE1006),$AC$1006:$AS$1006,0)))),"Fix")))</f>
        <v xml:space="preserve"> </v>
      </c>
      <c r="E893" s="4" t="str">
        <f ca="1">IF(OR(INDEX($W$2:$W$1001,MATCH(ROWS($V$2:V893),$V$2:$V$1001,0),1)&gt;=100000,INDEX($AC$1005:$AS$1005,1,MATCH(COLUMNS($AC$1006:AF1006),$AC$1006:$AS$1006,0))&gt;=100000), " ",IF(INDEX($AC$2:$AS$1001,MATCH(ROWS($V$2:V893),$V$2:$V$1001,0),MATCH(COLUMNS($AC$1006:AF1006),$AC$1006:$AS$1006,0)), HYPERLINK("#",""), HYPERLINK(CONCATENATE("#metadata!", ADDRESS(INDEX($X$2:$X$1001,MATCH(ROWS($V$2:V893),$V$2:$V$1001,0),0), INDEX($AC$1004:$AS$1004,1,MATCH(COLUMNS($AC$1006:AF1006),$AC$1006:$AS$1006,0)))),"Fix")))</f>
        <v xml:space="preserve"> </v>
      </c>
      <c r="F893" s="4" t="str">
        <f ca="1">IF(OR(INDEX($W$2:$W$1001,MATCH(ROWS($V$2:V893),$V$2:$V$1001,0),1)&gt;=100000,INDEX($AC$1005:$AS$1005,1,MATCH(COLUMNS($AC$1006:AG1006),$AC$1006:$AS$1006,0))&gt;=100000), " ",IF(INDEX($AC$2:$AS$1001,MATCH(ROWS($V$2:V893),$V$2:$V$1001,0),MATCH(COLUMNS($AC$1006:AG1006),$AC$1006:$AS$1006,0)), HYPERLINK("#",""), HYPERLINK(CONCATENATE("#metadata!", ADDRESS(INDEX($X$2:$X$1001,MATCH(ROWS($V$2:V893),$V$2:$V$1001,0),0), INDEX($AC$1004:$AS$1004,1,MATCH(COLUMNS($AC$1006:AG1006),$AC$1006:$AS$1006,0)))),"Fix")))</f>
        <v xml:space="preserve"> </v>
      </c>
      <c r="G893" s="4" t="str">
        <f ca="1">IF(OR(INDEX($W$2:$W$1001,MATCH(ROWS($V$2:V893),$V$2:$V$1001,0),1)&gt;=100000,INDEX($AC$1005:$AS$1005,1,MATCH(COLUMNS($AC$1006:AH1006),$AC$1006:$AS$1006,0))&gt;=100000), " ",IF(INDEX($AC$2:$AS$1001,MATCH(ROWS($V$2:V893),$V$2:$V$1001,0),MATCH(COLUMNS($AC$1006:AH1006),$AC$1006:$AS$1006,0)), HYPERLINK("#",""), HYPERLINK(CONCATENATE("#metadata!", ADDRESS(INDEX($X$2:$X$1001,MATCH(ROWS($V$2:V893),$V$2:$V$1001,0),0), INDEX($AC$1004:$AS$1004,1,MATCH(COLUMNS($AC$1006:AH1006),$AC$1006:$AS$1006,0)))),"Fix")))</f>
        <v xml:space="preserve"> </v>
      </c>
      <c r="H893" s="4" t="str">
        <f ca="1">IF(OR(INDEX($W$2:$W$1001,MATCH(ROWS($V$2:V893),$V$2:$V$1001,0),1)&gt;=100000,INDEX($AC$1005:$AS$1005,1,MATCH(COLUMNS($AC$1006:AI1006),$AC$1006:$AS$1006,0))&gt;=100000), " ",IF(INDEX($AC$2:$AS$1001,MATCH(ROWS($V$2:V893),$V$2:$V$1001,0),MATCH(COLUMNS($AC$1006:AI1006),$AC$1006:$AS$1006,0)), HYPERLINK("#",""), HYPERLINK(CONCATENATE("#metadata!", ADDRESS(INDEX($X$2:$X$1001,MATCH(ROWS($V$2:V893),$V$2:$V$1001,0),0), INDEX($AC$1004:$AS$1004,1,MATCH(COLUMNS($AC$1006:AI1006),$AC$1006:$AS$1006,0)))),"Fix")))</f>
        <v xml:space="preserve"> </v>
      </c>
      <c r="I893" s="4" t="str">
        <f ca="1">IF(OR(INDEX($W$2:$W$1001,MATCH(ROWS($V$2:V893),$V$2:$V$1001,0),1)&gt;=100000,INDEX($AC$1005:$AS$1005,1,MATCH(COLUMNS($AC$1006:AJ1006),$AC$1006:$AS$1006,0))&gt;=100000), " ",IF(INDEX($AC$2:$AS$1001,MATCH(ROWS($V$2:V893),$V$2:$V$1001,0),MATCH(COLUMNS($AC$1006:AJ1006),$AC$1006:$AS$1006,0)), HYPERLINK("#",""), HYPERLINK(CONCATENATE("#metadata!", ADDRESS(INDEX($X$2:$X$1001,MATCH(ROWS($V$2:V893),$V$2:$V$1001,0),0), INDEX($AC$1004:$AS$1004,1,MATCH(COLUMNS($AC$1006:AJ1006),$AC$1006:$AS$1006,0)))),"Fix")))</f>
        <v xml:space="preserve"> </v>
      </c>
      <c r="J893" s="4" t="str">
        <f ca="1">IF(OR(INDEX($W$2:$W$1001,MATCH(ROWS($V$2:V893),$V$2:$V$1001,0),1)&gt;=100000,INDEX($AC$1005:$AS$1005,1,MATCH(COLUMNS($AC$1006:AK1006),$AC$1006:$AS$1006,0))&gt;=100000), " ",IF(INDEX($AC$2:$AS$1001,MATCH(ROWS($V$2:V893),$V$2:$V$1001,0),MATCH(COLUMNS($AC$1006:AK1006),$AC$1006:$AS$1006,0)), HYPERLINK("#",""), HYPERLINK(CONCATENATE("#metadata!", ADDRESS(INDEX($X$2:$X$1001,MATCH(ROWS($V$2:V893),$V$2:$V$1001,0),0), INDEX($AC$1004:$AS$1004,1,MATCH(COLUMNS($AC$1006:AK1006),$AC$1006:$AS$1006,0)))),"Fix")))</f>
        <v xml:space="preserve"> </v>
      </c>
      <c r="K893" s="4" t="str">
        <f ca="1">IF(OR(INDEX($W$2:$W$1001,MATCH(ROWS($V$2:V893),$V$2:$V$1001,0),1)&gt;=100000,INDEX($AC$1005:$AS$1005,1,MATCH(COLUMNS($AC$1006:AL1006),$AC$1006:$AS$1006,0))&gt;=100000), " ",IF(INDEX($AC$2:$AS$1001,MATCH(ROWS($V$2:V893),$V$2:$V$1001,0),MATCH(COLUMNS($AC$1006:AL1006),$AC$1006:$AS$1006,0)), HYPERLINK("#",""), HYPERLINK(CONCATENATE("#metadata!", ADDRESS(INDEX($X$2:$X$1001,MATCH(ROWS($V$2:V893),$V$2:$V$1001,0),0), INDEX($AC$1004:$AS$1004,1,MATCH(COLUMNS($AC$1006:AL1006),$AC$1006:$AS$1006,0)))),"Fix")))</f>
        <v xml:space="preserve"> </v>
      </c>
      <c r="L893" s="4" t="str">
        <f ca="1">IF(OR(INDEX($W$2:$W$1001,MATCH(ROWS($V$2:V893),$V$2:$V$1001,0),1)&gt;=100000,INDEX($AC$1005:$AS$1005,1,MATCH(COLUMNS($AC$1006:AM1006),$AC$1006:$AS$1006,0))&gt;=100000), " ",IF(INDEX($AC$2:$AS$1001,MATCH(ROWS($V$2:V893),$V$2:$V$1001,0),MATCH(COLUMNS($AC$1006:AM1006),$AC$1006:$AS$1006,0)), HYPERLINK("#",""), HYPERLINK(CONCATENATE("#metadata!", ADDRESS(INDEX($X$2:$X$1001,MATCH(ROWS($V$2:V893),$V$2:$V$1001,0),0), INDEX($AC$1004:$AS$1004,1,MATCH(COLUMNS($AC$1006:AM1006),$AC$1006:$AS$1006,0)))),"Fix")))</f>
        <v xml:space="preserve"> </v>
      </c>
      <c r="M893" s="4" t="str">
        <f ca="1">IF(OR(INDEX($W$2:$W$1001,MATCH(ROWS($V$2:V893),$V$2:$V$1001,0),1)&gt;=100000,INDEX($AC$1005:$AS$1005,1,MATCH(COLUMNS($AC$1006:AN1006),$AC$1006:$AS$1006,0))&gt;=100000), " ",IF(INDEX($AC$2:$AS$1001,MATCH(ROWS($V$2:V893),$V$2:$V$1001,0),MATCH(COLUMNS($AC$1006:AN1006),$AC$1006:$AS$1006,0)), HYPERLINK("#",""), HYPERLINK(CONCATENATE("#metadata!", ADDRESS(INDEX($X$2:$X$1001,MATCH(ROWS($V$2:V893),$V$2:$V$1001,0),0), INDEX($AC$1004:$AS$1004,1,MATCH(COLUMNS($AC$1006:AN1006),$AC$1006:$AS$1006,0)))),"Fix")))</f>
        <v xml:space="preserve"> </v>
      </c>
      <c r="N893" s="4" t="str">
        <f ca="1">IF(OR(INDEX($W$2:$W$1001,MATCH(ROWS($V$2:V893),$V$2:$V$1001,0),1)&gt;=100000,INDEX($AC$1005:$AS$1005,1,MATCH(COLUMNS($AC$1006:AO1006),$AC$1006:$AS$1006,0))&gt;=100000), " ",IF(INDEX($AC$2:$AS$1001,MATCH(ROWS($V$2:V893),$V$2:$V$1001,0),MATCH(COLUMNS($AC$1006:AO1006),$AC$1006:$AS$1006,0)), HYPERLINK("#",""), HYPERLINK(CONCATENATE("#metadata!", ADDRESS(INDEX($X$2:$X$1001,MATCH(ROWS($V$2:V893),$V$2:$V$1001,0),0), INDEX($AC$1004:$AS$1004,1,MATCH(COLUMNS($AC$1006:AO1006),$AC$1006:$AS$1006,0)))),"Fix")))</f>
        <v xml:space="preserve"> </v>
      </c>
      <c r="O893" s="4" t="str">
        <f ca="1">IF(OR(INDEX($W$2:$W$1001,MATCH(ROWS($V$2:V893),$V$2:$V$1001,0),1)&gt;=100000,INDEX($AC$1005:$AS$1005,1,MATCH(COLUMNS($AC$1006:AP1006),$AC$1006:$AS$1006,0))&gt;=100000), " ",IF(INDEX($AC$2:$AS$1001,MATCH(ROWS($V$2:V893),$V$2:$V$1001,0),MATCH(COLUMNS($AC$1006:AP1006),$AC$1006:$AS$1006,0)), HYPERLINK("#",""), HYPERLINK(CONCATENATE("#metadata!", ADDRESS(INDEX($X$2:$X$1001,MATCH(ROWS($V$2:V893),$V$2:$V$1001,0),0), INDEX($AC$1004:$AS$1004,1,MATCH(COLUMNS($AC$1006:AP1006),$AC$1006:$AS$1006,0)))),"Fix")))</f>
        <v xml:space="preserve"> </v>
      </c>
      <c r="P893" s="4" t="str">
        <f ca="1">IF(OR(INDEX($W$2:$W$1001,MATCH(ROWS($V$2:V893),$V$2:$V$1001,0),1)&gt;=100000,INDEX($AC$1005:$AS$1005,1,MATCH(COLUMNS($AC$1006:AQ1006),$AC$1006:$AS$1006,0))&gt;=100000), " ",IF(INDEX($AC$2:$AS$1001,MATCH(ROWS($V$2:V893),$V$2:$V$1001,0),MATCH(COLUMNS($AC$1006:AQ1006),$AC$1006:$AS$1006,0)), HYPERLINK("#",""), HYPERLINK(CONCATENATE("#metadata!", ADDRESS(INDEX($X$2:$X$1001,MATCH(ROWS($V$2:V893),$V$2:$V$1001,0),0), INDEX($AC$1004:$AS$1004,1,MATCH(COLUMNS($AC$1006:AQ1006),$AC$1006:$AS$1006,0)))),"Fix")))</f>
        <v xml:space="preserve"> </v>
      </c>
      <c r="Q893" s="4" t="str">
        <f ca="1">IF(OR(INDEX($W$2:$W$1001,MATCH(ROWS($V$2:V893),$V$2:$V$1001,0),1)&gt;=100000,INDEX($AC$1005:$AS$1005,1,MATCH(COLUMNS($AC$1006:AR1006),$AC$1006:$AS$1006,0))&gt;=100000), " ",IF(INDEX($AC$2:$AS$1001,MATCH(ROWS($V$2:V893),$V$2:$V$1001,0),MATCH(COLUMNS($AC$1006:AR1006),$AC$1006:$AS$1006,0)), HYPERLINK("#",""), HYPERLINK(CONCATENATE("#metadata!", ADDRESS(INDEX($X$2:$X$1001,MATCH(ROWS($V$2:V893),$V$2:$V$1001,0),0), INDEX($AC$1004:$AS$1004,1,MATCH(COLUMNS($AC$1006:AR1006),$AC$1006:$AS$1006,0)))),"Fix")))</f>
        <v xml:space="preserve"> </v>
      </c>
      <c r="R893" s="4" t="str">
        <f ca="1">IF(OR(INDEX($W$2:$W$1001,MATCH(ROWS($V$2:V893),$V$2:$V$1001,0),1)&gt;=100000,INDEX($AC$1005:$AS$1005,1,MATCH(COLUMNS($AC$1006:AS1006),$AC$1006:$AS$1006,0))&gt;=100000), " ",IF(INDEX($AC$2:$AS$1001,MATCH(ROWS($V$2:V893),$V$2:$V$1001,0),MATCH(COLUMNS($AC$1006:AS1006),$AC$1006:$AS$1006,0)), HYPERLINK("#",""), HYPERLINK(CONCATENATE("#metadata!", ADDRESS(INDEX($X$2:$X$1001,MATCH(ROWS($V$2:V893),$V$2:$V$1001,0),0), INDEX($AC$1004:$AS$1004,1,MATCH(COLUMNS($AC$1006:AS1006),$AC$1006:$AS$1006,0)))),"Fix")))</f>
        <v xml:space="preserve"> </v>
      </c>
      <c r="V893">
        <v>892</v>
      </c>
      <c r="W893">
        <v>100893</v>
      </c>
      <c r="X893">
        <v>893</v>
      </c>
      <c r="Y893" t="b">
        <f t="shared" si="13"/>
        <v>1</v>
      </c>
      <c r="Z893" t="b">
        <f>COUNTBLANK(metadata!B893:R893)=COLUMNS(metadata!B893:R893)</f>
        <v>1</v>
      </c>
      <c r="AA893" t="str">
        <v/>
      </c>
      <c r="AC893" t="b">
        <f ca="1"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AD893" t="b">
        <f>IF(metadata!C893="",FALSE,ISNUMBER(VALUE(metadata!C893)))</f>
        <v>0</v>
      </c>
      <c r="AE893" t="b">
        <f>AND(IF(metadata!D893="",FALSE,TRUE),EXACT(metadata!D893,"years"))</f>
        <v>0</v>
      </c>
      <c r="AF893" t="b">
        <f>OR(AND(IF(metadata!E893="",FALSE,TRUE),OR(EXACT(metadata!E893,"not applicable"),EXACT(metadata!E893,"missing: not collected"),EXACT(metadata!E893,"missing: not provided"),EXACT(metadata!E893,"missing: restricted access"))),AND(IF(metadata!E893="",FALSE,ISNUMBER(VALUE(metadata!E893))),metadata!E893&gt;0))</f>
        <v>0</v>
      </c>
      <c r="AG893" t="b">
        <f>AND(IF(metadata!F893="",FALSE,TRUE),EXACT(metadata!F893,"Not applicable"))</f>
        <v>0</v>
      </c>
      <c r="AH893" t="b">
        <f>AND(IF(metadata!G893="",FALSE,TRUE),EXACT(metadata!G893,"urban biome"))</f>
        <v>0</v>
      </c>
      <c r="AI893" t="b">
        <f>AND(IF(metadata!H893="",FALSE,TRUE),EXACT(metadata!H893,"human-associated habitat"))</f>
        <v>0</v>
      </c>
      <c r="AJ893" t="b">
        <f>AND(IF(metadata!I893="",FALSE,TRUE),OR(EXACT(metadata!I893,"human-associated"),EXACT(metadata!I893,"human-skin"),EXACT(metadata!I893,"human-oral"),EXACT(metadata!I893,"human-gut"),EXACT(metadata!I893,"human-vaginal")))</f>
        <v>0</v>
      </c>
      <c r="AK893" t="b">
        <f>IF(metadata!J893="",FALSE,ISNUMBER(VALUE(metadata!J893)))</f>
        <v>0</v>
      </c>
      <c r="AL893" t="b">
        <f>AND(IF(metadata!K893="",FALSE,TRUE),EXACT(metadata!K893,"cm"))</f>
        <v>0</v>
      </c>
      <c r="AM893" t="b">
        <f>AND(IF(metadata!L893="",FALSE,TRUE),EXACT(metadata!L893,"human"))</f>
        <v>0</v>
      </c>
      <c r="AN893" t="b">
        <f>AND(IF(metadata!M893="",FALSE,TRUE),EXACT(metadata!M893,"Homo sapiens"))</f>
        <v>0</v>
      </c>
      <c r="AO893" t="b">
        <f>AND(IF(metadata!N893="",FALSE,TRUE),EXACT(metadata!N893,"9606"))</f>
        <v>0</v>
      </c>
      <c r="AP893" t="b">
        <f>IF(metadata!O893="",FALSE,TRUE)</f>
        <v>0</v>
      </c>
      <c r="AQ893" t="b">
        <f>IF(metadata!P893="",FALSE,TRUE)</f>
        <v>0</v>
      </c>
      <c r="AR893" t="b">
        <f>IF(metadata!Q893="",FALSE,ISNUMBER(VALUE(metadata!Q893)))</f>
        <v>0</v>
      </c>
      <c r="AS893" t="b">
        <f>AND(IF(metadata!R893="",FALSE,TRUE),EXACT(metadata!R893,"kg"))</f>
        <v>0</v>
      </c>
    </row>
    <row r="894" spans="1:45" x14ac:dyDescent="0.2">
      <c r="A894" s="5" t="str">
        <f ca="1">IF(B894=" "," ",HYPERLINK(CONCATENATE("#metadata!",ADDRESS(INDEX($X$2:$X$1001,MATCH(ROWS($V$2:V894),$V$2:$V$1001,0),0),1)),INDEX($AA$2:$AA$1001,MATCH(ROWS($V$2:V894),$V$2:$V$1001,0),0)))</f>
        <v xml:space="preserve"> </v>
      </c>
      <c r="B894" s="4" t="str">
        <f ca="1">IF(OR(INDEX($W$2:$W$1001,MATCH(ROWS($V$2:V894),$V$2:$V$1001,0),1)&gt;=100000,INDEX($AC$1005:$AS$1005,1,MATCH(COLUMNS($AC$1006:AC1006),$AC$1006:$AS$1006,0))&gt;=100000), " ",IF(INDEX($AC$2:$AS$1001,MATCH(ROWS($V$2:V894),$V$2:$V$1001,0),MATCH(COLUMNS($AC$1006:AC1006),$AC$1006:$AS$1006,0)), HYPERLINK("#",""), HYPERLINK(CONCATENATE("#metadata!", ADDRESS(INDEX($X$2:$X$1001,MATCH(ROWS($V$2:V894),$V$2:$V$1001,0),0), INDEX($AC$1004:$AS$1004,1,MATCH(COLUMNS($AC$1006:AC1006),$AC$1006:$AS$1006,0)))),"Fix")))</f>
        <v xml:space="preserve"> </v>
      </c>
      <c r="C894" s="4" t="str">
        <f ca="1">IF(OR(INDEX($W$2:$W$1001,MATCH(ROWS($V$2:V894),$V$2:$V$1001,0),1)&gt;=100000,INDEX($AC$1005:$AS$1005,1,MATCH(COLUMNS($AC$1006:AD1006),$AC$1006:$AS$1006,0))&gt;=100000), " ",IF(INDEX($AC$2:$AS$1001,MATCH(ROWS($V$2:V894),$V$2:$V$1001,0),MATCH(COLUMNS($AC$1006:AD1006),$AC$1006:$AS$1006,0)), HYPERLINK("#",""), HYPERLINK(CONCATENATE("#metadata!", ADDRESS(INDEX($X$2:$X$1001,MATCH(ROWS($V$2:V894),$V$2:$V$1001,0),0), INDEX($AC$1004:$AS$1004,1,MATCH(COLUMNS($AC$1006:AD1006),$AC$1006:$AS$1006,0)))),"Fix")))</f>
        <v xml:space="preserve"> </v>
      </c>
      <c r="D894" s="4" t="str">
        <f ca="1">IF(OR(INDEX($W$2:$W$1001,MATCH(ROWS($V$2:V894),$V$2:$V$1001,0),1)&gt;=100000,INDEX($AC$1005:$AS$1005,1,MATCH(COLUMNS($AC$1006:AE1006),$AC$1006:$AS$1006,0))&gt;=100000), " ",IF(INDEX($AC$2:$AS$1001,MATCH(ROWS($V$2:V894),$V$2:$V$1001,0),MATCH(COLUMNS($AC$1006:AE1006),$AC$1006:$AS$1006,0)), HYPERLINK("#",""), HYPERLINK(CONCATENATE("#metadata!", ADDRESS(INDEX($X$2:$X$1001,MATCH(ROWS($V$2:V894),$V$2:$V$1001,0),0), INDEX($AC$1004:$AS$1004,1,MATCH(COLUMNS($AC$1006:AE1006),$AC$1006:$AS$1006,0)))),"Fix")))</f>
        <v xml:space="preserve"> </v>
      </c>
      <c r="E894" s="4" t="str">
        <f ca="1">IF(OR(INDEX($W$2:$W$1001,MATCH(ROWS($V$2:V894),$V$2:$V$1001,0),1)&gt;=100000,INDEX($AC$1005:$AS$1005,1,MATCH(COLUMNS($AC$1006:AF1006),$AC$1006:$AS$1006,0))&gt;=100000), " ",IF(INDEX($AC$2:$AS$1001,MATCH(ROWS($V$2:V894),$V$2:$V$1001,0),MATCH(COLUMNS($AC$1006:AF1006),$AC$1006:$AS$1006,0)), HYPERLINK("#",""), HYPERLINK(CONCATENATE("#metadata!", ADDRESS(INDEX($X$2:$X$1001,MATCH(ROWS($V$2:V894),$V$2:$V$1001,0),0), INDEX($AC$1004:$AS$1004,1,MATCH(COLUMNS($AC$1006:AF1006),$AC$1006:$AS$1006,0)))),"Fix")))</f>
        <v xml:space="preserve"> </v>
      </c>
      <c r="F894" s="4" t="str">
        <f ca="1">IF(OR(INDEX($W$2:$W$1001,MATCH(ROWS($V$2:V894),$V$2:$V$1001,0),1)&gt;=100000,INDEX($AC$1005:$AS$1005,1,MATCH(COLUMNS($AC$1006:AG1006),$AC$1006:$AS$1006,0))&gt;=100000), " ",IF(INDEX($AC$2:$AS$1001,MATCH(ROWS($V$2:V894),$V$2:$V$1001,0),MATCH(COLUMNS($AC$1006:AG1006),$AC$1006:$AS$1006,0)), HYPERLINK("#",""), HYPERLINK(CONCATENATE("#metadata!", ADDRESS(INDEX($X$2:$X$1001,MATCH(ROWS($V$2:V894),$V$2:$V$1001,0),0), INDEX($AC$1004:$AS$1004,1,MATCH(COLUMNS($AC$1006:AG1006),$AC$1006:$AS$1006,0)))),"Fix")))</f>
        <v xml:space="preserve"> </v>
      </c>
      <c r="G894" s="4" t="str">
        <f ca="1">IF(OR(INDEX($W$2:$W$1001,MATCH(ROWS($V$2:V894),$V$2:$V$1001,0),1)&gt;=100000,INDEX($AC$1005:$AS$1005,1,MATCH(COLUMNS($AC$1006:AH1006),$AC$1006:$AS$1006,0))&gt;=100000), " ",IF(INDEX($AC$2:$AS$1001,MATCH(ROWS($V$2:V894),$V$2:$V$1001,0),MATCH(COLUMNS($AC$1006:AH1006),$AC$1006:$AS$1006,0)), HYPERLINK("#",""), HYPERLINK(CONCATENATE("#metadata!", ADDRESS(INDEX($X$2:$X$1001,MATCH(ROWS($V$2:V894),$V$2:$V$1001,0),0), INDEX($AC$1004:$AS$1004,1,MATCH(COLUMNS($AC$1006:AH1006),$AC$1006:$AS$1006,0)))),"Fix")))</f>
        <v xml:space="preserve"> </v>
      </c>
      <c r="H894" s="4" t="str">
        <f ca="1">IF(OR(INDEX($W$2:$W$1001,MATCH(ROWS($V$2:V894),$V$2:$V$1001,0),1)&gt;=100000,INDEX($AC$1005:$AS$1005,1,MATCH(COLUMNS($AC$1006:AI1006),$AC$1006:$AS$1006,0))&gt;=100000), " ",IF(INDEX($AC$2:$AS$1001,MATCH(ROWS($V$2:V894),$V$2:$V$1001,0),MATCH(COLUMNS($AC$1006:AI1006),$AC$1006:$AS$1006,0)), HYPERLINK("#",""), HYPERLINK(CONCATENATE("#metadata!", ADDRESS(INDEX($X$2:$X$1001,MATCH(ROWS($V$2:V894),$V$2:$V$1001,0),0), INDEX($AC$1004:$AS$1004,1,MATCH(COLUMNS($AC$1006:AI1006),$AC$1006:$AS$1006,0)))),"Fix")))</f>
        <v xml:space="preserve"> </v>
      </c>
      <c r="I894" s="4" t="str">
        <f ca="1">IF(OR(INDEX($W$2:$W$1001,MATCH(ROWS($V$2:V894),$V$2:$V$1001,0),1)&gt;=100000,INDEX($AC$1005:$AS$1005,1,MATCH(COLUMNS($AC$1006:AJ1006),$AC$1006:$AS$1006,0))&gt;=100000), " ",IF(INDEX($AC$2:$AS$1001,MATCH(ROWS($V$2:V894),$V$2:$V$1001,0),MATCH(COLUMNS($AC$1006:AJ1006),$AC$1006:$AS$1006,0)), HYPERLINK("#",""), HYPERLINK(CONCATENATE("#metadata!", ADDRESS(INDEX($X$2:$X$1001,MATCH(ROWS($V$2:V894),$V$2:$V$1001,0),0), INDEX($AC$1004:$AS$1004,1,MATCH(COLUMNS($AC$1006:AJ1006),$AC$1006:$AS$1006,0)))),"Fix")))</f>
        <v xml:space="preserve"> </v>
      </c>
      <c r="J894" s="4" t="str">
        <f ca="1">IF(OR(INDEX($W$2:$W$1001,MATCH(ROWS($V$2:V894),$V$2:$V$1001,0),1)&gt;=100000,INDEX($AC$1005:$AS$1005,1,MATCH(COLUMNS($AC$1006:AK1006),$AC$1006:$AS$1006,0))&gt;=100000), " ",IF(INDEX($AC$2:$AS$1001,MATCH(ROWS($V$2:V894),$V$2:$V$1001,0),MATCH(COLUMNS($AC$1006:AK1006),$AC$1006:$AS$1006,0)), HYPERLINK("#",""), HYPERLINK(CONCATENATE("#metadata!", ADDRESS(INDEX($X$2:$X$1001,MATCH(ROWS($V$2:V894),$V$2:$V$1001,0),0), INDEX($AC$1004:$AS$1004,1,MATCH(COLUMNS($AC$1006:AK1006),$AC$1006:$AS$1006,0)))),"Fix")))</f>
        <v xml:space="preserve"> </v>
      </c>
      <c r="K894" s="4" t="str">
        <f ca="1">IF(OR(INDEX($W$2:$W$1001,MATCH(ROWS($V$2:V894),$V$2:$V$1001,0),1)&gt;=100000,INDEX($AC$1005:$AS$1005,1,MATCH(COLUMNS($AC$1006:AL1006),$AC$1006:$AS$1006,0))&gt;=100000), " ",IF(INDEX($AC$2:$AS$1001,MATCH(ROWS($V$2:V894),$V$2:$V$1001,0),MATCH(COLUMNS($AC$1006:AL1006),$AC$1006:$AS$1006,0)), HYPERLINK("#",""), HYPERLINK(CONCATENATE("#metadata!", ADDRESS(INDEX($X$2:$X$1001,MATCH(ROWS($V$2:V894),$V$2:$V$1001,0),0), INDEX($AC$1004:$AS$1004,1,MATCH(COLUMNS($AC$1006:AL1006),$AC$1006:$AS$1006,0)))),"Fix")))</f>
        <v xml:space="preserve"> </v>
      </c>
      <c r="L894" s="4" t="str">
        <f ca="1">IF(OR(INDEX($W$2:$W$1001,MATCH(ROWS($V$2:V894),$V$2:$V$1001,0),1)&gt;=100000,INDEX($AC$1005:$AS$1005,1,MATCH(COLUMNS($AC$1006:AM1006),$AC$1006:$AS$1006,0))&gt;=100000), " ",IF(INDEX($AC$2:$AS$1001,MATCH(ROWS($V$2:V894),$V$2:$V$1001,0),MATCH(COLUMNS($AC$1006:AM1006),$AC$1006:$AS$1006,0)), HYPERLINK("#",""), HYPERLINK(CONCATENATE("#metadata!", ADDRESS(INDEX($X$2:$X$1001,MATCH(ROWS($V$2:V894),$V$2:$V$1001,0),0), INDEX($AC$1004:$AS$1004,1,MATCH(COLUMNS($AC$1006:AM1006),$AC$1006:$AS$1006,0)))),"Fix")))</f>
        <v xml:space="preserve"> </v>
      </c>
      <c r="M894" s="4" t="str">
        <f ca="1">IF(OR(INDEX($W$2:$W$1001,MATCH(ROWS($V$2:V894),$V$2:$V$1001,0),1)&gt;=100000,INDEX($AC$1005:$AS$1005,1,MATCH(COLUMNS($AC$1006:AN1006),$AC$1006:$AS$1006,0))&gt;=100000), " ",IF(INDEX($AC$2:$AS$1001,MATCH(ROWS($V$2:V894),$V$2:$V$1001,0),MATCH(COLUMNS($AC$1006:AN1006),$AC$1006:$AS$1006,0)), HYPERLINK("#",""), HYPERLINK(CONCATENATE("#metadata!", ADDRESS(INDEX($X$2:$X$1001,MATCH(ROWS($V$2:V894),$V$2:$V$1001,0),0), INDEX($AC$1004:$AS$1004,1,MATCH(COLUMNS($AC$1006:AN1006),$AC$1006:$AS$1006,0)))),"Fix")))</f>
        <v xml:space="preserve"> </v>
      </c>
      <c r="N894" s="4" t="str">
        <f ca="1">IF(OR(INDEX($W$2:$W$1001,MATCH(ROWS($V$2:V894),$V$2:$V$1001,0),1)&gt;=100000,INDEX($AC$1005:$AS$1005,1,MATCH(COLUMNS($AC$1006:AO1006),$AC$1006:$AS$1006,0))&gt;=100000), " ",IF(INDEX($AC$2:$AS$1001,MATCH(ROWS($V$2:V894),$V$2:$V$1001,0),MATCH(COLUMNS($AC$1006:AO1006),$AC$1006:$AS$1006,0)), HYPERLINK("#",""), HYPERLINK(CONCATENATE("#metadata!", ADDRESS(INDEX($X$2:$X$1001,MATCH(ROWS($V$2:V894),$V$2:$V$1001,0),0), INDEX($AC$1004:$AS$1004,1,MATCH(COLUMNS($AC$1006:AO1006),$AC$1006:$AS$1006,0)))),"Fix")))</f>
        <v xml:space="preserve"> </v>
      </c>
      <c r="O894" s="4" t="str">
        <f ca="1">IF(OR(INDEX($W$2:$W$1001,MATCH(ROWS($V$2:V894),$V$2:$V$1001,0),1)&gt;=100000,INDEX($AC$1005:$AS$1005,1,MATCH(COLUMNS($AC$1006:AP1006),$AC$1006:$AS$1006,0))&gt;=100000), " ",IF(INDEX($AC$2:$AS$1001,MATCH(ROWS($V$2:V894),$V$2:$V$1001,0),MATCH(COLUMNS($AC$1006:AP1006),$AC$1006:$AS$1006,0)), HYPERLINK("#",""), HYPERLINK(CONCATENATE("#metadata!", ADDRESS(INDEX($X$2:$X$1001,MATCH(ROWS($V$2:V894),$V$2:$V$1001,0),0), INDEX($AC$1004:$AS$1004,1,MATCH(COLUMNS($AC$1006:AP1006),$AC$1006:$AS$1006,0)))),"Fix")))</f>
        <v xml:space="preserve"> </v>
      </c>
      <c r="P894" s="4" t="str">
        <f ca="1">IF(OR(INDEX($W$2:$W$1001,MATCH(ROWS($V$2:V894),$V$2:$V$1001,0),1)&gt;=100000,INDEX($AC$1005:$AS$1005,1,MATCH(COLUMNS($AC$1006:AQ1006),$AC$1006:$AS$1006,0))&gt;=100000), " ",IF(INDEX($AC$2:$AS$1001,MATCH(ROWS($V$2:V894),$V$2:$V$1001,0),MATCH(COLUMNS($AC$1006:AQ1006),$AC$1006:$AS$1006,0)), HYPERLINK("#",""), HYPERLINK(CONCATENATE("#metadata!", ADDRESS(INDEX($X$2:$X$1001,MATCH(ROWS($V$2:V894),$V$2:$V$1001,0),0), INDEX($AC$1004:$AS$1004,1,MATCH(COLUMNS($AC$1006:AQ1006),$AC$1006:$AS$1006,0)))),"Fix")))</f>
        <v xml:space="preserve"> </v>
      </c>
      <c r="Q894" s="4" t="str">
        <f ca="1">IF(OR(INDEX($W$2:$W$1001,MATCH(ROWS($V$2:V894),$V$2:$V$1001,0),1)&gt;=100000,INDEX($AC$1005:$AS$1005,1,MATCH(COLUMNS($AC$1006:AR1006),$AC$1006:$AS$1006,0))&gt;=100000), " ",IF(INDEX($AC$2:$AS$1001,MATCH(ROWS($V$2:V894),$V$2:$V$1001,0),MATCH(COLUMNS($AC$1006:AR1006),$AC$1006:$AS$1006,0)), HYPERLINK("#",""), HYPERLINK(CONCATENATE("#metadata!", ADDRESS(INDEX($X$2:$X$1001,MATCH(ROWS($V$2:V894),$V$2:$V$1001,0),0), INDEX($AC$1004:$AS$1004,1,MATCH(COLUMNS($AC$1006:AR1006),$AC$1006:$AS$1006,0)))),"Fix")))</f>
        <v xml:space="preserve"> </v>
      </c>
      <c r="R894" s="4" t="str">
        <f ca="1">IF(OR(INDEX($W$2:$W$1001,MATCH(ROWS($V$2:V894),$V$2:$V$1001,0),1)&gt;=100000,INDEX($AC$1005:$AS$1005,1,MATCH(COLUMNS($AC$1006:AS1006),$AC$1006:$AS$1006,0))&gt;=100000), " ",IF(INDEX($AC$2:$AS$1001,MATCH(ROWS($V$2:V894),$V$2:$V$1001,0),MATCH(COLUMNS($AC$1006:AS1006),$AC$1006:$AS$1006,0)), HYPERLINK("#",""), HYPERLINK(CONCATENATE("#metadata!", ADDRESS(INDEX($X$2:$X$1001,MATCH(ROWS($V$2:V894),$V$2:$V$1001,0),0), INDEX($AC$1004:$AS$1004,1,MATCH(COLUMNS($AC$1006:AS1006),$AC$1006:$AS$1006,0)))),"Fix")))</f>
        <v xml:space="preserve"> </v>
      </c>
      <c r="V894">
        <v>893</v>
      </c>
      <c r="W894">
        <v>100894</v>
      </c>
      <c r="X894">
        <v>894</v>
      </c>
      <c r="Y894" t="b">
        <f t="shared" si="13"/>
        <v>1</v>
      </c>
      <c r="Z894" t="b">
        <f>COUNTBLANK(metadata!B894:R894)=COLUMNS(metadata!B894:R894)</f>
        <v>1</v>
      </c>
      <c r="AA894" t="str">
        <v/>
      </c>
      <c r="AC894" t="b">
        <f ca="1"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AD894" t="b">
        <f>IF(metadata!C894="",FALSE,ISNUMBER(VALUE(metadata!C894)))</f>
        <v>0</v>
      </c>
      <c r="AE894" t="b">
        <f>AND(IF(metadata!D894="",FALSE,TRUE),EXACT(metadata!D894,"years"))</f>
        <v>0</v>
      </c>
      <c r="AF894" t="b">
        <f>OR(AND(IF(metadata!E894="",FALSE,TRUE),OR(EXACT(metadata!E894,"not applicable"),EXACT(metadata!E894,"missing: not collected"),EXACT(metadata!E894,"missing: not provided"),EXACT(metadata!E894,"missing: restricted access"))),AND(IF(metadata!E894="",FALSE,ISNUMBER(VALUE(metadata!E894))),metadata!E894&gt;0))</f>
        <v>0</v>
      </c>
      <c r="AG894" t="b">
        <f>AND(IF(metadata!F894="",FALSE,TRUE),EXACT(metadata!F894,"Not applicable"))</f>
        <v>0</v>
      </c>
      <c r="AH894" t="b">
        <f>AND(IF(metadata!G894="",FALSE,TRUE),EXACT(metadata!G894,"urban biome"))</f>
        <v>0</v>
      </c>
      <c r="AI894" t="b">
        <f>AND(IF(metadata!H894="",FALSE,TRUE),EXACT(metadata!H894,"human-associated habitat"))</f>
        <v>0</v>
      </c>
      <c r="AJ894" t="b">
        <f>AND(IF(metadata!I894="",FALSE,TRUE),OR(EXACT(metadata!I894,"human-associated"),EXACT(metadata!I894,"human-skin"),EXACT(metadata!I894,"human-oral"),EXACT(metadata!I894,"human-gut"),EXACT(metadata!I894,"human-vaginal")))</f>
        <v>0</v>
      </c>
      <c r="AK894" t="b">
        <f>IF(metadata!J894="",FALSE,ISNUMBER(VALUE(metadata!J894)))</f>
        <v>0</v>
      </c>
      <c r="AL894" t="b">
        <f>AND(IF(metadata!K894="",FALSE,TRUE),EXACT(metadata!K894,"cm"))</f>
        <v>0</v>
      </c>
      <c r="AM894" t="b">
        <f>AND(IF(metadata!L894="",FALSE,TRUE),EXACT(metadata!L894,"human"))</f>
        <v>0</v>
      </c>
      <c r="AN894" t="b">
        <f>AND(IF(metadata!M894="",FALSE,TRUE),EXACT(metadata!M894,"Homo sapiens"))</f>
        <v>0</v>
      </c>
      <c r="AO894" t="b">
        <f>AND(IF(metadata!N894="",FALSE,TRUE),EXACT(metadata!N894,"9606"))</f>
        <v>0</v>
      </c>
      <c r="AP894" t="b">
        <f>IF(metadata!O894="",FALSE,TRUE)</f>
        <v>0</v>
      </c>
      <c r="AQ894" t="b">
        <f>IF(metadata!P894="",FALSE,TRUE)</f>
        <v>0</v>
      </c>
      <c r="AR894" t="b">
        <f>IF(metadata!Q894="",FALSE,ISNUMBER(VALUE(metadata!Q894)))</f>
        <v>0</v>
      </c>
      <c r="AS894" t="b">
        <f>AND(IF(metadata!R894="",FALSE,TRUE),EXACT(metadata!R894,"kg"))</f>
        <v>0</v>
      </c>
    </row>
    <row r="895" spans="1:45" x14ac:dyDescent="0.2">
      <c r="A895" s="5" t="str">
        <f ca="1">IF(B895=" "," ",HYPERLINK(CONCATENATE("#metadata!",ADDRESS(INDEX($X$2:$X$1001,MATCH(ROWS($V$2:V895),$V$2:$V$1001,0),0),1)),INDEX($AA$2:$AA$1001,MATCH(ROWS($V$2:V895),$V$2:$V$1001,0),0)))</f>
        <v xml:space="preserve"> </v>
      </c>
      <c r="B895" s="4" t="str">
        <f ca="1">IF(OR(INDEX($W$2:$W$1001,MATCH(ROWS($V$2:V895),$V$2:$V$1001,0),1)&gt;=100000,INDEX($AC$1005:$AS$1005,1,MATCH(COLUMNS($AC$1006:AC1006),$AC$1006:$AS$1006,0))&gt;=100000), " ",IF(INDEX($AC$2:$AS$1001,MATCH(ROWS($V$2:V895),$V$2:$V$1001,0),MATCH(COLUMNS($AC$1006:AC1006),$AC$1006:$AS$1006,0)), HYPERLINK("#",""), HYPERLINK(CONCATENATE("#metadata!", ADDRESS(INDEX($X$2:$X$1001,MATCH(ROWS($V$2:V895),$V$2:$V$1001,0),0), INDEX($AC$1004:$AS$1004,1,MATCH(COLUMNS($AC$1006:AC1006),$AC$1006:$AS$1006,0)))),"Fix")))</f>
        <v xml:space="preserve"> </v>
      </c>
      <c r="C895" s="4" t="str">
        <f ca="1">IF(OR(INDEX($W$2:$W$1001,MATCH(ROWS($V$2:V895),$V$2:$V$1001,0),1)&gt;=100000,INDEX($AC$1005:$AS$1005,1,MATCH(COLUMNS($AC$1006:AD1006),$AC$1006:$AS$1006,0))&gt;=100000), " ",IF(INDEX($AC$2:$AS$1001,MATCH(ROWS($V$2:V895),$V$2:$V$1001,0),MATCH(COLUMNS($AC$1006:AD1006),$AC$1006:$AS$1006,0)), HYPERLINK("#",""), HYPERLINK(CONCATENATE("#metadata!", ADDRESS(INDEX($X$2:$X$1001,MATCH(ROWS($V$2:V895),$V$2:$V$1001,0),0), INDEX($AC$1004:$AS$1004,1,MATCH(COLUMNS($AC$1006:AD1006),$AC$1006:$AS$1006,0)))),"Fix")))</f>
        <v xml:space="preserve"> </v>
      </c>
      <c r="D895" s="4" t="str">
        <f ca="1">IF(OR(INDEX($W$2:$W$1001,MATCH(ROWS($V$2:V895),$V$2:$V$1001,0),1)&gt;=100000,INDEX($AC$1005:$AS$1005,1,MATCH(COLUMNS($AC$1006:AE1006),$AC$1006:$AS$1006,0))&gt;=100000), " ",IF(INDEX($AC$2:$AS$1001,MATCH(ROWS($V$2:V895),$V$2:$V$1001,0),MATCH(COLUMNS($AC$1006:AE1006),$AC$1006:$AS$1006,0)), HYPERLINK("#",""), HYPERLINK(CONCATENATE("#metadata!", ADDRESS(INDEX($X$2:$X$1001,MATCH(ROWS($V$2:V895),$V$2:$V$1001,0),0), INDEX($AC$1004:$AS$1004,1,MATCH(COLUMNS($AC$1006:AE1006),$AC$1006:$AS$1006,0)))),"Fix")))</f>
        <v xml:space="preserve"> </v>
      </c>
      <c r="E895" s="4" t="str">
        <f ca="1">IF(OR(INDEX($W$2:$W$1001,MATCH(ROWS($V$2:V895),$V$2:$V$1001,0),1)&gt;=100000,INDEX($AC$1005:$AS$1005,1,MATCH(COLUMNS($AC$1006:AF1006),$AC$1006:$AS$1006,0))&gt;=100000), " ",IF(INDEX($AC$2:$AS$1001,MATCH(ROWS($V$2:V895),$V$2:$V$1001,0),MATCH(COLUMNS($AC$1006:AF1006),$AC$1006:$AS$1006,0)), HYPERLINK("#",""), HYPERLINK(CONCATENATE("#metadata!", ADDRESS(INDEX($X$2:$X$1001,MATCH(ROWS($V$2:V895),$V$2:$V$1001,0),0), INDEX($AC$1004:$AS$1004,1,MATCH(COLUMNS($AC$1006:AF1006),$AC$1006:$AS$1006,0)))),"Fix")))</f>
        <v xml:space="preserve"> </v>
      </c>
      <c r="F895" s="4" t="str">
        <f ca="1">IF(OR(INDEX($W$2:$W$1001,MATCH(ROWS($V$2:V895),$V$2:$V$1001,0),1)&gt;=100000,INDEX($AC$1005:$AS$1005,1,MATCH(COLUMNS($AC$1006:AG1006),$AC$1006:$AS$1006,0))&gt;=100000), " ",IF(INDEX($AC$2:$AS$1001,MATCH(ROWS($V$2:V895),$V$2:$V$1001,0),MATCH(COLUMNS($AC$1006:AG1006),$AC$1006:$AS$1006,0)), HYPERLINK("#",""), HYPERLINK(CONCATENATE("#metadata!", ADDRESS(INDEX($X$2:$X$1001,MATCH(ROWS($V$2:V895),$V$2:$V$1001,0),0), INDEX($AC$1004:$AS$1004,1,MATCH(COLUMNS($AC$1006:AG1006),$AC$1006:$AS$1006,0)))),"Fix")))</f>
        <v xml:space="preserve"> </v>
      </c>
      <c r="G895" s="4" t="str">
        <f ca="1">IF(OR(INDEX($W$2:$W$1001,MATCH(ROWS($V$2:V895),$V$2:$V$1001,0),1)&gt;=100000,INDEX($AC$1005:$AS$1005,1,MATCH(COLUMNS($AC$1006:AH1006),$AC$1006:$AS$1006,0))&gt;=100000), " ",IF(INDEX($AC$2:$AS$1001,MATCH(ROWS($V$2:V895),$V$2:$V$1001,0),MATCH(COLUMNS($AC$1006:AH1006),$AC$1006:$AS$1006,0)), HYPERLINK("#",""), HYPERLINK(CONCATENATE("#metadata!", ADDRESS(INDEX($X$2:$X$1001,MATCH(ROWS($V$2:V895),$V$2:$V$1001,0),0), INDEX($AC$1004:$AS$1004,1,MATCH(COLUMNS($AC$1006:AH1006),$AC$1006:$AS$1006,0)))),"Fix")))</f>
        <v xml:space="preserve"> </v>
      </c>
      <c r="H895" s="4" t="str">
        <f ca="1">IF(OR(INDEX($W$2:$W$1001,MATCH(ROWS($V$2:V895),$V$2:$V$1001,0),1)&gt;=100000,INDEX($AC$1005:$AS$1005,1,MATCH(COLUMNS($AC$1006:AI1006),$AC$1006:$AS$1006,0))&gt;=100000), " ",IF(INDEX($AC$2:$AS$1001,MATCH(ROWS($V$2:V895),$V$2:$V$1001,0),MATCH(COLUMNS($AC$1006:AI1006),$AC$1006:$AS$1006,0)), HYPERLINK("#",""), HYPERLINK(CONCATENATE("#metadata!", ADDRESS(INDEX($X$2:$X$1001,MATCH(ROWS($V$2:V895),$V$2:$V$1001,0),0), INDEX($AC$1004:$AS$1004,1,MATCH(COLUMNS($AC$1006:AI1006),$AC$1006:$AS$1006,0)))),"Fix")))</f>
        <v xml:space="preserve"> </v>
      </c>
      <c r="I895" s="4" t="str">
        <f ca="1">IF(OR(INDEX($W$2:$W$1001,MATCH(ROWS($V$2:V895),$V$2:$V$1001,0),1)&gt;=100000,INDEX($AC$1005:$AS$1005,1,MATCH(COLUMNS($AC$1006:AJ1006),$AC$1006:$AS$1006,0))&gt;=100000), " ",IF(INDEX($AC$2:$AS$1001,MATCH(ROWS($V$2:V895),$V$2:$V$1001,0),MATCH(COLUMNS($AC$1006:AJ1006),$AC$1006:$AS$1006,0)), HYPERLINK("#",""), HYPERLINK(CONCATENATE("#metadata!", ADDRESS(INDEX($X$2:$X$1001,MATCH(ROWS($V$2:V895),$V$2:$V$1001,0),0), INDEX($AC$1004:$AS$1004,1,MATCH(COLUMNS($AC$1006:AJ1006),$AC$1006:$AS$1006,0)))),"Fix")))</f>
        <v xml:space="preserve"> </v>
      </c>
      <c r="J895" s="4" t="str">
        <f ca="1">IF(OR(INDEX($W$2:$W$1001,MATCH(ROWS($V$2:V895),$V$2:$V$1001,0),1)&gt;=100000,INDEX($AC$1005:$AS$1005,1,MATCH(COLUMNS($AC$1006:AK1006),$AC$1006:$AS$1006,0))&gt;=100000), " ",IF(INDEX($AC$2:$AS$1001,MATCH(ROWS($V$2:V895),$V$2:$V$1001,0),MATCH(COLUMNS($AC$1006:AK1006),$AC$1006:$AS$1006,0)), HYPERLINK("#",""), HYPERLINK(CONCATENATE("#metadata!", ADDRESS(INDEX($X$2:$X$1001,MATCH(ROWS($V$2:V895),$V$2:$V$1001,0),0), INDEX($AC$1004:$AS$1004,1,MATCH(COLUMNS($AC$1006:AK1006),$AC$1006:$AS$1006,0)))),"Fix")))</f>
        <v xml:space="preserve"> </v>
      </c>
      <c r="K895" s="4" t="str">
        <f ca="1">IF(OR(INDEX($W$2:$W$1001,MATCH(ROWS($V$2:V895),$V$2:$V$1001,0),1)&gt;=100000,INDEX($AC$1005:$AS$1005,1,MATCH(COLUMNS($AC$1006:AL1006),$AC$1006:$AS$1006,0))&gt;=100000), " ",IF(INDEX($AC$2:$AS$1001,MATCH(ROWS($V$2:V895),$V$2:$V$1001,0),MATCH(COLUMNS($AC$1006:AL1006),$AC$1006:$AS$1006,0)), HYPERLINK("#",""), HYPERLINK(CONCATENATE("#metadata!", ADDRESS(INDEX($X$2:$X$1001,MATCH(ROWS($V$2:V895),$V$2:$V$1001,0),0), INDEX($AC$1004:$AS$1004,1,MATCH(COLUMNS($AC$1006:AL1006),$AC$1006:$AS$1006,0)))),"Fix")))</f>
        <v xml:space="preserve"> </v>
      </c>
      <c r="L895" s="4" t="str">
        <f ca="1">IF(OR(INDEX($W$2:$W$1001,MATCH(ROWS($V$2:V895),$V$2:$V$1001,0),1)&gt;=100000,INDEX($AC$1005:$AS$1005,1,MATCH(COLUMNS($AC$1006:AM1006),$AC$1006:$AS$1006,0))&gt;=100000), " ",IF(INDEX($AC$2:$AS$1001,MATCH(ROWS($V$2:V895),$V$2:$V$1001,0),MATCH(COLUMNS($AC$1006:AM1006),$AC$1006:$AS$1006,0)), HYPERLINK("#",""), HYPERLINK(CONCATENATE("#metadata!", ADDRESS(INDEX($X$2:$X$1001,MATCH(ROWS($V$2:V895),$V$2:$V$1001,0),0), INDEX($AC$1004:$AS$1004,1,MATCH(COLUMNS($AC$1006:AM1006),$AC$1006:$AS$1006,0)))),"Fix")))</f>
        <v xml:space="preserve"> </v>
      </c>
      <c r="M895" s="4" t="str">
        <f ca="1">IF(OR(INDEX($W$2:$W$1001,MATCH(ROWS($V$2:V895),$V$2:$V$1001,0),1)&gt;=100000,INDEX($AC$1005:$AS$1005,1,MATCH(COLUMNS($AC$1006:AN1006),$AC$1006:$AS$1006,0))&gt;=100000), " ",IF(INDEX($AC$2:$AS$1001,MATCH(ROWS($V$2:V895),$V$2:$V$1001,0),MATCH(COLUMNS($AC$1006:AN1006),$AC$1006:$AS$1006,0)), HYPERLINK("#",""), HYPERLINK(CONCATENATE("#metadata!", ADDRESS(INDEX($X$2:$X$1001,MATCH(ROWS($V$2:V895),$V$2:$V$1001,0),0), INDEX($AC$1004:$AS$1004,1,MATCH(COLUMNS($AC$1006:AN1006),$AC$1006:$AS$1006,0)))),"Fix")))</f>
        <v xml:space="preserve"> </v>
      </c>
      <c r="N895" s="4" t="str">
        <f ca="1">IF(OR(INDEX($W$2:$W$1001,MATCH(ROWS($V$2:V895),$V$2:$V$1001,0),1)&gt;=100000,INDEX($AC$1005:$AS$1005,1,MATCH(COLUMNS($AC$1006:AO1006),$AC$1006:$AS$1006,0))&gt;=100000), " ",IF(INDEX($AC$2:$AS$1001,MATCH(ROWS($V$2:V895),$V$2:$V$1001,0),MATCH(COLUMNS($AC$1006:AO1006),$AC$1006:$AS$1006,0)), HYPERLINK("#",""), HYPERLINK(CONCATENATE("#metadata!", ADDRESS(INDEX($X$2:$X$1001,MATCH(ROWS($V$2:V895),$V$2:$V$1001,0),0), INDEX($AC$1004:$AS$1004,1,MATCH(COLUMNS($AC$1006:AO1006),$AC$1006:$AS$1006,0)))),"Fix")))</f>
        <v xml:space="preserve"> </v>
      </c>
      <c r="O895" s="4" t="str">
        <f ca="1">IF(OR(INDEX($W$2:$W$1001,MATCH(ROWS($V$2:V895),$V$2:$V$1001,0),1)&gt;=100000,INDEX($AC$1005:$AS$1005,1,MATCH(COLUMNS($AC$1006:AP1006),$AC$1006:$AS$1006,0))&gt;=100000), " ",IF(INDEX($AC$2:$AS$1001,MATCH(ROWS($V$2:V895),$V$2:$V$1001,0),MATCH(COLUMNS($AC$1006:AP1006),$AC$1006:$AS$1006,0)), HYPERLINK("#",""), HYPERLINK(CONCATENATE("#metadata!", ADDRESS(INDEX($X$2:$X$1001,MATCH(ROWS($V$2:V895),$V$2:$V$1001,0),0), INDEX($AC$1004:$AS$1004,1,MATCH(COLUMNS($AC$1006:AP1006),$AC$1006:$AS$1006,0)))),"Fix")))</f>
        <v xml:space="preserve"> </v>
      </c>
      <c r="P895" s="4" t="str">
        <f ca="1">IF(OR(INDEX($W$2:$W$1001,MATCH(ROWS($V$2:V895),$V$2:$V$1001,0),1)&gt;=100000,INDEX($AC$1005:$AS$1005,1,MATCH(COLUMNS($AC$1006:AQ1006),$AC$1006:$AS$1006,0))&gt;=100000), " ",IF(INDEX($AC$2:$AS$1001,MATCH(ROWS($V$2:V895),$V$2:$V$1001,0),MATCH(COLUMNS($AC$1006:AQ1006),$AC$1006:$AS$1006,0)), HYPERLINK("#",""), HYPERLINK(CONCATENATE("#metadata!", ADDRESS(INDEX($X$2:$X$1001,MATCH(ROWS($V$2:V895),$V$2:$V$1001,0),0), INDEX($AC$1004:$AS$1004,1,MATCH(COLUMNS($AC$1006:AQ1006),$AC$1006:$AS$1006,0)))),"Fix")))</f>
        <v xml:space="preserve"> </v>
      </c>
      <c r="Q895" s="4" t="str">
        <f ca="1">IF(OR(INDEX($W$2:$W$1001,MATCH(ROWS($V$2:V895),$V$2:$V$1001,0),1)&gt;=100000,INDEX($AC$1005:$AS$1005,1,MATCH(COLUMNS($AC$1006:AR1006),$AC$1006:$AS$1006,0))&gt;=100000), " ",IF(INDEX($AC$2:$AS$1001,MATCH(ROWS($V$2:V895),$V$2:$V$1001,0),MATCH(COLUMNS($AC$1006:AR1006),$AC$1006:$AS$1006,0)), HYPERLINK("#",""), HYPERLINK(CONCATENATE("#metadata!", ADDRESS(INDEX($X$2:$X$1001,MATCH(ROWS($V$2:V895),$V$2:$V$1001,0),0), INDEX($AC$1004:$AS$1004,1,MATCH(COLUMNS($AC$1006:AR1006),$AC$1006:$AS$1006,0)))),"Fix")))</f>
        <v xml:space="preserve"> </v>
      </c>
      <c r="R895" s="4" t="str">
        <f ca="1">IF(OR(INDEX($W$2:$W$1001,MATCH(ROWS($V$2:V895),$V$2:$V$1001,0),1)&gt;=100000,INDEX($AC$1005:$AS$1005,1,MATCH(COLUMNS($AC$1006:AS1006),$AC$1006:$AS$1006,0))&gt;=100000), " ",IF(INDEX($AC$2:$AS$1001,MATCH(ROWS($V$2:V895),$V$2:$V$1001,0),MATCH(COLUMNS($AC$1006:AS1006),$AC$1006:$AS$1006,0)), HYPERLINK("#",""), HYPERLINK(CONCATENATE("#metadata!", ADDRESS(INDEX($X$2:$X$1001,MATCH(ROWS($V$2:V895),$V$2:$V$1001,0),0), INDEX($AC$1004:$AS$1004,1,MATCH(COLUMNS($AC$1006:AS1006),$AC$1006:$AS$1006,0)))),"Fix")))</f>
        <v xml:space="preserve"> </v>
      </c>
      <c r="V895">
        <v>894</v>
      </c>
      <c r="W895">
        <v>100895</v>
      </c>
      <c r="X895">
        <v>895</v>
      </c>
      <c r="Y895" t="b">
        <f t="shared" si="13"/>
        <v>1</v>
      </c>
      <c r="Z895" t="b">
        <f>COUNTBLANK(metadata!B895:R895)=COLUMNS(metadata!B895:R895)</f>
        <v>1</v>
      </c>
      <c r="AA895" t="str">
        <v/>
      </c>
      <c r="AC895" t="b">
        <f ca="1"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AD895" t="b">
        <f>IF(metadata!C895="",FALSE,ISNUMBER(VALUE(metadata!C895)))</f>
        <v>0</v>
      </c>
      <c r="AE895" t="b">
        <f>AND(IF(metadata!D895="",FALSE,TRUE),EXACT(metadata!D895,"years"))</f>
        <v>0</v>
      </c>
      <c r="AF895" t="b">
        <f>OR(AND(IF(metadata!E895="",FALSE,TRUE),OR(EXACT(metadata!E895,"not applicable"),EXACT(metadata!E895,"missing: not collected"),EXACT(metadata!E895,"missing: not provided"),EXACT(metadata!E895,"missing: restricted access"))),AND(IF(metadata!E895="",FALSE,ISNUMBER(VALUE(metadata!E895))),metadata!E895&gt;0))</f>
        <v>0</v>
      </c>
      <c r="AG895" t="b">
        <f>AND(IF(metadata!F895="",FALSE,TRUE),EXACT(metadata!F895,"Not applicable"))</f>
        <v>0</v>
      </c>
      <c r="AH895" t="b">
        <f>AND(IF(metadata!G895="",FALSE,TRUE),EXACT(metadata!G895,"urban biome"))</f>
        <v>0</v>
      </c>
      <c r="AI895" t="b">
        <f>AND(IF(metadata!H895="",FALSE,TRUE),EXACT(metadata!H895,"human-associated habitat"))</f>
        <v>0</v>
      </c>
      <c r="AJ895" t="b">
        <f>AND(IF(metadata!I895="",FALSE,TRUE),OR(EXACT(metadata!I895,"human-associated"),EXACT(metadata!I895,"human-skin"),EXACT(metadata!I895,"human-oral"),EXACT(metadata!I895,"human-gut"),EXACT(metadata!I895,"human-vaginal")))</f>
        <v>0</v>
      </c>
      <c r="AK895" t="b">
        <f>IF(metadata!J895="",FALSE,ISNUMBER(VALUE(metadata!J895)))</f>
        <v>0</v>
      </c>
      <c r="AL895" t="b">
        <f>AND(IF(metadata!K895="",FALSE,TRUE),EXACT(metadata!K895,"cm"))</f>
        <v>0</v>
      </c>
      <c r="AM895" t="b">
        <f>AND(IF(metadata!L895="",FALSE,TRUE),EXACT(metadata!L895,"human"))</f>
        <v>0</v>
      </c>
      <c r="AN895" t="b">
        <f>AND(IF(metadata!M895="",FALSE,TRUE),EXACT(metadata!M895,"Homo sapiens"))</f>
        <v>0</v>
      </c>
      <c r="AO895" t="b">
        <f>AND(IF(metadata!N895="",FALSE,TRUE),EXACT(metadata!N895,"9606"))</f>
        <v>0</v>
      </c>
      <c r="AP895" t="b">
        <f>IF(metadata!O895="",FALSE,TRUE)</f>
        <v>0</v>
      </c>
      <c r="AQ895" t="b">
        <f>IF(metadata!P895="",FALSE,TRUE)</f>
        <v>0</v>
      </c>
      <c r="AR895" t="b">
        <f>IF(metadata!Q895="",FALSE,ISNUMBER(VALUE(metadata!Q895)))</f>
        <v>0</v>
      </c>
      <c r="AS895" t="b">
        <f>AND(IF(metadata!R895="",FALSE,TRUE),EXACT(metadata!R895,"kg"))</f>
        <v>0</v>
      </c>
    </row>
    <row r="896" spans="1:45" x14ac:dyDescent="0.2">
      <c r="A896" s="5" t="str">
        <f ca="1">IF(B896=" "," ",HYPERLINK(CONCATENATE("#metadata!",ADDRESS(INDEX($X$2:$X$1001,MATCH(ROWS($V$2:V896),$V$2:$V$1001,0),0),1)),INDEX($AA$2:$AA$1001,MATCH(ROWS($V$2:V896),$V$2:$V$1001,0),0)))</f>
        <v xml:space="preserve"> </v>
      </c>
      <c r="B896" s="4" t="str">
        <f ca="1">IF(OR(INDEX($W$2:$W$1001,MATCH(ROWS($V$2:V896),$V$2:$V$1001,0),1)&gt;=100000,INDEX($AC$1005:$AS$1005,1,MATCH(COLUMNS($AC$1006:AC1006),$AC$1006:$AS$1006,0))&gt;=100000), " ",IF(INDEX($AC$2:$AS$1001,MATCH(ROWS($V$2:V896),$V$2:$V$1001,0),MATCH(COLUMNS($AC$1006:AC1006),$AC$1006:$AS$1006,0)), HYPERLINK("#",""), HYPERLINK(CONCATENATE("#metadata!", ADDRESS(INDEX($X$2:$X$1001,MATCH(ROWS($V$2:V896),$V$2:$V$1001,0),0), INDEX($AC$1004:$AS$1004,1,MATCH(COLUMNS($AC$1006:AC1006),$AC$1006:$AS$1006,0)))),"Fix")))</f>
        <v xml:space="preserve"> </v>
      </c>
      <c r="C896" s="4" t="str">
        <f ca="1">IF(OR(INDEX($W$2:$W$1001,MATCH(ROWS($V$2:V896),$V$2:$V$1001,0),1)&gt;=100000,INDEX($AC$1005:$AS$1005,1,MATCH(COLUMNS($AC$1006:AD1006),$AC$1006:$AS$1006,0))&gt;=100000), " ",IF(INDEX($AC$2:$AS$1001,MATCH(ROWS($V$2:V896),$V$2:$V$1001,0),MATCH(COLUMNS($AC$1006:AD1006),$AC$1006:$AS$1006,0)), HYPERLINK("#",""), HYPERLINK(CONCATENATE("#metadata!", ADDRESS(INDEX($X$2:$X$1001,MATCH(ROWS($V$2:V896),$V$2:$V$1001,0),0), INDEX($AC$1004:$AS$1004,1,MATCH(COLUMNS($AC$1006:AD1006),$AC$1006:$AS$1006,0)))),"Fix")))</f>
        <v xml:space="preserve"> </v>
      </c>
      <c r="D896" s="4" t="str">
        <f ca="1">IF(OR(INDEX($W$2:$W$1001,MATCH(ROWS($V$2:V896),$V$2:$V$1001,0),1)&gt;=100000,INDEX($AC$1005:$AS$1005,1,MATCH(COLUMNS($AC$1006:AE1006),$AC$1006:$AS$1006,0))&gt;=100000), " ",IF(INDEX($AC$2:$AS$1001,MATCH(ROWS($V$2:V896),$V$2:$V$1001,0),MATCH(COLUMNS($AC$1006:AE1006),$AC$1006:$AS$1006,0)), HYPERLINK("#",""), HYPERLINK(CONCATENATE("#metadata!", ADDRESS(INDEX($X$2:$X$1001,MATCH(ROWS($V$2:V896),$V$2:$V$1001,0),0), INDEX($AC$1004:$AS$1004,1,MATCH(COLUMNS($AC$1006:AE1006),$AC$1006:$AS$1006,0)))),"Fix")))</f>
        <v xml:space="preserve"> </v>
      </c>
      <c r="E896" s="4" t="str">
        <f ca="1">IF(OR(INDEX($W$2:$W$1001,MATCH(ROWS($V$2:V896),$V$2:$V$1001,0),1)&gt;=100000,INDEX($AC$1005:$AS$1005,1,MATCH(COLUMNS($AC$1006:AF1006),$AC$1006:$AS$1006,0))&gt;=100000), " ",IF(INDEX($AC$2:$AS$1001,MATCH(ROWS($V$2:V896),$V$2:$V$1001,0),MATCH(COLUMNS($AC$1006:AF1006),$AC$1006:$AS$1006,0)), HYPERLINK("#",""), HYPERLINK(CONCATENATE("#metadata!", ADDRESS(INDEX($X$2:$X$1001,MATCH(ROWS($V$2:V896),$V$2:$V$1001,0),0), INDEX($AC$1004:$AS$1004,1,MATCH(COLUMNS($AC$1006:AF1006),$AC$1006:$AS$1006,0)))),"Fix")))</f>
        <v xml:space="preserve"> </v>
      </c>
      <c r="F896" s="4" t="str">
        <f ca="1">IF(OR(INDEX($W$2:$W$1001,MATCH(ROWS($V$2:V896),$V$2:$V$1001,0),1)&gt;=100000,INDEX($AC$1005:$AS$1005,1,MATCH(COLUMNS($AC$1006:AG1006),$AC$1006:$AS$1006,0))&gt;=100000), " ",IF(INDEX($AC$2:$AS$1001,MATCH(ROWS($V$2:V896),$V$2:$V$1001,0),MATCH(COLUMNS($AC$1006:AG1006),$AC$1006:$AS$1006,0)), HYPERLINK("#",""), HYPERLINK(CONCATENATE("#metadata!", ADDRESS(INDEX($X$2:$X$1001,MATCH(ROWS($V$2:V896),$V$2:$V$1001,0),0), INDEX($AC$1004:$AS$1004,1,MATCH(COLUMNS($AC$1006:AG1006),$AC$1006:$AS$1006,0)))),"Fix")))</f>
        <v xml:space="preserve"> </v>
      </c>
      <c r="G896" s="4" t="str">
        <f ca="1">IF(OR(INDEX($W$2:$W$1001,MATCH(ROWS($V$2:V896),$V$2:$V$1001,0),1)&gt;=100000,INDEX($AC$1005:$AS$1005,1,MATCH(COLUMNS($AC$1006:AH1006),$AC$1006:$AS$1006,0))&gt;=100000), " ",IF(INDEX($AC$2:$AS$1001,MATCH(ROWS($V$2:V896),$V$2:$V$1001,0),MATCH(COLUMNS($AC$1006:AH1006),$AC$1006:$AS$1006,0)), HYPERLINK("#",""), HYPERLINK(CONCATENATE("#metadata!", ADDRESS(INDEX($X$2:$X$1001,MATCH(ROWS($V$2:V896),$V$2:$V$1001,0),0), INDEX($AC$1004:$AS$1004,1,MATCH(COLUMNS($AC$1006:AH1006),$AC$1006:$AS$1006,0)))),"Fix")))</f>
        <v xml:space="preserve"> </v>
      </c>
      <c r="H896" s="4" t="str">
        <f ca="1">IF(OR(INDEX($W$2:$W$1001,MATCH(ROWS($V$2:V896),$V$2:$V$1001,0),1)&gt;=100000,INDEX($AC$1005:$AS$1005,1,MATCH(COLUMNS($AC$1006:AI1006),$AC$1006:$AS$1006,0))&gt;=100000), " ",IF(INDEX($AC$2:$AS$1001,MATCH(ROWS($V$2:V896),$V$2:$V$1001,0),MATCH(COLUMNS($AC$1006:AI1006),$AC$1006:$AS$1006,0)), HYPERLINK("#",""), HYPERLINK(CONCATENATE("#metadata!", ADDRESS(INDEX($X$2:$X$1001,MATCH(ROWS($V$2:V896),$V$2:$V$1001,0),0), INDEX($AC$1004:$AS$1004,1,MATCH(COLUMNS($AC$1006:AI1006),$AC$1006:$AS$1006,0)))),"Fix")))</f>
        <v xml:space="preserve"> </v>
      </c>
      <c r="I896" s="4" t="str">
        <f ca="1">IF(OR(INDEX($W$2:$W$1001,MATCH(ROWS($V$2:V896),$V$2:$V$1001,0),1)&gt;=100000,INDEX($AC$1005:$AS$1005,1,MATCH(COLUMNS($AC$1006:AJ1006),$AC$1006:$AS$1006,0))&gt;=100000), " ",IF(INDEX($AC$2:$AS$1001,MATCH(ROWS($V$2:V896),$V$2:$V$1001,0),MATCH(COLUMNS($AC$1006:AJ1006),$AC$1006:$AS$1006,0)), HYPERLINK("#",""), HYPERLINK(CONCATENATE("#metadata!", ADDRESS(INDEX($X$2:$X$1001,MATCH(ROWS($V$2:V896),$V$2:$V$1001,0),0), INDEX($AC$1004:$AS$1004,1,MATCH(COLUMNS($AC$1006:AJ1006),$AC$1006:$AS$1006,0)))),"Fix")))</f>
        <v xml:space="preserve"> </v>
      </c>
      <c r="J896" s="4" t="str">
        <f ca="1">IF(OR(INDEX($W$2:$W$1001,MATCH(ROWS($V$2:V896),$V$2:$V$1001,0),1)&gt;=100000,INDEX($AC$1005:$AS$1005,1,MATCH(COLUMNS($AC$1006:AK1006),$AC$1006:$AS$1006,0))&gt;=100000), " ",IF(INDEX($AC$2:$AS$1001,MATCH(ROWS($V$2:V896),$V$2:$V$1001,0),MATCH(COLUMNS($AC$1006:AK1006),$AC$1006:$AS$1006,0)), HYPERLINK("#",""), HYPERLINK(CONCATENATE("#metadata!", ADDRESS(INDEX($X$2:$X$1001,MATCH(ROWS($V$2:V896),$V$2:$V$1001,0),0), INDEX($AC$1004:$AS$1004,1,MATCH(COLUMNS($AC$1006:AK1006),$AC$1006:$AS$1006,0)))),"Fix")))</f>
        <v xml:space="preserve"> </v>
      </c>
      <c r="K896" s="4" t="str">
        <f ca="1">IF(OR(INDEX($W$2:$W$1001,MATCH(ROWS($V$2:V896),$V$2:$V$1001,0),1)&gt;=100000,INDEX($AC$1005:$AS$1005,1,MATCH(COLUMNS($AC$1006:AL1006),$AC$1006:$AS$1006,0))&gt;=100000), " ",IF(INDEX($AC$2:$AS$1001,MATCH(ROWS($V$2:V896),$V$2:$V$1001,0),MATCH(COLUMNS($AC$1006:AL1006),$AC$1006:$AS$1006,0)), HYPERLINK("#",""), HYPERLINK(CONCATENATE("#metadata!", ADDRESS(INDEX($X$2:$X$1001,MATCH(ROWS($V$2:V896),$V$2:$V$1001,0),0), INDEX($AC$1004:$AS$1004,1,MATCH(COLUMNS($AC$1006:AL1006),$AC$1006:$AS$1006,0)))),"Fix")))</f>
        <v xml:space="preserve"> </v>
      </c>
      <c r="L896" s="4" t="str">
        <f ca="1">IF(OR(INDEX($W$2:$W$1001,MATCH(ROWS($V$2:V896),$V$2:$V$1001,0),1)&gt;=100000,INDEX($AC$1005:$AS$1005,1,MATCH(COLUMNS($AC$1006:AM1006),$AC$1006:$AS$1006,0))&gt;=100000), " ",IF(INDEX($AC$2:$AS$1001,MATCH(ROWS($V$2:V896),$V$2:$V$1001,0),MATCH(COLUMNS($AC$1006:AM1006),$AC$1006:$AS$1006,0)), HYPERLINK("#",""), HYPERLINK(CONCATENATE("#metadata!", ADDRESS(INDEX($X$2:$X$1001,MATCH(ROWS($V$2:V896),$V$2:$V$1001,0),0), INDEX($AC$1004:$AS$1004,1,MATCH(COLUMNS($AC$1006:AM1006),$AC$1006:$AS$1006,0)))),"Fix")))</f>
        <v xml:space="preserve"> </v>
      </c>
      <c r="M896" s="4" t="str">
        <f ca="1">IF(OR(INDEX($W$2:$W$1001,MATCH(ROWS($V$2:V896),$V$2:$V$1001,0),1)&gt;=100000,INDEX($AC$1005:$AS$1005,1,MATCH(COLUMNS($AC$1006:AN1006),$AC$1006:$AS$1006,0))&gt;=100000), " ",IF(INDEX($AC$2:$AS$1001,MATCH(ROWS($V$2:V896),$V$2:$V$1001,0),MATCH(COLUMNS($AC$1006:AN1006),$AC$1006:$AS$1006,0)), HYPERLINK("#",""), HYPERLINK(CONCATENATE("#metadata!", ADDRESS(INDEX($X$2:$X$1001,MATCH(ROWS($V$2:V896),$V$2:$V$1001,0),0), INDEX($AC$1004:$AS$1004,1,MATCH(COLUMNS($AC$1006:AN1006),$AC$1006:$AS$1006,0)))),"Fix")))</f>
        <v xml:space="preserve"> </v>
      </c>
      <c r="N896" s="4" t="str">
        <f ca="1">IF(OR(INDEX($W$2:$W$1001,MATCH(ROWS($V$2:V896),$V$2:$V$1001,0),1)&gt;=100000,INDEX($AC$1005:$AS$1005,1,MATCH(COLUMNS($AC$1006:AO1006),$AC$1006:$AS$1006,0))&gt;=100000), " ",IF(INDEX($AC$2:$AS$1001,MATCH(ROWS($V$2:V896),$V$2:$V$1001,0),MATCH(COLUMNS($AC$1006:AO1006),$AC$1006:$AS$1006,0)), HYPERLINK("#",""), HYPERLINK(CONCATENATE("#metadata!", ADDRESS(INDEX($X$2:$X$1001,MATCH(ROWS($V$2:V896),$V$2:$V$1001,0),0), INDEX($AC$1004:$AS$1004,1,MATCH(COLUMNS($AC$1006:AO1006),$AC$1006:$AS$1006,0)))),"Fix")))</f>
        <v xml:space="preserve"> </v>
      </c>
      <c r="O896" s="4" t="str">
        <f ca="1">IF(OR(INDEX($W$2:$W$1001,MATCH(ROWS($V$2:V896),$V$2:$V$1001,0),1)&gt;=100000,INDEX($AC$1005:$AS$1005,1,MATCH(COLUMNS($AC$1006:AP1006),$AC$1006:$AS$1006,0))&gt;=100000), " ",IF(INDEX($AC$2:$AS$1001,MATCH(ROWS($V$2:V896),$V$2:$V$1001,0),MATCH(COLUMNS($AC$1006:AP1006),$AC$1006:$AS$1006,0)), HYPERLINK("#",""), HYPERLINK(CONCATENATE("#metadata!", ADDRESS(INDEX($X$2:$X$1001,MATCH(ROWS($V$2:V896),$V$2:$V$1001,0),0), INDEX($AC$1004:$AS$1004,1,MATCH(COLUMNS($AC$1006:AP1006),$AC$1006:$AS$1006,0)))),"Fix")))</f>
        <v xml:space="preserve"> </v>
      </c>
      <c r="P896" s="4" t="str">
        <f ca="1">IF(OR(INDEX($W$2:$W$1001,MATCH(ROWS($V$2:V896),$V$2:$V$1001,0),1)&gt;=100000,INDEX($AC$1005:$AS$1005,1,MATCH(COLUMNS($AC$1006:AQ1006),$AC$1006:$AS$1006,0))&gt;=100000), " ",IF(INDEX($AC$2:$AS$1001,MATCH(ROWS($V$2:V896),$V$2:$V$1001,0),MATCH(COLUMNS($AC$1006:AQ1006),$AC$1006:$AS$1006,0)), HYPERLINK("#",""), HYPERLINK(CONCATENATE("#metadata!", ADDRESS(INDEX($X$2:$X$1001,MATCH(ROWS($V$2:V896),$V$2:$V$1001,0),0), INDEX($AC$1004:$AS$1004,1,MATCH(COLUMNS($AC$1006:AQ1006),$AC$1006:$AS$1006,0)))),"Fix")))</f>
        <v xml:space="preserve"> </v>
      </c>
      <c r="Q896" s="4" t="str">
        <f ca="1">IF(OR(INDEX($W$2:$W$1001,MATCH(ROWS($V$2:V896),$V$2:$V$1001,0),1)&gt;=100000,INDEX($AC$1005:$AS$1005,1,MATCH(COLUMNS($AC$1006:AR1006),$AC$1006:$AS$1006,0))&gt;=100000), " ",IF(INDEX($AC$2:$AS$1001,MATCH(ROWS($V$2:V896),$V$2:$V$1001,0),MATCH(COLUMNS($AC$1006:AR1006),$AC$1006:$AS$1006,0)), HYPERLINK("#",""), HYPERLINK(CONCATENATE("#metadata!", ADDRESS(INDEX($X$2:$X$1001,MATCH(ROWS($V$2:V896),$V$2:$V$1001,0),0), INDEX($AC$1004:$AS$1004,1,MATCH(COLUMNS($AC$1006:AR1006),$AC$1006:$AS$1006,0)))),"Fix")))</f>
        <v xml:space="preserve"> </v>
      </c>
      <c r="R896" s="4" t="str">
        <f ca="1">IF(OR(INDEX($W$2:$W$1001,MATCH(ROWS($V$2:V896),$V$2:$V$1001,0),1)&gt;=100000,INDEX($AC$1005:$AS$1005,1,MATCH(COLUMNS($AC$1006:AS1006),$AC$1006:$AS$1006,0))&gt;=100000), " ",IF(INDEX($AC$2:$AS$1001,MATCH(ROWS($V$2:V896),$V$2:$V$1001,0),MATCH(COLUMNS($AC$1006:AS1006),$AC$1006:$AS$1006,0)), HYPERLINK("#",""), HYPERLINK(CONCATENATE("#metadata!", ADDRESS(INDEX($X$2:$X$1001,MATCH(ROWS($V$2:V896),$V$2:$V$1001,0),0), INDEX($AC$1004:$AS$1004,1,MATCH(COLUMNS($AC$1006:AS1006),$AC$1006:$AS$1006,0)))),"Fix")))</f>
        <v xml:space="preserve"> </v>
      </c>
      <c r="V896">
        <v>895</v>
      </c>
      <c r="W896">
        <v>100896</v>
      </c>
      <c r="X896">
        <v>896</v>
      </c>
      <c r="Y896" t="b">
        <f t="shared" si="13"/>
        <v>1</v>
      </c>
      <c r="Z896" t="b">
        <f>COUNTBLANK(metadata!B896:R896)=COLUMNS(metadata!B896:R896)</f>
        <v>1</v>
      </c>
      <c r="AA896" t="str">
        <v/>
      </c>
      <c r="AC896" t="b">
        <f ca="1"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AD896" t="b">
        <f>IF(metadata!C896="",FALSE,ISNUMBER(VALUE(metadata!C896)))</f>
        <v>0</v>
      </c>
      <c r="AE896" t="b">
        <f>AND(IF(metadata!D896="",FALSE,TRUE),EXACT(metadata!D896,"years"))</f>
        <v>0</v>
      </c>
      <c r="AF896" t="b">
        <f>OR(AND(IF(metadata!E896="",FALSE,TRUE),OR(EXACT(metadata!E896,"not applicable"),EXACT(metadata!E896,"missing: not collected"),EXACT(metadata!E896,"missing: not provided"),EXACT(metadata!E896,"missing: restricted access"))),AND(IF(metadata!E896="",FALSE,ISNUMBER(VALUE(metadata!E896))),metadata!E896&gt;0))</f>
        <v>0</v>
      </c>
      <c r="AG896" t="b">
        <f>AND(IF(metadata!F896="",FALSE,TRUE),EXACT(metadata!F896,"Not applicable"))</f>
        <v>0</v>
      </c>
      <c r="AH896" t="b">
        <f>AND(IF(metadata!G896="",FALSE,TRUE),EXACT(metadata!G896,"urban biome"))</f>
        <v>0</v>
      </c>
      <c r="AI896" t="b">
        <f>AND(IF(metadata!H896="",FALSE,TRUE),EXACT(metadata!H896,"human-associated habitat"))</f>
        <v>0</v>
      </c>
      <c r="AJ896" t="b">
        <f>AND(IF(metadata!I896="",FALSE,TRUE),OR(EXACT(metadata!I896,"human-associated"),EXACT(metadata!I896,"human-skin"),EXACT(metadata!I896,"human-oral"),EXACT(metadata!I896,"human-gut"),EXACT(metadata!I896,"human-vaginal")))</f>
        <v>0</v>
      </c>
      <c r="AK896" t="b">
        <f>IF(metadata!J896="",FALSE,ISNUMBER(VALUE(metadata!J896)))</f>
        <v>0</v>
      </c>
      <c r="AL896" t="b">
        <f>AND(IF(metadata!K896="",FALSE,TRUE),EXACT(metadata!K896,"cm"))</f>
        <v>0</v>
      </c>
      <c r="AM896" t="b">
        <f>AND(IF(metadata!L896="",FALSE,TRUE),EXACT(metadata!L896,"human"))</f>
        <v>0</v>
      </c>
      <c r="AN896" t="b">
        <f>AND(IF(metadata!M896="",FALSE,TRUE),EXACT(metadata!M896,"Homo sapiens"))</f>
        <v>0</v>
      </c>
      <c r="AO896" t="b">
        <f>AND(IF(metadata!N896="",FALSE,TRUE),EXACT(metadata!N896,"9606"))</f>
        <v>0</v>
      </c>
      <c r="AP896" t="b">
        <f>IF(metadata!O896="",FALSE,TRUE)</f>
        <v>0</v>
      </c>
      <c r="AQ896" t="b">
        <f>IF(metadata!P896="",FALSE,TRUE)</f>
        <v>0</v>
      </c>
      <c r="AR896" t="b">
        <f>IF(metadata!Q896="",FALSE,ISNUMBER(VALUE(metadata!Q896)))</f>
        <v>0</v>
      </c>
      <c r="AS896" t="b">
        <f>AND(IF(metadata!R896="",FALSE,TRUE),EXACT(metadata!R896,"kg"))</f>
        <v>0</v>
      </c>
    </row>
    <row r="897" spans="1:45" x14ac:dyDescent="0.2">
      <c r="A897" s="5" t="str">
        <f ca="1">IF(B897=" "," ",HYPERLINK(CONCATENATE("#metadata!",ADDRESS(INDEX($X$2:$X$1001,MATCH(ROWS($V$2:V897),$V$2:$V$1001,0),0),1)),INDEX($AA$2:$AA$1001,MATCH(ROWS($V$2:V897),$V$2:$V$1001,0),0)))</f>
        <v xml:space="preserve"> </v>
      </c>
      <c r="B897" s="4" t="str">
        <f ca="1">IF(OR(INDEX($W$2:$W$1001,MATCH(ROWS($V$2:V897),$V$2:$V$1001,0),1)&gt;=100000,INDEX($AC$1005:$AS$1005,1,MATCH(COLUMNS($AC$1006:AC1006),$AC$1006:$AS$1006,0))&gt;=100000), " ",IF(INDEX($AC$2:$AS$1001,MATCH(ROWS($V$2:V897),$V$2:$V$1001,0),MATCH(COLUMNS($AC$1006:AC1006),$AC$1006:$AS$1006,0)), HYPERLINK("#",""), HYPERLINK(CONCATENATE("#metadata!", ADDRESS(INDEX($X$2:$X$1001,MATCH(ROWS($V$2:V897),$V$2:$V$1001,0),0), INDEX($AC$1004:$AS$1004,1,MATCH(COLUMNS($AC$1006:AC1006),$AC$1006:$AS$1006,0)))),"Fix")))</f>
        <v xml:space="preserve"> </v>
      </c>
      <c r="C897" s="4" t="str">
        <f ca="1">IF(OR(INDEX($W$2:$W$1001,MATCH(ROWS($V$2:V897),$V$2:$V$1001,0),1)&gt;=100000,INDEX($AC$1005:$AS$1005,1,MATCH(COLUMNS($AC$1006:AD1006),$AC$1006:$AS$1006,0))&gt;=100000), " ",IF(INDEX($AC$2:$AS$1001,MATCH(ROWS($V$2:V897),$V$2:$V$1001,0),MATCH(COLUMNS($AC$1006:AD1006),$AC$1006:$AS$1006,0)), HYPERLINK("#",""), HYPERLINK(CONCATENATE("#metadata!", ADDRESS(INDEX($X$2:$X$1001,MATCH(ROWS($V$2:V897),$V$2:$V$1001,0),0), INDEX($AC$1004:$AS$1004,1,MATCH(COLUMNS($AC$1006:AD1006),$AC$1006:$AS$1006,0)))),"Fix")))</f>
        <v xml:space="preserve"> </v>
      </c>
      <c r="D897" s="4" t="str">
        <f ca="1">IF(OR(INDEX($W$2:$W$1001,MATCH(ROWS($V$2:V897),$V$2:$V$1001,0),1)&gt;=100000,INDEX($AC$1005:$AS$1005,1,MATCH(COLUMNS($AC$1006:AE1006),$AC$1006:$AS$1006,0))&gt;=100000), " ",IF(INDEX($AC$2:$AS$1001,MATCH(ROWS($V$2:V897),$V$2:$V$1001,0),MATCH(COLUMNS($AC$1006:AE1006),$AC$1006:$AS$1006,0)), HYPERLINK("#",""), HYPERLINK(CONCATENATE("#metadata!", ADDRESS(INDEX($X$2:$X$1001,MATCH(ROWS($V$2:V897),$V$2:$V$1001,0),0), INDEX($AC$1004:$AS$1004,1,MATCH(COLUMNS($AC$1006:AE1006),$AC$1006:$AS$1006,0)))),"Fix")))</f>
        <v xml:space="preserve"> </v>
      </c>
      <c r="E897" s="4" t="str">
        <f ca="1">IF(OR(INDEX($W$2:$W$1001,MATCH(ROWS($V$2:V897),$V$2:$V$1001,0),1)&gt;=100000,INDEX($AC$1005:$AS$1005,1,MATCH(COLUMNS($AC$1006:AF1006),$AC$1006:$AS$1006,0))&gt;=100000), " ",IF(INDEX($AC$2:$AS$1001,MATCH(ROWS($V$2:V897),$V$2:$V$1001,0),MATCH(COLUMNS($AC$1006:AF1006),$AC$1006:$AS$1006,0)), HYPERLINK("#",""), HYPERLINK(CONCATENATE("#metadata!", ADDRESS(INDEX($X$2:$X$1001,MATCH(ROWS($V$2:V897),$V$2:$V$1001,0),0), INDEX($AC$1004:$AS$1004,1,MATCH(COLUMNS($AC$1006:AF1006),$AC$1006:$AS$1006,0)))),"Fix")))</f>
        <v xml:space="preserve"> </v>
      </c>
      <c r="F897" s="4" t="str">
        <f ca="1">IF(OR(INDEX($W$2:$W$1001,MATCH(ROWS($V$2:V897),$V$2:$V$1001,0),1)&gt;=100000,INDEX($AC$1005:$AS$1005,1,MATCH(COLUMNS($AC$1006:AG1006),$AC$1006:$AS$1006,0))&gt;=100000), " ",IF(INDEX($AC$2:$AS$1001,MATCH(ROWS($V$2:V897),$V$2:$V$1001,0),MATCH(COLUMNS($AC$1006:AG1006),$AC$1006:$AS$1006,0)), HYPERLINK("#",""), HYPERLINK(CONCATENATE("#metadata!", ADDRESS(INDEX($X$2:$X$1001,MATCH(ROWS($V$2:V897),$V$2:$V$1001,0),0), INDEX($AC$1004:$AS$1004,1,MATCH(COLUMNS($AC$1006:AG1006),$AC$1006:$AS$1006,0)))),"Fix")))</f>
        <v xml:space="preserve"> </v>
      </c>
      <c r="G897" s="4" t="str">
        <f ca="1">IF(OR(INDEX($W$2:$W$1001,MATCH(ROWS($V$2:V897),$V$2:$V$1001,0),1)&gt;=100000,INDEX($AC$1005:$AS$1005,1,MATCH(COLUMNS($AC$1006:AH1006),$AC$1006:$AS$1006,0))&gt;=100000), " ",IF(INDEX($AC$2:$AS$1001,MATCH(ROWS($V$2:V897),$V$2:$V$1001,0),MATCH(COLUMNS($AC$1006:AH1006),$AC$1006:$AS$1006,0)), HYPERLINK("#",""), HYPERLINK(CONCATENATE("#metadata!", ADDRESS(INDEX($X$2:$X$1001,MATCH(ROWS($V$2:V897),$V$2:$V$1001,0),0), INDEX($AC$1004:$AS$1004,1,MATCH(COLUMNS($AC$1006:AH1006),$AC$1006:$AS$1006,0)))),"Fix")))</f>
        <v xml:space="preserve"> </v>
      </c>
      <c r="H897" s="4" t="str">
        <f ca="1">IF(OR(INDEX($W$2:$W$1001,MATCH(ROWS($V$2:V897),$V$2:$V$1001,0),1)&gt;=100000,INDEX($AC$1005:$AS$1005,1,MATCH(COLUMNS($AC$1006:AI1006),$AC$1006:$AS$1006,0))&gt;=100000), " ",IF(INDEX($AC$2:$AS$1001,MATCH(ROWS($V$2:V897),$V$2:$V$1001,0),MATCH(COLUMNS($AC$1006:AI1006),$AC$1006:$AS$1006,0)), HYPERLINK("#",""), HYPERLINK(CONCATENATE("#metadata!", ADDRESS(INDEX($X$2:$X$1001,MATCH(ROWS($V$2:V897),$V$2:$V$1001,0),0), INDEX($AC$1004:$AS$1004,1,MATCH(COLUMNS($AC$1006:AI1006),$AC$1006:$AS$1006,0)))),"Fix")))</f>
        <v xml:space="preserve"> </v>
      </c>
      <c r="I897" s="4" t="str">
        <f ca="1">IF(OR(INDEX($W$2:$W$1001,MATCH(ROWS($V$2:V897),$V$2:$V$1001,0),1)&gt;=100000,INDEX($AC$1005:$AS$1005,1,MATCH(COLUMNS($AC$1006:AJ1006),$AC$1006:$AS$1006,0))&gt;=100000), " ",IF(INDEX($AC$2:$AS$1001,MATCH(ROWS($V$2:V897),$V$2:$V$1001,0),MATCH(COLUMNS($AC$1006:AJ1006),$AC$1006:$AS$1006,0)), HYPERLINK("#",""), HYPERLINK(CONCATENATE("#metadata!", ADDRESS(INDEX($X$2:$X$1001,MATCH(ROWS($V$2:V897),$V$2:$V$1001,0),0), INDEX($AC$1004:$AS$1004,1,MATCH(COLUMNS($AC$1006:AJ1006),$AC$1006:$AS$1006,0)))),"Fix")))</f>
        <v xml:space="preserve"> </v>
      </c>
      <c r="J897" s="4" t="str">
        <f ca="1">IF(OR(INDEX($W$2:$W$1001,MATCH(ROWS($V$2:V897),$V$2:$V$1001,0),1)&gt;=100000,INDEX($AC$1005:$AS$1005,1,MATCH(COLUMNS($AC$1006:AK1006),$AC$1006:$AS$1006,0))&gt;=100000), " ",IF(INDEX($AC$2:$AS$1001,MATCH(ROWS($V$2:V897),$V$2:$V$1001,0),MATCH(COLUMNS($AC$1006:AK1006),$AC$1006:$AS$1006,0)), HYPERLINK("#",""), HYPERLINK(CONCATENATE("#metadata!", ADDRESS(INDEX($X$2:$X$1001,MATCH(ROWS($V$2:V897),$V$2:$V$1001,0),0), INDEX($AC$1004:$AS$1004,1,MATCH(COLUMNS($AC$1006:AK1006),$AC$1006:$AS$1006,0)))),"Fix")))</f>
        <v xml:space="preserve"> </v>
      </c>
      <c r="K897" s="4" t="str">
        <f ca="1">IF(OR(INDEX($W$2:$W$1001,MATCH(ROWS($V$2:V897),$V$2:$V$1001,0),1)&gt;=100000,INDEX($AC$1005:$AS$1005,1,MATCH(COLUMNS($AC$1006:AL1006),$AC$1006:$AS$1006,0))&gt;=100000), " ",IF(INDEX($AC$2:$AS$1001,MATCH(ROWS($V$2:V897),$V$2:$V$1001,0),MATCH(COLUMNS($AC$1006:AL1006),$AC$1006:$AS$1006,0)), HYPERLINK("#",""), HYPERLINK(CONCATENATE("#metadata!", ADDRESS(INDEX($X$2:$X$1001,MATCH(ROWS($V$2:V897),$V$2:$V$1001,0),0), INDEX($AC$1004:$AS$1004,1,MATCH(COLUMNS($AC$1006:AL1006),$AC$1006:$AS$1006,0)))),"Fix")))</f>
        <v xml:space="preserve"> </v>
      </c>
      <c r="L897" s="4" t="str">
        <f ca="1">IF(OR(INDEX($W$2:$W$1001,MATCH(ROWS($V$2:V897),$V$2:$V$1001,0),1)&gt;=100000,INDEX($AC$1005:$AS$1005,1,MATCH(COLUMNS($AC$1006:AM1006),$AC$1006:$AS$1006,0))&gt;=100000), " ",IF(INDEX($AC$2:$AS$1001,MATCH(ROWS($V$2:V897),$V$2:$V$1001,0),MATCH(COLUMNS($AC$1006:AM1006),$AC$1006:$AS$1006,0)), HYPERLINK("#",""), HYPERLINK(CONCATENATE("#metadata!", ADDRESS(INDEX($X$2:$X$1001,MATCH(ROWS($V$2:V897),$V$2:$V$1001,0),0), INDEX($AC$1004:$AS$1004,1,MATCH(COLUMNS($AC$1006:AM1006),$AC$1006:$AS$1006,0)))),"Fix")))</f>
        <v xml:space="preserve"> </v>
      </c>
      <c r="M897" s="4" t="str">
        <f ca="1">IF(OR(INDEX($W$2:$W$1001,MATCH(ROWS($V$2:V897),$V$2:$V$1001,0),1)&gt;=100000,INDEX($AC$1005:$AS$1005,1,MATCH(COLUMNS($AC$1006:AN1006),$AC$1006:$AS$1006,0))&gt;=100000), " ",IF(INDEX($AC$2:$AS$1001,MATCH(ROWS($V$2:V897),$V$2:$V$1001,0),MATCH(COLUMNS($AC$1006:AN1006),$AC$1006:$AS$1006,0)), HYPERLINK("#",""), HYPERLINK(CONCATENATE("#metadata!", ADDRESS(INDEX($X$2:$X$1001,MATCH(ROWS($V$2:V897),$V$2:$V$1001,0),0), INDEX($AC$1004:$AS$1004,1,MATCH(COLUMNS($AC$1006:AN1006),$AC$1006:$AS$1006,0)))),"Fix")))</f>
        <v xml:space="preserve"> </v>
      </c>
      <c r="N897" s="4" t="str">
        <f ca="1">IF(OR(INDEX($W$2:$W$1001,MATCH(ROWS($V$2:V897),$V$2:$V$1001,0),1)&gt;=100000,INDEX($AC$1005:$AS$1005,1,MATCH(COLUMNS($AC$1006:AO1006),$AC$1006:$AS$1006,0))&gt;=100000), " ",IF(INDEX($AC$2:$AS$1001,MATCH(ROWS($V$2:V897),$V$2:$V$1001,0),MATCH(COLUMNS($AC$1006:AO1006),$AC$1006:$AS$1006,0)), HYPERLINK("#",""), HYPERLINK(CONCATENATE("#metadata!", ADDRESS(INDEX($X$2:$X$1001,MATCH(ROWS($V$2:V897),$V$2:$V$1001,0),0), INDEX($AC$1004:$AS$1004,1,MATCH(COLUMNS($AC$1006:AO1006),$AC$1006:$AS$1006,0)))),"Fix")))</f>
        <v xml:space="preserve"> </v>
      </c>
      <c r="O897" s="4" t="str">
        <f ca="1">IF(OR(INDEX($W$2:$W$1001,MATCH(ROWS($V$2:V897),$V$2:$V$1001,0),1)&gt;=100000,INDEX($AC$1005:$AS$1005,1,MATCH(COLUMNS($AC$1006:AP1006),$AC$1006:$AS$1006,0))&gt;=100000), " ",IF(INDEX($AC$2:$AS$1001,MATCH(ROWS($V$2:V897),$V$2:$V$1001,0),MATCH(COLUMNS($AC$1006:AP1006),$AC$1006:$AS$1006,0)), HYPERLINK("#",""), HYPERLINK(CONCATENATE("#metadata!", ADDRESS(INDEX($X$2:$X$1001,MATCH(ROWS($V$2:V897),$V$2:$V$1001,0),0), INDEX($AC$1004:$AS$1004,1,MATCH(COLUMNS($AC$1006:AP1006),$AC$1006:$AS$1006,0)))),"Fix")))</f>
        <v xml:space="preserve"> </v>
      </c>
      <c r="P897" s="4" t="str">
        <f ca="1">IF(OR(INDEX($W$2:$W$1001,MATCH(ROWS($V$2:V897),$V$2:$V$1001,0),1)&gt;=100000,INDEX($AC$1005:$AS$1005,1,MATCH(COLUMNS($AC$1006:AQ1006),$AC$1006:$AS$1006,0))&gt;=100000), " ",IF(INDEX($AC$2:$AS$1001,MATCH(ROWS($V$2:V897),$V$2:$V$1001,0),MATCH(COLUMNS($AC$1006:AQ1006),$AC$1006:$AS$1006,0)), HYPERLINK("#",""), HYPERLINK(CONCATENATE("#metadata!", ADDRESS(INDEX($X$2:$X$1001,MATCH(ROWS($V$2:V897),$V$2:$V$1001,0),0), INDEX($AC$1004:$AS$1004,1,MATCH(COLUMNS($AC$1006:AQ1006),$AC$1006:$AS$1006,0)))),"Fix")))</f>
        <v xml:space="preserve"> </v>
      </c>
      <c r="Q897" s="4" t="str">
        <f ca="1">IF(OR(INDEX($W$2:$W$1001,MATCH(ROWS($V$2:V897),$V$2:$V$1001,0),1)&gt;=100000,INDEX($AC$1005:$AS$1005,1,MATCH(COLUMNS($AC$1006:AR1006),$AC$1006:$AS$1006,0))&gt;=100000), " ",IF(INDEX($AC$2:$AS$1001,MATCH(ROWS($V$2:V897),$V$2:$V$1001,0),MATCH(COLUMNS($AC$1006:AR1006),$AC$1006:$AS$1006,0)), HYPERLINK("#",""), HYPERLINK(CONCATENATE("#metadata!", ADDRESS(INDEX($X$2:$X$1001,MATCH(ROWS($V$2:V897),$V$2:$V$1001,0),0), INDEX($AC$1004:$AS$1004,1,MATCH(COLUMNS($AC$1006:AR1006),$AC$1006:$AS$1006,0)))),"Fix")))</f>
        <v xml:space="preserve"> </v>
      </c>
      <c r="R897" s="4" t="str">
        <f ca="1">IF(OR(INDEX($W$2:$W$1001,MATCH(ROWS($V$2:V897),$V$2:$V$1001,0),1)&gt;=100000,INDEX($AC$1005:$AS$1005,1,MATCH(COLUMNS($AC$1006:AS1006),$AC$1006:$AS$1006,0))&gt;=100000), " ",IF(INDEX($AC$2:$AS$1001,MATCH(ROWS($V$2:V897),$V$2:$V$1001,0),MATCH(COLUMNS($AC$1006:AS1006),$AC$1006:$AS$1006,0)), HYPERLINK("#",""), HYPERLINK(CONCATENATE("#metadata!", ADDRESS(INDEX($X$2:$X$1001,MATCH(ROWS($V$2:V897),$V$2:$V$1001,0),0), INDEX($AC$1004:$AS$1004,1,MATCH(COLUMNS($AC$1006:AS1006),$AC$1006:$AS$1006,0)))),"Fix")))</f>
        <v xml:space="preserve"> </v>
      </c>
      <c r="V897">
        <v>896</v>
      </c>
      <c r="W897">
        <v>100897</v>
      </c>
      <c r="X897">
        <v>897</v>
      </c>
      <c r="Y897" t="b">
        <f t="shared" si="13"/>
        <v>1</v>
      </c>
      <c r="Z897" t="b">
        <f>COUNTBLANK(metadata!B897:R897)=COLUMNS(metadata!B897:R897)</f>
        <v>1</v>
      </c>
      <c r="AA897" t="str">
        <v/>
      </c>
      <c r="AC897" t="b">
        <f ca="1"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AD897" t="b">
        <f>IF(metadata!C897="",FALSE,ISNUMBER(VALUE(metadata!C897)))</f>
        <v>0</v>
      </c>
      <c r="AE897" t="b">
        <f>AND(IF(metadata!D897="",FALSE,TRUE),EXACT(metadata!D897,"years"))</f>
        <v>0</v>
      </c>
      <c r="AF897" t="b">
        <f>OR(AND(IF(metadata!E897="",FALSE,TRUE),OR(EXACT(metadata!E897,"not applicable"),EXACT(metadata!E897,"missing: not collected"),EXACT(metadata!E897,"missing: not provided"),EXACT(metadata!E897,"missing: restricted access"))),AND(IF(metadata!E897="",FALSE,ISNUMBER(VALUE(metadata!E897))),metadata!E897&gt;0))</f>
        <v>0</v>
      </c>
      <c r="AG897" t="b">
        <f>AND(IF(metadata!F897="",FALSE,TRUE),EXACT(metadata!F897,"Not applicable"))</f>
        <v>0</v>
      </c>
      <c r="AH897" t="b">
        <f>AND(IF(metadata!G897="",FALSE,TRUE),EXACT(metadata!G897,"urban biome"))</f>
        <v>0</v>
      </c>
      <c r="AI897" t="b">
        <f>AND(IF(metadata!H897="",FALSE,TRUE),EXACT(metadata!H897,"human-associated habitat"))</f>
        <v>0</v>
      </c>
      <c r="AJ897" t="b">
        <f>AND(IF(metadata!I897="",FALSE,TRUE),OR(EXACT(metadata!I897,"human-associated"),EXACT(metadata!I897,"human-skin"),EXACT(metadata!I897,"human-oral"),EXACT(metadata!I897,"human-gut"),EXACT(metadata!I897,"human-vaginal")))</f>
        <v>0</v>
      </c>
      <c r="AK897" t="b">
        <f>IF(metadata!J897="",FALSE,ISNUMBER(VALUE(metadata!J897)))</f>
        <v>0</v>
      </c>
      <c r="AL897" t="b">
        <f>AND(IF(metadata!K897="",FALSE,TRUE),EXACT(metadata!K897,"cm"))</f>
        <v>0</v>
      </c>
      <c r="AM897" t="b">
        <f>AND(IF(metadata!L897="",FALSE,TRUE),EXACT(metadata!L897,"human"))</f>
        <v>0</v>
      </c>
      <c r="AN897" t="b">
        <f>AND(IF(metadata!M897="",FALSE,TRUE),EXACT(metadata!M897,"Homo sapiens"))</f>
        <v>0</v>
      </c>
      <c r="AO897" t="b">
        <f>AND(IF(metadata!N897="",FALSE,TRUE),EXACT(metadata!N897,"9606"))</f>
        <v>0</v>
      </c>
      <c r="AP897" t="b">
        <f>IF(metadata!O897="",FALSE,TRUE)</f>
        <v>0</v>
      </c>
      <c r="AQ897" t="b">
        <f>IF(metadata!P897="",FALSE,TRUE)</f>
        <v>0</v>
      </c>
      <c r="AR897" t="b">
        <f>IF(metadata!Q897="",FALSE,ISNUMBER(VALUE(metadata!Q897)))</f>
        <v>0</v>
      </c>
      <c r="AS897" t="b">
        <f>AND(IF(metadata!R897="",FALSE,TRUE),EXACT(metadata!R897,"kg"))</f>
        <v>0</v>
      </c>
    </row>
    <row r="898" spans="1:45" x14ac:dyDescent="0.2">
      <c r="A898" s="5" t="str">
        <f ca="1">IF(B898=" "," ",HYPERLINK(CONCATENATE("#metadata!",ADDRESS(INDEX($X$2:$X$1001,MATCH(ROWS($V$2:V898),$V$2:$V$1001,0),0),1)),INDEX($AA$2:$AA$1001,MATCH(ROWS($V$2:V898),$V$2:$V$1001,0),0)))</f>
        <v xml:space="preserve"> </v>
      </c>
      <c r="B898" s="4" t="str">
        <f ca="1">IF(OR(INDEX($W$2:$W$1001,MATCH(ROWS($V$2:V898),$V$2:$V$1001,0),1)&gt;=100000,INDEX($AC$1005:$AS$1005,1,MATCH(COLUMNS($AC$1006:AC1006),$AC$1006:$AS$1006,0))&gt;=100000), " ",IF(INDEX($AC$2:$AS$1001,MATCH(ROWS($V$2:V898),$V$2:$V$1001,0),MATCH(COLUMNS($AC$1006:AC1006),$AC$1006:$AS$1006,0)), HYPERLINK("#",""), HYPERLINK(CONCATENATE("#metadata!", ADDRESS(INDEX($X$2:$X$1001,MATCH(ROWS($V$2:V898),$V$2:$V$1001,0),0), INDEX($AC$1004:$AS$1004,1,MATCH(COLUMNS($AC$1006:AC1006),$AC$1006:$AS$1006,0)))),"Fix")))</f>
        <v xml:space="preserve"> </v>
      </c>
      <c r="C898" s="4" t="str">
        <f ca="1">IF(OR(INDEX($W$2:$W$1001,MATCH(ROWS($V$2:V898),$V$2:$V$1001,0),1)&gt;=100000,INDEX($AC$1005:$AS$1005,1,MATCH(COLUMNS($AC$1006:AD1006),$AC$1006:$AS$1006,0))&gt;=100000), " ",IF(INDEX($AC$2:$AS$1001,MATCH(ROWS($V$2:V898),$V$2:$V$1001,0),MATCH(COLUMNS($AC$1006:AD1006),$AC$1006:$AS$1006,0)), HYPERLINK("#",""), HYPERLINK(CONCATENATE("#metadata!", ADDRESS(INDEX($X$2:$X$1001,MATCH(ROWS($V$2:V898),$V$2:$V$1001,0),0), INDEX($AC$1004:$AS$1004,1,MATCH(COLUMNS($AC$1006:AD1006),$AC$1006:$AS$1006,0)))),"Fix")))</f>
        <v xml:space="preserve"> </v>
      </c>
      <c r="D898" s="4" t="str">
        <f ca="1">IF(OR(INDEX($W$2:$W$1001,MATCH(ROWS($V$2:V898),$V$2:$V$1001,0),1)&gt;=100000,INDEX($AC$1005:$AS$1005,1,MATCH(COLUMNS($AC$1006:AE1006),$AC$1006:$AS$1006,0))&gt;=100000), " ",IF(INDEX($AC$2:$AS$1001,MATCH(ROWS($V$2:V898),$V$2:$V$1001,0),MATCH(COLUMNS($AC$1006:AE1006),$AC$1006:$AS$1006,0)), HYPERLINK("#",""), HYPERLINK(CONCATENATE("#metadata!", ADDRESS(INDEX($X$2:$X$1001,MATCH(ROWS($V$2:V898),$V$2:$V$1001,0),0), INDEX($AC$1004:$AS$1004,1,MATCH(COLUMNS($AC$1006:AE1006),$AC$1006:$AS$1006,0)))),"Fix")))</f>
        <v xml:space="preserve"> </v>
      </c>
      <c r="E898" s="4" t="str">
        <f ca="1">IF(OR(INDEX($W$2:$W$1001,MATCH(ROWS($V$2:V898),$V$2:$V$1001,0),1)&gt;=100000,INDEX($AC$1005:$AS$1005,1,MATCH(COLUMNS($AC$1006:AF1006),$AC$1006:$AS$1006,0))&gt;=100000), " ",IF(INDEX($AC$2:$AS$1001,MATCH(ROWS($V$2:V898),$V$2:$V$1001,0),MATCH(COLUMNS($AC$1006:AF1006),$AC$1006:$AS$1006,0)), HYPERLINK("#",""), HYPERLINK(CONCATENATE("#metadata!", ADDRESS(INDEX($X$2:$X$1001,MATCH(ROWS($V$2:V898),$V$2:$V$1001,0),0), INDEX($AC$1004:$AS$1004,1,MATCH(COLUMNS($AC$1006:AF1006),$AC$1006:$AS$1006,0)))),"Fix")))</f>
        <v xml:space="preserve"> </v>
      </c>
      <c r="F898" s="4" t="str">
        <f ca="1">IF(OR(INDEX($W$2:$W$1001,MATCH(ROWS($V$2:V898),$V$2:$V$1001,0),1)&gt;=100000,INDEX($AC$1005:$AS$1005,1,MATCH(COLUMNS($AC$1006:AG1006),$AC$1006:$AS$1006,0))&gt;=100000), " ",IF(INDEX($AC$2:$AS$1001,MATCH(ROWS($V$2:V898),$V$2:$V$1001,0),MATCH(COLUMNS($AC$1006:AG1006),$AC$1006:$AS$1006,0)), HYPERLINK("#",""), HYPERLINK(CONCATENATE("#metadata!", ADDRESS(INDEX($X$2:$X$1001,MATCH(ROWS($V$2:V898),$V$2:$V$1001,0),0), INDEX($AC$1004:$AS$1004,1,MATCH(COLUMNS($AC$1006:AG1006),$AC$1006:$AS$1006,0)))),"Fix")))</f>
        <v xml:space="preserve"> </v>
      </c>
      <c r="G898" s="4" t="str">
        <f ca="1">IF(OR(INDEX($W$2:$W$1001,MATCH(ROWS($V$2:V898),$V$2:$V$1001,0),1)&gt;=100000,INDEX($AC$1005:$AS$1005,1,MATCH(COLUMNS($AC$1006:AH1006),$AC$1006:$AS$1006,0))&gt;=100000), " ",IF(INDEX($AC$2:$AS$1001,MATCH(ROWS($V$2:V898),$V$2:$V$1001,0),MATCH(COLUMNS($AC$1006:AH1006),$AC$1006:$AS$1006,0)), HYPERLINK("#",""), HYPERLINK(CONCATENATE("#metadata!", ADDRESS(INDEX($X$2:$X$1001,MATCH(ROWS($V$2:V898),$V$2:$V$1001,0),0), INDEX($AC$1004:$AS$1004,1,MATCH(COLUMNS($AC$1006:AH1006),$AC$1006:$AS$1006,0)))),"Fix")))</f>
        <v xml:space="preserve"> </v>
      </c>
      <c r="H898" s="4" t="str">
        <f ca="1">IF(OR(INDEX($W$2:$W$1001,MATCH(ROWS($V$2:V898),$V$2:$V$1001,0),1)&gt;=100000,INDEX($AC$1005:$AS$1005,1,MATCH(COLUMNS($AC$1006:AI1006),$AC$1006:$AS$1006,0))&gt;=100000), " ",IF(INDEX($AC$2:$AS$1001,MATCH(ROWS($V$2:V898),$V$2:$V$1001,0),MATCH(COLUMNS($AC$1006:AI1006),$AC$1006:$AS$1006,0)), HYPERLINK("#",""), HYPERLINK(CONCATENATE("#metadata!", ADDRESS(INDEX($X$2:$X$1001,MATCH(ROWS($V$2:V898),$V$2:$V$1001,0),0), INDEX($AC$1004:$AS$1004,1,MATCH(COLUMNS($AC$1006:AI1006),$AC$1006:$AS$1006,0)))),"Fix")))</f>
        <v xml:space="preserve"> </v>
      </c>
      <c r="I898" s="4" t="str">
        <f ca="1">IF(OR(INDEX($W$2:$W$1001,MATCH(ROWS($V$2:V898),$V$2:$V$1001,0),1)&gt;=100000,INDEX($AC$1005:$AS$1005,1,MATCH(COLUMNS($AC$1006:AJ1006),$AC$1006:$AS$1006,0))&gt;=100000), " ",IF(INDEX($AC$2:$AS$1001,MATCH(ROWS($V$2:V898),$V$2:$V$1001,0),MATCH(COLUMNS($AC$1006:AJ1006),$AC$1006:$AS$1006,0)), HYPERLINK("#",""), HYPERLINK(CONCATENATE("#metadata!", ADDRESS(INDEX($X$2:$X$1001,MATCH(ROWS($V$2:V898),$V$2:$V$1001,0),0), INDEX($AC$1004:$AS$1004,1,MATCH(COLUMNS($AC$1006:AJ1006),$AC$1006:$AS$1006,0)))),"Fix")))</f>
        <v xml:space="preserve"> </v>
      </c>
      <c r="J898" s="4" t="str">
        <f ca="1">IF(OR(INDEX($W$2:$W$1001,MATCH(ROWS($V$2:V898),$V$2:$V$1001,0),1)&gt;=100000,INDEX($AC$1005:$AS$1005,1,MATCH(COLUMNS($AC$1006:AK1006),$AC$1006:$AS$1006,0))&gt;=100000), " ",IF(INDEX($AC$2:$AS$1001,MATCH(ROWS($V$2:V898),$V$2:$V$1001,0),MATCH(COLUMNS($AC$1006:AK1006),$AC$1006:$AS$1006,0)), HYPERLINK("#",""), HYPERLINK(CONCATENATE("#metadata!", ADDRESS(INDEX($X$2:$X$1001,MATCH(ROWS($V$2:V898),$V$2:$V$1001,0),0), INDEX($AC$1004:$AS$1004,1,MATCH(COLUMNS($AC$1006:AK1006),$AC$1006:$AS$1006,0)))),"Fix")))</f>
        <v xml:space="preserve"> </v>
      </c>
      <c r="K898" s="4" t="str">
        <f ca="1">IF(OR(INDEX($W$2:$W$1001,MATCH(ROWS($V$2:V898),$V$2:$V$1001,0),1)&gt;=100000,INDEX($AC$1005:$AS$1005,1,MATCH(COLUMNS($AC$1006:AL1006),$AC$1006:$AS$1006,0))&gt;=100000), " ",IF(INDEX($AC$2:$AS$1001,MATCH(ROWS($V$2:V898),$V$2:$V$1001,0),MATCH(COLUMNS($AC$1006:AL1006),$AC$1006:$AS$1006,0)), HYPERLINK("#",""), HYPERLINK(CONCATENATE("#metadata!", ADDRESS(INDEX($X$2:$X$1001,MATCH(ROWS($V$2:V898),$V$2:$V$1001,0),0), INDEX($AC$1004:$AS$1004,1,MATCH(COLUMNS($AC$1006:AL1006),$AC$1006:$AS$1006,0)))),"Fix")))</f>
        <v xml:space="preserve"> </v>
      </c>
      <c r="L898" s="4" t="str">
        <f ca="1">IF(OR(INDEX($W$2:$W$1001,MATCH(ROWS($V$2:V898),$V$2:$V$1001,0),1)&gt;=100000,INDEX($AC$1005:$AS$1005,1,MATCH(COLUMNS($AC$1006:AM1006),$AC$1006:$AS$1006,0))&gt;=100000), " ",IF(INDEX($AC$2:$AS$1001,MATCH(ROWS($V$2:V898),$V$2:$V$1001,0),MATCH(COLUMNS($AC$1006:AM1006),$AC$1006:$AS$1006,0)), HYPERLINK("#",""), HYPERLINK(CONCATENATE("#metadata!", ADDRESS(INDEX($X$2:$X$1001,MATCH(ROWS($V$2:V898),$V$2:$V$1001,0),0), INDEX($AC$1004:$AS$1004,1,MATCH(COLUMNS($AC$1006:AM1006),$AC$1006:$AS$1006,0)))),"Fix")))</f>
        <v xml:space="preserve"> </v>
      </c>
      <c r="M898" s="4" t="str">
        <f ca="1">IF(OR(INDEX($W$2:$W$1001,MATCH(ROWS($V$2:V898),$V$2:$V$1001,0),1)&gt;=100000,INDEX($AC$1005:$AS$1005,1,MATCH(COLUMNS($AC$1006:AN1006),$AC$1006:$AS$1006,0))&gt;=100000), " ",IF(INDEX($AC$2:$AS$1001,MATCH(ROWS($V$2:V898),$V$2:$V$1001,0),MATCH(COLUMNS($AC$1006:AN1006),$AC$1006:$AS$1006,0)), HYPERLINK("#",""), HYPERLINK(CONCATENATE("#metadata!", ADDRESS(INDEX($X$2:$X$1001,MATCH(ROWS($V$2:V898),$V$2:$V$1001,0),0), INDEX($AC$1004:$AS$1004,1,MATCH(COLUMNS($AC$1006:AN1006),$AC$1006:$AS$1006,0)))),"Fix")))</f>
        <v xml:space="preserve"> </v>
      </c>
      <c r="N898" s="4" t="str">
        <f ca="1">IF(OR(INDEX($W$2:$W$1001,MATCH(ROWS($V$2:V898),$V$2:$V$1001,0),1)&gt;=100000,INDEX($AC$1005:$AS$1005,1,MATCH(COLUMNS($AC$1006:AO1006),$AC$1006:$AS$1006,0))&gt;=100000), " ",IF(INDEX($AC$2:$AS$1001,MATCH(ROWS($V$2:V898),$V$2:$V$1001,0),MATCH(COLUMNS($AC$1006:AO1006),$AC$1006:$AS$1006,0)), HYPERLINK("#",""), HYPERLINK(CONCATENATE("#metadata!", ADDRESS(INDEX($X$2:$X$1001,MATCH(ROWS($V$2:V898),$V$2:$V$1001,0),0), INDEX($AC$1004:$AS$1004,1,MATCH(COLUMNS($AC$1006:AO1006),$AC$1006:$AS$1006,0)))),"Fix")))</f>
        <v xml:space="preserve"> </v>
      </c>
      <c r="O898" s="4" t="str">
        <f ca="1">IF(OR(INDEX($W$2:$W$1001,MATCH(ROWS($V$2:V898),$V$2:$V$1001,0),1)&gt;=100000,INDEX($AC$1005:$AS$1005,1,MATCH(COLUMNS($AC$1006:AP1006),$AC$1006:$AS$1006,0))&gt;=100000), " ",IF(INDEX($AC$2:$AS$1001,MATCH(ROWS($V$2:V898),$V$2:$V$1001,0),MATCH(COLUMNS($AC$1006:AP1006),$AC$1006:$AS$1006,0)), HYPERLINK("#",""), HYPERLINK(CONCATENATE("#metadata!", ADDRESS(INDEX($X$2:$X$1001,MATCH(ROWS($V$2:V898),$V$2:$V$1001,0),0), INDEX($AC$1004:$AS$1004,1,MATCH(COLUMNS($AC$1006:AP1006),$AC$1006:$AS$1006,0)))),"Fix")))</f>
        <v xml:space="preserve"> </v>
      </c>
      <c r="P898" s="4" t="str">
        <f ca="1">IF(OR(INDEX($W$2:$W$1001,MATCH(ROWS($V$2:V898),$V$2:$V$1001,0),1)&gt;=100000,INDEX($AC$1005:$AS$1005,1,MATCH(COLUMNS($AC$1006:AQ1006),$AC$1006:$AS$1006,0))&gt;=100000), " ",IF(INDEX($AC$2:$AS$1001,MATCH(ROWS($V$2:V898),$V$2:$V$1001,0),MATCH(COLUMNS($AC$1006:AQ1006),$AC$1006:$AS$1006,0)), HYPERLINK("#",""), HYPERLINK(CONCATENATE("#metadata!", ADDRESS(INDEX($X$2:$X$1001,MATCH(ROWS($V$2:V898),$V$2:$V$1001,0),0), INDEX($AC$1004:$AS$1004,1,MATCH(COLUMNS($AC$1006:AQ1006),$AC$1006:$AS$1006,0)))),"Fix")))</f>
        <v xml:space="preserve"> </v>
      </c>
      <c r="Q898" s="4" t="str">
        <f ca="1">IF(OR(INDEX($W$2:$W$1001,MATCH(ROWS($V$2:V898),$V$2:$V$1001,0),1)&gt;=100000,INDEX($AC$1005:$AS$1005,1,MATCH(COLUMNS($AC$1006:AR1006),$AC$1006:$AS$1006,0))&gt;=100000), " ",IF(INDEX($AC$2:$AS$1001,MATCH(ROWS($V$2:V898),$V$2:$V$1001,0),MATCH(COLUMNS($AC$1006:AR1006),$AC$1006:$AS$1006,0)), HYPERLINK("#",""), HYPERLINK(CONCATENATE("#metadata!", ADDRESS(INDEX($X$2:$X$1001,MATCH(ROWS($V$2:V898),$V$2:$V$1001,0),0), INDEX($AC$1004:$AS$1004,1,MATCH(COLUMNS($AC$1006:AR1006),$AC$1006:$AS$1006,0)))),"Fix")))</f>
        <v xml:space="preserve"> </v>
      </c>
      <c r="R898" s="4" t="str">
        <f ca="1">IF(OR(INDEX($W$2:$W$1001,MATCH(ROWS($V$2:V898),$V$2:$V$1001,0),1)&gt;=100000,INDEX($AC$1005:$AS$1005,1,MATCH(COLUMNS($AC$1006:AS1006),$AC$1006:$AS$1006,0))&gt;=100000), " ",IF(INDEX($AC$2:$AS$1001,MATCH(ROWS($V$2:V898),$V$2:$V$1001,0),MATCH(COLUMNS($AC$1006:AS1006),$AC$1006:$AS$1006,0)), HYPERLINK("#",""), HYPERLINK(CONCATENATE("#metadata!", ADDRESS(INDEX($X$2:$X$1001,MATCH(ROWS($V$2:V898),$V$2:$V$1001,0),0), INDEX($AC$1004:$AS$1004,1,MATCH(COLUMNS($AC$1006:AS1006),$AC$1006:$AS$1006,0)))),"Fix")))</f>
        <v xml:space="preserve"> </v>
      </c>
      <c r="V898">
        <v>897</v>
      </c>
      <c r="W898">
        <v>100898</v>
      </c>
      <c r="X898">
        <v>898</v>
      </c>
      <c r="Y898" t="b">
        <f t="shared" ref="Y898:Y961" si="14">IF(Z898,TRUE,AND(AC898:AS898))</f>
        <v>1</v>
      </c>
      <c r="Z898" t="b">
        <f>COUNTBLANK(metadata!B898:R898)=COLUMNS(metadata!B898:R898)</f>
        <v>1</v>
      </c>
      <c r="AA898" t="str">
        <v/>
      </c>
      <c r="AC898" t="b">
        <f ca="1"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AD898" t="b">
        <f>IF(metadata!C898="",FALSE,ISNUMBER(VALUE(metadata!C898)))</f>
        <v>0</v>
      </c>
      <c r="AE898" t="b">
        <f>AND(IF(metadata!D898="",FALSE,TRUE),EXACT(metadata!D898,"years"))</f>
        <v>0</v>
      </c>
      <c r="AF898" t="b">
        <f>OR(AND(IF(metadata!E898="",FALSE,TRUE),OR(EXACT(metadata!E898,"not applicable"),EXACT(metadata!E898,"missing: not collected"),EXACT(metadata!E898,"missing: not provided"),EXACT(metadata!E898,"missing: restricted access"))),AND(IF(metadata!E898="",FALSE,ISNUMBER(VALUE(metadata!E898))),metadata!E898&gt;0))</f>
        <v>0</v>
      </c>
      <c r="AG898" t="b">
        <f>AND(IF(metadata!F898="",FALSE,TRUE),EXACT(metadata!F898,"Not applicable"))</f>
        <v>0</v>
      </c>
      <c r="AH898" t="b">
        <f>AND(IF(metadata!G898="",FALSE,TRUE),EXACT(metadata!G898,"urban biome"))</f>
        <v>0</v>
      </c>
      <c r="AI898" t="b">
        <f>AND(IF(metadata!H898="",FALSE,TRUE),EXACT(metadata!H898,"human-associated habitat"))</f>
        <v>0</v>
      </c>
      <c r="AJ898" t="b">
        <f>AND(IF(metadata!I898="",FALSE,TRUE),OR(EXACT(metadata!I898,"human-associated"),EXACT(metadata!I898,"human-skin"),EXACT(metadata!I898,"human-oral"),EXACT(metadata!I898,"human-gut"),EXACT(metadata!I898,"human-vaginal")))</f>
        <v>0</v>
      </c>
      <c r="AK898" t="b">
        <f>IF(metadata!J898="",FALSE,ISNUMBER(VALUE(metadata!J898)))</f>
        <v>0</v>
      </c>
      <c r="AL898" t="b">
        <f>AND(IF(metadata!K898="",FALSE,TRUE),EXACT(metadata!K898,"cm"))</f>
        <v>0</v>
      </c>
      <c r="AM898" t="b">
        <f>AND(IF(metadata!L898="",FALSE,TRUE),EXACT(metadata!L898,"human"))</f>
        <v>0</v>
      </c>
      <c r="AN898" t="b">
        <f>AND(IF(metadata!M898="",FALSE,TRUE),EXACT(metadata!M898,"Homo sapiens"))</f>
        <v>0</v>
      </c>
      <c r="AO898" t="b">
        <f>AND(IF(metadata!N898="",FALSE,TRUE),EXACT(metadata!N898,"9606"))</f>
        <v>0</v>
      </c>
      <c r="AP898" t="b">
        <f>IF(metadata!O898="",FALSE,TRUE)</f>
        <v>0</v>
      </c>
      <c r="AQ898" t="b">
        <f>IF(metadata!P898="",FALSE,TRUE)</f>
        <v>0</v>
      </c>
      <c r="AR898" t="b">
        <f>IF(metadata!Q898="",FALSE,ISNUMBER(VALUE(metadata!Q898)))</f>
        <v>0</v>
      </c>
      <c r="AS898" t="b">
        <f>AND(IF(metadata!R898="",FALSE,TRUE),EXACT(metadata!R898,"kg"))</f>
        <v>0</v>
      </c>
    </row>
    <row r="899" spans="1:45" x14ac:dyDescent="0.2">
      <c r="A899" s="5" t="str">
        <f ca="1">IF(B899=" "," ",HYPERLINK(CONCATENATE("#metadata!",ADDRESS(INDEX($X$2:$X$1001,MATCH(ROWS($V$2:V899),$V$2:$V$1001,0),0),1)),INDEX($AA$2:$AA$1001,MATCH(ROWS($V$2:V899),$V$2:$V$1001,0),0)))</f>
        <v xml:space="preserve"> </v>
      </c>
      <c r="B899" s="4" t="str">
        <f ca="1">IF(OR(INDEX($W$2:$W$1001,MATCH(ROWS($V$2:V899),$V$2:$V$1001,0),1)&gt;=100000,INDEX($AC$1005:$AS$1005,1,MATCH(COLUMNS($AC$1006:AC1006),$AC$1006:$AS$1006,0))&gt;=100000), " ",IF(INDEX($AC$2:$AS$1001,MATCH(ROWS($V$2:V899),$V$2:$V$1001,0),MATCH(COLUMNS($AC$1006:AC1006),$AC$1006:$AS$1006,0)), HYPERLINK("#",""), HYPERLINK(CONCATENATE("#metadata!", ADDRESS(INDEX($X$2:$X$1001,MATCH(ROWS($V$2:V899),$V$2:$V$1001,0),0), INDEX($AC$1004:$AS$1004,1,MATCH(COLUMNS($AC$1006:AC1006),$AC$1006:$AS$1006,0)))),"Fix")))</f>
        <v xml:space="preserve"> </v>
      </c>
      <c r="C899" s="4" t="str">
        <f ca="1">IF(OR(INDEX($W$2:$W$1001,MATCH(ROWS($V$2:V899),$V$2:$V$1001,0),1)&gt;=100000,INDEX($AC$1005:$AS$1005,1,MATCH(COLUMNS($AC$1006:AD1006),$AC$1006:$AS$1006,0))&gt;=100000), " ",IF(INDEX($AC$2:$AS$1001,MATCH(ROWS($V$2:V899),$V$2:$V$1001,0),MATCH(COLUMNS($AC$1006:AD1006),$AC$1006:$AS$1006,0)), HYPERLINK("#",""), HYPERLINK(CONCATENATE("#metadata!", ADDRESS(INDEX($X$2:$X$1001,MATCH(ROWS($V$2:V899),$V$2:$V$1001,0),0), INDEX($AC$1004:$AS$1004,1,MATCH(COLUMNS($AC$1006:AD1006),$AC$1006:$AS$1006,0)))),"Fix")))</f>
        <v xml:space="preserve"> </v>
      </c>
      <c r="D899" s="4" t="str">
        <f ca="1">IF(OR(INDEX($W$2:$W$1001,MATCH(ROWS($V$2:V899),$V$2:$V$1001,0),1)&gt;=100000,INDEX($AC$1005:$AS$1005,1,MATCH(COLUMNS($AC$1006:AE1006),$AC$1006:$AS$1006,0))&gt;=100000), " ",IF(INDEX($AC$2:$AS$1001,MATCH(ROWS($V$2:V899),$V$2:$V$1001,0),MATCH(COLUMNS($AC$1006:AE1006),$AC$1006:$AS$1006,0)), HYPERLINK("#",""), HYPERLINK(CONCATENATE("#metadata!", ADDRESS(INDEX($X$2:$X$1001,MATCH(ROWS($V$2:V899),$V$2:$V$1001,0),0), INDEX($AC$1004:$AS$1004,1,MATCH(COLUMNS($AC$1006:AE1006),$AC$1006:$AS$1006,0)))),"Fix")))</f>
        <v xml:space="preserve"> </v>
      </c>
      <c r="E899" s="4" t="str">
        <f ca="1">IF(OR(INDEX($W$2:$W$1001,MATCH(ROWS($V$2:V899),$V$2:$V$1001,0),1)&gt;=100000,INDEX($AC$1005:$AS$1005,1,MATCH(COLUMNS($AC$1006:AF1006),$AC$1006:$AS$1006,0))&gt;=100000), " ",IF(INDEX($AC$2:$AS$1001,MATCH(ROWS($V$2:V899),$V$2:$V$1001,0),MATCH(COLUMNS($AC$1006:AF1006),$AC$1006:$AS$1006,0)), HYPERLINK("#",""), HYPERLINK(CONCATENATE("#metadata!", ADDRESS(INDEX($X$2:$X$1001,MATCH(ROWS($V$2:V899),$V$2:$V$1001,0),0), INDEX($AC$1004:$AS$1004,1,MATCH(COLUMNS($AC$1006:AF1006),$AC$1006:$AS$1006,0)))),"Fix")))</f>
        <v xml:space="preserve"> </v>
      </c>
      <c r="F899" s="4" t="str">
        <f ca="1">IF(OR(INDEX($W$2:$W$1001,MATCH(ROWS($V$2:V899),$V$2:$V$1001,0),1)&gt;=100000,INDEX($AC$1005:$AS$1005,1,MATCH(COLUMNS($AC$1006:AG1006),$AC$1006:$AS$1006,0))&gt;=100000), " ",IF(INDEX($AC$2:$AS$1001,MATCH(ROWS($V$2:V899),$V$2:$V$1001,0),MATCH(COLUMNS($AC$1006:AG1006),$AC$1006:$AS$1006,0)), HYPERLINK("#",""), HYPERLINK(CONCATENATE("#metadata!", ADDRESS(INDEX($X$2:$X$1001,MATCH(ROWS($V$2:V899),$V$2:$V$1001,0),0), INDEX($AC$1004:$AS$1004,1,MATCH(COLUMNS($AC$1006:AG1006),$AC$1006:$AS$1006,0)))),"Fix")))</f>
        <v xml:space="preserve"> </v>
      </c>
      <c r="G899" s="4" t="str">
        <f ca="1">IF(OR(INDEX($W$2:$W$1001,MATCH(ROWS($V$2:V899),$V$2:$V$1001,0),1)&gt;=100000,INDEX($AC$1005:$AS$1005,1,MATCH(COLUMNS($AC$1006:AH1006),$AC$1006:$AS$1006,0))&gt;=100000), " ",IF(INDEX($AC$2:$AS$1001,MATCH(ROWS($V$2:V899),$V$2:$V$1001,0),MATCH(COLUMNS($AC$1006:AH1006),$AC$1006:$AS$1006,0)), HYPERLINK("#",""), HYPERLINK(CONCATENATE("#metadata!", ADDRESS(INDEX($X$2:$X$1001,MATCH(ROWS($V$2:V899),$V$2:$V$1001,0),0), INDEX($AC$1004:$AS$1004,1,MATCH(COLUMNS($AC$1006:AH1006),$AC$1006:$AS$1006,0)))),"Fix")))</f>
        <v xml:space="preserve"> </v>
      </c>
      <c r="H899" s="4" t="str">
        <f ca="1">IF(OR(INDEX($W$2:$W$1001,MATCH(ROWS($V$2:V899),$V$2:$V$1001,0),1)&gt;=100000,INDEX($AC$1005:$AS$1005,1,MATCH(COLUMNS($AC$1006:AI1006),$AC$1006:$AS$1006,0))&gt;=100000), " ",IF(INDEX($AC$2:$AS$1001,MATCH(ROWS($V$2:V899),$V$2:$V$1001,0),MATCH(COLUMNS($AC$1006:AI1006),$AC$1006:$AS$1006,0)), HYPERLINK("#",""), HYPERLINK(CONCATENATE("#metadata!", ADDRESS(INDEX($X$2:$X$1001,MATCH(ROWS($V$2:V899),$V$2:$V$1001,0),0), INDEX($AC$1004:$AS$1004,1,MATCH(COLUMNS($AC$1006:AI1006),$AC$1006:$AS$1006,0)))),"Fix")))</f>
        <v xml:space="preserve"> </v>
      </c>
      <c r="I899" s="4" t="str">
        <f ca="1">IF(OR(INDEX($W$2:$W$1001,MATCH(ROWS($V$2:V899),$V$2:$V$1001,0),1)&gt;=100000,INDEX($AC$1005:$AS$1005,1,MATCH(COLUMNS($AC$1006:AJ1006),$AC$1006:$AS$1006,0))&gt;=100000), " ",IF(INDEX($AC$2:$AS$1001,MATCH(ROWS($V$2:V899),$V$2:$V$1001,0),MATCH(COLUMNS($AC$1006:AJ1006),$AC$1006:$AS$1006,0)), HYPERLINK("#",""), HYPERLINK(CONCATENATE("#metadata!", ADDRESS(INDEX($X$2:$X$1001,MATCH(ROWS($V$2:V899),$V$2:$V$1001,0),0), INDEX($AC$1004:$AS$1004,1,MATCH(COLUMNS($AC$1006:AJ1006),$AC$1006:$AS$1006,0)))),"Fix")))</f>
        <v xml:space="preserve"> </v>
      </c>
      <c r="J899" s="4" t="str">
        <f ca="1">IF(OR(INDEX($W$2:$W$1001,MATCH(ROWS($V$2:V899),$V$2:$V$1001,0),1)&gt;=100000,INDEX($AC$1005:$AS$1005,1,MATCH(COLUMNS($AC$1006:AK1006),$AC$1006:$AS$1006,0))&gt;=100000), " ",IF(INDEX($AC$2:$AS$1001,MATCH(ROWS($V$2:V899),$V$2:$V$1001,0),MATCH(COLUMNS($AC$1006:AK1006),$AC$1006:$AS$1006,0)), HYPERLINK("#",""), HYPERLINK(CONCATENATE("#metadata!", ADDRESS(INDEX($X$2:$X$1001,MATCH(ROWS($V$2:V899),$V$2:$V$1001,0),0), INDEX($AC$1004:$AS$1004,1,MATCH(COLUMNS($AC$1006:AK1006),$AC$1006:$AS$1006,0)))),"Fix")))</f>
        <v xml:space="preserve"> </v>
      </c>
      <c r="K899" s="4" t="str">
        <f ca="1">IF(OR(INDEX($W$2:$W$1001,MATCH(ROWS($V$2:V899),$V$2:$V$1001,0),1)&gt;=100000,INDEX($AC$1005:$AS$1005,1,MATCH(COLUMNS($AC$1006:AL1006),$AC$1006:$AS$1006,0))&gt;=100000), " ",IF(INDEX($AC$2:$AS$1001,MATCH(ROWS($V$2:V899),$V$2:$V$1001,0),MATCH(COLUMNS($AC$1006:AL1006),$AC$1006:$AS$1006,0)), HYPERLINK("#",""), HYPERLINK(CONCATENATE("#metadata!", ADDRESS(INDEX($X$2:$X$1001,MATCH(ROWS($V$2:V899),$V$2:$V$1001,0),0), INDEX($AC$1004:$AS$1004,1,MATCH(COLUMNS($AC$1006:AL1006),$AC$1006:$AS$1006,0)))),"Fix")))</f>
        <v xml:space="preserve"> </v>
      </c>
      <c r="L899" s="4" t="str">
        <f ca="1">IF(OR(INDEX($W$2:$W$1001,MATCH(ROWS($V$2:V899),$V$2:$V$1001,0),1)&gt;=100000,INDEX($AC$1005:$AS$1005,1,MATCH(COLUMNS($AC$1006:AM1006),$AC$1006:$AS$1006,0))&gt;=100000), " ",IF(INDEX($AC$2:$AS$1001,MATCH(ROWS($V$2:V899),$V$2:$V$1001,0),MATCH(COLUMNS($AC$1006:AM1006),$AC$1006:$AS$1006,0)), HYPERLINK("#",""), HYPERLINK(CONCATENATE("#metadata!", ADDRESS(INDEX($X$2:$X$1001,MATCH(ROWS($V$2:V899),$V$2:$V$1001,0),0), INDEX($AC$1004:$AS$1004,1,MATCH(COLUMNS($AC$1006:AM1006),$AC$1006:$AS$1006,0)))),"Fix")))</f>
        <v xml:space="preserve"> </v>
      </c>
      <c r="M899" s="4" t="str">
        <f ca="1">IF(OR(INDEX($W$2:$W$1001,MATCH(ROWS($V$2:V899),$V$2:$V$1001,0),1)&gt;=100000,INDEX($AC$1005:$AS$1005,1,MATCH(COLUMNS($AC$1006:AN1006),$AC$1006:$AS$1006,0))&gt;=100000), " ",IF(INDEX($AC$2:$AS$1001,MATCH(ROWS($V$2:V899),$V$2:$V$1001,0),MATCH(COLUMNS($AC$1006:AN1006),$AC$1006:$AS$1006,0)), HYPERLINK("#",""), HYPERLINK(CONCATENATE("#metadata!", ADDRESS(INDEX($X$2:$X$1001,MATCH(ROWS($V$2:V899),$V$2:$V$1001,0),0), INDEX($AC$1004:$AS$1004,1,MATCH(COLUMNS($AC$1006:AN1006),$AC$1006:$AS$1006,0)))),"Fix")))</f>
        <v xml:space="preserve"> </v>
      </c>
      <c r="N899" s="4" t="str">
        <f ca="1">IF(OR(INDEX($W$2:$W$1001,MATCH(ROWS($V$2:V899),$V$2:$V$1001,0),1)&gt;=100000,INDEX($AC$1005:$AS$1005,1,MATCH(COLUMNS($AC$1006:AO1006),$AC$1006:$AS$1006,0))&gt;=100000), " ",IF(INDEX($AC$2:$AS$1001,MATCH(ROWS($V$2:V899),$V$2:$V$1001,0),MATCH(COLUMNS($AC$1006:AO1006),$AC$1006:$AS$1006,0)), HYPERLINK("#",""), HYPERLINK(CONCATENATE("#metadata!", ADDRESS(INDEX($X$2:$X$1001,MATCH(ROWS($V$2:V899),$V$2:$V$1001,0),0), INDEX($AC$1004:$AS$1004,1,MATCH(COLUMNS($AC$1006:AO1006),$AC$1006:$AS$1006,0)))),"Fix")))</f>
        <v xml:space="preserve"> </v>
      </c>
      <c r="O899" s="4" t="str">
        <f ca="1">IF(OR(INDEX($W$2:$W$1001,MATCH(ROWS($V$2:V899),$V$2:$V$1001,0),1)&gt;=100000,INDEX($AC$1005:$AS$1005,1,MATCH(COLUMNS($AC$1006:AP1006),$AC$1006:$AS$1006,0))&gt;=100000), " ",IF(INDEX($AC$2:$AS$1001,MATCH(ROWS($V$2:V899),$V$2:$V$1001,0),MATCH(COLUMNS($AC$1006:AP1006),$AC$1006:$AS$1006,0)), HYPERLINK("#",""), HYPERLINK(CONCATENATE("#metadata!", ADDRESS(INDEX($X$2:$X$1001,MATCH(ROWS($V$2:V899),$V$2:$V$1001,0),0), INDEX($AC$1004:$AS$1004,1,MATCH(COLUMNS($AC$1006:AP1006),$AC$1006:$AS$1006,0)))),"Fix")))</f>
        <v xml:space="preserve"> </v>
      </c>
      <c r="P899" s="4" t="str">
        <f ca="1">IF(OR(INDEX($W$2:$W$1001,MATCH(ROWS($V$2:V899),$V$2:$V$1001,0),1)&gt;=100000,INDEX($AC$1005:$AS$1005,1,MATCH(COLUMNS($AC$1006:AQ1006),$AC$1006:$AS$1006,0))&gt;=100000), " ",IF(INDEX($AC$2:$AS$1001,MATCH(ROWS($V$2:V899),$V$2:$V$1001,0),MATCH(COLUMNS($AC$1006:AQ1006),$AC$1006:$AS$1006,0)), HYPERLINK("#",""), HYPERLINK(CONCATENATE("#metadata!", ADDRESS(INDEX($X$2:$X$1001,MATCH(ROWS($V$2:V899),$V$2:$V$1001,0),0), INDEX($AC$1004:$AS$1004,1,MATCH(COLUMNS($AC$1006:AQ1006),$AC$1006:$AS$1006,0)))),"Fix")))</f>
        <v xml:space="preserve"> </v>
      </c>
      <c r="Q899" s="4" t="str">
        <f ca="1">IF(OR(INDEX($W$2:$W$1001,MATCH(ROWS($V$2:V899),$V$2:$V$1001,0),1)&gt;=100000,INDEX($AC$1005:$AS$1005,1,MATCH(COLUMNS($AC$1006:AR1006),$AC$1006:$AS$1006,0))&gt;=100000), " ",IF(INDEX($AC$2:$AS$1001,MATCH(ROWS($V$2:V899),$V$2:$V$1001,0),MATCH(COLUMNS($AC$1006:AR1006),$AC$1006:$AS$1006,0)), HYPERLINK("#",""), HYPERLINK(CONCATENATE("#metadata!", ADDRESS(INDEX($X$2:$X$1001,MATCH(ROWS($V$2:V899),$V$2:$V$1001,0),0), INDEX($AC$1004:$AS$1004,1,MATCH(COLUMNS($AC$1006:AR1006),$AC$1006:$AS$1006,0)))),"Fix")))</f>
        <v xml:space="preserve"> </v>
      </c>
      <c r="R899" s="4" t="str">
        <f ca="1">IF(OR(INDEX($W$2:$W$1001,MATCH(ROWS($V$2:V899),$V$2:$V$1001,0),1)&gt;=100000,INDEX($AC$1005:$AS$1005,1,MATCH(COLUMNS($AC$1006:AS1006),$AC$1006:$AS$1006,0))&gt;=100000), " ",IF(INDEX($AC$2:$AS$1001,MATCH(ROWS($V$2:V899),$V$2:$V$1001,0),MATCH(COLUMNS($AC$1006:AS1006),$AC$1006:$AS$1006,0)), HYPERLINK("#",""), HYPERLINK(CONCATENATE("#metadata!", ADDRESS(INDEX($X$2:$X$1001,MATCH(ROWS($V$2:V899),$V$2:$V$1001,0),0), INDEX($AC$1004:$AS$1004,1,MATCH(COLUMNS($AC$1006:AS1006),$AC$1006:$AS$1006,0)))),"Fix")))</f>
        <v xml:space="preserve"> </v>
      </c>
      <c r="V899">
        <v>898</v>
      </c>
      <c r="W899">
        <v>100899</v>
      </c>
      <c r="X899">
        <v>899</v>
      </c>
      <c r="Y899" t="b">
        <f t="shared" si="14"/>
        <v>1</v>
      </c>
      <c r="Z899" t="b">
        <f>COUNTBLANK(metadata!B899:R899)=COLUMNS(metadata!B899:R899)</f>
        <v>1</v>
      </c>
      <c r="AA899" t="str">
        <v/>
      </c>
      <c r="AC899" t="b">
        <f ca="1"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AD899" t="b">
        <f>IF(metadata!C899="",FALSE,ISNUMBER(VALUE(metadata!C899)))</f>
        <v>0</v>
      </c>
      <c r="AE899" t="b">
        <f>AND(IF(metadata!D899="",FALSE,TRUE),EXACT(metadata!D899,"years"))</f>
        <v>0</v>
      </c>
      <c r="AF899" t="b">
        <f>OR(AND(IF(metadata!E899="",FALSE,TRUE),OR(EXACT(metadata!E899,"not applicable"),EXACT(metadata!E899,"missing: not collected"),EXACT(metadata!E899,"missing: not provided"),EXACT(metadata!E899,"missing: restricted access"))),AND(IF(metadata!E899="",FALSE,ISNUMBER(VALUE(metadata!E899))),metadata!E899&gt;0))</f>
        <v>0</v>
      </c>
      <c r="AG899" t="b">
        <f>AND(IF(metadata!F899="",FALSE,TRUE),EXACT(metadata!F899,"Not applicable"))</f>
        <v>0</v>
      </c>
      <c r="AH899" t="b">
        <f>AND(IF(metadata!G899="",FALSE,TRUE),EXACT(metadata!G899,"urban biome"))</f>
        <v>0</v>
      </c>
      <c r="AI899" t="b">
        <f>AND(IF(metadata!H899="",FALSE,TRUE),EXACT(metadata!H899,"human-associated habitat"))</f>
        <v>0</v>
      </c>
      <c r="AJ899" t="b">
        <f>AND(IF(metadata!I899="",FALSE,TRUE),OR(EXACT(metadata!I899,"human-associated"),EXACT(metadata!I899,"human-skin"),EXACT(metadata!I899,"human-oral"),EXACT(metadata!I899,"human-gut"),EXACT(metadata!I899,"human-vaginal")))</f>
        <v>0</v>
      </c>
      <c r="AK899" t="b">
        <f>IF(metadata!J899="",FALSE,ISNUMBER(VALUE(metadata!J899)))</f>
        <v>0</v>
      </c>
      <c r="AL899" t="b">
        <f>AND(IF(metadata!K899="",FALSE,TRUE),EXACT(metadata!K899,"cm"))</f>
        <v>0</v>
      </c>
      <c r="AM899" t="b">
        <f>AND(IF(metadata!L899="",FALSE,TRUE),EXACT(metadata!L899,"human"))</f>
        <v>0</v>
      </c>
      <c r="AN899" t="b">
        <f>AND(IF(metadata!M899="",FALSE,TRUE),EXACT(metadata!M899,"Homo sapiens"))</f>
        <v>0</v>
      </c>
      <c r="AO899" t="b">
        <f>AND(IF(metadata!N899="",FALSE,TRUE),EXACT(metadata!N899,"9606"))</f>
        <v>0</v>
      </c>
      <c r="AP899" t="b">
        <f>IF(metadata!O899="",FALSE,TRUE)</f>
        <v>0</v>
      </c>
      <c r="AQ899" t="b">
        <f>IF(metadata!P899="",FALSE,TRUE)</f>
        <v>0</v>
      </c>
      <c r="AR899" t="b">
        <f>IF(metadata!Q899="",FALSE,ISNUMBER(VALUE(metadata!Q899)))</f>
        <v>0</v>
      </c>
      <c r="AS899" t="b">
        <f>AND(IF(metadata!R899="",FALSE,TRUE),EXACT(metadata!R899,"kg"))</f>
        <v>0</v>
      </c>
    </row>
    <row r="900" spans="1:45" x14ac:dyDescent="0.2">
      <c r="A900" s="5" t="str">
        <f ca="1">IF(B900=" "," ",HYPERLINK(CONCATENATE("#metadata!",ADDRESS(INDEX($X$2:$X$1001,MATCH(ROWS($V$2:V900),$V$2:$V$1001,0),0),1)),INDEX($AA$2:$AA$1001,MATCH(ROWS($V$2:V900),$V$2:$V$1001,0),0)))</f>
        <v xml:space="preserve"> </v>
      </c>
      <c r="B900" s="4" t="str">
        <f ca="1">IF(OR(INDEX($W$2:$W$1001,MATCH(ROWS($V$2:V900),$V$2:$V$1001,0),1)&gt;=100000,INDEX($AC$1005:$AS$1005,1,MATCH(COLUMNS($AC$1006:AC1006),$AC$1006:$AS$1006,0))&gt;=100000), " ",IF(INDEX($AC$2:$AS$1001,MATCH(ROWS($V$2:V900),$V$2:$V$1001,0),MATCH(COLUMNS($AC$1006:AC1006),$AC$1006:$AS$1006,0)), HYPERLINK("#",""), HYPERLINK(CONCATENATE("#metadata!", ADDRESS(INDEX($X$2:$X$1001,MATCH(ROWS($V$2:V900),$V$2:$V$1001,0),0), INDEX($AC$1004:$AS$1004,1,MATCH(COLUMNS($AC$1006:AC1006),$AC$1006:$AS$1006,0)))),"Fix")))</f>
        <v xml:space="preserve"> </v>
      </c>
      <c r="C900" s="4" t="str">
        <f ca="1">IF(OR(INDEX($W$2:$W$1001,MATCH(ROWS($V$2:V900),$V$2:$V$1001,0),1)&gt;=100000,INDEX($AC$1005:$AS$1005,1,MATCH(COLUMNS($AC$1006:AD1006),$AC$1006:$AS$1006,0))&gt;=100000), " ",IF(INDEX($AC$2:$AS$1001,MATCH(ROWS($V$2:V900),$V$2:$V$1001,0),MATCH(COLUMNS($AC$1006:AD1006),$AC$1006:$AS$1006,0)), HYPERLINK("#",""), HYPERLINK(CONCATENATE("#metadata!", ADDRESS(INDEX($X$2:$X$1001,MATCH(ROWS($V$2:V900),$V$2:$V$1001,0),0), INDEX($AC$1004:$AS$1004,1,MATCH(COLUMNS($AC$1006:AD1006),$AC$1006:$AS$1006,0)))),"Fix")))</f>
        <v xml:space="preserve"> </v>
      </c>
      <c r="D900" s="4" t="str">
        <f ca="1">IF(OR(INDEX($W$2:$W$1001,MATCH(ROWS($V$2:V900),$V$2:$V$1001,0),1)&gt;=100000,INDEX($AC$1005:$AS$1005,1,MATCH(COLUMNS($AC$1006:AE1006),$AC$1006:$AS$1006,0))&gt;=100000), " ",IF(INDEX($AC$2:$AS$1001,MATCH(ROWS($V$2:V900),$V$2:$V$1001,0),MATCH(COLUMNS($AC$1006:AE1006),$AC$1006:$AS$1006,0)), HYPERLINK("#",""), HYPERLINK(CONCATENATE("#metadata!", ADDRESS(INDEX($X$2:$X$1001,MATCH(ROWS($V$2:V900),$V$2:$V$1001,0),0), INDEX($AC$1004:$AS$1004,1,MATCH(COLUMNS($AC$1006:AE1006),$AC$1006:$AS$1006,0)))),"Fix")))</f>
        <v xml:space="preserve"> </v>
      </c>
      <c r="E900" s="4" t="str">
        <f ca="1">IF(OR(INDEX($W$2:$W$1001,MATCH(ROWS($V$2:V900),$V$2:$V$1001,0),1)&gt;=100000,INDEX($AC$1005:$AS$1005,1,MATCH(COLUMNS($AC$1006:AF1006),$AC$1006:$AS$1006,0))&gt;=100000), " ",IF(INDEX($AC$2:$AS$1001,MATCH(ROWS($V$2:V900),$V$2:$V$1001,0),MATCH(COLUMNS($AC$1006:AF1006),$AC$1006:$AS$1006,0)), HYPERLINK("#",""), HYPERLINK(CONCATENATE("#metadata!", ADDRESS(INDEX($X$2:$X$1001,MATCH(ROWS($V$2:V900),$V$2:$V$1001,0),0), INDEX($AC$1004:$AS$1004,1,MATCH(COLUMNS($AC$1006:AF1006),$AC$1006:$AS$1006,0)))),"Fix")))</f>
        <v xml:space="preserve"> </v>
      </c>
      <c r="F900" s="4" t="str">
        <f ca="1">IF(OR(INDEX($W$2:$W$1001,MATCH(ROWS($V$2:V900),$V$2:$V$1001,0),1)&gt;=100000,INDEX($AC$1005:$AS$1005,1,MATCH(COLUMNS($AC$1006:AG1006),$AC$1006:$AS$1006,0))&gt;=100000), " ",IF(INDEX($AC$2:$AS$1001,MATCH(ROWS($V$2:V900),$V$2:$V$1001,0),MATCH(COLUMNS($AC$1006:AG1006),$AC$1006:$AS$1006,0)), HYPERLINK("#",""), HYPERLINK(CONCATENATE("#metadata!", ADDRESS(INDEX($X$2:$X$1001,MATCH(ROWS($V$2:V900),$V$2:$V$1001,0),0), INDEX($AC$1004:$AS$1004,1,MATCH(COLUMNS($AC$1006:AG1006),$AC$1006:$AS$1006,0)))),"Fix")))</f>
        <v xml:space="preserve"> </v>
      </c>
      <c r="G900" s="4" t="str">
        <f ca="1">IF(OR(INDEX($W$2:$W$1001,MATCH(ROWS($V$2:V900),$V$2:$V$1001,0),1)&gt;=100000,INDEX($AC$1005:$AS$1005,1,MATCH(COLUMNS($AC$1006:AH1006),$AC$1006:$AS$1006,0))&gt;=100000), " ",IF(INDEX($AC$2:$AS$1001,MATCH(ROWS($V$2:V900),$V$2:$V$1001,0),MATCH(COLUMNS($AC$1006:AH1006),$AC$1006:$AS$1006,0)), HYPERLINK("#",""), HYPERLINK(CONCATENATE("#metadata!", ADDRESS(INDEX($X$2:$X$1001,MATCH(ROWS($V$2:V900),$V$2:$V$1001,0),0), INDEX($AC$1004:$AS$1004,1,MATCH(COLUMNS($AC$1006:AH1006),$AC$1006:$AS$1006,0)))),"Fix")))</f>
        <v xml:space="preserve"> </v>
      </c>
      <c r="H900" s="4" t="str">
        <f ca="1">IF(OR(INDEX($W$2:$W$1001,MATCH(ROWS($V$2:V900),$V$2:$V$1001,0),1)&gt;=100000,INDEX($AC$1005:$AS$1005,1,MATCH(COLUMNS($AC$1006:AI1006),$AC$1006:$AS$1006,0))&gt;=100000), " ",IF(INDEX($AC$2:$AS$1001,MATCH(ROWS($V$2:V900),$V$2:$V$1001,0),MATCH(COLUMNS($AC$1006:AI1006),$AC$1006:$AS$1006,0)), HYPERLINK("#",""), HYPERLINK(CONCATENATE("#metadata!", ADDRESS(INDEX($X$2:$X$1001,MATCH(ROWS($V$2:V900),$V$2:$V$1001,0),0), INDEX($AC$1004:$AS$1004,1,MATCH(COLUMNS($AC$1006:AI1006),$AC$1006:$AS$1006,0)))),"Fix")))</f>
        <v xml:space="preserve"> </v>
      </c>
      <c r="I900" s="4" t="str">
        <f ca="1">IF(OR(INDEX($W$2:$W$1001,MATCH(ROWS($V$2:V900),$V$2:$V$1001,0),1)&gt;=100000,INDEX($AC$1005:$AS$1005,1,MATCH(COLUMNS($AC$1006:AJ1006),$AC$1006:$AS$1006,0))&gt;=100000), " ",IF(INDEX($AC$2:$AS$1001,MATCH(ROWS($V$2:V900),$V$2:$V$1001,0),MATCH(COLUMNS($AC$1006:AJ1006),$AC$1006:$AS$1006,0)), HYPERLINK("#",""), HYPERLINK(CONCATENATE("#metadata!", ADDRESS(INDEX($X$2:$X$1001,MATCH(ROWS($V$2:V900),$V$2:$V$1001,0),0), INDEX($AC$1004:$AS$1004,1,MATCH(COLUMNS($AC$1006:AJ1006),$AC$1006:$AS$1006,0)))),"Fix")))</f>
        <v xml:space="preserve"> </v>
      </c>
      <c r="J900" s="4" t="str">
        <f ca="1">IF(OR(INDEX($W$2:$W$1001,MATCH(ROWS($V$2:V900),$V$2:$V$1001,0),1)&gt;=100000,INDEX($AC$1005:$AS$1005,1,MATCH(COLUMNS($AC$1006:AK1006),$AC$1006:$AS$1006,0))&gt;=100000), " ",IF(INDEX($AC$2:$AS$1001,MATCH(ROWS($V$2:V900),$V$2:$V$1001,0),MATCH(COLUMNS($AC$1006:AK1006),$AC$1006:$AS$1006,0)), HYPERLINK("#",""), HYPERLINK(CONCATENATE("#metadata!", ADDRESS(INDEX($X$2:$X$1001,MATCH(ROWS($V$2:V900),$V$2:$V$1001,0),0), INDEX($AC$1004:$AS$1004,1,MATCH(COLUMNS($AC$1006:AK1006),$AC$1006:$AS$1006,0)))),"Fix")))</f>
        <v xml:space="preserve"> </v>
      </c>
      <c r="K900" s="4" t="str">
        <f ca="1">IF(OR(INDEX($W$2:$W$1001,MATCH(ROWS($V$2:V900),$V$2:$V$1001,0),1)&gt;=100000,INDEX($AC$1005:$AS$1005,1,MATCH(COLUMNS($AC$1006:AL1006),$AC$1006:$AS$1006,0))&gt;=100000), " ",IF(INDEX($AC$2:$AS$1001,MATCH(ROWS($V$2:V900),$V$2:$V$1001,0),MATCH(COLUMNS($AC$1006:AL1006),$AC$1006:$AS$1006,0)), HYPERLINK("#",""), HYPERLINK(CONCATENATE("#metadata!", ADDRESS(INDEX($X$2:$X$1001,MATCH(ROWS($V$2:V900),$V$2:$V$1001,0),0), INDEX($AC$1004:$AS$1004,1,MATCH(COLUMNS($AC$1006:AL1006),$AC$1006:$AS$1006,0)))),"Fix")))</f>
        <v xml:space="preserve"> </v>
      </c>
      <c r="L900" s="4" t="str">
        <f ca="1">IF(OR(INDEX($W$2:$W$1001,MATCH(ROWS($V$2:V900),$V$2:$V$1001,0),1)&gt;=100000,INDEX($AC$1005:$AS$1005,1,MATCH(COLUMNS($AC$1006:AM1006),$AC$1006:$AS$1006,0))&gt;=100000), " ",IF(INDEX($AC$2:$AS$1001,MATCH(ROWS($V$2:V900),$V$2:$V$1001,0),MATCH(COLUMNS($AC$1006:AM1006),$AC$1006:$AS$1006,0)), HYPERLINK("#",""), HYPERLINK(CONCATENATE("#metadata!", ADDRESS(INDEX($X$2:$X$1001,MATCH(ROWS($V$2:V900),$V$2:$V$1001,0),0), INDEX($AC$1004:$AS$1004,1,MATCH(COLUMNS($AC$1006:AM1006),$AC$1006:$AS$1006,0)))),"Fix")))</f>
        <v xml:space="preserve"> </v>
      </c>
      <c r="M900" s="4" t="str">
        <f ca="1">IF(OR(INDEX($W$2:$W$1001,MATCH(ROWS($V$2:V900),$V$2:$V$1001,0),1)&gt;=100000,INDEX($AC$1005:$AS$1005,1,MATCH(COLUMNS($AC$1006:AN1006),$AC$1006:$AS$1006,0))&gt;=100000), " ",IF(INDEX($AC$2:$AS$1001,MATCH(ROWS($V$2:V900),$V$2:$V$1001,0),MATCH(COLUMNS($AC$1006:AN1006),$AC$1006:$AS$1006,0)), HYPERLINK("#",""), HYPERLINK(CONCATENATE("#metadata!", ADDRESS(INDEX($X$2:$X$1001,MATCH(ROWS($V$2:V900),$V$2:$V$1001,0),0), INDEX($AC$1004:$AS$1004,1,MATCH(COLUMNS($AC$1006:AN1006),$AC$1006:$AS$1006,0)))),"Fix")))</f>
        <v xml:space="preserve"> </v>
      </c>
      <c r="N900" s="4" t="str">
        <f ca="1">IF(OR(INDEX($W$2:$W$1001,MATCH(ROWS($V$2:V900),$V$2:$V$1001,0),1)&gt;=100000,INDEX($AC$1005:$AS$1005,1,MATCH(COLUMNS($AC$1006:AO1006),$AC$1006:$AS$1006,0))&gt;=100000), " ",IF(INDEX($AC$2:$AS$1001,MATCH(ROWS($V$2:V900),$V$2:$V$1001,0),MATCH(COLUMNS($AC$1006:AO1006),$AC$1006:$AS$1006,0)), HYPERLINK("#",""), HYPERLINK(CONCATENATE("#metadata!", ADDRESS(INDEX($X$2:$X$1001,MATCH(ROWS($V$2:V900),$V$2:$V$1001,0),0), INDEX($AC$1004:$AS$1004,1,MATCH(COLUMNS($AC$1006:AO1006),$AC$1006:$AS$1006,0)))),"Fix")))</f>
        <v xml:space="preserve"> </v>
      </c>
      <c r="O900" s="4" t="str">
        <f ca="1">IF(OR(INDEX($W$2:$W$1001,MATCH(ROWS($V$2:V900),$V$2:$V$1001,0),1)&gt;=100000,INDEX($AC$1005:$AS$1005,1,MATCH(COLUMNS($AC$1006:AP1006),$AC$1006:$AS$1006,0))&gt;=100000), " ",IF(INDEX($AC$2:$AS$1001,MATCH(ROWS($V$2:V900),$V$2:$V$1001,0),MATCH(COLUMNS($AC$1006:AP1006),$AC$1006:$AS$1006,0)), HYPERLINK("#",""), HYPERLINK(CONCATENATE("#metadata!", ADDRESS(INDEX($X$2:$X$1001,MATCH(ROWS($V$2:V900),$V$2:$V$1001,0),0), INDEX($AC$1004:$AS$1004,1,MATCH(COLUMNS($AC$1006:AP1006),$AC$1006:$AS$1006,0)))),"Fix")))</f>
        <v xml:space="preserve"> </v>
      </c>
      <c r="P900" s="4" t="str">
        <f ca="1">IF(OR(INDEX($W$2:$W$1001,MATCH(ROWS($V$2:V900),$V$2:$V$1001,0),1)&gt;=100000,INDEX($AC$1005:$AS$1005,1,MATCH(COLUMNS($AC$1006:AQ1006),$AC$1006:$AS$1006,0))&gt;=100000), " ",IF(INDEX($AC$2:$AS$1001,MATCH(ROWS($V$2:V900),$V$2:$V$1001,0),MATCH(COLUMNS($AC$1006:AQ1006),$AC$1006:$AS$1006,0)), HYPERLINK("#",""), HYPERLINK(CONCATENATE("#metadata!", ADDRESS(INDEX($X$2:$X$1001,MATCH(ROWS($V$2:V900),$V$2:$V$1001,0),0), INDEX($AC$1004:$AS$1004,1,MATCH(COLUMNS($AC$1006:AQ1006),$AC$1006:$AS$1006,0)))),"Fix")))</f>
        <v xml:space="preserve"> </v>
      </c>
      <c r="Q900" s="4" t="str">
        <f ca="1">IF(OR(INDEX($W$2:$W$1001,MATCH(ROWS($V$2:V900),$V$2:$V$1001,0),1)&gt;=100000,INDEX($AC$1005:$AS$1005,1,MATCH(COLUMNS($AC$1006:AR1006),$AC$1006:$AS$1006,0))&gt;=100000), " ",IF(INDEX($AC$2:$AS$1001,MATCH(ROWS($V$2:V900),$V$2:$V$1001,0),MATCH(COLUMNS($AC$1006:AR1006),$AC$1006:$AS$1006,0)), HYPERLINK("#",""), HYPERLINK(CONCATENATE("#metadata!", ADDRESS(INDEX($X$2:$X$1001,MATCH(ROWS($V$2:V900),$V$2:$V$1001,0),0), INDEX($AC$1004:$AS$1004,1,MATCH(COLUMNS($AC$1006:AR1006),$AC$1006:$AS$1006,0)))),"Fix")))</f>
        <v xml:space="preserve"> </v>
      </c>
      <c r="R900" s="4" t="str">
        <f ca="1">IF(OR(INDEX($W$2:$W$1001,MATCH(ROWS($V$2:V900),$V$2:$V$1001,0),1)&gt;=100000,INDEX($AC$1005:$AS$1005,1,MATCH(COLUMNS($AC$1006:AS1006),$AC$1006:$AS$1006,0))&gt;=100000), " ",IF(INDEX($AC$2:$AS$1001,MATCH(ROWS($V$2:V900),$V$2:$V$1001,0),MATCH(COLUMNS($AC$1006:AS1006),$AC$1006:$AS$1006,0)), HYPERLINK("#",""), HYPERLINK(CONCATENATE("#metadata!", ADDRESS(INDEX($X$2:$X$1001,MATCH(ROWS($V$2:V900),$V$2:$V$1001,0),0), INDEX($AC$1004:$AS$1004,1,MATCH(COLUMNS($AC$1006:AS1006),$AC$1006:$AS$1006,0)))),"Fix")))</f>
        <v xml:space="preserve"> </v>
      </c>
      <c r="V900">
        <v>899</v>
      </c>
      <c r="W900">
        <v>100900</v>
      </c>
      <c r="X900">
        <v>900</v>
      </c>
      <c r="Y900" t="b">
        <f t="shared" si="14"/>
        <v>1</v>
      </c>
      <c r="Z900" t="b">
        <f>COUNTBLANK(metadata!B900:R900)=COLUMNS(metadata!B900:R900)</f>
        <v>1</v>
      </c>
      <c r="AA900" t="str">
        <v/>
      </c>
      <c r="AC900" t="b">
        <f ca="1"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AD900" t="b">
        <f>IF(metadata!C900="",FALSE,ISNUMBER(VALUE(metadata!C900)))</f>
        <v>0</v>
      </c>
      <c r="AE900" t="b">
        <f>AND(IF(metadata!D900="",FALSE,TRUE),EXACT(metadata!D900,"years"))</f>
        <v>0</v>
      </c>
      <c r="AF900" t="b">
        <f>OR(AND(IF(metadata!E900="",FALSE,TRUE),OR(EXACT(metadata!E900,"not applicable"),EXACT(metadata!E900,"missing: not collected"),EXACT(metadata!E900,"missing: not provided"),EXACT(metadata!E900,"missing: restricted access"))),AND(IF(metadata!E900="",FALSE,ISNUMBER(VALUE(metadata!E900))),metadata!E900&gt;0))</f>
        <v>0</v>
      </c>
      <c r="AG900" t="b">
        <f>AND(IF(metadata!F900="",FALSE,TRUE),EXACT(metadata!F900,"Not applicable"))</f>
        <v>0</v>
      </c>
      <c r="AH900" t="b">
        <f>AND(IF(metadata!G900="",FALSE,TRUE),EXACT(metadata!G900,"urban biome"))</f>
        <v>0</v>
      </c>
      <c r="AI900" t="b">
        <f>AND(IF(metadata!H900="",FALSE,TRUE),EXACT(metadata!H900,"human-associated habitat"))</f>
        <v>0</v>
      </c>
      <c r="AJ900" t="b">
        <f>AND(IF(metadata!I900="",FALSE,TRUE),OR(EXACT(metadata!I900,"human-associated"),EXACT(metadata!I900,"human-skin"),EXACT(metadata!I900,"human-oral"),EXACT(metadata!I900,"human-gut"),EXACT(metadata!I900,"human-vaginal")))</f>
        <v>0</v>
      </c>
      <c r="AK900" t="b">
        <f>IF(metadata!J900="",FALSE,ISNUMBER(VALUE(metadata!J900)))</f>
        <v>0</v>
      </c>
      <c r="AL900" t="b">
        <f>AND(IF(metadata!K900="",FALSE,TRUE),EXACT(metadata!K900,"cm"))</f>
        <v>0</v>
      </c>
      <c r="AM900" t="b">
        <f>AND(IF(metadata!L900="",FALSE,TRUE),EXACT(metadata!L900,"human"))</f>
        <v>0</v>
      </c>
      <c r="AN900" t="b">
        <f>AND(IF(metadata!M900="",FALSE,TRUE),EXACT(metadata!M900,"Homo sapiens"))</f>
        <v>0</v>
      </c>
      <c r="AO900" t="b">
        <f>AND(IF(metadata!N900="",FALSE,TRUE),EXACT(metadata!N900,"9606"))</f>
        <v>0</v>
      </c>
      <c r="AP900" t="b">
        <f>IF(metadata!O900="",FALSE,TRUE)</f>
        <v>0</v>
      </c>
      <c r="AQ900" t="b">
        <f>IF(metadata!P900="",FALSE,TRUE)</f>
        <v>0</v>
      </c>
      <c r="AR900" t="b">
        <f>IF(metadata!Q900="",FALSE,ISNUMBER(VALUE(metadata!Q900)))</f>
        <v>0</v>
      </c>
      <c r="AS900" t="b">
        <f>AND(IF(metadata!R900="",FALSE,TRUE),EXACT(metadata!R900,"kg"))</f>
        <v>0</v>
      </c>
    </row>
    <row r="901" spans="1:45" x14ac:dyDescent="0.2">
      <c r="A901" s="5" t="str">
        <f ca="1">IF(B901=" "," ",HYPERLINK(CONCATENATE("#metadata!",ADDRESS(INDEX($X$2:$X$1001,MATCH(ROWS($V$2:V901),$V$2:$V$1001,0),0),1)),INDEX($AA$2:$AA$1001,MATCH(ROWS($V$2:V901),$V$2:$V$1001,0),0)))</f>
        <v xml:space="preserve"> </v>
      </c>
      <c r="B901" s="4" t="str">
        <f ca="1">IF(OR(INDEX($W$2:$W$1001,MATCH(ROWS($V$2:V901),$V$2:$V$1001,0),1)&gt;=100000,INDEX($AC$1005:$AS$1005,1,MATCH(COLUMNS($AC$1006:AC1006),$AC$1006:$AS$1006,0))&gt;=100000), " ",IF(INDEX($AC$2:$AS$1001,MATCH(ROWS($V$2:V901),$V$2:$V$1001,0),MATCH(COLUMNS($AC$1006:AC1006),$AC$1006:$AS$1006,0)), HYPERLINK("#",""), HYPERLINK(CONCATENATE("#metadata!", ADDRESS(INDEX($X$2:$X$1001,MATCH(ROWS($V$2:V901),$V$2:$V$1001,0),0), INDEX($AC$1004:$AS$1004,1,MATCH(COLUMNS($AC$1006:AC1006),$AC$1006:$AS$1006,0)))),"Fix")))</f>
        <v xml:space="preserve"> </v>
      </c>
      <c r="C901" s="4" t="str">
        <f ca="1">IF(OR(INDEX($W$2:$W$1001,MATCH(ROWS($V$2:V901),$V$2:$V$1001,0),1)&gt;=100000,INDEX($AC$1005:$AS$1005,1,MATCH(COLUMNS($AC$1006:AD1006),$AC$1006:$AS$1006,0))&gt;=100000), " ",IF(INDEX($AC$2:$AS$1001,MATCH(ROWS($V$2:V901),$V$2:$V$1001,0),MATCH(COLUMNS($AC$1006:AD1006),$AC$1006:$AS$1006,0)), HYPERLINK("#",""), HYPERLINK(CONCATENATE("#metadata!", ADDRESS(INDEX($X$2:$X$1001,MATCH(ROWS($V$2:V901),$V$2:$V$1001,0),0), INDEX($AC$1004:$AS$1004,1,MATCH(COLUMNS($AC$1006:AD1006),$AC$1006:$AS$1006,0)))),"Fix")))</f>
        <v xml:space="preserve"> </v>
      </c>
      <c r="D901" s="4" t="str">
        <f ca="1">IF(OR(INDEX($W$2:$W$1001,MATCH(ROWS($V$2:V901),$V$2:$V$1001,0),1)&gt;=100000,INDEX($AC$1005:$AS$1005,1,MATCH(COLUMNS($AC$1006:AE1006),$AC$1006:$AS$1006,0))&gt;=100000), " ",IF(INDEX($AC$2:$AS$1001,MATCH(ROWS($V$2:V901),$V$2:$V$1001,0),MATCH(COLUMNS($AC$1006:AE1006),$AC$1006:$AS$1006,0)), HYPERLINK("#",""), HYPERLINK(CONCATENATE("#metadata!", ADDRESS(INDEX($X$2:$X$1001,MATCH(ROWS($V$2:V901),$V$2:$V$1001,0),0), INDEX($AC$1004:$AS$1004,1,MATCH(COLUMNS($AC$1006:AE1006),$AC$1006:$AS$1006,0)))),"Fix")))</f>
        <v xml:space="preserve"> </v>
      </c>
      <c r="E901" s="4" t="str">
        <f ca="1">IF(OR(INDEX($W$2:$W$1001,MATCH(ROWS($V$2:V901),$V$2:$V$1001,0),1)&gt;=100000,INDEX($AC$1005:$AS$1005,1,MATCH(COLUMNS($AC$1006:AF1006),$AC$1006:$AS$1006,0))&gt;=100000), " ",IF(INDEX($AC$2:$AS$1001,MATCH(ROWS($V$2:V901),$V$2:$V$1001,0),MATCH(COLUMNS($AC$1006:AF1006),$AC$1006:$AS$1006,0)), HYPERLINK("#",""), HYPERLINK(CONCATENATE("#metadata!", ADDRESS(INDEX($X$2:$X$1001,MATCH(ROWS($V$2:V901),$V$2:$V$1001,0),0), INDEX($AC$1004:$AS$1004,1,MATCH(COLUMNS($AC$1006:AF1006),$AC$1006:$AS$1006,0)))),"Fix")))</f>
        <v xml:space="preserve"> </v>
      </c>
      <c r="F901" s="4" t="str">
        <f ca="1">IF(OR(INDEX($W$2:$W$1001,MATCH(ROWS($V$2:V901),$V$2:$V$1001,0),1)&gt;=100000,INDEX($AC$1005:$AS$1005,1,MATCH(COLUMNS($AC$1006:AG1006),$AC$1006:$AS$1006,0))&gt;=100000), " ",IF(INDEX($AC$2:$AS$1001,MATCH(ROWS($V$2:V901),$V$2:$V$1001,0),MATCH(COLUMNS($AC$1006:AG1006),$AC$1006:$AS$1006,0)), HYPERLINK("#",""), HYPERLINK(CONCATENATE("#metadata!", ADDRESS(INDEX($X$2:$X$1001,MATCH(ROWS($V$2:V901),$V$2:$V$1001,0),0), INDEX($AC$1004:$AS$1004,1,MATCH(COLUMNS($AC$1006:AG1006),$AC$1006:$AS$1006,0)))),"Fix")))</f>
        <v xml:space="preserve"> </v>
      </c>
      <c r="G901" s="4" t="str">
        <f ca="1">IF(OR(INDEX($W$2:$W$1001,MATCH(ROWS($V$2:V901),$V$2:$V$1001,0),1)&gt;=100000,INDEX($AC$1005:$AS$1005,1,MATCH(COLUMNS($AC$1006:AH1006),$AC$1006:$AS$1006,0))&gt;=100000), " ",IF(INDEX($AC$2:$AS$1001,MATCH(ROWS($V$2:V901),$V$2:$V$1001,0),MATCH(COLUMNS($AC$1006:AH1006),$AC$1006:$AS$1006,0)), HYPERLINK("#",""), HYPERLINK(CONCATENATE("#metadata!", ADDRESS(INDEX($X$2:$X$1001,MATCH(ROWS($V$2:V901),$V$2:$V$1001,0),0), INDEX($AC$1004:$AS$1004,1,MATCH(COLUMNS($AC$1006:AH1006),$AC$1006:$AS$1006,0)))),"Fix")))</f>
        <v xml:space="preserve"> </v>
      </c>
      <c r="H901" s="4" t="str">
        <f ca="1">IF(OR(INDEX($W$2:$W$1001,MATCH(ROWS($V$2:V901),$V$2:$V$1001,0),1)&gt;=100000,INDEX($AC$1005:$AS$1005,1,MATCH(COLUMNS($AC$1006:AI1006),$AC$1006:$AS$1006,0))&gt;=100000), " ",IF(INDEX($AC$2:$AS$1001,MATCH(ROWS($V$2:V901),$V$2:$V$1001,0),MATCH(COLUMNS($AC$1006:AI1006),$AC$1006:$AS$1006,0)), HYPERLINK("#",""), HYPERLINK(CONCATENATE("#metadata!", ADDRESS(INDEX($X$2:$X$1001,MATCH(ROWS($V$2:V901),$V$2:$V$1001,0),0), INDEX($AC$1004:$AS$1004,1,MATCH(COLUMNS($AC$1006:AI1006),$AC$1006:$AS$1006,0)))),"Fix")))</f>
        <v xml:space="preserve"> </v>
      </c>
      <c r="I901" s="4" t="str">
        <f ca="1">IF(OR(INDEX($W$2:$W$1001,MATCH(ROWS($V$2:V901),$V$2:$V$1001,0),1)&gt;=100000,INDEX($AC$1005:$AS$1005,1,MATCH(COLUMNS($AC$1006:AJ1006),$AC$1006:$AS$1006,0))&gt;=100000), " ",IF(INDEX($AC$2:$AS$1001,MATCH(ROWS($V$2:V901),$V$2:$V$1001,0),MATCH(COLUMNS($AC$1006:AJ1006),$AC$1006:$AS$1006,0)), HYPERLINK("#",""), HYPERLINK(CONCATENATE("#metadata!", ADDRESS(INDEX($X$2:$X$1001,MATCH(ROWS($V$2:V901),$V$2:$V$1001,0),0), INDEX($AC$1004:$AS$1004,1,MATCH(COLUMNS($AC$1006:AJ1006),$AC$1006:$AS$1006,0)))),"Fix")))</f>
        <v xml:space="preserve"> </v>
      </c>
      <c r="J901" s="4" t="str">
        <f ca="1">IF(OR(INDEX($W$2:$W$1001,MATCH(ROWS($V$2:V901),$V$2:$V$1001,0),1)&gt;=100000,INDEX($AC$1005:$AS$1005,1,MATCH(COLUMNS($AC$1006:AK1006),$AC$1006:$AS$1006,0))&gt;=100000), " ",IF(INDEX($AC$2:$AS$1001,MATCH(ROWS($V$2:V901),$V$2:$V$1001,0),MATCH(COLUMNS($AC$1006:AK1006),$AC$1006:$AS$1006,0)), HYPERLINK("#",""), HYPERLINK(CONCATENATE("#metadata!", ADDRESS(INDEX($X$2:$X$1001,MATCH(ROWS($V$2:V901),$V$2:$V$1001,0),0), INDEX($AC$1004:$AS$1004,1,MATCH(COLUMNS($AC$1006:AK1006),$AC$1006:$AS$1006,0)))),"Fix")))</f>
        <v xml:space="preserve"> </v>
      </c>
      <c r="K901" s="4" t="str">
        <f ca="1">IF(OR(INDEX($W$2:$W$1001,MATCH(ROWS($V$2:V901),$V$2:$V$1001,0),1)&gt;=100000,INDEX($AC$1005:$AS$1005,1,MATCH(COLUMNS($AC$1006:AL1006),$AC$1006:$AS$1006,0))&gt;=100000), " ",IF(INDEX($AC$2:$AS$1001,MATCH(ROWS($V$2:V901),$V$2:$V$1001,0),MATCH(COLUMNS($AC$1006:AL1006),$AC$1006:$AS$1006,0)), HYPERLINK("#",""), HYPERLINK(CONCATENATE("#metadata!", ADDRESS(INDEX($X$2:$X$1001,MATCH(ROWS($V$2:V901),$V$2:$V$1001,0),0), INDEX($AC$1004:$AS$1004,1,MATCH(COLUMNS($AC$1006:AL1006),$AC$1006:$AS$1006,0)))),"Fix")))</f>
        <v xml:space="preserve"> </v>
      </c>
      <c r="L901" s="4" t="str">
        <f ca="1">IF(OR(INDEX($W$2:$W$1001,MATCH(ROWS($V$2:V901),$V$2:$V$1001,0),1)&gt;=100000,INDEX($AC$1005:$AS$1005,1,MATCH(COLUMNS($AC$1006:AM1006),$AC$1006:$AS$1006,0))&gt;=100000), " ",IF(INDEX($AC$2:$AS$1001,MATCH(ROWS($V$2:V901),$V$2:$V$1001,0),MATCH(COLUMNS($AC$1006:AM1006),$AC$1006:$AS$1006,0)), HYPERLINK("#",""), HYPERLINK(CONCATENATE("#metadata!", ADDRESS(INDEX($X$2:$X$1001,MATCH(ROWS($V$2:V901),$V$2:$V$1001,0),0), INDEX($AC$1004:$AS$1004,1,MATCH(COLUMNS($AC$1006:AM1006),$AC$1006:$AS$1006,0)))),"Fix")))</f>
        <v xml:space="preserve"> </v>
      </c>
      <c r="M901" s="4" t="str">
        <f ca="1">IF(OR(INDEX($W$2:$W$1001,MATCH(ROWS($V$2:V901),$V$2:$V$1001,0),1)&gt;=100000,INDEX($AC$1005:$AS$1005,1,MATCH(COLUMNS($AC$1006:AN1006),$AC$1006:$AS$1006,0))&gt;=100000), " ",IF(INDEX($AC$2:$AS$1001,MATCH(ROWS($V$2:V901),$V$2:$V$1001,0),MATCH(COLUMNS($AC$1006:AN1006),$AC$1006:$AS$1006,0)), HYPERLINK("#",""), HYPERLINK(CONCATENATE("#metadata!", ADDRESS(INDEX($X$2:$X$1001,MATCH(ROWS($V$2:V901),$V$2:$V$1001,0),0), INDEX($AC$1004:$AS$1004,1,MATCH(COLUMNS($AC$1006:AN1006),$AC$1006:$AS$1006,0)))),"Fix")))</f>
        <v xml:space="preserve"> </v>
      </c>
      <c r="N901" s="4" t="str">
        <f ca="1">IF(OR(INDEX($W$2:$W$1001,MATCH(ROWS($V$2:V901),$V$2:$V$1001,0),1)&gt;=100000,INDEX($AC$1005:$AS$1005,1,MATCH(COLUMNS($AC$1006:AO1006),$AC$1006:$AS$1006,0))&gt;=100000), " ",IF(INDEX($AC$2:$AS$1001,MATCH(ROWS($V$2:V901),$V$2:$V$1001,0),MATCH(COLUMNS($AC$1006:AO1006),$AC$1006:$AS$1006,0)), HYPERLINK("#",""), HYPERLINK(CONCATENATE("#metadata!", ADDRESS(INDEX($X$2:$X$1001,MATCH(ROWS($V$2:V901),$V$2:$V$1001,0),0), INDEX($AC$1004:$AS$1004,1,MATCH(COLUMNS($AC$1006:AO1006),$AC$1006:$AS$1006,0)))),"Fix")))</f>
        <v xml:space="preserve"> </v>
      </c>
      <c r="O901" s="4" t="str">
        <f ca="1">IF(OR(INDEX($W$2:$W$1001,MATCH(ROWS($V$2:V901),$V$2:$V$1001,0),1)&gt;=100000,INDEX($AC$1005:$AS$1005,1,MATCH(COLUMNS($AC$1006:AP1006),$AC$1006:$AS$1006,0))&gt;=100000), " ",IF(INDEX($AC$2:$AS$1001,MATCH(ROWS($V$2:V901),$V$2:$V$1001,0),MATCH(COLUMNS($AC$1006:AP1006),$AC$1006:$AS$1006,0)), HYPERLINK("#",""), HYPERLINK(CONCATENATE("#metadata!", ADDRESS(INDEX($X$2:$X$1001,MATCH(ROWS($V$2:V901),$V$2:$V$1001,0),0), INDEX($AC$1004:$AS$1004,1,MATCH(COLUMNS($AC$1006:AP1006),$AC$1006:$AS$1006,0)))),"Fix")))</f>
        <v xml:space="preserve"> </v>
      </c>
      <c r="P901" s="4" t="str">
        <f ca="1">IF(OR(INDEX($W$2:$W$1001,MATCH(ROWS($V$2:V901),$V$2:$V$1001,0),1)&gt;=100000,INDEX($AC$1005:$AS$1005,1,MATCH(COLUMNS($AC$1006:AQ1006),$AC$1006:$AS$1006,0))&gt;=100000), " ",IF(INDEX($AC$2:$AS$1001,MATCH(ROWS($V$2:V901),$V$2:$V$1001,0),MATCH(COLUMNS($AC$1006:AQ1006),$AC$1006:$AS$1006,0)), HYPERLINK("#",""), HYPERLINK(CONCATENATE("#metadata!", ADDRESS(INDEX($X$2:$X$1001,MATCH(ROWS($V$2:V901),$V$2:$V$1001,0),0), INDEX($AC$1004:$AS$1004,1,MATCH(COLUMNS($AC$1006:AQ1006),$AC$1006:$AS$1006,0)))),"Fix")))</f>
        <v xml:space="preserve"> </v>
      </c>
      <c r="Q901" s="4" t="str">
        <f ca="1">IF(OR(INDEX($W$2:$W$1001,MATCH(ROWS($V$2:V901),$V$2:$V$1001,0),1)&gt;=100000,INDEX($AC$1005:$AS$1005,1,MATCH(COLUMNS($AC$1006:AR1006),$AC$1006:$AS$1006,0))&gt;=100000), " ",IF(INDEX($AC$2:$AS$1001,MATCH(ROWS($V$2:V901),$V$2:$V$1001,0),MATCH(COLUMNS($AC$1006:AR1006),$AC$1006:$AS$1006,0)), HYPERLINK("#",""), HYPERLINK(CONCATENATE("#metadata!", ADDRESS(INDEX($X$2:$X$1001,MATCH(ROWS($V$2:V901),$V$2:$V$1001,0),0), INDEX($AC$1004:$AS$1004,1,MATCH(COLUMNS($AC$1006:AR1006),$AC$1006:$AS$1006,0)))),"Fix")))</f>
        <v xml:space="preserve"> </v>
      </c>
      <c r="R901" s="4" t="str">
        <f ca="1">IF(OR(INDEX($W$2:$W$1001,MATCH(ROWS($V$2:V901),$V$2:$V$1001,0),1)&gt;=100000,INDEX($AC$1005:$AS$1005,1,MATCH(COLUMNS($AC$1006:AS1006),$AC$1006:$AS$1006,0))&gt;=100000), " ",IF(INDEX($AC$2:$AS$1001,MATCH(ROWS($V$2:V901),$V$2:$V$1001,0),MATCH(COLUMNS($AC$1006:AS1006),$AC$1006:$AS$1006,0)), HYPERLINK("#",""), HYPERLINK(CONCATENATE("#metadata!", ADDRESS(INDEX($X$2:$X$1001,MATCH(ROWS($V$2:V901),$V$2:$V$1001,0),0), INDEX($AC$1004:$AS$1004,1,MATCH(COLUMNS($AC$1006:AS1006),$AC$1006:$AS$1006,0)))),"Fix")))</f>
        <v xml:space="preserve"> </v>
      </c>
      <c r="V901">
        <v>900</v>
      </c>
      <c r="W901">
        <v>100901</v>
      </c>
      <c r="X901">
        <v>901</v>
      </c>
      <c r="Y901" t="b">
        <f t="shared" si="14"/>
        <v>1</v>
      </c>
      <c r="Z901" t="b">
        <f>COUNTBLANK(metadata!B901:R901)=COLUMNS(metadata!B901:R901)</f>
        <v>1</v>
      </c>
      <c r="AA901" t="str">
        <v/>
      </c>
      <c r="AC901" t="b">
        <f ca="1"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AD901" t="b">
        <f>IF(metadata!C901="",FALSE,ISNUMBER(VALUE(metadata!C901)))</f>
        <v>0</v>
      </c>
      <c r="AE901" t="b">
        <f>AND(IF(metadata!D901="",FALSE,TRUE),EXACT(metadata!D901,"years"))</f>
        <v>0</v>
      </c>
      <c r="AF901" t="b">
        <f>OR(AND(IF(metadata!E901="",FALSE,TRUE),OR(EXACT(metadata!E901,"not applicable"),EXACT(metadata!E901,"missing: not collected"),EXACT(metadata!E901,"missing: not provided"),EXACT(metadata!E901,"missing: restricted access"))),AND(IF(metadata!E901="",FALSE,ISNUMBER(VALUE(metadata!E901))),metadata!E901&gt;0))</f>
        <v>0</v>
      </c>
      <c r="AG901" t="b">
        <f>AND(IF(metadata!F901="",FALSE,TRUE),EXACT(metadata!F901,"Not applicable"))</f>
        <v>0</v>
      </c>
      <c r="AH901" t="b">
        <f>AND(IF(metadata!G901="",FALSE,TRUE),EXACT(metadata!G901,"urban biome"))</f>
        <v>0</v>
      </c>
      <c r="AI901" t="b">
        <f>AND(IF(metadata!H901="",FALSE,TRUE),EXACT(metadata!H901,"human-associated habitat"))</f>
        <v>0</v>
      </c>
      <c r="AJ901" t="b">
        <f>AND(IF(metadata!I901="",FALSE,TRUE),OR(EXACT(metadata!I901,"human-associated"),EXACT(metadata!I901,"human-skin"),EXACT(metadata!I901,"human-oral"),EXACT(metadata!I901,"human-gut"),EXACT(metadata!I901,"human-vaginal")))</f>
        <v>0</v>
      </c>
      <c r="AK901" t="b">
        <f>IF(metadata!J901="",FALSE,ISNUMBER(VALUE(metadata!J901)))</f>
        <v>0</v>
      </c>
      <c r="AL901" t="b">
        <f>AND(IF(metadata!K901="",FALSE,TRUE),EXACT(metadata!K901,"cm"))</f>
        <v>0</v>
      </c>
      <c r="AM901" t="b">
        <f>AND(IF(metadata!L901="",FALSE,TRUE),EXACT(metadata!L901,"human"))</f>
        <v>0</v>
      </c>
      <c r="AN901" t="b">
        <f>AND(IF(metadata!M901="",FALSE,TRUE),EXACT(metadata!M901,"Homo sapiens"))</f>
        <v>0</v>
      </c>
      <c r="AO901" t="b">
        <f>AND(IF(metadata!N901="",FALSE,TRUE),EXACT(metadata!N901,"9606"))</f>
        <v>0</v>
      </c>
      <c r="AP901" t="b">
        <f>IF(metadata!O901="",FALSE,TRUE)</f>
        <v>0</v>
      </c>
      <c r="AQ901" t="b">
        <f>IF(metadata!P901="",FALSE,TRUE)</f>
        <v>0</v>
      </c>
      <c r="AR901" t="b">
        <f>IF(metadata!Q901="",FALSE,ISNUMBER(VALUE(metadata!Q901)))</f>
        <v>0</v>
      </c>
      <c r="AS901" t="b">
        <f>AND(IF(metadata!R901="",FALSE,TRUE),EXACT(metadata!R901,"kg"))</f>
        <v>0</v>
      </c>
    </row>
    <row r="902" spans="1:45" x14ac:dyDescent="0.2">
      <c r="A902" s="5" t="str">
        <f ca="1">IF(B902=" "," ",HYPERLINK(CONCATENATE("#metadata!",ADDRESS(INDEX($X$2:$X$1001,MATCH(ROWS($V$2:V902),$V$2:$V$1001,0),0),1)),INDEX($AA$2:$AA$1001,MATCH(ROWS($V$2:V902),$V$2:$V$1001,0),0)))</f>
        <v xml:space="preserve"> </v>
      </c>
      <c r="B902" s="4" t="str">
        <f ca="1">IF(OR(INDEX($W$2:$W$1001,MATCH(ROWS($V$2:V902),$V$2:$V$1001,0),1)&gt;=100000,INDEX($AC$1005:$AS$1005,1,MATCH(COLUMNS($AC$1006:AC1006),$AC$1006:$AS$1006,0))&gt;=100000), " ",IF(INDEX($AC$2:$AS$1001,MATCH(ROWS($V$2:V902),$V$2:$V$1001,0),MATCH(COLUMNS($AC$1006:AC1006),$AC$1006:$AS$1006,0)), HYPERLINK("#",""), HYPERLINK(CONCATENATE("#metadata!", ADDRESS(INDEX($X$2:$X$1001,MATCH(ROWS($V$2:V902),$V$2:$V$1001,0),0), INDEX($AC$1004:$AS$1004,1,MATCH(COLUMNS($AC$1006:AC1006),$AC$1006:$AS$1006,0)))),"Fix")))</f>
        <v xml:space="preserve"> </v>
      </c>
      <c r="C902" s="4" t="str">
        <f ca="1">IF(OR(INDEX($W$2:$W$1001,MATCH(ROWS($V$2:V902),$V$2:$V$1001,0),1)&gt;=100000,INDEX($AC$1005:$AS$1005,1,MATCH(COLUMNS($AC$1006:AD1006),$AC$1006:$AS$1006,0))&gt;=100000), " ",IF(INDEX($AC$2:$AS$1001,MATCH(ROWS($V$2:V902),$V$2:$V$1001,0),MATCH(COLUMNS($AC$1006:AD1006),$AC$1006:$AS$1006,0)), HYPERLINK("#",""), HYPERLINK(CONCATENATE("#metadata!", ADDRESS(INDEX($X$2:$X$1001,MATCH(ROWS($V$2:V902),$V$2:$V$1001,0),0), INDEX($AC$1004:$AS$1004,1,MATCH(COLUMNS($AC$1006:AD1006),$AC$1006:$AS$1006,0)))),"Fix")))</f>
        <v xml:space="preserve"> </v>
      </c>
      <c r="D902" s="4" t="str">
        <f ca="1">IF(OR(INDEX($W$2:$W$1001,MATCH(ROWS($V$2:V902),$V$2:$V$1001,0),1)&gt;=100000,INDEX($AC$1005:$AS$1005,1,MATCH(COLUMNS($AC$1006:AE1006),$AC$1006:$AS$1006,0))&gt;=100000), " ",IF(INDEX($AC$2:$AS$1001,MATCH(ROWS($V$2:V902),$V$2:$V$1001,0),MATCH(COLUMNS($AC$1006:AE1006),$AC$1006:$AS$1006,0)), HYPERLINK("#",""), HYPERLINK(CONCATENATE("#metadata!", ADDRESS(INDEX($X$2:$X$1001,MATCH(ROWS($V$2:V902),$V$2:$V$1001,0),0), INDEX($AC$1004:$AS$1004,1,MATCH(COLUMNS($AC$1006:AE1006),$AC$1006:$AS$1006,0)))),"Fix")))</f>
        <v xml:space="preserve"> </v>
      </c>
      <c r="E902" s="4" t="str">
        <f ca="1">IF(OR(INDEX($W$2:$W$1001,MATCH(ROWS($V$2:V902),$V$2:$V$1001,0),1)&gt;=100000,INDEX($AC$1005:$AS$1005,1,MATCH(COLUMNS($AC$1006:AF1006),$AC$1006:$AS$1006,0))&gt;=100000), " ",IF(INDEX($AC$2:$AS$1001,MATCH(ROWS($V$2:V902),$V$2:$V$1001,0),MATCH(COLUMNS($AC$1006:AF1006),$AC$1006:$AS$1006,0)), HYPERLINK("#",""), HYPERLINK(CONCATENATE("#metadata!", ADDRESS(INDEX($X$2:$X$1001,MATCH(ROWS($V$2:V902),$V$2:$V$1001,0),0), INDEX($AC$1004:$AS$1004,1,MATCH(COLUMNS($AC$1006:AF1006),$AC$1006:$AS$1006,0)))),"Fix")))</f>
        <v xml:space="preserve"> </v>
      </c>
      <c r="F902" s="4" t="str">
        <f ca="1">IF(OR(INDEX($W$2:$W$1001,MATCH(ROWS($V$2:V902),$V$2:$V$1001,0),1)&gt;=100000,INDEX($AC$1005:$AS$1005,1,MATCH(COLUMNS($AC$1006:AG1006),$AC$1006:$AS$1006,0))&gt;=100000), " ",IF(INDEX($AC$2:$AS$1001,MATCH(ROWS($V$2:V902),$V$2:$V$1001,0),MATCH(COLUMNS($AC$1006:AG1006),$AC$1006:$AS$1006,0)), HYPERLINK("#",""), HYPERLINK(CONCATENATE("#metadata!", ADDRESS(INDEX($X$2:$X$1001,MATCH(ROWS($V$2:V902),$V$2:$V$1001,0),0), INDEX($AC$1004:$AS$1004,1,MATCH(COLUMNS($AC$1006:AG1006),$AC$1006:$AS$1006,0)))),"Fix")))</f>
        <v xml:space="preserve"> </v>
      </c>
      <c r="G902" s="4" t="str">
        <f ca="1">IF(OR(INDEX($W$2:$W$1001,MATCH(ROWS($V$2:V902),$V$2:$V$1001,0),1)&gt;=100000,INDEX($AC$1005:$AS$1005,1,MATCH(COLUMNS($AC$1006:AH1006),$AC$1006:$AS$1006,0))&gt;=100000), " ",IF(INDEX($AC$2:$AS$1001,MATCH(ROWS($V$2:V902),$V$2:$V$1001,0),MATCH(COLUMNS($AC$1006:AH1006),$AC$1006:$AS$1006,0)), HYPERLINK("#",""), HYPERLINK(CONCATENATE("#metadata!", ADDRESS(INDEX($X$2:$X$1001,MATCH(ROWS($V$2:V902),$V$2:$V$1001,0),0), INDEX($AC$1004:$AS$1004,1,MATCH(COLUMNS($AC$1006:AH1006),$AC$1006:$AS$1006,0)))),"Fix")))</f>
        <v xml:space="preserve"> </v>
      </c>
      <c r="H902" s="4" t="str">
        <f ca="1">IF(OR(INDEX($W$2:$W$1001,MATCH(ROWS($V$2:V902),$V$2:$V$1001,0),1)&gt;=100000,INDEX($AC$1005:$AS$1005,1,MATCH(COLUMNS($AC$1006:AI1006),$AC$1006:$AS$1006,0))&gt;=100000), " ",IF(INDEX($AC$2:$AS$1001,MATCH(ROWS($V$2:V902),$V$2:$V$1001,0),MATCH(COLUMNS($AC$1006:AI1006),$AC$1006:$AS$1006,0)), HYPERLINK("#",""), HYPERLINK(CONCATENATE("#metadata!", ADDRESS(INDEX($X$2:$X$1001,MATCH(ROWS($V$2:V902),$V$2:$V$1001,0),0), INDEX($AC$1004:$AS$1004,1,MATCH(COLUMNS($AC$1006:AI1006),$AC$1006:$AS$1006,0)))),"Fix")))</f>
        <v xml:space="preserve"> </v>
      </c>
      <c r="I902" s="4" t="str">
        <f ca="1">IF(OR(INDEX($W$2:$W$1001,MATCH(ROWS($V$2:V902),$V$2:$V$1001,0),1)&gt;=100000,INDEX($AC$1005:$AS$1005,1,MATCH(COLUMNS($AC$1006:AJ1006),$AC$1006:$AS$1006,0))&gt;=100000), " ",IF(INDEX($AC$2:$AS$1001,MATCH(ROWS($V$2:V902),$V$2:$V$1001,0),MATCH(COLUMNS($AC$1006:AJ1006),$AC$1006:$AS$1006,0)), HYPERLINK("#",""), HYPERLINK(CONCATENATE("#metadata!", ADDRESS(INDEX($X$2:$X$1001,MATCH(ROWS($V$2:V902),$V$2:$V$1001,0),0), INDEX($AC$1004:$AS$1004,1,MATCH(COLUMNS($AC$1006:AJ1006),$AC$1006:$AS$1006,0)))),"Fix")))</f>
        <v xml:space="preserve"> </v>
      </c>
      <c r="J902" s="4" t="str">
        <f ca="1">IF(OR(INDEX($W$2:$W$1001,MATCH(ROWS($V$2:V902),$V$2:$V$1001,0),1)&gt;=100000,INDEX($AC$1005:$AS$1005,1,MATCH(COLUMNS($AC$1006:AK1006),$AC$1006:$AS$1006,0))&gt;=100000), " ",IF(INDEX($AC$2:$AS$1001,MATCH(ROWS($V$2:V902),$V$2:$V$1001,0),MATCH(COLUMNS($AC$1006:AK1006),$AC$1006:$AS$1006,0)), HYPERLINK("#",""), HYPERLINK(CONCATENATE("#metadata!", ADDRESS(INDEX($X$2:$X$1001,MATCH(ROWS($V$2:V902),$V$2:$V$1001,0),0), INDEX($AC$1004:$AS$1004,1,MATCH(COLUMNS($AC$1006:AK1006),$AC$1006:$AS$1006,0)))),"Fix")))</f>
        <v xml:space="preserve"> </v>
      </c>
      <c r="K902" s="4" t="str">
        <f ca="1">IF(OR(INDEX($W$2:$W$1001,MATCH(ROWS($V$2:V902),$V$2:$V$1001,0),1)&gt;=100000,INDEX($AC$1005:$AS$1005,1,MATCH(COLUMNS($AC$1006:AL1006),$AC$1006:$AS$1006,0))&gt;=100000), " ",IF(INDEX($AC$2:$AS$1001,MATCH(ROWS($V$2:V902),$V$2:$V$1001,0),MATCH(COLUMNS($AC$1006:AL1006),$AC$1006:$AS$1006,0)), HYPERLINK("#",""), HYPERLINK(CONCATENATE("#metadata!", ADDRESS(INDEX($X$2:$X$1001,MATCH(ROWS($V$2:V902),$V$2:$V$1001,0),0), INDEX($AC$1004:$AS$1004,1,MATCH(COLUMNS($AC$1006:AL1006),$AC$1006:$AS$1006,0)))),"Fix")))</f>
        <v xml:space="preserve"> </v>
      </c>
      <c r="L902" s="4" t="str">
        <f ca="1">IF(OR(INDEX($W$2:$W$1001,MATCH(ROWS($V$2:V902),$V$2:$V$1001,0),1)&gt;=100000,INDEX($AC$1005:$AS$1005,1,MATCH(COLUMNS($AC$1006:AM1006),$AC$1006:$AS$1006,0))&gt;=100000), " ",IF(INDEX($AC$2:$AS$1001,MATCH(ROWS($V$2:V902),$V$2:$V$1001,0),MATCH(COLUMNS($AC$1006:AM1006),$AC$1006:$AS$1006,0)), HYPERLINK("#",""), HYPERLINK(CONCATENATE("#metadata!", ADDRESS(INDEX($X$2:$X$1001,MATCH(ROWS($V$2:V902),$V$2:$V$1001,0),0), INDEX($AC$1004:$AS$1004,1,MATCH(COLUMNS($AC$1006:AM1006),$AC$1006:$AS$1006,0)))),"Fix")))</f>
        <v xml:space="preserve"> </v>
      </c>
      <c r="M902" s="4" t="str">
        <f ca="1">IF(OR(INDEX($W$2:$W$1001,MATCH(ROWS($V$2:V902),$V$2:$V$1001,0),1)&gt;=100000,INDEX($AC$1005:$AS$1005,1,MATCH(COLUMNS($AC$1006:AN1006),$AC$1006:$AS$1006,0))&gt;=100000), " ",IF(INDEX($AC$2:$AS$1001,MATCH(ROWS($V$2:V902),$V$2:$V$1001,0),MATCH(COLUMNS($AC$1006:AN1006),$AC$1006:$AS$1006,0)), HYPERLINK("#",""), HYPERLINK(CONCATENATE("#metadata!", ADDRESS(INDEX($X$2:$X$1001,MATCH(ROWS($V$2:V902),$V$2:$V$1001,0),0), INDEX($AC$1004:$AS$1004,1,MATCH(COLUMNS($AC$1006:AN1006),$AC$1006:$AS$1006,0)))),"Fix")))</f>
        <v xml:space="preserve"> </v>
      </c>
      <c r="N902" s="4" t="str">
        <f ca="1">IF(OR(INDEX($W$2:$W$1001,MATCH(ROWS($V$2:V902),$V$2:$V$1001,0),1)&gt;=100000,INDEX($AC$1005:$AS$1005,1,MATCH(COLUMNS($AC$1006:AO1006),$AC$1006:$AS$1006,0))&gt;=100000), " ",IF(INDEX($AC$2:$AS$1001,MATCH(ROWS($V$2:V902),$V$2:$V$1001,0),MATCH(COLUMNS($AC$1006:AO1006),$AC$1006:$AS$1006,0)), HYPERLINK("#",""), HYPERLINK(CONCATENATE("#metadata!", ADDRESS(INDEX($X$2:$X$1001,MATCH(ROWS($V$2:V902),$V$2:$V$1001,0),0), INDEX($AC$1004:$AS$1004,1,MATCH(COLUMNS($AC$1006:AO1006),$AC$1006:$AS$1006,0)))),"Fix")))</f>
        <v xml:space="preserve"> </v>
      </c>
      <c r="O902" s="4" t="str">
        <f ca="1">IF(OR(INDEX($W$2:$W$1001,MATCH(ROWS($V$2:V902),$V$2:$V$1001,0),1)&gt;=100000,INDEX($AC$1005:$AS$1005,1,MATCH(COLUMNS($AC$1006:AP1006),$AC$1006:$AS$1006,0))&gt;=100000), " ",IF(INDEX($AC$2:$AS$1001,MATCH(ROWS($V$2:V902),$V$2:$V$1001,0),MATCH(COLUMNS($AC$1006:AP1006),$AC$1006:$AS$1006,0)), HYPERLINK("#",""), HYPERLINK(CONCATENATE("#metadata!", ADDRESS(INDEX($X$2:$X$1001,MATCH(ROWS($V$2:V902),$V$2:$V$1001,0),0), INDEX($AC$1004:$AS$1004,1,MATCH(COLUMNS($AC$1006:AP1006),$AC$1006:$AS$1006,0)))),"Fix")))</f>
        <v xml:space="preserve"> </v>
      </c>
      <c r="P902" s="4" t="str">
        <f ca="1">IF(OR(INDEX($W$2:$W$1001,MATCH(ROWS($V$2:V902),$V$2:$V$1001,0),1)&gt;=100000,INDEX($AC$1005:$AS$1005,1,MATCH(COLUMNS($AC$1006:AQ1006),$AC$1006:$AS$1006,0))&gt;=100000), " ",IF(INDEX($AC$2:$AS$1001,MATCH(ROWS($V$2:V902),$V$2:$V$1001,0),MATCH(COLUMNS($AC$1006:AQ1006),$AC$1006:$AS$1006,0)), HYPERLINK("#",""), HYPERLINK(CONCATENATE("#metadata!", ADDRESS(INDEX($X$2:$X$1001,MATCH(ROWS($V$2:V902),$V$2:$V$1001,0),0), INDEX($AC$1004:$AS$1004,1,MATCH(COLUMNS($AC$1006:AQ1006),$AC$1006:$AS$1006,0)))),"Fix")))</f>
        <v xml:space="preserve"> </v>
      </c>
      <c r="Q902" s="4" t="str">
        <f ca="1">IF(OR(INDEX($W$2:$W$1001,MATCH(ROWS($V$2:V902),$V$2:$V$1001,0),1)&gt;=100000,INDEX($AC$1005:$AS$1005,1,MATCH(COLUMNS($AC$1006:AR1006),$AC$1006:$AS$1006,0))&gt;=100000), " ",IF(INDEX($AC$2:$AS$1001,MATCH(ROWS($V$2:V902),$V$2:$V$1001,0),MATCH(COLUMNS($AC$1006:AR1006),$AC$1006:$AS$1006,0)), HYPERLINK("#",""), HYPERLINK(CONCATENATE("#metadata!", ADDRESS(INDEX($X$2:$X$1001,MATCH(ROWS($V$2:V902),$V$2:$V$1001,0),0), INDEX($AC$1004:$AS$1004,1,MATCH(COLUMNS($AC$1006:AR1006),$AC$1006:$AS$1006,0)))),"Fix")))</f>
        <v xml:space="preserve"> </v>
      </c>
      <c r="R902" s="4" t="str">
        <f ca="1">IF(OR(INDEX($W$2:$W$1001,MATCH(ROWS($V$2:V902),$V$2:$V$1001,0),1)&gt;=100000,INDEX($AC$1005:$AS$1005,1,MATCH(COLUMNS($AC$1006:AS1006),$AC$1006:$AS$1006,0))&gt;=100000), " ",IF(INDEX($AC$2:$AS$1001,MATCH(ROWS($V$2:V902),$V$2:$V$1001,0),MATCH(COLUMNS($AC$1006:AS1006),$AC$1006:$AS$1006,0)), HYPERLINK("#",""), HYPERLINK(CONCATENATE("#metadata!", ADDRESS(INDEX($X$2:$X$1001,MATCH(ROWS($V$2:V902),$V$2:$V$1001,0),0), INDEX($AC$1004:$AS$1004,1,MATCH(COLUMNS($AC$1006:AS1006),$AC$1006:$AS$1006,0)))),"Fix")))</f>
        <v xml:space="preserve"> </v>
      </c>
      <c r="V902">
        <v>901</v>
      </c>
      <c r="W902">
        <v>100902</v>
      </c>
      <c r="X902">
        <v>902</v>
      </c>
      <c r="Y902" t="b">
        <f t="shared" si="14"/>
        <v>1</v>
      </c>
      <c r="Z902" t="b">
        <f>COUNTBLANK(metadata!B902:R902)=COLUMNS(metadata!B902:R902)</f>
        <v>1</v>
      </c>
      <c r="AA902" t="str">
        <v/>
      </c>
      <c r="AC902" t="b">
        <f ca="1"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AD902" t="b">
        <f>IF(metadata!C902="",FALSE,ISNUMBER(VALUE(metadata!C902)))</f>
        <v>0</v>
      </c>
      <c r="AE902" t="b">
        <f>AND(IF(metadata!D902="",FALSE,TRUE),EXACT(metadata!D902,"years"))</f>
        <v>0</v>
      </c>
      <c r="AF902" t="b">
        <f>OR(AND(IF(metadata!E902="",FALSE,TRUE),OR(EXACT(metadata!E902,"not applicable"),EXACT(metadata!E902,"missing: not collected"),EXACT(metadata!E902,"missing: not provided"),EXACT(metadata!E902,"missing: restricted access"))),AND(IF(metadata!E902="",FALSE,ISNUMBER(VALUE(metadata!E902))),metadata!E902&gt;0))</f>
        <v>0</v>
      </c>
      <c r="AG902" t="b">
        <f>AND(IF(metadata!F902="",FALSE,TRUE),EXACT(metadata!F902,"Not applicable"))</f>
        <v>0</v>
      </c>
      <c r="AH902" t="b">
        <f>AND(IF(metadata!G902="",FALSE,TRUE),EXACT(metadata!G902,"urban biome"))</f>
        <v>0</v>
      </c>
      <c r="AI902" t="b">
        <f>AND(IF(metadata!H902="",FALSE,TRUE),EXACT(metadata!H902,"human-associated habitat"))</f>
        <v>0</v>
      </c>
      <c r="AJ902" t="b">
        <f>AND(IF(metadata!I902="",FALSE,TRUE),OR(EXACT(metadata!I902,"human-associated"),EXACT(metadata!I902,"human-skin"),EXACT(metadata!I902,"human-oral"),EXACT(metadata!I902,"human-gut"),EXACT(metadata!I902,"human-vaginal")))</f>
        <v>0</v>
      </c>
      <c r="AK902" t="b">
        <f>IF(metadata!J902="",FALSE,ISNUMBER(VALUE(metadata!J902)))</f>
        <v>0</v>
      </c>
      <c r="AL902" t="b">
        <f>AND(IF(metadata!K902="",FALSE,TRUE),EXACT(metadata!K902,"cm"))</f>
        <v>0</v>
      </c>
      <c r="AM902" t="b">
        <f>AND(IF(metadata!L902="",FALSE,TRUE),EXACT(metadata!L902,"human"))</f>
        <v>0</v>
      </c>
      <c r="AN902" t="b">
        <f>AND(IF(metadata!M902="",FALSE,TRUE),EXACT(metadata!M902,"Homo sapiens"))</f>
        <v>0</v>
      </c>
      <c r="AO902" t="b">
        <f>AND(IF(metadata!N902="",FALSE,TRUE),EXACT(metadata!N902,"9606"))</f>
        <v>0</v>
      </c>
      <c r="AP902" t="b">
        <f>IF(metadata!O902="",FALSE,TRUE)</f>
        <v>0</v>
      </c>
      <c r="AQ902" t="b">
        <f>IF(metadata!P902="",FALSE,TRUE)</f>
        <v>0</v>
      </c>
      <c r="AR902" t="b">
        <f>IF(metadata!Q902="",FALSE,ISNUMBER(VALUE(metadata!Q902)))</f>
        <v>0</v>
      </c>
      <c r="AS902" t="b">
        <f>AND(IF(metadata!R902="",FALSE,TRUE),EXACT(metadata!R902,"kg"))</f>
        <v>0</v>
      </c>
    </row>
    <row r="903" spans="1:45" x14ac:dyDescent="0.2">
      <c r="A903" s="5" t="str">
        <f ca="1">IF(B903=" "," ",HYPERLINK(CONCATENATE("#metadata!",ADDRESS(INDEX($X$2:$X$1001,MATCH(ROWS($V$2:V903),$V$2:$V$1001,0),0),1)),INDEX($AA$2:$AA$1001,MATCH(ROWS($V$2:V903),$V$2:$V$1001,0),0)))</f>
        <v xml:space="preserve"> </v>
      </c>
      <c r="B903" s="4" t="str">
        <f ca="1">IF(OR(INDEX($W$2:$W$1001,MATCH(ROWS($V$2:V903),$V$2:$V$1001,0),1)&gt;=100000,INDEX($AC$1005:$AS$1005,1,MATCH(COLUMNS($AC$1006:AC1006),$AC$1006:$AS$1006,0))&gt;=100000), " ",IF(INDEX($AC$2:$AS$1001,MATCH(ROWS($V$2:V903),$V$2:$V$1001,0),MATCH(COLUMNS($AC$1006:AC1006),$AC$1006:$AS$1006,0)), HYPERLINK("#",""), HYPERLINK(CONCATENATE("#metadata!", ADDRESS(INDEX($X$2:$X$1001,MATCH(ROWS($V$2:V903),$V$2:$V$1001,0),0), INDEX($AC$1004:$AS$1004,1,MATCH(COLUMNS($AC$1006:AC1006),$AC$1006:$AS$1006,0)))),"Fix")))</f>
        <v xml:space="preserve"> </v>
      </c>
      <c r="C903" s="4" t="str">
        <f ca="1">IF(OR(INDEX($W$2:$W$1001,MATCH(ROWS($V$2:V903),$V$2:$V$1001,0),1)&gt;=100000,INDEX($AC$1005:$AS$1005,1,MATCH(COLUMNS($AC$1006:AD1006),$AC$1006:$AS$1006,0))&gt;=100000), " ",IF(INDEX($AC$2:$AS$1001,MATCH(ROWS($V$2:V903),$V$2:$V$1001,0),MATCH(COLUMNS($AC$1006:AD1006),$AC$1006:$AS$1006,0)), HYPERLINK("#",""), HYPERLINK(CONCATENATE("#metadata!", ADDRESS(INDEX($X$2:$X$1001,MATCH(ROWS($V$2:V903),$V$2:$V$1001,0),0), INDEX($AC$1004:$AS$1004,1,MATCH(COLUMNS($AC$1006:AD1006),$AC$1006:$AS$1006,0)))),"Fix")))</f>
        <v xml:space="preserve"> </v>
      </c>
      <c r="D903" s="4" t="str">
        <f ca="1">IF(OR(INDEX($W$2:$W$1001,MATCH(ROWS($V$2:V903),$V$2:$V$1001,0),1)&gt;=100000,INDEX($AC$1005:$AS$1005,1,MATCH(COLUMNS($AC$1006:AE1006),$AC$1006:$AS$1006,0))&gt;=100000), " ",IF(INDEX($AC$2:$AS$1001,MATCH(ROWS($V$2:V903),$V$2:$V$1001,0),MATCH(COLUMNS($AC$1006:AE1006),$AC$1006:$AS$1006,0)), HYPERLINK("#",""), HYPERLINK(CONCATENATE("#metadata!", ADDRESS(INDEX($X$2:$X$1001,MATCH(ROWS($V$2:V903),$V$2:$V$1001,0),0), INDEX($AC$1004:$AS$1004,1,MATCH(COLUMNS($AC$1006:AE1006),$AC$1006:$AS$1006,0)))),"Fix")))</f>
        <v xml:space="preserve"> </v>
      </c>
      <c r="E903" s="4" t="str">
        <f ca="1">IF(OR(INDEX($W$2:$W$1001,MATCH(ROWS($V$2:V903),$V$2:$V$1001,0),1)&gt;=100000,INDEX($AC$1005:$AS$1005,1,MATCH(COLUMNS($AC$1006:AF1006),$AC$1006:$AS$1006,0))&gt;=100000), " ",IF(INDEX($AC$2:$AS$1001,MATCH(ROWS($V$2:V903),$V$2:$V$1001,0),MATCH(COLUMNS($AC$1006:AF1006),$AC$1006:$AS$1006,0)), HYPERLINK("#",""), HYPERLINK(CONCATENATE("#metadata!", ADDRESS(INDEX($X$2:$X$1001,MATCH(ROWS($V$2:V903),$V$2:$V$1001,0),0), INDEX($AC$1004:$AS$1004,1,MATCH(COLUMNS($AC$1006:AF1006),$AC$1006:$AS$1006,0)))),"Fix")))</f>
        <v xml:space="preserve"> </v>
      </c>
      <c r="F903" s="4" t="str">
        <f ca="1">IF(OR(INDEX($W$2:$W$1001,MATCH(ROWS($V$2:V903),$V$2:$V$1001,0),1)&gt;=100000,INDEX($AC$1005:$AS$1005,1,MATCH(COLUMNS($AC$1006:AG1006),$AC$1006:$AS$1006,0))&gt;=100000), " ",IF(INDEX($AC$2:$AS$1001,MATCH(ROWS($V$2:V903),$V$2:$V$1001,0),MATCH(COLUMNS($AC$1006:AG1006),$AC$1006:$AS$1006,0)), HYPERLINK("#",""), HYPERLINK(CONCATENATE("#metadata!", ADDRESS(INDEX($X$2:$X$1001,MATCH(ROWS($V$2:V903),$V$2:$V$1001,0),0), INDEX($AC$1004:$AS$1004,1,MATCH(COLUMNS($AC$1006:AG1006),$AC$1006:$AS$1006,0)))),"Fix")))</f>
        <v xml:space="preserve"> </v>
      </c>
      <c r="G903" s="4" t="str">
        <f ca="1">IF(OR(INDEX($W$2:$W$1001,MATCH(ROWS($V$2:V903),$V$2:$V$1001,0),1)&gt;=100000,INDEX($AC$1005:$AS$1005,1,MATCH(COLUMNS($AC$1006:AH1006),$AC$1006:$AS$1006,0))&gt;=100000), " ",IF(INDEX($AC$2:$AS$1001,MATCH(ROWS($V$2:V903),$V$2:$V$1001,0),MATCH(COLUMNS($AC$1006:AH1006),$AC$1006:$AS$1006,0)), HYPERLINK("#",""), HYPERLINK(CONCATENATE("#metadata!", ADDRESS(INDEX($X$2:$X$1001,MATCH(ROWS($V$2:V903),$V$2:$V$1001,0),0), INDEX($AC$1004:$AS$1004,1,MATCH(COLUMNS($AC$1006:AH1006),$AC$1006:$AS$1006,0)))),"Fix")))</f>
        <v xml:space="preserve"> </v>
      </c>
      <c r="H903" s="4" t="str">
        <f ca="1">IF(OR(INDEX($W$2:$W$1001,MATCH(ROWS($V$2:V903),$V$2:$V$1001,0),1)&gt;=100000,INDEX($AC$1005:$AS$1005,1,MATCH(COLUMNS($AC$1006:AI1006),$AC$1006:$AS$1006,0))&gt;=100000), " ",IF(INDEX($AC$2:$AS$1001,MATCH(ROWS($V$2:V903),$V$2:$V$1001,0),MATCH(COLUMNS($AC$1006:AI1006),$AC$1006:$AS$1006,0)), HYPERLINK("#",""), HYPERLINK(CONCATENATE("#metadata!", ADDRESS(INDEX($X$2:$X$1001,MATCH(ROWS($V$2:V903),$V$2:$V$1001,0),0), INDEX($AC$1004:$AS$1004,1,MATCH(COLUMNS($AC$1006:AI1006),$AC$1006:$AS$1006,0)))),"Fix")))</f>
        <v xml:space="preserve"> </v>
      </c>
      <c r="I903" s="4" t="str">
        <f ca="1">IF(OR(INDEX($W$2:$W$1001,MATCH(ROWS($V$2:V903),$V$2:$V$1001,0),1)&gt;=100000,INDEX($AC$1005:$AS$1005,1,MATCH(COLUMNS($AC$1006:AJ1006),$AC$1006:$AS$1006,0))&gt;=100000), " ",IF(INDEX($AC$2:$AS$1001,MATCH(ROWS($V$2:V903),$V$2:$V$1001,0),MATCH(COLUMNS($AC$1006:AJ1006),$AC$1006:$AS$1006,0)), HYPERLINK("#",""), HYPERLINK(CONCATENATE("#metadata!", ADDRESS(INDEX($X$2:$X$1001,MATCH(ROWS($V$2:V903),$V$2:$V$1001,0),0), INDEX($AC$1004:$AS$1004,1,MATCH(COLUMNS($AC$1006:AJ1006),$AC$1006:$AS$1006,0)))),"Fix")))</f>
        <v xml:space="preserve"> </v>
      </c>
      <c r="J903" s="4" t="str">
        <f ca="1">IF(OR(INDEX($W$2:$W$1001,MATCH(ROWS($V$2:V903),$V$2:$V$1001,0),1)&gt;=100000,INDEX($AC$1005:$AS$1005,1,MATCH(COLUMNS($AC$1006:AK1006),$AC$1006:$AS$1006,0))&gt;=100000), " ",IF(INDEX($AC$2:$AS$1001,MATCH(ROWS($V$2:V903),$V$2:$V$1001,0),MATCH(COLUMNS($AC$1006:AK1006),$AC$1006:$AS$1006,0)), HYPERLINK("#",""), HYPERLINK(CONCATENATE("#metadata!", ADDRESS(INDEX($X$2:$X$1001,MATCH(ROWS($V$2:V903),$V$2:$V$1001,0),0), INDEX($AC$1004:$AS$1004,1,MATCH(COLUMNS($AC$1006:AK1006),$AC$1006:$AS$1006,0)))),"Fix")))</f>
        <v xml:space="preserve"> </v>
      </c>
      <c r="K903" s="4" t="str">
        <f ca="1">IF(OR(INDEX($W$2:$W$1001,MATCH(ROWS($V$2:V903),$V$2:$V$1001,0),1)&gt;=100000,INDEX($AC$1005:$AS$1005,1,MATCH(COLUMNS($AC$1006:AL1006),$AC$1006:$AS$1006,0))&gt;=100000), " ",IF(INDEX($AC$2:$AS$1001,MATCH(ROWS($V$2:V903),$V$2:$V$1001,0),MATCH(COLUMNS($AC$1006:AL1006),$AC$1006:$AS$1006,0)), HYPERLINK("#",""), HYPERLINK(CONCATENATE("#metadata!", ADDRESS(INDEX($X$2:$X$1001,MATCH(ROWS($V$2:V903),$V$2:$V$1001,0),0), INDEX($AC$1004:$AS$1004,1,MATCH(COLUMNS($AC$1006:AL1006),$AC$1006:$AS$1006,0)))),"Fix")))</f>
        <v xml:space="preserve"> </v>
      </c>
      <c r="L903" s="4" t="str">
        <f ca="1">IF(OR(INDEX($W$2:$W$1001,MATCH(ROWS($V$2:V903),$V$2:$V$1001,0),1)&gt;=100000,INDEX($AC$1005:$AS$1005,1,MATCH(COLUMNS($AC$1006:AM1006),$AC$1006:$AS$1006,0))&gt;=100000), " ",IF(INDEX($AC$2:$AS$1001,MATCH(ROWS($V$2:V903),$V$2:$V$1001,0),MATCH(COLUMNS($AC$1006:AM1006),$AC$1006:$AS$1006,0)), HYPERLINK("#",""), HYPERLINK(CONCATENATE("#metadata!", ADDRESS(INDEX($X$2:$X$1001,MATCH(ROWS($V$2:V903),$V$2:$V$1001,0),0), INDEX($AC$1004:$AS$1004,1,MATCH(COLUMNS($AC$1006:AM1006),$AC$1006:$AS$1006,0)))),"Fix")))</f>
        <v xml:space="preserve"> </v>
      </c>
      <c r="M903" s="4" t="str">
        <f ca="1">IF(OR(INDEX($W$2:$W$1001,MATCH(ROWS($V$2:V903),$V$2:$V$1001,0),1)&gt;=100000,INDEX($AC$1005:$AS$1005,1,MATCH(COLUMNS($AC$1006:AN1006),$AC$1006:$AS$1006,0))&gt;=100000), " ",IF(INDEX($AC$2:$AS$1001,MATCH(ROWS($V$2:V903),$V$2:$V$1001,0),MATCH(COLUMNS($AC$1006:AN1006),$AC$1006:$AS$1006,0)), HYPERLINK("#",""), HYPERLINK(CONCATENATE("#metadata!", ADDRESS(INDEX($X$2:$X$1001,MATCH(ROWS($V$2:V903),$V$2:$V$1001,0),0), INDEX($AC$1004:$AS$1004,1,MATCH(COLUMNS($AC$1006:AN1006),$AC$1006:$AS$1006,0)))),"Fix")))</f>
        <v xml:space="preserve"> </v>
      </c>
      <c r="N903" s="4" t="str">
        <f ca="1">IF(OR(INDEX($W$2:$W$1001,MATCH(ROWS($V$2:V903),$V$2:$V$1001,0),1)&gt;=100000,INDEX($AC$1005:$AS$1005,1,MATCH(COLUMNS($AC$1006:AO1006),$AC$1006:$AS$1006,0))&gt;=100000), " ",IF(INDEX($AC$2:$AS$1001,MATCH(ROWS($V$2:V903),$V$2:$V$1001,0),MATCH(COLUMNS($AC$1006:AO1006),$AC$1006:$AS$1006,0)), HYPERLINK("#",""), HYPERLINK(CONCATENATE("#metadata!", ADDRESS(INDEX($X$2:$X$1001,MATCH(ROWS($V$2:V903),$V$2:$V$1001,0),0), INDEX($AC$1004:$AS$1004,1,MATCH(COLUMNS($AC$1006:AO1006),$AC$1006:$AS$1006,0)))),"Fix")))</f>
        <v xml:space="preserve"> </v>
      </c>
      <c r="O903" s="4" t="str">
        <f ca="1">IF(OR(INDEX($W$2:$W$1001,MATCH(ROWS($V$2:V903),$V$2:$V$1001,0),1)&gt;=100000,INDEX($AC$1005:$AS$1005,1,MATCH(COLUMNS($AC$1006:AP1006),$AC$1006:$AS$1006,0))&gt;=100000), " ",IF(INDEX($AC$2:$AS$1001,MATCH(ROWS($V$2:V903),$V$2:$V$1001,0),MATCH(COLUMNS($AC$1006:AP1006),$AC$1006:$AS$1006,0)), HYPERLINK("#",""), HYPERLINK(CONCATENATE("#metadata!", ADDRESS(INDEX($X$2:$X$1001,MATCH(ROWS($V$2:V903),$V$2:$V$1001,0),0), INDEX($AC$1004:$AS$1004,1,MATCH(COLUMNS($AC$1006:AP1006),$AC$1006:$AS$1006,0)))),"Fix")))</f>
        <v xml:space="preserve"> </v>
      </c>
      <c r="P903" s="4" t="str">
        <f ca="1">IF(OR(INDEX($W$2:$W$1001,MATCH(ROWS($V$2:V903),$V$2:$V$1001,0),1)&gt;=100000,INDEX($AC$1005:$AS$1005,1,MATCH(COLUMNS($AC$1006:AQ1006),$AC$1006:$AS$1006,0))&gt;=100000), " ",IF(INDEX($AC$2:$AS$1001,MATCH(ROWS($V$2:V903),$V$2:$V$1001,0),MATCH(COLUMNS($AC$1006:AQ1006),$AC$1006:$AS$1006,0)), HYPERLINK("#",""), HYPERLINK(CONCATENATE("#metadata!", ADDRESS(INDEX($X$2:$X$1001,MATCH(ROWS($V$2:V903),$V$2:$V$1001,0),0), INDEX($AC$1004:$AS$1004,1,MATCH(COLUMNS($AC$1006:AQ1006),$AC$1006:$AS$1006,0)))),"Fix")))</f>
        <v xml:space="preserve"> </v>
      </c>
      <c r="Q903" s="4" t="str">
        <f ca="1">IF(OR(INDEX($W$2:$W$1001,MATCH(ROWS($V$2:V903),$V$2:$V$1001,0),1)&gt;=100000,INDEX($AC$1005:$AS$1005,1,MATCH(COLUMNS($AC$1006:AR1006),$AC$1006:$AS$1006,0))&gt;=100000), " ",IF(INDEX($AC$2:$AS$1001,MATCH(ROWS($V$2:V903),$V$2:$V$1001,0),MATCH(COLUMNS($AC$1006:AR1006),$AC$1006:$AS$1006,0)), HYPERLINK("#",""), HYPERLINK(CONCATENATE("#metadata!", ADDRESS(INDEX($X$2:$X$1001,MATCH(ROWS($V$2:V903),$V$2:$V$1001,0),0), INDEX($AC$1004:$AS$1004,1,MATCH(COLUMNS($AC$1006:AR1006),$AC$1006:$AS$1006,0)))),"Fix")))</f>
        <v xml:space="preserve"> </v>
      </c>
      <c r="R903" s="4" t="str">
        <f ca="1">IF(OR(INDEX($W$2:$W$1001,MATCH(ROWS($V$2:V903),$V$2:$V$1001,0),1)&gt;=100000,INDEX($AC$1005:$AS$1005,1,MATCH(COLUMNS($AC$1006:AS1006),$AC$1006:$AS$1006,0))&gt;=100000), " ",IF(INDEX($AC$2:$AS$1001,MATCH(ROWS($V$2:V903),$V$2:$V$1001,0),MATCH(COLUMNS($AC$1006:AS1006),$AC$1006:$AS$1006,0)), HYPERLINK("#",""), HYPERLINK(CONCATENATE("#metadata!", ADDRESS(INDEX($X$2:$X$1001,MATCH(ROWS($V$2:V903),$V$2:$V$1001,0),0), INDEX($AC$1004:$AS$1004,1,MATCH(COLUMNS($AC$1006:AS1006),$AC$1006:$AS$1006,0)))),"Fix")))</f>
        <v xml:space="preserve"> </v>
      </c>
      <c r="V903">
        <v>902</v>
      </c>
      <c r="W903">
        <v>100903</v>
      </c>
      <c r="X903">
        <v>903</v>
      </c>
      <c r="Y903" t="b">
        <f t="shared" si="14"/>
        <v>1</v>
      </c>
      <c r="Z903" t="b">
        <f>COUNTBLANK(metadata!B903:R903)=COLUMNS(metadata!B903:R903)</f>
        <v>1</v>
      </c>
      <c r="AA903" t="str">
        <v/>
      </c>
      <c r="AC903" t="b">
        <f ca="1"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AD903" t="b">
        <f>IF(metadata!C903="",FALSE,ISNUMBER(VALUE(metadata!C903)))</f>
        <v>0</v>
      </c>
      <c r="AE903" t="b">
        <f>AND(IF(metadata!D903="",FALSE,TRUE),EXACT(metadata!D903,"years"))</f>
        <v>0</v>
      </c>
      <c r="AF903" t="b">
        <f>OR(AND(IF(metadata!E903="",FALSE,TRUE),OR(EXACT(metadata!E903,"not applicable"),EXACT(metadata!E903,"missing: not collected"),EXACT(metadata!E903,"missing: not provided"),EXACT(metadata!E903,"missing: restricted access"))),AND(IF(metadata!E903="",FALSE,ISNUMBER(VALUE(metadata!E903))),metadata!E903&gt;0))</f>
        <v>0</v>
      </c>
      <c r="AG903" t="b">
        <f>AND(IF(metadata!F903="",FALSE,TRUE),EXACT(metadata!F903,"Not applicable"))</f>
        <v>0</v>
      </c>
      <c r="AH903" t="b">
        <f>AND(IF(metadata!G903="",FALSE,TRUE),EXACT(metadata!G903,"urban biome"))</f>
        <v>0</v>
      </c>
      <c r="AI903" t="b">
        <f>AND(IF(metadata!H903="",FALSE,TRUE),EXACT(metadata!H903,"human-associated habitat"))</f>
        <v>0</v>
      </c>
      <c r="AJ903" t="b">
        <f>AND(IF(metadata!I903="",FALSE,TRUE),OR(EXACT(metadata!I903,"human-associated"),EXACT(metadata!I903,"human-skin"),EXACT(metadata!I903,"human-oral"),EXACT(metadata!I903,"human-gut"),EXACT(metadata!I903,"human-vaginal")))</f>
        <v>0</v>
      </c>
      <c r="AK903" t="b">
        <f>IF(metadata!J903="",FALSE,ISNUMBER(VALUE(metadata!J903)))</f>
        <v>0</v>
      </c>
      <c r="AL903" t="b">
        <f>AND(IF(metadata!K903="",FALSE,TRUE),EXACT(metadata!K903,"cm"))</f>
        <v>0</v>
      </c>
      <c r="AM903" t="b">
        <f>AND(IF(metadata!L903="",FALSE,TRUE),EXACT(metadata!L903,"human"))</f>
        <v>0</v>
      </c>
      <c r="AN903" t="b">
        <f>AND(IF(metadata!M903="",FALSE,TRUE),EXACT(metadata!M903,"Homo sapiens"))</f>
        <v>0</v>
      </c>
      <c r="AO903" t="b">
        <f>AND(IF(metadata!N903="",FALSE,TRUE),EXACT(metadata!N903,"9606"))</f>
        <v>0</v>
      </c>
      <c r="AP903" t="b">
        <f>IF(metadata!O903="",FALSE,TRUE)</f>
        <v>0</v>
      </c>
      <c r="AQ903" t="b">
        <f>IF(metadata!P903="",FALSE,TRUE)</f>
        <v>0</v>
      </c>
      <c r="AR903" t="b">
        <f>IF(metadata!Q903="",FALSE,ISNUMBER(VALUE(metadata!Q903)))</f>
        <v>0</v>
      </c>
      <c r="AS903" t="b">
        <f>AND(IF(metadata!R903="",FALSE,TRUE),EXACT(metadata!R903,"kg"))</f>
        <v>0</v>
      </c>
    </row>
    <row r="904" spans="1:45" x14ac:dyDescent="0.2">
      <c r="A904" s="5" t="str">
        <f ca="1">IF(B904=" "," ",HYPERLINK(CONCATENATE("#metadata!",ADDRESS(INDEX($X$2:$X$1001,MATCH(ROWS($V$2:V904),$V$2:$V$1001,0),0),1)),INDEX($AA$2:$AA$1001,MATCH(ROWS($V$2:V904),$V$2:$V$1001,0),0)))</f>
        <v xml:space="preserve"> </v>
      </c>
      <c r="B904" s="4" t="str">
        <f ca="1">IF(OR(INDEX($W$2:$W$1001,MATCH(ROWS($V$2:V904),$V$2:$V$1001,0),1)&gt;=100000,INDEX($AC$1005:$AS$1005,1,MATCH(COLUMNS($AC$1006:AC1006),$AC$1006:$AS$1006,0))&gt;=100000), " ",IF(INDEX($AC$2:$AS$1001,MATCH(ROWS($V$2:V904),$V$2:$V$1001,0),MATCH(COLUMNS($AC$1006:AC1006),$AC$1006:$AS$1006,0)), HYPERLINK("#",""), HYPERLINK(CONCATENATE("#metadata!", ADDRESS(INDEX($X$2:$X$1001,MATCH(ROWS($V$2:V904),$V$2:$V$1001,0),0), INDEX($AC$1004:$AS$1004,1,MATCH(COLUMNS($AC$1006:AC1006),$AC$1006:$AS$1006,0)))),"Fix")))</f>
        <v xml:space="preserve"> </v>
      </c>
      <c r="C904" s="4" t="str">
        <f ca="1">IF(OR(INDEX($W$2:$W$1001,MATCH(ROWS($V$2:V904),$V$2:$V$1001,0),1)&gt;=100000,INDEX($AC$1005:$AS$1005,1,MATCH(COLUMNS($AC$1006:AD1006),$AC$1006:$AS$1006,0))&gt;=100000), " ",IF(INDEX($AC$2:$AS$1001,MATCH(ROWS($V$2:V904),$V$2:$V$1001,0),MATCH(COLUMNS($AC$1006:AD1006),$AC$1006:$AS$1006,0)), HYPERLINK("#",""), HYPERLINK(CONCATENATE("#metadata!", ADDRESS(INDEX($X$2:$X$1001,MATCH(ROWS($V$2:V904),$V$2:$V$1001,0),0), INDEX($AC$1004:$AS$1004,1,MATCH(COLUMNS($AC$1006:AD1006),$AC$1006:$AS$1006,0)))),"Fix")))</f>
        <v xml:space="preserve"> </v>
      </c>
      <c r="D904" s="4" t="str">
        <f ca="1">IF(OR(INDEX($W$2:$W$1001,MATCH(ROWS($V$2:V904),$V$2:$V$1001,0),1)&gt;=100000,INDEX($AC$1005:$AS$1005,1,MATCH(COLUMNS($AC$1006:AE1006),$AC$1006:$AS$1006,0))&gt;=100000), " ",IF(INDEX($AC$2:$AS$1001,MATCH(ROWS($V$2:V904),$V$2:$V$1001,0),MATCH(COLUMNS($AC$1006:AE1006),$AC$1006:$AS$1006,0)), HYPERLINK("#",""), HYPERLINK(CONCATENATE("#metadata!", ADDRESS(INDEX($X$2:$X$1001,MATCH(ROWS($V$2:V904),$V$2:$V$1001,0),0), INDEX($AC$1004:$AS$1004,1,MATCH(COLUMNS($AC$1006:AE1006),$AC$1006:$AS$1006,0)))),"Fix")))</f>
        <v xml:space="preserve"> </v>
      </c>
      <c r="E904" s="4" t="str">
        <f ca="1">IF(OR(INDEX($W$2:$W$1001,MATCH(ROWS($V$2:V904),$V$2:$V$1001,0),1)&gt;=100000,INDEX($AC$1005:$AS$1005,1,MATCH(COLUMNS($AC$1006:AF1006),$AC$1006:$AS$1006,0))&gt;=100000), " ",IF(INDEX($AC$2:$AS$1001,MATCH(ROWS($V$2:V904),$V$2:$V$1001,0),MATCH(COLUMNS($AC$1006:AF1006),$AC$1006:$AS$1006,0)), HYPERLINK("#",""), HYPERLINK(CONCATENATE("#metadata!", ADDRESS(INDEX($X$2:$X$1001,MATCH(ROWS($V$2:V904),$V$2:$V$1001,0),0), INDEX($AC$1004:$AS$1004,1,MATCH(COLUMNS($AC$1006:AF1006),$AC$1006:$AS$1006,0)))),"Fix")))</f>
        <v xml:space="preserve"> </v>
      </c>
      <c r="F904" s="4" t="str">
        <f ca="1">IF(OR(INDEX($W$2:$W$1001,MATCH(ROWS($V$2:V904),$V$2:$V$1001,0),1)&gt;=100000,INDEX($AC$1005:$AS$1005,1,MATCH(COLUMNS($AC$1006:AG1006),$AC$1006:$AS$1006,0))&gt;=100000), " ",IF(INDEX($AC$2:$AS$1001,MATCH(ROWS($V$2:V904),$V$2:$V$1001,0),MATCH(COLUMNS($AC$1006:AG1006),$AC$1006:$AS$1006,0)), HYPERLINK("#",""), HYPERLINK(CONCATENATE("#metadata!", ADDRESS(INDEX($X$2:$X$1001,MATCH(ROWS($V$2:V904),$V$2:$V$1001,0),0), INDEX($AC$1004:$AS$1004,1,MATCH(COLUMNS($AC$1006:AG1006),$AC$1006:$AS$1006,0)))),"Fix")))</f>
        <v xml:space="preserve"> </v>
      </c>
      <c r="G904" s="4" t="str">
        <f ca="1">IF(OR(INDEX($W$2:$W$1001,MATCH(ROWS($V$2:V904),$V$2:$V$1001,0),1)&gt;=100000,INDEX($AC$1005:$AS$1005,1,MATCH(COLUMNS($AC$1006:AH1006),$AC$1006:$AS$1006,0))&gt;=100000), " ",IF(INDEX($AC$2:$AS$1001,MATCH(ROWS($V$2:V904),$V$2:$V$1001,0),MATCH(COLUMNS($AC$1006:AH1006),$AC$1006:$AS$1006,0)), HYPERLINK("#",""), HYPERLINK(CONCATENATE("#metadata!", ADDRESS(INDEX($X$2:$X$1001,MATCH(ROWS($V$2:V904),$V$2:$V$1001,0),0), INDEX($AC$1004:$AS$1004,1,MATCH(COLUMNS($AC$1006:AH1006),$AC$1006:$AS$1006,0)))),"Fix")))</f>
        <v xml:space="preserve"> </v>
      </c>
      <c r="H904" s="4" t="str">
        <f ca="1">IF(OR(INDEX($W$2:$W$1001,MATCH(ROWS($V$2:V904),$V$2:$V$1001,0),1)&gt;=100000,INDEX($AC$1005:$AS$1005,1,MATCH(COLUMNS($AC$1006:AI1006),$AC$1006:$AS$1006,0))&gt;=100000), " ",IF(INDEX($AC$2:$AS$1001,MATCH(ROWS($V$2:V904),$V$2:$V$1001,0),MATCH(COLUMNS($AC$1006:AI1006),$AC$1006:$AS$1006,0)), HYPERLINK("#",""), HYPERLINK(CONCATENATE("#metadata!", ADDRESS(INDEX($X$2:$X$1001,MATCH(ROWS($V$2:V904),$V$2:$V$1001,0),0), INDEX($AC$1004:$AS$1004,1,MATCH(COLUMNS($AC$1006:AI1006),$AC$1006:$AS$1006,0)))),"Fix")))</f>
        <v xml:space="preserve"> </v>
      </c>
      <c r="I904" s="4" t="str">
        <f ca="1">IF(OR(INDEX($W$2:$W$1001,MATCH(ROWS($V$2:V904),$V$2:$V$1001,0),1)&gt;=100000,INDEX($AC$1005:$AS$1005,1,MATCH(COLUMNS($AC$1006:AJ1006),$AC$1006:$AS$1006,0))&gt;=100000), " ",IF(INDEX($AC$2:$AS$1001,MATCH(ROWS($V$2:V904),$V$2:$V$1001,0),MATCH(COLUMNS($AC$1006:AJ1006),$AC$1006:$AS$1006,0)), HYPERLINK("#",""), HYPERLINK(CONCATENATE("#metadata!", ADDRESS(INDEX($X$2:$X$1001,MATCH(ROWS($V$2:V904),$V$2:$V$1001,0),0), INDEX($AC$1004:$AS$1004,1,MATCH(COLUMNS($AC$1006:AJ1006),$AC$1006:$AS$1006,0)))),"Fix")))</f>
        <v xml:space="preserve"> </v>
      </c>
      <c r="J904" s="4" t="str">
        <f ca="1">IF(OR(INDEX($W$2:$W$1001,MATCH(ROWS($V$2:V904),$V$2:$V$1001,0),1)&gt;=100000,INDEX($AC$1005:$AS$1005,1,MATCH(COLUMNS($AC$1006:AK1006),$AC$1006:$AS$1006,0))&gt;=100000), " ",IF(INDEX($AC$2:$AS$1001,MATCH(ROWS($V$2:V904),$V$2:$V$1001,0),MATCH(COLUMNS($AC$1006:AK1006),$AC$1006:$AS$1006,0)), HYPERLINK("#",""), HYPERLINK(CONCATENATE("#metadata!", ADDRESS(INDEX($X$2:$X$1001,MATCH(ROWS($V$2:V904),$V$2:$V$1001,0),0), INDEX($AC$1004:$AS$1004,1,MATCH(COLUMNS($AC$1006:AK1006),$AC$1006:$AS$1006,0)))),"Fix")))</f>
        <v xml:space="preserve"> </v>
      </c>
      <c r="K904" s="4" t="str">
        <f ca="1">IF(OR(INDEX($W$2:$W$1001,MATCH(ROWS($V$2:V904),$V$2:$V$1001,0),1)&gt;=100000,INDEX($AC$1005:$AS$1005,1,MATCH(COLUMNS($AC$1006:AL1006),$AC$1006:$AS$1006,0))&gt;=100000), " ",IF(INDEX($AC$2:$AS$1001,MATCH(ROWS($V$2:V904),$V$2:$V$1001,0),MATCH(COLUMNS($AC$1006:AL1006),$AC$1006:$AS$1006,0)), HYPERLINK("#",""), HYPERLINK(CONCATENATE("#metadata!", ADDRESS(INDEX($X$2:$X$1001,MATCH(ROWS($V$2:V904),$V$2:$V$1001,0),0), INDEX($AC$1004:$AS$1004,1,MATCH(COLUMNS($AC$1006:AL1006),$AC$1006:$AS$1006,0)))),"Fix")))</f>
        <v xml:space="preserve"> </v>
      </c>
      <c r="L904" s="4" t="str">
        <f ca="1">IF(OR(INDEX($W$2:$W$1001,MATCH(ROWS($V$2:V904),$V$2:$V$1001,0),1)&gt;=100000,INDEX($AC$1005:$AS$1005,1,MATCH(COLUMNS($AC$1006:AM1006),$AC$1006:$AS$1006,0))&gt;=100000), " ",IF(INDEX($AC$2:$AS$1001,MATCH(ROWS($V$2:V904),$V$2:$V$1001,0),MATCH(COLUMNS($AC$1006:AM1006),$AC$1006:$AS$1006,0)), HYPERLINK("#",""), HYPERLINK(CONCATENATE("#metadata!", ADDRESS(INDEX($X$2:$X$1001,MATCH(ROWS($V$2:V904),$V$2:$V$1001,0),0), INDEX($AC$1004:$AS$1004,1,MATCH(COLUMNS($AC$1006:AM1006),$AC$1006:$AS$1006,0)))),"Fix")))</f>
        <v xml:space="preserve"> </v>
      </c>
      <c r="M904" s="4" t="str">
        <f ca="1">IF(OR(INDEX($W$2:$W$1001,MATCH(ROWS($V$2:V904),$V$2:$V$1001,0),1)&gt;=100000,INDEX($AC$1005:$AS$1005,1,MATCH(COLUMNS($AC$1006:AN1006),$AC$1006:$AS$1006,0))&gt;=100000), " ",IF(INDEX($AC$2:$AS$1001,MATCH(ROWS($V$2:V904),$V$2:$V$1001,0),MATCH(COLUMNS($AC$1006:AN1006),$AC$1006:$AS$1006,0)), HYPERLINK("#",""), HYPERLINK(CONCATENATE("#metadata!", ADDRESS(INDEX($X$2:$X$1001,MATCH(ROWS($V$2:V904),$V$2:$V$1001,0),0), INDEX($AC$1004:$AS$1004,1,MATCH(COLUMNS($AC$1006:AN1006),$AC$1006:$AS$1006,0)))),"Fix")))</f>
        <v xml:space="preserve"> </v>
      </c>
      <c r="N904" s="4" t="str">
        <f ca="1">IF(OR(INDEX($W$2:$W$1001,MATCH(ROWS($V$2:V904),$V$2:$V$1001,0),1)&gt;=100000,INDEX($AC$1005:$AS$1005,1,MATCH(COLUMNS($AC$1006:AO1006),$AC$1006:$AS$1006,0))&gt;=100000), " ",IF(INDEX($AC$2:$AS$1001,MATCH(ROWS($V$2:V904),$V$2:$V$1001,0),MATCH(COLUMNS($AC$1006:AO1006),$AC$1006:$AS$1006,0)), HYPERLINK("#",""), HYPERLINK(CONCATENATE("#metadata!", ADDRESS(INDEX($X$2:$X$1001,MATCH(ROWS($V$2:V904),$V$2:$V$1001,0),0), INDEX($AC$1004:$AS$1004,1,MATCH(COLUMNS($AC$1006:AO1006),$AC$1006:$AS$1006,0)))),"Fix")))</f>
        <v xml:space="preserve"> </v>
      </c>
      <c r="O904" s="4" t="str">
        <f ca="1">IF(OR(INDEX($W$2:$W$1001,MATCH(ROWS($V$2:V904),$V$2:$V$1001,0),1)&gt;=100000,INDEX($AC$1005:$AS$1005,1,MATCH(COLUMNS($AC$1006:AP1006),$AC$1006:$AS$1006,0))&gt;=100000), " ",IF(INDEX($AC$2:$AS$1001,MATCH(ROWS($V$2:V904),$V$2:$V$1001,0),MATCH(COLUMNS($AC$1006:AP1006),$AC$1006:$AS$1006,0)), HYPERLINK("#",""), HYPERLINK(CONCATENATE("#metadata!", ADDRESS(INDEX($X$2:$X$1001,MATCH(ROWS($V$2:V904),$V$2:$V$1001,0),0), INDEX($AC$1004:$AS$1004,1,MATCH(COLUMNS($AC$1006:AP1006),$AC$1006:$AS$1006,0)))),"Fix")))</f>
        <v xml:space="preserve"> </v>
      </c>
      <c r="P904" s="4" t="str">
        <f ca="1">IF(OR(INDEX($W$2:$W$1001,MATCH(ROWS($V$2:V904),$V$2:$V$1001,0),1)&gt;=100000,INDEX($AC$1005:$AS$1005,1,MATCH(COLUMNS($AC$1006:AQ1006),$AC$1006:$AS$1006,0))&gt;=100000), " ",IF(INDEX($AC$2:$AS$1001,MATCH(ROWS($V$2:V904),$V$2:$V$1001,0),MATCH(COLUMNS($AC$1006:AQ1006),$AC$1006:$AS$1006,0)), HYPERLINK("#",""), HYPERLINK(CONCATENATE("#metadata!", ADDRESS(INDEX($X$2:$X$1001,MATCH(ROWS($V$2:V904),$V$2:$V$1001,0),0), INDEX($AC$1004:$AS$1004,1,MATCH(COLUMNS($AC$1006:AQ1006),$AC$1006:$AS$1006,0)))),"Fix")))</f>
        <v xml:space="preserve"> </v>
      </c>
      <c r="Q904" s="4" t="str">
        <f ca="1">IF(OR(INDEX($W$2:$W$1001,MATCH(ROWS($V$2:V904),$V$2:$V$1001,0),1)&gt;=100000,INDEX($AC$1005:$AS$1005,1,MATCH(COLUMNS($AC$1006:AR1006),$AC$1006:$AS$1006,0))&gt;=100000), " ",IF(INDEX($AC$2:$AS$1001,MATCH(ROWS($V$2:V904),$V$2:$V$1001,0),MATCH(COLUMNS($AC$1006:AR1006),$AC$1006:$AS$1006,0)), HYPERLINK("#",""), HYPERLINK(CONCATENATE("#metadata!", ADDRESS(INDEX($X$2:$X$1001,MATCH(ROWS($V$2:V904),$V$2:$V$1001,0),0), INDEX($AC$1004:$AS$1004,1,MATCH(COLUMNS($AC$1006:AR1006),$AC$1006:$AS$1006,0)))),"Fix")))</f>
        <v xml:space="preserve"> </v>
      </c>
      <c r="R904" s="4" t="str">
        <f ca="1">IF(OR(INDEX($W$2:$W$1001,MATCH(ROWS($V$2:V904),$V$2:$V$1001,0),1)&gt;=100000,INDEX($AC$1005:$AS$1005,1,MATCH(COLUMNS($AC$1006:AS1006),$AC$1006:$AS$1006,0))&gt;=100000), " ",IF(INDEX($AC$2:$AS$1001,MATCH(ROWS($V$2:V904),$V$2:$V$1001,0),MATCH(COLUMNS($AC$1006:AS1006),$AC$1006:$AS$1006,0)), HYPERLINK("#",""), HYPERLINK(CONCATENATE("#metadata!", ADDRESS(INDEX($X$2:$X$1001,MATCH(ROWS($V$2:V904),$V$2:$V$1001,0),0), INDEX($AC$1004:$AS$1004,1,MATCH(COLUMNS($AC$1006:AS1006),$AC$1006:$AS$1006,0)))),"Fix")))</f>
        <v xml:space="preserve"> </v>
      </c>
      <c r="V904">
        <v>903</v>
      </c>
      <c r="W904">
        <v>100904</v>
      </c>
      <c r="X904">
        <v>904</v>
      </c>
      <c r="Y904" t="b">
        <f t="shared" si="14"/>
        <v>1</v>
      </c>
      <c r="Z904" t="b">
        <f>COUNTBLANK(metadata!B904:R904)=COLUMNS(metadata!B904:R904)</f>
        <v>1</v>
      </c>
      <c r="AA904" t="str">
        <v/>
      </c>
      <c r="AC904" t="b">
        <f ca="1"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AD904" t="b">
        <f>IF(metadata!C904="",FALSE,ISNUMBER(VALUE(metadata!C904)))</f>
        <v>0</v>
      </c>
      <c r="AE904" t="b">
        <f>AND(IF(metadata!D904="",FALSE,TRUE),EXACT(metadata!D904,"years"))</f>
        <v>0</v>
      </c>
      <c r="AF904" t="b">
        <f>OR(AND(IF(metadata!E904="",FALSE,TRUE),OR(EXACT(metadata!E904,"not applicable"),EXACT(metadata!E904,"missing: not collected"),EXACT(metadata!E904,"missing: not provided"),EXACT(metadata!E904,"missing: restricted access"))),AND(IF(metadata!E904="",FALSE,ISNUMBER(VALUE(metadata!E904))),metadata!E904&gt;0))</f>
        <v>0</v>
      </c>
      <c r="AG904" t="b">
        <f>AND(IF(metadata!F904="",FALSE,TRUE),EXACT(metadata!F904,"Not applicable"))</f>
        <v>0</v>
      </c>
      <c r="AH904" t="b">
        <f>AND(IF(metadata!G904="",FALSE,TRUE),EXACT(metadata!G904,"urban biome"))</f>
        <v>0</v>
      </c>
      <c r="AI904" t="b">
        <f>AND(IF(metadata!H904="",FALSE,TRUE),EXACT(metadata!H904,"human-associated habitat"))</f>
        <v>0</v>
      </c>
      <c r="AJ904" t="b">
        <f>AND(IF(metadata!I904="",FALSE,TRUE),OR(EXACT(metadata!I904,"human-associated"),EXACT(metadata!I904,"human-skin"),EXACT(metadata!I904,"human-oral"),EXACT(metadata!I904,"human-gut"),EXACT(metadata!I904,"human-vaginal")))</f>
        <v>0</v>
      </c>
      <c r="AK904" t="b">
        <f>IF(metadata!J904="",FALSE,ISNUMBER(VALUE(metadata!J904)))</f>
        <v>0</v>
      </c>
      <c r="AL904" t="b">
        <f>AND(IF(metadata!K904="",FALSE,TRUE),EXACT(metadata!K904,"cm"))</f>
        <v>0</v>
      </c>
      <c r="AM904" t="b">
        <f>AND(IF(metadata!L904="",FALSE,TRUE),EXACT(metadata!L904,"human"))</f>
        <v>0</v>
      </c>
      <c r="AN904" t="b">
        <f>AND(IF(metadata!M904="",FALSE,TRUE),EXACT(metadata!M904,"Homo sapiens"))</f>
        <v>0</v>
      </c>
      <c r="AO904" t="b">
        <f>AND(IF(metadata!N904="",FALSE,TRUE),EXACT(metadata!N904,"9606"))</f>
        <v>0</v>
      </c>
      <c r="AP904" t="b">
        <f>IF(metadata!O904="",FALSE,TRUE)</f>
        <v>0</v>
      </c>
      <c r="AQ904" t="b">
        <f>IF(metadata!P904="",FALSE,TRUE)</f>
        <v>0</v>
      </c>
      <c r="AR904" t="b">
        <f>IF(metadata!Q904="",FALSE,ISNUMBER(VALUE(metadata!Q904)))</f>
        <v>0</v>
      </c>
      <c r="AS904" t="b">
        <f>AND(IF(metadata!R904="",FALSE,TRUE),EXACT(metadata!R904,"kg"))</f>
        <v>0</v>
      </c>
    </row>
    <row r="905" spans="1:45" x14ac:dyDescent="0.2">
      <c r="A905" s="5" t="str">
        <f ca="1">IF(B905=" "," ",HYPERLINK(CONCATENATE("#metadata!",ADDRESS(INDEX($X$2:$X$1001,MATCH(ROWS($V$2:V905),$V$2:$V$1001,0),0),1)),INDEX($AA$2:$AA$1001,MATCH(ROWS($V$2:V905),$V$2:$V$1001,0),0)))</f>
        <v xml:space="preserve"> </v>
      </c>
      <c r="B905" s="4" t="str">
        <f ca="1">IF(OR(INDEX($W$2:$W$1001,MATCH(ROWS($V$2:V905),$V$2:$V$1001,0),1)&gt;=100000,INDEX($AC$1005:$AS$1005,1,MATCH(COLUMNS($AC$1006:AC1006),$AC$1006:$AS$1006,0))&gt;=100000), " ",IF(INDEX($AC$2:$AS$1001,MATCH(ROWS($V$2:V905),$V$2:$V$1001,0),MATCH(COLUMNS($AC$1006:AC1006),$AC$1006:$AS$1006,0)), HYPERLINK("#",""), HYPERLINK(CONCATENATE("#metadata!", ADDRESS(INDEX($X$2:$X$1001,MATCH(ROWS($V$2:V905),$V$2:$V$1001,0),0), INDEX($AC$1004:$AS$1004,1,MATCH(COLUMNS($AC$1006:AC1006),$AC$1006:$AS$1006,0)))),"Fix")))</f>
        <v xml:space="preserve"> </v>
      </c>
      <c r="C905" s="4" t="str">
        <f ca="1">IF(OR(INDEX($W$2:$W$1001,MATCH(ROWS($V$2:V905),$V$2:$V$1001,0),1)&gt;=100000,INDEX($AC$1005:$AS$1005,1,MATCH(COLUMNS($AC$1006:AD1006),$AC$1006:$AS$1006,0))&gt;=100000), " ",IF(INDEX($AC$2:$AS$1001,MATCH(ROWS($V$2:V905),$V$2:$V$1001,0),MATCH(COLUMNS($AC$1006:AD1006),$AC$1006:$AS$1006,0)), HYPERLINK("#",""), HYPERLINK(CONCATENATE("#metadata!", ADDRESS(INDEX($X$2:$X$1001,MATCH(ROWS($V$2:V905),$V$2:$V$1001,0),0), INDEX($AC$1004:$AS$1004,1,MATCH(COLUMNS($AC$1006:AD1006),$AC$1006:$AS$1006,0)))),"Fix")))</f>
        <v xml:space="preserve"> </v>
      </c>
      <c r="D905" s="4" t="str">
        <f ca="1">IF(OR(INDEX($W$2:$W$1001,MATCH(ROWS($V$2:V905),$V$2:$V$1001,0),1)&gt;=100000,INDEX($AC$1005:$AS$1005,1,MATCH(COLUMNS($AC$1006:AE1006),$AC$1006:$AS$1006,0))&gt;=100000), " ",IF(INDEX($AC$2:$AS$1001,MATCH(ROWS($V$2:V905),$V$2:$V$1001,0),MATCH(COLUMNS($AC$1006:AE1006),$AC$1006:$AS$1006,0)), HYPERLINK("#",""), HYPERLINK(CONCATENATE("#metadata!", ADDRESS(INDEX($X$2:$X$1001,MATCH(ROWS($V$2:V905),$V$2:$V$1001,0),0), INDEX($AC$1004:$AS$1004,1,MATCH(COLUMNS($AC$1006:AE1006),$AC$1006:$AS$1006,0)))),"Fix")))</f>
        <v xml:space="preserve"> </v>
      </c>
      <c r="E905" s="4" t="str">
        <f ca="1">IF(OR(INDEX($W$2:$W$1001,MATCH(ROWS($V$2:V905),$V$2:$V$1001,0),1)&gt;=100000,INDEX($AC$1005:$AS$1005,1,MATCH(COLUMNS($AC$1006:AF1006),$AC$1006:$AS$1006,0))&gt;=100000), " ",IF(INDEX($AC$2:$AS$1001,MATCH(ROWS($V$2:V905),$V$2:$V$1001,0),MATCH(COLUMNS($AC$1006:AF1006),$AC$1006:$AS$1006,0)), HYPERLINK("#",""), HYPERLINK(CONCATENATE("#metadata!", ADDRESS(INDEX($X$2:$X$1001,MATCH(ROWS($V$2:V905),$V$2:$V$1001,0),0), INDEX($AC$1004:$AS$1004,1,MATCH(COLUMNS($AC$1006:AF1006),$AC$1006:$AS$1006,0)))),"Fix")))</f>
        <v xml:space="preserve"> </v>
      </c>
      <c r="F905" s="4" t="str">
        <f ca="1">IF(OR(INDEX($W$2:$W$1001,MATCH(ROWS($V$2:V905),$V$2:$V$1001,0),1)&gt;=100000,INDEX($AC$1005:$AS$1005,1,MATCH(COLUMNS($AC$1006:AG1006),$AC$1006:$AS$1006,0))&gt;=100000), " ",IF(INDEX($AC$2:$AS$1001,MATCH(ROWS($V$2:V905),$V$2:$V$1001,0),MATCH(COLUMNS($AC$1006:AG1006),$AC$1006:$AS$1006,0)), HYPERLINK("#",""), HYPERLINK(CONCATENATE("#metadata!", ADDRESS(INDEX($X$2:$X$1001,MATCH(ROWS($V$2:V905),$V$2:$V$1001,0),0), INDEX($AC$1004:$AS$1004,1,MATCH(COLUMNS($AC$1006:AG1006),$AC$1006:$AS$1006,0)))),"Fix")))</f>
        <v xml:space="preserve"> </v>
      </c>
      <c r="G905" s="4" t="str">
        <f ca="1">IF(OR(INDEX($W$2:$W$1001,MATCH(ROWS($V$2:V905),$V$2:$V$1001,0),1)&gt;=100000,INDEX($AC$1005:$AS$1005,1,MATCH(COLUMNS($AC$1006:AH1006),$AC$1006:$AS$1006,0))&gt;=100000), " ",IF(INDEX($AC$2:$AS$1001,MATCH(ROWS($V$2:V905),$V$2:$V$1001,0),MATCH(COLUMNS($AC$1006:AH1006),$AC$1006:$AS$1006,0)), HYPERLINK("#",""), HYPERLINK(CONCATENATE("#metadata!", ADDRESS(INDEX($X$2:$X$1001,MATCH(ROWS($V$2:V905),$V$2:$V$1001,0),0), INDEX($AC$1004:$AS$1004,1,MATCH(COLUMNS($AC$1006:AH1006),$AC$1006:$AS$1006,0)))),"Fix")))</f>
        <v xml:space="preserve"> </v>
      </c>
      <c r="H905" s="4" t="str">
        <f ca="1">IF(OR(INDEX($W$2:$W$1001,MATCH(ROWS($V$2:V905),$V$2:$V$1001,0),1)&gt;=100000,INDEX($AC$1005:$AS$1005,1,MATCH(COLUMNS($AC$1006:AI1006),$AC$1006:$AS$1006,0))&gt;=100000), " ",IF(INDEX($AC$2:$AS$1001,MATCH(ROWS($V$2:V905),$V$2:$V$1001,0),MATCH(COLUMNS($AC$1006:AI1006),$AC$1006:$AS$1006,0)), HYPERLINK("#",""), HYPERLINK(CONCATENATE("#metadata!", ADDRESS(INDEX($X$2:$X$1001,MATCH(ROWS($V$2:V905),$V$2:$V$1001,0),0), INDEX($AC$1004:$AS$1004,1,MATCH(COLUMNS($AC$1006:AI1006),$AC$1006:$AS$1006,0)))),"Fix")))</f>
        <v xml:space="preserve"> </v>
      </c>
      <c r="I905" s="4" t="str">
        <f ca="1">IF(OR(INDEX($W$2:$W$1001,MATCH(ROWS($V$2:V905),$V$2:$V$1001,0),1)&gt;=100000,INDEX($AC$1005:$AS$1005,1,MATCH(COLUMNS($AC$1006:AJ1006),$AC$1006:$AS$1006,0))&gt;=100000), " ",IF(INDEX($AC$2:$AS$1001,MATCH(ROWS($V$2:V905),$V$2:$V$1001,0),MATCH(COLUMNS($AC$1006:AJ1006),$AC$1006:$AS$1006,0)), HYPERLINK("#",""), HYPERLINK(CONCATENATE("#metadata!", ADDRESS(INDEX($X$2:$X$1001,MATCH(ROWS($V$2:V905),$V$2:$V$1001,0),0), INDEX($AC$1004:$AS$1004,1,MATCH(COLUMNS($AC$1006:AJ1006),$AC$1006:$AS$1006,0)))),"Fix")))</f>
        <v xml:space="preserve"> </v>
      </c>
      <c r="J905" s="4" t="str">
        <f ca="1">IF(OR(INDEX($W$2:$W$1001,MATCH(ROWS($V$2:V905),$V$2:$V$1001,0),1)&gt;=100000,INDEX($AC$1005:$AS$1005,1,MATCH(COLUMNS($AC$1006:AK1006),$AC$1006:$AS$1006,0))&gt;=100000), " ",IF(INDEX($AC$2:$AS$1001,MATCH(ROWS($V$2:V905),$V$2:$V$1001,0),MATCH(COLUMNS($AC$1006:AK1006),$AC$1006:$AS$1006,0)), HYPERLINK("#",""), HYPERLINK(CONCATENATE("#metadata!", ADDRESS(INDEX($X$2:$X$1001,MATCH(ROWS($V$2:V905),$V$2:$V$1001,0),0), INDEX($AC$1004:$AS$1004,1,MATCH(COLUMNS($AC$1006:AK1006),$AC$1006:$AS$1006,0)))),"Fix")))</f>
        <v xml:space="preserve"> </v>
      </c>
      <c r="K905" s="4" t="str">
        <f ca="1">IF(OR(INDEX($W$2:$W$1001,MATCH(ROWS($V$2:V905),$V$2:$V$1001,0),1)&gt;=100000,INDEX($AC$1005:$AS$1005,1,MATCH(COLUMNS($AC$1006:AL1006),$AC$1006:$AS$1006,0))&gt;=100000), " ",IF(INDEX($AC$2:$AS$1001,MATCH(ROWS($V$2:V905),$V$2:$V$1001,0),MATCH(COLUMNS($AC$1006:AL1006),$AC$1006:$AS$1006,0)), HYPERLINK("#",""), HYPERLINK(CONCATENATE("#metadata!", ADDRESS(INDEX($X$2:$X$1001,MATCH(ROWS($V$2:V905),$V$2:$V$1001,0),0), INDEX($AC$1004:$AS$1004,1,MATCH(COLUMNS($AC$1006:AL1006),$AC$1006:$AS$1006,0)))),"Fix")))</f>
        <v xml:space="preserve"> </v>
      </c>
      <c r="L905" s="4" t="str">
        <f ca="1">IF(OR(INDEX($W$2:$W$1001,MATCH(ROWS($V$2:V905),$V$2:$V$1001,0),1)&gt;=100000,INDEX($AC$1005:$AS$1005,1,MATCH(COLUMNS($AC$1006:AM1006),$AC$1006:$AS$1006,0))&gt;=100000), " ",IF(INDEX($AC$2:$AS$1001,MATCH(ROWS($V$2:V905),$V$2:$V$1001,0),MATCH(COLUMNS($AC$1006:AM1006),$AC$1006:$AS$1006,0)), HYPERLINK("#",""), HYPERLINK(CONCATENATE("#metadata!", ADDRESS(INDEX($X$2:$X$1001,MATCH(ROWS($V$2:V905),$V$2:$V$1001,0),0), INDEX($AC$1004:$AS$1004,1,MATCH(COLUMNS($AC$1006:AM1006),$AC$1006:$AS$1006,0)))),"Fix")))</f>
        <v xml:space="preserve"> </v>
      </c>
      <c r="M905" s="4" t="str">
        <f ca="1">IF(OR(INDEX($W$2:$W$1001,MATCH(ROWS($V$2:V905),$V$2:$V$1001,0),1)&gt;=100000,INDEX($AC$1005:$AS$1005,1,MATCH(COLUMNS($AC$1006:AN1006),$AC$1006:$AS$1006,0))&gt;=100000), " ",IF(INDEX($AC$2:$AS$1001,MATCH(ROWS($V$2:V905),$V$2:$V$1001,0),MATCH(COLUMNS($AC$1006:AN1006),$AC$1006:$AS$1006,0)), HYPERLINK("#",""), HYPERLINK(CONCATENATE("#metadata!", ADDRESS(INDEX($X$2:$X$1001,MATCH(ROWS($V$2:V905),$V$2:$V$1001,0),0), INDEX($AC$1004:$AS$1004,1,MATCH(COLUMNS($AC$1006:AN1006),$AC$1006:$AS$1006,0)))),"Fix")))</f>
        <v xml:space="preserve"> </v>
      </c>
      <c r="N905" s="4" t="str">
        <f ca="1">IF(OR(INDEX($W$2:$W$1001,MATCH(ROWS($V$2:V905),$V$2:$V$1001,0),1)&gt;=100000,INDEX($AC$1005:$AS$1005,1,MATCH(COLUMNS($AC$1006:AO1006),$AC$1006:$AS$1006,0))&gt;=100000), " ",IF(INDEX($AC$2:$AS$1001,MATCH(ROWS($V$2:V905),$V$2:$V$1001,0),MATCH(COLUMNS($AC$1006:AO1006),$AC$1006:$AS$1006,0)), HYPERLINK("#",""), HYPERLINK(CONCATENATE("#metadata!", ADDRESS(INDEX($X$2:$X$1001,MATCH(ROWS($V$2:V905),$V$2:$V$1001,0),0), INDEX($AC$1004:$AS$1004,1,MATCH(COLUMNS($AC$1006:AO1006),$AC$1006:$AS$1006,0)))),"Fix")))</f>
        <v xml:space="preserve"> </v>
      </c>
      <c r="O905" s="4" t="str">
        <f ca="1">IF(OR(INDEX($W$2:$W$1001,MATCH(ROWS($V$2:V905),$V$2:$V$1001,0),1)&gt;=100000,INDEX($AC$1005:$AS$1005,1,MATCH(COLUMNS($AC$1006:AP1006),$AC$1006:$AS$1006,0))&gt;=100000), " ",IF(INDEX($AC$2:$AS$1001,MATCH(ROWS($V$2:V905),$V$2:$V$1001,0),MATCH(COLUMNS($AC$1006:AP1006),$AC$1006:$AS$1006,0)), HYPERLINK("#",""), HYPERLINK(CONCATENATE("#metadata!", ADDRESS(INDEX($X$2:$X$1001,MATCH(ROWS($V$2:V905),$V$2:$V$1001,0),0), INDEX($AC$1004:$AS$1004,1,MATCH(COLUMNS($AC$1006:AP1006),$AC$1006:$AS$1006,0)))),"Fix")))</f>
        <v xml:space="preserve"> </v>
      </c>
      <c r="P905" s="4" t="str">
        <f ca="1">IF(OR(INDEX($W$2:$W$1001,MATCH(ROWS($V$2:V905),$V$2:$V$1001,0),1)&gt;=100000,INDEX($AC$1005:$AS$1005,1,MATCH(COLUMNS($AC$1006:AQ1006),$AC$1006:$AS$1006,0))&gt;=100000), " ",IF(INDEX($AC$2:$AS$1001,MATCH(ROWS($V$2:V905),$V$2:$V$1001,0),MATCH(COLUMNS($AC$1006:AQ1006),$AC$1006:$AS$1006,0)), HYPERLINK("#",""), HYPERLINK(CONCATENATE("#metadata!", ADDRESS(INDEX($X$2:$X$1001,MATCH(ROWS($V$2:V905),$V$2:$V$1001,0),0), INDEX($AC$1004:$AS$1004,1,MATCH(COLUMNS($AC$1006:AQ1006),$AC$1006:$AS$1006,0)))),"Fix")))</f>
        <v xml:space="preserve"> </v>
      </c>
      <c r="Q905" s="4" t="str">
        <f ca="1">IF(OR(INDEX($W$2:$W$1001,MATCH(ROWS($V$2:V905),$V$2:$V$1001,0),1)&gt;=100000,INDEX($AC$1005:$AS$1005,1,MATCH(COLUMNS($AC$1006:AR1006),$AC$1006:$AS$1006,0))&gt;=100000), " ",IF(INDEX($AC$2:$AS$1001,MATCH(ROWS($V$2:V905),$V$2:$V$1001,0),MATCH(COLUMNS($AC$1006:AR1006),$AC$1006:$AS$1006,0)), HYPERLINK("#",""), HYPERLINK(CONCATENATE("#metadata!", ADDRESS(INDEX($X$2:$X$1001,MATCH(ROWS($V$2:V905),$V$2:$V$1001,0),0), INDEX($AC$1004:$AS$1004,1,MATCH(COLUMNS($AC$1006:AR1006),$AC$1006:$AS$1006,0)))),"Fix")))</f>
        <v xml:space="preserve"> </v>
      </c>
      <c r="R905" s="4" t="str">
        <f ca="1">IF(OR(INDEX($W$2:$W$1001,MATCH(ROWS($V$2:V905),$V$2:$V$1001,0),1)&gt;=100000,INDEX($AC$1005:$AS$1005,1,MATCH(COLUMNS($AC$1006:AS1006),$AC$1006:$AS$1006,0))&gt;=100000), " ",IF(INDEX($AC$2:$AS$1001,MATCH(ROWS($V$2:V905),$V$2:$V$1001,0),MATCH(COLUMNS($AC$1006:AS1006),$AC$1006:$AS$1006,0)), HYPERLINK("#",""), HYPERLINK(CONCATENATE("#metadata!", ADDRESS(INDEX($X$2:$X$1001,MATCH(ROWS($V$2:V905),$V$2:$V$1001,0),0), INDEX($AC$1004:$AS$1004,1,MATCH(COLUMNS($AC$1006:AS1006),$AC$1006:$AS$1006,0)))),"Fix")))</f>
        <v xml:space="preserve"> </v>
      </c>
      <c r="V905">
        <v>904</v>
      </c>
      <c r="W905">
        <v>100905</v>
      </c>
      <c r="X905">
        <v>905</v>
      </c>
      <c r="Y905" t="b">
        <f t="shared" si="14"/>
        <v>1</v>
      </c>
      <c r="Z905" t="b">
        <f>COUNTBLANK(metadata!B905:R905)=COLUMNS(metadata!B905:R905)</f>
        <v>1</v>
      </c>
      <c r="AA905" t="str">
        <v/>
      </c>
      <c r="AC905" t="b">
        <f ca="1"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AD905" t="b">
        <f>IF(metadata!C905="",FALSE,ISNUMBER(VALUE(metadata!C905)))</f>
        <v>0</v>
      </c>
      <c r="AE905" t="b">
        <f>AND(IF(metadata!D905="",FALSE,TRUE),EXACT(metadata!D905,"years"))</f>
        <v>0</v>
      </c>
      <c r="AF905" t="b">
        <f>OR(AND(IF(metadata!E905="",FALSE,TRUE),OR(EXACT(metadata!E905,"not applicable"),EXACT(metadata!E905,"missing: not collected"),EXACT(metadata!E905,"missing: not provided"),EXACT(metadata!E905,"missing: restricted access"))),AND(IF(metadata!E905="",FALSE,ISNUMBER(VALUE(metadata!E905))),metadata!E905&gt;0))</f>
        <v>0</v>
      </c>
      <c r="AG905" t="b">
        <f>AND(IF(metadata!F905="",FALSE,TRUE),EXACT(metadata!F905,"Not applicable"))</f>
        <v>0</v>
      </c>
      <c r="AH905" t="b">
        <f>AND(IF(metadata!G905="",FALSE,TRUE),EXACT(metadata!G905,"urban biome"))</f>
        <v>0</v>
      </c>
      <c r="AI905" t="b">
        <f>AND(IF(metadata!H905="",FALSE,TRUE),EXACT(metadata!H905,"human-associated habitat"))</f>
        <v>0</v>
      </c>
      <c r="AJ905" t="b">
        <f>AND(IF(metadata!I905="",FALSE,TRUE),OR(EXACT(metadata!I905,"human-associated"),EXACT(metadata!I905,"human-skin"),EXACT(metadata!I905,"human-oral"),EXACT(metadata!I905,"human-gut"),EXACT(metadata!I905,"human-vaginal")))</f>
        <v>0</v>
      </c>
      <c r="AK905" t="b">
        <f>IF(metadata!J905="",FALSE,ISNUMBER(VALUE(metadata!J905)))</f>
        <v>0</v>
      </c>
      <c r="AL905" t="b">
        <f>AND(IF(metadata!K905="",FALSE,TRUE),EXACT(metadata!K905,"cm"))</f>
        <v>0</v>
      </c>
      <c r="AM905" t="b">
        <f>AND(IF(metadata!L905="",FALSE,TRUE),EXACT(metadata!L905,"human"))</f>
        <v>0</v>
      </c>
      <c r="AN905" t="b">
        <f>AND(IF(metadata!M905="",FALSE,TRUE),EXACT(metadata!M905,"Homo sapiens"))</f>
        <v>0</v>
      </c>
      <c r="AO905" t="b">
        <f>AND(IF(metadata!N905="",FALSE,TRUE),EXACT(metadata!N905,"9606"))</f>
        <v>0</v>
      </c>
      <c r="AP905" t="b">
        <f>IF(metadata!O905="",FALSE,TRUE)</f>
        <v>0</v>
      </c>
      <c r="AQ905" t="b">
        <f>IF(metadata!P905="",FALSE,TRUE)</f>
        <v>0</v>
      </c>
      <c r="AR905" t="b">
        <f>IF(metadata!Q905="",FALSE,ISNUMBER(VALUE(metadata!Q905)))</f>
        <v>0</v>
      </c>
      <c r="AS905" t="b">
        <f>AND(IF(metadata!R905="",FALSE,TRUE),EXACT(metadata!R905,"kg"))</f>
        <v>0</v>
      </c>
    </row>
    <row r="906" spans="1:45" x14ac:dyDescent="0.2">
      <c r="A906" s="5" t="str">
        <f ca="1">IF(B906=" "," ",HYPERLINK(CONCATENATE("#metadata!",ADDRESS(INDEX($X$2:$X$1001,MATCH(ROWS($V$2:V906),$V$2:$V$1001,0),0),1)),INDEX($AA$2:$AA$1001,MATCH(ROWS($V$2:V906),$V$2:$V$1001,0),0)))</f>
        <v xml:space="preserve"> </v>
      </c>
      <c r="B906" s="4" t="str">
        <f ca="1">IF(OR(INDEX($W$2:$W$1001,MATCH(ROWS($V$2:V906),$V$2:$V$1001,0),1)&gt;=100000,INDEX($AC$1005:$AS$1005,1,MATCH(COLUMNS($AC$1006:AC1006),$AC$1006:$AS$1006,0))&gt;=100000), " ",IF(INDEX($AC$2:$AS$1001,MATCH(ROWS($V$2:V906),$V$2:$V$1001,0),MATCH(COLUMNS($AC$1006:AC1006),$AC$1006:$AS$1006,0)), HYPERLINK("#",""), HYPERLINK(CONCATENATE("#metadata!", ADDRESS(INDEX($X$2:$X$1001,MATCH(ROWS($V$2:V906),$V$2:$V$1001,0),0), INDEX($AC$1004:$AS$1004,1,MATCH(COLUMNS($AC$1006:AC1006),$AC$1006:$AS$1006,0)))),"Fix")))</f>
        <v xml:space="preserve"> </v>
      </c>
      <c r="C906" s="4" t="str">
        <f ca="1">IF(OR(INDEX($W$2:$W$1001,MATCH(ROWS($V$2:V906),$V$2:$V$1001,0),1)&gt;=100000,INDEX($AC$1005:$AS$1005,1,MATCH(COLUMNS($AC$1006:AD1006),$AC$1006:$AS$1006,0))&gt;=100000), " ",IF(INDEX($AC$2:$AS$1001,MATCH(ROWS($V$2:V906),$V$2:$V$1001,0),MATCH(COLUMNS($AC$1006:AD1006),$AC$1006:$AS$1006,0)), HYPERLINK("#",""), HYPERLINK(CONCATENATE("#metadata!", ADDRESS(INDEX($X$2:$X$1001,MATCH(ROWS($V$2:V906),$V$2:$V$1001,0),0), INDEX($AC$1004:$AS$1004,1,MATCH(COLUMNS($AC$1006:AD1006),$AC$1006:$AS$1006,0)))),"Fix")))</f>
        <v xml:space="preserve"> </v>
      </c>
      <c r="D906" s="4" t="str">
        <f ca="1">IF(OR(INDEX($W$2:$W$1001,MATCH(ROWS($V$2:V906),$V$2:$V$1001,0),1)&gt;=100000,INDEX($AC$1005:$AS$1005,1,MATCH(COLUMNS($AC$1006:AE1006),$AC$1006:$AS$1006,0))&gt;=100000), " ",IF(INDEX($AC$2:$AS$1001,MATCH(ROWS($V$2:V906),$V$2:$V$1001,0),MATCH(COLUMNS($AC$1006:AE1006),$AC$1006:$AS$1006,0)), HYPERLINK("#",""), HYPERLINK(CONCATENATE("#metadata!", ADDRESS(INDEX($X$2:$X$1001,MATCH(ROWS($V$2:V906),$V$2:$V$1001,0),0), INDEX($AC$1004:$AS$1004,1,MATCH(COLUMNS($AC$1006:AE1006),$AC$1006:$AS$1006,0)))),"Fix")))</f>
        <v xml:space="preserve"> </v>
      </c>
      <c r="E906" s="4" t="str">
        <f ca="1">IF(OR(INDEX($W$2:$W$1001,MATCH(ROWS($V$2:V906),$V$2:$V$1001,0),1)&gt;=100000,INDEX($AC$1005:$AS$1005,1,MATCH(COLUMNS($AC$1006:AF1006),$AC$1006:$AS$1006,0))&gt;=100000), " ",IF(INDEX($AC$2:$AS$1001,MATCH(ROWS($V$2:V906),$V$2:$V$1001,0),MATCH(COLUMNS($AC$1006:AF1006),$AC$1006:$AS$1006,0)), HYPERLINK("#",""), HYPERLINK(CONCATENATE("#metadata!", ADDRESS(INDEX($X$2:$X$1001,MATCH(ROWS($V$2:V906),$V$2:$V$1001,0),0), INDEX($AC$1004:$AS$1004,1,MATCH(COLUMNS($AC$1006:AF1006),$AC$1006:$AS$1006,0)))),"Fix")))</f>
        <v xml:space="preserve"> </v>
      </c>
      <c r="F906" s="4" t="str">
        <f ca="1">IF(OR(INDEX($W$2:$W$1001,MATCH(ROWS($V$2:V906),$V$2:$V$1001,0),1)&gt;=100000,INDEX($AC$1005:$AS$1005,1,MATCH(COLUMNS($AC$1006:AG1006),$AC$1006:$AS$1006,0))&gt;=100000), " ",IF(INDEX($AC$2:$AS$1001,MATCH(ROWS($V$2:V906),$V$2:$V$1001,0),MATCH(COLUMNS($AC$1006:AG1006),$AC$1006:$AS$1006,0)), HYPERLINK("#",""), HYPERLINK(CONCATENATE("#metadata!", ADDRESS(INDEX($X$2:$X$1001,MATCH(ROWS($V$2:V906),$V$2:$V$1001,0),0), INDEX($AC$1004:$AS$1004,1,MATCH(COLUMNS($AC$1006:AG1006),$AC$1006:$AS$1006,0)))),"Fix")))</f>
        <v xml:space="preserve"> </v>
      </c>
      <c r="G906" s="4" t="str">
        <f ca="1">IF(OR(INDEX($W$2:$W$1001,MATCH(ROWS($V$2:V906),$V$2:$V$1001,0),1)&gt;=100000,INDEX($AC$1005:$AS$1005,1,MATCH(COLUMNS($AC$1006:AH1006),$AC$1006:$AS$1006,0))&gt;=100000), " ",IF(INDEX($AC$2:$AS$1001,MATCH(ROWS($V$2:V906),$V$2:$V$1001,0),MATCH(COLUMNS($AC$1006:AH1006),$AC$1006:$AS$1006,0)), HYPERLINK("#",""), HYPERLINK(CONCATENATE("#metadata!", ADDRESS(INDEX($X$2:$X$1001,MATCH(ROWS($V$2:V906),$V$2:$V$1001,0),0), INDEX($AC$1004:$AS$1004,1,MATCH(COLUMNS($AC$1006:AH1006),$AC$1006:$AS$1006,0)))),"Fix")))</f>
        <v xml:space="preserve"> </v>
      </c>
      <c r="H906" s="4" t="str">
        <f ca="1">IF(OR(INDEX($W$2:$W$1001,MATCH(ROWS($V$2:V906),$V$2:$V$1001,0),1)&gt;=100000,INDEX($AC$1005:$AS$1005,1,MATCH(COLUMNS($AC$1006:AI1006),$AC$1006:$AS$1006,0))&gt;=100000), " ",IF(INDEX($AC$2:$AS$1001,MATCH(ROWS($V$2:V906),$V$2:$V$1001,0),MATCH(COLUMNS($AC$1006:AI1006),$AC$1006:$AS$1006,0)), HYPERLINK("#",""), HYPERLINK(CONCATENATE("#metadata!", ADDRESS(INDEX($X$2:$X$1001,MATCH(ROWS($V$2:V906),$V$2:$V$1001,0),0), INDEX($AC$1004:$AS$1004,1,MATCH(COLUMNS($AC$1006:AI1006),$AC$1006:$AS$1006,0)))),"Fix")))</f>
        <v xml:space="preserve"> </v>
      </c>
      <c r="I906" s="4" t="str">
        <f ca="1">IF(OR(INDEX($W$2:$W$1001,MATCH(ROWS($V$2:V906),$V$2:$V$1001,0),1)&gt;=100000,INDEX($AC$1005:$AS$1005,1,MATCH(COLUMNS($AC$1006:AJ1006),$AC$1006:$AS$1006,0))&gt;=100000), " ",IF(INDEX($AC$2:$AS$1001,MATCH(ROWS($V$2:V906),$V$2:$V$1001,0),MATCH(COLUMNS($AC$1006:AJ1006),$AC$1006:$AS$1006,0)), HYPERLINK("#",""), HYPERLINK(CONCATENATE("#metadata!", ADDRESS(INDEX($X$2:$X$1001,MATCH(ROWS($V$2:V906),$V$2:$V$1001,0),0), INDEX($AC$1004:$AS$1004,1,MATCH(COLUMNS($AC$1006:AJ1006),$AC$1006:$AS$1006,0)))),"Fix")))</f>
        <v xml:space="preserve"> </v>
      </c>
      <c r="J906" s="4" t="str">
        <f ca="1">IF(OR(INDEX($W$2:$W$1001,MATCH(ROWS($V$2:V906),$V$2:$V$1001,0),1)&gt;=100000,INDEX($AC$1005:$AS$1005,1,MATCH(COLUMNS($AC$1006:AK1006),$AC$1006:$AS$1006,0))&gt;=100000), " ",IF(INDEX($AC$2:$AS$1001,MATCH(ROWS($V$2:V906),$V$2:$V$1001,0),MATCH(COLUMNS($AC$1006:AK1006),$AC$1006:$AS$1006,0)), HYPERLINK("#",""), HYPERLINK(CONCATENATE("#metadata!", ADDRESS(INDEX($X$2:$X$1001,MATCH(ROWS($V$2:V906),$V$2:$V$1001,0),0), INDEX($AC$1004:$AS$1004,1,MATCH(COLUMNS($AC$1006:AK1006),$AC$1006:$AS$1006,0)))),"Fix")))</f>
        <v xml:space="preserve"> </v>
      </c>
      <c r="K906" s="4" t="str">
        <f ca="1">IF(OR(INDEX($W$2:$W$1001,MATCH(ROWS($V$2:V906),$V$2:$V$1001,0),1)&gt;=100000,INDEX($AC$1005:$AS$1005,1,MATCH(COLUMNS($AC$1006:AL1006),$AC$1006:$AS$1006,0))&gt;=100000), " ",IF(INDEX($AC$2:$AS$1001,MATCH(ROWS($V$2:V906),$V$2:$V$1001,0),MATCH(COLUMNS($AC$1006:AL1006),$AC$1006:$AS$1006,0)), HYPERLINK("#",""), HYPERLINK(CONCATENATE("#metadata!", ADDRESS(INDEX($X$2:$X$1001,MATCH(ROWS($V$2:V906),$V$2:$V$1001,0),0), INDEX($AC$1004:$AS$1004,1,MATCH(COLUMNS($AC$1006:AL1006),$AC$1006:$AS$1006,0)))),"Fix")))</f>
        <v xml:space="preserve"> </v>
      </c>
      <c r="L906" s="4" t="str">
        <f ca="1">IF(OR(INDEX($W$2:$W$1001,MATCH(ROWS($V$2:V906),$V$2:$V$1001,0),1)&gt;=100000,INDEX($AC$1005:$AS$1005,1,MATCH(COLUMNS($AC$1006:AM1006),$AC$1006:$AS$1006,0))&gt;=100000), " ",IF(INDEX($AC$2:$AS$1001,MATCH(ROWS($V$2:V906),$V$2:$V$1001,0),MATCH(COLUMNS($AC$1006:AM1006),$AC$1006:$AS$1006,0)), HYPERLINK("#",""), HYPERLINK(CONCATENATE("#metadata!", ADDRESS(INDEX($X$2:$X$1001,MATCH(ROWS($V$2:V906),$V$2:$V$1001,0),0), INDEX($AC$1004:$AS$1004,1,MATCH(COLUMNS($AC$1006:AM1006),$AC$1006:$AS$1006,0)))),"Fix")))</f>
        <v xml:space="preserve"> </v>
      </c>
      <c r="M906" s="4" t="str">
        <f ca="1">IF(OR(INDEX($W$2:$W$1001,MATCH(ROWS($V$2:V906),$V$2:$V$1001,0),1)&gt;=100000,INDEX($AC$1005:$AS$1005,1,MATCH(COLUMNS($AC$1006:AN1006),$AC$1006:$AS$1006,0))&gt;=100000), " ",IF(INDEX($AC$2:$AS$1001,MATCH(ROWS($V$2:V906),$V$2:$V$1001,0),MATCH(COLUMNS($AC$1006:AN1006),$AC$1006:$AS$1006,0)), HYPERLINK("#",""), HYPERLINK(CONCATENATE("#metadata!", ADDRESS(INDEX($X$2:$X$1001,MATCH(ROWS($V$2:V906),$V$2:$V$1001,0),0), INDEX($AC$1004:$AS$1004,1,MATCH(COLUMNS($AC$1006:AN1006),$AC$1006:$AS$1006,0)))),"Fix")))</f>
        <v xml:space="preserve"> </v>
      </c>
      <c r="N906" s="4" t="str">
        <f ca="1">IF(OR(INDEX($W$2:$W$1001,MATCH(ROWS($V$2:V906),$V$2:$V$1001,0),1)&gt;=100000,INDEX($AC$1005:$AS$1005,1,MATCH(COLUMNS($AC$1006:AO1006),$AC$1006:$AS$1006,0))&gt;=100000), " ",IF(INDEX($AC$2:$AS$1001,MATCH(ROWS($V$2:V906),$V$2:$V$1001,0),MATCH(COLUMNS($AC$1006:AO1006),$AC$1006:$AS$1006,0)), HYPERLINK("#",""), HYPERLINK(CONCATENATE("#metadata!", ADDRESS(INDEX($X$2:$X$1001,MATCH(ROWS($V$2:V906),$V$2:$V$1001,0),0), INDEX($AC$1004:$AS$1004,1,MATCH(COLUMNS($AC$1006:AO1006),$AC$1006:$AS$1006,0)))),"Fix")))</f>
        <v xml:space="preserve"> </v>
      </c>
      <c r="O906" s="4" t="str">
        <f ca="1">IF(OR(INDEX($W$2:$W$1001,MATCH(ROWS($V$2:V906),$V$2:$V$1001,0),1)&gt;=100000,INDEX($AC$1005:$AS$1005,1,MATCH(COLUMNS($AC$1006:AP1006),$AC$1006:$AS$1006,0))&gt;=100000), " ",IF(INDEX($AC$2:$AS$1001,MATCH(ROWS($V$2:V906),$V$2:$V$1001,0),MATCH(COLUMNS($AC$1006:AP1006),$AC$1006:$AS$1006,0)), HYPERLINK("#",""), HYPERLINK(CONCATENATE("#metadata!", ADDRESS(INDEX($X$2:$X$1001,MATCH(ROWS($V$2:V906),$V$2:$V$1001,0),0), INDEX($AC$1004:$AS$1004,1,MATCH(COLUMNS($AC$1006:AP1006),$AC$1006:$AS$1006,0)))),"Fix")))</f>
        <v xml:space="preserve"> </v>
      </c>
      <c r="P906" s="4" t="str">
        <f ca="1">IF(OR(INDEX($W$2:$W$1001,MATCH(ROWS($V$2:V906),$V$2:$V$1001,0),1)&gt;=100000,INDEX($AC$1005:$AS$1005,1,MATCH(COLUMNS($AC$1006:AQ1006),$AC$1006:$AS$1006,0))&gt;=100000), " ",IF(INDEX($AC$2:$AS$1001,MATCH(ROWS($V$2:V906),$V$2:$V$1001,0),MATCH(COLUMNS($AC$1006:AQ1006),$AC$1006:$AS$1006,0)), HYPERLINK("#",""), HYPERLINK(CONCATENATE("#metadata!", ADDRESS(INDEX($X$2:$X$1001,MATCH(ROWS($V$2:V906),$V$2:$V$1001,0),0), INDEX($AC$1004:$AS$1004,1,MATCH(COLUMNS($AC$1006:AQ1006),$AC$1006:$AS$1006,0)))),"Fix")))</f>
        <v xml:space="preserve"> </v>
      </c>
      <c r="Q906" s="4" t="str">
        <f ca="1">IF(OR(INDEX($W$2:$W$1001,MATCH(ROWS($V$2:V906),$V$2:$V$1001,0),1)&gt;=100000,INDEX($AC$1005:$AS$1005,1,MATCH(COLUMNS($AC$1006:AR1006),$AC$1006:$AS$1006,0))&gt;=100000), " ",IF(INDEX($AC$2:$AS$1001,MATCH(ROWS($V$2:V906),$V$2:$V$1001,0),MATCH(COLUMNS($AC$1006:AR1006),$AC$1006:$AS$1006,0)), HYPERLINK("#",""), HYPERLINK(CONCATENATE("#metadata!", ADDRESS(INDEX($X$2:$X$1001,MATCH(ROWS($V$2:V906),$V$2:$V$1001,0),0), INDEX($AC$1004:$AS$1004,1,MATCH(COLUMNS($AC$1006:AR1006),$AC$1006:$AS$1006,0)))),"Fix")))</f>
        <v xml:space="preserve"> </v>
      </c>
      <c r="R906" s="4" t="str">
        <f ca="1">IF(OR(INDEX($W$2:$W$1001,MATCH(ROWS($V$2:V906),$V$2:$V$1001,0),1)&gt;=100000,INDEX($AC$1005:$AS$1005,1,MATCH(COLUMNS($AC$1006:AS1006),$AC$1006:$AS$1006,0))&gt;=100000), " ",IF(INDEX($AC$2:$AS$1001,MATCH(ROWS($V$2:V906),$V$2:$V$1001,0),MATCH(COLUMNS($AC$1006:AS1006),$AC$1006:$AS$1006,0)), HYPERLINK("#",""), HYPERLINK(CONCATENATE("#metadata!", ADDRESS(INDEX($X$2:$X$1001,MATCH(ROWS($V$2:V906),$V$2:$V$1001,0),0), INDEX($AC$1004:$AS$1004,1,MATCH(COLUMNS($AC$1006:AS1006),$AC$1006:$AS$1006,0)))),"Fix")))</f>
        <v xml:space="preserve"> </v>
      </c>
      <c r="V906">
        <v>905</v>
      </c>
      <c r="W906">
        <v>100906</v>
      </c>
      <c r="X906">
        <v>906</v>
      </c>
      <c r="Y906" t="b">
        <f t="shared" si="14"/>
        <v>1</v>
      </c>
      <c r="Z906" t="b">
        <f>COUNTBLANK(metadata!B906:R906)=COLUMNS(metadata!B906:R906)</f>
        <v>1</v>
      </c>
      <c r="AA906" t="str">
        <v/>
      </c>
      <c r="AC906" t="b">
        <f ca="1"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AD906" t="b">
        <f>IF(metadata!C906="",FALSE,ISNUMBER(VALUE(metadata!C906)))</f>
        <v>0</v>
      </c>
      <c r="AE906" t="b">
        <f>AND(IF(metadata!D906="",FALSE,TRUE),EXACT(metadata!D906,"years"))</f>
        <v>0</v>
      </c>
      <c r="AF906" t="b">
        <f>OR(AND(IF(metadata!E906="",FALSE,TRUE),OR(EXACT(metadata!E906,"not applicable"),EXACT(metadata!E906,"missing: not collected"),EXACT(metadata!E906,"missing: not provided"),EXACT(metadata!E906,"missing: restricted access"))),AND(IF(metadata!E906="",FALSE,ISNUMBER(VALUE(metadata!E906))),metadata!E906&gt;0))</f>
        <v>0</v>
      </c>
      <c r="AG906" t="b">
        <f>AND(IF(metadata!F906="",FALSE,TRUE),EXACT(metadata!F906,"Not applicable"))</f>
        <v>0</v>
      </c>
      <c r="AH906" t="b">
        <f>AND(IF(metadata!G906="",FALSE,TRUE),EXACT(metadata!G906,"urban biome"))</f>
        <v>0</v>
      </c>
      <c r="AI906" t="b">
        <f>AND(IF(metadata!H906="",FALSE,TRUE),EXACT(metadata!H906,"human-associated habitat"))</f>
        <v>0</v>
      </c>
      <c r="AJ906" t="b">
        <f>AND(IF(metadata!I906="",FALSE,TRUE),OR(EXACT(metadata!I906,"human-associated"),EXACT(metadata!I906,"human-skin"),EXACT(metadata!I906,"human-oral"),EXACT(metadata!I906,"human-gut"),EXACT(metadata!I906,"human-vaginal")))</f>
        <v>0</v>
      </c>
      <c r="AK906" t="b">
        <f>IF(metadata!J906="",FALSE,ISNUMBER(VALUE(metadata!J906)))</f>
        <v>0</v>
      </c>
      <c r="AL906" t="b">
        <f>AND(IF(metadata!K906="",FALSE,TRUE),EXACT(metadata!K906,"cm"))</f>
        <v>0</v>
      </c>
      <c r="AM906" t="b">
        <f>AND(IF(metadata!L906="",FALSE,TRUE),EXACT(metadata!L906,"human"))</f>
        <v>0</v>
      </c>
      <c r="AN906" t="b">
        <f>AND(IF(metadata!M906="",FALSE,TRUE),EXACT(metadata!M906,"Homo sapiens"))</f>
        <v>0</v>
      </c>
      <c r="AO906" t="b">
        <f>AND(IF(metadata!N906="",FALSE,TRUE),EXACT(metadata!N906,"9606"))</f>
        <v>0</v>
      </c>
      <c r="AP906" t="b">
        <f>IF(metadata!O906="",FALSE,TRUE)</f>
        <v>0</v>
      </c>
      <c r="AQ906" t="b">
        <f>IF(metadata!P906="",FALSE,TRUE)</f>
        <v>0</v>
      </c>
      <c r="AR906" t="b">
        <f>IF(metadata!Q906="",FALSE,ISNUMBER(VALUE(metadata!Q906)))</f>
        <v>0</v>
      </c>
      <c r="AS906" t="b">
        <f>AND(IF(metadata!R906="",FALSE,TRUE),EXACT(metadata!R906,"kg"))</f>
        <v>0</v>
      </c>
    </row>
    <row r="907" spans="1:45" x14ac:dyDescent="0.2">
      <c r="A907" s="5" t="str">
        <f ca="1">IF(B907=" "," ",HYPERLINK(CONCATENATE("#metadata!",ADDRESS(INDEX($X$2:$X$1001,MATCH(ROWS($V$2:V907),$V$2:$V$1001,0),0),1)),INDEX($AA$2:$AA$1001,MATCH(ROWS($V$2:V907),$V$2:$V$1001,0),0)))</f>
        <v xml:space="preserve"> </v>
      </c>
      <c r="B907" s="4" t="str">
        <f ca="1">IF(OR(INDEX($W$2:$W$1001,MATCH(ROWS($V$2:V907),$V$2:$V$1001,0),1)&gt;=100000,INDEX($AC$1005:$AS$1005,1,MATCH(COLUMNS($AC$1006:AC1006),$AC$1006:$AS$1006,0))&gt;=100000), " ",IF(INDEX($AC$2:$AS$1001,MATCH(ROWS($V$2:V907),$V$2:$V$1001,0),MATCH(COLUMNS($AC$1006:AC1006),$AC$1006:$AS$1006,0)), HYPERLINK("#",""), HYPERLINK(CONCATENATE("#metadata!", ADDRESS(INDEX($X$2:$X$1001,MATCH(ROWS($V$2:V907),$V$2:$V$1001,0),0), INDEX($AC$1004:$AS$1004,1,MATCH(COLUMNS($AC$1006:AC1006),$AC$1006:$AS$1006,0)))),"Fix")))</f>
        <v xml:space="preserve"> </v>
      </c>
      <c r="C907" s="4" t="str">
        <f ca="1">IF(OR(INDEX($W$2:$W$1001,MATCH(ROWS($V$2:V907),$V$2:$V$1001,0),1)&gt;=100000,INDEX($AC$1005:$AS$1005,1,MATCH(COLUMNS($AC$1006:AD1006),$AC$1006:$AS$1006,0))&gt;=100000), " ",IF(INDEX($AC$2:$AS$1001,MATCH(ROWS($V$2:V907),$V$2:$V$1001,0),MATCH(COLUMNS($AC$1006:AD1006),$AC$1006:$AS$1006,0)), HYPERLINK("#",""), HYPERLINK(CONCATENATE("#metadata!", ADDRESS(INDEX($X$2:$X$1001,MATCH(ROWS($V$2:V907),$V$2:$V$1001,0),0), INDEX($AC$1004:$AS$1004,1,MATCH(COLUMNS($AC$1006:AD1006),$AC$1006:$AS$1006,0)))),"Fix")))</f>
        <v xml:space="preserve"> </v>
      </c>
      <c r="D907" s="4" t="str">
        <f ca="1">IF(OR(INDEX($W$2:$W$1001,MATCH(ROWS($V$2:V907),$V$2:$V$1001,0),1)&gt;=100000,INDEX($AC$1005:$AS$1005,1,MATCH(COLUMNS($AC$1006:AE1006),$AC$1006:$AS$1006,0))&gt;=100000), " ",IF(INDEX($AC$2:$AS$1001,MATCH(ROWS($V$2:V907),$V$2:$V$1001,0),MATCH(COLUMNS($AC$1006:AE1006),$AC$1006:$AS$1006,0)), HYPERLINK("#",""), HYPERLINK(CONCATENATE("#metadata!", ADDRESS(INDEX($X$2:$X$1001,MATCH(ROWS($V$2:V907),$V$2:$V$1001,0),0), INDEX($AC$1004:$AS$1004,1,MATCH(COLUMNS($AC$1006:AE1006),$AC$1006:$AS$1006,0)))),"Fix")))</f>
        <v xml:space="preserve"> </v>
      </c>
      <c r="E907" s="4" t="str">
        <f ca="1">IF(OR(INDEX($W$2:$W$1001,MATCH(ROWS($V$2:V907),$V$2:$V$1001,0),1)&gt;=100000,INDEX($AC$1005:$AS$1005,1,MATCH(COLUMNS($AC$1006:AF1006),$AC$1006:$AS$1006,0))&gt;=100000), " ",IF(INDEX($AC$2:$AS$1001,MATCH(ROWS($V$2:V907),$V$2:$V$1001,0),MATCH(COLUMNS($AC$1006:AF1006),$AC$1006:$AS$1006,0)), HYPERLINK("#",""), HYPERLINK(CONCATENATE("#metadata!", ADDRESS(INDEX($X$2:$X$1001,MATCH(ROWS($V$2:V907),$V$2:$V$1001,0),0), INDEX($AC$1004:$AS$1004,1,MATCH(COLUMNS($AC$1006:AF1006),$AC$1006:$AS$1006,0)))),"Fix")))</f>
        <v xml:space="preserve"> </v>
      </c>
      <c r="F907" s="4" t="str">
        <f ca="1">IF(OR(INDEX($W$2:$W$1001,MATCH(ROWS($V$2:V907),$V$2:$V$1001,0),1)&gt;=100000,INDEX($AC$1005:$AS$1005,1,MATCH(COLUMNS($AC$1006:AG1006),$AC$1006:$AS$1006,0))&gt;=100000), " ",IF(INDEX($AC$2:$AS$1001,MATCH(ROWS($V$2:V907),$V$2:$V$1001,0),MATCH(COLUMNS($AC$1006:AG1006),$AC$1006:$AS$1006,0)), HYPERLINK("#",""), HYPERLINK(CONCATENATE("#metadata!", ADDRESS(INDEX($X$2:$X$1001,MATCH(ROWS($V$2:V907),$V$2:$V$1001,0),0), INDEX($AC$1004:$AS$1004,1,MATCH(COLUMNS($AC$1006:AG1006),$AC$1006:$AS$1006,0)))),"Fix")))</f>
        <v xml:space="preserve"> </v>
      </c>
      <c r="G907" s="4" t="str">
        <f ca="1">IF(OR(INDEX($W$2:$W$1001,MATCH(ROWS($V$2:V907),$V$2:$V$1001,0),1)&gt;=100000,INDEX($AC$1005:$AS$1005,1,MATCH(COLUMNS($AC$1006:AH1006),$AC$1006:$AS$1006,0))&gt;=100000), " ",IF(INDEX($AC$2:$AS$1001,MATCH(ROWS($V$2:V907),$V$2:$V$1001,0),MATCH(COLUMNS($AC$1006:AH1006),$AC$1006:$AS$1006,0)), HYPERLINK("#",""), HYPERLINK(CONCATENATE("#metadata!", ADDRESS(INDEX($X$2:$X$1001,MATCH(ROWS($V$2:V907),$V$2:$V$1001,0),0), INDEX($AC$1004:$AS$1004,1,MATCH(COLUMNS($AC$1006:AH1006),$AC$1006:$AS$1006,0)))),"Fix")))</f>
        <v xml:space="preserve"> </v>
      </c>
      <c r="H907" s="4" t="str">
        <f ca="1">IF(OR(INDEX($W$2:$W$1001,MATCH(ROWS($V$2:V907),$V$2:$V$1001,0),1)&gt;=100000,INDEX($AC$1005:$AS$1005,1,MATCH(COLUMNS($AC$1006:AI1006),$AC$1006:$AS$1006,0))&gt;=100000), " ",IF(INDEX($AC$2:$AS$1001,MATCH(ROWS($V$2:V907),$V$2:$V$1001,0),MATCH(COLUMNS($AC$1006:AI1006),$AC$1006:$AS$1006,0)), HYPERLINK("#",""), HYPERLINK(CONCATENATE("#metadata!", ADDRESS(INDEX($X$2:$X$1001,MATCH(ROWS($V$2:V907),$V$2:$V$1001,0),0), INDEX($AC$1004:$AS$1004,1,MATCH(COLUMNS($AC$1006:AI1006),$AC$1006:$AS$1006,0)))),"Fix")))</f>
        <v xml:space="preserve"> </v>
      </c>
      <c r="I907" s="4" t="str">
        <f ca="1">IF(OR(INDEX($W$2:$W$1001,MATCH(ROWS($V$2:V907),$V$2:$V$1001,0),1)&gt;=100000,INDEX($AC$1005:$AS$1005,1,MATCH(COLUMNS($AC$1006:AJ1006),$AC$1006:$AS$1006,0))&gt;=100000), " ",IF(INDEX($AC$2:$AS$1001,MATCH(ROWS($V$2:V907),$V$2:$V$1001,0),MATCH(COLUMNS($AC$1006:AJ1006),$AC$1006:$AS$1006,0)), HYPERLINK("#",""), HYPERLINK(CONCATENATE("#metadata!", ADDRESS(INDEX($X$2:$X$1001,MATCH(ROWS($V$2:V907),$V$2:$V$1001,0),0), INDEX($AC$1004:$AS$1004,1,MATCH(COLUMNS($AC$1006:AJ1006),$AC$1006:$AS$1006,0)))),"Fix")))</f>
        <v xml:space="preserve"> </v>
      </c>
      <c r="J907" s="4" t="str">
        <f ca="1">IF(OR(INDEX($W$2:$W$1001,MATCH(ROWS($V$2:V907),$V$2:$V$1001,0),1)&gt;=100000,INDEX($AC$1005:$AS$1005,1,MATCH(COLUMNS($AC$1006:AK1006),$AC$1006:$AS$1006,0))&gt;=100000), " ",IF(INDEX($AC$2:$AS$1001,MATCH(ROWS($V$2:V907),$V$2:$V$1001,0),MATCH(COLUMNS($AC$1006:AK1006),$AC$1006:$AS$1006,0)), HYPERLINK("#",""), HYPERLINK(CONCATENATE("#metadata!", ADDRESS(INDEX($X$2:$X$1001,MATCH(ROWS($V$2:V907),$V$2:$V$1001,0),0), INDEX($AC$1004:$AS$1004,1,MATCH(COLUMNS($AC$1006:AK1006),$AC$1006:$AS$1006,0)))),"Fix")))</f>
        <v xml:space="preserve"> </v>
      </c>
      <c r="K907" s="4" t="str">
        <f ca="1">IF(OR(INDEX($W$2:$W$1001,MATCH(ROWS($V$2:V907),$V$2:$V$1001,0),1)&gt;=100000,INDEX($AC$1005:$AS$1005,1,MATCH(COLUMNS($AC$1006:AL1006),$AC$1006:$AS$1006,0))&gt;=100000), " ",IF(INDEX($AC$2:$AS$1001,MATCH(ROWS($V$2:V907),$V$2:$V$1001,0),MATCH(COLUMNS($AC$1006:AL1006),$AC$1006:$AS$1006,0)), HYPERLINK("#",""), HYPERLINK(CONCATENATE("#metadata!", ADDRESS(INDEX($X$2:$X$1001,MATCH(ROWS($V$2:V907),$V$2:$V$1001,0),0), INDEX($AC$1004:$AS$1004,1,MATCH(COLUMNS($AC$1006:AL1006),$AC$1006:$AS$1006,0)))),"Fix")))</f>
        <v xml:space="preserve"> </v>
      </c>
      <c r="L907" s="4" t="str">
        <f ca="1">IF(OR(INDEX($W$2:$W$1001,MATCH(ROWS($V$2:V907),$V$2:$V$1001,0),1)&gt;=100000,INDEX($AC$1005:$AS$1005,1,MATCH(COLUMNS($AC$1006:AM1006),$AC$1006:$AS$1006,0))&gt;=100000), " ",IF(INDEX($AC$2:$AS$1001,MATCH(ROWS($V$2:V907),$V$2:$V$1001,0),MATCH(COLUMNS($AC$1006:AM1006),$AC$1006:$AS$1006,0)), HYPERLINK("#",""), HYPERLINK(CONCATENATE("#metadata!", ADDRESS(INDEX($X$2:$X$1001,MATCH(ROWS($V$2:V907),$V$2:$V$1001,0),0), INDEX($AC$1004:$AS$1004,1,MATCH(COLUMNS($AC$1006:AM1006),$AC$1006:$AS$1006,0)))),"Fix")))</f>
        <v xml:space="preserve"> </v>
      </c>
      <c r="M907" s="4" t="str">
        <f ca="1">IF(OR(INDEX($W$2:$W$1001,MATCH(ROWS($V$2:V907),$V$2:$V$1001,0),1)&gt;=100000,INDEX($AC$1005:$AS$1005,1,MATCH(COLUMNS($AC$1006:AN1006),$AC$1006:$AS$1006,0))&gt;=100000), " ",IF(INDEX($AC$2:$AS$1001,MATCH(ROWS($V$2:V907),$V$2:$V$1001,0),MATCH(COLUMNS($AC$1006:AN1006),$AC$1006:$AS$1006,0)), HYPERLINK("#",""), HYPERLINK(CONCATENATE("#metadata!", ADDRESS(INDEX($X$2:$X$1001,MATCH(ROWS($V$2:V907),$V$2:$V$1001,0),0), INDEX($AC$1004:$AS$1004,1,MATCH(COLUMNS($AC$1006:AN1006),$AC$1006:$AS$1006,0)))),"Fix")))</f>
        <v xml:space="preserve"> </v>
      </c>
      <c r="N907" s="4" t="str">
        <f ca="1">IF(OR(INDEX($W$2:$W$1001,MATCH(ROWS($V$2:V907),$V$2:$V$1001,0),1)&gt;=100000,INDEX($AC$1005:$AS$1005,1,MATCH(COLUMNS($AC$1006:AO1006),$AC$1006:$AS$1006,0))&gt;=100000), " ",IF(INDEX($AC$2:$AS$1001,MATCH(ROWS($V$2:V907),$V$2:$V$1001,0),MATCH(COLUMNS($AC$1006:AO1006),$AC$1006:$AS$1006,0)), HYPERLINK("#",""), HYPERLINK(CONCATENATE("#metadata!", ADDRESS(INDEX($X$2:$X$1001,MATCH(ROWS($V$2:V907),$V$2:$V$1001,0),0), INDEX($AC$1004:$AS$1004,1,MATCH(COLUMNS($AC$1006:AO1006),$AC$1006:$AS$1006,0)))),"Fix")))</f>
        <v xml:space="preserve"> </v>
      </c>
      <c r="O907" s="4" t="str">
        <f ca="1">IF(OR(INDEX($W$2:$W$1001,MATCH(ROWS($V$2:V907),$V$2:$V$1001,0),1)&gt;=100000,INDEX($AC$1005:$AS$1005,1,MATCH(COLUMNS($AC$1006:AP1006),$AC$1006:$AS$1006,0))&gt;=100000), " ",IF(INDEX($AC$2:$AS$1001,MATCH(ROWS($V$2:V907),$V$2:$V$1001,0),MATCH(COLUMNS($AC$1006:AP1006),$AC$1006:$AS$1006,0)), HYPERLINK("#",""), HYPERLINK(CONCATENATE("#metadata!", ADDRESS(INDEX($X$2:$X$1001,MATCH(ROWS($V$2:V907),$V$2:$V$1001,0),0), INDEX($AC$1004:$AS$1004,1,MATCH(COLUMNS($AC$1006:AP1006),$AC$1006:$AS$1006,0)))),"Fix")))</f>
        <v xml:space="preserve"> </v>
      </c>
      <c r="P907" s="4" t="str">
        <f ca="1">IF(OR(INDEX($W$2:$W$1001,MATCH(ROWS($V$2:V907),$V$2:$V$1001,0),1)&gt;=100000,INDEX($AC$1005:$AS$1005,1,MATCH(COLUMNS($AC$1006:AQ1006),$AC$1006:$AS$1006,0))&gt;=100000), " ",IF(INDEX($AC$2:$AS$1001,MATCH(ROWS($V$2:V907),$V$2:$V$1001,0),MATCH(COLUMNS($AC$1006:AQ1006),$AC$1006:$AS$1006,0)), HYPERLINK("#",""), HYPERLINK(CONCATENATE("#metadata!", ADDRESS(INDEX($X$2:$X$1001,MATCH(ROWS($V$2:V907),$V$2:$V$1001,0),0), INDEX($AC$1004:$AS$1004,1,MATCH(COLUMNS($AC$1006:AQ1006),$AC$1006:$AS$1006,0)))),"Fix")))</f>
        <v xml:space="preserve"> </v>
      </c>
      <c r="Q907" s="4" t="str">
        <f ca="1">IF(OR(INDEX($W$2:$W$1001,MATCH(ROWS($V$2:V907),$V$2:$V$1001,0),1)&gt;=100000,INDEX($AC$1005:$AS$1005,1,MATCH(COLUMNS($AC$1006:AR1006),$AC$1006:$AS$1006,0))&gt;=100000), " ",IF(INDEX($AC$2:$AS$1001,MATCH(ROWS($V$2:V907),$V$2:$V$1001,0),MATCH(COLUMNS($AC$1006:AR1006),$AC$1006:$AS$1006,0)), HYPERLINK("#",""), HYPERLINK(CONCATENATE("#metadata!", ADDRESS(INDEX($X$2:$X$1001,MATCH(ROWS($V$2:V907),$V$2:$V$1001,0),0), INDEX($AC$1004:$AS$1004,1,MATCH(COLUMNS($AC$1006:AR1006),$AC$1006:$AS$1006,0)))),"Fix")))</f>
        <v xml:space="preserve"> </v>
      </c>
      <c r="R907" s="4" t="str">
        <f ca="1">IF(OR(INDEX($W$2:$W$1001,MATCH(ROWS($V$2:V907),$V$2:$V$1001,0),1)&gt;=100000,INDEX($AC$1005:$AS$1005,1,MATCH(COLUMNS($AC$1006:AS1006),$AC$1006:$AS$1006,0))&gt;=100000), " ",IF(INDEX($AC$2:$AS$1001,MATCH(ROWS($V$2:V907),$V$2:$V$1001,0),MATCH(COLUMNS($AC$1006:AS1006),$AC$1006:$AS$1006,0)), HYPERLINK("#",""), HYPERLINK(CONCATENATE("#metadata!", ADDRESS(INDEX($X$2:$X$1001,MATCH(ROWS($V$2:V907),$V$2:$V$1001,0),0), INDEX($AC$1004:$AS$1004,1,MATCH(COLUMNS($AC$1006:AS1006),$AC$1006:$AS$1006,0)))),"Fix")))</f>
        <v xml:space="preserve"> </v>
      </c>
      <c r="V907">
        <v>906</v>
      </c>
      <c r="W907">
        <v>100907</v>
      </c>
      <c r="X907">
        <v>907</v>
      </c>
      <c r="Y907" t="b">
        <f t="shared" si="14"/>
        <v>1</v>
      </c>
      <c r="Z907" t="b">
        <f>COUNTBLANK(metadata!B907:R907)=COLUMNS(metadata!B907:R907)</f>
        <v>1</v>
      </c>
      <c r="AA907" t="str">
        <v/>
      </c>
      <c r="AC907" t="b">
        <f ca="1"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AD907" t="b">
        <f>IF(metadata!C907="",FALSE,ISNUMBER(VALUE(metadata!C907)))</f>
        <v>0</v>
      </c>
      <c r="AE907" t="b">
        <f>AND(IF(metadata!D907="",FALSE,TRUE),EXACT(metadata!D907,"years"))</f>
        <v>0</v>
      </c>
      <c r="AF907" t="b">
        <f>OR(AND(IF(metadata!E907="",FALSE,TRUE),OR(EXACT(metadata!E907,"not applicable"),EXACT(metadata!E907,"missing: not collected"),EXACT(metadata!E907,"missing: not provided"),EXACT(metadata!E907,"missing: restricted access"))),AND(IF(metadata!E907="",FALSE,ISNUMBER(VALUE(metadata!E907))),metadata!E907&gt;0))</f>
        <v>0</v>
      </c>
      <c r="AG907" t="b">
        <f>AND(IF(metadata!F907="",FALSE,TRUE),EXACT(metadata!F907,"Not applicable"))</f>
        <v>0</v>
      </c>
      <c r="AH907" t="b">
        <f>AND(IF(metadata!G907="",FALSE,TRUE),EXACT(metadata!G907,"urban biome"))</f>
        <v>0</v>
      </c>
      <c r="AI907" t="b">
        <f>AND(IF(metadata!H907="",FALSE,TRUE),EXACT(metadata!H907,"human-associated habitat"))</f>
        <v>0</v>
      </c>
      <c r="AJ907" t="b">
        <f>AND(IF(metadata!I907="",FALSE,TRUE),OR(EXACT(metadata!I907,"human-associated"),EXACT(metadata!I907,"human-skin"),EXACT(metadata!I907,"human-oral"),EXACT(metadata!I907,"human-gut"),EXACT(metadata!I907,"human-vaginal")))</f>
        <v>0</v>
      </c>
      <c r="AK907" t="b">
        <f>IF(metadata!J907="",FALSE,ISNUMBER(VALUE(metadata!J907)))</f>
        <v>0</v>
      </c>
      <c r="AL907" t="b">
        <f>AND(IF(metadata!K907="",FALSE,TRUE),EXACT(metadata!K907,"cm"))</f>
        <v>0</v>
      </c>
      <c r="AM907" t="b">
        <f>AND(IF(metadata!L907="",FALSE,TRUE),EXACT(metadata!L907,"human"))</f>
        <v>0</v>
      </c>
      <c r="AN907" t="b">
        <f>AND(IF(metadata!M907="",FALSE,TRUE),EXACT(metadata!M907,"Homo sapiens"))</f>
        <v>0</v>
      </c>
      <c r="AO907" t="b">
        <f>AND(IF(metadata!N907="",FALSE,TRUE),EXACT(metadata!N907,"9606"))</f>
        <v>0</v>
      </c>
      <c r="AP907" t="b">
        <f>IF(metadata!O907="",FALSE,TRUE)</f>
        <v>0</v>
      </c>
      <c r="AQ907" t="b">
        <f>IF(metadata!P907="",FALSE,TRUE)</f>
        <v>0</v>
      </c>
      <c r="AR907" t="b">
        <f>IF(metadata!Q907="",FALSE,ISNUMBER(VALUE(metadata!Q907)))</f>
        <v>0</v>
      </c>
      <c r="AS907" t="b">
        <f>AND(IF(metadata!R907="",FALSE,TRUE),EXACT(metadata!R907,"kg"))</f>
        <v>0</v>
      </c>
    </row>
    <row r="908" spans="1:45" x14ac:dyDescent="0.2">
      <c r="A908" s="5" t="str">
        <f ca="1">IF(B908=" "," ",HYPERLINK(CONCATENATE("#metadata!",ADDRESS(INDEX($X$2:$X$1001,MATCH(ROWS($V$2:V908),$V$2:$V$1001,0),0),1)),INDEX($AA$2:$AA$1001,MATCH(ROWS($V$2:V908),$V$2:$V$1001,0),0)))</f>
        <v xml:space="preserve"> </v>
      </c>
      <c r="B908" s="4" t="str">
        <f ca="1">IF(OR(INDEX($W$2:$W$1001,MATCH(ROWS($V$2:V908),$V$2:$V$1001,0),1)&gt;=100000,INDEX($AC$1005:$AS$1005,1,MATCH(COLUMNS($AC$1006:AC1006),$AC$1006:$AS$1006,0))&gt;=100000), " ",IF(INDEX($AC$2:$AS$1001,MATCH(ROWS($V$2:V908),$V$2:$V$1001,0),MATCH(COLUMNS($AC$1006:AC1006),$AC$1006:$AS$1006,0)), HYPERLINK("#",""), HYPERLINK(CONCATENATE("#metadata!", ADDRESS(INDEX($X$2:$X$1001,MATCH(ROWS($V$2:V908),$V$2:$V$1001,0),0), INDEX($AC$1004:$AS$1004,1,MATCH(COLUMNS($AC$1006:AC1006),$AC$1006:$AS$1006,0)))),"Fix")))</f>
        <v xml:space="preserve"> </v>
      </c>
      <c r="C908" s="4" t="str">
        <f ca="1">IF(OR(INDEX($W$2:$W$1001,MATCH(ROWS($V$2:V908),$V$2:$V$1001,0),1)&gt;=100000,INDEX($AC$1005:$AS$1005,1,MATCH(COLUMNS($AC$1006:AD1006),$AC$1006:$AS$1006,0))&gt;=100000), " ",IF(INDEX($AC$2:$AS$1001,MATCH(ROWS($V$2:V908),$V$2:$V$1001,0),MATCH(COLUMNS($AC$1006:AD1006),$AC$1006:$AS$1006,0)), HYPERLINK("#",""), HYPERLINK(CONCATENATE("#metadata!", ADDRESS(INDEX($X$2:$X$1001,MATCH(ROWS($V$2:V908),$V$2:$V$1001,0),0), INDEX($AC$1004:$AS$1004,1,MATCH(COLUMNS($AC$1006:AD1006),$AC$1006:$AS$1006,0)))),"Fix")))</f>
        <v xml:space="preserve"> </v>
      </c>
      <c r="D908" s="4" t="str">
        <f ca="1">IF(OR(INDEX($W$2:$W$1001,MATCH(ROWS($V$2:V908),$V$2:$V$1001,0),1)&gt;=100000,INDEX($AC$1005:$AS$1005,1,MATCH(COLUMNS($AC$1006:AE1006),$AC$1006:$AS$1006,0))&gt;=100000), " ",IF(INDEX($AC$2:$AS$1001,MATCH(ROWS($V$2:V908),$V$2:$V$1001,0),MATCH(COLUMNS($AC$1006:AE1006),$AC$1006:$AS$1006,0)), HYPERLINK("#",""), HYPERLINK(CONCATENATE("#metadata!", ADDRESS(INDEX($X$2:$X$1001,MATCH(ROWS($V$2:V908),$V$2:$V$1001,0),0), INDEX($AC$1004:$AS$1004,1,MATCH(COLUMNS($AC$1006:AE1006),$AC$1006:$AS$1006,0)))),"Fix")))</f>
        <v xml:space="preserve"> </v>
      </c>
      <c r="E908" s="4" t="str">
        <f ca="1">IF(OR(INDEX($W$2:$W$1001,MATCH(ROWS($V$2:V908),$V$2:$V$1001,0),1)&gt;=100000,INDEX($AC$1005:$AS$1005,1,MATCH(COLUMNS($AC$1006:AF1006),$AC$1006:$AS$1006,0))&gt;=100000), " ",IF(INDEX($AC$2:$AS$1001,MATCH(ROWS($V$2:V908),$V$2:$V$1001,0),MATCH(COLUMNS($AC$1006:AF1006),$AC$1006:$AS$1006,0)), HYPERLINK("#",""), HYPERLINK(CONCATENATE("#metadata!", ADDRESS(INDEX($X$2:$X$1001,MATCH(ROWS($V$2:V908),$V$2:$V$1001,0),0), INDEX($AC$1004:$AS$1004,1,MATCH(COLUMNS($AC$1006:AF1006),$AC$1006:$AS$1006,0)))),"Fix")))</f>
        <v xml:space="preserve"> </v>
      </c>
      <c r="F908" s="4" t="str">
        <f ca="1">IF(OR(INDEX($W$2:$W$1001,MATCH(ROWS($V$2:V908),$V$2:$V$1001,0),1)&gt;=100000,INDEX($AC$1005:$AS$1005,1,MATCH(COLUMNS($AC$1006:AG1006),$AC$1006:$AS$1006,0))&gt;=100000), " ",IF(INDEX($AC$2:$AS$1001,MATCH(ROWS($V$2:V908),$V$2:$V$1001,0),MATCH(COLUMNS($AC$1006:AG1006),$AC$1006:$AS$1006,0)), HYPERLINK("#",""), HYPERLINK(CONCATENATE("#metadata!", ADDRESS(INDEX($X$2:$X$1001,MATCH(ROWS($V$2:V908),$V$2:$V$1001,0),0), INDEX($AC$1004:$AS$1004,1,MATCH(COLUMNS($AC$1006:AG1006),$AC$1006:$AS$1006,0)))),"Fix")))</f>
        <v xml:space="preserve"> </v>
      </c>
      <c r="G908" s="4" t="str">
        <f ca="1">IF(OR(INDEX($W$2:$W$1001,MATCH(ROWS($V$2:V908),$V$2:$V$1001,0),1)&gt;=100000,INDEX($AC$1005:$AS$1005,1,MATCH(COLUMNS($AC$1006:AH1006),$AC$1006:$AS$1006,0))&gt;=100000), " ",IF(INDEX($AC$2:$AS$1001,MATCH(ROWS($V$2:V908),$V$2:$V$1001,0),MATCH(COLUMNS($AC$1006:AH1006),$AC$1006:$AS$1006,0)), HYPERLINK("#",""), HYPERLINK(CONCATENATE("#metadata!", ADDRESS(INDEX($X$2:$X$1001,MATCH(ROWS($V$2:V908),$V$2:$V$1001,0),0), INDEX($AC$1004:$AS$1004,1,MATCH(COLUMNS($AC$1006:AH1006),$AC$1006:$AS$1006,0)))),"Fix")))</f>
        <v xml:space="preserve"> </v>
      </c>
      <c r="H908" s="4" t="str">
        <f ca="1">IF(OR(INDEX($W$2:$W$1001,MATCH(ROWS($V$2:V908),$V$2:$V$1001,0),1)&gt;=100000,INDEX($AC$1005:$AS$1005,1,MATCH(COLUMNS($AC$1006:AI1006),$AC$1006:$AS$1006,0))&gt;=100000), " ",IF(INDEX($AC$2:$AS$1001,MATCH(ROWS($V$2:V908),$V$2:$V$1001,0),MATCH(COLUMNS($AC$1006:AI1006),$AC$1006:$AS$1006,0)), HYPERLINK("#",""), HYPERLINK(CONCATENATE("#metadata!", ADDRESS(INDEX($X$2:$X$1001,MATCH(ROWS($V$2:V908),$V$2:$V$1001,0),0), INDEX($AC$1004:$AS$1004,1,MATCH(COLUMNS($AC$1006:AI1006),$AC$1006:$AS$1006,0)))),"Fix")))</f>
        <v xml:space="preserve"> </v>
      </c>
      <c r="I908" s="4" t="str">
        <f ca="1">IF(OR(INDEX($W$2:$W$1001,MATCH(ROWS($V$2:V908),$V$2:$V$1001,0),1)&gt;=100000,INDEX($AC$1005:$AS$1005,1,MATCH(COLUMNS($AC$1006:AJ1006),$AC$1006:$AS$1006,0))&gt;=100000), " ",IF(INDEX($AC$2:$AS$1001,MATCH(ROWS($V$2:V908),$V$2:$V$1001,0),MATCH(COLUMNS($AC$1006:AJ1006),$AC$1006:$AS$1006,0)), HYPERLINK("#",""), HYPERLINK(CONCATENATE("#metadata!", ADDRESS(INDEX($X$2:$X$1001,MATCH(ROWS($V$2:V908),$V$2:$V$1001,0),0), INDEX($AC$1004:$AS$1004,1,MATCH(COLUMNS($AC$1006:AJ1006),$AC$1006:$AS$1006,0)))),"Fix")))</f>
        <v xml:space="preserve"> </v>
      </c>
      <c r="J908" s="4" t="str">
        <f ca="1">IF(OR(INDEX($W$2:$W$1001,MATCH(ROWS($V$2:V908),$V$2:$V$1001,0),1)&gt;=100000,INDEX($AC$1005:$AS$1005,1,MATCH(COLUMNS($AC$1006:AK1006),$AC$1006:$AS$1006,0))&gt;=100000), " ",IF(INDEX($AC$2:$AS$1001,MATCH(ROWS($V$2:V908),$V$2:$V$1001,0),MATCH(COLUMNS($AC$1006:AK1006),$AC$1006:$AS$1006,0)), HYPERLINK("#",""), HYPERLINK(CONCATENATE("#metadata!", ADDRESS(INDEX($X$2:$X$1001,MATCH(ROWS($V$2:V908),$V$2:$V$1001,0),0), INDEX($AC$1004:$AS$1004,1,MATCH(COLUMNS($AC$1006:AK1006),$AC$1006:$AS$1006,0)))),"Fix")))</f>
        <v xml:space="preserve"> </v>
      </c>
      <c r="K908" s="4" t="str">
        <f ca="1">IF(OR(INDEX($W$2:$W$1001,MATCH(ROWS($V$2:V908),$V$2:$V$1001,0),1)&gt;=100000,INDEX($AC$1005:$AS$1005,1,MATCH(COLUMNS($AC$1006:AL1006),$AC$1006:$AS$1006,0))&gt;=100000), " ",IF(INDEX($AC$2:$AS$1001,MATCH(ROWS($V$2:V908),$V$2:$V$1001,0),MATCH(COLUMNS($AC$1006:AL1006),$AC$1006:$AS$1006,0)), HYPERLINK("#",""), HYPERLINK(CONCATENATE("#metadata!", ADDRESS(INDEX($X$2:$X$1001,MATCH(ROWS($V$2:V908),$V$2:$V$1001,0),0), INDEX($AC$1004:$AS$1004,1,MATCH(COLUMNS($AC$1006:AL1006),$AC$1006:$AS$1006,0)))),"Fix")))</f>
        <v xml:space="preserve"> </v>
      </c>
      <c r="L908" s="4" t="str">
        <f ca="1">IF(OR(INDEX($W$2:$W$1001,MATCH(ROWS($V$2:V908),$V$2:$V$1001,0),1)&gt;=100000,INDEX($AC$1005:$AS$1005,1,MATCH(COLUMNS($AC$1006:AM1006),$AC$1006:$AS$1006,0))&gt;=100000), " ",IF(INDEX($AC$2:$AS$1001,MATCH(ROWS($V$2:V908),$V$2:$V$1001,0),MATCH(COLUMNS($AC$1006:AM1006),$AC$1006:$AS$1006,0)), HYPERLINK("#",""), HYPERLINK(CONCATENATE("#metadata!", ADDRESS(INDEX($X$2:$X$1001,MATCH(ROWS($V$2:V908),$V$2:$V$1001,0),0), INDEX($AC$1004:$AS$1004,1,MATCH(COLUMNS($AC$1006:AM1006),$AC$1006:$AS$1006,0)))),"Fix")))</f>
        <v xml:space="preserve"> </v>
      </c>
      <c r="M908" s="4" t="str">
        <f ca="1">IF(OR(INDEX($W$2:$W$1001,MATCH(ROWS($V$2:V908),$V$2:$V$1001,0),1)&gt;=100000,INDEX($AC$1005:$AS$1005,1,MATCH(COLUMNS($AC$1006:AN1006),$AC$1006:$AS$1006,0))&gt;=100000), " ",IF(INDEX($AC$2:$AS$1001,MATCH(ROWS($V$2:V908),$V$2:$V$1001,0),MATCH(COLUMNS($AC$1006:AN1006),$AC$1006:$AS$1006,0)), HYPERLINK("#",""), HYPERLINK(CONCATENATE("#metadata!", ADDRESS(INDEX($X$2:$X$1001,MATCH(ROWS($V$2:V908),$V$2:$V$1001,0),0), INDEX($AC$1004:$AS$1004,1,MATCH(COLUMNS($AC$1006:AN1006),$AC$1006:$AS$1006,0)))),"Fix")))</f>
        <v xml:space="preserve"> </v>
      </c>
      <c r="N908" s="4" t="str">
        <f ca="1">IF(OR(INDEX($W$2:$W$1001,MATCH(ROWS($V$2:V908),$V$2:$V$1001,0),1)&gt;=100000,INDEX($AC$1005:$AS$1005,1,MATCH(COLUMNS($AC$1006:AO1006),$AC$1006:$AS$1006,0))&gt;=100000), " ",IF(INDEX($AC$2:$AS$1001,MATCH(ROWS($V$2:V908),$V$2:$V$1001,0),MATCH(COLUMNS($AC$1006:AO1006),$AC$1006:$AS$1006,0)), HYPERLINK("#",""), HYPERLINK(CONCATENATE("#metadata!", ADDRESS(INDEX($X$2:$X$1001,MATCH(ROWS($V$2:V908),$V$2:$V$1001,0),0), INDEX($AC$1004:$AS$1004,1,MATCH(COLUMNS($AC$1006:AO1006),$AC$1006:$AS$1006,0)))),"Fix")))</f>
        <v xml:space="preserve"> </v>
      </c>
      <c r="O908" s="4" t="str">
        <f ca="1">IF(OR(INDEX($W$2:$W$1001,MATCH(ROWS($V$2:V908),$V$2:$V$1001,0),1)&gt;=100000,INDEX($AC$1005:$AS$1005,1,MATCH(COLUMNS($AC$1006:AP1006),$AC$1006:$AS$1006,0))&gt;=100000), " ",IF(INDEX($AC$2:$AS$1001,MATCH(ROWS($V$2:V908),$V$2:$V$1001,0),MATCH(COLUMNS($AC$1006:AP1006),$AC$1006:$AS$1006,0)), HYPERLINK("#",""), HYPERLINK(CONCATENATE("#metadata!", ADDRESS(INDEX($X$2:$X$1001,MATCH(ROWS($V$2:V908),$V$2:$V$1001,0),0), INDEX($AC$1004:$AS$1004,1,MATCH(COLUMNS($AC$1006:AP1006),$AC$1006:$AS$1006,0)))),"Fix")))</f>
        <v xml:space="preserve"> </v>
      </c>
      <c r="P908" s="4" t="str">
        <f ca="1">IF(OR(INDEX($W$2:$W$1001,MATCH(ROWS($V$2:V908),$V$2:$V$1001,0),1)&gt;=100000,INDEX($AC$1005:$AS$1005,1,MATCH(COLUMNS($AC$1006:AQ1006),$AC$1006:$AS$1006,0))&gt;=100000), " ",IF(INDEX($AC$2:$AS$1001,MATCH(ROWS($V$2:V908),$V$2:$V$1001,0),MATCH(COLUMNS($AC$1006:AQ1006),$AC$1006:$AS$1006,0)), HYPERLINK("#",""), HYPERLINK(CONCATENATE("#metadata!", ADDRESS(INDEX($X$2:$X$1001,MATCH(ROWS($V$2:V908),$V$2:$V$1001,0),0), INDEX($AC$1004:$AS$1004,1,MATCH(COLUMNS($AC$1006:AQ1006),$AC$1006:$AS$1006,0)))),"Fix")))</f>
        <v xml:space="preserve"> </v>
      </c>
      <c r="Q908" s="4" t="str">
        <f ca="1">IF(OR(INDEX($W$2:$W$1001,MATCH(ROWS($V$2:V908),$V$2:$V$1001,0),1)&gt;=100000,INDEX($AC$1005:$AS$1005,1,MATCH(COLUMNS($AC$1006:AR1006),$AC$1006:$AS$1006,0))&gt;=100000), " ",IF(INDEX($AC$2:$AS$1001,MATCH(ROWS($V$2:V908),$V$2:$V$1001,0),MATCH(COLUMNS($AC$1006:AR1006),$AC$1006:$AS$1006,0)), HYPERLINK("#",""), HYPERLINK(CONCATENATE("#metadata!", ADDRESS(INDEX($X$2:$X$1001,MATCH(ROWS($V$2:V908),$V$2:$V$1001,0),0), INDEX($AC$1004:$AS$1004,1,MATCH(COLUMNS($AC$1006:AR1006),$AC$1006:$AS$1006,0)))),"Fix")))</f>
        <v xml:space="preserve"> </v>
      </c>
      <c r="R908" s="4" t="str">
        <f ca="1">IF(OR(INDEX($W$2:$W$1001,MATCH(ROWS($V$2:V908),$V$2:$V$1001,0),1)&gt;=100000,INDEX($AC$1005:$AS$1005,1,MATCH(COLUMNS($AC$1006:AS1006),$AC$1006:$AS$1006,0))&gt;=100000), " ",IF(INDEX($AC$2:$AS$1001,MATCH(ROWS($V$2:V908),$V$2:$V$1001,0),MATCH(COLUMNS($AC$1006:AS1006),$AC$1006:$AS$1006,0)), HYPERLINK("#",""), HYPERLINK(CONCATENATE("#metadata!", ADDRESS(INDEX($X$2:$X$1001,MATCH(ROWS($V$2:V908),$V$2:$V$1001,0),0), INDEX($AC$1004:$AS$1004,1,MATCH(COLUMNS($AC$1006:AS1006),$AC$1006:$AS$1006,0)))),"Fix")))</f>
        <v xml:space="preserve"> </v>
      </c>
      <c r="V908">
        <v>907</v>
      </c>
      <c r="W908">
        <v>100908</v>
      </c>
      <c r="X908">
        <v>908</v>
      </c>
      <c r="Y908" t="b">
        <f t="shared" si="14"/>
        <v>1</v>
      </c>
      <c r="Z908" t="b">
        <f>COUNTBLANK(metadata!B908:R908)=COLUMNS(metadata!B908:R908)</f>
        <v>1</v>
      </c>
      <c r="AA908" t="str">
        <v/>
      </c>
      <c r="AC908" t="b">
        <f ca="1"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AD908" t="b">
        <f>IF(metadata!C908="",FALSE,ISNUMBER(VALUE(metadata!C908)))</f>
        <v>0</v>
      </c>
      <c r="AE908" t="b">
        <f>AND(IF(metadata!D908="",FALSE,TRUE),EXACT(metadata!D908,"years"))</f>
        <v>0</v>
      </c>
      <c r="AF908" t="b">
        <f>OR(AND(IF(metadata!E908="",FALSE,TRUE),OR(EXACT(metadata!E908,"not applicable"),EXACT(metadata!E908,"missing: not collected"),EXACT(metadata!E908,"missing: not provided"),EXACT(metadata!E908,"missing: restricted access"))),AND(IF(metadata!E908="",FALSE,ISNUMBER(VALUE(metadata!E908))),metadata!E908&gt;0))</f>
        <v>0</v>
      </c>
      <c r="AG908" t="b">
        <f>AND(IF(metadata!F908="",FALSE,TRUE),EXACT(metadata!F908,"Not applicable"))</f>
        <v>0</v>
      </c>
      <c r="AH908" t="b">
        <f>AND(IF(metadata!G908="",FALSE,TRUE),EXACT(metadata!G908,"urban biome"))</f>
        <v>0</v>
      </c>
      <c r="AI908" t="b">
        <f>AND(IF(metadata!H908="",FALSE,TRUE),EXACT(metadata!H908,"human-associated habitat"))</f>
        <v>0</v>
      </c>
      <c r="AJ908" t="b">
        <f>AND(IF(metadata!I908="",FALSE,TRUE),OR(EXACT(metadata!I908,"human-associated"),EXACT(metadata!I908,"human-skin"),EXACT(metadata!I908,"human-oral"),EXACT(metadata!I908,"human-gut"),EXACT(metadata!I908,"human-vaginal")))</f>
        <v>0</v>
      </c>
      <c r="AK908" t="b">
        <f>IF(metadata!J908="",FALSE,ISNUMBER(VALUE(metadata!J908)))</f>
        <v>0</v>
      </c>
      <c r="AL908" t="b">
        <f>AND(IF(metadata!K908="",FALSE,TRUE),EXACT(metadata!K908,"cm"))</f>
        <v>0</v>
      </c>
      <c r="AM908" t="b">
        <f>AND(IF(metadata!L908="",FALSE,TRUE),EXACT(metadata!L908,"human"))</f>
        <v>0</v>
      </c>
      <c r="AN908" t="b">
        <f>AND(IF(metadata!M908="",FALSE,TRUE),EXACT(metadata!M908,"Homo sapiens"))</f>
        <v>0</v>
      </c>
      <c r="AO908" t="b">
        <f>AND(IF(metadata!N908="",FALSE,TRUE),EXACT(metadata!N908,"9606"))</f>
        <v>0</v>
      </c>
      <c r="AP908" t="b">
        <f>IF(metadata!O908="",FALSE,TRUE)</f>
        <v>0</v>
      </c>
      <c r="AQ908" t="b">
        <f>IF(metadata!P908="",FALSE,TRUE)</f>
        <v>0</v>
      </c>
      <c r="AR908" t="b">
        <f>IF(metadata!Q908="",FALSE,ISNUMBER(VALUE(metadata!Q908)))</f>
        <v>0</v>
      </c>
      <c r="AS908" t="b">
        <f>AND(IF(metadata!R908="",FALSE,TRUE),EXACT(metadata!R908,"kg"))</f>
        <v>0</v>
      </c>
    </row>
    <row r="909" spans="1:45" x14ac:dyDescent="0.2">
      <c r="A909" s="5" t="str">
        <f ca="1">IF(B909=" "," ",HYPERLINK(CONCATENATE("#metadata!",ADDRESS(INDEX($X$2:$X$1001,MATCH(ROWS($V$2:V909),$V$2:$V$1001,0),0),1)),INDEX($AA$2:$AA$1001,MATCH(ROWS($V$2:V909),$V$2:$V$1001,0),0)))</f>
        <v xml:space="preserve"> </v>
      </c>
      <c r="B909" s="4" t="str">
        <f ca="1">IF(OR(INDEX($W$2:$W$1001,MATCH(ROWS($V$2:V909),$V$2:$V$1001,0),1)&gt;=100000,INDEX($AC$1005:$AS$1005,1,MATCH(COLUMNS($AC$1006:AC1006),$AC$1006:$AS$1006,0))&gt;=100000), " ",IF(INDEX($AC$2:$AS$1001,MATCH(ROWS($V$2:V909),$V$2:$V$1001,0),MATCH(COLUMNS($AC$1006:AC1006),$AC$1006:$AS$1006,0)), HYPERLINK("#",""), HYPERLINK(CONCATENATE("#metadata!", ADDRESS(INDEX($X$2:$X$1001,MATCH(ROWS($V$2:V909),$V$2:$V$1001,0),0), INDEX($AC$1004:$AS$1004,1,MATCH(COLUMNS($AC$1006:AC1006),$AC$1006:$AS$1006,0)))),"Fix")))</f>
        <v xml:space="preserve"> </v>
      </c>
      <c r="C909" s="4" t="str">
        <f ca="1">IF(OR(INDEX($W$2:$W$1001,MATCH(ROWS($V$2:V909),$V$2:$V$1001,0),1)&gt;=100000,INDEX($AC$1005:$AS$1005,1,MATCH(COLUMNS($AC$1006:AD1006),$AC$1006:$AS$1006,0))&gt;=100000), " ",IF(INDEX($AC$2:$AS$1001,MATCH(ROWS($V$2:V909),$V$2:$V$1001,0),MATCH(COLUMNS($AC$1006:AD1006),$AC$1006:$AS$1006,0)), HYPERLINK("#",""), HYPERLINK(CONCATENATE("#metadata!", ADDRESS(INDEX($X$2:$X$1001,MATCH(ROWS($V$2:V909),$V$2:$V$1001,0),0), INDEX($AC$1004:$AS$1004,1,MATCH(COLUMNS($AC$1006:AD1006),$AC$1006:$AS$1006,0)))),"Fix")))</f>
        <v xml:space="preserve"> </v>
      </c>
      <c r="D909" s="4" t="str">
        <f ca="1">IF(OR(INDEX($W$2:$W$1001,MATCH(ROWS($V$2:V909),$V$2:$V$1001,0),1)&gt;=100000,INDEX($AC$1005:$AS$1005,1,MATCH(COLUMNS($AC$1006:AE1006),$AC$1006:$AS$1006,0))&gt;=100000), " ",IF(INDEX($AC$2:$AS$1001,MATCH(ROWS($V$2:V909),$V$2:$V$1001,0),MATCH(COLUMNS($AC$1006:AE1006),$AC$1006:$AS$1006,0)), HYPERLINK("#",""), HYPERLINK(CONCATENATE("#metadata!", ADDRESS(INDEX($X$2:$X$1001,MATCH(ROWS($V$2:V909),$V$2:$V$1001,0),0), INDEX($AC$1004:$AS$1004,1,MATCH(COLUMNS($AC$1006:AE1006),$AC$1006:$AS$1006,0)))),"Fix")))</f>
        <v xml:space="preserve"> </v>
      </c>
      <c r="E909" s="4" t="str">
        <f ca="1">IF(OR(INDEX($W$2:$W$1001,MATCH(ROWS($V$2:V909),$V$2:$V$1001,0),1)&gt;=100000,INDEX($AC$1005:$AS$1005,1,MATCH(COLUMNS($AC$1006:AF1006),$AC$1006:$AS$1006,0))&gt;=100000), " ",IF(INDEX($AC$2:$AS$1001,MATCH(ROWS($V$2:V909),$V$2:$V$1001,0),MATCH(COLUMNS($AC$1006:AF1006),$AC$1006:$AS$1006,0)), HYPERLINK("#",""), HYPERLINK(CONCATENATE("#metadata!", ADDRESS(INDEX($X$2:$X$1001,MATCH(ROWS($V$2:V909),$V$2:$V$1001,0),0), INDEX($AC$1004:$AS$1004,1,MATCH(COLUMNS($AC$1006:AF1006),$AC$1006:$AS$1006,0)))),"Fix")))</f>
        <v xml:space="preserve"> </v>
      </c>
      <c r="F909" s="4" t="str">
        <f ca="1">IF(OR(INDEX($W$2:$W$1001,MATCH(ROWS($V$2:V909),$V$2:$V$1001,0),1)&gt;=100000,INDEX($AC$1005:$AS$1005,1,MATCH(COLUMNS($AC$1006:AG1006),$AC$1006:$AS$1006,0))&gt;=100000), " ",IF(INDEX($AC$2:$AS$1001,MATCH(ROWS($V$2:V909),$V$2:$V$1001,0),MATCH(COLUMNS($AC$1006:AG1006),$AC$1006:$AS$1006,0)), HYPERLINK("#",""), HYPERLINK(CONCATENATE("#metadata!", ADDRESS(INDEX($X$2:$X$1001,MATCH(ROWS($V$2:V909),$V$2:$V$1001,0),0), INDEX($AC$1004:$AS$1004,1,MATCH(COLUMNS($AC$1006:AG1006),$AC$1006:$AS$1006,0)))),"Fix")))</f>
        <v xml:space="preserve"> </v>
      </c>
      <c r="G909" s="4" t="str">
        <f ca="1">IF(OR(INDEX($W$2:$W$1001,MATCH(ROWS($V$2:V909),$V$2:$V$1001,0),1)&gt;=100000,INDEX($AC$1005:$AS$1005,1,MATCH(COLUMNS($AC$1006:AH1006),$AC$1006:$AS$1006,0))&gt;=100000), " ",IF(INDEX($AC$2:$AS$1001,MATCH(ROWS($V$2:V909),$V$2:$V$1001,0),MATCH(COLUMNS($AC$1006:AH1006),$AC$1006:$AS$1006,0)), HYPERLINK("#",""), HYPERLINK(CONCATENATE("#metadata!", ADDRESS(INDEX($X$2:$X$1001,MATCH(ROWS($V$2:V909),$V$2:$V$1001,0),0), INDEX($AC$1004:$AS$1004,1,MATCH(COLUMNS($AC$1006:AH1006),$AC$1006:$AS$1006,0)))),"Fix")))</f>
        <v xml:space="preserve"> </v>
      </c>
      <c r="H909" s="4" t="str">
        <f ca="1">IF(OR(INDEX($W$2:$W$1001,MATCH(ROWS($V$2:V909),$V$2:$V$1001,0),1)&gt;=100000,INDEX($AC$1005:$AS$1005,1,MATCH(COLUMNS($AC$1006:AI1006),$AC$1006:$AS$1006,0))&gt;=100000), " ",IF(INDEX($AC$2:$AS$1001,MATCH(ROWS($V$2:V909),$V$2:$V$1001,0),MATCH(COLUMNS($AC$1006:AI1006),$AC$1006:$AS$1006,0)), HYPERLINK("#",""), HYPERLINK(CONCATENATE("#metadata!", ADDRESS(INDEX($X$2:$X$1001,MATCH(ROWS($V$2:V909),$V$2:$V$1001,0),0), INDEX($AC$1004:$AS$1004,1,MATCH(COLUMNS($AC$1006:AI1006),$AC$1006:$AS$1006,0)))),"Fix")))</f>
        <v xml:space="preserve"> </v>
      </c>
      <c r="I909" s="4" t="str">
        <f ca="1">IF(OR(INDEX($W$2:$W$1001,MATCH(ROWS($V$2:V909),$V$2:$V$1001,0),1)&gt;=100000,INDEX($AC$1005:$AS$1005,1,MATCH(COLUMNS($AC$1006:AJ1006),$AC$1006:$AS$1006,0))&gt;=100000), " ",IF(INDEX($AC$2:$AS$1001,MATCH(ROWS($V$2:V909),$V$2:$V$1001,0),MATCH(COLUMNS($AC$1006:AJ1006),$AC$1006:$AS$1006,0)), HYPERLINK("#",""), HYPERLINK(CONCATENATE("#metadata!", ADDRESS(INDEX($X$2:$X$1001,MATCH(ROWS($V$2:V909),$V$2:$V$1001,0),0), INDEX($AC$1004:$AS$1004,1,MATCH(COLUMNS($AC$1006:AJ1006),$AC$1006:$AS$1006,0)))),"Fix")))</f>
        <v xml:space="preserve"> </v>
      </c>
      <c r="J909" s="4" t="str">
        <f ca="1">IF(OR(INDEX($W$2:$W$1001,MATCH(ROWS($V$2:V909),$V$2:$V$1001,0),1)&gt;=100000,INDEX($AC$1005:$AS$1005,1,MATCH(COLUMNS($AC$1006:AK1006),$AC$1006:$AS$1006,0))&gt;=100000), " ",IF(INDEX($AC$2:$AS$1001,MATCH(ROWS($V$2:V909),$V$2:$V$1001,0),MATCH(COLUMNS($AC$1006:AK1006),$AC$1006:$AS$1006,0)), HYPERLINK("#",""), HYPERLINK(CONCATENATE("#metadata!", ADDRESS(INDEX($X$2:$X$1001,MATCH(ROWS($V$2:V909),$V$2:$V$1001,0),0), INDEX($AC$1004:$AS$1004,1,MATCH(COLUMNS($AC$1006:AK1006),$AC$1006:$AS$1006,0)))),"Fix")))</f>
        <v xml:space="preserve"> </v>
      </c>
      <c r="K909" s="4" t="str">
        <f ca="1">IF(OR(INDEX($W$2:$W$1001,MATCH(ROWS($V$2:V909),$V$2:$V$1001,0),1)&gt;=100000,INDEX($AC$1005:$AS$1005,1,MATCH(COLUMNS($AC$1006:AL1006),$AC$1006:$AS$1006,0))&gt;=100000), " ",IF(INDEX($AC$2:$AS$1001,MATCH(ROWS($V$2:V909),$V$2:$V$1001,0),MATCH(COLUMNS($AC$1006:AL1006),$AC$1006:$AS$1006,0)), HYPERLINK("#",""), HYPERLINK(CONCATENATE("#metadata!", ADDRESS(INDEX($X$2:$X$1001,MATCH(ROWS($V$2:V909),$V$2:$V$1001,0),0), INDEX($AC$1004:$AS$1004,1,MATCH(COLUMNS($AC$1006:AL1006),$AC$1006:$AS$1006,0)))),"Fix")))</f>
        <v xml:space="preserve"> </v>
      </c>
      <c r="L909" s="4" t="str">
        <f ca="1">IF(OR(INDEX($W$2:$W$1001,MATCH(ROWS($V$2:V909),$V$2:$V$1001,0),1)&gt;=100000,INDEX($AC$1005:$AS$1005,1,MATCH(COLUMNS($AC$1006:AM1006),$AC$1006:$AS$1006,0))&gt;=100000), " ",IF(INDEX($AC$2:$AS$1001,MATCH(ROWS($V$2:V909),$V$2:$V$1001,0),MATCH(COLUMNS($AC$1006:AM1006),$AC$1006:$AS$1006,0)), HYPERLINK("#",""), HYPERLINK(CONCATENATE("#metadata!", ADDRESS(INDEX($X$2:$X$1001,MATCH(ROWS($V$2:V909),$V$2:$V$1001,0),0), INDEX($AC$1004:$AS$1004,1,MATCH(COLUMNS($AC$1006:AM1006),$AC$1006:$AS$1006,0)))),"Fix")))</f>
        <v xml:space="preserve"> </v>
      </c>
      <c r="M909" s="4" t="str">
        <f ca="1">IF(OR(INDEX($W$2:$W$1001,MATCH(ROWS($V$2:V909),$V$2:$V$1001,0),1)&gt;=100000,INDEX($AC$1005:$AS$1005,1,MATCH(COLUMNS($AC$1006:AN1006),$AC$1006:$AS$1006,0))&gt;=100000), " ",IF(INDEX($AC$2:$AS$1001,MATCH(ROWS($V$2:V909),$V$2:$V$1001,0),MATCH(COLUMNS($AC$1006:AN1006),$AC$1006:$AS$1006,0)), HYPERLINK("#",""), HYPERLINK(CONCATENATE("#metadata!", ADDRESS(INDEX($X$2:$X$1001,MATCH(ROWS($V$2:V909),$V$2:$V$1001,0),0), INDEX($AC$1004:$AS$1004,1,MATCH(COLUMNS($AC$1006:AN1006),$AC$1006:$AS$1006,0)))),"Fix")))</f>
        <v xml:space="preserve"> </v>
      </c>
      <c r="N909" s="4" t="str">
        <f ca="1">IF(OR(INDEX($W$2:$W$1001,MATCH(ROWS($V$2:V909),$V$2:$V$1001,0),1)&gt;=100000,INDEX($AC$1005:$AS$1005,1,MATCH(COLUMNS($AC$1006:AO1006),$AC$1006:$AS$1006,0))&gt;=100000), " ",IF(INDEX($AC$2:$AS$1001,MATCH(ROWS($V$2:V909),$V$2:$V$1001,0),MATCH(COLUMNS($AC$1006:AO1006),$AC$1006:$AS$1006,0)), HYPERLINK("#",""), HYPERLINK(CONCATENATE("#metadata!", ADDRESS(INDEX($X$2:$X$1001,MATCH(ROWS($V$2:V909),$V$2:$V$1001,0),0), INDEX($AC$1004:$AS$1004,1,MATCH(COLUMNS($AC$1006:AO1006),$AC$1006:$AS$1006,0)))),"Fix")))</f>
        <v xml:space="preserve"> </v>
      </c>
      <c r="O909" s="4" t="str">
        <f ca="1">IF(OR(INDEX($W$2:$W$1001,MATCH(ROWS($V$2:V909),$V$2:$V$1001,0),1)&gt;=100000,INDEX($AC$1005:$AS$1005,1,MATCH(COLUMNS($AC$1006:AP1006),$AC$1006:$AS$1006,0))&gt;=100000), " ",IF(INDEX($AC$2:$AS$1001,MATCH(ROWS($V$2:V909),$V$2:$V$1001,0),MATCH(COLUMNS($AC$1006:AP1006),$AC$1006:$AS$1006,0)), HYPERLINK("#",""), HYPERLINK(CONCATENATE("#metadata!", ADDRESS(INDEX($X$2:$X$1001,MATCH(ROWS($V$2:V909),$V$2:$V$1001,0),0), INDEX($AC$1004:$AS$1004,1,MATCH(COLUMNS($AC$1006:AP1006),$AC$1006:$AS$1006,0)))),"Fix")))</f>
        <v xml:space="preserve"> </v>
      </c>
      <c r="P909" s="4" t="str">
        <f ca="1">IF(OR(INDEX($W$2:$W$1001,MATCH(ROWS($V$2:V909),$V$2:$V$1001,0),1)&gt;=100000,INDEX($AC$1005:$AS$1005,1,MATCH(COLUMNS($AC$1006:AQ1006),$AC$1006:$AS$1006,0))&gt;=100000), " ",IF(INDEX($AC$2:$AS$1001,MATCH(ROWS($V$2:V909),$V$2:$V$1001,0),MATCH(COLUMNS($AC$1006:AQ1006),$AC$1006:$AS$1006,0)), HYPERLINK("#",""), HYPERLINK(CONCATENATE("#metadata!", ADDRESS(INDEX($X$2:$X$1001,MATCH(ROWS($V$2:V909),$V$2:$V$1001,0),0), INDEX($AC$1004:$AS$1004,1,MATCH(COLUMNS($AC$1006:AQ1006),$AC$1006:$AS$1006,0)))),"Fix")))</f>
        <v xml:space="preserve"> </v>
      </c>
      <c r="Q909" s="4" t="str">
        <f ca="1">IF(OR(INDEX($W$2:$W$1001,MATCH(ROWS($V$2:V909),$V$2:$V$1001,0),1)&gt;=100000,INDEX($AC$1005:$AS$1005,1,MATCH(COLUMNS($AC$1006:AR1006),$AC$1006:$AS$1006,0))&gt;=100000), " ",IF(INDEX($AC$2:$AS$1001,MATCH(ROWS($V$2:V909),$V$2:$V$1001,0),MATCH(COLUMNS($AC$1006:AR1006),$AC$1006:$AS$1006,0)), HYPERLINK("#",""), HYPERLINK(CONCATENATE("#metadata!", ADDRESS(INDEX($X$2:$X$1001,MATCH(ROWS($V$2:V909),$V$2:$V$1001,0),0), INDEX($AC$1004:$AS$1004,1,MATCH(COLUMNS($AC$1006:AR1006),$AC$1006:$AS$1006,0)))),"Fix")))</f>
        <v xml:space="preserve"> </v>
      </c>
      <c r="R909" s="4" t="str">
        <f ca="1">IF(OR(INDEX($W$2:$W$1001,MATCH(ROWS($V$2:V909),$V$2:$V$1001,0),1)&gt;=100000,INDEX($AC$1005:$AS$1005,1,MATCH(COLUMNS($AC$1006:AS1006),$AC$1006:$AS$1006,0))&gt;=100000), " ",IF(INDEX($AC$2:$AS$1001,MATCH(ROWS($V$2:V909),$V$2:$V$1001,0),MATCH(COLUMNS($AC$1006:AS1006),$AC$1006:$AS$1006,0)), HYPERLINK("#",""), HYPERLINK(CONCATENATE("#metadata!", ADDRESS(INDEX($X$2:$X$1001,MATCH(ROWS($V$2:V909),$V$2:$V$1001,0),0), INDEX($AC$1004:$AS$1004,1,MATCH(COLUMNS($AC$1006:AS1006),$AC$1006:$AS$1006,0)))),"Fix")))</f>
        <v xml:space="preserve"> </v>
      </c>
      <c r="V909">
        <v>908</v>
      </c>
      <c r="W909">
        <v>100909</v>
      </c>
      <c r="X909">
        <v>909</v>
      </c>
      <c r="Y909" t="b">
        <f t="shared" si="14"/>
        <v>1</v>
      </c>
      <c r="Z909" t="b">
        <f>COUNTBLANK(metadata!B909:R909)=COLUMNS(metadata!B909:R909)</f>
        <v>1</v>
      </c>
      <c r="AA909" t="str">
        <v/>
      </c>
      <c r="AC909" t="b">
        <f ca="1"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AD909" t="b">
        <f>IF(metadata!C909="",FALSE,ISNUMBER(VALUE(metadata!C909)))</f>
        <v>0</v>
      </c>
      <c r="AE909" t="b">
        <f>AND(IF(metadata!D909="",FALSE,TRUE),EXACT(metadata!D909,"years"))</f>
        <v>0</v>
      </c>
      <c r="AF909" t="b">
        <f>OR(AND(IF(metadata!E909="",FALSE,TRUE),OR(EXACT(metadata!E909,"not applicable"),EXACT(metadata!E909,"missing: not collected"),EXACT(metadata!E909,"missing: not provided"),EXACT(metadata!E909,"missing: restricted access"))),AND(IF(metadata!E909="",FALSE,ISNUMBER(VALUE(metadata!E909))),metadata!E909&gt;0))</f>
        <v>0</v>
      </c>
      <c r="AG909" t="b">
        <f>AND(IF(metadata!F909="",FALSE,TRUE),EXACT(metadata!F909,"Not applicable"))</f>
        <v>0</v>
      </c>
      <c r="AH909" t="b">
        <f>AND(IF(metadata!G909="",FALSE,TRUE),EXACT(metadata!G909,"urban biome"))</f>
        <v>0</v>
      </c>
      <c r="AI909" t="b">
        <f>AND(IF(metadata!H909="",FALSE,TRUE),EXACT(metadata!H909,"human-associated habitat"))</f>
        <v>0</v>
      </c>
      <c r="AJ909" t="b">
        <f>AND(IF(metadata!I909="",FALSE,TRUE),OR(EXACT(metadata!I909,"human-associated"),EXACT(metadata!I909,"human-skin"),EXACT(metadata!I909,"human-oral"),EXACT(metadata!I909,"human-gut"),EXACT(metadata!I909,"human-vaginal")))</f>
        <v>0</v>
      </c>
      <c r="AK909" t="b">
        <f>IF(metadata!J909="",FALSE,ISNUMBER(VALUE(metadata!J909)))</f>
        <v>0</v>
      </c>
      <c r="AL909" t="b">
        <f>AND(IF(metadata!K909="",FALSE,TRUE),EXACT(metadata!K909,"cm"))</f>
        <v>0</v>
      </c>
      <c r="AM909" t="b">
        <f>AND(IF(metadata!L909="",FALSE,TRUE),EXACT(metadata!L909,"human"))</f>
        <v>0</v>
      </c>
      <c r="AN909" t="b">
        <f>AND(IF(metadata!M909="",FALSE,TRUE),EXACT(metadata!M909,"Homo sapiens"))</f>
        <v>0</v>
      </c>
      <c r="AO909" t="b">
        <f>AND(IF(metadata!N909="",FALSE,TRUE),EXACT(metadata!N909,"9606"))</f>
        <v>0</v>
      </c>
      <c r="AP909" t="b">
        <f>IF(metadata!O909="",FALSE,TRUE)</f>
        <v>0</v>
      </c>
      <c r="AQ909" t="b">
        <f>IF(metadata!P909="",FALSE,TRUE)</f>
        <v>0</v>
      </c>
      <c r="AR909" t="b">
        <f>IF(metadata!Q909="",FALSE,ISNUMBER(VALUE(metadata!Q909)))</f>
        <v>0</v>
      </c>
      <c r="AS909" t="b">
        <f>AND(IF(metadata!R909="",FALSE,TRUE),EXACT(metadata!R909,"kg"))</f>
        <v>0</v>
      </c>
    </row>
    <row r="910" spans="1:45" x14ac:dyDescent="0.2">
      <c r="A910" s="5" t="str">
        <f ca="1">IF(B910=" "," ",HYPERLINK(CONCATENATE("#metadata!",ADDRESS(INDEX($X$2:$X$1001,MATCH(ROWS($V$2:V910),$V$2:$V$1001,0),0),1)),INDEX($AA$2:$AA$1001,MATCH(ROWS($V$2:V910),$V$2:$V$1001,0),0)))</f>
        <v xml:space="preserve"> </v>
      </c>
      <c r="B910" s="4" t="str">
        <f ca="1">IF(OR(INDEX($W$2:$W$1001,MATCH(ROWS($V$2:V910),$V$2:$V$1001,0),1)&gt;=100000,INDEX($AC$1005:$AS$1005,1,MATCH(COLUMNS($AC$1006:AC1006),$AC$1006:$AS$1006,0))&gt;=100000), " ",IF(INDEX($AC$2:$AS$1001,MATCH(ROWS($V$2:V910),$V$2:$V$1001,0),MATCH(COLUMNS($AC$1006:AC1006),$AC$1006:$AS$1006,0)), HYPERLINK("#",""), HYPERLINK(CONCATENATE("#metadata!", ADDRESS(INDEX($X$2:$X$1001,MATCH(ROWS($V$2:V910),$V$2:$V$1001,0),0), INDEX($AC$1004:$AS$1004,1,MATCH(COLUMNS($AC$1006:AC1006),$AC$1006:$AS$1006,0)))),"Fix")))</f>
        <v xml:space="preserve"> </v>
      </c>
      <c r="C910" s="4" t="str">
        <f ca="1">IF(OR(INDEX($W$2:$W$1001,MATCH(ROWS($V$2:V910),$V$2:$V$1001,0),1)&gt;=100000,INDEX($AC$1005:$AS$1005,1,MATCH(COLUMNS($AC$1006:AD1006),$AC$1006:$AS$1006,0))&gt;=100000), " ",IF(INDEX($AC$2:$AS$1001,MATCH(ROWS($V$2:V910),$V$2:$V$1001,0),MATCH(COLUMNS($AC$1006:AD1006),$AC$1006:$AS$1006,0)), HYPERLINK("#",""), HYPERLINK(CONCATENATE("#metadata!", ADDRESS(INDEX($X$2:$X$1001,MATCH(ROWS($V$2:V910),$V$2:$V$1001,0),0), INDEX($AC$1004:$AS$1004,1,MATCH(COLUMNS($AC$1006:AD1006),$AC$1006:$AS$1006,0)))),"Fix")))</f>
        <v xml:space="preserve"> </v>
      </c>
      <c r="D910" s="4" t="str">
        <f ca="1">IF(OR(INDEX($W$2:$W$1001,MATCH(ROWS($V$2:V910),$V$2:$V$1001,0),1)&gt;=100000,INDEX($AC$1005:$AS$1005,1,MATCH(COLUMNS($AC$1006:AE1006),$AC$1006:$AS$1006,0))&gt;=100000), " ",IF(INDEX($AC$2:$AS$1001,MATCH(ROWS($V$2:V910),$V$2:$V$1001,0),MATCH(COLUMNS($AC$1006:AE1006),$AC$1006:$AS$1006,0)), HYPERLINK("#",""), HYPERLINK(CONCATENATE("#metadata!", ADDRESS(INDEX($X$2:$X$1001,MATCH(ROWS($V$2:V910),$V$2:$V$1001,0),0), INDEX($AC$1004:$AS$1004,1,MATCH(COLUMNS($AC$1006:AE1006),$AC$1006:$AS$1006,0)))),"Fix")))</f>
        <v xml:space="preserve"> </v>
      </c>
      <c r="E910" s="4" t="str">
        <f ca="1">IF(OR(INDEX($W$2:$W$1001,MATCH(ROWS($V$2:V910),$V$2:$V$1001,0),1)&gt;=100000,INDEX($AC$1005:$AS$1005,1,MATCH(COLUMNS($AC$1006:AF1006),$AC$1006:$AS$1006,0))&gt;=100000), " ",IF(INDEX($AC$2:$AS$1001,MATCH(ROWS($V$2:V910),$V$2:$V$1001,0),MATCH(COLUMNS($AC$1006:AF1006),$AC$1006:$AS$1006,0)), HYPERLINK("#",""), HYPERLINK(CONCATENATE("#metadata!", ADDRESS(INDEX($X$2:$X$1001,MATCH(ROWS($V$2:V910),$V$2:$V$1001,0),0), INDEX($AC$1004:$AS$1004,1,MATCH(COLUMNS($AC$1006:AF1006),$AC$1006:$AS$1006,0)))),"Fix")))</f>
        <v xml:space="preserve"> </v>
      </c>
      <c r="F910" s="4" t="str">
        <f ca="1">IF(OR(INDEX($W$2:$W$1001,MATCH(ROWS($V$2:V910),$V$2:$V$1001,0),1)&gt;=100000,INDEX($AC$1005:$AS$1005,1,MATCH(COLUMNS($AC$1006:AG1006),$AC$1006:$AS$1006,0))&gt;=100000), " ",IF(INDEX($AC$2:$AS$1001,MATCH(ROWS($V$2:V910),$V$2:$V$1001,0),MATCH(COLUMNS($AC$1006:AG1006),$AC$1006:$AS$1006,0)), HYPERLINK("#",""), HYPERLINK(CONCATENATE("#metadata!", ADDRESS(INDEX($X$2:$X$1001,MATCH(ROWS($V$2:V910),$V$2:$V$1001,0),0), INDEX($AC$1004:$AS$1004,1,MATCH(COLUMNS($AC$1006:AG1006),$AC$1006:$AS$1006,0)))),"Fix")))</f>
        <v xml:space="preserve"> </v>
      </c>
      <c r="G910" s="4" t="str">
        <f ca="1">IF(OR(INDEX($W$2:$W$1001,MATCH(ROWS($V$2:V910),$V$2:$V$1001,0),1)&gt;=100000,INDEX($AC$1005:$AS$1005,1,MATCH(COLUMNS($AC$1006:AH1006),$AC$1006:$AS$1006,0))&gt;=100000), " ",IF(INDEX($AC$2:$AS$1001,MATCH(ROWS($V$2:V910),$V$2:$V$1001,0),MATCH(COLUMNS($AC$1006:AH1006),$AC$1006:$AS$1006,0)), HYPERLINK("#",""), HYPERLINK(CONCATENATE("#metadata!", ADDRESS(INDEX($X$2:$X$1001,MATCH(ROWS($V$2:V910),$V$2:$V$1001,0),0), INDEX($AC$1004:$AS$1004,1,MATCH(COLUMNS($AC$1006:AH1006),$AC$1006:$AS$1006,0)))),"Fix")))</f>
        <v xml:space="preserve"> </v>
      </c>
      <c r="H910" s="4" t="str">
        <f ca="1">IF(OR(INDEX($W$2:$W$1001,MATCH(ROWS($V$2:V910),$V$2:$V$1001,0),1)&gt;=100000,INDEX($AC$1005:$AS$1005,1,MATCH(COLUMNS($AC$1006:AI1006),$AC$1006:$AS$1006,0))&gt;=100000), " ",IF(INDEX($AC$2:$AS$1001,MATCH(ROWS($V$2:V910),$V$2:$V$1001,0),MATCH(COLUMNS($AC$1006:AI1006),$AC$1006:$AS$1006,0)), HYPERLINK("#",""), HYPERLINK(CONCATENATE("#metadata!", ADDRESS(INDEX($X$2:$X$1001,MATCH(ROWS($V$2:V910),$V$2:$V$1001,0),0), INDEX($AC$1004:$AS$1004,1,MATCH(COLUMNS($AC$1006:AI1006),$AC$1006:$AS$1006,0)))),"Fix")))</f>
        <v xml:space="preserve"> </v>
      </c>
      <c r="I910" s="4" t="str">
        <f ca="1">IF(OR(INDEX($W$2:$W$1001,MATCH(ROWS($V$2:V910),$V$2:$V$1001,0),1)&gt;=100000,INDEX($AC$1005:$AS$1005,1,MATCH(COLUMNS($AC$1006:AJ1006),$AC$1006:$AS$1006,0))&gt;=100000), " ",IF(INDEX($AC$2:$AS$1001,MATCH(ROWS($V$2:V910),$V$2:$V$1001,0),MATCH(COLUMNS($AC$1006:AJ1006),$AC$1006:$AS$1006,0)), HYPERLINK("#",""), HYPERLINK(CONCATENATE("#metadata!", ADDRESS(INDEX($X$2:$X$1001,MATCH(ROWS($V$2:V910),$V$2:$V$1001,0),0), INDEX($AC$1004:$AS$1004,1,MATCH(COLUMNS($AC$1006:AJ1006),$AC$1006:$AS$1006,0)))),"Fix")))</f>
        <v xml:space="preserve"> </v>
      </c>
      <c r="J910" s="4" t="str">
        <f ca="1">IF(OR(INDEX($W$2:$W$1001,MATCH(ROWS($V$2:V910),$V$2:$V$1001,0),1)&gt;=100000,INDEX($AC$1005:$AS$1005,1,MATCH(COLUMNS($AC$1006:AK1006),$AC$1006:$AS$1006,0))&gt;=100000), " ",IF(INDEX($AC$2:$AS$1001,MATCH(ROWS($V$2:V910),$V$2:$V$1001,0),MATCH(COLUMNS($AC$1006:AK1006),$AC$1006:$AS$1006,0)), HYPERLINK("#",""), HYPERLINK(CONCATENATE("#metadata!", ADDRESS(INDEX($X$2:$X$1001,MATCH(ROWS($V$2:V910),$V$2:$V$1001,0),0), INDEX($AC$1004:$AS$1004,1,MATCH(COLUMNS($AC$1006:AK1006),$AC$1006:$AS$1006,0)))),"Fix")))</f>
        <v xml:space="preserve"> </v>
      </c>
      <c r="K910" s="4" t="str">
        <f ca="1">IF(OR(INDEX($W$2:$W$1001,MATCH(ROWS($V$2:V910),$V$2:$V$1001,0),1)&gt;=100000,INDEX($AC$1005:$AS$1005,1,MATCH(COLUMNS($AC$1006:AL1006),$AC$1006:$AS$1006,0))&gt;=100000), " ",IF(INDEX($AC$2:$AS$1001,MATCH(ROWS($V$2:V910),$V$2:$V$1001,0),MATCH(COLUMNS($AC$1006:AL1006),$AC$1006:$AS$1006,0)), HYPERLINK("#",""), HYPERLINK(CONCATENATE("#metadata!", ADDRESS(INDEX($X$2:$X$1001,MATCH(ROWS($V$2:V910),$V$2:$V$1001,0),0), INDEX($AC$1004:$AS$1004,1,MATCH(COLUMNS($AC$1006:AL1006),$AC$1006:$AS$1006,0)))),"Fix")))</f>
        <v xml:space="preserve"> </v>
      </c>
      <c r="L910" s="4" t="str">
        <f ca="1">IF(OR(INDEX($W$2:$W$1001,MATCH(ROWS($V$2:V910),$V$2:$V$1001,0),1)&gt;=100000,INDEX($AC$1005:$AS$1005,1,MATCH(COLUMNS($AC$1006:AM1006),$AC$1006:$AS$1006,0))&gt;=100000), " ",IF(INDEX($AC$2:$AS$1001,MATCH(ROWS($V$2:V910),$V$2:$V$1001,0),MATCH(COLUMNS($AC$1006:AM1006),$AC$1006:$AS$1006,0)), HYPERLINK("#",""), HYPERLINK(CONCATENATE("#metadata!", ADDRESS(INDEX($X$2:$X$1001,MATCH(ROWS($V$2:V910),$V$2:$V$1001,0),0), INDEX($AC$1004:$AS$1004,1,MATCH(COLUMNS($AC$1006:AM1006),$AC$1006:$AS$1006,0)))),"Fix")))</f>
        <v xml:space="preserve"> </v>
      </c>
      <c r="M910" s="4" t="str">
        <f ca="1">IF(OR(INDEX($W$2:$W$1001,MATCH(ROWS($V$2:V910),$V$2:$V$1001,0),1)&gt;=100000,INDEX($AC$1005:$AS$1005,1,MATCH(COLUMNS($AC$1006:AN1006),$AC$1006:$AS$1006,0))&gt;=100000), " ",IF(INDEX($AC$2:$AS$1001,MATCH(ROWS($V$2:V910),$V$2:$V$1001,0),MATCH(COLUMNS($AC$1006:AN1006),$AC$1006:$AS$1006,0)), HYPERLINK("#",""), HYPERLINK(CONCATENATE("#metadata!", ADDRESS(INDEX($X$2:$X$1001,MATCH(ROWS($V$2:V910),$V$2:$V$1001,0),0), INDEX($AC$1004:$AS$1004,1,MATCH(COLUMNS($AC$1006:AN1006),$AC$1006:$AS$1006,0)))),"Fix")))</f>
        <v xml:space="preserve"> </v>
      </c>
      <c r="N910" s="4" t="str">
        <f ca="1">IF(OR(INDEX($W$2:$W$1001,MATCH(ROWS($V$2:V910),$V$2:$V$1001,0),1)&gt;=100000,INDEX($AC$1005:$AS$1005,1,MATCH(COLUMNS($AC$1006:AO1006),$AC$1006:$AS$1006,0))&gt;=100000), " ",IF(INDEX($AC$2:$AS$1001,MATCH(ROWS($V$2:V910),$V$2:$V$1001,0),MATCH(COLUMNS($AC$1006:AO1006),$AC$1006:$AS$1006,0)), HYPERLINK("#",""), HYPERLINK(CONCATENATE("#metadata!", ADDRESS(INDEX($X$2:$X$1001,MATCH(ROWS($V$2:V910),$V$2:$V$1001,0),0), INDEX($AC$1004:$AS$1004,1,MATCH(COLUMNS($AC$1006:AO1006),$AC$1006:$AS$1006,0)))),"Fix")))</f>
        <v xml:space="preserve"> </v>
      </c>
      <c r="O910" s="4" t="str">
        <f ca="1">IF(OR(INDEX($W$2:$W$1001,MATCH(ROWS($V$2:V910),$V$2:$V$1001,0),1)&gt;=100000,INDEX($AC$1005:$AS$1005,1,MATCH(COLUMNS($AC$1006:AP1006),$AC$1006:$AS$1006,0))&gt;=100000), " ",IF(INDEX($AC$2:$AS$1001,MATCH(ROWS($V$2:V910),$V$2:$V$1001,0),MATCH(COLUMNS($AC$1006:AP1006),$AC$1006:$AS$1006,0)), HYPERLINK("#",""), HYPERLINK(CONCATENATE("#metadata!", ADDRESS(INDEX($X$2:$X$1001,MATCH(ROWS($V$2:V910),$V$2:$V$1001,0),0), INDEX($AC$1004:$AS$1004,1,MATCH(COLUMNS($AC$1006:AP1006),$AC$1006:$AS$1006,0)))),"Fix")))</f>
        <v xml:space="preserve"> </v>
      </c>
      <c r="P910" s="4" t="str">
        <f ca="1">IF(OR(INDEX($W$2:$W$1001,MATCH(ROWS($V$2:V910),$V$2:$V$1001,0),1)&gt;=100000,INDEX($AC$1005:$AS$1005,1,MATCH(COLUMNS($AC$1006:AQ1006),$AC$1006:$AS$1006,0))&gt;=100000), " ",IF(INDEX($AC$2:$AS$1001,MATCH(ROWS($V$2:V910),$V$2:$V$1001,0),MATCH(COLUMNS($AC$1006:AQ1006),$AC$1006:$AS$1006,0)), HYPERLINK("#",""), HYPERLINK(CONCATENATE("#metadata!", ADDRESS(INDEX($X$2:$X$1001,MATCH(ROWS($V$2:V910),$V$2:$V$1001,0),0), INDEX($AC$1004:$AS$1004,1,MATCH(COLUMNS($AC$1006:AQ1006),$AC$1006:$AS$1006,0)))),"Fix")))</f>
        <v xml:space="preserve"> </v>
      </c>
      <c r="Q910" s="4" t="str">
        <f ca="1">IF(OR(INDEX($W$2:$W$1001,MATCH(ROWS($V$2:V910),$V$2:$V$1001,0),1)&gt;=100000,INDEX($AC$1005:$AS$1005,1,MATCH(COLUMNS($AC$1006:AR1006),$AC$1006:$AS$1006,0))&gt;=100000), " ",IF(INDEX($AC$2:$AS$1001,MATCH(ROWS($V$2:V910),$V$2:$V$1001,0),MATCH(COLUMNS($AC$1006:AR1006),$AC$1006:$AS$1006,0)), HYPERLINK("#",""), HYPERLINK(CONCATENATE("#metadata!", ADDRESS(INDEX($X$2:$X$1001,MATCH(ROWS($V$2:V910),$V$2:$V$1001,0),0), INDEX($AC$1004:$AS$1004,1,MATCH(COLUMNS($AC$1006:AR1006),$AC$1006:$AS$1006,0)))),"Fix")))</f>
        <v xml:space="preserve"> </v>
      </c>
      <c r="R910" s="4" t="str">
        <f ca="1">IF(OR(INDEX($W$2:$W$1001,MATCH(ROWS($V$2:V910),$V$2:$V$1001,0),1)&gt;=100000,INDEX($AC$1005:$AS$1005,1,MATCH(COLUMNS($AC$1006:AS1006),$AC$1006:$AS$1006,0))&gt;=100000), " ",IF(INDEX($AC$2:$AS$1001,MATCH(ROWS($V$2:V910),$V$2:$V$1001,0),MATCH(COLUMNS($AC$1006:AS1006),$AC$1006:$AS$1006,0)), HYPERLINK("#",""), HYPERLINK(CONCATENATE("#metadata!", ADDRESS(INDEX($X$2:$X$1001,MATCH(ROWS($V$2:V910),$V$2:$V$1001,0),0), INDEX($AC$1004:$AS$1004,1,MATCH(COLUMNS($AC$1006:AS1006),$AC$1006:$AS$1006,0)))),"Fix")))</f>
        <v xml:space="preserve"> </v>
      </c>
      <c r="V910">
        <v>909</v>
      </c>
      <c r="W910">
        <v>100910</v>
      </c>
      <c r="X910">
        <v>910</v>
      </c>
      <c r="Y910" t="b">
        <f t="shared" si="14"/>
        <v>1</v>
      </c>
      <c r="Z910" t="b">
        <f>COUNTBLANK(metadata!B910:R910)=COLUMNS(metadata!B910:R910)</f>
        <v>1</v>
      </c>
      <c r="AA910" t="str">
        <v/>
      </c>
      <c r="AC910" t="b">
        <f ca="1"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AD910" t="b">
        <f>IF(metadata!C910="",FALSE,ISNUMBER(VALUE(metadata!C910)))</f>
        <v>0</v>
      </c>
      <c r="AE910" t="b">
        <f>AND(IF(metadata!D910="",FALSE,TRUE),EXACT(metadata!D910,"years"))</f>
        <v>0</v>
      </c>
      <c r="AF910" t="b">
        <f>OR(AND(IF(metadata!E910="",FALSE,TRUE),OR(EXACT(metadata!E910,"not applicable"),EXACT(metadata!E910,"missing: not collected"),EXACT(metadata!E910,"missing: not provided"),EXACT(metadata!E910,"missing: restricted access"))),AND(IF(metadata!E910="",FALSE,ISNUMBER(VALUE(metadata!E910))),metadata!E910&gt;0))</f>
        <v>0</v>
      </c>
      <c r="AG910" t="b">
        <f>AND(IF(metadata!F910="",FALSE,TRUE),EXACT(metadata!F910,"Not applicable"))</f>
        <v>0</v>
      </c>
      <c r="AH910" t="b">
        <f>AND(IF(metadata!G910="",FALSE,TRUE),EXACT(metadata!G910,"urban biome"))</f>
        <v>0</v>
      </c>
      <c r="AI910" t="b">
        <f>AND(IF(metadata!H910="",FALSE,TRUE),EXACT(metadata!H910,"human-associated habitat"))</f>
        <v>0</v>
      </c>
      <c r="AJ910" t="b">
        <f>AND(IF(metadata!I910="",FALSE,TRUE),OR(EXACT(metadata!I910,"human-associated"),EXACT(metadata!I910,"human-skin"),EXACT(metadata!I910,"human-oral"),EXACT(metadata!I910,"human-gut"),EXACT(metadata!I910,"human-vaginal")))</f>
        <v>0</v>
      </c>
      <c r="AK910" t="b">
        <f>IF(metadata!J910="",FALSE,ISNUMBER(VALUE(metadata!J910)))</f>
        <v>0</v>
      </c>
      <c r="AL910" t="b">
        <f>AND(IF(metadata!K910="",FALSE,TRUE),EXACT(metadata!K910,"cm"))</f>
        <v>0</v>
      </c>
      <c r="AM910" t="b">
        <f>AND(IF(metadata!L910="",FALSE,TRUE),EXACT(metadata!L910,"human"))</f>
        <v>0</v>
      </c>
      <c r="AN910" t="b">
        <f>AND(IF(metadata!M910="",FALSE,TRUE),EXACT(metadata!M910,"Homo sapiens"))</f>
        <v>0</v>
      </c>
      <c r="AO910" t="b">
        <f>AND(IF(metadata!N910="",FALSE,TRUE),EXACT(metadata!N910,"9606"))</f>
        <v>0</v>
      </c>
      <c r="AP910" t="b">
        <f>IF(metadata!O910="",FALSE,TRUE)</f>
        <v>0</v>
      </c>
      <c r="AQ910" t="b">
        <f>IF(metadata!P910="",FALSE,TRUE)</f>
        <v>0</v>
      </c>
      <c r="AR910" t="b">
        <f>IF(metadata!Q910="",FALSE,ISNUMBER(VALUE(metadata!Q910)))</f>
        <v>0</v>
      </c>
      <c r="AS910" t="b">
        <f>AND(IF(metadata!R910="",FALSE,TRUE),EXACT(metadata!R910,"kg"))</f>
        <v>0</v>
      </c>
    </row>
    <row r="911" spans="1:45" x14ac:dyDescent="0.2">
      <c r="A911" s="5" t="str">
        <f ca="1">IF(B911=" "," ",HYPERLINK(CONCATENATE("#metadata!",ADDRESS(INDEX($X$2:$X$1001,MATCH(ROWS($V$2:V911),$V$2:$V$1001,0),0),1)),INDEX($AA$2:$AA$1001,MATCH(ROWS($V$2:V911),$V$2:$V$1001,0),0)))</f>
        <v xml:space="preserve"> </v>
      </c>
      <c r="B911" s="4" t="str">
        <f ca="1">IF(OR(INDEX($W$2:$W$1001,MATCH(ROWS($V$2:V911),$V$2:$V$1001,0),1)&gt;=100000,INDEX($AC$1005:$AS$1005,1,MATCH(COLUMNS($AC$1006:AC1006),$AC$1006:$AS$1006,0))&gt;=100000), " ",IF(INDEX($AC$2:$AS$1001,MATCH(ROWS($V$2:V911),$V$2:$V$1001,0),MATCH(COLUMNS($AC$1006:AC1006),$AC$1006:$AS$1006,0)), HYPERLINK("#",""), HYPERLINK(CONCATENATE("#metadata!", ADDRESS(INDEX($X$2:$X$1001,MATCH(ROWS($V$2:V911),$V$2:$V$1001,0),0), INDEX($AC$1004:$AS$1004,1,MATCH(COLUMNS($AC$1006:AC1006),$AC$1006:$AS$1006,0)))),"Fix")))</f>
        <v xml:space="preserve"> </v>
      </c>
      <c r="C911" s="4" t="str">
        <f ca="1">IF(OR(INDEX($W$2:$W$1001,MATCH(ROWS($V$2:V911),$V$2:$V$1001,0),1)&gt;=100000,INDEX($AC$1005:$AS$1005,1,MATCH(COLUMNS($AC$1006:AD1006),$AC$1006:$AS$1006,0))&gt;=100000), " ",IF(INDEX($AC$2:$AS$1001,MATCH(ROWS($V$2:V911),$V$2:$V$1001,0),MATCH(COLUMNS($AC$1006:AD1006),$AC$1006:$AS$1006,0)), HYPERLINK("#",""), HYPERLINK(CONCATENATE("#metadata!", ADDRESS(INDEX($X$2:$X$1001,MATCH(ROWS($V$2:V911),$V$2:$V$1001,0),0), INDEX($AC$1004:$AS$1004,1,MATCH(COLUMNS($AC$1006:AD1006),$AC$1006:$AS$1006,0)))),"Fix")))</f>
        <v xml:space="preserve"> </v>
      </c>
      <c r="D911" s="4" t="str">
        <f ca="1">IF(OR(INDEX($W$2:$W$1001,MATCH(ROWS($V$2:V911),$V$2:$V$1001,0),1)&gt;=100000,INDEX($AC$1005:$AS$1005,1,MATCH(COLUMNS($AC$1006:AE1006),$AC$1006:$AS$1006,0))&gt;=100000), " ",IF(INDEX($AC$2:$AS$1001,MATCH(ROWS($V$2:V911),$V$2:$V$1001,0),MATCH(COLUMNS($AC$1006:AE1006),$AC$1006:$AS$1006,0)), HYPERLINK("#",""), HYPERLINK(CONCATENATE("#metadata!", ADDRESS(INDEX($X$2:$X$1001,MATCH(ROWS($V$2:V911),$V$2:$V$1001,0),0), INDEX($AC$1004:$AS$1004,1,MATCH(COLUMNS($AC$1006:AE1006),$AC$1006:$AS$1006,0)))),"Fix")))</f>
        <v xml:space="preserve"> </v>
      </c>
      <c r="E911" s="4" t="str">
        <f ca="1">IF(OR(INDEX($W$2:$W$1001,MATCH(ROWS($V$2:V911),$V$2:$V$1001,0),1)&gt;=100000,INDEX($AC$1005:$AS$1005,1,MATCH(COLUMNS($AC$1006:AF1006),$AC$1006:$AS$1006,0))&gt;=100000), " ",IF(INDEX($AC$2:$AS$1001,MATCH(ROWS($V$2:V911),$V$2:$V$1001,0),MATCH(COLUMNS($AC$1006:AF1006),$AC$1006:$AS$1006,0)), HYPERLINK("#",""), HYPERLINK(CONCATENATE("#metadata!", ADDRESS(INDEX($X$2:$X$1001,MATCH(ROWS($V$2:V911),$V$2:$V$1001,0),0), INDEX($AC$1004:$AS$1004,1,MATCH(COLUMNS($AC$1006:AF1006),$AC$1006:$AS$1006,0)))),"Fix")))</f>
        <v xml:space="preserve"> </v>
      </c>
      <c r="F911" s="4" t="str">
        <f ca="1">IF(OR(INDEX($W$2:$W$1001,MATCH(ROWS($V$2:V911),$V$2:$V$1001,0),1)&gt;=100000,INDEX($AC$1005:$AS$1005,1,MATCH(COLUMNS($AC$1006:AG1006),$AC$1006:$AS$1006,0))&gt;=100000), " ",IF(INDEX($AC$2:$AS$1001,MATCH(ROWS($V$2:V911),$V$2:$V$1001,0),MATCH(COLUMNS($AC$1006:AG1006),$AC$1006:$AS$1006,0)), HYPERLINK("#",""), HYPERLINK(CONCATENATE("#metadata!", ADDRESS(INDEX($X$2:$X$1001,MATCH(ROWS($V$2:V911),$V$2:$V$1001,0),0), INDEX($AC$1004:$AS$1004,1,MATCH(COLUMNS($AC$1006:AG1006),$AC$1006:$AS$1006,0)))),"Fix")))</f>
        <v xml:space="preserve"> </v>
      </c>
      <c r="G911" s="4" t="str">
        <f ca="1">IF(OR(INDEX($W$2:$W$1001,MATCH(ROWS($V$2:V911),$V$2:$V$1001,0),1)&gt;=100000,INDEX($AC$1005:$AS$1005,1,MATCH(COLUMNS($AC$1006:AH1006),$AC$1006:$AS$1006,0))&gt;=100000), " ",IF(INDEX($AC$2:$AS$1001,MATCH(ROWS($V$2:V911),$V$2:$V$1001,0),MATCH(COLUMNS($AC$1006:AH1006),$AC$1006:$AS$1006,0)), HYPERLINK("#",""), HYPERLINK(CONCATENATE("#metadata!", ADDRESS(INDEX($X$2:$X$1001,MATCH(ROWS($V$2:V911),$V$2:$V$1001,0),0), INDEX($AC$1004:$AS$1004,1,MATCH(COLUMNS($AC$1006:AH1006),$AC$1006:$AS$1006,0)))),"Fix")))</f>
        <v xml:space="preserve"> </v>
      </c>
      <c r="H911" s="4" t="str">
        <f ca="1">IF(OR(INDEX($W$2:$W$1001,MATCH(ROWS($V$2:V911),$V$2:$V$1001,0),1)&gt;=100000,INDEX($AC$1005:$AS$1005,1,MATCH(COLUMNS($AC$1006:AI1006),$AC$1006:$AS$1006,0))&gt;=100000), " ",IF(INDEX($AC$2:$AS$1001,MATCH(ROWS($V$2:V911),$V$2:$V$1001,0),MATCH(COLUMNS($AC$1006:AI1006),$AC$1006:$AS$1006,0)), HYPERLINK("#",""), HYPERLINK(CONCATENATE("#metadata!", ADDRESS(INDEX($X$2:$X$1001,MATCH(ROWS($V$2:V911),$V$2:$V$1001,0),0), INDEX($AC$1004:$AS$1004,1,MATCH(COLUMNS($AC$1006:AI1006),$AC$1006:$AS$1006,0)))),"Fix")))</f>
        <v xml:space="preserve"> </v>
      </c>
      <c r="I911" s="4" t="str">
        <f ca="1">IF(OR(INDEX($W$2:$W$1001,MATCH(ROWS($V$2:V911),$V$2:$V$1001,0),1)&gt;=100000,INDEX($AC$1005:$AS$1005,1,MATCH(COLUMNS($AC$1006:AJ1006),$AC$1006:$AS$1006,0))&gt;=100000), " ",IF(INDEX($AC$2:$AS$1001,MATCH(ROWS($V$2:V911),$V$2:$V$1001,0),MATCH(COLUMNS($AC$1006:AJ1006),$AC$1006:$AS$1006,0)), HYPERLINK("#",""), HYPERLINK(CONCATENATE("#metadata!", ADDRESS(INDEX($X$2:$X$1001,MATCH(ROWS($V$2:V911),$V$2:$V$1001,0),0), INDEX($AC$1004:$AS$1004,1,MATCH(COLUMNS($AC$1006:AJ1006),$AC$1006:$AS$1006,0)))),"Fix")))</f>
        <v xml:space="preserve"> </v>
      </c>
      <c r="J911" s="4" t="str">
        <f ca="1">IF(OR(INDEX($W$2:$W$1001,MATCH(ROWS($V$2:V911),$V$2:$V$1001,0),1)&gt;=100000,INDEX($AC$1005:$AS$1005,1,MATCH(COLUMNS($AC$1006:AK1006),$AC$1006:$AS$1006,0))&gt;=100000), " ",IF(INDEX($AC$2:$AS$1001,MATCH(ROWS($V$2:V911),$V$2:$V$1001,0),MATCH(COLUMNS($AC$1006:AK1006),$AC$1006:$AS$1006,0)), HYPERLINK("#",""), HYPERLINK(CONCATENATE("#metadata!", ADDRESS(INDEX($X$2:$X$1001,MATCH(ROWS($V$2:V911),$V$2:$V$1001,0),0), INDEX($AC$1004:$AS$1004,1,MATCH(COLUMNS($AC$1006:AK1006),$AC$1006:$AS$1006,0)))),"Fix")))</f>
        <v xml:space="preserve"> </v>
      </c>
      <c r="K911" s="4" t="str">
        <f ca="1">IF(OR(INDEX($W$2:$W$1001,MATCH(ROWS($V$2:V911),$V$2:$V$1001,0),1)&gt;=100000,INDEX($AC$1005:$AS$1005,1,MATCH(COLUMNS($AC$1006:AL1006),$AC$1006:$AS$1006,0))&gt;=100000), " ",IF(INDEX($AC$2:$AS$1001,MATCH(ROWS($V$2:V911),$V$2:$V$1001,0),MATCH(COLUMNS($AC$1006:AL1006),$AC$1006:$AS$1006,0)), HYPERLINK("#",""), HYPERLINK(CONCATENATE("#metadata!", ADDRESS(INDEX($X$2:$X$1001,MATCH(ROWS($V$2:V911),$V$2:$V$1001,0),0), INDEX($AC$1004:$AS$1004,1,MATCH(COLUMNS($AC$1006:AL1006),$AC$1006:$AS$1006,0)))),"Fix")))</f>
        <v xml:space="preserve"> </v>
      </c>
      <c r="L911" s="4" t="str">
        <f ca="1">IF(OR(INDEX($W$2:$W$1001,MATCH(ROWS($V$2:V911),$V$2:$V$1001,0),1)&gt;=100000,INDEX($AC$1005:$AS$1005,1,MATCH(COLUMNS($AC$1006:AM1006),$AC$1006:$AS$1006,0))&gt;=100000), " ",IF(INDEX($AC$2:$AS$1001,MATCH(ROWS($V$2:V911),$V$2:$V$1001,0),MATCH(COLUMNS($AC$1006:AM1006),$AC$1006:$AS$1006,0)), HYPERLINK("#",""), HYPERLINK(CONCATENATE("#metadata!", ADDRESS(INDEX($X$2:$X$1001,MATCH(ROWS($V$2:V911),$V$2:$V$1001,0),0), INDEX($AC$1004:$AS$1004,1,MATCH(COLUMNS($AC$1006:AM1006),$AC$1006:$AS$1006,0)))),"Fix")))</f>
        <v xml:space="preserve"> </v>
      </c>
      <c r="M911" s="4" t="str">
        <f ca="1">IF(OR(INDEX($W$2:$W$1001,MATCH(ROWS($V$2:V911),$V$2:$V$1001,0),1)&gt;=100000,INDEX($AC$1005:$AS$1005,1,MATCH(COLUMNS($AC$1006:AN1006),$AC$1006:$AS$1006,0))&gt;=100000), " ",IF(INDEX($AC$2:$AS$1001,MATCH(ROWS($V$2:V911),$V$2:$V$1001,0),MATCH(COLUMNS($AC$1006:AN1006),$AC$1006:$AS$1006,0)), HYPERLINK("#",""), HYPERLINK(CONCATENATE("#metadata!", ADDRESS(INDEX($X$2:$X$1001,MATCH(ROWS($V$2:V911),$V$2:$V$1001,0),0), INDEX($AC$1004:$AS$1004,1,MATCH(COLUMNS($AC$1006:AN1006),$AC$1006:$AS$1006,0)))),"Fix")))</f>
        <v xml:space="preserve"> </v>
      </c>
      <c r="N911" s="4" t="str">
        <f ca="1">IF(OR(INDEX($W$2:$W$1001,MATCH(ROWS($V$2:V911),$V$2:$V$1001,0),1)&gt;=100000,INDEX($AC$1005:$AS$1005,1,MATCH(COLUMNS($AC$1006:AO1006),$AC$1006:$AS$1006,0))&gt;=100000), " ",IF(INDEX($AC$2:$AS$1001,MATCH(ROWS($V$2:V911),$V$2:$V$1001,0),MATCH(COLUMNS($AC$1006:AO1006),$AC$1006:$AS$1006,0)), HYPERLINK("#",""), HYPERLINK(CONCATENATE("#metadata!", ADDRESS(INDEX($X$2:$X$1001,MATCH(ROWS($V$2:V911),$V$2:$V$1001,0),0), INDEX($AC$1004:$AS$1004,1,MATCH(COLUMNS($AC$1006:AO1006),$AC$1006:$AS$1006,0)))),"Fix")))</f>
        <v xml:space="preserve"> </v>
      </c>
      <c r="O911" s="4" t="str">
        <f ca="1">IF(OR(INDEX($W$2:$W$1001,MATCH(ROWS($V$2:V911),$V$2:$V$1001,0),1)&gt;=100000,INDEX($AC$1005:$AS$1005,1,MATCH(COLUMNS($AC$1006:AP1006),$AC$1006:$AS$1006,0))&gt;=100000), " ",IF(INDEX($AC$2:$AS$1001,MATCH(ROWS($V$2:V911),$V$2:$V$1001,0),MATCH(COLUMNS($AC$1006:AP1006),$AC$1006:$AS$1006,0)), HYPERLINK("#",""), HYPERLINK(CONCATENATE("#metadata!", ADDRESS(INDEX($X$2:$X$1001,MATCH(ROWS($V$2:V911),$V$2:$V$1001,0),0), INDEX($AC$1004:$AS$1004,1,MATCH(COLUMNS($AC$1006:AP1006),$AC$1006:$AS$1006,0)))),"Fix")))</f>
        <v xml:space="preserve"> </v>
      </c>
      <c r="P911" s="4" t="str">
        <f ca="1">IF(OR(INDEX($W$2:$W$1001,MATCH(ROWS($V$2:V911),$V$2:$V$1001,0),1)&gt;=100000,INDEX($AC$1005:$AS$1005,1,MATCH(COLUMNS($AC$1006:AQ1006),$AC$1006:$AS$1006,0))&gt;=100000), " ",IF(INDEX($AC$2:$AS$1001,MATCH(ROWS($V$2:V911),$V$2:$V$1001,0),MATCH(COLUMNS($AC$1006:AQ1006),$AC$1006:$AS$1006,0)), HYPERLINK("#",""), HYPERLINK(CONCATENATE("#metadata!", ADDRESS(INDEX($X$2:$X$1001,MATCH(ROWS($V$2:V911),$V$2:$V$1001,0),0), INDEX($AC$1004:$AS$1004,1,MATCH(COLUMNS($AC$1006:AQ1006),$AC$1006:$AS$1006,0)))),"Fix")))</f>
        <v xml:space="preserve"> </v>
      </c>
      <c r="Q911" s="4" t="str">
        <f ca="1">IF(OR(INDEX($W$2:$W$1001,MATCH(ROWS($V$2:V911),$V$2:$V$1001,0),1)&gt;=100000,INDEX($AC$1005:$AS$1005,1,MATCH(COLUMNS($AC$1006:AR1006),$AC$1006:$AS$1006,0))&gt;=100000), " ",IF(INDEX($AC$2:$AS$1001,MATCH(ROWS($V$2:V911),$V$2:$V$1001,0),MATCH(COLUMNS($AC$1006:AR1006),$AC$1006:$AS$1006,0)), HYPERLINK("#",""), HYPERLINK(CONCATENATE("#metadata!", ADDRESS(INDEX($X$2:$X$1001,MATCH(ROWS($V$2:V911),$V$2:$V$1001,0),0), INDEX($AC$1004:$AS$1004,1,MATCH(COLUMNS($AC$1006:AR1006),$AC$1006:$AS$1006,0)))),"Fix")))</f>
        <v xml:space="preserve"> </v>
      </c>
      <c r="R911" s="4" t="str">
        <f ca="1">IF(OR(INDEX($W$2:$W$1001,MATCH(ROWS($V$2:V911),$V$2:$V$1001,0),1)&gt;=100000,INDEX($AC$1005:$AS$1005,1,MATCH(COLUMNS($AC$1006:AS1006),$AC$1006:$AS$1006,0))&gt;=100000), " ",IF(INDEX($AC$2:$AS$1001,MATCH(ROWS($V$2:V911),$V$2:$V$1001,0),MATCH(COLUMNS($AC$1006:AS1006),$AC$1006:$AS$1006,0)), HYPERLINK("#",""), HYPERLINK(CONCATENATE("#metadata!", ADDRESS(INDEX($X$2:$X$1001,MATCH(ROWS($V$2:V911),$V$2:$V$1001,0),0), INDEX($AC$1004:$AS$1004,1,MATCH(COLUMNS($AC$1006:AS1006),$AC$1006:$AS$1006,0)))),"Fix")))</f>
        <v xml:space="preserve"> </v>
      </c>
      <c r="V911">
        <v>910</v>
      </c>
      <c r="W911">
        <v>100911</v>
      </c>
      <c r="X911">
        <v>911</v>
      </c>
      <c r="Y911" t="b">
        <f t="shared" si="14"/>
        <v>1</v>
      </c>
      <c r="Z911" t="b">
        <f>COUNTBLANK(metadata!B911:R911)=COLUMNS(metadata!B911:R911)</f>
        <v>1</v>
      </c>
      <c r="AA911" t="str">
        <v/>
      </c>
      <c r="AC911" t="b">
        <f ca="1"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AD911" t="b">
        <f>IF(metadata!C911="",FALSE,ISNUMBER(VALUE(metadata!C911)))</f>
        <v>0</v>
      </c>
      <c r="AE911" t="b">
        <f>AND(IF(metadata!D911="",FALSE,TRUE),EXACT(metadata!D911,"years"))</f>
        <v>0</v>
      </c>
      <c r="AF911" t="b">
        <f>OR(AND(IF(metadata!E911="",FALSE,TRUE),OR(EXACT(metadata!E911,"not applicable"),EXACT(metadata!E911,"missing: not collected"),EXACT(metadata!E911,"missing: not provided"),EXACT(metadata!E911,"missing: restricted access"))),AND(IF(metadata!E911="",FALSE,ISNUMBER(VALUE(metadata!E911))),metadata!E911&gt;0))</f>
        <v>0</v>
      </c>
      <c r="AG911" t="b">
        <f>AND(IF(metadata!F911="",FALSE,TRUE),EXACT(metadata!F911,"Not applicable"))</f>
        <v>0</v>
      </c>
      <c r="AH911" t="b">
        <f>AND(IF(metadata!G911="",FALSE,TRUE),EXACT(metadata!G911,"urban biome"))</f>
        <v>0</v>
      </c>
      <c r="AI911" t="b">
        <f>AND(IF(metadata!H911="",FALSE,TRUE),EXACT(metadata!H911,"human-associated habitat"))</f>
        <v>0</v>
      </c>
      <c r="AJ911" t="b">
        <f>AND(IF(metadata!I911="",FALSE,TRUE),OR(EXACT(metadata!I911,"human-associated"),EXACT(metadata!I911,"human-skin"),EXACT(metadata!I911,"human-oral"),EXACT(metadata!I911,"human-gut"),EXACT(metadata!I911,"human-vaginal")))</f>
        <v>0</v>
      </c>
      <c r="AK911" t="b">
        <f>IF(metadata!J911="",FALSE,ISNUMBER(VALUE(metadata!J911)))</f>
        <v>0</v>
      </c>
      <c r="AL911" t="b">
        <f>AND(IF(metadata!K911="",FALSE,TRUE),EXACT(metadata!K911,"cm"))</f>
        <v>0</v>
      </c>
      <c r="AM911" t="b">
        <f>AND(IF(metadata!L911="",FALSE,TRUE),EXACT(metadata!L911,"human"))</f>
        <v>0</v>
      </c>
      <c r="AN911" t="b">
        <f>AND(IF(metadata!M911="",FALSE,TRUE),EXACT(metadata!M911,"Homo sapiens"))</f>
        <v>0</v>
      </c>
      <c r="AO911" t="b">
        <f>AND(IF(metadata!N911="",FALSE,TRUE),EXACT(metadata!N911,"9606"))</f>
        <v>0</v>
      </c>
      <c r="AP911" t="b">
        <f>IF(metadata!O911="",FALSE,TRUE)</f>
        <v>0</v>
      </c>
      <c r="AQ911" t="b">
        <f>IF(metadata!P911="",FALSE,TRUE)</f>
        <v>0</v>
      </c>
      <c r="AR911" t="b">
        <f>IF(metadata!Q911="",FALSE,ISNUMBER(VALUE(metadata!Q911)))</f>
        <v>0</v>
      </c>
      <c r="AS911" t="b">
        <f>AND(IF(metadata!R911="",FALSE,TRUE),EXACT(metadata!R911,"kg"))</f>
        <v>0</v>
      </c>
    </row>
    <row r="912" spans="1:45" x14ac:dyDescent="0.2">
      <c r="A912" s="5" t="str">
        <f ca="1">IF(B912=" "," ",HYPERLINK(CONCATENATE("#metadata!",ADDRESS(INDEX($X$2:$X$1001,MATCH(ROWS($V$2:V912),$V$2:$V$1001,0),0),1)),INDEX($AA$2:$AA$1001,MATCH(ROWS($V$2:V912),$V$2:$V$1001,0),0)))</f>
        <v xml:space="preserve"> </v>
      </c>
      <c r="B912" s="4" t="str">
        <f ca="1">IF(OR(INDEX($W$2:$W$1001,MATCH(ROWS($V$2:V912),$V$2:$V$1001,0),1)&gt;=100000,INDEX($AC$1005:$AS$1005,1,MATCH(COLUMNS($AC$1006:AC1006),$AC$1006:$AS$1006,0))&gt;=100000), " ",IF(INDEX($AC$2:$AS$1001,MATCH(ROWS($V$2:V912),$V$2:$V$1001,0),MATCH(COLUMNS($AC$1006:AC1006),$AC$1006:$AS$1006,0)), HYPERLINK("#",""), HYPERLINK(CONCATENATE("#metadata!", ADDRESS(INDEX($X$2:$X$1001,MATCH(ROWS($V$2:V912),$V$2:$V$1001,0),0), INDEX($AC$1004:$AS$1004,1,MATCH(COLUMNS($AC$1006:AC1006),$AC$1006:$AS$1006,0)))),"Fix")))</f>
        <v xml:space="preserve"> </v>
      </c>
      <c r="C912" s="4" t="str">
        <f ca="1">IF(OR(INDEX($W$2:$W$1001,MATCH(ROWS($V$2:V912),$V$2:$V$1001,0),1)&gt;=100000,INDEX($AC$1005:$AS$1005,1,MATCH(COLUMNS($AC$1006:AD1006),$AC$1006:$AS$1006,0))&gt;=100000), " ",IF(INDEX($AC$2:$AS$1001,MATCH(ROWS($V$2:V912),$V$2:$V$1001,0),MATCH(COLUMNS($AC$1006:AD1006),$AC$1006:$AS$1006,0)), HYPERLINK("#",""), HYPERLINK(CONCATENATE("#metadata!", ADDRESS(INDEX($X$2:$X$1001,MATCH(ROWS($V$2:V912),$V$2:$V$1001,0),0), INDEX($AC$1004:$AS$1004,1,MATCH(COLUMNS($AC$1006:AD1006),$AC$1006:$AS$1006,0)))),"Fix")))</f>
        <v xml:space="preserve"> </v>
      </c>
      <c r="D912" s="4" t="str">
        <f ca="1">IF(OR(INDEX($W$2:$W$1001,MATCH(ROWS($V$2:V912),$V$2:$V$1001,0),1)&gt;=100000,INDEX($AC$1005:$AS$1005,1,MATCH(COLUMNS($AC$1006:AE1006),$AC$1006:$AS$1006,0))&gt;=100000), " ",IF(INDEX($AC$2:$AS$1001,MATCH(ROWS($V$2:V912),$V$2:$V$1001,0),MATCH(COLUMNS($AC$1006:AE1006),$AC$1006:$AS$1006,0)), HYPERLINK("#",""), HYPERLINK(CONCATENATE("#metadata!", ADDRESS(INDEX($X$2:$X$1001,MATCH(ROWS($V$2:V912),$V$2:$V$1001,0),0), INDEX($AC$1004:$AS$1004,1,MATCH(COLUMNS($AC$1006:AE1006),$AC$1006:$AS$1006,0)))),"Fix")))</f>
        <v xml:space="preserve"> </v>
      </c>
      <c r="E912" s="4" t="str">
        <f ca="1">IF(OR(INDEX($W$2:$W$1001,MATCH(ROWS($V$2:V912),$V$2:$V$1001,0),1)&gt;=100000,INDEX($AC$1005:$AS$1005,1,MATCH(COLUMNS($AC$1006:AF1006),$AC$1006:$AS$1006,0))&gt;=100000), " ",IF(INDEX($AC$2:$AS$1001,MATCH(ROWS($V$2:V912),$V$2:$V$1001,0),MATCH(COLUMNS($AC$1006:AF1006),$AC$1006:$AS$1006,0)), HYPERLINK("#",""), HYPERLINK(CONCATENATE("#metadata!", ADDRESS(INDEX($X$2:$X$1001,MATCH(ROWS($V$2:V912),$V$2:$V$1001,0),0), INDEX($AC$1004:$AS$1004,1,MATCH(COLUMNS($AC$1006:AF1006),$AC$1006:$AS$1006,0)))),"Fix")))</f>
        <v xml:space="preserve"> </v>
      </c>
      <c r="F912" s="4" t="str">
        <f ca="1">IF(OR(INDEX($W$2:$W$1001,MATCH(ROWS($V$2:V912),$V$2:$V$1001,0),1)&gt;=100000,INDEX($AC$1005:$AS$1005,1,MATCH(COLUMNS($AC$1006:AG1006),$AC$1006:$AS$1006,0))&gt;=100000), " ",IF(INDEX($AC$2:$AS$1001,MATCH(ROWS($V$2:V912),$V$2:$V$1001,0),MATCH(COLUMNS($AC$1006:AG1006),$AC$1006:$AS$1006,0)), HYPERLINK("#",""), HYPERLINK(CONCATENATE("#metadata!", ADDRESS(INDEX($X$2:$X$1001,MATCH(ROWS($V$2:V912),$V$2:$V$1001,0),0), INDEX($AC$1004:$AS$1004,1,MATCH(COLUMNS($AC$1006:AG1006),$AC$1006:$AS$1006,0)))),"Fix")))</f>
        <v xml:space="preserve"> </v>
      </c>
      <c r="G912" s="4" t="str">
        <f ca="1">IF(OR(INDEX($W$2:$W$1001,MATCH(ROWS($V$2:V912),$V$2:$V$1001,0),1)&gt;=100000,INDEX($AC$1005:$AS$1005,1,MATCH(COLUMNS($AC$1006:AH1006),$AC$1006:$AS$1006,0))&gt;=100000), " ",IF(INDEX($AC$2:$AS$1001,MATCH(ROWS($V$2:V912),$V$2:$V$1001,0),MATCH(COLUMNS($AC$1006:AH1006),$AC$1006:$AS$1006,0)), HYPERLINK("#",""), HYPERLINK(CONCATENATE("#metadata!", ADDRESS(INDEX($X$2:$X$1001,MATCH(ROWS($V$2:V912),$V$2:$V$1001,0),0), INDEX($AC$1004:$AS$1004,1,MATCH(COLUMNS($AC$1006:AH1006),$AC$1006:$AS$1006,0)))),"Fix")))</f>
        <v xml:space="preserve"> </v>
      </c>
      <c r="H912" s="4" t="str">
        <f ca="1">IF(OR(INDEX($W$2:$W$1001,MATCH(ROWS($V$2:V912),$V$2:$V$1001,0),1)&gt;=100000,INDEX($AC$1005:$AS$1005,1,MATCH(COLUMNS($AC$1006:AI1006),$AC$1006:$AS$1006,0))&gt;=100000), " ",IF(INDEX($AC$2:$AS$1001,MATCH(ROWS($V$2:V912),$V$2:$V$1001,0),MATCH(COLUMNS($AC$1006:AI1006),$AC$1006:$AS$1006,0)), HYPERLINK("#",""), HYPERLINK(CONCATENATE("#metadata!", ADDRESS(INDEX($X$2:$X$1001,MATCH(ROWS($V$2:V912),$V$2:$V$1001,0),0), INDEX($AC$1004:$AS$1004,1,MATCH(COLUMNS($AC$1006:AI1006),$AC$1006:$AS$1006,0)))),"Fix")))</f>
        <v xml:space="preserve"> </v>
      </c>
      <c r="I912" s="4" t="str">
        <f ca="1">IF(OR(INDEX($W$2:$W$1001,MATCH(ROWS($V$2:V912),$V$2:$V$1001,0),1)&gt;=100000,INDEX($AC$1005:$AS$1005,1,MATCH(COLUMNS($AC$1006:AJ1006),$AC$1006:$AS$1006,0))&gt;=100000), " ",IF(INDEX($AC$2:$AS$1001,MATCH(ROWS($V$2:V912),$V$2:$V$1001,0),MATCH(COLUMNS($AC$1006:AJ1006),$AC$1006:$AS$1006,0)), HYPERLINK("#",""), HYPERLINK(CONCATENATE("#metadata!", ADDRESS(INDEX($X$2:$X$1001,MATCH(ROWS($V$2:V912),$V$2:$V$1001,0),0), INDEX($AC$1004:$AS$1004,1,MATCH(COLUMNS($AC$1006:AJ1006),$AC$1006:$AS$1006,0)))),"Fix")))</f>
        <v xml:space="preserve"> </v>
      </c>
      <c r="J912" s="4" t="str">
        <f ca="1">IF(OR(INDEX($W$2:$W$1001,MATCH(ROWS($V$2:V912),$V$2:$V$1001,0),1)&gt;=100000,INDEX($AC$1005:$AS$1005,1,MATCH(COLUMNS($AC$1006:AK1006),$AC$1006:$AS$1006,0))&gt;=100000), " ",IF(INDEX($AC$2:$AS$1001,MATCH(ROWS($V$2:V912),$V$2:$V$1001,0),MATCH(COLUMNS($AC$1006:AK1006),$AC$1006:$AS$1006,0)), HYPERLINK("#",""), HYPERLINK(CONCATENATE("#metadata!", ADDRESS(INDEX($X$2:$X$1001,MATCH(ROWS($V$2:V912),$V$2:$V$1001,0),0), INDEX($AC$1004:$AS$1004,1,MATCH(COLUMNS($AC$1006:AK1006),$AC$1006:$AS$1006,0)))),"Fix")))</f>
        <v xml:space="preserve"> </v>
      </c>
      <c r="K912" s="4" t="str">
        <f ca="1">IF(OR(INDEX($W$2:$W$1001,MATCH(ROWS($V$2:V912),$V$2:$V$1001,0),1)&gt;=100000,INDEX($AC$1005:$AS$1005,1,MATCH(COLUMNS($AC$1006:AL1006),$AC$1006:$AS$1006,0))&gt;=100000), " ",IF(INDEX($AC$2:$AS$1001,MATCH(ROWS($V$2:V912),$V$2:$V$1001,0),MATCH(COLUMNS($AC$1006:AL1006),$AC$1006:$AS$1006,0)), HYPERLINK("#",""), HYPERLINK(CONCATENATE("#metadata!", ADDRESS(INDEX($X$2:$X$1001,MATCH(ROWS($V$2:V912),$V$2:$V$1001,0),0), INDEX($AC$1004:$AS$1004,1,MATCH(COLUMNS($AC$1006:AL1006),$AC$1006:$AS$1006,0)))),"Fix")))</f>
        <v xml:space="preserve"> </v>
      </c>
      <c r="L912" s="4" t="str">
        <f ca="1">IF(OR(INDEX($W$2:$W$1001,MATCH(ROWS($V$2:V912),$V$2:$V$1001,0),1)&gt;=100000,INDEX($AC$1005:$AS$1005,1,MATCH(COLUMNS($AC$1006:AM1006),$AC$1006:$AS$1006,0))&gt;=100000), " ",IF(INDEX($AC$2:$AS$1001,MATCH(ROWS($V$2:V912),$V$2:$V$1001,0),MATCH(COLUMNS($AC$1006:AM1006),$AC$1006:$AS$1006,0)), HYPERLINK("#",""), HYPERLINK(CONCATENATE("#metadata!", ADDRESS(INDEX($X$2:$X$1001,MATCH(ROWS($V$2:V912),$V$2:$V$1001,0),0), INDEX($AC$1004:$AS$1004,1,MATCH(COLUMNS($AC$1006:AM1006),$AC$1006:$AS$1006,0)))),"Fix")))</f>
        <v xml:space="preserve"> </v>
      </c>
      <c r="M912" s="4" t="str">
        <f ca="1">IF(OR(INDEX($W$2:$W$1001,MATCH(ROWS($V$2:V912),$V$2:$V$1001,0),1)&gt;=100000,INDEX($AC$1005:$AS$1005,1,MATCH(COLUMNS($AC$1006:AN1006),$AC$1006:$AS$1006,0))&gt;=100000), " ",IF(INDEX($AC$2:$AS$1001,MATCH(ROWS($V$2:V912),$V$2:$V$1001,0),MATCH(COLUMNS($AC$1006:AN1006),$AC$1006:$AS$1006,0)), HYPERLINK("#",""), HYPERLINK(CONCATENATE("#metadata!", ADDRESS(INDEX($X$2:$X$1001,MATCH(ROWS($V$2:V912),$V$2:$V$1001,0),0), INDEX($AC$1004:$AS$1004,1,MATCH(COLUMNS($AC$1006:AN1006),$AC$1006:$AS$1006,0)))),"Fix")))</f>
        <v xml:space="preserve"> </v>
      </c>
      <c r="N912" s="4" t="str">
        <f ca="1">IF(OR(INDEX($W$2:$W$1001,MATCH(ROWS($V$2:V912),$V$2:$V$1001,0),1)&gt;=100000,INDEX($AC$1005:$AS$1005,1,MATCH(COLUMNS($AC$1006:AO1006),$AC$1006:$AS$1006,0))&gt;=100000), " ",IF(INDEX($AC$2:$AS$1001,MATCH(ROWS($V$2:V912),$V$2:$V$1001,0),MATCH(COLUMNS($AC$1006:AO1006),$AC$1006:$AS$1006,0)), HYPERLINK("#",""), HYPERLINK(CONCATENATE("#metadata!", ADDRESS(INDEX($X$2:$X$1001,MATCH(ROWS($V$2:V912),$V$2:$V$1001,0),0), INDEX($AC$1004:$AS$1004,1,MATCH(COLUMNS($AC$1006:AO1006),$AC$1006:$AS$1006,0)))),"Fix")))</f>
        <v xml:space="preserve"> </v>
      </c>
      <c r="O912" s="4" t="str">
        <f ca="1">IF(OR(INDEX($W$2:$W$1001,MATCH(ROWS($V$2:V912),$V$2:$V$1001,0),1)&gt;=100000,INDEX($AC$1005:$AS$1005,1,MATCH(COLUMNS($AC$1006:AP1006),$AC$1006:$AS$1006,0))&gt;=100000), " ",IF(INDEX($AC$2:$AS$1001,MATCH(ROWS($V$2:V912),$V$2:$V$1001,0),MATCH(COLUMNS($AC$1006:AP1006),$AC$1006:$AS$1006,0)), HYPERLINK("#",""), HYPERLINK(CONCATENATE("#metadata!", ADDRESS(INDEX($X$2:$X$1001,MATCH(ROWS($V$2:V912),$V$2:$V$1001,0),0), INDEX($AC$1004:$AS$1004,1,MATCH(COLUMNS($AC$1006:AP1006),$AC$1006:$AS$1006,0)))),"Fix")))</f>
        <v xml:space="preserve"> </v>
      </c>
      <c r="P912" s="4" t="str">
        <f ca="1">IF(OR(INDEX($W$2:$W$1001,MATCH(ROWS($V$2:V912),$V$2:$V$1001,0),1)&gt;=100000,INDEX($AC$1005:$AS$1005,1,MATCH(COLUMNS($AC$1006:AQ1006),$AC$1006:$AS$1006,0))&gt;=100000), " ",IF(INDEX($AC$2:$AS$1001,MATCH(ROWS($V$2:V912),$V$2:$V$1001,0),MATCH(COLUMNS($AC$1006:AQ1006),$AC$1006:$AS$1006,0)), HYPERLINK("#",""), HYPERLINK(CONCATENATE("#metadata!", ADDRESS(INDEX($X$2:$X$1001,MATCH(ROWS($V$2:V912),$V$2:$V$1001,0),0), INDEX($AC$1004:$AS$1004,1,MATCH(COLUMNS($AC$1006:AQ1006),$AC$1006:$AS$1006,0)))),"Fix")))</f>
        <v xml:space="preserve"> </v>
      </c>
      <c r="Q912" s="4" t="str">
        <f ca="1">IF(OR(INDEX($W$2:$W$1001,MATCH(ROWS($V$2:V912),$V$2:$V$1001,0),1)&gt;=100000,INDEX($AC$1005:$AS$1005,1,MATCH(COLUMNS($AC$1006:AR1006),$AC$1006:$AS$1006,0))&gt;=100000), " ",IF(INDEX($AC$2:$AS$1001,MATCH(ROWS($V$2:V912),$V$2:$V$1001,0),MATCH(COLUMNS($AC$1006:AR1006),$AC$1006:$AS$1006,0)), HYPERLINK("#",""), HYPERLINK(CONCATENATE("#metadata!", ADDRESS(INDEX($X$2:$X$1001,MATCH(ROWS($V$2:V912),$V$2:$V$1001,0),0), INDEX($AC$1004:$AS$1004,1,MATCH(COLUMNS($AC$1006:AR1006),$AC$1006:$AS$1006,0)))),"Fix")))</f>
        <v xml:space="preserve"> </v>
      </c>
      <c r="R912" s="4" t="str">
        <f ca="1">IF(OR(INDEX($W$2:$W$1001,MATCH(ROWS($V$2:V912),$V$2:$V$1001,0),1)&gt;=100000,INDEX($AC$1005:$AS$1005,1,MATCH(COLUMNS($AC$1006:AS1006),$AC$1006:$AS$1006,0))&gt;=100000), " ",IF(INDEX($AC$2:$AS$1001,MATCH(ROWS($V$2:V912),$V$2:$V$1001,0),MATCH(COLUMNS($AC$1006:AS1006),$AC$1006:$AS$1006,0)), HYPERLINK("#",""), HYPERLINK(CONCATENATE("#metadata!", ADDRESS(INDEX($X$2:$X$1001,MATCH(ROWS($V$2:V912),$V$2:$V$1001,0),0), INDEX($AC$1004:$AS$1004,1,MATCH(COLUMNS($AC$1006:AS1006),$AC$1006:$AS$1006,0)))),"Fix")))</f>
        <v xml:space="preserve"> </v>
      </c>
      <c r="V912">
        <v>911</v>
      </c>
      <c r="W912">
        <v>100912</v>
      </c>
      <c r="X912">
        <v>912</v>
      </c>
      <c r="Y912" t="b">
        <f t="shared" si="14"/>
        <v>1</v>
      </c>
      <c r="Z912" t="b">
        <f>COUNTBLANK(metadata!B912:R912)=COLUMNS(metadata!B912:R912)</f>
        <v>1</v>
      </c>
      <c r="AA912" t="str">
        <v/>
      </c>
      <c r="AC912" t="b">
        <f ca="1"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AD912" t="b">
        <f>IF(metadata!C912="",FALSE,ISNUMBER(VALUE(metadata!C912)))</f>
        <v>0</v>
      </c>
      <c r="AE912" t="b">
        <f>AND(IF(metadata!D912="",FALSE,TRUE),EXACT(metadata!D912,"years"))</f>
        <v>0</v>
      </c>
      <c r="AF912" t="b">
        <f>OR(AND(IF(metadata!E912="",FALSE,TRUE),OR(EXACT(metadata!E912,"not applicable"),EXACT(metadata!E912,"missing: not collected"),EXACT(metadata!E912,"missing: not provided"),EXACT(metadata!E912,"missing: restricted access"))),AND(IF(metadata!E912="",FALSE,ISNUMBER(VALUE(metadata!E912))),metadata!E912&gt;0))</f>
        <v>0</v>
      </c>
      <c r="AG912" t="b">
        <f>AND(IF(metadata!F912="",FALSE,TRUE),EXACT(metadata!F912,"Not applicable"))</f>
        <v>0</v>
      </c>
      <c r="AH912" t="b">
        <f>AND(IF(metadata!G912="",FALSE,TRUE),EXACT(metadata!G912,"urban biome"))</f>
        <v>0</v>
      </c>
      <c r="AI912" t="b">
        <f>AND(IF(metadata!H912="",FALSE,TRUE),EXACT(metadata!H912,"human-associated habitat"))</f>
        <v>0</v>
      </c>
      <c r="AJ912" t="b">
        <f>AND(IF(metadata!I912="",FALSE,TRUE),OR(EXACT(metadata!I912,"human-associated"),EXACT(metadata!I912,"human-skin"),EXACT(metadata!I912,"human-oral"),EXACT(metadata!I912,"human-gut"),EXACT(metadata!I912,"human-vaginal")))</f>
        <v>0</v>
      </c>
      <c r="AK912" t="b">
        <f>IF(metadata!J912="",FALSE,ISNUMBER(VALUE(metadata!J912)))</f>
        <v>0</v>
      </c>
      <c r="AL912" t="b">
        <f>AND(IF(metadata!K912="",FALSE,TRUE),EXACT(metadata!K912,"cm"))</f>
        <v>0</v>
      </c>
      <c r="AM912" t="b">
        <f>AND(IF(metadata!L912="",FALSE,TRUE),EXACT(metadata!L912,"human"))</f>
        <v>0</v>
      </c>
      <c r="AN912" t="b">
        <f>AND(IF(metadata!M912="",FALSE,TRUE),EXACT(metadata!M912,"Homo sapiens"))</f>
        <v>0</v>
      </c>
      <c r="AO912" t="b">
        <f>AND(IF(metadata!N912="",FALSE,TRUE),EXACT(metadata!N912,"9606"))</f>
        <v>0</v>
      </c>
      <c r="AP912" t="b">
        <f>IF(metadata!O912="",FALSE,TRUE)</f>
        <v>0</v>
      </c>
      <c r="AQ912" t="b">
        <f>IF(metadata!P912="",FALSE,TRUE)</f>
        <v>0</v>
      </c>
      <c r="AR912" t="b">
        <f>IF(metadata!Q912="",FALSE,ISNUMBER(VALUE(metadata!Q912)))</f>
        <v>0</v>
      </c>
      <c r="AS912" t="b">
        <f>AND(IF(metadata!R912="",FALSE,TRUE),EXACT(metadata!R912,"kg"))</f>
        <v>0</v>
      </c>
    </row>
    <row r="913" spans="1:45" x14ac:dyDescent="0.2">
      <c r="A913" s="5" t="str">
        <f ca="1">IF(B913=" "," ",HYPERLINK(CONCATENATE("#metadata!",ADDRESS(INDEX($X$2:$X$1001,MATCH(ROWS($V$2:V913),$V$2:$V$1001,0),0),1)),INDEX($AA$2:$AA$1001,MATCH(ROWS($V$2:V913),$V$2:$V$1001,0),0)))</f>
        <v xml:space="preserve"> </v>
      </c>
      <c r="B913" s="4" t="str">
        <f ca="1">IF(OR(INDEX($W$2:$W$1001,MATCH(ROWS($V$2:V913),$V$2:$V$1001,0),1)&gt;=100000,INDEX($AC$1005:$AS$1005,1,MATCH(COLUMNS($AC$1006:AC1006),$AC$1006:$AS$1006,0))&gt;=100000), " ",IF(INDEX($AC$2:$AS$1001,MATCH(ROWS($V$2:V913),$V$2:$V$1001,0),MATCH(COLUMNS($AC$1006:AC1006),$AC$1006:$AS$1006,0)), HYPERLINK("#",""), HYPERLINK(CONCATENATE("#metadata!", ADDRESS(INDEX($X$2:$X$1001,MATCH(ROWS($V$2:V913),$V$2:$V$1001,0),0), INDEX($AC$1004:$AS$1004,1,MATCH(COLUMNS($AC$1006:AC1006),$AC$1006:$AS$1006,0)))),"Fix")))</f>
        <v xml:space="preserve"> </v>
      </c>
      <c r="C913" s="4" t="str">
        <f ca="1">IF(OR(INDEX($W$2:$W$1001,MATCH(ROWS($V$2:V913),$V$2:$V$1001,0),1)&gt;=100000,INDEX($AC$1005:$AS$1005,1,MATCH(COLUMNS($AC$1006:AD1006),$AC$1006:$AS$1006,0))&gt;=100000), " ",IF(INDEX($AC$2:$AS$1001,MATCH(ROWS($V$2:V913),$V$2:$V$1001,0),MATCH(COLUMNS($AC$1006:AD1006),$AC$1006:$AS$1006,0)), HYPERLINK("#",""), HYPERLINK(CONCATENATE("#metadata!", ADDRESS(INDEX($X$2:$X$1001,MATCH(ROWS($V$2:V913),$V$2:$V$1001,0),0), INDEX($AC$1004:$AS$1004,1,MATCH(COLUMNS($AC$1006:AD1006),$AC$1006:$AS$1006,0)))),"Fix")))</f>
        <v xml:space="preserve"> </v>
      </c>
      <c r="D913" s="4" t="str">
        <f ca="1">IF(OR(INDEX($W$2:$W$1001,MATCH(ROWS($V$2:V913),$V$2:$V$1001,0),1)&gt;=100000,INDEX($AC$1005:$AS$1005,1,MATCH(COLUMNS($AC$1006:AE1006),$AC$1006:$AS$1006,0))&gt;=100000), " ",IF(INDEX($AC$2:$AS$1001,MATCH(ROWS($V$2:V913),$V$2:$V$1001,0),MATCH(COLUMNS($AC$1006:AE1006),$AC$1006:$AS$1006,0)), HYPERLINK("#",""), HYPERLINK(CONCATENATE("#metadata!", ADDRESS(INDEX($X$2:$X$1001,MATCH(ROWS($V$2:V913),$V$2:$V$1001,0),0), INDEX($AC$1004:$AS$1004,1,MATCH(COLUMNS($AC$1006:AE1006),$AC$1006:$AS$1006,0)))),"Fix")))</f>
        <v xml:space="preserve"> </v>
      </c>
      <c r="E913" s="4" t="str">
        <f ca="1">IF(OR(INDEX($W$2:$W$1001,MATCH(ROWS($V$2:V913),$V$2:$V$1001,0),1)&gt;=100000,INDEX($AC$1005:$AS$1005,1,MATCH(COLUMNS($AC$1006:AF1006),$AC$1006:$AS$1006,0))&gt;=100000), " ",IF(INDEX($AC$2:$AS$1001,MATCH(ROWS($V$2:V913),$V$2:$V$1001,0),MATCH(COLUMNS($AC$1006:AF1006),$AC$1006:$AS$1006,0)), HYPERLINK("#",""), HYPERLINK(CONCATENATE("#metadata!", ADDRESS(INDEX($X$2:$X$1001,MATCH(ROWS($V$2:V913),$V$2:$V$1001,0),0), INDEX($AC$1004:$AS$1004,1,MATCH(COLUMNS($AC$1006:AF1006),$AC$1006:$AS$1006,0)))),"Fix")))</f>
        <v xml:space="preserve"> </v>
      </c>
      <c r="F913" s="4" t="str">
        <f ca="1">IF(OR(INDEX($W$2:$W$1001,MATCH(ROWS($V$2:V913),$V$2:$V$1001,0),1)&gt;=100000,INDEX($AC$1005:$AS$1005,1,MATCH(COLUMNS($AC$1006:AG1006),$AC$1006:$AS$1006,0))&gt;=100000), " ",IF(INDEX($AC$2:$AS$1001,MATCH(ROWS($V$2:V913),$V$2:$V$1001,0),MATCH(COLUMNS($AC$1006:AG1006),$AC$1006:$AS$1006,0)), HYPERLINK("#",""), HYPERLINK(CONCATENATE("#metadata!", ADDRESS(INDEX($X$2:$X$1001,MATCH(ROWS($V$2:V913),$V$2:$V$1001,0),0), INDEX($AC$1004:$AS$1004,1,MATCH(COLUMNS($AC$1006:AG1006),$AC$1006:$AS$1006,0)))),"Fix")))</f>
        <v xml:space="preserve"> </v>
      </c>
      <c r="G913" s="4" t="str">
        <f ca="1">IF(OR(INDEX($W$2:$W$1001,MATCH(ROWS($V$2:V913),$V$2:$V$1001,0),1)&gt;=100000,INDEX($AC$1005:$AS$1005,1,MATCH(COLUMNS($AC$1006:AH1006),$AC$1006:$AS$1006,0))&gt;=100000), " ",IF(INDEX($AC$2:$AS$1001,MATCH(ROWS($V$2:V913),$V$2:$V$1001,0),MATCH(COLUMNS($AC$1006:AH1006),$AC$1006:$AS$1006,0)), HYPERLINK("#",""), HYPERLINK(CONCATENATE("#metadata!", ADDRESS(INDEX($X$2:$X$1001,MATCH(ROWS($V$2:V913),$V$2:$V$1001,0),0), INDEX($AC$1004:$AS$1004,1,MATCH(COLUMNS($AC$1006:AH1006),$AC$1006:$AS$1006,0)))),"Fix")))</f>
        <v xml:space="preserve"> </v>
      </c>
      <c r="H913" s="4" t="str">
        <f ca="1">IF(OR(INDEX($W$2:$W$1001,MATCH(ROWS($V$2:V913),$V$2:$V$1001,0),1)&gt;=100000,INDEX($AC$1005:$AS$1005,1,MATCH(COLUMNS($AC$1006:AI1006),$AC$1006:$AS$1006,0))&gt;=100000), " ",IF(INDEX($AC$2:$AS$1001,MATCH(ROWS($V$2:V913),$V$2:$V$1001,0),MATCH(COLUMNS($AC$1006:AI1006),$AC$1006:$AS$1006,0)), HYPERLINK("#",""), HYPERLINK(CONCATENATE("#metadata!", ADDRESS(INDEX($X$2:$X$1001,MATCH(ROWS($V$2:V913),$V$2:$V$1001,0),0), INDEX($AC$1004:$AS$1004,1,MATCH(COLUMNS($AC$1006:AI1006),$AC$1006:$AS$1006,0)))),"Fix")))</f>
        <v xml:space="preserve"> </v>
      </c>
      <c r="I913" s="4" t="str">
        <f ca="1">IF(OR(INDEX($W$2:$W$1001,MATCH(ROWS($V$2:V913),$V$2:$V$1001,0),1)&gt;=100000,INDEX($AC$1005:$AS$1005,1,MATCH(COLUMNS($AC$1006:AJ1006),$AC$1006:$AS$1006,0))&gt;=100000), " ",IF(INDEX($AC$2:$AS$1001,MATCH(ROWS($V$2:V913),$V$2:$V$1001,0),MATCH(COLUMNS($AC$1006:AJ1006),$AC$1006:$AS$1006,0)), HYPERLINK("#",""), HYPERLINK(CONCATENATE("#metadata!", ADDRESS(INDEX($X$2:$X$1001,MATCH(ROWS($V$2:V913),$V$2:$V$1001,0),0), INDEX($AC$1004:$AS$1004,1,MATCH(COLUMNS($AC$1006:AJ1006),$AC$1006:$AS$1006,0)))),"Fix")))</f>
        <v xml:space="preserve"> </v>
      </c>
      <c r="J913" s="4" t="str">
        <f ca="1">IF(OR(INDEX($W$2:$W$1001,MATCH(ROWS($V$2:V913),$V$2:$V$1001,0),1)&gt;=100000,INDEX($AC$1005:$AS$1005,1,MATCH(COLUMNS($AC$1006:AK1006),$AC$1006:$AS$1006,0))&gt;=100000), " ",IF(INDEX($AC$2:$AS$1001,MATCH(ROWS($V$2:V913),$V$2:$V$1001,0),MATCH(COLUMNS($AC$1006:AK1006),$AC$1006:$AS$1006,0)), HYPERLINK("#",""), HYPERLINK(CONCATENATE("#metadata!", ADDRESS(INDEX($X$2:$X$1001,MATCH(ROWS($V$2:V913),$V$2:$V$1001,0),0), INDEX($AC$1004:$AS$1004,1,MATCH(COLUMNS($AC$1006:AK1006),$AC$1006:$AS$1006,0)))),"Fix")))</f>
        <v xml:space="preserve"> </v>
      </c>
      <c r="K913" s="4" t="str">
        <f ca="1">IF(OR(INDEX($W$2:$W$1001,MATCH(ROWS($V$2:V913),$V$2:$V$1001,0),1)&gt;=100000,INDEX($AC$1005:$AS$1005,1,MATCH(COLUMNS($AC$1006:AL1006),$AC$1006:$AS$1006,0))&gt;=100000), " ",IF(INDEX($AC$2:$AS$1001,MATCH(ROWS($V$2:V913),$V$2:$V$1001,0),MATCH(COLUMNS($AC$1006:AL1006),$AC$1006:$AS$1006,0)), HYPERLINK("#",""), HYPERLINK(CONCATENATE("#metadata!", ADDRESS(INDEX($X$2:$X$1001,MATCH(ROWS($V$2:V913),$V$2:$V$1001,0),0), INDEX($AC$1004:$AS$1004,1,MATCH(COLUMNS($AC$1006:AL1006),$AC$1006:$AS$1006,0)))),"Fix")))</f>
        <v xml:space="preserve"> </v>
      </c>
      <c r="L913" s="4" t="str">
        <f ca="1">IF(OR(INDEX($W$2:$W$1001,MATCH(ROWS($V$2:V913),$V$2:$V$1001,0),1)&gt;=100000,INDEX($AC$1005:$AS$1005,1,MATCH(COLUMNS($AC$1006:AM1006),$AC$1006:$AS$1006,0))&gt;=100000), " ",IF(INDEX($AC$2:$AS$1001,MATCH(ROWS($V$2:V913),$V$2:$V$1001,0),MATCH(COLUMNS($AC$1006:AM1006),$AC$1006:$AS$1006,0)), HYPERLINK("#",""), HYPERLINK(CONCATENATE("#metadata!", ADDRESS(INDEX($X$2:$X$1001,MATCH(ROWS($V$2:V913),$V$2:$V$1001,0),0), INDEX($AC$1004:$AS$1004,1,MATCH(COLUMNS($AC$1006:AM1006),$AC$1006:$AS$1006,0)))),"Fix")))</f>
        <v xml:space="preserve"> </v>
      </c>
      <c r="M913" s="4" t="str">
        <f ca="1">IF(OR(INDEX($W$2:$W$1001,MATCH(ROWS($V$2:V913),$V$2:$V$1001,0),1)&gt;=100000,INDEX($AC$1005:$AS$1005,1,MATCH(COLUMNS($AC$1006:AN1006),$AC$1006:$AS$1006,0))&gt;=100000), " ",IF(INDEX($AC$2:$AS$1001,MATCH(ROWS($V$2:V913),$V$2:$V$1001,0),MATCH(COLUMNS($AC$1006:AN1006),$AC$1006:$AS$1006,0)), HYPERLINK("#",""), HYPERLINK(CONCATENATE("#metadata!", ADDRESS(INDEX($X$2:$X$1001,MATCH(ROWS($V$2:V913),$V$2:$V$1001,0),0), INDEX($AC$1004:$AS$1004,1,MATCH(COLUMNS($AC$1006:AN1006),$AC$1006:$AS$1006,0)))),"Fix")))</f>
        <v xml:space="preserve"> </v>
      </c>
      <c r="N913" s="4" t="str">
        <f ca="1">IF(OR(INDEX($W$2:$W$1001,MATCH(ROWS($V$2:V913),$V$2:$V$1001,0),1)&gt;=100000,INDEX($AC$1005:$AS$1005,1,MATCH(COLUMNS($AC$1006:AO1006),$AC$1006:$AS$1006,0))&gt;=100000), " ",IF(INDEX($AC$2:$AS$1001,MATCH(ROWS($V$2:V913),$V$2:$V$1001,0),MATCH(COLUMNS($AC$1006:AO1006),$AC$1006:$AS$1006,0)), HYPERLINK("#",""), HYPERLINK(CONCATENATE("#metadata!", ADDRESS(INDEX($X$2:$X$1001,MATCH(ROWS($V$2:V913),$V$2:$V$1001,0),0), INDEX($AC$1004:$AS$1004,1,MATCH(COLUMNS($AC$1006:AO1006),$AC$1006:$AS$1006,0)))),"Fix")))</f>
        <v xml:space="preserve"> </v>
      </c>
      <c r="O913" s="4" t="str">
        <f ca="1">IF(OR(INDEX($W$2:$W$1001,MATCH(ROWS($V$2:V913),$V$2:$V$1001,0),1)&gt;=100000,INDEX($AC$1005:$AS$1005,1,MATCH(COLUMNS($AC$1006:AP1006),$AC$1006:$AS$1006,0))&gt;=100000), " ",IF(INDEX($AC$2:$AS$1001,MATCH(ROWS($V$2:V913),$V$2:$V$1001,0),MATCH(COLUMNS($AC$1006:AP1006),$AC$1006:$AS$1006,0)), HYPERLINK("#",""), HYPERLINK(CONCATENATE("#metadata!", ADDRESS(INDEX($X$2:$X$1001,MATCH(ROWS($V$2:V913),$V$2:$V$1001,0),0), INDEX($AC$1004:$AS$1004,1,MATCH(COLUMNS($AC$1006:AP1006),$AC$1006:$AS$1006,0)))),"Fix")))</f>
        <v xml:space="preserve"> </v>
      </c>
      <c r="P913" s="4" t="str">
        <f ca="1">IF(OR(INDEX($W$2:$W$1001,MATCH(ROWS($V$2:V913),$V$2:$V$1001,0),1)&gt;=100000,INDEX($AC$1005:$AS$1005,1,MATCH(COLUMNS($AC$1006:AQ1006),$AC$1006:$AS$1006,0))&gt;=100000), " ",IF(INDEX($AC$2:$AS$1001,MATCH(ROWS($V$2:V913),$V$2:$V$1001,0),MATCH(COLUMNS($AC$1006:AQ1006),$AC$1006:$AS$1006,0)), HYPERLINK("#",""), HYPERLINK(CONCATENATE("#metadata!", ADDRESS(INDEX($X$2:$X$1001,MATCH(ROWS($V$2:V913),$V$2:$V$1001,0),0), INDEX($AC$1004:$AS$1004,1,MATCH(COLUMNS($AC$1006:AQ1006),$AC$1006:$AS$1006,0)))),"Fix")))</f>
        <v xml:space="preserve"> </v>
      </c>
      <c r="Q913" s="4" t="str">
        <f ca="1">IF(OR(INDEX($W$2:$W$1001,MATCH(ROWS($V$2:V913),$V$2:$V$1001,0),1)&gt;=100000,INDEX($AC$1005:$AS$1005,1,MATCH(COLUMNS($AC$1006:AR1006),$AC$1006:$AS$1006,0))&gt;=100000), " ",IF(INDEX($AC$2:$AS$1001,MATCH(ROWS($V$2:V913),$V$2:$V$1001,0),MATCH(COLUMNS($AC$1006:AR1006),$AC$1006:$AS$1006,0)), HYPERLINK("#",""), HYPERLINK(CONCATENATE("#metadata!", ADDRESS(INDEX($X$2:$X$1001,MATCH(ROWS($V$2:V913),$V$2:$V$1001,0),0), INDEX($AC$1004:$AS$1004,1,MATCH(COLUMNS($AC$1006:AR1006),$AC$1006:$AS$1006,0)))),"Fix")))</f>
        <v xml:space="preserve"> </v>
      </c>
      <c r="R913" s="4" t="str">
        <f ca="1">IF(OR(INDEX($W$2:$W$1001,MATCH(ROWS($V$2:V913),$V$2:$V$1001,0),1)&gt;=100000,INDEX($AC$1005:$AS$1005,1,MATCH(COLUMNS($AC$1006:AS1006),$AC$1006:$AS$1006,0))&gt;=100000), " ",IF(INDEX($AC$2:$AS$1001,MATCH(ROWS($V$2:V913),$V$2:$V$1001,0),MATCH(COLUMNS($AC$1006:AS1006),$AC$1006:$AS$1006,0)), HYPERLINK("#",""), HYPERLINK(CONCATENATE("#metadata!", ADDRESS(INDEX($X$2:$X$1001,MATCH(ROWS($V$2:V913),$V$2:$V$1001,0),0), INDEX($AC$1004:$AS$1004,1,MATCH(COLUMNS($AC$1006:AS1006),$AC$1006:$AS$1006,0)))),"Fix")))</f>
        <v xml:space="preserve"> </v>
      </c>
      <c r="V913">
        <v>912</v>
      </c>
      <c r="W913">
        <v>100913</v>
      </c>
      <c r="X913">
        <v>913</v>
      </c>
      <c r="Y913" t="b">
        <f t="shared" si="14"/>
        <v>1</v>
      </c>
      <c r="Z913" t="b">
        <f>COUNTBLANK(metadata!B913:R913)=COLUMNS(metadata!B913:R913)</f>
        <v>1</v>
      </c>
      <c r="AA913" t="str">
        <v/>
      </c>
      <c r="AC913" t="b">
        <f ca="1"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AD913" t="b">
        <f>IF(metadata!C913="",FALSE,ISNUMBER(VALUE(metadata!C913)))</f>
        <v>0</v>
      </c>
      <c r="AE913" t="b">
        <f>AND(IF(metadata!D913="",FALSE,TRUE),EXACT(metadata!D913,"years"))</f>
        <v>0</v>
      </c>
      <c r="AF913" t="b">
        <f>OR(AND(IF(metadata!E913="",FALSE,TRUE),OR(EXACT(metadata!E913,"not applicable"),EXACT(metadata!E913,"missing: not collected"),EXACT(metadata!E913,"missing: not provided"),EXACT(metadata!E913,"missing: restricted access"))),AND(IF(metadata!E913="",FALSE,ISNUMBER(VALUE(metadata!E913))),metadata!E913&gt;0))</f>
        <v>0</v>
      </c>
      <c r="AG913" t="b">
        <f>AND(IF(metadata!F913="",FALSE,TRUE),EXACT(metadata!F913,"Not applicable"))</f>
        <v>0</v>
      </c>
      <c r="AH913" t="b">
        <f>AND(IF(metadata!G913="",FALSE,TRUE),EXACT(metadata!G913,"urban biome"))</f>
        <v>0</v>
      </c>
      <c r="AI913" t="b">
        <f>AND(IF(metadata!H913="",FALSE,TRUE),EXACT(metadata!H913,"human-associated habitat"))</f>
        <v>0</v>
      </c>
      <c r="AJ913" t="b">
        <f>AND(IF(metadata!I913="",FALSE,TRUE),OR(EXACT(metadata!I913,"human-associated"),EXACT(metadata!I913,"human-skin"),EXACT(metadata!I913,"human-oral"),EXACT(metadata!I913,"human-gut"),EXACT(metadata!I913,"human-vaginal")))</f>
        <v>0</v>
      </c>
      <c r="AK913" t="b">
        <f>IF(metadata!J913="",FALSE,ISNUMBER(VALUE(metadata!J913)))</f>
        <v>0</v>
      </c>
      <c r="AL913" t="b">
        <f>AND(IF(metadata!K913="",FALSE,TRUE),EXACT(metadata!K913,"cm"))</f>
        <v>0</v>
      </c>
      <c r="AM913" t="b">
        <f>AND(IF(metadata!L913="",FALSE,TRUE),EXACT(metadata!L913,"human"))</f>
        <v>0</v>
      </c>
      <c r="AN913" t="b">
        <f>AND(IF(metadata!M913="",FALSE,TRUE),EXACT(metadata!M913,"Homo sapiens"))</f>
        <v>0</v>
      </c>
      <c r="AO913" t="b">
        <f>AND(IF(metadata!N913="",FALSE,TRUE),EXACT(metadata!N913,"9606"))</f>
        <v>0</v>
      </c>
      <c r="AP913" t="b">
        <f>IF(metadata!O913="",FALSE,TRUE)</f>
        <v>0</v>
      </c>
      <c r="AQ913" t="b">
        <f>IF(metadata!P913="",FALSE,TRUE)</f>
        <v>0</v>
      </c>
      <c r="AR913" t="b">
        <f>IF(metadata!Q913="",FALSE,ISNUMBER(VALUE(metadata!Q913)))</f>
        <v>0</v>
      </c>
      <c r="AS913" t="b">
        <f>AND(IF(metadata!R913="",FALSE,TRUE),EXACT(metadata!R913,"kg"))</f>
        <v>0</v>
      </c>
    </row>
    <row r="914" spans="1:45" x14ac:dyDescent="0.2">
      <c r="A914" s="5" t="str">
        <f ca="1">IF(B914=" "," ",HYPERLINK(CONCATENATE("#metadata!",ADDRESS(INDEX($X$2:$X$1001,MATCH(ROWS($V$2:V914),$V$2:$V$1001,0),0),1)),INDEX($AA$2:$AA$1001,MATCH(ROWS($V$2:V914),$V$2:$V$1001,0),0)))</f>
        <v xml:space="preserve"> </v>
      </c>
      <c r="B914" s="4" t="str">
        <f ca="1">IF(OR(INDEX($W$2:$W$1001,MATCH(ROWS($V$2:V914),$V$2:$V$1001,0),1)&gt;=100000,INDEX($AC$1005:$AS$1005,1,MATCH(COLUMNS($AC$1006:AC1006),$AC$1006:$AS$1006,0))&gt;=100000), " ",IF(INDEX($AC$2:$AS$1001,MATCH(ROWS($V$2:V914),$V$2:$V$1001,0),MATCH(COLUMNS($AC$1006:AC1006),$AC$1006:$AS$1006,0)), HYPERLINK("#",""), HYPERLINK(CONCATENATE("#metadata!", ADDRESS(INDEX($X$2:$X$1001,MATCH(ROWS($V$2:V914),$V$2:$V$1001,0),0), INDEX($AC$1004:$AS$1004,1,MATCH(COLUMNS($AC$1006:AC1006),$AC$1006:$AS$1006,0)))),"Fix")))</f>
        <v xml:space="preserve"> </v>
      </c>
      <c r="C914" s="4" t="str">
        <f ca="1">IF(OR(INDEX($W$2:$W$1001,MATCH(ROWS($V$2:V914),$V$2:$V$1001,0),1)&gt;=100000,INDEX($AC$1005:$AS$1005,1,MATCH(COLUMNS($AC$1006:AD1006),$AC$1006:$AS$1006,0))&gt;=100000), " ",IF(INDEX($AC$2:$AS$1001,MATCH(ROWS($V$2:V914),$V$2:$V$1001,0),MATCH(COLUMNS($AC$1006:AD1006),$AC$1006:$AS$1006,0)), HYPERLINK("#",""), HYPERLINK(CONCATENATE("#metadata!", ADDRESS(INDEX($X$2:$X$1001,MATCH(ROWS($V$2:V914),$V$2:$V$1001,0),0), INDEX($AC$1004:$AS$1004,1,MATCH(COLUMNS($AC$1006:AD1006),$AC$1006:$AS$1006,0)))),"Fix")))</f>
        <v xml:space="preserve"> </v>
      </c>
      <c r="D914" s="4" t="str">
        <f ca="1">IF(OR(INDEX($W$2:$W$1001,MATCH(ROWS($V$2:V914),$V$2:$V$1001,0),1)&gt;=100000,INDEX($AC$1005:$AS$1005,1,MATCH(COLUMNS($AC$1006:AE1006),$AC$1006:$AS$1006,0))&gt;=100000), " ",IF(INDEX($AC$2:$AS$1001,MATCH(ROWS($V$2:V914),$V$2:$V$1001,0),MATCH(COLUMNS($AC$1006:AE1006),$AC$1006:$AS$1006,0)), HYPERLINK("#",""), HYPERLINK(CONCATENATE("#metadata!", ADDRESS(INDEX($X$2:$X$1001,MATCH(ROWS($V$2:V914),$V$2:$V$1001,0),0), INDEX($AC$1004:$AS$1004,1,MATCH(COLUMNS($AC$1006:AE1006),$AC$1006:$AS$1006,0)))),"Fix")))</f>
        <v xml:space="preserve"> </v>
      </c>
      <c r="E914" s="4" t="str">
        <f ca="1">IF(OR(INDEX($W$2:$W$1001,MATCH(ROWS($V$2:V914),$V$2:$V$1001,0),1)&gt;=100000,INDEX($AC$1005:$AS$1005,1,MATCH(COLUMNS($AC$1006:AF1006),$AC$1006:$AS$1006,0))&gt;=100000), " ",IF(INDEX($AC$2:$AS$1001,MATCH(ROWS($V$2:V914),$V$2:$V$1001,0),MATCH(COLUMNS($AC$1006:AF1006),$AC$1006:$AS$1006,0)), HYPERLINK("#",""), HYPERLINK(CONCATENATE("#metadata!", ADDRESS(INDEX($X$2:$X$1001,MATCH(ROWS($V$2:V914),$V$2:$V$1001,0),0), INDEX($AC$1004:$AS$1004,1,MATCH(COLUMNS($AC$1006:AF1006),$AC$1006:$AS$1006,0)))),"Fix")))</f>
        <v xml:space="preserve"> </v>
      </c>
      <c r="F914" s="4" t="str">
        <f ca="1">IF(OR(INDEX($W$2:$W$1001,MATCH(ROWS($V$2:V914),$V$2:$V$1001,0),1)&gt;=100000,INDEX($AC$1005:$AS$1005,1,MATCH(COLUMNS($AC$1006:AG1006),$AC$1006:$AS$1006,0))&gt;=100000), " ",IF(INDEX($AC$2:$AS$1001,MATCH(ROWS($V$2:V914),$V$2:$V$1001,0),MATCH(COLUMNS($AC$1006:AG1006),$AC$1006:$AS$1006,0)), HYPERLINK("#",""), HYPERLINK(CONCATENATE("#metadata!", ADDRESS(INDEX($X$2:$X$1001,MATCH(ROWS($V$2:V914),$V$2:$V$1001,0),0), INDEX($AC$1004:$AS$1004,1,MATCH(COLUMNS($AC$1006:AG1006),$AC$1006:$AS$1006,0)))),"Fix")))</f>
        <v xml:space="preserve"> </v>
      </c>
      <c r="G914" s="4" t="str">
        <f ca="1">IF(OR(INDEX($W$2:$W$1001,MATCH(ROWS($V$2:V914),$V$2:$V$1001,0),1)&gt;=100000,INDEX($AC$1005:$AS$1005,1,MATCH(COLUMNS($AC$1006:AH1006),$AC$1006:$AS$1006,0))&gt;=100000), " ",IF(INDEX($AC$2:$AS$1001,MATCH(ROWS($V$2:V914),$V$2:$V$1001,0),MATCH(COLUMNS($AC$1006:AH1006),$AC$1006:$AS$1006,0)), HYPERLINK("#",""), HYPERLINK(CONCATENATE("#metadata!", ADDRESS(INDEX($X$2:$X$1001,MATCH(ROWS($V$2:V914),$V$2:$V$1001,0),0), INDEX($AC$1004:$AS$1004,1,MATCH(COLUMNS($AC$1006:AH1006),$AC$1006:$AS$1006,0)))),"Fix")))</f>
        <v xml:space="preserve"> </v>
      </c>
      <c r="H914" s="4" t="str">
        <f ca="1">IF(OR(INDEX($W$2:$W$1001,MATCH(ROWS($V$2:V914),$V$2:$V$1001,0),1)&gt;=100000,INDEX($AC$1005:$AS$1005,1,MATCH(COLUMNS($AC$1006:AI1006),$AC$1006:$AS$1006,0))&gt;=100000), " ",IF(INDEX($AC$2:$AS$1001,MATCH(ROWS($V$2:V914),$V$2:$V$1001,0),MATCH(COLUMNS($AC$1006:AI1006),$AC$1006:$AS$1006,0)), HYPERLINK("#",""), HYPERLINK(CONCATENATE("#metadata!", ADDRESS(INDEX($X$2:$X$1001,MATCH(ROWS($V$2:V914),$V$2:$V$1001,0),0), INDEX($AC$1004:$AS$1004,1,MATCH(COLUMNS($AC$1006:AI1006),$AC$1006:$AS$1006,0)))),"Fix")))</f>
        <v xml:space="preserve"> </v>
      </c>
      <c r="I914" s="4" t="str">
        <f ca="1">IF(OR(INDEX($W$2:$W$1001,MATCH(ROWS($V$2:V914),$V$2:$V$1001,0),1)&gt;=100000,INDEX($AC$1005:$AS$1005,1,MATCH(COLUMNS($AC$1006:AJ1006),$AC$1006:$AS$1006,0))&gt;=100000), " ",IF(INDEX($AC$2:$AS$1001,MATCH(ROWS($V$2:V914),$V$2:$V$1001,0),MATCH(COLUMNS($AC$1006:AJ1006),$AC$1006:$AS$1006,0)), HYPERLINK("#",""), HYPERLINK(CONCATENATE("#metadata!", ADDRESS(INDEX($X$2:$X$1001,MATCH(ROWS($V$2:V914),$V$2:$V$1001,0),0), INDEX($AC$1004:$AS$1004,1,MATCH(COLUMNS($AC$1006:AJ1006),$AC$1006:$AS$1006,0)))),"Fix")))</f>
        <v xml:space="preserve"> </v>
      </c>
      <c r="J914" s="4" t="str">
        <f ca="1">IF(OR(INDEX($W$2:$W$1001,MATCH(ROWS($V$2:V914),$V$2:$V$1001,0),1)&gt;=100000,INDEX($AC$1005:$AS$1005,1,MATCH(COLUMNS($AC$1006:AK1006),$AC$1006:$AS$1006,0))&gt;=100000), " ",IF(INDEX($AC$2:$AS$1001,MATCH(ROWS($V$2:V914),$V$2:$V$1001,0),MATCH(COLUMNS($AC$1006:AK1006),$AC$1006:$AS$1006,0)), HYPERLINK("#",""), HYPERLINK(CONCATENATE("#metadata!", ADDRESS(INDEX($X$2:$X$1001,MATCH(ROWS($V$2:V914),$V$2:$V$1001,0),0), INDEX($AC$1004:$AS$1004,1,MATCH(COLUMNS($AC$1006:AK1006),$AC$1006:$AS$1006,0)))),"Fix")))</f>
        <v xml:space="preserve"> </v>
      </c>
      <c r="K914" s="4" t="str">
        <f ca="1">IF(OR(INDEX($W$2:$W$1001,MATCH(ROWS($V$2:V914),$V$2:$V$1001,0),1)&gt;=100000,INDEX($AC$1005:$AS$1005,1,MATCH(COLUMNS($AC$1006:AL1006),$AC$1006:$AS$1006,0))&gt;=100000), " ",IF(INDEX($AC$2:$AS$1001,MATCH(ROWS($V$2:V914),$V$2:$V$1001,0),MATCH(COLUMNS($AC$1006:AL1006),$AC$1006:$AS$1006,0)), HYPERLINK("#",""), HYPERLINK(CONCATENATE("#metadata!", ADDRESS(INDEX($X$2:$X$1001,MATCH(ROWS($V$2:V914),$V$2:$V$1001,0),0), INDEX($AC$1004:$AS$1004,1,MATCH(COLUMNS($AC$1006:AL1006),$AC$1006:$AS$1006,0)))),"Fix")))</f>
        <v xml:space="preserve"> </v>
      </c>
      <c r="L914" s="4" t="str">
        <f ca="1">IF(OR(INDEX($W$2:$W$1001,MATCH(ROWS($V$2:V914),$V$2:$V$1001,0),1)&gt;=100000,INDEX($AC$1005:$AS$1005,1,MATCH(COLUMNS($AC$1006:AM1006),$AC$1006:$AS$1006,0))&gt;=100000), " ",IF(INDEX($AC$2:$AS$1001,MATCH(ROWS($V$2:V914),$V$2:$V$1001,0),MATCH(COLUMNS($AC$1006:AM1006),$AC$1006:$AS$1006,0)), HYPERLINK("#",""), HYPERLINK(CONCATENATE("#metadata!", ADDRESS(INDEX($X$2:$X$1001,MATCH(ROWS($V$2:V914),$V$2:$V$1001,0),0), INDEX($AC$1004:$AS$1004,1,MATCH(COLUMNS($AC$1006:AM1006),$AC$1006:$AS$1006,0)))),"Fix")))</f>
        <v xml:space="preserve"> </v>
      </c>
      <c r="M914" s="4" t="str">
        <f ca="1">IF(OR(INDEX($W$2:$W$1001,MATCH(ROWS($V$2:V914),$V$2:$V$1001,0),1)&gt;=100000,INDEX($AC$1005:$AS$1005,1,MATCH(COLUMNS($AC$1006:AN1006),$AC$1006:$AS$1006,0))&gt;=100000), " ",IF(INDEX($AC$2:$AS$1001,MATCH(ROWS($V$2:V914),$V$2:$V$1001,0),MATCH(COLUMNS($AC$1006:AN1006),$AC$1006:$AS$1006,0)), HYPERLINK("#",""), HYPERLINK(CONCATENATE("#metadata!", ADDRESS(INDEX($X$2:$X$1001,MATCH(ROWS($V$2:V914),$V$2:$V$1001,0),0), INDEX($AC$1004:$AS$1004,1,MATCH(COLUMNS($AC$1006:AN1006),$AC$1006:$AS$1006,0)))),"Fix")))</f>
        <v xml:space="preserve"> </v>
      </c>
      <c r="N914" s="4" t="str">
        <f ca="1">IF(OR(INDEX($W$2:$W$1001,MATCH(ROWS($V$2:V914),$V$2:$V$1001,0),1)&gt;=100000,INDEX($AC$1005:$AS$1005,1,MATCH(COLUMNS($AC$1006:AO1006),$AC$1006:$AS$1006,0))&gt;=100000), " ",IF(INDEX($AC$2:$AS$1001,MATCH(ROWS($V$2:V914),$V$2:$V$1001,0),MATCH(COLUMNS($AC$1006:AO1006),$AC$1006:$AS$1006,0)), HYPERLINK("#",""), HYPERLINK(CONCATENATE("#metadata!", ADDRESS(INDEX($X$2:$X$1001,MATCH(ROWS($V$2:V914),$V$2:$V$1001,0),0), INDEX($AC$1004:$AS$1004,1,MATCH(COLUMNS($AC$1006:AO1006),$AC$1006:$AS$1006,0)))),"Fix")))</f>
        <v xml:space="preserve"> </v>
      </c>
      <c r="O914" s="4" t="str">
        <f ca="1">IF(OR(INDEX($W$2:$W$1001,MATCH(ROWS($V$2:V914),$V$2:$V$1001,0),1)&gt;=100000,INDEX($AC$1005:$AS$1005,1,MATCH(COLUMNS($AC$1006:AP1006),$AC$1006:$AS$1006,0))&gt;=100000), " ",IF(INDEX($AC$2:$AS$1001,MATCH(ROWS($V$2:V914),$V$2:$V$1001,0),MATCH(COLUMNS($AC$1006:AP1006),$AC$1006:$AS$1006,0)), HYPERLINK("#",""), HYPERLINK(CONCATENATE("#metadata!", ADDRESS(INDEX($X$2:$X$1001,MATCH(ROWS($V$2:V914),$V$2:$V$1001,0),0), INDEX($AC$1004:$AS$1004,1,MATCH(COLUMNS($AC$1006:AP1006),$AC$1006:$AS$1006,0)))),"Fix")))</f>
        <v xml:space="preserve"> </v>
      </c>
      <c r="P914" s="4" t="str">
        <f ca="1">IF(OR(INDEX($W$2:$W$1001,MATCH(ROWS($V$2:V914),$V$2:$V$1001,0),1)&gt;=100000,INDEX($AC$1005:$AS$1005,1,MATCH(COLUMNS($AC$1006:AQ1006),$AC$1006:$AS$1006,0))&gt;=100000), " ",IF(INDEX($AC$2:$AS$1001,MATCH(ROWS($V$2:V914),$V$2:$V$1001,0),MATCH(COLUMNS($AC$1006:AQ1006),$AC$1006:$AS$1006,0)), HYPERLINK("#",""), HYPERLINK(CONCATENATE("#metadata!", ADDRESS(INDEX($X$2:$X$1001,MATCH(ROWS($V$2:V914),$V$2:$V$1001,0),0), INDEX($AC$1004:$AS$1004,1,MATCH(COLUMNS($AC$1006:AQ1006),$AC$1006:$AS$1006,0)))),"Fix")))</f>
        <v xml:space="preserve"> </v>
      </c>
      <c r="Q914" s="4" t="str">
        <f ca="1">IF(OR(INDEX($W$2:$W$1001,MATCH(ROWS($V$2:V914),$V$2:$V$1001,0),1)&gt;=100000,INDEX($AC$1005:$AS$1005,1,MATCH(COLUMNS($AC$1006:AR1006),$AC$1006:$AS$1006,0))&gt;=100000), " ",IF(INDEX($AC$2:$AS$1001,MATCH(ROWS($V$2:V914),$V$2:$V$1001,0),MATCH(COLUMNS($AC$1006:AR1006),$AC$1006:$AS$1006,0)), HYPERLINK("#",""), HYPERLINK(CONCATENATE("#metadata!", ADDRESS(INDEX($X$2:$X$1001,MATCH(ROWS($V$2:V914),$V$2:$V$1001,0),0), INDEX($AC$1004:$AS$1004,1,MATCH(COLUMNS($AC$1006:AR1006),$AC$1006:$AS$1006,0)))),"Fix")))</f>
        <v xml:space="preserve"> </v>
      </c>
      <c r="R914" s="4" t="str">
        <f ca="1">IF(OR(INDEX($W$2:$W$1001,MATCH(ROWS($V$2:V914),$V$2:$V$1001,0),1)&gt;=100000,INDEX($AC$1005:$AS$1005,1,MATCH(COLUMNS($AC$1006:AS1006),$AC$1006:$AS$1006,0))&gt;=100000), " ",IF(INDEX($AC$2:$AS$1001,MATCH(ROWS($V$2:V914),$V$2:$V$1001,0),MATCH(COLUMNS($AC$1006:AS1006),$AC$1006:$AS$1006,0)), HYPERLINK("#",""), HYPERLINK(CONCATENATE("#metadata!", ADDRESS(INDEX($X$2:$X$1001,MATCH(ROWS($V$2:V914),$V$2:$V$1001,0),0), INDEX($AC$1004:$AS$1004,1,MATCH(COLUMNS($AC$1006:AS1006),$AC$1006:$AS$1006,0)))),"Fix")))</f>
        <v xml:space="preserve"> </v>
      </c>
      <c r="V914">
        <v>913</v>
      </c>
      <c r="W914">
        <v>100914</v>
      </c>
      <c r="X914">
        <v>914</v>
      </c>
      <c r="Y914" t="b">
        <f t="shared" si="14"/>
        <v>1</v>
      </c>
      <c r="Z914" t="b">
        <f>COUNTBLANK(metadata!B914:R914)=COLUMNS(metadata!B914:R914)</f>
        <v>1</v>
      </c>
      <c r="AA914" t="str">
        <v/>
      </c>
      <c r="AC914" t="b">
        <f ca="1"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AD914" t="b">
        <f>IF(metadata!C914="",FALSE,ISNUMBER(VALUE(metadata!C914)))</f>
        <v>0</v>
      </c>
      <c r="AE914" t="b">
        <f>AND(IF(metadata!D914="",FALSE,TRUE),EXACT(metadata!D914,"years"))</f>
        <v>0</v>
      </c>
      <c r="AF914" t="b">
        <f>OR(AND(IF(metadata!E914="",FALSE,TRUE),OR(EXACT(metadata!E914,"not applicable"),EXACT(metadata!E914,"missing: not collected"),EXACT(metadata!E914,"missing: not provided"),EXACT(metadata!E914,"missing: restricted access"))),AND(IF(metadata!E914="",FALSE,ISNUMBER(VALUE(metadata!E914))),metadata!E914&gt;0))</f>
        <v>0</v>
      </c>
      <c r="AG914" t="b">
        <f>AND(IF(metadata!F914="",FALSE,TRUE),EXACT(metadata!F914,"Not applicable"))</f>
        <v>0</v>
      </c>
      <c r="AH914" t="b">
        <f>AND(IF(metadata!G914="",FALSE,TRUE),EXACT(metadata!G914,"urban biome"))</f>
        <v>0</v>
      </c>
      <c r="AI914" t="b">
        <f>AND(IF(metadata!H914="",FALSE,TRUE),EXACT(metadata!H914,"human-associated habitat"))</f>
        <v>0</v>
      </c>
      <c r="AJ914" t="b">
        <f>AND(IF(metadata!I914="",FALSE,TRUE),OR(EXACT(metadata!I914,"human-associated"),EXACT(metadata!I914,"human-skin"),EXACT(metadata!I914,"human-oral"),EXACT(metadata!I914,"human-gut"),EXACT(metadata!I914,"human-vaginal")))</f>
        <v>0</v>
      </c>
      <c r="AK914" t="b">
        <f>IF(metadata!J914="",FALSE,ISNUMBER(VALUE(metadata!J914)))</f>
        <v>0</v>
      </c>
      <c r="AL914" t="b">
        <f>AND(IF(metadata!K914="",FALSE,TRUE),EXACT(metadata!K914,"cm"))</f>
        <v>0</v>
      </c>
      <c r="AM914" t="b">
        <f>AND(IF(metadata!L914="",FALSE,TRUE),EXACT(metadata!L914,"human"))</f>
        <v>0</v>
      </c>
      <c r="AN914" t="b">
        <f>AND(IF(metadata!M914="",FALSE,TRUE),EXACT(metadata!M914,"Homo sapiens"))</f>
        <v>0</v>
      </c>
      <c r="AO914" t="b">
        <f>AND(IF(metadata!N914="",FALSE,TRUE),EXACT(metadata!N914,"9606"))</f>
        <v>0</v>
      </c>
      <c r="AP914" t="b">
        <f>IF(metadata!O914="",FALSE,TRUE)</f>
        <v>0</v>
      </c>
      <c r="AQ914" t="b">
        <f>IF(metadata!P914="",FALSE,TRUE)</f>
        <v>0</v>
      </c>
      <c r="AR914" t="b">
        <f>IF(metadata!Q914="",FALSE,ISNUMBER(VALUE(metadata!Q914)))</f>
        <v>0</v>
      </c>
      <c r="AS914" t="b">
        <f>AND(IF(metadata!R914="",FALSE,TRUE),EXACT(metadata!R914,"kg"))</f>
        <v>0</v>
      </c>
    </row>
    <row r="915" spans="1:45" x14ac:dyDescent="0.2">
      <c r="A915" s="5" t="str">
        <f ca="1">IF(B915=" "," ",HYPERLINK(CONCATENATE("#metadata!",ADDRESS(INDEX($X$2:$X$1001,MATCH(ROWS($V$2:V915),$V$2:$V$1001,0),0),1)),INDEX($AA$2:$AA$1001,MATCH(ROWS($V$2:V915),$V$2:$V$1001,0),0)))</f>
        <v xml:space="preserve"> </v>
      </c>
      <c r="B915" s="4" t="str">
        <f ca="1">IF(OR(INDEX($W$2:$W$1001,MATCH(ROWS($V$2:V915),$V$2:$V$1001,0),1)&gt;=100000,INDEX($AC$1005:$AS$1005,1,MATCH(COLUMNS($AC$1006:AC1006),$AC$1006:$AS$1006,0))&gt;=100000), " ",IF(INDEX($AC$2:$AS$1001,MATCH(ROWS($V$2:V915),$V$2:$V$1001,0),MATCH(COLUMNS($AC$1006:AC1006),$AC$1006:$AS$1006,0)), HYPERLINK("#",""), HYPERLINK(CONCATENATE("#metadata!", ADDRESS(INDEX($X$2:$X$1001,MATCH(ROWS($V$2:V915),$V$2:$V$1001,0),0), INDEX($AC$1004:$AS$1004,1,MATCH(COLUMNS($AC$1006:AC1006),$AC$1006:$AS$1006,0)))),"Fix")))</f>
        <v xml:space="preserve"> </v>
      </c>
      <c r="C915" s="4" t="str">
        <f ca="1">IF(OR(INDEX($W$2:$W$1001,MATCH(ROWS($V$2:V915),$V$2:$V$1001,0),1)&gt;=100000,INDEX($AC$1005:$AS$1005,1,MATCH(COLUMNS($AC$1006:AD1006),$AC$1006:$AS$1006,0))&gt;=100000), " ",IF(INDEX($AC$2:$AS$1001,MATCH(ROWS($V$2:V915),$V$2:$V$1001,0),MATCH(COLUMNS($AC$1006:AD1006),$AC$1006:$AS$1006,0)), HYPERLINK("#",""), HYPERLINK(CONCATENATE("#metadata!", ADDRESS(INDEX($X$2:$X$1001,MATCH(ROWS($V$2:V915),$V$2:$V$1001,0),0), INDEX($AC$1004:$AS$1004,1,MATCH(COLUMNS($AC$1006:AD1006),$AC$1006:$AS$1006,0)))),"Fix")))</f>
        <v xml:space="preserve"> </v>
      </c>
      <c r="D915" s="4" t="str">
        <f ca="1">IF(OR(INDEX($W$2:$W$1001,MATCH(ROWS($V$2:V915),$V$2:$V$1001,0),1)&gt;=100000,INDEX($AC$1005:$AS$1005,1,MATCH(COLUMNS($AC$1006:AE1006),$AC$1006:$AS$1006,0))&gt;=100000), " ",IF(INDEX($AC$2:$AS$1001,MATCH(ROWS($V$2:V915),$V$2:$V$1001,0),MATCH(COLUMNS($AC$1006:AE1006),$AC$1006:$AS$1006,0)), HYPERLINK("#",""), HYPERLINK(CONCATENATE("#metadata!", ADDRESS(INDEX($X$2:$X$1001,MATCH(ROWS($V$2:V915),$V$2:$V$1001,0),0), INDEX($AC$1004:$AS$1004,1,MATCH(COLUMNS($AC$1006:AE1006),$AC$1006:$AS$1006,0)))),"Fix")))</f>
        <v xml:space="preserve"> </v>
      </c>
      <c r="E915" s="4" t="str">
        <f ca="1">IF(OR(INDEX($W$2:$W$1001,MATCH(ROWS($V$2:V915),$V$2:$V$1001,0),1)&gt;=100000,INDEX($AC$1005:$AS$1005,1,MATCH(COLUMNS($AC$1006:AF1006),$AC$1006:$AS$1006,0))&gt;=100000), " ",IF(INDEX($AC$2:$AS$1001,MATCH(ROWS($V$2:V915),$V$2:$V$1001,0),MATCH(COLUMNS($AC$1006:AF1006),$AC$1006:$AS$1006,0)), HYPERLINK("#",""), HYPERLINK(CONCATENATE("#metadata!", ADDRESS(INDEX($X$2:$X$1001,MATCH(ROWS($V$2:V915),$V$2:$V$1001,0),0), INDEX($AC$1004:$AS$1004,1,MATCH(COLUMNS($AC$1006:AF1006),$AC$1006:$AS$1006,0)))),"Fix")))</f>
        <v xml:space="preserve"> </v>
      </c>
      <c r="F915" s="4" t="str">
        <f ca="1">IF(OR(INDEX($W$2:$W$1001,MATCH(ROWS($V$2:V915),$V$2:$V$1001,0),1)&gt;=100000,INDEX($AC$1005:$AS$1005,1,MATCH(COLUMNS($AC$1006:AG1006),$AC$1006:$AS$1006,0))&gt;=100000), " ",IF(INDEX($AC$2:$AS$1001,MATCH(ROWS($V$2:V915),$V$2:$V$1001,0),MATCH(COLUMNS($AC$1006:AG1006),$AC$1006:$AS$1006,0)), HYPERLINK("#",""), HYPERLINK(CONCATENATE("#metadata!", ADDRESS(INDEX($X$2:$X$1001,MATCH(ROWS($V$2:V915),$V$2:$V$1001,0),0), INDEX($AC$1004:$AS$1004,1,MATCH(COLUMNS($AC$1006:AG1006),$AC$1006:$AS$1006,0)))),"Fix")))</f>
        <v xml:space="preserve"> </v>
      </c>
      <c r="G915" s="4" t="str">
        <f ca="1">IF(OR(INDEX($W$2:$W$1001,MATCH(ROWS($V$2:V915),$V$2:$V$1001,0),1)&gt;=100000,INDEX($AC$1005:$AS$1005,1,MATCH(COLUMNS($AC$1006:AH1006),$AC$1006:$AS$1006,0))&gt;=100000), " ",IF(INDEX($AC$2:$AS$1001,MATCH(ROWS($V$2:V915),$V$2:$V$1001,0),MATCH(COLUMNS($AC$1006:AH1006),$AC$1006:$AS$1006,0)), HYPERLINK("#",""), HYPERLINK(CONCATENATE("#metadata!", ADDRESS(INDEX($X$2:$X$1001,MATCH(ROWS($V$2:V915),$V$2:$V$1001,0),0), INDEX($AC$1004:$AS$1004,1,MATCH(COLUMNS($AC$1006:AH1006),$AC$1006:$AS$1006,0)))),"Fix")))</f>
        <v xml:space="preserve"> </v>
      </c>
      <c r="H915" s="4" t="str">
        <f ca="1">IF(OR(INDEX($W$2:$W$1001,MATCH(ROWS($V$2:V915),$V$2:$V$1001,0),1)&gt;=100000,INDEX($AC$1005:$AS$1005,1,MATCH(COLUMNS($AC$1006:AI1006),$AC$1006:$AS$1006,0))&gt;=100000), " ",IF(INDEX($AC$2:$AS$1001,MATCH(ROWS($V$2:V915),$V$2:$V$1001,0),MATCH(COLUMNS($AC$1006:AI1006),$AC$1006:$AS$1006,0)), HYPERLINK("#",""), HYPERLINK(CONCATENATE("#metadata!", ADDRESS(INDEX($X$2:$X$1001,MATCH(ROWS($V$2:V915),$V$2:$V$1001,0),0), INDEX($AC$1004:$AS$1004,1,MATCH(COLUMNS($AC$1006:AI1006),$AC$1006:$AS$1006,0)))),"Fix")))</f>
        <v xml:space="preserve"> </v>
      </c>
      <c r="I915" s="4" t="str">
        <f ca="1">IF(OR(INDEX($W$2:$W$1001,MATCH(ROWS($V$2:V915),$V$2:$V$1001,0),1)&gt;=100000,INDEX($AC$1005:$AS$1005,1,MATCH(COLUMNS($AC$1006:AJ1006),$AC$1006:$AS$1006,0))&gt;=100000), " ",IF(INDEX($AC$2:$AS$1001,MATCH(ROWS($V$2:V915),$V$2:$V$1001,0),MATCH(COLUMNS($AC$1006:AJ1006),$AC$1006:$AS$1006,0)), HYPERLINK("#",""), HYPERLINK(CONCATENATE("#metadata!", ADDRESS(INDEX($X$2:$X$1001,MATCH(ROWS($V$2:V915),$V$2:$V$1001,0),0), INDEX($AC$1004:$AS$1004,1,MATCH(COLUMNS($AC$1006:AJ1006),$AC$1006:$AS$1006,0)))),"Fix")))</f>
        <v xml:space="preserve"> </v>
      </c>
      <c r="J915" s="4" t="str">
        <f ca="1">IF(OR(INDEX($W$2:$W$1001,MATCH(ROWS($V$2:V915),$V$2:$V$1001,0),1)&gt;=100000,INDEX($AC$1005:$AS$1005,1,MATCH(COLUMNS($AC$1006:AK1006),$AC$1006:$AS$1006,0))&gt;=100000), " ",IF(INDEX($AC$2:$AS$1001,MATCH(ROWS($V$2:V915),$V$2:$V$1001,0),MATCH(COLUMNS($AC$1006:AK1006),$AC$1006:$AS$1006,0)), HYPERLINK("#",""), HYPERLINK(CONCATENATE("#metadata!", ADDRESS(INDEX($X$2:$X$1001,MATCH(ROWS($V$2:V915),$V$2:$V$1001,0),0), INDEX($AC$1004:$AS$1004,1,MATCH(COLUMNS($AC$1006:AK1006),$AC$1006:$AS$1006,0)))),"Fix")))</f>
        <v xml:space="preserve"> </v>
      </c>
      <c r="K915" s="4" t="str">
        <f ca="1">IF(OR(INDEX($W$2:$W$1001,MATCH(ROWS($V$2:V915),$V$2:$V$1001,0),1)&gt;=100000,INDEX($AC$1005:$AS$1005,1,MATCH(COLUMNS($AC$1006:AL1006),$AC$1006:$AS$1006,0))&gt;=100000), " ",IF(INDEX($AC$2:$AS$1001,MATCH(ROWS($V$2:V915),$V$2:$V$1001,0),MATCH(COLUMNS($AC$1006:AL1006),$AC$1006:$AS$1006,0)), HYPERLINK("#",""), HYPERLINK(CONCATENATE("#metadata!", ADDRESS(INDEX($X$2:$X$1001,MATCH(ROWS($V$2:V915),$V$2:$V$1001,0),0), INDEX($AC$1004:$AS$1004,1,MATCH(COLUMNS($AC$1006:AL1006),$AC$1006:$AS$1006,0)))),"Fix")))</f>
        <v xml:space="preserve"> </v>
      </c>
      <c r="L915" s="4" t="str">
        <f ca="1">IF(OR(INDEX($W$2:$W$1001,MATCH(ROWS($V$2:V915),$V$2:$V$1001,0),1)&gt;=100000,INDEX($AC$1005:$AS$1005,1,MATCH(COLUMNS($AC$1006:AM1006),$AC$1006:$AS$1006,0))&gt;=100000), " ",IF(INDEX($AC$2:$AS$1001,MATCH(ROWS($V$2:V915),$V$2:$V$1001,0),MATCH(COLUMNS($AC$1006:AM1006),$AC$1006:$AS$1006,0)), HYPERLINK("#",""), HYPERLINK(CONCATENATE("#metadata!", ADDRESS(INDEX($X$2:$X$1001,MATCH(ROWS($V$2:V915),$V$2:$V$1001,0),0), INDEX($AC$1004:$AS$1004,1,MATCH(COLUMNS($AC$1006:AM1006),$AC$1006:$AS$1006,0)))),"Fix")))</f>
        <v xml:space="preserve"> </v>
      </c>
      <c r="M915" s="4" t="str">
        <f ca="1">IF(OR(INDEX($W$2:$W$1001,MATCH(ROWS($V$2:V915),$V$2:$V$1001,0),1)&gt;=100000,INDEX($AC$1005:$AS$1005,1,MATCH(COLUMNS($AC$1006:AN1006),$AC$1006:$AS$1006,0))&gt;=100000), " ",IF(INDEX($AC$2:$AS$1001,MATCH(ROWS($V$2:V915),$V$2:$V$1001,0),MATCH(COLUMNS($AC$1006:AN1006),$AC$1006:$AS$1006,0)), HYPERLINK("#",""), HYPERLINK(CONCATENATE("#metadata!", ADDRESS(INDEX($X$2:$X$1001,MATCH(ROWS($V$2:V915),$V$2:$V$1001,0),0), INDEX($AC$1004:$AS$1004,1,MATCH(COLUMNS($AC$1006:AN1006),$AC$1006:$AS$1006,0)))),"Fix")))</f>
        <v xml:space="preserve"> </v>
      </c>
      <c r="N915" s="4" t="str">
        <f ca="1">IF(OR(INDEX($W$2:$W$1001,MATCH(ROWS($V$2:V915),$V$2:$V$1001,0),1)&gt;=100000,INDEX($AC$1005:$AS$1005,1,MATCH(COLUMNS($AC$1006:AO1006),$AC$1006:$AS$1006,0))&gt;=100000), " ",IF(INDEX($AC$2:$AS$1001,MATCH(ROWS($V$2:V915),$V$2:$V$1001,0),MATCH(COLUMNS($AC$1006:AO1006),$AC$1006:$AS$1006,0)), HYPERLINK("#",""), HYPERLINK(CONCATENATE("#metadata!", ADDRESS(INDEX($X$2:$X$1001,MATCH(ROWS($V$2:V915),$V$2:$V$1001,0),0), INDEX($AC$1004:$AS$1004,1,MATCH(COLUMNS($AC$1006:AO1006),$AC$1006:$AS$1006,0)))),"Fix")))</f>
        <v xml:space="preserve"> </v>
      </c>
      <c r="O915" s="4" t="str">
        <f ca="1">IF(OR(INDEX($W$2:$W$1001,MATCH(ROWS($V$2:V915),$V$2:$V$1001,0),1)&gt;=100000,INDEX($AC$1005:$AS$1005,1,MATCH(COLUMNS($AC$1006:AP1006),$AC$1006:$AS$1006,0))&gt;=100000), " ",IF(INDEX($AC$2:$AS$1001,MATCH(ROWS($V$2:V915),$V$2:$V$1001,0),MATCH(COLUMNS($AC$1006:AP1006),$AC$1006:$AS$1006,0)), HYPERLINK("#",""), HYPERLINK(CONCATENATE("#metadata!", ADDRESS(INDEX($X$2:$X$1001,MATCH(ROWS($V$2:V915),$V$2:$V$1001,0),0), INDEX($AC$1004:$AS$1004,1,MATCH(COLUMNS($AC$1006:AP1006),$AC$1006:$AS$1006,0)))),"Fix")))</f>
        <v xml:space="preserve"> </v>
      </c>
      <c r="P915" s="4" t="str">
        <f ca="1">IF(OR(INDEX($W$2:$W$1001,MATCH(ROWS($V$2:V915),$V$2:$V$1001,0),1)&gt;=100000,INDEX($AC$1005:$AS$1005,1,MATCH(COLUMNS($AC$1006:AQ1006),$AC$1006:$AS$1006,0))&gt;=100000), " ",IF(INDEX($AC$2:$AS$1001,MATCH(ROWS($V$2:V915),$V$2:$V$1001,0),MATCH(COLUMNS($AC$1006:AQ1006),$AC$1006:$AS$1006,0)), HYPERLINK("#",""), HYPERLINK(CONCATENATE("#metadata!", ADDRESS(INDEX($X$2:$X$1001,MATCH(ROWS($V$2:V915),$V$2:$V$1001,0),0), INDEX($AC$1004:$AS$1004,1,MATCH(COLUMNS($AC$1006:AQ1006),$AC$1006:$AS$1006,0)))),"Fix")))</f>
        <v xml:space="preserve"> </v>
      </c>
      <c r="Q915" s="4" t="str">
        <f ca="1">IF(OR(INDEX($W$2:$W$1001,MATCH(ROWS($V$2:V915),$V$2:$V$1001,0),1)&gt;=100000,INDEX($AC$1005:$AS$1005,1,MATCH(COLUMNS($AC$1006:AR1006),$AC$1006:$AS$1006,0))&gt;=100000), " ",IF(INDEX($AC$2:$AS$1001,MATCH(ROWS($V$2:V915),$V$2:$V$1001,0),MATCH(COLUMNS($AC$1006:AR1006),$AC$1006:$AS$1006,0)), HYPERLINK("#",""), HYPERLINK(CONCATENATE("#metadata!", ADDRESS(INDEX($X$2:$X$1001,MATCH(ROWS($V$2:V915),$V$2:$V$1001,0),0), INDEX($AC$1004:$AS$1004,1,MATCH(COLUMNS($AC$1006:AR1006),$AC$1006:$AS$1006,0)))),"Fix")))</f>
        <v xml:space="preserve"> </v>
      </c>
      <c r="R915" s="4" t="str">
        <f ca="1">IF(OR(INDEX($W$2:$W$1001,MATCH(ROWS($V$2:V915),$V$2:$V$1001,0),1)&gt;=100000,INDEX($AC$1005:$AS$1005,1,MATCH(COLUMNS($AC$1006:AS1006),$AC$1006:$AS$1006,0))&gt;=100000), " ",IF(INDEX($AC$2:$AS$1001,MATCH(ROWS($V$2:V915),$V$2:$V$1001,0),MATCH(COLUMNS($AC$1006:AS1006),$AC$1006:$AS$1006,0)), HYPERLINK("#",""), HYPERLINK(CONCATENATE("#metadata!", ADDRESS(INDEX($X$2:$X$1001,MATCH(ROWS($V$2:V915),$V$2:$V$1001,0),0), INDEX($AC$1004:$AS$1004,1,MATCH(COLUMNS($AC$1006:AS1006),$AC$1006:$AS$1006,0)))),"Fix")))</f>
        <v xml:space="preserve"> </v>
      </c>
      <c r="V915">
        <v>914</v>
      </c>
      <c r="W915">
        <v>100915</v>
      </c>
      <c r="X915">
        <v>915</v>
      </c>
      <c r="Y915" t="b">
        <f t="shared" si="14"/>
        <v>1</v>
      </c>
      <c r="Z915" t="b">
        <f>COUNTBLANK(metadata!B915:R915)=COLUMNS(metadata!B915:R915)</f>
        <v>1</v>
      </c>
      <c r="AA915" t="str">
        <v/>
      </c>
      <c r="AC915" t="b">
        <f ca="1"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AD915" t="b">
        <f>IF(metadata!C915="",FALSE,ISNUMBER(VALUE(metadata!C915)))</f>
        <v>0</v>
      </c>
      <c r="AE915" t="b">
        <f>AND(IF(metadata!D915="",FALSE,TRUE),EXACT(metadata!D915,"years"))</f>
        <v>0</v>
      </c>
      <c r="AF915" t="b">
        <f>OR(AND(IF(metadata!E915="",FALSE,TRUE),OR(EXACT(metadata!E915,"not applicable"),EXACT(metadata!E915,"missing: not collected"),EXACT(metadata!E915,"missing: not provided"),EXACT(metadata!E915,"missing: restricted access"))),AND(IF(metadata!E915="",FALSE,ISNUMBER(VALUE(metadata!E915))),metadata!E915&gt;0))</f>
        <v>0</v>
      </c>
      <c r="AG915" t="b">
        <f>AND(IF(metadata!F915="",FALSE,TRUE),EXACT(metadata!F915,"Not applicable"))</f>
        <v>0</v>
      </c>
      <c r="AH915" t="b">
        <f>AND(IF(metadata!G915="",FALSE,TRUE),EXACT(metadata!G915,"urban biome"))</f>
        <v>0</v>
      </c>
      <c r="AI915" t="b">
        <f>AND(IF(metadata!H915="",FALSE,TRUE),EXACT(metadata!H915,"human-associated habitat"))</f>
        <v>0</v>
      </c>
      <c r="AJ915" t="b">
        <f>AND(IF(metadata!I915="",FALSE,TRUE),OR(EXACT(metadata!I915,"human-associated"),EXACT(metadata!I915,"human-skin"),EXACT(metadata!I915,"human-oral"),EXACT(metadata!I915,"human-gut"),EXACT(metadata!I915,"human-vaginal")))</f>
        <v>0</v>
      </c>
      <c r="AK915" t="b">
        <f>IF(metadata!J915="",FALSE,ISNUMBER(VALUE(metadata!J915)))</f>
        <v>0</v>
      </c>
      <c r="AL915" t="b">
        <f>AND(IF(metadata!K915="",FALSE,TRUE),EXACT(metadata!K915,"cm"))</f>
        <v>0</v>
      </c>
      <c r="AM915" t="b">
        <f>AND(IF(metadata!L915="",FALSE,TRUE),EXACT(metadata!L915,"human"))</f>
        <v>0</v>
      </c>
      <c r="AN915" t="b">
        <f>AND(IF(metadata!M915="",FALSE,TRUE),EXACT(metadata!M915,"Homo sapiens"))</f>
        <v>0</v>
      </c>
      <c r="AO915" t="b">
        <f>AND(IF(metadata!N915="",FALSE,TRUE),EXACT(metadata!N915,"9606"))</f>
        <v>0</v>
      </c>
      <c r="AP915" t="b">
        <f>IF(metadata!O915="",FALSE,TRUE)</f>
        <v>0</v>
      </c>
      <c r="AQ915" t="b">
        <f>IF(metadata!P915="",FALSE,TRUE)</f>
        <v>0</v>
      </c>
      <c r="AR915" t="b">
        <f>IF(metadata!Q915="",FALSE,ISNUMBER(VALUE(metadata!Q915)))</f>
        <v>0</v>
      </c>
      <c r="AS915" t="b">
        <f>AND(IF(metadata!R915="",FALSE,TRUE),EXACT(metadata!R915,"kg"))</f>
        <v>0</v>
      </c>
    </row>
    <row r="916" spans="1:45" x14ac:dyDescent="0.2">
      <c r="A916" s="5" t="str">
        <f ca="1">IF(B916=" "," ",HYPERLINK(CONCATENATE("#metadata!",ADDRESS(INDEX($X$2:$X$1001,MATCH(ROWS($V$2:V916),$V$2:$V$1001,0),0),1)),INDEX($AA$2:$AA$1001,MATCH(ROWS($V$2:V916),$V$2:$V$1001,0),0)))</f>
        <v xml:space="preserve"> </v>
      </c>
      <c r="B916" s="4" t="str">
        <f ca="1">IF(OR(INDEX($W$2:$W$1001,MATCH(ROWS($V$2:V916),$V$2:$V$1001,0),1)&gt;=100000,INDEX($AC$1005:$AS$1005,1,MATCH(COLUMNS($AC$1006:AC1006),$AC$1006:$AS$1006,0))&gt;=100000), " ",IF(INDEX($AC$2:$AS$1001,MATCH(ROWS($V$2:V916),$V$2:$V$1001,0),MATCH(COLUMNS($AC$1006:AC1006),$AC$1006:$AS$1006,0)), HYPERLINK("#",""), HYPERLINK(CONCATENATE("#metadata!", ADDRESS(INDEX($X$2:$X$1001,MATCH(ROWS($V$2:V916),$V$2:$V$1001,0),0), INDEX($AC$1004:$AS$1004,1,MATCH(COLUMNS($AC$1006:AC1006),$AC$1006:$AS$1006,0)))),"Fix")))</f>
        <v xml:space="preserve"> </v>
      </c>
      <c r="C916" s="4" t="str">
        <f ca="1">IF(OR(INDEX($W$2:$W$1001,MATCH(ROWS($V$2:V916),$V$2:$V$1001,0),1)&gt;=100000,INDEX($AC$1005:$AS$1005,1,MATCH(COLUMNS($AC$1006:AD1006),$AC$1006:$AS$1006,0))&gt;=100000), " ",IF(INDEX($AC$2:$AS$1001,MATCH(ROWS($V$2:V916),$V$2:$V$1001,0),MATCH(COLUMNS($AC$1006:AD1006),$AC$1006:$AS$1006,0)), HYPERLINK("#",""), HYPERLINK(CONCATENATE("#metadata!", ADDRESS(INDEX($X$2:$X$1001,MATCH(ROWS($V$2:V916),$V$2:$V$1001,0),0), INDEX($AC$1004:$AS$1004,1,MATCH(COLUMNS($AC$1006:AD1006),$AC$1006:$AS$1006,0)))),"Fix")))</f>
        <v xml:space="preserve"> </v>
      </c>
      <c r="D916" s="4" t="str">
        <f ca="1">IF(OR(INDEX($W$2:$W$1001,MATCH(ROWS($V$2:V916),$V$2:$V$1001,0),1)&gt;=100000,INDEX($AC$1005:$AS$1005,1,MATCH(COLUMNS($AC$1006:AE1006),$AC$1006:$AS$1006,0))&gt;=100000), " ",IF(INDEX($AC$2:$AS$1001,MATCH(ROWS($V$2:V916),$V$2:$V$1001,0),MATCH(COLUMNS($AC$1006:AE1006),$AC$1006:$AS$1006,0)), HYPERLINK("#",""), HYPERLINK(CONCATENATE("#metadata!", ADDRESS(INDEX($X$2:$X$1001,MATCH(ROWS($V$2:V916),$V$2:$V$1001,0),0), INDEX($AC$1004:$AS$1004,1,MATCH(COLUMNS($AC$1006:AE1006),$AC$1006:$AS$1006,0)))),"Fix")))</f>
        <v xml:space="preserve"> </v>
      </c>
      <c r="E916" s="4" t="str">
        <f ca="1">IF(OR(INDEX($W$2:$W$1001,MATCH(ROWS($V$2:V916),$V$2:$V$1001,0),1)&gt;=100000,INDEX($AC$1005:$AS$1005,1,MATCH(COLUMNS($AC$1006:AF1006),$AC$1006:$AS$1006,0))&gt;=100000), " ",IF(INDEX($AC$2:$AS$1001,MATCH(ROWS($V$2:V916),$V$2:$V$1001,0),MATCH(COLUMNS($AC$1006:AF1006),$AC$1006:$AS$1006,0)), HYPERLINK("#",""), HYPERLINK(CONCATENATE("#metadata!", ADDRESS(INDEX($X$2:$X$1001,MATCH(ROWS($V$2:V916),$V$2:$V$1001,0),0), INDEX($AC$1004:$AS$1004,1,MATCH(COLUMNS($AC$1006:AF1006),$AC$1006:$AS$1006,0)))),"Fix")))</f>
        <v xml:space="preserve"> </v>
      </c>
      <c r="F916" s="4" t="str">
        <f ca="1">IF(OR(INDEX($W$2:$W$1001,MATCH(ROWS($V$2:V916),$V$2:$V$1001,0),1)&gt;=100000,INDEX($AC$1005:$AS$1005,1,MATCH(COLUMNS($AC$1006:AG1006),$AC$1006:$AS$1006,0))&gt;=100000), " ",IF(INDEX($AC$2:$AS$1001,MATCH(ROWS($V$2:V916),$V$2:$V$1001,0),MATCH(COLUMNS($AC$1006:AG1006),$AC$1006:$AS$1006,0)), HYPERLINK("#",""), HYPERLINK(CONCATENATE("#metadata!", ADDRESS(INDEX($X$2:$X$1001,MATCH(ROWS($V$2:V916),$V$2:$V$1001,0),0), INDEX($AC$1004:$AS$1004,1,MATCH(COLUMNS($AC$1006:AG1006),$AC$1006:$AS$1006,0)))),"Fix")))</f>
        <v xml:space="preserve"> </v>
      </c>
      <c r="G916" s="4" t="str">
        <f ca="1">IF(OR(INDEX($W$2:$W$1001,MATCH(ROWS($V$2:V916),$V$2:$V$1001,0),1)&gt;=100000,INDEX($AC$1005:$AS$1005,1,MATCH(COLUMNS($AC$1006:AH1006),$AC$1006:$AS$1006,0))&gt;=100000), " ",IF(INDEX($AC$2:$AS$1001,MATCH(ROWS($V$2:V916),$V$2:$V$1001,0),MATCH(COLUMNS($AC$1006:AH1006),$AC$1006:$AS$1006,0)), HYPERLINK("#",""), HYPERLINK(CONCATENATE("#metadata!", ADDRESS(INDEX($X$2:$X$1001,MATCH(ROWS($V$2:V916),$V$2:$V$1001,0),0), INDEX($AC$1004:$AS$1004,1,MATCH(COLUMNS($AC$1006:AH1006),$AC$1006:$AS$1006,0)))),"Fix")))</f>
        <v xml:space="preserve"> </v>
      </c>
      <c r="H916" s="4" t="str">
        <f ca="1">IF(OR(INDEX($W$2:$W$1001,MATCH(ROWS($V$2:V916),$V$2:$V$1001,0),1)&gt;=100000,INDEX($AC$1005:$AS$1005,1,MATCH(COLUMNS($AC$1006:AI1006),$AC$1006:$AS$1006,0))&gt;=100000), " ",IF(INDEX($AC$2:$AS$1001,MATCH(ROWS($V$2:V916),$V$2:$V$1001,0),MATCH(COLUMNS($AC$1006:AI1006),$AC$1006:$AS$1006,0)), HYPERLINK("#",""), HYPERLINK(CONCATENATE("#metadata!", ADDRESS(INDEX($X$2:$X$1001,MATCH(ROWS($V$2:V916),$V$2:$V$1001,0),0), INDEX($AC$1004:$AS$1004,1,MATCH(COLUMNS($AC$1006:AI1006),$AC$1006:$AS$1006,0)))),"Fix")))</f>
        <v xml:space="preserve"> </v>
      </c>
      <c r="I916" s="4" t="str">
        <f ca="1">IF(OR(INDEX($W$2:$W$1001,MATCH(ROWS($V$2:V916),$V$2:$V$1001,0),1)&gt;=100000,INDEX($AC$1005:$AS$1005,1,MATCH(COLUMNS($AC$1006:AJ1006),$AC$1006:$AS$1006,0))&gt;=100000), " ",IF(INDEX($AC$2:$AS$1001,MATCH(ROWS($V$2:V916),$V$2:$V$1001,0),MATCH(COLUMNS($AC$1006:AJ1006),$AC$1006:$AS$1006,0)), HYPERLINK("#",""), HYPERLINK(CONCATENATE("#metadata!", ADDRESS(INDEX($X$2:$X$1001,MATCH(ROWS($V$2:V916),$V$2:$V$1001,0),0), INDEX($AC$1004:$AS$1004,1,MATCH(COLUMNS($AC$1006:AJ1006),$AC$1006:$AS$1006,0)))),"Fix")))</f>
        <v xml:space="preserve"> </v>
      </c>
      <c r="J916" s="4" t="str">
        <f ca="1">IF(OR(INDEX($W$2:$W$1001,MATCH(ROWS($V$2:V916),$V$2:$V$1001,0),1)&gt;=100000,INDEX($AC$1005:$AS$1005,1,MATCH(COLUMNS($AC$1006:AK1006),$AC$1006:$AS$1006,0))&gt;=100000), " ",IF(INDEX($AC$2:$AS$1001,MATCH(ROWS($V$2:V916),$V$2:$V$1001,0),MATCH(COLUMNS($AC$1006:AK1006),$AC$1006:$AS$1006,0)), HYPERLINK("#",""), HYPERLINK(CONCATENATE("#metadata!", ADDRESS(INDEX($X$2:$X$1001,MATCH(ROWS($V$2:V916),$V$2:$V$1001,0),0), INDEX($AC$1004:$AS$1004,1,MATCH(COLUMNS($AC$1006:AK1006),$AC$1006:$AS$1006,0)))),"Fix")))</f>
        <v xml:space="preserve"> </v>
      </c>
      <c r="K916" s="4" t="str">
        <f ca="1">IF(OR(INDEX($W$2:$W$1001,MATCH(ROWS($V$2:V916),$V$2:$V$1001,0),1)&gt;=100000,INDEX($AC$1005:$AS$1005,1,MATCH(COLUMNS($AC$1006:AL1006),$AC$1006:$AS$1006,0))&gt;=100000), " ",IF(INDEX($AC$2:$AS$1001,MATCH(ROWS($V$2:V916),$V$2:$V$1001,0),MATCH(COLUMNS($AC$1006:AL1006),$AC$1006:$AS$1006,0)), HYPERLINK("#",""), HYPERLINK(CONCATENATE("#metadata!", ADDRESS(INDEX($X$2:$X$1001,MATCH(ROWS($V$2:V916),$V$2:$V$1001,0),0), INDEX($AC$1004:$AS$1004,1,MATCH(COLUMNS($AC$1006:AL1006),$AC$1006:$AS$1006,0)))),"Fix")))</f>
        <v xml:space="preserve"> </v>
      </c>
      <c r="L916" s="4" t="str">
        <f ca="1">IF(OR(INDEX($W$2:$W$1001,MATCH(ROWS($V$2:V916),$V$2:$V$1001,0),1)&gt;=100000,INDEX($AC$1005:$AS$1005,1,MATCH(COLUMNS($AC$1006:AM1006),$AC$1006:$AS$1006,0))&gt;=100000), " ",IF(INDEX($AC$2:$AS$1001,MATCH(ROWS($V$2:V916),$V$2:$V$1001,0),MATCH(COLUMNS($AC$1006:AM1006),$AC$1006:$AS$1006,0)), HYPERLINK("#",""), HYPERLINK(CONCATENATE("#metadata!", ADDRESS(INDEX($X$2:$X$1001,MATCH(ROWS($V$2:V916),$V$2:$V$1001,0),0), INDEX($AC$1004:$AS$1004,1,MATCH(COLUMNS($AC$1006:AM1006),$AC$1006:$AS$1006,0)))),"Fix")))</f>
        <v xml:space="preserve"> </v>
      </c>
      <c r="M916" s="4" t="str">
        <f ca="1">IF(OR(INDEX($W$2:$W$1001,MATCH(ROWS($V$2:V916),$V$2:$V$1001,0),1)&gt;=100000,INDEX($AC$1005:$AS$1005,1,MATCH(COLUMNS($AC$1006:AN1006),$AC$1006:$AS$1006,0))&gt;=100000), " ",IF(INDEX($AC$2:$AS$1001,MATCH(ROWS($V$2:V916),$V$2:$V$1001,0),MATCH(COLUMNS($AC$1006:AN1006),$AC$1006:$AS$1006,0)), HYPERLINK("#",""), HYPERLINK(CONCATENATE("#metadata!", ADDRESS(INDEX($X$2:$X$1001,MATCH(ROWS($V$2:V916),$V$2:$V$1001,0),0), INDEX($AC$1004:$AS$1004,1,MATCH(COLUMNS($AC$1006:AN1006),$AC$1006:$AS$1006,0)))),"Fix")))</f>
        <v xml:space="preserve"> </v>
      </c>
      <c r="N916" s="4" t="str">
        <f ca="1">IF(OR(INDEX($W$2:$W$1001,MATCH(ROWS($V$2:V916),$V$2:$V$1001,0),1)&gt;=100000,INDEX($AC$1005:$AS$1005,1,MATCH(COLUMNS($AC$1006:AO1006),$AC$1006:$AS$1006,0))&gt;=100000), " ",IF(INDEX($AC$2:$AS$1001,MATCH(ROWS($V$2:V916),$V$2:$V$1001,0),MATCH(COLUMNS($AC$1006:AO1006),$AC$1006:$AS$1006,0)), HYPERLINK("#",""), HYPERLINK(CONCATENATE("#metadata!", ADDRESS(INDEX($X$2:$X$1001,MATCH(ROWS($V$2:V916),$V$2:$V$1001,0),0), INDEX($AC$1004:$AS$1004,1,MATCH(COLUMNS($AC$1006:AO1006),$AC$1006:$AS$1006,0)))),"Fix")))</f>
        <v xml:space="preserve"> </v>
      </c>
      <c r="O916" s="4" t="str">
        <f ca="1">IF(OR(INDEX($W$2:$W$1001,MATCH(ROWS($V$2:V916),$V$2:$V$1001,0),1)&gt;=100000,INDEX($AC$1005:$AS$1005,1,MATCH(COLUMNS($AC$1006:AP1006),$AC$1006:$AS$1006,0))&gt;=100000), " ",IF(INDEX($AC$2:$AS$1001,MATCH(ROWS($V$2:V916),$V$2:$V$1001,0),MATCH(COLUMNS($AC$1006:AP1006),$AC$1006:$AS$1006,0)), HYPERLINK("#",""), HYPERLINK(CONCATENATE("#metadata!", ADDRESS(INDEX($X$2:$X$1001,MATCH(ROWS($V$2:V916),$V$2:$V$1001,0),0), INDEX($AC$1004:$AS$1004,1,MATCH(COLUMNS($AC$1006:AP1006),$AC$1006:$AS$1006,0)))),"Fix")))</f>
        <v xml:space="preserve"> </v>
      </c>
      <c r="P916" s="4" t="str">
        <f ca="1">IF(OR(INDEX($W$2:$W$1001,MATCH(ROWS($V$2:V916),$V$2:$V$1001,0),1)&gt;=100000,INDEX($AC$1005:$AS$1005,1,MATCH(COLUMNS($AC$1006:AQ1006),$AC$1006:$AS$1006,0))&gt;=100000), " ",IF(INDEX($AC$2:$AS$1001,MATCH(ROWS($V$2:V916),$V$2:$V$1001,0),MATCH(COLUMNS($AC$1006:AQ1006),$AC$1006:$AS$1006,0)), HYPERLINK("#",""), HYPERLINK(CONCATENATE("#metadata!", ADDRESS(INDEX($X$2:$X$1001,MATCH(ROWS($V$2:V916),$V$2:$V$1001,0),0), INDEX($AC$1004:$AS$1004,1,MATCH(COLUMNS($AC$1006:AQ1006),$AC$1006:$AS$1006,0)))),"Fix")))</f>
        <v xml:space="preserve"> </v>
      </c>
      <c r="Q916" s="4" t="str">
        <f ca="1">IF(OR(INDEX($W$2:$W$1001,MATCH(ROWS($V$2:V916),$V$2:$V$1001,0),1)&gt;=100000,INDEX($AC$1005:$AS$1005,1,MATCH(COLUMNS($AC$1006:AR1006),$AC$1006:$AS$1006,0))&gt;=100000), " ",IF(INDEX($AC$2:$AS$1001,MATCH(ROWS($V$2:V916),$V$2:$V$1001,0),MATCH(COLUMNS($AC$1006:AR1006),$AC$1006:$AS$1006,0)), HYPERLINK("#",""), HYPERLINK(CONCATENATE("#metadata!", ADDRESS(INDEX($X$2:$X$1001,MATCH(ROWS($V$2:V916),$V$2:$V$1001,0),0), INDEX($AC$1004:$AS$1004,1,MATCH(COLUMNS($AC$1006:AR1006),$AC$1006:$AS$1006,0)))),"Fix")))</f>
        <v xml:space="preserve"> </v>
      </c>
      <c r="R916" s="4" t="str">
        <f ca="1">IF(OR(INDEX($W$2:$W$1001,MATCH(ROWS($V$2:V916),$V$2:$V$1001,0),1)&gt;=100000,INDEX($AC$1005:$AS$1005,1,MATCH(COLUMNS($AC$1006:AS1006),$AC$1006:$AS$1006,0))&gt;=100000), " ",IF(INDEX($AC$2:$AS$1001,MATCH(ROWS($V$2:V916),$V$2:$V$1001,0),MATCH(COLUMNS($AC$1006:AS1006),$AC$1006:$AS$1006,0)), HYPERLINK("#",""), HYPERLINK(CONCATENATE("#metadata!", ADDRESS(INDEX($X$2:$X$1001,MATCH(ROWS($V$2:V916),$V$2:$V$1001,0),0), INDEX($AC$1004:$AS$1004,1,MATCH(COLUMNS($AC$1006:AS1006),$AC$1006:$AS$1006,0)))),"Fix")))</f>
        <v xml:space="preserve"> </v>
      </c>
      <c r="V916">
        <v>915</v>
      </c>
      <c r="W916">
        <v>100916</v>
      </c>
      <c r="X916">
        <v>916</v>
      </c>
      <c r="Y916" t="b">
        <f t="shared" si="14"/>
        <v>1</v>
      </c>
      <c r="Z916" t="b">
        <f>COUNTBLANK(metadata!B916:R916)=COLUMNS(metadata!B916:R916)</f>
        <v>1</v>
      </c>
      <c r="AA916" t="str">
        <v/>
      </c>
      <c r="AC916" t="b">
        <f ca="1"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AD916" t="b">
        <f>IF(metadata!C916="",FALSE,ISNUMBER(VALUE(metadata!C916)))</f>
        <v>0</v>
      </c>
      <c r="AE916" t="b">
        <f>AND(IF(metadata!D916="",FALSE,TRUE),EXACT(metadata!D916,"years"))</f>
        <v>0</v>
      </c>
      <c r="AF916" t="b">
        <f>OR(AND(IF(metadata!E916="",FALSE,TRUE),OR(EXACT(metadata!E916,"not applicable"),EXACT(metadata!E916,"missing: not collected"),EXACT(metadata!E916,"missing: not provided"),EXACT(metadata!E916,"missing: restricted access"))),AND(IF(metadata!E916="",FALSE,ISNUMBER(VALUE(metadata!E916))),metadata!E916&gt;0))</f>
        <v>0</v>
      </c>
      <c r="AG916" t="b">
        <f>AND(IF(metadata!F916="",FALSE,TRUE),EXACT(metadata!F916,"Not applicable"))</f>
        <v>0</v>
      </c>
      <c r="AH916" t="b">
        <f>AND(IF(metadata!G916="",FALSE,TRUE),EXACT(metadata!G916,"urban biome"))</f>
        <v>0</v>
      </c>
      <c r="AI916" t="b">
        <f>AND(IF(metadata!H916="",FALSE,TRUE),EXACT(metadata!H916,"human-associated habitat"))</f>
        <v>0</v>
      </c>
      <c r="AJ916" t="b">
        <f>AND(IF(metadata!I916="",FALSE,TRUE),OR(EXACT(metadata!I916,"human-associated"),EXACT(metadata!I916,"human-skin"),EXACT(metadata!I916,"human-oral"),EXACT(metadata!I916,"human-gut"),EXACT(metadata!I916,"human-vaginal")))</f>
        <v>0</v>
      </c>
      <c r="AK916" t="b">
        <f>IF(metadata!J916="",FALSE,ISNUMBER(VALUE(metadata!J916)))</f>
        <v>0</v>
      </c>
      <c r="AL916" t="b">
        <f>AND(IF(metadata!K916="",FALSE,TRUE),EXACT(metadata!K916,"cm"))</f>
        <v>0</v>
      </c>
      <c r="AM916" t="b">
        <f>AND(IF(metadata!L916="",FALSE,TRUE),EXACT(metadata!L916,"human"))</f>
        <v>0</v>
      </c>
      <c r="AN916" t="b">
        <f>AND(IF(metadata!M916="",FALSE,TRUE),EXACT(metadata!M916,"Homo sapiens"))</f>
        <v>0</v>
      </c>
      <c r="AO916" t="b">
        <f>AND(IF(metadata!N916="",FALSE,TRUE),EXACT(metadata!N916,"9606"))</f>
        <v>0</v>
      </c>
      <c r="AP916" t="b">
        <f>IF(metadata!O916="",FALSE,TRUE)</f>
        <v>0</v>
      </c>
      <c r="AQ916" t="b">
        <f>IF(metadata!P916="",FALSE,TRUE)</f>
        <v>0</v>
      </c>
      <c r="AR916" t="b">
        <f>IF(metadata!Q916="",FALSE,ISNUMBER(VALUE(metadata!Q916)))</f>
        <v>0</v>
      </c>
      <c r="AS916" t="b">
        <f>AND(IF(metadata!R916="",FALSE,TRUE),EXACT(metadata!R916,"kg"))</f>
        <v>0</v>
      </c>
    </row>
    <row r="917" spans="1:45" x14ac:dyDescent="0.2">
      <c r="A917" s="5" t="str">
        <f ca="1">IF(B917=" "," ",HYPERLINK(CONCATENATE("#metadata!",ADDRESS(INDEX($X$2:$X$1001,MATCH(ROWS($V$2:V917),$V$2:$V$1001,0),0),1)),INDEX($AA$2:$AA$1001,MATCH(ROWS($V$2:V917),$V$2:$V$1001,0),0)))</f>
        <v xml:space="preserve"> </v>
      </c>
      <c r="B917" s="4" t="str">
        <f ca="1">IF(OR(INDEX($W$2:$W$1001,MATCH(ROWS($V$2:V917),$V$2:$V$1001,0),1)&gt;=100000,INDEX($AC$1005:$AS$1005,1,MATCH(COLUMNS($AC$1006:AC1006),$AC$1006:$AS$1006,0))&gt;=100000), " ",IF(INDEX($AC$2:$AS$1001,MATCH(ROWS($V$2:V917),$V$2:$V$1001,0),MATCH(COLUMNS($AC$1006:AC1006),$AC$1006:$AS$1006,0)), HYPERLINK("#",""), HYPERLINK(CONCATENATE("#metadata!", ADDRESS(INDEX($X$2:$X$1001,MATCH(ROWS($V$2:V917),$V$2:$V$1001,0),0), INDEX($AC$1004:$AS$1004,1,MATCH(COLUMNS($AC$1006:AC1006),$AC$1006:$AS$1006,0)))),"Fix")))</f>
        <v xml:space="preserve"> </v>
      </c>
      <c r="C917" s="4" t="str">
        <f ca="1">IF(OR(INDEX($W$2:$W$1001,MATCH(ROWS($V$2:V917),$V$2:$V$1001,0),1)&gt;=100000,INDEX($AC$1005:$AS$1005,1,MATCH(COLUMNS($AC$1006:AD1006),$AC$1006:$AS$1006,0))&gt;=100000), " ",IF(INDEX($AC$2:$AS$1001,MATCH(ROWS($V$2:V917),$V$2:$V$1001,0),MATCH(COLUMNS($AC$1006:AD1006),$AC$1006:$AS$1006,0)), HYPERLINK("#",""), HYPERLINK(CONCATENATE("#metadata!", ADDRESS(INDEX($X$2:$X$1001,MATCH(ROWS($V$2:V917),$V$2:$V$1001,0),0), INDEX($AC$1004:$AS$1004,1,MATCH(COLUMNS($AC$1006:AD1006),$AC$1006:$AS$1006,0)))),"Fix")))</f>
        <v xml:space="preserve"> </v>
      </c>
      <c r="D917" s="4" t="str">
        <f ca="1">IF(OR(INDEX($W$2:$W$1001,MATCH(ROWS($V$2:V917),$V$2:$V$1001,0),1)&gt;=100000,INDEX($AC$1005:$AS$1005,1,MATCH(COLUMNS($AC$1006:AE1006),$AC$1006:$AS$1006,0))&gt;=100000), " ",IF(INDEX($AC$2:$AS$1001,MATCH(ROWS($V$2:V917),$V$2:$V$1001,0),MATCH(COLUMNS($AC$1006:AE1006),$AC$1006:$AS$1006,0)), HYPERLINK("#",""), HYPERLINK(CONCATENATE("#metadata!", ADDRESS(INDEX($X$2:$X$1001,MATCH(ROWS($V$2:V917),$V$2:$V$1001,0),0), INDEX($AC$1004:$AS$1004,1,MATCH(COLUMNS($AC$1006:AE1006),$AC$1006:$AS$1006,0)))),"Fix")))</f>
        <v xml:space="preserve"> </v>
      </c>
      <c r="E917" s="4" t="str">
        <f ca="1">IF(OR(INDEX($W$2:$W$1001,MATCH(ROWS($V$2:V917),$V$2:$V$1001,0),1)&gt;=100000,INDEX($AC$1005:$AS$1005,1,MATCH(COLUMNS($AC$1006:AF1006),$AC$1006:$AS$1006,0))&gt;=100000), " ",IF(INDEX($AC$2:$AS$1001,MATCH(ROWS($V$2:V917),$V$2:$V$1001,0),MATCH(COLUMNS($AC$1006:AF1006),$AC$1006:$AS$1006,0)), HYPERLINK("#",""), HYPERLINK(CONCATENATE("#metadata!", ADDRESS(INDEX($X$2:$X$1001,MATCH(ROWS($V$2:V917),$V$2:$V$1001,0),0), INDEX($AC$1004:$AS$1004,1,MATCH(COLUMNS($AC$1006:AF1006),$AC$1006:$AS$1006,0)))),"Fix")))</f>
        <v xml:space="preserve"> </v>
      </c>
      <c r="F917" s="4" t="str">
        <f ca="1">IF(OR(INDEX($W$2:$W$1001,MATCH(ROWS($V$2:V917),$V$2:$V$1001,0),1)&gt;=100000,INDEX($AC$1005:$AS$1005,1,MATCH(COLUMNS($AC$1006:AG1006),$AC$1006:$AS$1006,0))&gt;=100000), " ",IF(INDEX($AC$2:$AS$1001,MATCH(ROWS($V$2:V917),$V$2:$V$1001,0),MATCH(COLUMNS($AC$1006:AG1006),$AC$1006:$AS$1006,0)), HYPERLINK("#",""), HYPERLINK(CONCATENATE("#metadata!", ADDRESS(INDEX($X$2:$X$1001,MATCH(ROWS($V$2:V917),$V$2:$V$1001,0),0), INDEX($AC$1004:$AS$1004,1,MATCH(COLUMNS($AC$1006:AG1006),$AC$1006:$AS$1006,0)))),"Fix")))</f>
        <v xml:space="preserve"> </v>
      </c>
      <c r="G917" s="4" t="str">
        <f ca="1">IF(OR(INDEX($W$2:$W$1001,MATCH(ROWS($V$2:V917),$V$2:$V$1001,0),1)&gt;=100000,INDEX($AC$1005:$AS$1005,1,MATCH(COLUMNS($AC$1006:AH1006),$AC$1006:$AS$1006,0))&gt;=100000), " ",IF(INDEX($AC$2:$AS$1001,MATCH(ROWS($V$2:V917),$V$2:$V$1001,0),MATCH(COLUMNS($AC$1006:AH1006),$AC$1006:$AS$1006,0)), HYPERLINK("#",""), HYPERLINK(CONCATENATE("#metadata!", ADDRESS(INDEX($X$2:$X$1001,MATCH(ROWS($V$2:V917),$V$2:$V$1001,0),0), INDEX($AC$1004:$AS$1004,1,MATCH(COLUMNS($AC$1006:AH1006),$AC$1006:$AS$1006,0)))),"Fix")))</f>
        <v xml:space="preserve"> </v>
      </c>
      <c r="H917" s="4" t="str">
        <f ca="1">IF(OR(INDEX($W$2:$W$1001,MATCH(ROWS($V$2:V917),$V$2:$V$1001,0),1)&gt;=100000,INDEX($AC$1005:$AS$1005,1,MATCH(COLUMNS($AC$1006:AI1006),$AC$1006:$AS$1006,0))&gt;=100000), " ",IF(INDEX($AC$2:$AS$1001,MATCH(ROWS($V$2:V917),$V$2:$V$1001,0),MATCH(COLUMNS($AC$1006:AI1006),$AC$1006:$AS$1006,0)), HYPERLINK("#",""), HYPERLINK(CONCATENATE("#metadata!", ADDRESS(INDEX($X$2:$X$1001,MATCH(ROWS($V$2:V917),$V$2:$V$1001,0),0), INDEX($AC$1004:$AS$1004,1,MATCH(COLUMNS($AC$1006:AI1006),$AC$1006:$AS$1006,0)))),"Fix")))</f>
        <v xml:space="preserve"> </v>
      </c>
      <c r="I917" s="4" t="str">
        <f ca="1">IF(OR(INDEX($W$2:$W$1001,MATCH(ROWS($V$2:V917),$V$2:$V$1001,0),1)&gt;=100000,INDEX($AC$1005:$AS$1005,1,MATCH(COLUMNS($AC$1006:AJ1006),$AC$1006:$AS$1006,0))&gt;=100000), " ",IF(INDEX($AC$2:$AS$1001,MATCH(ROWS($V$2:V917),$V$2:$V$1001,0),MATCH(COLUMNS($AC$1006:AJ1006),$AC$1006:$AS$1006,0)), HYPERLINK("#",""), HYPERLINK(CONCATENATE("#metadata!", ADDRESS(INDEX($X$2:$X$1001,MATCH(ROWS($V$2:V917),$V$2:$V$1001,0),0), INDEX($AC$1004:$AS$1004,1,MATCH(COLUMNS($AC$1006:AJ1006),$AC$1006:$AS$1006,0)))),"Fix")))</f>
        <v xml:space="preserve"> </v>
      </c>
      <c r="J917" s="4" t="str">
        <f ca="1">IF(OR(INDEX($W$2:$W$1001,MATCH(ROWS($V$2:V917),$V$2:$V$1001,0),1)&gt;=100000,INDEX($AC$1005:$AS$1005,1,MATCH(COLUMNS($AC$1006:AK1006),$AC$1006:$AS$1006,0))&gt;=100000), " ",IF(INDEX($AC$2:$AS$1001,MATCH(ROWS($V$2:V917),$V$2:$V$1001,0),MATCH(COLUMNS($AC$1006:AK1006),$AC$1006:$AS$1006,0)), HYPERLINK("#",""), HYPERLINK(CONCATENATE("#metadata!", ADDRESS(INDEX($X$2:$X$1001,MATCH(ROWS($V$2:V917),$V$2:$V$1001,0),0), INDEX($AC$1004:$AS$1004,1,MATCH(COLUMNS($AC$1006:AK1006),$AC$1006:$AS$1006,0)))),"Fix")))</f>
        <v xml:space="preserve"> </v>
      </c>
      <c r="K917" s="4" t="str">
        <f ca="1">IF(OR(INDEX($W$2:$W$1001,MATCH(ROWS($V$2:V917),$V$2:$V$1001,0),1)&gt;=100000,INDEX($AC$1005:$AS$1005,1,MATCH(COLUMNS($AC$1006:AL1006),$AC$1006:$AS$1006,0))&gt;=100000), " ",IF(INDEX($AC$2:$AS$1001,MATCH(ROWS($V$2:V917),$V$2:$V$1001,0),MATCH(COLUMNS($AC$1006:AL1006),$AC$1006:$AS$1006,0)), HYPERLINK("#",""), HYPERLINK(CONCATENATE("#metadata!", ADDRESS(INDEX($X$2:$X$1001,MATCH(ROWS($V$2:V917),$V$2:$V$1001,0),0), INDEX($AC$1004:$AS$1004,1,MATCH(COLUMNS($AC$1006:AL1006),$AC$1006:$AS$1006,0)))),"Fix")))</f>
        <v xml:space="preserve"> </v>
      </c>
      <c r="L917" s="4" t="str">
        <f ca="1">IF(OR(INDEX($W$2:$W$1001,MATCH(ROWS($V$2:V917),$V$2:$V$1001,0),1)&gt;=100000,INDEX($AC$1005:$AS$1005,1,MATCH(COLUMNS($AC$1006:AM1006),$AC$1006:$AS$1006,0))&gt;=100000), " ",IF(INDEX($AC$2:$AS$1001,MATCH(ROWS($V$2:V917),$V$2:$V$1001,0),MATCH(COLUMNS($AC$1006:AM1006),$AC$1006:$AS$1006,0)), HYPERLINK("#",""), HYPERLINK(CONCATENATE("#metadata!", ADDRESS(INDEX($X$2:$X$1001,MATCH(ROWS($V$2:V917),$V$2:$V$1001,0),0), INDEX($AC$1004:$AS$1004,1,MATCH(COLUMNS($AC$1006:AM1006),$AC$1006:$AS$1006,0)))),"Fix")))</f>
        <v xml:space="preserve"> </v>
      </c>
      <c r="M917" s="4" t="str">
        <f ca="1">IF(OR(INDEX($W$2:$W$1001,MATCH(ROWS($V$2:V917),$V$2:$V$1001,0),1)&gt;=100000,INDEX($AC$1005:$AS$1005,1,MATCH(COLUMNS($AC$1006:AN1006),$AC$1006:$AS$1006,0))&gt;=100000), " ",IF(INDEX($AC$2:$AS$1001,MATCH(ROWS($V$2:V917),$V$2:$V$1001,0),MATCH(COLUMNS($AC$1006:AN1006),$AC$1006:$AS$1006,0)), HYPERLINK("#",""), HYPERLINK(CONCATENATE("#metadata!", ADDRESS(INDEX($X$2:$X$1001,MATCH(ROWS($V$2:V917),$V$2:$V$1001,0),0), INDEX($AC$1004:$AS$1004,1,MATCH(COLUMNS($AC$1006:AN1006),$AC$1006:$AS$1006,0)))),"Fix")))</f>
        <v xml:space="preserve"> </v>
      </c>
      <c r="N917" s="4" t="str">
        <f ca="1">IF(OR(INDEX($W$2:$W$1001,MATCH(ROWS($V$2:V917),$V$2:$V$1001,0),1)&gt;=100000,INDEX($AC$1005:$AS$1005,1,MATCH(COLUMNS($AC$1006:AO1006),$AC$1006:$AS$1006,0))&gt;=100000), " ",IF(INDEX($AC$2:$AS$1001,MATCH(ROWS($V$2:V917),$V$2:$V$1001,0),MATCH(COLUMNS($AC$1006:AO1006),$AC$1006:$AS$1006,0)), HYPERLINK("#",""), HYPERLINK(CONCATENATE("#metadata!", ADDRESS(INDEX($X$2:$X$1001,MATCH(ROWS($V$2:V917),$V$2:$V$1001,0),0), INDEX($AC$1004:$AS$1004,1,MATCH(COLUMNS($AC$1006:AO1006),$AC$1006:$AS$1006,0)))),"Fix")))</f>
        <v xml:space="preserve"> </v>
      </c>
      <c r="O917" s="4" t="str">
        <f ca="1">IF(OR(INDEX($W$2:$W$1001,MATCH(ROWS($V$2:V917),$V$2:$V$1001,0),1)&gt;=100000,INDEX($AC$1005:$AS$1005,1,MATCH(COLUMNS($AC$1006:AP1006),$AC$1006:$AS$1006,0))&gt;=100000), " ",IF(INDEX($AC$2:$AS$1001,MATCH(ROWS($V$2:V917),$V$2:$V$1001,0),MATCH(COLUMNS($AC$1006:AP1006),$AC$1006:$AS$1006,0)), HYPERLINK("#",""), HYPERLINK(CONCATENATE("#metadata!", ADDRESS(INDEX($X$2:$X$1001,MATCH(ROWS($V$2:V917),$V$2:$V$1001,0),0), INDEX($AC$1004:$AS$1004,1,MATCH(COLUMNS($AC$1006:AP1006),$AC$1006:$AS$1006,0)))),"Fix")))</f>
        <v xml:space="preserve"> </v>
      </c>
      <c r="P917" s="4" t="str">
        <f ca="1">IF(OR(INDEX($W$2:$W$1001,MATCH(ROWS($V$2:V917),$V$2:$V$1001,0),1)&gt;=100000,INDEX($AC$1005:$AS$1005,1,MATCH(COLUMNS($AC$1006:AQ1006),$AC$1006:$AS$1006,0))&gt;=100000), " ",IF(INDEX($AC$2:$AS$1001,MATCH(ROWS($V$2:V917),$V$2:$V$1001,0),MATCH(COLUMNS($AC$1006:AQ1006),$AC$1006:$AS$1006,0)), HYPERLINK("#",""), HYPERLINK(CONCATENATE("#metadata!", ADDRESS(INDEX($X$2:$X$1001,MATCH(ROWS($V$2:V917),$V$2:$V$1001,0),0), INDEX($AC$1004:$AS$1004,1,MATCH(COLUMNS($AC$1006:AQ1006),$AC$1006:$AS$1006,0)))),"Fix")))</f>
        <v xml:space="preserve"> </v>
      </c>
      <c r="Q917" s="4" t="str">
        <f ca="1">IF(OR(INDEX($W$2:$W$1001,MATCH(ROWS($V$2:V917),$V$2:$V$1001,0),1)&gt;=100000,INDEX($AC$1005:$AS$1005,1,MATCH(COLUMNS($AC$1006:AR1006),$AC$1006:$AS$1006,0))&gt;=100000), " ",IF(INDEX($AC$2:$AS$1001,MATCH(ROWS($V$2:V917),$V$2:$V$1001,0),MATCH(COLUMNS($AC$1006:AR1006),$AC$1006:$AS$1006,0)), HYPERLINK("#",""), HYPERLINK(CONCATENATE("#metadata!", ADDRESS(INDEX($X$2:$X$1001,MATCH(ROWS($V$2:V917),$V$2:$V$1001,0),0), INDEX($AC$1004:$AS$1004,1,MATCH(COLUMNS($AC$1006:AR1006),$AC$1006:$AS$1006,0)))),"Fix")))</f>
        <v xml:space="preserve"> </v>
      </c>
      <c r="R917" s="4" t="str">
        <f ca="1">IF(OR(INDEX($W$2:$W$1001,MATCH(ROWS($V$2:V917),$V$2:$V$1001,0),1)&gt;=100000,INDEX($AC$1005:$AS$1005,1,MATCH(COLUMNS($AC$1006:AS1006),$AC$1006:$AS$1006,0))&gt;=100000), " ",IF(INDEX($AC$2:$AS$1001,MATCH(ROWS($V$2:V917),$V$2:$V$1001,0),MATCH(COLUMNS($AC$1006:AS1006),$AC$1006:$AS$1006,0)), HYPERLINK("#",""), HYPERLINK(CONCATENATE("#metadata!", ADDRESS(INDEX($X$2:$X$1001,MATCH(ROWS($V$2:V917),$V$2:$V$1001,0),0), INDEX($AC$1004:$AS$1004,1,MATCH(COLUMNS($AC$1006:AS1006),$AC$1006:$AS$1006,0)))),"Fix")))</f>
        <v xml:space="preserve"> </v>
      </c>
      <c r="V917">
        <v>916</v>
      </c>
      <c r="W917">
        <v>100917</v>
      </c>
      <c r="X917">
        <v>917</v>
      </c>
      <c r="Y917" t="b">
        <f t="shared" si="14"/>
        <v>1</v>
      </c>
      <c r="Z917" t="b">
        <f>COUNTBLANK(metadata!B917:R917)=COLUMNS(metadata!B917:R917)</f>
        <v>1</v>
      </c>
      <c r="AA917" t="str">
        <v/>
      </c>
      <c r="AC917" t="b">
        <f ca="1"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AD917" t="b">
        <f>IF(metadata!C917="",FALSE,ISNUMBER(VALUE(metadata!C917)))</f>
        <v>0</v>
      </c>
      <c r="AE917" t="b">
        <f>AND(IF(metadata!D917="",FALSE,TRUE),EXACT(metadata!D917,"years"))</f>
        <v>0</v>
      </c>
      <c r="AF917" t="b">
        <f>OR(AND(IF(metadata!E917="",FALSE,TRUE),OR(EXACT(metadata!E917,"not applicable"),EXACT(metadata!E917,"missing: not collected"),EXACT(metadata!E917,"missing: not provided"),EXACT(metadata!E917,"missing: restricted access"))),AND(IF(metadata!E917="",FALSE,ISNUMBER(VALUE(metadata!E917))),metadata!E917&gt;0))</f>
        <v>0</v>
      </c>
      <c r="AG917" t="b">
        <f>AND(IF(metadata!F917="",FALSE,TRUE),EXACT(metadata!F917,"Not applicable"))</f>
        <v>0</v>
      </c>
      <c r="AH917" t="b">
        <f>AND(IF(metadata!G917="",FALSE,TRUE),EXACT(metadata!G917,"urban biome"))</f>
        <v>0</v>
      </c>
      <c r="AI917" t="b">
        <f>AND(IF(metadata!H917="",FALSE,TRUE),EXACT(metadata!H917,"human-associated habitat"))</f>
        <v>0</v>
      </c>
      <c r="AJ917" t="b">
        <f>AND(IF(metadata!I917="",FALSE,TRUE),OR(EXACT(metadata!I917,"human-associated"),EXACT(metadata!I917,"human-skin"),EXACT(metadata!I917,"human-oral"),EXACT(metadata!I917,"human-gut"),EXACT(metadata!I917,"human-vaginal")))</f>
        <v>0</v>
      </c>
      <c r="AK917" t="b">
        <f>IF(metadata!J917="",FALSE,ISNUMBER(VALUE(metadata!J917)))</f>
        <v>0</v>
      </c>
      <c r="AL917" t="b">
        <f>AND(IF(metadata!K917="",FALSE,TRUE),EXACT(metadata!K917,"cm"))</f>
        <v>0</v>
      </c>
      <c r="AM917" t="b">
        <f>AND(IF(metadata!L917="",FALSE,TRUE),EXACT(metadata!L917,"human"))</f>
        <v>0</v>
      </c>
      <c r="AN917" t="b">
        <f>AND(IF(metadata!M917="",FALSE,TRUE),EXACT(metadata!M917,"Homo sapiens"))</f>
        <v>0</v>
      </c>
      <c r="AO917" t="b">
        <f>AND(IF(metadata!N917="",FALSE,TRUE),EXACT(metadata!N917,"9606"))</f>
        <v>0</v>
      </c>
      <c r="AP917" t="b">
        <f>IF(metadata!O917="",FALSE,TRUE)</f>
        <v>0</v>
      </c>
      <c r="AQ917" t="b">
        <f>IF(metadata!P917="",FALSE,TRUE)</f>
        <v>0</v>
      </c>
      <c r="AR917" t="b">
        <f>IF(metadata!Q917="",FALSE,ISNUMBER(VALUE(metadata!Q917)))</f>
        <v>0</v>
      </c>
      <c r="AS917" t="b">
        <f>AND(IF(metadata!R917="",FALSE,TRUE),EXACT(metadata!R917,"kg"))</f>
        <v>0</v>
      </c>
    </row>
    <row r="918" spans="1:45" x14ac:dyDescent="0.2">
      <c r="A918" s="5" t="str">
        <f ca="1">IF(B918=" "," ",HYPERLINK(CONCATENATE("#metadata!",ADDRESS(INDEX($X$2:$X$1001,MATCH(ROWS($V$2:V918),$V$2:$V$1001,0),0),1)),INDEX($AA$2:$AA$1001,MATCH(ROWS($V$2:V918),$V$2:$V$1001,0),0)))</f>
        <v xml:space="preserve"> </v>
      </c>
      <c r="B918" s="4" t="str">
        <f ca="1">IF(OR(INDEX($W$2:$W$1001,MATCH(ROWS($V$2:V918),$V$2:$V$1001,0),1)&gt;=100000,INDEX($AC$1005:$AS$1005,1,MATCH(COLUMNS($AC$1006:AC1006),$AC$1006:$AS$1006,0))&gt;=100000), " ",IF(INDEX($AC$2:$AS$1001,MATCH(ROWS($V$2:V918),$V$2:$V$1001,0),MATCH(COLUMNS($AC$1006:AC1006),$AC$1006:$AS$1006,0)), HYPERLINK("#",""), HYPERLINK(CONCATENATE("#metadata!", ADDRESS(INDEX($X$2:$X$1001,MATCH(ROWS($V$2:V918),$V$2:$V$1001,0),0), INDEX($AC$1004:$AS$1004,1,MATCH(COLUMNS($AC$1006:AC1006),$AC$1006:$AS$1006,0)))),"Fix")))</f>
        <v xml:space="preserve"> </v>
      </c>
      <c r="C918" s="4" t="str">
        <f ca="1">IF(OR(INDEX($W$2:$W$1001,MATCH(ROWS($V$2:V918),$V$2:$V$1001,0),1)&gt;=100000,INDEX($AC$1005:$AS$1005,1,MATCH(COLUMNS($AC$1006:AD1006),$AC$1006:$AS$1006,0))&gt;=100000), " ",IF(INDEX($AC$2:$AS$1001,MATCH(ROWS($V$2:V918),$V$2:$V$1001,0),MATCH(COLUMNS($AC$1006:AD1006),$AC$1006:$AS$1006,0)), HYPERLINK("#",""), HYPERLINK(CONCATENATE("#metadata!", ADDRESS(INDEX($X$2:$X$1001,MATCH(ROWS($V$2:V918),$V$2:$V$1001,0),0), INDEX($AC$1004:$AS$1004,1,MATCH(COLUMNS($AC$1006:AD1006),$AC$1006:$AS$1006,0)))),"Fix")))</f>
        <v xml:space="preserve"> </v>
      </c>
      <c r="D918" s="4" t="str">
        <f ca="1">IF(OR(INDEX($W$2:$W$1001,MATCH(ROWS($V$2:V918),$V$2:$V$1001,0),1)&gt;=100000,INDEX($AC$1005:$AS$1005,1,MATCH(COLUMNS($AC$1006:AE1006),$AC$1006:$AS$1006,0))&gt;=100000), " ",IF(INDEX($AC$2:$AS$1001,MATCH(ROWS($V$2:V918),$V$2:$V$1001,0),MATCH(COLUMNS($AC$1006:AE1006),$AC$1006:$AS$1006,0)), HYPERLINK("#",""), HYPERLINK(CONCATENATE("#metadata!", ADDRESS(INDEX($X$2:$X$1001,MATCH(ROWS($V$2:V918),$V$2:$V$1001,0),0), INDEX($AC$1004:$AS$1004,1,MATCH(COLUMNS($AC$1006:AE1006),$AC$1006:$AS$1006,0)))),"Fix")))</f>
        <v xml:space="preserve"> </v>
      </c>
      <c r="E918" s="4" t="str">
        <f ca="1">IF(OR(INDEX($W$2:$W$1001,MATCH(ROWS($V$2:V918),$V$2:$V$1001,0),1)&gt;=100000,INDEX($AC$1005:$AS$1005,1,MATCH(COLUMNS($AC$1006:AF1006),$AC$1006:$AS$1006,0))&gt;=100000), " ",IF(INDEX($AC$2:$AS$1001,MATCH(ROWS($V$2:V918),$V$2:$V$1001,0),MATCH(COLUMNS($AC$1006:AF1006),$AC$1006:$AS$1006,0)), HYPERLINK("#",""), HYPERLINK(CONCATENATE("#metadata!", ADDRESS(INDEX($X$2:$X$1001,MATCH(ROWS($V$2:V918),$V$2:$V$1001,0),0), INDEX($AC$1004:$AS$1004,1,MATCH(COLUMNS($AC$1006:AF1006),$AC$1006:$AS$1006,0)))),"Fix")))</f>
        <v xml:space="preserve"> </v>
      </c>
      <c r="F918" s="4" t="str">
        <f ca="1">IF(OR(INDEX($W$2:$W$1001,MATCH(ROWS($V$2:V918),$V$2:$V$1001,0),1)&gt;=100000,INDEX($AC$1005:$AS$1005,1,MATCH(COLUMNS($AC$1006:AG1006),$AC$1006:$AS$1006,0))&gt;=100000), " ",IF(INDEX($AC$2:$AS$1001,MATCH(ROWS($V$2:V918),$V$2:$V$1001,0),MATCH(COLUMNS($AC$1006:AG1006),$AC$1006:$AS$1006,0)), HYPERLINK("#",""), HYPERLINK(CONCATENATE("#metadata!", ADDRESS(INDEX($X$2:$X$1001,MATCH(ROWS($V$2:V918),$V$2:$V$1001,0),0), INDEX($AC$1004:$AS$1004,1,MATCH(COLUMNS($AC$1006:AG1006),$AC$1006:$AS$1006,0)))),"Fix")))</f>
        <v xml:space="preserve"> </v>
      </c>
      <c r="G918" s="4" t="str">
        <f ca="1">IF(OR(INDEX($W$2:$W$1001,MATCH(ROWS($V$2:V918),$V$2:$V$1001,0),1)&gt;=100000,INDEX($AC$1005:$AS$1005,1,MATCH(COLUMNS($AC$1006:AH1006),$AC$1006:$AS$1006,0))&gt;=100000), " ",IF(INDEX($AC$2:$AS$1001,MATCH(ROWS($V$2:V918),$V$2:$V$1001,0),MATCH(COLUMNS($AC$1006:AH1006),$AC$1006:$AS$1006,0)), HYPERLINK("#",""), HYPERLINK(CONCATENATE("#metadata!", ADDRESS(INDEX($X$2:$X$1001,MATCH(ROWS($V$2:V918),$V$2:$V$1001,0),0), INDEX($AC$1004:$AS$1004,1,MATCH(COLUMNS($AC$1006:AH1006),$AC$1006:$AS$1006,0)))),"Fix")))</f>
        <v xml:space="preserve"> </v>
      </c>
      <c r="H918" s="4" t="str">
        <f ca="1">IF(OR(INDEX($W$2:$W$1001,MATCH(ROWS($V$2:V918),$V$2:$V$1001,0),1)&gt;=100000,INDEX($AC$1005:$AS$1005,1,MATCH(COLUMNS($AC$1006:AI1006),$AC$1006:$AS$1006,0))&gt;=100000), " ",IF(INDEX($AC$2:$AS$1001,MATCH(ROWS($V$2:V918),$V$2:$V$1001,0),MATCH(COLUMNS($AC$1006:AI1006),$AC$1006:$AS$1006,0)), HYPERLINK("#",""), HYPERLINK(CONCATENATE("#metadata!", ADDRESS(INDEX($X$2:$X$1001,MATCH(ROWS($V$2:V918),$V$2:$V$1001,0),0), INDEX($AC$1004:$AS$1004,1,MATCH(COLUMNS($AC$1006:AI1006),$AC$1006:$AS$1006,0)))),"Fix")))</f>
        <v xml:space="preserve"> </v>
      </c>
      <c r="I918" s="4" t="str">
        <f ca="1">IF(OR(INDEX($W$2:$W$1001,MATCH(ROWS($V$2:V918),$V$2:$V$1001,0),1)&gt;=100000,INDEX($AC$1005:$AS$1005,1,MATCH(COLUMNS($AC$1006:AJ1006),$AC$1006:$AS$1006,0))&gt;=100000), " ",IF(INDEX($AC$2:$AS$1001,MATCH(ROWS($V$2:V918),$V$2:$V$1001,0),MATCH(COLUMNS($AC$1006:AJ1006),$AC$1006:$AS$1006,0)), HYPERLINK("#",""), HYPERLINK(CONCATENATE("#metadata!", ADDRESS(INDEX($X$2:$X$1001,MATCH(ROWS($V$2:V918),$V$2:$V$1001,0),0), INDEX($AC$1004:$AS$1004,1,MATCH(COLUMNS($AC$1006:AJ1006),$AC$1006:$AS$1006,0)))),"Fix")))</f>
        <v xml:space="preserve"> </v>
      </c>
      <c r="J918" s="4" t="str">
        <f ca="1">IF(OR(INDEX($W$2:$W$1001,MATCH(ROWS($V$2:V918),$V$2:$V$1001,0),1)&gt;=100000,INDEX($AC$1005:$AS$1005,1,MATCH(COLUMNS($AC$1006:AK1006),$AC$1006:$AS$1006,0))&gt;=100000), " ",IF(INDEX($AC$2:$AS$1001,MATCH(ROWS($V$2:V918),$V$2:$V$1001,0),MATCH(COLUMNS($AC$1006:AK1006),$AC$1006:$AS$1006,0)), HYPERLINK("#",""), HYPERLINK(CONCATENATE("#metadata!", ADDRESS(INDEX($X$2:$X$1001,MATCH(ROWS($V$2:V918),$V$2:$V$1001,0),0), INDEX($AC$1004:$AS$1004,1,MATCH(COLUMNS($AC$1006:AK1006),$AC$1006:$AS$1006,0)))),"Fix")))</f>
        <v xml:space="preserve"> </v>
      </c>
      <c r="K918" s="4" t="str">
        <f ca="1">IF(OR(INDEX($W$2:$W$1001,MATCH(ROWS($V$2:V918),$V$2:$V$1001,0),1)&gt;=100000,INDEX($AC$1005:$AS$1005,1,MATCH(COLUMNS($AC$1006:AL1006),$AC$1006:$AS$1006,0))&gt;=100000), " ",IF(INDEX($AC$2:$AS$1001,MATCH(ROWS($V$2:V918),$V$2:$V$1001,0),MATCH(COLUMNS($AC$1006:AL1006),$AC$1006:$AS$1006,0)), HYPERLINK("#",""), HYPERLINK(CONCATENATE("#metadata!", ADDRESS(INDEX($X$2:$X$1001,MATCH(ROWS($V$2:V918),$V$2:$V$1001,0),0), INDEX($AC$1004:$AS$1004,1,MATCH(COLUMNS($AC$1006:AL1006),$AC$1006:$AS$1006,0)))),"Fix")))</f>
        <v xml:space="preserve"> </v>
      </c>
      <c r="L918" s="4" t="str">
        <f ca="1">IF(OR(INDEX($W$2:$W$1001,MATCH(ROWS($V$2:V918),$V$2:$V$1001,0),1)&gt;=100000,INDEX($AC$1005:$AS$1005,1,MATCH(COLUMNS($AC$1006:AM1006),$AC$1006:$AS$1006,0))&gt;=100000), " ",IF(INDEX($AC$2:$AS$1001,MATCH(ROWS($V$2:V918),$V$2:$V$1001,0),MATCH(COLUMNS($AC$1006:AM1006),$AC$1006:$AS$1006,0)), HYPERLINK("#",""), HYPERLINK(CONCATENATE("#metadata!", ADDRESS(INDEX($X$2:$X$1001,MATCH(ROWS($V$2:V918),$V$2:$V$1001,0),0), INDEX($AC$1004:$AS$1004,1,MATCH(COLUMNS($AC$1006:AM1006),$AC$1006:$AS$1006,0)))),"Fix")))</f>
        <v xml:space="preserve"> </v>
      </c>
      <c r="M918" s="4" t="str">
        <f ca="1">IF(OR(INDEX($W$2:$W$1001,MATCH(ROWS($V$2:V918),$V$2:$V$1001,0),1)&gt;=100000,INDEX($AC$1005:$AS$1005,1,MATCH(COLUMNS($AC$1006:AN1006),$AC$1006:$AS$1006,0))&gt;=100000), " ",IF(INDEX($AC$2:$AS$1001,MATCH(ROWS($V$2:V918),$V$2:$V$1001,0),MATCH(COLUMNS($AC$1006:AN1006),$AC$1006:$AS$1006,0)), HYPERLINK("#",""), HYPERLINK(CONCATENATE("#metadata!", ADDRESS(INDEX($X$2:$X$1001,MATCH(ROWS($V$2:V918),$V$2:$V$1001,0),0), INDEX($AC$1004:$AS$1004,1,MATCH(COLUMNS($AC$1006:AN1006),$AC$1006:$AS$1006,0)))),"Fix")))</f>
        <v xml:space="preserve"> </v>
      </c>
      <c r="N918" s="4" t="str">
        <f ca="1">IF(OR(INDEX($W$2:$W$1001,MATCH(ROWS($V$2:V918),$V$2:$V$1001,0),1)&gt;=100000,INDEX($AC$1005:$AS$1005,1,MATCH(COLUMNS($AC$1006:AO1006),$AC$1006:$AS$1006,0))&gt;=100000), " ",IF(INDEX($AC$2:$AS$1001,MATCH(ROWS($V$2:V918),$V$2:$V$1001,0),MATCH(COLUMNS($AC$1006:AO1006),$AC$1006:$AS$1006,0)), HYPERLINK("#",""), HYPERLINK(CONCATENATE("#metadata!", ADDRESS(INDEX($X$2:$X$1001,MATCH(ROWS($V$2:V918),$V$2:$V$1001,0),0), INDEX($AC$1004:$AS$1004,1,MATCH(COLUMNS($AC$1006:AO1006),$AC$1006:$AS$1006,0)))),"Fix")))</f>
        <v xml:space="preserve"> </v>
      </c>
      <c r="O918" s="4" t="str">
        <f ca="1">IF(OR(INDEX($W$2:$W$1001,MATCH(ROWS($V$2:V918),$V$2:$V$1001,0),1)&gt;=100000,INDEX($AC$1005:$AS$1005,1,MATCH(COLUMNS($AC$1006:AP1006),$AC$1006:$AS$1006,0))&gt;=100000), " ",IF(INDEX($AC$2:$AS$1001,MATCH(ROWS($V$2:V918),$V$2:$V$1001,0),MATCH(COLUMNS($AC$1006:AP1006),$AC$1006:$AS$1006,0)), HYPERLINK("#",""), HYPERLINK(CONCATENATE("#metadata!", ADDRESS(INDEX($X$2:$X$1001,MATCH(ROWS($V$2:V918),$V$2:$V$1001,0),0), INDEX($AC$1004:$AS$1004,1,MATCH(COLUMNS($AC$1006:AP1006),$AC$1006:$AS$1006,0)))),"Fix")))</f>
        <v xml:space="preserve"> </v>
      </c>
      <c r="P918" s="4" t="str">
        <f ca="1">IF(OR(INDEX($W$2:$W$1001,MATCH(ROWS($V$2:V918),$V$2:$V$1001,0),1)&gt;=100000,INDEX($AC$1005:$AS$1005,1,MATCH(COLUMNS($AC$1006:AQ1006),$AC$1006:$AS$1006,0))&gt;=100000), " ",IF(INDEX($AC$2:$AS$1001,MATCH(ROWS($V$2:V918),$V$2:$V$1001,0),MATCH(COLUMNS($AC$1006:AQ1006),$AC$1006:$AS$1006,0)), HYPERLINK("#",""), HYPERLINK(CONCATENATE("#metadata!", ADDRESS(INDEX($X$2:$X$1001,MATCH(ROWS($V$2:V918),$V$2:$V$1001,0),0), INDEX($AC$1004:$AS$1004,1,MATCH(COLUMNS($AC$1006:AQ1006),$AC$1006:$AS$1006,0)))),"Fix")))</f>
        <v xml:space="preserve"> </v>
      </c>
      <c r="Q918" s="4" t="str">
        <f ca="1">IF(OR(INDEX($W$2:$W$1001,MATCH(ROWS($V$2:V918),$V$2:$V$1001,0),1)&gt;=100000,INDEX($AC$1005:$AS$1005,1,MATCH(COLUMNS($AC$1006:AR1006),$AC$1006:$AS$1006,0))&gt;=100000), " ",IF(INDEX($AC$2:$AS$1001,MATCH(ROWS($V$2:V918),$V$2:$V$1001,0),MATCH(COLUMNS($AC$1006:AR1006),$AC$1006:$AS$1006,0)), HYPERLINK("#",""), HYPERLINK(CONCATENATE("#metadata!", ADDRESS(INDEX($X$2:$X$1001,MATCH(ROWS($V$2:V918),$V$2:$V$1001,0),0), INDEX($AC$1004:$AS$1004,1,MATCH(COLUMNS($AC$1006:AR1006),$AC$1006:$AS$1006,0)))),"Fix")))</f>
        <v xml:space="preserve"> </v>
      </c>
      <c r="R918" s="4" t="str">
        <f ca="1">IF(OR(INDEX($W$2:$W$1001,MATCH(ROWS($V$2:V918),$V$2:$V$1001,0),1)&gt;=100000,INDEX($AC$1005:$AS$1005,1,MATCH(COLUMNS($AC$1006:AS1006),$AC$1006:$AS$1006,0))&gt;=100000), " ",IF(INDEX($AC$2:$AS$1001,MATCH(ROWS($V$2:V918),$V$2:$V$1001,0),MATCH(COLUMNS($AC$1006:AS1006),$AC$1006:$AS$1006,0)), HYPERLINK("#",""), HYPERLINK(CONCATENATE("#metadata!", ADDRESS(INDEX($X$2:$X$1001,MATCH(ROWS($V$2:V918),$V$2:$V$1001,0),0), INDEX($AC$1004:$AS$1004,1,MATCH(COLUMNS($AC$1006:AS1006),$AC$1006:$AS$1006,0)))),"Fix")))</f>
        <v xml:space="preserve"> </v>
      </c>
      <c r="V918">
        <v>917</v>
      </c>
      <c r="W918">
        <v>100918</v>
      </c>
      <c r="X918">
        <v>918</v>
      </c>
      <c r="Y918" t="b">
        <f t="shared" si="14"/>
        <v>1</v>
      </c>
      <c r="Z918" t="b">
        <f>COUNTBLANK(metadata!B918:R918)=COLUMNS(metadata!B918:R918)</f>
        <v>1</v>
      </c>
      <c r="AA918" t="str">
        <v/>
      </c>
      <c r="AC918" t="b">
        <f ca="1"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AD918" t="b">
        <f>IF(metadata!C918="",FALSE,ISNUMBER(VALUE(metadata!C918)))</f>
        <v>0</v>
      </c>
      <c r="AE918" t="b">
        <f>AND(IF(metadata!D918="",FALSE,TRUE),EXACT(metadata!D918,"years"))</f>
        <v>0</v>
      </c>
      <c r="AF918" t="b">
        <f>OR(AND(IF(metadata!E918="",FALSE,TRUE),OR(EXACT(metadata!E918,"not applicable"),EXACT(metadata!E918,"missing: not collected"),EXACT(metadata!E918,"missing: not provided"),EXACT(metadata!E918,"missing: restricted access"))),AND(IF(metadata!E918="",FALSE,ISNUMBER(VALUE(metadata!E918))),metadata!E918&gt;0))</f>
        <v>0</v>
      </c>
      <c r="AG918" t="b">
        <f>AND(IF(metadata!F918="",FALSE,TRUE),EXACT(metadata!F918,"Not applicable"))</f>
        <v>0</v>
      </c>
      <c r="AH918" t="b">
        <f>AND(IF(metadata!G918="",FALSE,TRUE),EXACT(metadata!G918,"urban biome"))</f>
        <v>0</v>
      </c>
      <c r="AI918" t="b">
        <f>AND(IF(metadata!H918="",FALSE,TRUE),EXACT(metadata!H918,"human-associated habitat"))</f>
        <v>0</v>
      </c>
      <c r="AJ918" t="b">
        <f>AND(IF(metadata!I918="",FALSE,TRUE),OR(EXACT(metadata!I918,"human-associated"),EXACT(metadata!I918,"human-skin"),EXACT(metadata!I918,"human-oral"),EXACT(metadata!I918,"human-gut"),EXACT(metadata!I918,"human-vaginal")))</f>
        <v>0</v>
      </c>
      <c r="AK918" t="b">
        <f>IF(metadata!J918="",FALSE,ISNUMBER(VALUE(metadata!J918)))</f>
        <v>0</v>
      </c>
      <c r="AL918" t="b">
        <f>AND(IF(metadata!K918="",FALSE,TRUE),EXACT(metadata!K918,"cm"))</f>
        <v>0</v>
      </c>
      <c r="AM918" t="b">
        <f>AND(IF(metadata!L918="",FALSE,TRUE),EXACT(metadata!L918,"human"))</f>
        <v>0</v>
      </c>
      <c r="AN918" t="b">
        <f>AND(IF(metadata!M918="",FALSE,TRUE),EXACT(metadata!M918,"Homo sapiens"))</f>
        <v>0</v>
      </c>
      <c r="AO918" t="b">
        <f>AND(IF(metadata!N918="",FALSE,TRUE),EXACT(metadata!N918,"9606"))</f>
        <v>0</v>
      </c>
      <c r="AP918" t="b">
        <f>IF(metadata!O918="",FALSE,TRUE)</f>
        <v>0</v>
      </c>
      <c r="AQ918" t="b">
        <f>IF(metadata!P918="",FALSE,TRUE)</f>
        <v>0</v>
      </c>
      <c r="AR918" t="b">
        <f>IF(metadata!Q918="",FALSE,ISNUMBER(VALUE(metadata!Q918)))</f>
        <v>0</v>
      </c>
      <c r="AS918" t="b">
        <f>AND(IF(metadata!R918="",FALSE,TRUE),EXACT(metadata!R918,"kg"))</f>
        <v>0</v>
      </c>
    </row>
    <row r="919" spans="1:45" x14ac:dyDescent="0.2">
      <c r="A919" s="5" t="str">
        <f ca="1">IF(B919=" "," ",HYPERLINK(CONCATENATE("#metadata!",ADDRESS(INDEX($X$2:$X$1001,MATCH(ROWS($V$2:V919),$V$2:$V$1001,0),0),1)),INDEX($AA$2:$AA$1001,MATCH(ROWS($V$2:V919),$V$2:$V$1001,0),0)))</f>
        <v xml:space="preserve"> </v>
      </c>
      <c r="B919" s="4" t="str">
        <f ca="1">IF(OR(INDEX($W$2:$W$1001,MATCH(ROWS($V$2:V919),$V$2:$V$1001,0),1)&gt;=100000,INDEX($AC$1005:$AS$1005,1,MATCH(COLUMNS($AC$1006:AC1006),$AC$1006:$AS$1006,0))&gt;=100000), " ",IF(INDEX($AC$2:$AS$1001,MATCH(ROWS($V$2:V919),$V$2:$V$1001,0),MATCH(COLUMNS($AC$1006:AC1006),$AC$1006:$AS$1006,0)), HYPERLINK("#",""), HYPERLINK(CONCATENATE("#metadata!", ADDRESS(INDEX($X$2:$X$1001,MATCH(ROWS($V$2:V919),$V$2:$V$1001,0),0), INDEX($AC$1004:$AS$1004,1,MATCH(COLUMNS($AC$1006:AC1006),$AC$1006:$AS$1006,0)))),"Fix")))</f>
        <v xml:space="preserve"> </v>
      </c>
      <c r="C919" s="4" t="str">
        <f ca="1">IF(OR(INDEX($W$2:$W$1001,MATCH(ROWS($V$2:V919),$V$2:$V$1001,0),1)&gt;=100000,INDEX($AC$1005:$AS$1005,1,MATCH(COLUMNS($AC$1006:AD1006),$AC$1006:$AS$1006,0))&gt;=100000), " ",IF(INDEX($AC$2:$AS$1001,MATCH(ROWS($V$2:V919),$V$2:$V$1001,0),MATCH(COLUMNS($AC$1006:AD1006),$AC$1006:$AS$1006,0)), HYPERLINK("#",""), HYPERLINK(CONCATENATE("#metadata!", ADDRESS(INDEX($X$2:$X$1001,MATCH(ROWS($V$2:V919),$V$2:$V$1001,0),0), INDEX($AC$1004:$AS$1004,1,MATCH(COLUMNS($AC$1006:AD1006),$AC$1006:$AS$1006,0)))),"Fix")))</f>
        <v xml:space="preserve"> </v>
      </c>
      <c r="D919" s="4" t="str">
        <f ca="1">IF(OR(INDEX($W$2:$W$1001,MATCH(ROWS($V$2:V919),$V$2:$V$1001,0),1)&gt;=100000,INDEX($AC$1005:$AS$1005,1,MATCH(COLUMNS($AC$1006:AE1006),$AC$1006:$AS$1006,0))&gt;=100000), " ",IF(INDEX($AC$2:$AS$1001,MATCH(ROWS($V$2:V919),$V$2:$V$1001,0),MATCH(COLUMNS($AC$1006:AE1006),$AC$1006:$AS$1006,0)), HYPERLINK("#",""), HYPERLINK(CONCATENATE("#metadata!", ADDRESS(INDEX($X$2:$X$1001,MATCH(ROWS($V$2:V919),$V$2:$V$1001,0),0), INDEX($AC$1004:$AS$1004,1,MATCH(COLUMNS($AC$1006:AE1006),$AC$1006:$AS$1006,0)))),"Fix")))</f>
        <v xml:space="preserve"> </v>
      </c>
      <c r="E919" s="4" t="str">
        <f ca="1">IF(OR(INDEX($W$2:$W$1001,MATCH(ROWS($V$2:V919),$V$2:$V$1001,0),1)&gt;=100000,INDEX($AC$1005:$AS$1005,1,MATCH(COLUMNS($AC$1006:AF1006),$AC$1006:$AS$1006,0))&gt;=100000), " ",IF(INDEX($AC$2:$AS$1001,MATCH(ROWS($V$2:V919),$V$2:$V$1001,0),MATCH(COLUMNS($AC$1006:AF1006),$AC$1006:$AS$1006,0)), HYPERLINK("#",""), HYPERLINK(CONCATENATE("#metadata!", ADDRESS(INDEX($X$2:$X$1001,MATCH(ROWS($V$2:V919),$V$2:$V$1001,0),0), INDEX($AC$1004:$AS$1004,1,MATCH(COLUMNS($AC$1006:AF1006),$AC$1006:$AS$1006,0)))),"Fix")))</f>
        <v xml:space="preserve"> </v>
      </c>
      <c r="F919" s="4" t="str">
        <f ca="1">IF(OR(INDEX($W$2:$W$1001,MATCH(ROWS($V$2:V919),$V$2:$V$1001,0),1)&gt;=100000,INDEX($AC$1005:$AS$1005,1,MATCH(COLUMNS($AC$1006:AG1006),$AC$1006:$AS$1006,0))&gt;=100000), " ",IF(INDEX($AC$2:$AS$1001,MATCH(ROWS($V$2:V919),$V$2:$V$1001,0),MATCH(COLUMNS($AC$1006:AG1006),$AC$1006:$AS$1006,0)), HYPERLINK("#",""), HYPERLINK(CONCATENATE("#metadata!", ADDRESS(INDEX($X$2:$X$1001,MATCH(ROWS($V$2:V919),$V$2:$V$1001,0),0), INDEX($AC$1004:$AS$1004,1,MATCH(COLUMNS($AC$1006:AG1006),$AC$1006:$AS$1006,0)))),"Fix")))</f>
        <v xml:space="preserve"> </v>
      </c>
      <c r="G919" s="4" t="str">
        <f ca="1">IF(OR(INDEX($W$2:$W$1001,MATCH(ROWS($V$2:V919),$V$2:$V$1001,0),1)&gt;=100000,INDEX($AC$1005:$AS$1005,1,MATCH(COLUMNS($AC$1006:AH1006),$AC$1006:$AS$1006,0))&gt;=100000), " ",IF(INDEX($AC$2:$AS$1001,MATCH(ROWS($V$2:V919),$V$2:$V$1001,0),MATCH(COLUMNS($AC$1006:AH1006),$AC$1006:$AS$1006,0)), HYPERLINK("#",""), HYPERLINK(CONCATENATE("#metadata!", ADDRESS(INDEX($X$2:$X$1001,MATCH(ROWS($V$2:V919),$V$2:$V$1001,0),0), INDEX($AC$1004:$AS$1004,1,MATCH(COLUMNS($AC$1006:AH1006),$AC$1006:$AS$1006,0)))),"Fix")))</f>
        <v xml:space="preserve"> </v>
      </c>
      <c r="H919" s="4" t="str">
        <f ca="1">IF(OR(INDEX($W$2:$W$1001,MATCH(ROWS($V$2:V919),$V$2:$V$1001,0),1)&gt;=100000,INDEX($AC$1005:$AS$1005,1,MATCH(COLUMNS($AC$1006:AI1006),$AC$1006:$AS$1006,0))&gt;=100000), " ",IF(INDEX($AC$2:$AS$1001,MATCH(ROWS($V$2:V919),$V$2:$V$1001,0),MATCH(COLUMNS($AC$1006:AI1006),$AC$1006:$AS$1006,0)), HYPERLINK("#",""), HYPERLINK(CONCATENATE("#metadata!", ADDRESS(INDEX($X$2:$X$1001,MATCH(ROWS($V$2:V919),$V$2:$V$1001,0),0), INDEX($AC$1004:$AS$1004,1,MATCH(COLUMNS($AC$1006:AI1006),$AC$1006:$AS$1006,0)))),"Fix")))</f>
        <v xml:space="preserve"> </v>
      </c>
      <c r="I919" s="4" t="str">
        <f ca="1">IF(OR(INDEX($W$2:$W$1001,MATCH(ROWS($V$2:V919),$V$2:$V$1001,0),1)&gt;=100000,INDEX($AC$1005:$AS$1005,1,MATCH(COLUMNS($AC$1006:AJ1006),$AC$1006:$AS$1006,0))&gt;=100000), " ",IF(INDEX($AC$2:$AS$1001,MATCH(ROWS($V$2:V919),$V$2:$V$1001,0),MATCH(COLUMNS($AC$1006:AJ1006),$AC$1006:$AS$1006,0)), HYPERLINK("#",""), HYPERLINK(CONCATENATE("#metadata!", ADDRESS(INDEX($X$2:$X$1001,MATCH(ROWS($V$2:V919),$V$2:$V$1001,0),0), INDEX($AC$1004:$AS$1004,1,MATCH(COLUMNS($AC$1006:AJ1006),$AC$1006:$AS$1006,0)))),"Fix")))</f>
        <v xml:space="preserve"> </v>
      </c>
      <c r="J919" s="4" t="str">
        <f ca="1">IF(OR(INDEX($W$2:$W$1001,MATCH(ROWS($V$2:V919),$V$2:$V$1001,0),1)&gt;=100000,INDEX($AC$1005:$AS$1005,1,MATCH(COLUMNS($AC$1006:AK1006),$AC$1006:$AS$1006,0))&gt;=100000), " ",IF(INDEX($AC$2:$AS$1001,MATCH(ROWS($V$2:V919),$V$2:$V$1001,0),MATCH(COLUMNS($AC$1006:AK1006),$AC$1006:$AS$1006,0)), HYPERLINK("#",""), HYPERLINK(CONCATENATE("#metadata!", ADDRESS(INDEX($X$2:$X$1001,MATCH(ROWS($V$2:V919),$V$2:$V$1001,0),0), INDEX($AC$1004:$AS$1004,1,MATCH(COLUMNS($AC$1006:AK1006),$AC$1006:$AS$1006,0)))),"Fix")))</f>
        <v xml:space="preserve"> </v>
      </c>
      <c r="K919" s="4" t="str">
        <f ca="1">IF(OR(INDEX($W$2:$W$1001,MATCH(ROWS($V$2:V919),$V$2:$V$1001,0),1)&gt;=100000,INDEX($AC$1005:$AS$1005,1,MATCH(COLUMNS($AC$1006:AL1006),$AC$1006:$AS$1006,0))&gt;=100000), " ",IF(INDEX($AC$2:$AS$1001,MATCH(ROWS($V$2:V919),$V$2:$V$1001,0),MATCH(COLUMNS($AC$1006:AL1006),$AC$1006:$AS$1006,0)), HYPERLINK("#",""), HYPERLINK(CONCATENATE("#metadata!", ADDRESS(INDEX($X$2:$X$1001,MATCH(ROWS($V$2:V919),$V$2:$V$1001,0),0), INDEX($AC$1004:$AS$1004,1,MATCH(COLUMNS($AC$1006:AL1006),$AC$1006:$AS$1006,0)))),"Fix")))</f>
        <v xml:space="preserve"> </v>
      </c>
      <c r="L919" s="4" t="str">
        <f ca="1">IF(OR(INDEX($W$2:$W$1001,MATCH(ROWS($V$2:V919),$V$2:$V$1001,0),1)&gt;=100000,INDEX($AC$1005:$AS$1005,1,MATCH(COLUMNS($AC$1006:AM1006),$AC$1006:$AS$1006,0))&gt;=100000), " ",IF(INDEX($AC$2:$AS$1001,MATCH(ROWS($V$2:V919),$V$2:$V$1001,0),MATCH(COLUMNS($AC$1006:AM1006),$AC$1006:$AS$1006,0)), HYPERLINK("#",""), HYPERLINK(CONCATENATE("#metadata!", ADDRESS(INDEX($X$2:$X$1001,MATCH(ROWS($V$2:V919),$V$2:$V$1001,0),0), INDEX($AC$1004:$AS$1004,1,MATCH(COLUMNS($AC$1006:AM1006),$AC$1006:$AS$1006,0)))),"Fix")))</f>
        <v xml:space="preserve"> </v>
      </c>
      <c r="M919" s="4" t="str">
        <f ca="1">IF(OR(INDEX($W$2:$W$1001,MATCH(ROWS($V$2:V919),$V$2:$V$1001,0),1)&gt;=100000,INDEX($AC$1005:$AS$1005,1,MATCH(COLUMNS($AC$1006:AN1006),$AC$1006:$AS$1006,0))&gt;=100000), " ",IF(INDEX($AC$2:$AS$1001,MATCH(ROWS($V$2:V919),$V$2:$V$1001,0),MATCH(COLUMNS($AC$1006:AN1006),$AC$1006:$AS$1006,0)), HYPERLINK("#",""), HYPERLINK(CONCATENATE("#metadata!", ADDRESS(INDEX($X$2:$X$1001,MATCH(ROWS($V$2:V919),$V$2:$V$1001,0),0), INDEX($AC$1004:$AS$1004,1,MATCH(COLUMNS($AC$1006:AN1006),$AC$1006:$AS$1006,0)))),"Fix")))</f>
        <v xml:space="preserve"> </v>
      </c>
      <c r="N919" s="4" t="str">
        <f ca="1">IF(OR(INDEX($W$2:$W$1001,MATCH(ROWS($V$2:V919),$V$2:$V$1001,0),1)&gt;=100000,INDEX($AC$1005:$AS$1005,1,MATCH(COLUMNS($AC$1006:AO1006),$AC$1006:$AS$1006,0))&gt;=100000), " ",IF(INDEX($AC$2:$AS$1001,MATCH(ROWS($V$2:V919),$V$2:$V$1001,0),MATCH(COLUMNS($AC$1006:AO1006),$AC$1006:$AS$1006,0)), HYPERLINK("#",""), HYPERLINK(CONCATENATE("#metadata!", ADDRESS(INDEX($X$2:$X$1001,MATCH(ROWS($V$2:V919),$V$2:$V$1001,0),0), INDEX($AC$1004:$AS$1004,1,MATCH(COLUMNS($AC$1006:AO1006),$AC$1006:$AS$1006,0)))),"Fix")))</f>
        <v xml:space="preserve"> </v>
      </c>
      <c r="O919" s="4" t="str">
        <f ca="1">IF(OR(INDEX($W$2:$W$1001,MATCH(ROWS($V$2:V919),$V$2:$V$1001,0),1)&gt;=100000,INDEX($AC$1005:$AS$1005,1,MATCH(COLUMNS($AC$1006:AP1006),$AC$1006:$AS$1006,0))&gt;=100000), " ",IF(INDEX($AC$2:$AS$1001,MATCH(ROWS($V$2:V919),$V$2:$V$1001,0),MATCH(COLUMNS($AC$1006:AP1006),$AC$1006:$AS$1006,0)), HYPERLINK("#",""), HYPERLINK(CONCATENATE("#metadata!", ADDRESS(INDEX($X$2:$X$1001,MATCH(ROWS($V$2:V919),$V$2:$V$1001,0),0), INDEX($AC$1004:$AS$1004,1,MATCH(COLUMNS($AC$1006:AP1006),$AC$1006:$AS$1006,0)))),"Fix")))</f>
        <v xml:space="preserve"> </v>
      </c>
      <c r="P919" s="4" t="str">
        <f ca="1">IF(OR(INDEX($W$2:$W$1001,MATCH(ROWS($V$2:V919),$V$2:$V$1001,0),1)&gt;=100000,INDEX($AC$1005:$AS$1005,1,MATCH(COLUMNS($AC$1006:AQ1006),$AC$1006:$AS$1006,0))&gt;=100000), " ",IF(INDEX($AC$2:$AS$1001,MATCH(ROWS($V$2:V919),$V$2:$V$1001,0),MATCH(COLUMNS($AC$1006:AQ1006),$AC$1006:$AS$1006,0)), HYPERLINK("#",""), HYPERLINK(CONCATENATE("#metadata!", ADDRESS(INDEX($X$2:$X$1001,MATCH(ROWS($V$2:V919),$V$2:$V$1001,0),0), INDEX($AC$1004:$AS$1004,1,MATCH(COLUMNS($AC$1006:AQ1006),$AC$1006:$AS$1006,0)))),"Fix")))</f>
        <v xml:space="preserve"> </v>
      </c>
      <c r="Q919" s="4" t="str">
        <f ca="1">IF(OR(INDEX($W$2:$W$1001,MATCH(ROWS($V$2:V919),$V$2:$V$1001,0),1)&gt;=100000,INDEX($AC$1005:$AS$1005,1,MATCH(COLUMNS($AC$1006:AR1006),$AC$1006:$AS$1006,0))&gt;=100000), " ",IF(INDEX($AC$2:$AS$1001,MATCH(ROWS($V$2:V919),$V$2:$V$1001,0),MATCH(COLUMNS($AC$1006:AR1006),$AC$1006:$AS$1006,0)), HYPERLINK("#",""), HYPERLINK(CONCATENATE("#metadata!", ADDRESS(INDEX($X$2:$X$1001,MATCH(ROWS($V$2:V919),$V$2:$V$1001,0),0), INDEX($AC$1004:$AS$1004,1,MATCH(COLUMNS($AC$1006:AR1006),$AC$1006:$AS$1006,0)))),"Fix")))</f>
        <v xml:space="preserve"> </v>
      </c>
      <c r="R919" s="4" t="str">
        <f ca="1">IF(OR(INDEX($W$2:$W$1001,MATCH(ROWS($V$2:V919),$V$2:$V$1001,0),1)&gt;=100000,INDEX($AC$1005:$AS$1005,1,MATCH(COLUMNS($AC$1006:AS1006),$AC$1006:$AS$1006,0))&gt;=100000), " ",IF(INDEX($AC$2:$AS$1001,MATCH(ROWS($V$2:V919),$V$2:$V$1001,0),MATCH(COLUMNS($AC$1006:AS1006),$AC$1006:$AS$1006,0)), HYPERLINK("#",""), HYPERLINK(CONCATENATE("#metadata!", ADDRESS(INDEX($X$2:$X$1001,MATCH(ROWS($V$2:V919),$V$2:$V$1001,0),0), INDEX($AC$1004:$AS$1004,1,MATCH(COLUMNS($AC$1006:AS1006),$AC$1006:$AS$1006,0)))),"Fix")))</f>
        <v xml:space="preserve"> </v>
      </c>
      <c r="V919">
        <v>918</v>
      </c>
      <c r="W919">
        <v>100919</v>
      </c>
      <c r="X919">
        <v>919</v>
      </c>
      <c r="Y919" t="b">
        <f t="shared" si="14"/>
        <v>1</v>
      </c>
      <c r="Z919" t="b">
        <f>COUNTBLANK(metadata!B919:R919)=COLUMNS(metadata!B919:R919)</f>
        <v>1</v>
      </c>
      <c r="AA919" t="str">
        <v/>
      </c>
      <c r="AC919" t="b">
        <f ca="1"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AD919" t="b">
        <f>IF(metadata!C919="",FALSE,ISNUMBER(VALUE(metadata!C919)))</f>
        <v>0</v>
      </c>
      <c r="AE919" t="b">
        <f>AND(IF(metadata!D919="",FALSE,TRUE),EXACT(metadata!D919,"years"))</f>
        <v>0</v>
      </c>
      <c r="AF919" t="b">
        <f>OR(AND(IF(metadata!E919="",FALSE,TRUE),OR(EXACT(metadata!E919,"not applicable"),EXACT(metadata!E919,"missing: not collected"),EXACT(metadata!E919,"missing: not provided"),EXACT(metadata!E919,"missing: restricted access"))),AND(IF(metadata!E919="",FALSE,ISNUMBER(VALUE(metadata!E919))),metadata!E919&gt;0))</f>
        <v>0</v>
      </c>
      <c r="AG919" t="b">
        <f>AND(IF(metadata!F919="",FALSE,TRUE),EXACT(metadata!F919,"Not applicable"))</f>
        <v>0</v>
      </c>
      <c r="AH919" t="b">
        <f>AND(IF(metadata!G919="",FALSE,TRUE),EXACT(metadata!G919,"urban biome"))</f>
        <v>0</v>
      </c>
      <c r="AI919" t="b">
        <f>AND(IF(metadata!H919="",FALSE,TRUE),EXACT(metadata!H919,"human-associated habitat"))</f>
        <v>0</v>
      </c>
      <c r="AJ919" t="b">
        <f>AND(IF(metadata!I919="",FALSE,TRUE),OR(EXACT(metadata!I919,"human-associated"),EXACT(metadata!I919,"human-skin"),EXACT(metadata!I919,"human-oral"),EXACT(metadata!I919,"human-gut"),EXACT(metadata!I919,"human-vaginal")))</f>
        <v>0</v>
      </c>
      <c r="AK919" t="b">
        <f>IF(metadata!J919="",FALSE,ISNUMBER(VALUE(metadata!J919)))</f>
        <v>0</v>
      </c>
      <c r="AL919" t="b">
        <f>AND(IF(metadata!K919="",FALSE,TRUE),EXACT(metadata!K919,"cm"))</f>
        <v>0</v>
      </c>
      <c r="AM919" t="b">
        <f>AND(IF(metadata!L919="",FALSE,TRUE),EXACT(metadata!L919,"human"))</f>
        <v>0</v>
      </c>
      <c r="AN919" t="b">
        <f>AND(IF(metadata!M919="",FALSE,TRUE),EXACT(metadata!M919,"Homo sapiens"))</f>
        <v>0</v>
      </c>
      <c r="AO919" t="b">
        <f>AND(IF(metadata!N919="",FALSE,TRUE),EXACT(metadata!N919,"9606"))</f>
        <v>0</v>
      </c>
      <c r="AP919" t="b">
        <f>IF(metadata!O919="",FALSE,TRUE)</f>
        <v>0</v>
      </c>
      <c r="AQ919" t="b">
        <f>IF(metadata!P919="",FALSE,TRUE)</f>
        <v>0</v>
      </c>
      <c r="AR919" t="b">
        <f>IF(metadata!Q919="",FALSE,ISNUMBER(VALUE(metadata!Q919)))</f>
        <v>0</v>
      </c>
      <c r="AS919" t="b">
        <f>AND(IF(metadata!R919="",FALSE,TRUE),EXACT(metadata!R919,"kg"))</f>
        <v>0</v>
      </c>
    </row>
    <row r="920" spans="1:45" x14ac:dyDescent="0.2">
      <c r="A920" s="5" t="str">
        <f ca="1">IF(B920=" "," ",HYPERLINK(CONCATENATE("#metadata!",ADDRESS(INDEX($X$2:$X$1001,MATCH(ROWS($V$2:V920),$V$2:$V$1001,0),0),1)),INDEX($AA$2:$AA$1001,MATCH(ROWS($V$2:V920),$V$2:$V$1001,0),0)))</f>
        <v xml:space="preserve"> </v>
      </c>
      <c r="B920" s="4" t="str">
        <f ca="1">IF(OR(INDEX($W$2:$W$1001,MATCH(ROWS($V$2:V920),$V$2:$V$1001,0),1)&gt;=100000,INDEX($AC$1005:$AS$1005,1,MATCH(COLUMNS($AC$1006:AC1006),$AC$1006:$AS$1006,0))&gt;=100000), " ",IF(INDEX($AC$2:$AS$1001,MATCH(ROWS($V$2:V920),$V$2:$V$1001,0),MATCH(COLUMNS($AC$1006:AC1006),$AC$1006:$AS$1006,0)), HYPERLINK("#",""), HYPERLINK(CONCATENATE("#metadata!", ADDRESS(INDEX($X$2:$X$1001,MATCH(ROWS($V$2:V920),$V$2:$V$1001,0),0), INDEX($AC$1004:$AS$1004,1,MATCH(COLUMNS($AC$1006:AC1006),$AC$1006:$AS$1006,0)))),"Fix")))</f>
        <v xml:space="preserve"> </v>
      </c>
      <c r="C920" s="4" t="str">
        <f ca="1">IF(OR(INDEX($W$2:$W$1001,MATCH(ROWS($V$2:V920),$V$2:$V$1001,0),1)&gt;=100000,INDEX($AC$1005:$AS$1005,1,MATCH(COLUMNS($AC$1006:AD1006),$AC$1006:$AS$1006,0))&gt;=100000), " ",IF(INDEX($AC$2:$AS$1001,MATCH(ROWS($V$2:V920),$V$2:$V$1001,0),MATCH(COLUMNS($AC$1006:AD1006),$AC$1006:$AS$1006,0)), HYPERLINK("#",""), HYPERLINK(CONCATENATE("#metadata!", ADDRESS(INDEX($X$2:$X$1001,MATCH(ROWS($V$2:V920),$V$2:$V$1001,0),0), INDEX($AC$1004:$AS$1004,1,MATCH(COLUMNS($AC$1006:AD1006),$AC$1006:$AS$1006,0)))),"Fix")))</f>
        <v xml:space="preserve"> </v>
      </c>
      <c r="D920" s="4" t="str">
        <f ca="1">IF(OR(INDEX($W$2:$W$1001,MATCH(ROWS($V$2:V920),$V$2:$V$1001,0),1)&gt;=100000,INDEX($AC$1005:$AS$1005,1,MATCH(COLUMNS($AC$1006:AE1006),$AC$1006:$AS$1006,0))&gt;=100000), " ",IF(INDEX($AC$2:$AS$1001,MATCH(ROWS($V$2:V920),$V$2:$V$1001,0),MATCH(COLUMNS($AC$1006:AE1006),$AC$1006:$AS$1006,0)), HYPERLINK("#",""), HYPERLINK(CONCATENATE("#metadata!", ADDRESS(INDEX($X$2:$X$1001,MATCH(ROWS($V$2:V920),$V$2:$V$1001,0),0), INDEX($AC$1004:$AS$1004,1,MATCH(COLUMNS($AC$1006:AE1006),$AC$1006:$AS$1006,0)))),"Fix")))</f>
        <v xml:space="preserve"> </v>
      </c>
      <c r="E920" s="4" t="str">
        <f ca="1">IF(OR(INDEX($W$2:$W$1001,MATCH(ROWS($V$2:V920),$V$2:$V$1001,0),1)&gt;=100000,INDEX($AC$1005:$AS$1005,1,MATCH(COLUMNS($AC$1006:AF1006),$AC$1006:$AS$1006,0))&gt;=100000), " ",IF(INDEX($AC$2:$AS$1001,MATCH(ROWS($V$2:V920),$V$2:$V$1001,0),MATCH(COLUMNS($AC$1006:AF1006),$AC$1006:$AS$1006,0)), HYPERLINK("#",""), HYPERLINK(CONCATENATE("#metadata!", ADDRESS(INDEX($X$2:$X$1001,MATCH(ROWS($V$2:V920),$V$2:$V$1001,0),0), INDEX($AC$1004:$AS$1004,1,MATCH(COLUMNS($AC$1006:AF1006),$AC$1006:$AS$1006,0)))),"Fix")))</f>
        <v xml:space="preserve"> </v>
      </c>
      <c r="F920" s="4" t="str">
        <f ca="1">IF(OR(INDEX($W$2:$W$1001,MATCH(ROWS($V$2:V920),$V$2:$V$1001,0),1)&gt;=100000,INDEX($AC$1005:$AS$1005,1,MATCH(COLUMNS($AC$1006:AG1006),$AC$1006:$AS$1006,0))&gt;=100000), " ",IF(INDEX($AC$2:$AS$1001,MATCH(ROWS($V$2:V920),$V$2:$V$1001,0),MATCH(COLUMNS($AC$1006:AG1006),$AC$1006:$AS$1006,0)), HYPERLINK("#",""), HYPERLINK(CONCATENATE("#metadata!", ADDRESS(INDEX($X$2:$X$1001,MATCH(ROWS($V$2:V920),$V$2:$V$1001,0),0), INDEX($AC$1004:$AS$1004,1,MATCH(COLUMNS($AC$1006:AG1006),$AC$1006:$AS$1006,0)))),"Fix")))</f>
        <v xml:space="preserve"> </v>
      </c>
      <c r="G920" s="4" t="str">
        <f ca="1">IF(OR(INDEX($W$2:$W$1001,MATCH(ROWS($V$2:V920),$V$2:$V$1001,0),1)&gt;=100000,INDEX($AC$1005:$AS$1005,1,MATCH(COLUMNS($AC$1006:AH1006),$AC$1006:$AS$1006,0))&gt;=100000), " ",IF(INDEX($AC$2:$AS$1001,MATCH(ROWS($V$2:V920),$V$2:$V$1001,0),MATCH(COLUMNS($AC$1006:AH1006),$AC$1006:$AS$1006,0)), HYPERLINK("#",""), HYPERLINK(CONCATENATE("#metadata!", ADDRESS(INDEX($X$2:$X$1001,MATCH(ROWS($V$2:V920),$V$2:$V$1001,0),0), INDEX($AC$1004:$AS$1004,1,MATCH(COLUMNS($AC$1006:AH1006),$AC$1006:$AS$1006,0)))),"Fix")))</f>
        <v xml:space="preserve"> </v>
      </c>
      <c r="H920" s="4" t="str">
        <f ca="1">IF(OR(INDEX($W$2:$W$1001,MATCH(ROWS($V$2:V920),$V$2:$V$1001,0),1)&gt;=100000,INDEX($AC$1005:$AS$1005,1,MATCH(COLUMNS($AC$1006:AI1006),$AC$1006:$AS$1006,0))&gt;=100000), " ",IF(INDEX($AC$2:$AS$1001,MATCH(ROWS($V$2:V920),$V$2:$V$1001,0),MATCH(COLUMNS($AC$1006:AI1006),$AC$1006:$AS$1006,0)), HYPERLINK("#",""), HYPERLINK(CONCATENATE("#metadata!", ADDRESS(INDEX($X$2:$X$1001,MATCH(ROWS($V$2:V920),$V$2:$V$1001,0),0), INDEX($AC$1004:$AS$1004,1,MATCH(COLUMNS($AC$1006:AI1006),$AC$1006:$AS$1006,0)))),"Fix")))</f>
        <v xml:space="preserve"> </v>
      </c>
      <c r="I920" s="4" t="str">
        <f ca="1">IF(OR(INDEX($W$2:$W$1001,MATCH(ROWS($V$2:V920),$V$2:$V$1001,0),1)&gt;=100000,INDEX($AC$1005:$AS$1005,1,MATCH(COLUMNS($AC$1006:AJ1006),$AC$1006:$AS$1006,0))&gt;=100000), " ",IF(INDEX($AC$2:$AS$1001,MATCH(ROWS($V$2:V920),$V$2:$V$1001,0),MATCH(COLUMNS($AC$1006:AJ1006),$AC$1006:$AS$1006,0)), HYPERLINK("#",""), HYPERLINK(CONCATENATE("#metadata!", ADDRESS(INDEX($X$2:$X$1001,MATCH(ROWS($V$2:V920),$V$2:$V$1001,0),0), INDEX($AC$1004:$AS$1004,1,MATCH(COLUMNS($AC$1006:AJ1006),$AC$1006:$AS$1006,0)))),"Fix")))</f>
        <v xml:space="preserve"> </v>
      </c>
      <c r="J920" s="4" t="str">
        <f ca="1">IF(OR(INDEX($W$2:$W$1001,MATCH(ROWS($V$2:V920),$V$2:$V$1001,0),1)&gt;=100000,INDEX($AC$1005:$AS$1005,1,MATCH(COLUMNS($AC$1006:AK1006),$AC$1006:$AS$1006,0))&gt;=100000), " ",IF(INDEX($AC$2:$AS$1001,MATCH(ROWS($V$2:V920),$V$2:$V$1001,0),MATCH(COLUMNS($AC$1006:AK1006),$AC$1006:$AS$1006,0)), HYPERLINK("#",""), HYPERLINK(CONCATENATE("#metadata!", ADDRESS(INDEX($X$2:$X$1001,MATCH(ROWS($V$2:V920),$V$2:$V$1001,0),0), INDEX($AC$1004:$AS$1004,1,MATCH(COLUMNS($AC$1006:AK1006),$AC$1006:$AS$1006,0)))),"Fix")))</f>
        <v xml:space="preserve"> </v>
      </c>
      <c r="K920" s="4" t="str">
        <f ca="1">IF(OR(INDEX($W$2:$W$1001,MATCH(ROWS($V$2:V920),$V$2:$V$1001,0),1)&gt;=100000,INDEX($AC$1005:$AS$1005,1,MATCH(COLUMNS($AC$1006:AL1006),$AC$1006:$AS$1006,0))&gt;=100000), " ",IF(INDEX($AC$2:$AS$1001,MATCH(ROWS($V$2:V920),$V$2:$V$1001,0),MATCH(COLUMNS($AC$1006:AL1006),$AC$1006:$AS$1006,0)), HYPERLINK("#",""), HYPERLINK(CONCATENATE("#metadata!", ADDRESS(INDEX($X$2:$X$1001,MATCH(ROWS($V$2:V920),$V$2:$V$1001,0),0), INDEX($AC$1004:$AS$1004,1,MATCH(COLUMNS($AC$1006:AL1006),$AC$1006:$AS$1006,0)))),"Fix")))</f>
        <v xml:space="preserve"> </v>
      </c>
      <c r="L920" s="4" t="str">
        <f ca="1">IF(OR(INDEX($W$2:$W$1001,MATCH(ROWS($V$2:V920),$V$2:$V$1001,0),1)&gt;=100000,INDEX($AC$1005:$AS$1005,1,MATCH(COLUMNS($AC$1006:AM1006),$AC$1006:$AS$1006,0))&gt;=100000), " ",IF(INDEX($AC$2:$AS$1001,MATCH(ROWS($V$2:V920),$V$2:$V$1001,0),MATCH(COLUMNS($AC$1006:AM1006),$AC$1006:$AS$1006,0)), HYPERLINK("#",""), HYPERLINK(CONCATENATE("#metadata!", ADDRESS(INDEX($X$2:$X$1001,MATCH(ROWS($V$2:V920),$V$2:$V$1001,0),0), INDEX($AC$1004:$AS$1004,1,MATCH(COLUMNS($AC$1006:AM1006),$AC$1006:$AS$1006,0)))),"Fix")))</f>
        <v xml:space="preserve"> </v>
      </c>
      <c r="M920" s="4" t="str">
        <f ca="1">IF(OR(INDEX($W$2:$W$1001,MATCH(ROWS($V$2:V920),$V$2:$V$1001,0),1)&gt;=100000,INDEX($AC$1005:$AS$1005,1,MATCH(COLUMNS($AC$1006:AN1006),$AC$1006:$AS$1006,0))&gt;=100000), " ",IF(INDEX($AC$2:$AS$1001,MATCH(ROWS($V$2:V920),$V$2:$V$1001,0),MATCH(COLUMNS($AC$1006:AN1006),$AC$1006:$AS$1006,0)), HYPERLINK("#",""), HYPERLINK(CONCATENATE("#metadata!", ADDRESS(INDEX($X$2:$X$1001,MATCH(ROWS($V$2:V920),$V$2:$V$1001,0),0), INDEX($AC$1004:$AS$1004,1,MATCH(COLUMNS($AC$1006:AN1006),$AC$1006:$AS$1006,0)))),"Fix")))</f>
        <v xml:space="preserve"> </v>
      </c>
      <c r="N920" s="4" t="str">
        <f ca="1">IF(OR(INDEX($W$2:$W$1001,MATCH(ROWS($V$2:V920),$V$2:$V$1001,0),1)&gt;=100000,INDEX($AC$1005:$AS$1005,1,MATCH(COLUMNS($AC$1006:AO1006),$AC$1006:$AS$1006,0))&gt;=100000), " ",IF(INDEX($AC$2:$AS$1001,MATCH(ROWS($V$2:V920),$V$2:$V$1001,0),MATCH(COLUMNS($AC$1006:AO1006),$AC$1006:$AS$1006,0)), HYPERLINK("#",""), HYPERLINK(CONCATENATE("#metadata!", ADDRESS(INDEX($X$2:$X$1001,MATCH(ROWS($V$2:V920),$V$2:$V$1001,0),0), INDEX($AC$1004:$AS$1004,1,MATCH(COLUMNS($AC$1006:AO1006),$AC$1006:$AS$1006,0)))),"Fix")))</f>
        <v xml:space="preserve"> </v>
      </c>
      <c r="O920" s="4" t="str">
        <f ca="1">IF(OR(INDEX($W$2:$W$1001,MATCH(ROWS($V$2:V920),$V$2:$V$1001,0),1)&gt;=100000,INDEX($AC$1005:$AS$1005,1,MATCH(COLUMNS($AC$1006:AP1006),$AC$1006:$AS$1006,0))&gt;=100000), " ",IF(INDEX($AC$2:$AS$1001,MATCH(ROWS($V$2:V920),$V$2:$V$1001,0),MATCH(COLUMNS($AC$1006:AP1006),$AC$1006:$AS$1006,0)), HYPERLINK("#",""), HYPERLINK(CONCATENATE("#metadata!", ADDRESS(INDEX($X$2:$X$1001,MATCH(ROWS($V$2:V920),$V$2:$V$1001,0),0), INDEX($AC$1004:$AS$1004,1,MATCH(COLUMNS($AC$1006:AP1006),$AC$1006:$AS$1006,0)))),"Fix")))</f>
        <v xml:space="preserve"> </v>
      </c>
      <c r="P920" s="4" t="str">
        <f ca="1">IF(OR(INDEX($W$2:$W$1001,MATCH(ROWS($V$2:V920),$V$2:$V$1001,0),1)&gt;=100000,INDEX($AC$1005:$AS$1005,1,MATCH(COLUMNS($AC$1006:AQ1006),$AC$1006:$AS$1006,0))&gt;=100000), " ",IF(INDEX($AC$2:$AS$1001,MATCH(ROWS($V$2:V920),$V$2:$V$1001,0),MATCH(COLUMNS($AC$1006:AQ1006),$AC$1006:$AS$1006,0)), HYPERLINK("#",""), HYPERLINK(CONCATENATE("#metadata!", ADDRESS(INDEX($X$2:$X$1001,MATCH(ROWS($V$2:V920),$V$2:$V$1001,0),0), INDEX($AC$1004:$AS$1004,1,MATCH(COLUMNS($AC$1006:AQ1006),$AC$1006:$AS$1006,0)))),"Fix")))</f>
        <v xml:space="preserve"> </v>
      </c>
      <c r="Q920" s="4" t="str">
        <f ca="1">IF(OR(INDEX($W$2:$W$1001,MATCH(ROWS($V$2:V920),$V$2:$V$1001,0),1)&gt;=100000,INDEX($AC$1005:$AS$1005,1,MATCH(COLUMNS($AC$1006:AR1006),$AC$1006:$AS$1006,0))&gt;=100000), " ",IF(INDEX($AC$2:$AS$1001,MATCH(ROWS($V$2:V920),$V$2:$V$1001,0),MATCH(COLUMNS($AC$1006:AR1006),$AC$1006:$AS$1006,0)), HYPERLINK("#",""), HYPERLINK(CONCATENATE("#metadata!", ADDRESS(INDEX($X$2:$X$1001,MATCH(ROWS($V$2:V920),$V$2:$V$1001,0),0), INDEX($AC$1004:$AS$1004,1,MATCH(COLUMNS($AC$1006:AR1006),$AC$1006:$AS$1006,0)))),"Fix")))</f>
        <v xml:space="preserve"> </v>
      </c>
      <c r="R920" s="4" t="str">
        <f ca="1">IF(OR(INDEX($W$2:$W$1001,MATCH(ROWS($V$2:V920),$V$2:$V$1001,0),1)&gt;=100000,INDEX($AC$1005:$AS$1005,1,MATCH(COLUMNS($AC$1006:AS1006),$AC$1006:$AS$1006,0))&gt;=100000), " ",IF(INDEX($AC$2:$AS$1001,MATCH(ROWS($V$2:V920),$V$2:$V$1001,0),MATCH(COLUMNS($AC$1006:AS1006),$AC$1006:$AS$1006,0)), HYPERLINK("#",""), HYPERLINK(CONCATENATE("#metadata!", ADDRESS(INDEX($X$2:$X$1001,MATCH(ROWS($V$2:V920),$V$2:$V$1001,0),0), INDEX($AC$1004:$AS$1004,1,MATCH(COLUMNS($AC$1006:AS1006),$AC$1006:$AS$1006,0)))),"Fix")))</f>
        <v xml:space="preserve"> </v>
      </c>
      <c r="V920">
        <v>919</v>
      </c>
      <c r="W920">
        <v>100920</v>
      </c>
      <c r="X920">
        <v>920</v>
      </c>
      <c r="Y920" t="b">
        <f t="shared" si="14"/>
        <v>1</v>
      </c>
      <c r="Z920" t="b">
        <f>COUNTBLANK(metadata!B920:R920)=COLUMNS(metadata!B920:R920)</f>
        <v>1</v>
      </c>
      <c r="AA920" t="str">
        <v/>
      </c>
      <c r="AC920" t="b">
        <f ca="1"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AD920" t="b">
        <f>IF(metadata!C920="",FALSE,ISNUMBER(VALUE(metadata!C920)))</f>
        <v>0</v>
      </c>
      <c r="AE920" t="b">
        <f>AND(IF(metadata!D920="",FALSE,TRUE),EXACT(metadata!D920,"years"))</f>
        <v>0</v>
      </c>
      <c r="AF920" t="b">
        <f>OR(AND(IF(metadata!E920="",FALSE,TRUE),OR(EXACT(metadata!E920,"not applicable"),EXACT(metadata!E920,"missing: not collected"),EXACT(metadata!E920,"missing: not provided"),EXACT(metadata!E920,"missing: restricted access"))),AND(IF(metadata!E920="",FALSE,ISNUMBER(VALUE(metadata!E920))),metadata!E920&gt;0))</f>
        <v>0</v>
      </c>
      <c r="AG920" t="b">
        <f>AND(IF(metadata!F920="",FALSE,TRUE),EXACT(metadata!F920,"Not applicable"))</f>
        <v>0</v>
      </c>
      <c r="AH920" t="b">
        <f>AND(IF(metadata!G920="",FALSE,TRUE),EXACT(metadata!G920,"urban biome"))</f>
        <v>0</v>
      </c>
      <c r="AI920" t="b">
        <f>AND(IF(metadata!H920="",FALSE,TRUE),EXACT(metadata!H920,"human-associated habitat"))</f>
        <v>0</v>
      </c>
      <c r="AJ920" t="b">
        <f>AND(IF(metadata!I920="",FALSE,TRUE),OR(EXACT(metadata!I920,"human-associated"),EXACT(metadata!I920,"human-skin"),EXACT(metadata!I920,"human-oral"),EXACT(metadata!I920,"human-gut"),EXACT(metadata!I920,"human-vaginal")))</f>
        <v>0</v>
      </c>
      <c r="AK920" t="b">
        <f>IF(metadata!J920="",FALSE,ISNUMBER(VALUE(metadata!J920)))</f>
        <v>0</v>
      </c>
      <c r="AL920" t="b">
        <f>AND(IF(metadata!K920="",FALSE,TRUE),EXACT(metadata!K920,"cm"))</f>
        <v>0</v>
      </c>
      <c r="AM920" t="b">
        <f>AND(IF(metadata!L920="",FALSE,TRUE),EXACT(metadata!L920,"human"))</f>
        <v>0</v>
      </c>
      <c r="AN920" t="b">
        <f>AND(IF(metadata!M920="",FALSE,TRUE),EXACT(metadata!M920,"Homo sapiens"))</f>
        <v>0</v>
      </c>
      <c r="AO920" t="b">
        <f>AND(IF(metadata!N920="",FALSE,TRUE),EXACT(metadata!N920,"9606"))</f>
        <v>0</v>
      </c>
      <c r="AP920" t="b">
        <f>IF(metadata!O920="",FALSE,TRUE)</f>
        <v>0</v>
      </c>
      <c r="AQ920" t="b">
        <f>IF(metadata!P920="",FALSE,TRUE)</f>
        <v>0</v>
      </c>
      <c r="AR920" t="b">
        <f>IF(metadata!Q920="",FALSE,ISNUMBER(VALUE(metadata!Q920)))</f>
        <v>0</v>
      </c>
      <c r="AS920" t="b">
        <f>AND(IF(metadata!R920="",FALSE,TRUE),EXACT(metadata!R920,"kg"))</f>
        <v>0</v>
      </c>
    </row>
    <row r="921" spans="1:45" x14ac:dyDescent="0.2">
      <c r="A921" s="5" t="str">
        <f ca="1">IF(B921=" "," ",HYPERLINK(CONCATENATE("#metadata!",ADDRESS(INDEX($X$2:$X$1001,MATCH(ROWS($V$2:V921),$V$2:$V$1001,0),0),1)),INDEX($AA$2:$AA$1001,MATCH(ROWS($V$2:V921),$V$2:$V$1001,0),0)))</f>
        <v xml:space="preserve"> </v>
      </c>
      <c r="B921" s="4" t="str">
        <f ca="1">IF(OR(INDEX($W$2:$W$1001,MATCH(ROWS($V$2:V921),$V$2:$V$1001,0),1)&gt;=100000,INDEX($AC$1005:$AS$1005,1,MATCH(COLUMNS($AC$1006:AC1006),$AC$1006:$AS$1006,0))&gt;=100000), " ",IF(INDEX($AC$2:$AS$1001,MATCH(ROWS($V$2:V921),$V$2:$V$1001,0),MATCH(COLUMNS($AC$1006:AC1006),$AC$1006:$AS$1006,0)), HYPERLINK("#",""), HYPERLINK(CONCATENATE("#metadata!", ADDRESS(INDEX($X$2:$X$1001,MATCH(ROWS($V$2:V921),$V$2:$V$1001,0),0), INDEX($AC$1004:$AS$1004,1,MATCH(COLUMNS($AC$1006:AC1006),$AC$1006:$AS$1006,0)))),"Fix")))</f>
        <v xml:space="preserve"> </v>
      </c>
      <c r="C921" s="4" t="str">
        <f ca="1">IF(OR(INDEX($W$2:$W$1001,MATCH(ROWS($V$2:V921),$V$2:$V$1001,0),1)&gt;=100000,INDEX($AC$1005:$AS$1005,1,MATCH(COLUMNS($AC$1006:AD1006),$AC$1006:$AS$1006,0))&gt;=100000), " ",IF(INDEX($AC$2:$AS$1001,MATCH(ROWS($V$2:V921),$V$2:$V$1001,0),MATCH(COLUMNS($AC$1006:AD1006),$AC$1006:$AS$1006,0)), HYPERLINK("#",""), HYPERLINK(CONCATENATE("#metadata!", ADDRESS(INDEX($X$2:$X$1001,MATCH(ROWS($V$2:V921),$V$2:$V$1001,0),0), INDEX($AC$1004:$AS$1004,1,MATCH(COLUMNS($AC$1006:AD1006),$AC$1006:$AS$1006,0)))),"Fix")))</f>
        <v xml:space="preserve"> </v>
      </c>
      <c r="D921" s="4" t="str">
        <f ca="1">IF(OR(INDEX($W$2:$W$1001,MATCH(ROWS($V$2:V921),$V$2:$V$1001,0),1)&gt;=100000,INDEX($AC$1005:$AS$1005,1,MATCH(COLUMNS($AC$1006:AE1006),$AC$1006:$AS$1006,0))&gt;=100000), " ",IF(INDEX($AC$2:$AS$1001,MATCH(ROWS($V$2:V921),$V$2:$V$1001,0),MATCH(COLUMNS($AC$1006:AE1006),$AC$1006:$AS$1006,0)), HYPERLINK("#",""), HYPERLINK(CONCATENATE("#metadata!", ADDRESS(INDEX($X$2:$X$1001,MATCH(ROWS($V$2:V921),$V$2:$V$1001,0),0), INDEX($AC$1004:$AS$1004,1,MATCH(COLUMNS($AC$1006:AE1006),$AC$1006:$AS$1006,0)))),"Fix")))</f>
        <v xml:space="preserve"> </v>
      </c>
      <c r="E921" s="4" t="str">
        <f ca="1">IF(OR(INDEX($W$2:$W$1001,MATCH(ROWS($V$2:V921),$V$2:$V$1001,0),1)&gt;=100000,INDEX($AC$1005:$AS$1005,1,MATCH(COLUMNS($AC$1006:AF1006),$AC$1006:$AS$1006,0))&gt;=100000), " ",IF(INDEX($AC$2:$AS$1001,MATCH(ROWS($V$2:V921),$V$2:$V$1001,0),MATCH(COLUMNS($AC$1006:AF1006),$AC$1006:$AS$1006,0)), HYPERLINK("#",""), HYPERLINK(CONCATENATE("#metadata!", ADDRESS(INDEX($X$2:$X$1001,MATCH(ROWS($V$2:V921),$V$2:$V$1001,0),0), INDEX($AC$1004:$AS$1004,1,MATCH(COLUMNS($AC$1006:AF1006),$AC$1006:$AS$1006,0)))),"Fix")))</f>
        <v xml:space="preserve"> </v>
      </c>
      <c r="F921" s="4" t="str">
        <f ca="1">IF(OR(INDEX($W$2:$W$1001,MATCH(ROWS($V$2:V921),$V$2:$V$1001,0),1)&gt;=100000,INDEX($AC$1005:$AS$1005,1,MATCH(COLUMNS($AC$1006:AG1006),$AC$1006:$AS$1006,0))&gt;=100000), " ",IF(INDEX($AC$2:$AS$1001,MATCH(ROWS($V$2:V921),$V$2:$V$1001,0),MATCH(COLUMNS($AC$1006:AG1006),$AC$1006:$AS$1006,0)), HYPERLINK("#",""), HYPERLINK(CONCATENATE("#metadata!", ADDRESS(INDEX($X$2:$X$1001,MATCH(ROWS($V$2:V921),$V$2:$V$1001,0),0), INDEX($AC$1004:$AS$1004,1,MATCH(COLUMNS($AC$1006:AG1006),$AC$1006:$AS$1006,0)))),"Fix")))</f>
        <v xml:space="preserve"> </v>
      </c>
      <c r="G921" s="4" t="str">
        <f ca="1">IF(OR(INDEX($W$2:$W$1001,MATCH(ROWS($V$2:V921),$V$2:$V$1001,0),1)&gt;=100000,INDEX($AC$1005:$AS$1005,1,MATCH(COLUMNS($AC$1006:AH1006),$AC$1006:$AS$1006,0))&gt;=100000), " ",IF(INDEX($AC$2:$AS$1001,MATCH(ROWS($V$2:V921),$V$2:$V$1001,0),MATCH(COLUMNS($AC$1006:AH1006),$AC$1006:$AS$1006,0)), HYPERLINK("#",""), HYPERLINK(CONCATENATE("#metadata!", ADDRESS(INDEX($X$2:$X$1001,MATCH(ROWS($V$2:V921),$V$2:$V$1001,0),0), INDEX($AC$1004:$AS$1004,1,MATCH(COLUMNS($AC$1006:AH1006),$AC$1006:$AS$1006,0)))),"Fix")))</f>
        <v xml:space="preserve"> </v>
      </c>
      <c r="H921" s="4" t="str">
        <f ca="1">IF(OR(INDEX($W$2:$W$1001,MATCH(ROWS($V$2:V921),$V$2:$V$1001,0),1)&gt;=100000,INDEX($AC$1005:$AS$1005,1,MATCH(COLUMNS($AC$1006:AI1006),$AC$1006:$AS$1006,0))&gt;=100000), " ",IF(INDEX($AC$2:$AS$1001,MATCH(ROWS($V$2:V921),$V$2:$V$1001,0),MATCH(COLUMNS($AC$1006:AI1006),$AC$1006:$AS$1006,0)), HYPERLINK("#",""), HYPERLINK(CONCATENATE("#metadata!", ADDRESS(INDEX($X$2:$X$1001,MATCH(ROWS($V$2:V921),$V$2:$V$1001,0),0), INDEX($AC$1004:$AS$1004,1,MATCH(COLUMNS($AC$1006:AI1006),$AC$1006:$AS$1006,0)))),"Fix")))</f>
        <v xml:space="preserve"> </v>
      </c>
      <c r="I921" s="4" t="str">
        <f ca="1">IF(OR(INDEX($W$2:$W$1001,MATCH(ROWS($V$2:V921),$V$2:$V$1001,0),1)&gt;=100000,INDEX($AC$1005:$AS$1005,1,MATCH(COLUMNS($AC$1006:AJ1006),$AC$1006:$AS$1006,0))&gt;=100000), " ",IF(INDEX($AC$2:$AS$1001,MATCH(ROWS($V$2:V921),$V$2:$V$1001,0),MATCH(COLUMNS($AC$1006:AJ1006),$AC$1006:$AS$1006,0)), HYPERLINK("#",""), HYPERLINK(CONCATENATE("#metadata!", ADDRESS(INDEX($X$2:$X$1001,MATCH(ROWS($V$2:V921),$V$2:$V$1001,0),0), INDEX($AC$1004:$AS$1004,1,MATCH(COLUMNS($AC$1006:AJ1006),$AC$1006:$AS$1006,0)))),"Fix")))</f>
        <v xml:space="preserve"> </v>
      </c>
      <c r="J921" s="4" t="str">
        <f ca="1">IF(OR(INDEX($W$2:$W$1001,MATCH(ROWS($V$2:V921),$V$2:$V$1001,0),1)&gt;=100000,INDEX($AC$1005:$AS$1005,1,MATCH(COLUMNS($AC$1006:AK1006),$AC$1006:$AS$1006,0))&gt;=100000), " ",IF(INDEX($AC$2:$AS$1001,MATCH(ROWS($V$2:V921),$V$2:$V$1001,0),MATCH(COLUMNS($AC$1006:AK1006),$AC$1006:$AS$1006,0)), HYPERLINK("#",""), HYPERLINK(CONCATENATE("#metadata!", ADDRESS(INDEX($X$2:$X$1001,MATCH(ROWS($V$2:V921),$V$2:$V$1001,0),0), INDEX($AC$1004:$AS$1004,1,MATCH(COLUMNS($AC$1006:AK1006),$AC$1006:$AS$1006,0)))),"Fix")))</f>
        <v xml:space="preserve"> </v>
      </c>
      <c r="K921" s="4" t="str">
        <f ca="1">IF(OR(INDEX($W$2:$W$1001,MATCH(ROWS($V$2:V921),$V$2:$V$1001,0),1)&gt;=100000,INDEX($AC$1005:$AS$1005,1,MATCH(COLUMNS($AC$1006:AL1006),$AC$1006:$AS$1006,0))&gt;=100000), " ",IF(INDEX($AC$2:$AS$1001,MATCH(ROWS($V$2:V921),$V$2:$V$1001,0),MATCH(COLUMNS($AC$1006:AL1006),$AC$1006:$AS$1006,0)), HYPERLINK("#",""), HYPERLINK(CONCATENATE("#metadata!", ADDRESS(INDEX($X$2:$X$1001,MATCH(ROWS($V$2:V921),$V$2:$V$1001,0),0), INDEX($AC$1004:$AS$1004,1,MATCH(COLUMNS($AC$1006:AL1006),$AC$1006:$AS$1006,0)))),"Fix")))</f>
        <v xml:space="preserve"> </v>
      </c>
      <c r="L921" s="4" t="str">
        <f ca="1">IF(OR(INDEX($W$2:$W$1001,MATCH(ROWS($V$2:V921),$V$2:$V$1001,0),1)&gt;=100000,INDEX($AC$1005:$AS$1005,1,MATCH(COLUMNS($AC$1006:AM1006),$AC$1006:$AS$1006,0))&gt;=100000), " ",IF(INDEX($AC$2:$AS$1001,MATCH(ROWS($V$2:V921),$V$2:$V$1001,0),MATCH(COLUMNS($AC$1006:AM1006),$AC$1006:$AS$1006,0)), HYPERLINK("#",""), HYPERLINK(CONCATENATE("#metadata!", ADDRESS(INDEX($X$2:$X$1001,MATCH(ROWS($V$2:V921),$V$2:$V$1001,0),0), INDEX($AC$1004:$AS$1004,1,MATCH(COLUMNS($AC$1006:AM1006),$AC$1006:$AS$1006,0)))),"Fix")))</f>
        <v xml:space="preserve"> </v>
      </c>
      <c r="M921" s="4" t="str">
        <f ca="1">IF(OR(INDEX($W$2:$W$1001,MATCH(ROWS($V$2:V921),$V$2:$V$1001,0),1)&gt;=100000,INDEX($AC$1005:$AS$1005,1,MATCH(COLUMNS($AC$1006:AN1006),$AC$1006:$AS$1006,0))&gt;=100000), " ",IF(INDEX($AC$2:$AS$1001,MATCH(ROWS($V$2:V921),$V$2:$V$1001,0),MATCH(COLUMNS($AC$1006:AN1006),$AC$1006:$AS$1006,0)), HYPERLINK("#",""), HYPERLINK(CONCATENATE("#metadata!", ADDRESS(INDEX($X$2:$X$1001,MATCH(ROWS($V$2:V921),$V$2:$V$1001,0),0), INDEX($AC$1004:$AS$1004,1,MATCH(COLUMNS($AC$1006:AN1006),$AC$1006:$AS$1006,0)))),"Fix")))</f>
        <v xml:space="preserve"> </v>
      </c>
      <c r="N921" s="4" t="str">
        <f ca="1">IF(OR(INDEX($W$2:$W$1001,MATCH(ROWS($V$2:V921),$V$2:$V$1001,0),1)&gt;=100000,INDEX($AC$1005:$AS$1005,1,MATCH(COLUMNS($AC$1006:AO1006),$AC$1006:$AS$1006,0))&gt;=100000), " ",IF(INDEX($AC$2:$AS$1001,MATCH(ROWS($V$2:V921),$V$2:$V$1001,0),MATCH(COLUMNS($AC$1006:AO1006),$AC$1006:$AS$1006,0)), HYPERLINK("#",""), HYPERLINK(CONCATENATE("#metadata!", ADDRESS(INDEX($X$2:$X$1001,MATCH(ROWS($V$2:V921),$V$2:$V$1001,0),0), INDEX($AC$1004:$AS$1004,1,MATCH(COLUMNS($AC$1006:AO1006),$AC$1006:$AS$1006,0)))),"Fix")))</f>
        <v xml:space="preserve"> </v>
      </c>
      <c r="O921" s="4" t="str">
        <f ca="1">IF(OR(INDEX($W$2:$W$1001,MATCH(ROWS($V$2:V921),$V$2:$V$1001,0),1)&gt;=100000,INDEX($AC$1005:$AS$1005,1,MATCH(COLUMNS($AC$1006:AP1006),$AC$1006:$AS$1006,0))&gt;=100000), " ",IF(INDEX($AC$2:$AS$1001,MATCH(ROWS($V$2:V921),$V$2:$V$1001,0),MATCH(COLUMNS($AC$1006:AP1006),$AC$1006:$AS$1006,0)), HYPERLINK("#",""), HYPERLINK(CONCATENATE("#metadata!", ADDRESS(INDEX($X$2:$X$1001,MATCH(ROWS($V$2:V921),$V$2:$V$1001,0),0), INDEX($AC$1004:$AS$1004,1,MATCH(COLUMNS($AC$1006:AP1006),$AC$1006:$AS$1006,0)))),"Fix")))</f>
        <v xml:space="preserve"> </v>
      </c>
      <c r="P921" s="4" t="str">
        <f ca="1">IF(OR(INDEX($W$2:$W$1001,MATCH(ROWS($V$2:V921),$V$2:$V$1001,0),1)&gt;=100000,INDEX($AC$1005:$AS$1005,1,MATCH(COLUMNS($AC$1006:AQ1006),$AC$1006:$AS$1006,0))&gt;=100000), " ",IF(INDEX($AC$2:$AS$1001,MATCH(ROWS($V$2:V921),$V$2:$V$1001,0),MATCH(COLUMNS($AC$1006:AQ1006),$AC$1006:$AS$1006,0)), HYPERLINK("#",""), HYPERLINK(CONCATENATE("#metadata!", ADDRESS(INDEX($X$2:$X$1001,MATCH(ROWS($V$2:V921),$V$2:$V$1001,0),0), INDEX($AC$1004:$AS$1004,1,MATCH(COLUMNS($AC$1006:AQ1006),$AC$1006:$AS$1006,0)))),"Fix")))</f>
        <v xml:space="preserve"> </v>
      </c>
      <c r="Q921" s="4" t="str">
        <f ca="1">IF(OR(INDEX($W$2:$W$1001,MATCH(ROWS($V$2:V921),$V$2:$V$1001,0),1)&gt;=100000,INDEX($AC$1005:$AS$1005,1,MATCH(COLUMNS($AC$1006:AR1006),$AC$1006:$AS$1006,0))&gt;=100000), " ",IF(INDEX($AC$2:$AS$1001,MATCH(ROWS($V$2:V921),$V$2:$V$1001,0),MATCH(COLUMNS($AC$1006:AR1006),$AC$1006:$AS$1006,0)), HYPERLINK("#",""), HYPERLINK(CONCATENATE("#metadata!", ADDRESS(INDEX($X$2:$X$1001,MATCH(ROWS($V$2:V921),$V$2:$V$1001,0),0), INDEX($AC$1004:$AS$1004,1,MATCH(COLUMNS($AC$1006:AR1006),$AC$1006:$AS$1006,0)))),"Fix")))</f>
        <v xml:space="preserve"> </v>
      </c>
      <c r="R921" s="4" t="str">
        <f ca="1">IF(OR(INDEX($W$2:$W$1001,MATCH(ROWS($V$2:V921),$V$2:$V$1001,0),1)&gt;=100000,INDEX($AC$1005:$AS$1005,1,MATCH(COLUMNS($AC$1006:AS1006),$AC$1006:$AS$1006,0))&gt;=100000), " ",IF(INDEX($AC$2:$AS$1001,MATCH(ROWS($V$2:V921),$V$2:$V$1001,0),MATCH(COLUMNS($AC$1006:AS1006),$AC$1006:$AS$1006,0)), HYPERLINK("#",""), HYPERLINK(CONCATENATE("#metadata!", ADDRESS(INDEX($X$2:$X$1001,MATCH(ROWS($V$2:V921),$V$2:$V$1001,0),0), INDEX($AC$1004:$AS$1004,1,MATCH(COLUMNS($AC$1006:AS1006),$AC$1006:$AS$1006,0)))),"Fix")))</f>
        <v xml:space="preserve"> </v>
      </c>
      <c r="V921">
        <v>920</v>
      </c>
      <c r="W921">
        <v>100921</v>
      </c>
      <c r="X921">
        <v>921</v>
      </c>
      <c r="Y921" t="b">
        <f t="shared" si="14"/>
        <v>1</v>
      </c>
      <c r="Z921" t="b">
        <f>COUNTBLANK(metadata!B921:R921)=COLUMNS(metadata!B921:R921)</f>
        <v>1</v>
      </c>
      <c r="AA921" t="str">
        <v/>
      </c>
      <c r="AC921" t="b">
        <f ca="1"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AD921" t="b">
        <f>IF(metadata!C921="",FALSE,ISNUMBER(VALUE(metadata!C921)))</f>
        <v>0</v>
      </c>
      <c r="AE921" t="b">
        <f>AND(IF(metadata!D921="",FALSE,TRUE),EXACT(metadata!D921,"years"))</f>
        <v>0</v>
      </c>
      <c r="AF921" t="b">
        <f>OR(AND(IF(metadata!E921="",FALSE,TRUE),OR(EXACT(metadata!E921,"not applicable"),EXACT(metadata!E921,"missing: not collected"),EXACT(metadata!E921,"missing: not provided"),EXACT(metadata!E921,"missing: restricted access"))),AND(IF(metadata!E921="",FALSE,ISNUMBER(VALUE(metadata!E921))),metadata!E921&gt;0))</f>
        <v>0</v>
      </c>
      <c r="AG921" t="b">
        <f>AND(IF(metadata!F921="",FALSE,TRUE),EXACT(metadata!F921,"Not applicable"))</f>
        <v>0</v>
      </c>
      <c r="AH921" t="b">
        <f>AND(IF(metadata!G921="",FALSE,TRUE),EXACT(metadata!G921,"urban biome"))</f>
        <v>0</v>
      </c>
      <c r="AI921" t="b">
        <f>AND(IF(metadata!H921="",FALSE,TRUE),EXACT(metadata!H921,"human-associated habitat"))</f>
        <v>0</v>
      </c>
      <c r="AJ921" t="b">
        <f>AND(IF(metadata!I921="",FALSE,TRUE),OR(EXACT(metadata!I921,"human-associated"),EXACT(metadata!I921,"human-skin"),EXACT(metadata!I921,"human-oral"),EXACT(metadata!I921,"human-gut"),EXACT(metadata!I921,"human-vaginal")))</f>
        <v>0</v>
      </c>
      <c r="AK921" t="b">
        <f>IF(metadata!J921="",FALSE,ISNUMBER(VALUE(metadata!J921)))</f>
        <v>0</v>
      </c>
      <c r="AL921" t="b">
        <f>AND(IF(metadata!K921="",FALSE,TRUE),EXACT(metadata!K921,"cm"))</f>
        <v>0</v>
      </c>
      <c r="AM921" t="b">
        <f>AND(IF(metadata!L921="",FALSE,TRUE),EXACT(metadata!L921,"human"))</f>
        <v>0</v>
      </c>
      <c r="AN921" t="b">
        <f>AND(IF(metadata!M921="",FALSE,TRUE),EXACT(metadata!M921,"Homo sapiens"))</f>
        <v>0</v>
      </c>
      <c r="AO921" t="b">
        <f>AND(IF(metadata!N921="",FALSE,TRUE),EXACT(metadata!N921,"9606"))</f>
        <v>0</v>
      </c>
      <c r="AP921" t="b">
        <f>IF(metadata!O921="",FALSE,TRUE)</f>
        <v>0</v>
      </c>
      <c r="AQ921" t="b">
        <f>IF(metadata!P921="",FALSE,TRUE)</f>
        <v>0</v>
      </c>
      <c r="AR921" t="b">
        <f>IF(metadata!Q921="",FALSE,ISNUMBER(VALUE(metadata!Q921)))</f>
        <v>0</v>
      </c>
      <c r="AS921" t="b">
        <f>AND(IF(metadata!R921="",FALSE,TRUE),EXACT(metadata!R921,"kg"))</f>
        <v>0</v>
      </c>
    </row>
    <row r="922" spans="1:45" x14ac:dyDescent="0.2">
      <c r="A922" s="5" t="str">
        <f ca="1">IF(B922=" "," ",HYPERLINK(CONCATENATE("#metadata!",ADDRESS(INDEX($X$2:$X$1001,MATCH(ROWS($V$2:V922),$V$2:$V$1001,0),0),1)),INDEX($AA$2:$AA$1001,MATCH(ROWS($V$2:V922),$V$2:$V$1001,0),0)))</f>
        <v xml:space="preserve"> </v>
      </c>
      <c r="B922" s="4" t="str">
        <f ca="1">IF(OR(INDEX($W$2:$W$1001,MATCH(ROWS($V$2:V922),$V$2:$V$1001,0),1)&gt;=100000,INDEX($AC$1005:$AS$1005,1,MATCH(COLUMNS($AC$1006:AC1006),$AC$1006:$AS$1006,0))&gt;=100000), " ",IF(INDEX($AC$2:$AS$1001,MATCH(ROWS($V$2:V922),$V$2:$V$1001,0),MATCH(COLUMNS($AC$1006:AC1006),$AC$1006:$AS$1006,0)), HYPERLINK("#",""), HYPERLINK(CONCATENATE("#metadata!", ADDRESS(INDEX($X$2:$X$1001,MATCH(ROWS($V$2:V922),$V$2:$V$1001,0),0), INDEX($AC$1004:$AS$1004,1,MATCH(COLUMNS($AC$1006:AC1006),$AC$1006:$AS$1006,0)))),"Fix")))</f>
        <v xml:space="preserve"> </v>
      </c>
      <c r="C922" s="4" t="str">
        <f ca="1">IF(OR(INDEX($W$2:$W$1001,MATCH(ROWS($V$2:V922),$V$2:$V$1001,0),1)&gt;=100000,INDEX($AC$1005:$AS$1005,1,MATCH(COLUMNS($AC$1006:AD1006),$AC$1006:$AS$1006,0))&gt;=100000), " ",IF(INDEX($AC$2:$AS$1001,MATCH(ROWS($V$2:V922),$V$2:$V$1001,0),MATCH(COLUMNS($AC$1006:AD1006),$AC$1006:$AS$1006,0)), HYPERLINK("#",""), HYPERLINK(CONCATENATE("#metadata!", ADDRESS(INDEX($X$2:$X$1001,MATCH(ROWS($V$2:V922),$V$2:$V$1001,0),0), INDEX($AC$1004:$AS$1004,1,MATCH(COLUMNS($AC$1006:AD1006),$AC$1006:$AS$1006,0)))),"Fix")))</f>
        <v xml:space="preserve"> </v>
      </c>
      <c r="D922" s="4" t="str">
        <f ca="1">IF(OR(INDEX($W$2:$W$1001,MATCH(ROWS($V$2:V922),$V$2:$V$1001,0),1)&gt;=100000,INDEX($AC$1005:$AS$1005,1,MATCH(COLUMNS($AC$1006:AE1006),$AC$1006:$AS$1006,0))&gt;=100000), " ",IF(INDEX($AC$2:$AS$1001,MATCH(ROWS($V$2:V922),$V$2:$V$1001,0),MATCH(COLUMNS($AC$1006:AE1006),$AC$1006:$AS$1006,0)), HYPERLINK("#",""), HYPERLINK(CONCATENATE("#metadata!", ADDRESS(INDEX($X$2:$X$1001,MATCH(ROWS($V$2:V922),$V$2:$V$1001,0),0), INDEX($AC$1004:$AS$1004,1,MATCH(COLUMNS($AC$1006:AE1006),$AC$1006:$AS$1006,0)))),"Fix")))</f>
        <v xml:space="preserve"> </v>
      </c>
      <c r="E922" s="4" t="str">
        <f ca="1">IF(OR(INDEX($W$2:$W$1001,MATCH(ROWS($V$2:V922),$V$2:$V$1001,0),1)&gt;=100000,INDEX($AC$1005:$AS$1005,1,MATCH(COLUMNS($AC$1006:AF1006),$AC$1006:$AS$1006,0))&gt;=100000), " ",IF(INDEX($AC$2:$AS$1001,MATCH(ROWS($V$2:V922),$V$2:$V$1001,0),MATCH(COLUMNS($AC$1006:AF1006),$AC$1006:$AS$1006,0)), HYPERLINK("#",""), HYPERLINK(CONCATENATE("#metadata!", ADDRESS(INDEX($X$2:$X$1001,MATCH(ROWS($V$2:V922),$V$2:$V$1001,0),0), INDEX($AC$1004:$AS$1004,1,MATCH(COLUMNS($AC$1006:AF1006),$AC$1006:$AS$1006,0)))),"Fix")))</f>
        <v xml:space="preserve"> </v>
      </c>
      <c r="F922" s="4" t="str">
        <f ca="1">IF(OR(INDEX($W$2:$W$1001,MATCH(ROWS($V$2:V922),$V$2:$V$1001,0),1)&gt;=100000,INDEX($AC$1005:$AS$1005,1,MATCH(COLUMNS($AC$1006:AG1006),$AC$1006:$AS$1006,0))&gt;=100000), " ",IF(INDEX($AC$2:$AS$1001,MATCH(ROWS($V$2:V922),$V$2:$V$1001,0),MATCH(COLUMNS($AC$1006:AG1006),$AC$1006:$AS$1006,0)), HYPERLINK("#",""), HYPERLINK(CONCATENATE("#metadata!", ADDRESS(INDEX($X$2:$X$1001,MATCH(ROWS($V$2:V922),$V$2:$V$1001,0),0), INDEX($AC$1004:$AS$1004,1,MATCH(COLUMNS($AC$1006:AG1006),$AC$1006:$AS$1006,0)))),"Fix")))</f>
        <v xml:space="preserve"> </v>
      </c>
      <c r="G922" s="4" t="str">
        <f ca="1">IF(OR(INDEX($W$2:$W$1001,MATCH(ROWS($V$2:V922),$V$2:$V$1001,0),1)&gt;=100000,INDEX($AC$1005:$AS$1005,1,MATCH(COLUMNS($AC$1006:AH1006),$AC$1006:$AS$1006,0))&gt;=100000), " ",IF(INDEX($AC$2:$AS$1001,MATCH(ROWS($V$2:V922),$V$2:$V$1001,0),MATCH(COLUMNS($AC$1006:AH1006),$AC$1006:$AS$1006,0)), HYPERLINK("#",""), HYPERLINK(CONCATENATE("#metadata!", ADDRESS(INDEX($X$2:$X$1001,MATCH(ROWS($V$2:V922),$V$2:$V$1001,0),0), INDEX($AC$1004:$AS$1004,1,MATCH(COLUMNS($AC$1006:AH1006),$AC$1006:$AS$1006,0)))),"Fix")))</f>
        <v xml:space="preserve"> </v>
      </c>
      <c r="H922" s="4" t="str">
        <f ca="1">IF(OR(INDEX($W$2:$W$1001,MATCH(ROWS($V$2:V922),$V$2:$V$1001,0),1)&gt;=100000,INDEX($AC$1005:$AS$1005,1,MATCH(COLUMNS($AC$1006:AI1006),$AC$1006:$AS$1006,0))&gt;=100000), " ",IF(INDEX($AC$2:$AS$1001,MATCH(ROWS($V$2:V922),$V$2:$V$1001,0),MATCH(COLUMNS($AC$1006:AI1006),$AC$1006:$AS$1006,0)), HYPERLINK("#",""), HYPERLINK(CONCATENATE("#metadata!", ADDRESS(INDEX($X$2:$X$1001,MATCH(ROWS($V$2:V922),$V$2:$V$1001,0),0), INDEX($AC$1004:$AS$1004,1,MATCH(COLUMNS($AC$1006:AI1006),$AC$1006:$AS$1006,0)))),"Fix")))</f>
        <v xml:space="preserve"> </v>
      </c>
      <c r="I922" s="4" t="str">
        <f ca="1">IF(OR(INDEX($W$2:$W$1001,MATCH(ROWS($V$2:V922),$V$2:$V$1001,0),1)&gt;=100000,INDEX($AC$1005:$AS$1005,1,MATCH(COLUMNS($AC$1006:AJ1006),$AC$1006:$AS$1006,0))&gt;=100000), " ",IF(INDEX($AC$2:$AS$1001,MATCH(ROWS($V$2:V922),$V$2:$V$1001,0),MATCH(COLUMNS($AC$1006:AJ1006),$AC$1006:$AS$1006,0)), HYPERLINK("#",""), HYPERLINK(CONCATENATE("#metadata!", ADDRESS(INDEX($X$2:$X$1001,MATCH(ROWS($V$2:V922),$V$2:$V$1001,0),0), INDEX($AC$1004:$AS$1004,1,MATCH(COLUMNS($AC$1006:AJ1006),$AC$1006:$AS$1006,0)))),"Fix")))</f>
        <v xml:space="preserve"> </v>
      </c>
      <c r="J922" s="4" t="str">
        <f ca="1">IF(OR(INDEX($W$2:$W$1001,MATCH(ROWS($V$2:V922),$V$2:$V$1001,0),1)&gt;=100000,INDEX($AC$1005:$AS$1005,1,MATCH(COLUMNS($AC$1006:AK1006),$AC$1006:$AS$1006,0))&gt;=100000), " ",IF(INDEX($AC$2:$AS$1001,MATCH(ROWS($V$2:V922),$V$2:$V$1001,0),MATCH(COLUMNS($AC$1006:AK1006),$AC$1006:$AS$1006,0)), HYPERLINK("#",""), HYPERLINK(CONCATENATE("#metadata!", ADDRESS(INDEX($X$2:$X$1001,MATCH(ROWS($V$2:V922),$V$2:$V$1001,0),0), INDEX($AC$1004:$AS$1004,1,MATCH(COLUMNS($AC$1006:AK1006),$AC$1006:$AS$1006,0)))),"Fix")))</f>
        <v xml:space="preserve"> </v>
      </c>
      <c r="K922" s="4" t="str">
        <f ca="1">IF(OR(INDEX($W$2:$W$1001,MATCH(ROWS($V$2:V922),$V$2:$V$1001,0),1)&gt;=100000,INDEX($AC$1005:$AS$1005,1,MATCH(COLUMNS($AC$1006:AL1006),$AC$1006:$AS$1006,0))&gt;=100000), " ",IF(INDEX($AC$2:$AS$1001,MATCH(ROWS($V$2:V922),$V$2:$V$1001,0),MATCH(COLUMNS($AC$1006:AL1006),$AC$1006:$AS$1006,0)), HYPERLINK("#",""), HYPERLINK(CONCATENATE("#metadata!", ADDRESS(INDEX($X$2:$X$1001,MATCH(ROWS($V$2:V922),$V$2:$V$1001,0),0), INDEX($AC$1004:$AS$1004,1,MATCH(COLUMNS($AC$1006:AL1006),$AC$1006:$AS$1006,0)))),"Fix")))</f>
        <v xml:space="preserve"> </v>
      </c>
      <c r="L922" s="4" t="str">
        <f ca="1">IF(OR(INDEX($W$2:$W$1001,MATCH(ROWS($V$2:V922),$V$2:$V$1001,0),1)&gt;=100000,INDEX($AC$1005:$AS$1005,1,MATCH(COLUMNS($AC$1006:AM1006),$AC$1006:$AS$1006,0))&gt;=100000), " ",IF(INDEX($AC$2:$AS$1001,MATCH(ROWS($V$2:V922),$V$2:$V$1001,0),MATCH(COLUMNS($AC$1006:AM1006),$AC$1006:$AS$1006,0)), HYPERLINK("#",""), HYPERLINK(CONCATENATE("#metadata!", ADDRESS(INDEX($X$2:$X$1001,MATCH(ROWS($V$2:V922),$V$2:$V$1001,0),0), INDEX($AC$1004:$AS$1004,1,MATCH(COLUMNS($AC$1006:AM1006),$AC$1006:$AS$1006,0)))),"Fix")))</f>
        <v xml:space="preserve"> </v>
      </c>
      <c r="M922" s="4" t="str">
        <f ca="1">IF(OR(INDEX($W$2:$W$1001,MATCH(ROWS($V$2:V922),$V$2:$V$1001,0),1)&gt;=100000,INDEX($AC$1005:$AS$1005,1,MATCH(COLUMNS($AC$1006:AN1006),$AC$1006:$AS$1006,0))&gt;=100000), " ",IF(INDEX($AC$2:$AS$1001,MATCH(ROWS($V$2:V922),$V$2:$V$1001,0),MATCH(COLUMNS($AC$1006:AN1006),$AC$1006:$AS$1006,0)), HYPERLINK("#",""), HYPERLINK(CONCATENATE("#metadata!", ADDRESS(INDEX($X$2:$X$1001,MATCH(ROWS($V$2:V922),$V$2:$V$1001,0),0), INDEX($AC$1004:$AS$1004,1,MATCH(COLUMNS($AC$1006:AN1006),$AC$1006:$AS$1006,0)))),"Fix")))</f>
        <v xml:space="preserve"> </v>
      </c>
      <c r="N922" s="4" t="str">
        <f ca="1">IF(OR(INDEX($W$2:$W$1001,MATCH(ROWS($V$2:V922),$V$2:$V$1001,0),1)&gt;=100000,INDEX($AC$1005:$AS$1005,1,MATCH(COLUMNS($AC$1006:AO1006),$AC$1006:$AS$1006,0))&gt;=100000), " ",IF(INDEX($AC$2:$AS$1001,MATCH(ROWS($V$2:V922),$V$2:$V$1001,0),MATCH(COLUMNS($AC$1006:AO1006),$AC$1006:$AS$1006,0)), HYPERLINK("#",""), HYPERLINK(CONCATENATE("#metadata!", ADDRESS(INDEX($X$2:$X$1001,MATCH(ROWS($V$2:V922),$V$2:$V$1001,0),0), INDEX($AC$1004:$AS$1004,1,MATCH(COLUMNS($AC$1006:AO1006),$AC$1006:$AS$1006,0)))),"Fix")))</f>
        <v xml:space="preserve"> </v>
      </c>
      <c r="O922" s="4" t="str">
        <f ca="1">IF(OR(INDEX($W$2:$W$1001,MATCH(ROWS($V$2:V922),$V$2:$V$1001,0),1)&gt;=100000,INDEX($AC$1005:$AS$1005,1,MATCH(COLUMNS($AC$1006:AP1006),$AC$1006:$AS$1006,0))&gt;=100000), " ",IF(INDEX($AC$2:$AS$1001,MATCH(ROWS($V$2:V922),$V$2:$V$1001,0),MATCH(COLUMNS($AC$1006:AP1006),$AC$1006:$AS$1006,0)), HYPERLINK("#",""), HYPERLINK(CONCATENATE("#metadata!", ADDRESS(INDEX($X$2:$X$1001,MATCH(ROWS($V$2:V922),$V$2:$V$1001,0),0), INDEX($AC$1004:$AS$1004,1,MATCH(COLUMNS($AC$1006:AP1006),$AC$1006:$AS$1006,0)))),"Fix")))</f>
        <v xml:space="preserve"> </v>
      </c>
      <c r="P922" s="4" t="str">
        <f ca="1">IF(OR(INDEX($W$2:$W$1001,MATCH(ROWS($V$2:V922),$V$2:$V$1001,0),1)&gt;=100000,INDEX($AC$1005:$AS$1005,1,MATCH(COLUMNS($AC$1006:AQ1006),$AC$1006:$AS$1006,0))&gt;=100000), " ",IF(INDEX($AC$2:$AS$1001,MATCH(ROWS($V$2:V922),$V$2:$V$1001,0),MATCH(COLUMNS($AC$1006:AQ1006),$AC$1006:$AS$1006,0)), HYPERLINK("#",""), HYPERLINK(CONCATENATE("#metadata!", ADDRESS(INDEX($X$2:$X$1001,MATCH(ROWS($V$2:V922),$V$2:$V$1001,0),0), INDEX($AC$1004:$AS$1004,1,MATCH(COLUMNS($AC$1006:AQ1006),$AC$1006:$AS$1006,0)))),"Fix")))</f>
        <v xml:space="preserve"> </v>
      </c>
      <c r="Q922" s="4" t="str">
        <f ca="1">IF(OR(INDEX($W$2:$W$1001,MATCH(ROWS($V$2:V922),$V$2:$V$1001,0),1)&gt;=100000,INDEX($AC$1005:$AS$1005,1,MATCH(COLUMNS($AC$1006:AR1006),$AC$1006:$AS$1006,0))&gt;=100000), " ",IF(INDEX($AC$2:$AS$1001,MATCH(ROWS($V$2:V922),$V$2:$V$1001,0),MATCH(COLUMNS($AC$1006:AR1006),$AC$1006:$AS$1006,0)), HYPERLINK("#",""), HYPERLINK(CONCATENATE("#metadata!", ADDRESS(INDEX($X$2:$X$1001,MATCH(ROWS($V$2:V922),$V$2:$V$1001,0),0), INDEX($AC$1004:$AS$1004,1,MATCH(COLUMNS($AC$1006:AR1006),$AC$1006:$AS$1006,0)))),"Fix")))</f>
        <v xml:space="preserve"> </v>
      </c>
      <c r="R922" s="4" t="str">
        <f ca="1">IF(OR(INDEX($W$2:$W$1001,MATCH(ROWS($V$2:V922),$V$2:$V$1001,0),1)&gt;=100000,INDEX($AC$1005:$AS$1005,1,MATCH(COLUMNS($AC$1006:AS1006),$AC$1006:$AS$1006,0))&gt;=100000), " ",IF(INDEX($AC$2:$AS$1001,MATCH(ROWS($V$2:V922),$V$2:$V$1001,0),MATCH(COLUMNS($AC$1006:AS1006),$AC$1006:$AS$1006,0)), HYPERLINK("#",""), HYPERLINK(CONCATENATE("#metadata!", ADDRESS(INDEX($X$2:$X$1001,MATCH(ROWS($V$2:V922),$V$2:$V$1001,0),0), INDEX($AC$1004:$AS$1004,1,MATCH(COLUMNS($AC$1006:AS1006),$AC$1006:$AS$1006,0)))),"Fix")))</f>
        <v xml:space="preserve"> </v>
      </c>
      <c r="V922">
        <v>921</v>
      </c>
      <c r="W922">
        <v>100922</v>
      </c>
      <c r="X922">
        <v>922</v>
      </c>
      <c r="Y922" t="b">
        <f t="shared" si="14"/>
        <v>1</v>
      </c>
      <c r="Z922" t="b">
        <f>COUNTBLANK(metadata!B922:R922)=COLUMNS(metadata!B922:R922)</f>
        <v>1</v>
      </c>
      <c r="AA922" t="str">
        <v/>
      </c>
      <c r="AC922" t="b">
        <f ca="1"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AD922" t="b">
        <f>IF(metadata!C922="",FALSE,ISNUMBER(VALUE(metadata!C922)))</f>
        <v>0</v>
      </c>
      <c r="AE922" t="b">
        <f>AND(IF(metadata!D922="",FALSE,TRUE),EXACT(metadata!D922,"years"))</f>
        <v>0</v>
      </c>
      <c r="AF922" t="b">
        <f>OR(AND(IF(metadata!E922="",FALSE,TRUE),OR(EXACT(metadata!E922,"not applicable"),EXACT(metadata!E922,"missing: not collected"),EXACT(metadata!E922,"missing: not provided"),EXACT(metadata!E922,"missing: restricted access"))),AND(IF(metadata!E922="",FALSE,ISNUMBER(VALUE(metadata!E922))),metadata!E922&gt;0))</f>
        <v>0</v>
      </c>
      <c r="AG922" t="b">
        <f>AND(IF(metadata!F922="",FALSE,TRUE),EXACT(metadata!F922,"Not applicable"))</f>
        <v>0</v>
      </c>
      <c r="AH922" t="b">
        <f>AND(IF(metadata!G922="",FALSE,TRUE),EXACT(metadata!G922,"urban biome"))</f>
        <v>0</v>
      </c>
      <c r="AI922" t="b">
        <f>AND(IF(metadata!H922="",FALSE,TRUE),EXACT(metadata!H922,"human-associated habitat"))</f>
        <v>0</v>
      </c>
      <c r="AJ922" t="b">
        <f>AND(IF(metadata!I922="",FALSE,TRUE),OR(EXACT(metadata!I922,"human-associated"),EXACT(metadata!I922,"human-skin"),EXACT(metadata!I922,"human-oral"),EXACT(metadata!I922,"human-gut"),EXACT(metadata!I922,"human-vaginal")))</f>
        <v>0</v>
      </c>
      <c r="AK922" t="b">
        <f>IF(metadata!J922="",FALSE,ISNUMBER(VALUE(metadata!J922)))</f>
        <v>0</v>
      </c>
      <c r="AL922" t="b">
        <f>AND(IF(metadata!K922="",FALSE,TRUE),EXACT(metadata!K922,"cm"))</f>
        <v>0</v>
      </c>
      <c r="AM922" t="b">
        <f>AND(IF(metadata!L922="",FALSE,TRUE),EXACT(metadata!L922,"human"))</f>
        <v>0</v>
      </c>
      <c r="AN922" t="b">
        <f>AND(IF(metadata!M922="",FALSE,TRUE),EXACT(metadata!M922,"Homo sapiens"))</f>
        <v>0</v>
      </c>
      <c r="AO922" t="b">
        <f>AND(IF(metadata!N922="",FALSE,TRUE),EXACT(metadata!N922,"9606"))</f>
        <v>0</v>
      </c>
      <c r="AP922" t="b">
        <f>IF(metadata!O922="",FALSE,TRUE)</f>
        <v>0</v>
      </c>
      <c r="AQ922" t="b">
        <f>IF(metadata!P922="",FALSE,TRUE)</f>
        <v>0</v>
      </c>
      <c r="AR922" t="b">
        <f>IF(metadata!Q922="",FALSE,ISNUMBER(VALUE(metadata!Q922)))</f>
        <v>0</v>
      </c>
      <c r="AS922" t="b">
        <f>AND(IF(metadata!R922="",FALSE,TRUE),EXACT(metadata!R922,"kg"))</f>
        <v>0</v>
      </c>
    </row>
    <row r="923" spans="1:45" x14ac:dyDescent="0.2">
      <c r="A923" s="5" t="str">
        <f ca="1">IF(B923=" "," ",HYPERLINK(CONCATENATE("#metadata!",ADDRESS(INDEX($X$2:$X$1001,MATCH(ROWS($V$2:V923),$V$2:$V$1001,0),0),1)),INDEX($AA$2:$AA$1001,MATCH(ROWS($V$2:V923),$V$2:$V$1001,0),0)))</f>
        <v xml:space="preserve"> </v>
      </c>
      <c r="B923" s="4" t="str">
        <f ca="1">IF(OR(INDEX($W$2:$W$1001,MATCH(ROWS($V$2:V923),$V$2:$V$1001,0),1)&gt;=100000,INDEX($AC$1005:$AS$1005,1,MATCH(COLUMNS($AC$1006:AC1006),$AC$1006:$AS$1006,0))&gt;=100000), " ",IF(INDEX($AC$2:$AS$1001,MATCH(ROWS($V$2:V923),$V$2:$V$1001,0),MATCH(COLUMNS($AC$1006:AC1006),$AC$1006:$AS$1006,0)), HYPERLINK("#",""), HYPERLINK(CONCATENATE("#metadata!", ADDRESS(INDEX($X$2:$X$1001,MATCH(ROWS($V$2:V923),$V$2:$V$1001,0),0), INDEX($AC$1004:$AS$1004,1,MATCH(COLUMNS($AC$1006:AC1006),$AC$1006:$AS$1006,0)))),"Fix")))</f>
        <v xml:space="preserve"> </v>
      </c>
      <c r="C923" s="4" t="str">
        <f ca="1">IF(OR(INDEX($W$2:$W$1001,MATCH(ROWS($V$2:V923),$V$2:$V$1001,0),1)&gt;=100000,INDEX($AC$1005:$AS$1005,1,MATCH(COLUMNS($AC$1006:AD1006),$AC$1006:$AS$1006,0))&gt;=100000), " ",IF(INDEX($AC$2:$AS$1001,MATCH(ROWS($V$2:V923),$V$2:$V$1001,0),MATCH(COLUMNS($AC$1006:AD1006),$AC$1006:$AS$1006,0)), HYPERLINK("#",""), HYPERLINK(CONCATENATE("#metadata!", ADDRESS(INDEX($X$2:$X$1001,MATCH(ROWS($V$2:V923),$V$2:$V$1001,0),0), INDEX($AC$1004:$AS$1004,1,MATCH(COLUMNS($AC$1006:AD1006),$AC$1006:$AS$1006,0)))),"Fix")))</f>
        <v xml:space="preserve"> </v>
      </c>
      <c r="D923" s="4" t="str">
        <f ca="1">IF(OR(INDEX($W$2:$W$1001,MATCH(ROWS($V$2:V923),$V$2:$V$1001,0),1)&gt;=100000,INDEX($AC$1005:$AS$1005,1,MATCH(COLUMNS($AC$1006:AE1006),$AC$1006:$AS$1006,0))&gt;=100000), " ",IF(INDEX($AC$2:$AS$1001,MATCH(ROWS($V$2:V923),$V$2:$V$1001,0),MATCH(COLUMNS($AC$1006:AE1006),$AC$1006:$AS$1006,0)), HYPERLINK("#",""), HYPERLINK(CONCATENATE("#metadata!", ADDRESS(INDEX($X$2:$X$1001,MATCH(ROWS($V$2:V923),$V$2:$V$1001,0),0), INDEX($AC$1004:$AS$1004,1,MATCH(COLUMNS($AC$1006:AE1006),$AC$1006:$AS$1006,0)))),"Fix")))</f>
        <v xml:space="preserve"> </v>
      </c>
      <c r="E923" s="4" t="str">
        <f ca="1">IF(OR(INDEX($W$2:$W$1001,MATCH(ROWS($V$2:V923),$V$2:$V$1001,0),1)&gt;=100000,INDEX($AC$1005:$AS$1005,1,MATCH(COLUMNS($AC$1006:AF1006),$AC$1006:$AS$1006,0))&gt;=100000), " ",IF(INDEX($AC$2:$AS$1001,MATCH(ROWS($V$2:V923),$V$2:$V$1001,0),MATCH(COLUMNS($AC$1006:AF1006),$AC$1006:$AS$1006,0)), HYPERLINK("#",""), HYPERLINK(CONCATENATE("#metadata!", ADDRESS(INDEX($X$2:$X$1001,MATCH(ROWS($V$2:V923),$V$2:$V$1001,0),0), INDEX($AC$1004:$AS$1004,1,MATCH(COLUMNS($AC$1006:AF1006),$AC$1006:$AS$1006,0)))),"Fix")))</f>
        <v xml:space="preserve"> </v>
      </c>
      <c r="F923" s="4" t="str">
        <f ca="1">IF(OR(INDEX($W$2:$W$1001,MATCH(ROWS($V$2:V923),$V$2:$V$1001,0),1)&gt;=100000,INDEX($AC$1005:$AS$1005,1,MATCH(COLUMNS($AC$1006:AG1006),$AC$1006:$AS$1006,0))&gt;=100000), " ",IF(INDEX($AC$2:$AS$1001,MATCH(ROWS($V$2:V923),$V$2:$V$1001,0),MATCH(COLUMNS($AC$1006:AG1006),$AC$1006:$AS$1006,0)), HYPERLINK("#",""), HYPERLINK(CONCATENATE("#metadata!", ADDRESS(INDEX($X$2:$X$1001,MATCH(ROWS($V$2:V923),$V$2:$V$1001,0),0), INDEX($AC$1004:$AS$1004,1,MATCH(COLUMNS($AC$1006:AG1006),$AC$1006:$AS$1006,0)))),"Fix")))</f>
        <v xml:space="preserve"> </v>
      </c>
      <c r="G923" s="4" t="str">
        <f ca="1">IF(OR(INDEX($W$2:$W$1001,MATCH(ROWS($V$2:V923),$V$2:$V$1001,0),1)&gt;=100000,INDEX($AC$1005:$AS$1005,1,MATCH(COLUMNS($AC$1006:AH1006),$AC$1006:$AS$1006,0))&gt;=100000), " ",IF(INDEX($AC$2:$AS$1001,MATCH(ROWS($V$2:V923),$V$2:$V$1001,0),MATCH(COLUMNS($AC$1006:AH1006),$AC$1006:$AS$1006,0)), HYPERLINK("#",""), HYPERLINK(CONCATENATE("#metadata!", ADDRESS(INDEX($X$2:$X$1001,MATCH(ROWS($V$2:V923),$V$2:$V$1001,0),0), INDEX($AC$1004:$AS$1004,1,MATCH(COLUMNS($AC$1006:AH1006),$AC$1006:$AS$1006,0)))),"Fix")))</f>
        <v xml:space="preserve"> </v>
      </c>
      <c r="H923" s="4" t="str">
        <f ca="1">IF(OR(INDEX($W$2:$W$1001,MATCH(ROWS($V$2:V923),$V$2:$V$1001,0),1)&gt;=100000,INDEX($AC$1005:$AS$1005,1,MATCH(COLUMNS($AC$1006:AI1006),$AC$1006:$AS$1006,0))&gt;=100000), " ",IF(INDEX($AC$2:$AS$1001,MATCH(ROWS($V$2:V923),$V$2:$V$1001,0),MATCH(COLUMNS($AC$1006:AI1006),$AC$1006:$AS$1006,0)), HYPERLINK("#",""), HYPERLINK(CONCATENATE("#metadata!", ADDRESS(INDEX($X$2:$X$1001,MATCH(ROWS($V$2:V923),$V$2:$V$1001,0),0), INDEX($AC$1004:$AS$1004,1,MATCH(COLUMNS($AC$1006:AI1006),$AC$1006:$AS$1006,0)))),"Fix")))</f>
        <v xml:space="preserve"> </v>
      </c>
      <c r="I923" s="4" t="str">
        <f ca="1">IF(OR(INDEX($W$2:$W$1001,MATCH(ROWS($V$2:V923),$V$2:$V$1001,0),1)&gt;=100000,INDEX($AC$1005:$AS$1005,1,MATCH(COLUMNS($AC$1006:AJ1006),$AC$1006:$AS$1006,0))&gt;=100000), " ",IF(INDEX($AC$2:$AS$1001,MATCH(ROWS($V$2:V923),$V$2:$V$1001,0),MATCH(COLUMNS($AC$1006:AJ1006),$AC$1006:$AS$1006,0)), HYPERLINK("#",""), HYPERLINK(CONCATENATE("#metadata!", ADDRESS(INDEX($X$2:$X$1001,MATCH(ROWS($V$2:V923),$V$2:$V$1001,0),0), INDEX($AC$1004:$AS$1004,1,MATCH(COLUMNS($AC$1006:AJ1006),$AC$1006:$AS$1006,0)))),"Fix")))</f>
        <v xml:space="preserve"> </v>
      </c>
      <c r="J923" s="4" t="str">
        <f ca="1">IF(OR(INDEX($W$2:$W$1001,MATCH(ROWS($V$2:V923),$V$2:$V$1001,0),1)&gt;=100000,INDEX($AC$1005:$AS$1005,1,MATCH(COLUMNS($AC$1006:AK1006),$AC$1006:$AS$1006,0))&gt;=100000), " ",IF(INDEX($AC$2:$AS$1001,MATCH(ROWS($V$2:V923),$V$2:$V$1001,0),MATCH(COLUMNS($AC$1006:AK1006),$AC$1006:$AS$1006,0)), HYPERLINK("#",""), HYPERLINK(CONCATENATE("#metadata!", ADDRESS(INDEX($X$2:$X$1001,MATCH(ROWS($V$2:V923),$V$2:$V$1001,0),0), INDEX($AC$1004:$AS$1004,1,MATCH(COLUMNS($AC$1006:AK1006),$AC$1006:$AS$1006,0)))),"Fix")))</f>
        <v xml:space="preserve"> </v>
      </c>
      <c r="K923" s="4" t="str">
        <f ca="1">IF(OR(INDEX($W$2:$W$1001,MATCH(ROWS($V$2:V923),$V$2:$V$1001,0),1)&gt;=100000,INDEX($AC$1005:$AS$1005,1,MATCH(COLUMNS($AC$1006:AL1006),$AC$1006:$AS$1006,0))&gt;=100000), " ",IF(INDEX($AC$2:$AS$1001,MATCH(ROWS($V$2:V923),$V$2:$V$1001,0),MATCH(COLUMNS($AC$1006:AL1006),$AC$1006:$AS$1006,0)), HYPERLINK("#",""), HYPERLINK(CONCATENATE("#metadata!", ADDRESS(INDEX($X$2:$X$1001,MATCH(ROWS($V$2:V923),$V$2:$V$1001,0),0), INDEX($AC$1004:$AS$1004,1,MATCH(COLUMNS($AC$1006:AL1006),$AC$1006:$AS$1006,0)))),"Fix")))</f>
        <v xml:space="preserve"> </v>
      </c>
      <c r="L923" s="4" t="str">
        <f ca="1">IF(OR(INDEX($W$2:$W$1001,MATCH(ROWS($V$2:V923),$V$2:$V$1001,0),1)&gt;=100000,INDEX($AC$1005:$AS$1005,1,MATCH(COLUMNS($AC$1006:AM1006),$AC$1006:$AS$1006,0))&gt;=100000), " ",IF(INDEX($AC$2:$AS$1001,MATCH(ROWS($V$2:V923),$V$2:$V$1001,0),MATCH(COLUMNS($AC$1006:AM1006),$AC$1006:$AS$1006,0)), HYPERLINK("#",""), HYPERLINK(CONCATENATE("#metadata!", ADDRESS(INDEX($X$2:$X$1001,MATCH(ROWS($V$2:V923),$V$2:$V$1001,0),0), INDEX($AC$1004:$AS$1004,1,MATCH(COLUMNS($AC$1006:AM1006),$AC$1006:$AS$1006,0)))),"Fix")))</f>
        <v xml:space="preserve"> </v>
      </c>
      <c r="M923" s="4" t="str">
        <f ca="1">IF(OR(INDEX($W$2:$W$1001,MATCH(ROWS($V$2:V923),$V$2:$V$1001,0),1)&gt;=100000,INDEX($AC$1005:$AS$1005,1,MATCH(COLUMNS($AC$1006:AN1006),$AC$1006:$AS$1006,0))&gt;=100000), " ",IF(INDEX($AC$2:$AS$1001,MATCH(ROWS($V$2:V923),$V$2:$V$1001,0),MATCH(COLUMNS($AC$1006:AN1006),$AC$1006:$AS$1006,0)), HYPERLINK("#",""), HYPERLINK(CONCATENATE("#metadata!", ADDRESS(INDEX($X$2:$X$1001,MATCH(ROWS($V$2:V923),$V$2:$V$1001,0),0), INDEX($AC$1004:$AS$1004,1,MATCH(COLUMNS($AC$1006:AN1006),$AC$1006:$AS$1006,0)))),"Fix")))</f>
        <v xml:space="preserve"> </v>
      </c>
      <c r="N923" s="4" t="str">
        <f ca="1">IF(OR(INDEX($W$2:$W$1001,MATCH(ROWS($V$2:V923),$V$2:$V$1001,0),1)&gt;=100000,INDEX($AC$1005:$AS$1005,1,MATCH(COLUMNS($AC$1006:AO1006),$AC$1006:$AS$1006,0))&gt;=100000), " ",IF(INDEX($AC$2:$AS$1001,MATCH(ROWS($V$2:V923),$V$2:$V$1001,0),MATCH(COLUMNS($AC$1006:AO1006),$AC$1006:$AS$1006,0)), HYPERLINK("#",""), HYPERLINK(CONCATENATE("#metadata!", ADDRESS(INDEX($X$2:$X$1001,MATCH(ROWS($V$2:V923),$V$2:$V$1001,0),0), INDEX($AC$1004:$AS$1004,1,MATCH(COLUMNS($AC$1006:AO1006),$AC$1006:$AS$1006,0)))),"Fix")))</f>
        <v xml:space="preserve"> </v>
      </c>
      <c r="O923" s="4" t="str">
        <f ca="1">IF(OR(INDEX($W$2:$W$1001,MATCH(ROWS($V$2:V923),$V$2:$V$1001,0),1)&gt;=100000,INDEX($AC$1005:$AS$1005,1,MATCH(COLUMNS($AC$1006:AP1006),$AC$1006:$AS$1006,0))&gt;=100000), " ",IF(INDEX($AC$2:$AS$1001,MATCH(ROWS($V$2:V923),$V$2:$V$1001,0),MATCH(COLUMNS($AC$1006:AP1006),$AC$1006:$AS$1006,0)), HYPERLINK("#",""), HYPERLINK(CONCATENATE("#metadata!", ADDRESS(INDEX($X$2:$X$1001,MATCH(ROWS($V$2:V923),$V$2:$V$1001,0),0), INDEX($AC$1004:$AS$1004,1,MATCH(COLUMNS($AC$1006:AP1006),$AC$1006:$AS$1006,0)))),"Fix")))</f>
        <v xml:space="preserve"> </v>
      </c>
      <c r="P923" s="4" t="str">
        <f ca="1">IF(OR(INDEX($W$2:$W$1001,MATCH(ROWS($V$2:V923),$V$2:$V$1001,0),1)&gt;=100000,INDEX($AC$1005:$AS$1005,1,MATCH(COLUMNS($AC$1006:AQ1006),$AC$1006:$AS$1006,0))&gt;=100000), " ",IF(INDEX($AC$2:$AS$1001,MATCH(ROWS($V$2:V923),$V$2:$V$1001,0),MATCH(COLUMNS($AC$1006:AQ1006),$AC$1006:$AS$1006,0)), HYPERLINK("#",""), HYPERLINK(CONCATENATE("#metadata!", ADDRESS(INDEX($X$2:$X$1001,MATCH(ROWS($V$2:V923),$V$2:$V$1001,0),0), INDEX($AC$1004:$AS$1004,1,MATCH(COLUMNS($AC$1006:AQ1006),$AC$1006:$AS$1006,0)))),"Fix")))</f>
        <v xml:space="preserve"> </v>
      </c>
      <c r="Q923" s="4" t="str">
        <f ca="1">IF(OR(INDEX($W$2:$W$1001,MATCH(ROWS($V$2:V923),$V$2:$V$1001,0),1)&gt;=100000,INDEX($AC$1005:$AS$1005,1,MATCH(COLUMNS($AC$1006:AR1006),$AC$1006:$AS$1006,0))&gt;=100000), " ",IF(INDEX($AC$2:$AS$1001,MATCH(ROWS($V$2:V923),$V$2:$V$1001,0),MATCH(COLUMNS($AC$1006:AR1006),$AC$1006:$AS$1006,0)), HYPERLINK("#",""), HYPERLINK(CONCATENATE("#metadata!", ADDRESS(INDEX($X$2:$X$1001,MATCH(ROWS($V$2:V923),$V$2:$V$1001,0),0), INDEX($AC$1004:$AS$1004,1,MATCH(COLUMNS($AC$1006:AR1006),$AC$1006:$AS$1006,0)))),"Fix")))</f>
        <v xml:space="preserve"> </v>
      </c>
      <c r="R923" s="4" t="str">
        <f ca="1">IF(OR(INDEX($W$2:$W$1001,MATCH(ROWS($V$2:V923),$V$2:$V$1001,0),1)&gt;=100000,INDEX($AC$1005:$AS$1005,1,MATCH(COLUMNS($AC$1006:AS1006),$AC$1006:$AS$1006,0))&gt;=100000), " ",IF(INDEX($AC$2:$AS$1001,MATCH(ROWS($V$2:V923),$V$2:$V$1001,0),MATCH(COLUMNS($AC$1006:AS1006),$AC$1006:$AS$1006,0)), HYPERLINK("#",""), HYPERLINK(CONCATENATE("#metadata!", ADDRESS(INDEX($X$2:$X$1001,MATCH(ROWS($V$2:V923),$V$2:$V$1001,0),0), INDEX($AC$1004:$AS$1004,1,MATCH(COLUMNS($AC$1006:AS1006),$AC$1006:$AS$1006,0)))),"Fix")))</f>
        <v xml:space="preserve"> </v>
      </c>
      <c r="V923">
        <v>922</v>
      </c>
      <c r="W923">
        <v>100923</v>
      </c>
      <c r="X923">
        <v>923</v>
      </c>
      <c r="Y923" t="b">
        <f t="shared" si="14"/>
        <v>1</v>
      </c>
      <c r="Z923" t="b">
        <f>COUNTBLANK(metadata!B923:R923)=COLUMNS(metadata!B923:R923)</f>
        <v>1</v>
      </c>
      <c r="AA923" t="str">
        <v/>
      </c>
      <c r="AC923" t="b">
        <f ca="1"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AD923" t="b">
        <f>IF(metadata!C923="",FALSE,ISNUMBER(VALUE(metadata!C923)))</f>
        <v>0</v>
      </c>
      <c r="AE923" t="b">
        <f>AND(IF(metadata!D923="",FALSE,TRUE),EXACT(metadata!D923,"years"))</f>
        <v>0</v>
      </c>
      <c r="AF923" t="b">
        <f>OR(AND(IF(metadata!E923="",FALSE,TRUE),OR(EXACT(metadata!E923,"not applicable"),EXACT(metadata!E923,"missing: not collected"),EXACT(metadata!E923,"missing: not provided"),EXACT(metadata!E923,"missing: restricted access"))),AND(IF(metadata!E923="",FALSE,ISNUMBER(VALUE(metadata!E923))),metadata!E923&gt;0))</f>
        <v>0</v>
      </c>
      <c r="AG923" t="b">
        <f>AND(IF(metadata!F923="",FALSE,TRUE),EXACT(metadata!F923,"Not applicable"))</f>
        <v>0</v>
      </c>
      <c r="AH923" t="b">
        <f>AND(IF(metadata!G923="",FALSE,TRUE),EXACT(metadata!G923,"urban biome"))</f>
        <v>0</v>
      </c>
      <c r="AI923" t="b">
        <f>AND(IF(metadata!H923="",FALSE,TRUE),EXACT(metadata!H923,"human-associated habitat"))</f>
        <v>0</v>
      </c>
      <c r="AJ923" t="b">
        <f>AND(IF(metadata!I923="",FALSE,TRUE),OR(EXACT(metadata!I923,"human-associated"),EXACT(metadata!I923,"human-skin"),EXACT(metadata!I923,"human-oral"),EXACT(metadata!I923,"human-gut"),EXACT(metadata!I923,"human-vaginal")))</f>
        <v>0</v>
      </c>
      <c r="AK923" t="b">
        <f>IF(metadata!J923="",FALSE,ISNUMBER(VALUE(metadata!J923)))</f>
        <v>0</v>
      </c>
      <c r="AL923" t="b">
        <f>AND(IF(metadata!K923="",FALSE,TRUE),EXACT(metadata!K923,"cm"))</f>
        <v>0</v>
      </c>
      <c r="AM923" t="b">
        <f>AND(IF(metadata!L923="",FALSE,TRUE),EXACT(metadata!L923,"human"))</f>
        <v>0</v>
      </c>
      <c r="AN923" t="b">
        <f>AND(IF(metadata!M923="",FALSE,TRUE),EXACT(metadata!M923,"Homo sapiens"))</f>
        <v>0</v>
      </c>
      <c r="AO923" t="b">
        <f>AND(IF(metadata!N923="",FALSE,TRUE),EXACT(metadata!N923,"9606"))</f>
        <v>0</v>
      </c>
      <c r="AP923" t="b">
        <f>IF(metadata!O923="",FALSE,TRUE)</f>
        <v>0</v>
      </c>
      <c r="AQ923" t="b">
        <f>IF(metadata!P923="",FALSE,TRUE)</f>
        <v>0</v>
      </c>
      <c r="AR923" t="b">
        <f>IF(metadata!Q923="",FALSE,ISNUMBER(VALUE(metadata!Q923)))</f>
        <v>0</v>
      </c>
      <c r="AS923" t="b">
        <f>AND(IF(metadata!R923="",FALSE,TRUE),EXACT(metadata!R923,"kg"))</f>
        <v>0</v>
      </c>
    </row>
    <row r="924" spans="1:45" x14ac:dyDescent="0.2">
      <c r="A924" s="5" t="str">
        <f ca="1">IF(B924=" "," ",HYPERLINK(CONCATENATE("#metadata!",ADDRESS(INDEX($X$2:$X$1001,MATCH(ROWS($V$2:V924),$V$2:$V$1001,0),0),1)),INDEX($AA$2:$AA$1001,MATCH(ROWS($V$2:V924),$V$2:$V$1001,0),0)))</f>
        <v xml:space="preserve"> </v>
      </c>
      <c r="B924" s="4" t="str">
        <f ca="1">IF(OR(INDEX($W$2:$W$1001,MATCH(ROWS($V$2:V924),$V$2:$V$1001,0),1)&gt;=100000,INDEX($AC$1005:$AS$1005,1,MATCH(COLUMNS($AC$1006:AC1006),$AC$1006:$AS$1006,0))&gt;=100000), " ",IF(INDEX($AC$2:$AS$1001,MATCH(ROWS($V$2:V924),$V$2:$V$1001,0),MATCH(COLUMNS($AC$1006:AC1006),$AC$1006:$AS$1006,0)), HYPERLINK("#",""), HYPERLINK(CONCATENATE("#metadata!", ADDRESS(INDEX($X$2:$X$1001,MATCH(ROWS($V$2:V924),$V$2:$V$1001,0),0), INDEX($AC$1004:$AS$1004,1,MATCH(COLUMNS($AC$1006:AC1006),$AC$1006:$AS$1006,0)))),"Fix")))</f>
        <v xml:space="preserve"> </v>
      </c>
      <c r="C924" s="4" t="str">
        <f ca="1">IF(OR(INDEX($W$2:$W$1001,MATCH(ROWS($V$2:V924),$V$2:$V$1001,0),1)&gt;=100000,INDEX($AC$1005:$AS$1005,1,MATCH(COLUMNS($AC$1006:AD1006),$AC$1006:$AS$1006,0))&gt;=100000), " ",IF(INDEX($AC$2:$AS$1001,MATCH(ROWS($V$2:V924),$V$2:$V$1001,0),MATCH(COLUMNS($AC$1006:AD1006),$AC$1006:$AS$1006,0)), HYPERLINK("#",""), HYPERLINK(CONCATENATE("#metadata!", ADDRESS(INDEX($X$2:$X$1001,MATCH(ROWS($V$2:V924),$V$2:$V$1001,0),0), INDEX($AC$1004:$AS$1004,1,MATCH(COLUMNS($AC$1006:AD1006),$AC$1006:$AS$1006,0)))),"Fix")))</f>
        <v xml:space="preserve"> </v>
      </c>
      <c r="D924" s="4" t="str">
        <f ca="1">IF(OR(INDEX($W$2:$W$1001,MATCH(ROWS($V$2:V924),$V$2:$V$1001,0),1)&gt;=100000,INDEX($AC$1005:$AS$1005,1,MATCH(COLUMNS($AC$1006:AE1006),$AC$1006:$AS$1006,0))&gt;=100000), " ",IF(INDEX($AC$2:$AS$1001,MATCH(ROWS($V$2:V924),$V$2:$V$1001,0),MATCH(COLUMNS($AC$1006:AE1006),$AC$1006:$AS$1006,0)), HYPERLINK("#",""), HYPERLINK(CONCATENATE("#metadata!", ADDRESS(INDEX($X$2:$X$1001,MATCH(ROWS($V$2:V924),$V$2:$V$1001,0),0), INDEX($AC$1004:$AS$1004,1,MATCH(COLUMNS($AC$1006:AE1006),$AC$1006:$AS$1006,0)))),"Fix")))</f>
        <v xml:space="preserve"> </v>
      </c>
      <c r="E924" s="4" t="str">
        <f ca="1">IF(OR(INDEX($W$2:$W$1001,MATCH(ROWS($V$2:V924),$V$2:$V$1001,0),1)&gt;=100000,INDEX($AC$1005:$AS$1005,1,MATCH(COLUMNS($AC$1006:AF1006),$AC$1006:$AS$1006,0))&gt;=100000), " ",IF(INDEX($AC$2:$AS$1001,MATCH(ROWS($V$2:V924),$V$2:$V$1001,0),MATCH(COLUMNS($AC$1006:AF1006),$AC$1006:$AS$1006,0)), HYPERLINK("#",""), HYPERLINK(CONCATENATE("#metadata!", ADDRESS(INDEX($X$2:$X$1001,MATCH(ROWS($V$2:V924),$V$2:$V$1001,0),0), INDEX($AC$1004:$AS$1004,1,MATCH(COLUMNS($AC$1006:AF1006),$AC$1006:$AS$1006,0)))),"Fix")))</f>
        <v xml:space="preserve"> </v>
      </c>
      <c r="F924" s="4" t="str">
        <f ca="1">IF(OR(INDEX($W$2:$W$1001,MATCH(ROWS($V$2:V924),$V$2:$V$1001,0),1)&gt;=100000,INDEX($AC$1005:$AS$1005,1,MATCH(COLUMNS($AC$1006:AG1006),$AC$1006:$AS$1006,0))&gt;=100000), " ",IF(INDEX($AC$2:$AS$1001,MATCH(ROWS($V$2:V924),$V$2:$V$1001,0),MATCH(COLUMNS($AC$1006:AG1006),$AC$1006:$AS$1006,0)), HYPERLINK("#",""), HYPERLINK(CONCATENATE("#metadata!", ADDRESS(INDEX($X$2:$X$1001,MATCH(ROWS($V$2:V924),$V$2:$V$1001,0),0), INDEX($AC$1004:$AS$1004,1,MATCH(COLUMNS($AC$1006:AG1006),$AC$1006:$AS$1006,0)))),"Fix")))</f>
        <v xml:space="preserve"> </v>
      </c>
      <c r="G924" s="4" t="str">
        <f ca="1">IF(OR(INDEX($W$2:$W$1001,MATCH(ROWS($V$2:V924),$V$2:$V$1001,0),1)&gt;=100000,INDEX($AC$1005:$AS$1005,1,MATCH(COLUMNS($AC$1006:AH1006),$AC$1006:$AS$1006,0))&gt;=100000), " ",IF(INDEX($AC$2:$AS$1001,MATCH(ROWS($V$2:V924),$V$2:$V$1001,0),MATCH(COLUMNS($AC$1006:AH1006),$AC$1006:$AS$1006,0)), HYPERLINK("#",""), HYPERLINK(CONCATENATE("#metadata!", ADDRESS(INDEX($X$2:$X$1001,MATCH(ROWS($V$2:V924),$V$2:$V$1001,0),0), INDEX($AC$1004:$AS$1004,1,MATCH(COLUMNS($AC$1006:AH1006),$AC$1006:$AS$1006,0)))),"Fix")))</f>
        <v xml:space="preserve"> </v>
      </c>
      <c r="H924" s="4" t="str">
        <f ca="1">IF(OR(INDEX($W$2:$W$1001,MATCH(ROWS($V$2:V924),$V$2:$V$1001,0),1)&gt;=100000,INDEX($AC$1005:$AS$1005,1,MATCH(COLUMNS($AC$1006:AI1006),$AC$1006:$AS$1006,0))&gt;=100000), " ",IF(INDEX($AC$2:$AS$1001,MATCH(ROWS($V$2:V924),$V$2:$V$1001,0),MATCH(COLUMNS($AC$1006:AI1006),$AC$1006:$AS$1006,0)), HYPERLINK("#",""), HYPERLINK(CONCATENATE("#metadata!", ADDRESS(INDEX($X$2:$X$1001,MATCH(ROWS($V$2:V924),$V$2:$V$1001,0),0), INDEX($AC$1004:$AS$1004,1,MATCH(COLUMNS($AC$1006:AI1006),$AC$1006:$AS$1006,0)))),"Fix")))</f>
        <v xml:space="preserve"> </v>
      </c>
      <c r="I924" s="4" t="str">
        <f ca="1">IF(OR(INDEX($W$2:$W$1001,MATCH(ROWS($V$2:V924),$V$2:$V$1001,0),1)&gt;=100000,INDEX($AC$1005:$AS$1005,1,MATCH(COLUMNS($AC$1006:AJ1006),$AC$1006:$AS$1006,0))&gt;=100000), " ",IF(INDEX($AC$2:$AS$1001,MATCH(ROWS($V$2:V924),$V$2:$V$1001,0),MATCH(COLUMNS($AC$1006:AJ1006),$AC$1006:$AS$1006,0)), HYPERLINK("#",""), HYPERLINK(CONCATENATE("#metadata!", ADDRESS(INDEX($X$2:$X$1001,MATCH(ROWS($V$2:V924),$V$2:$V$1001,0),0), INDEX($AC$1004:$AS$1004,1,MATCH(COLUMNS($AC$1006:AJ1006),$AC$1006:$AS$1006,0)))),"Fix")))</f>
        <v xml:space="preserve"> </v>
      </c>
      <c r="J924" s="4" t="str">
        <f ca="1">IF(OR(INDEX($W$2:$W$1001,MATCH(ROWS($V$2:V924),$V$2:$V$1001,0),1)&gt;=100000,INDEX($AC$1005:$AS$1005,1,MATCH(COLUMNS($AC$1006:AK1006),$AC$1006:$AS$1006,0))&gt;=100000), " ",IF(INDEX($AC$2:$AS$1001,MATCH(ROWS($V$2:V924),$V$2:$V$1001,0),MATCH(COLUMNS($AC$1006:AK1006),$AC$1006:$AS$1006,0)), HYPERLINK("#",""), HYPERLINK(CONCATENATE("#metadata!", ADDRESS(INDEX($X$2:$X$1001,MATCH(ROWS($V$2:V924),$V$2:$V$1001,0),0), INDEX($AC$1004:$AS$1004,1,MATCH(COLUMNS($AC$1006:AK1006),$AC$1006:$AS$1006,0)))),"Fix")))</f>
        <v xml:space="preserve"> </v>
      </c>
      <c r="K924" s="4" t="str">
        <f ca="1">IF(OR(INDEX($W$2:$W$1001,MATCH(ROWS($V$2:V924),$V$2:$V$1001,0),1)&gt;=100000,INDEX($AC$1005:$AS$1005,1,MATCH(COLUMNS($AC$1006:AL1006),$AC$1006:$AS$1006,0))&gt;=100000), " ",IF(INDEX($AC$2:$AS$1001,MATCH(ROWS($V$2:V924),$V$2:$V$1001,0),MATCH(COLUMNS($AC$1006:AL1006),$AC$1006:$AS$1006,0)), HYPERLINK("#",""), HYPERLINK(CONCATENATE("#metadata!", ADDRESS(INDEX($X$2:$X$1001,MATCH(ROWS($V$2:V924),$V$2:$V$1001,0),0), INDEX($AC$1004:$AS$1004,1,MATCH(COLUMNS($AC$1006:AL1006),$AC$1006:$AS$1006,0)))),"Fix")))</f>
        <v xml:space="preserve"> </v>
      </c>
      <c r="L924" s="4" t="str">
        <f ca="1">IF(OR(INDEX($W$2:$W$1001,MATCH(ROWS($V$2:V924),$V$2:$V$1001,0),1)&gt;=100000,INDEX($AC$1005:$AS$1005,1,MATCH(COLUMNS($AC$1006:AM1006),$AC$1006:$AS$1006,0))&gt;=100000), " ",IF(INDEX($AC$2:$AS$1001,MATCH(ROWS($V$2:V924),$V$2:$V$1001,0),MATCH(COLUMNS($AC$1006:AM1006),$AC$1006:$AS$1006,0)), HYPERLINK("#",""), HYPERLINK(CONCATENATE("#metadata!", ADDRESS(INDEX($X$2:$X$1001,MATCH(ROWS($V$2:V924),$V$2:$V$1001,0),0), INDEX($AC$1004:$AS$1004,1,MATCH(COLUMNS($AC$1006:AM1006),$AC$1006:$AS$1006,0)))),"Fix")))</f>
        <v xml:space="preserve"> </v>
      </c>
      <c r="M924" s="4" t="str">
        <f ca="1">IF(OR(INDEX($W$2:$W$1001,MATCH(ROWS($V$2:V924),$V$2:$V$1001,0),1)&gt;=100000,INDEX($AC$1005:$AS$1005,1,MATCH(COLUMNS($AC$1006:AN1006),$AC$1006:$AS$1006,0))&gt;=100000), " ",IF(INDEX($AC$2:$AS$1001,MATCH(ROWS($V$2:V924),$V$2:$V$1001,0),MATCH(COLUMNS($AC$1006:AN1006),$AC$1006:$AS$1006,0)), HYPERLINK("#",""), HYPERLINK(CONCATENATE("#metadata!", ADDRESS(INDEX($X$2:$X$1001,MATCH(ROWS($V$2:V924),$V$2:$V$1001,0),0), INDEX($AC$1004:$AS$1004,1,MATCH(COLUMNS($AC$1006:AN1006),$AC$1006:$AS$1006,0)))),"Fix")))</f>
        <v xml:space="preserve"> </v>
      </c>
      <c r="N924" s="4" t="str">
        <f ca="1">IF(OR(INDEX($W$2:$W$1001,MATCH(ROWS($V$2:V924),$V$2:$V$1001,0),1)&gt;=100000,INDEX($AC$1005:$AS$1005,1,MATCH(COLUMNS($AC$1006:AO1006),$AC$1006:$AS$1006,0))&gt;=100000), " ",IF(INDEX($AC$2:$AS$1001,MATCH(ROWS($V$2:V924),$V$2:$V$1001,0),MATCH(COLUMNS($AC$1006:AO1006),$AC$1006:$AS$1006,0)), HYPERLINK("#",""), HYPERLINK(CONCATENATE("#metadata!", ADDRESS(INDEX($X$2:$X$1001,MATCH(ROWS($V$2:V924),$V$2:$V$1001,0),0), INDEX($AC$1004:$AS$1004,1,MATCH(COLUMNS($AC$1006:AO1006),$AC$1006:$AS$1006,0)))),"Fix")))</f>
        <v xml:space="preserve"> </v>
      </c>
      <c r="O924" s="4" t="str">
        <f ca="1">IF(OR(INDEX($W$2:$W$1001,MATCH(ROWS($V$2:V924),$V$2:$V$1001,0),1)&gt;=100000,INDEX($AC$1005:$AS$1005,1,MATCH(COLUMNS($AC$1006:AP1006),$AC$1006:$AS$1006,0))&gt;=100000), " ",IF(INDEX($AC$2:$AS$1001,MATCH(ROWS($V$2:V924),$V$2:$V$1001,0),MATCH(COLUMNS($AC$1006:AP1006),$AC$1006:$AS$1006,0)), HYPERLINK("#",""), HYPERLINK(CONCATENATE("#metadata!", ADDRESS(INDEX($X$2:$X$1001,MATCH(ROWS($V$2:V924),$V$2:$V$1001,0),0), INDEX($AC$1004:$AS$1004,1,MATCH(COLUMNS($AC$1006:AP1006),$AC$1006:$AS$1006,0)))),"Fix")))</f>
        <v xml:space="preserve"> </v>
      </c>
      <c r="P924" s="4" t="str">
        <f ca="1">IF(OR(INDEX($W$2:$W$1001,MATCH(ROWS($V$2:V924),$V$2:$V$1001,0),1)&gt;=100000,INDEX($AC$1005:$AS$1005,1,MATCH(COLUMNS($AC$1006:AQ1006),$AC$1006:$AS$1006,0))&gt;=100000), " ",IF(INDEX($AC$2:$AS$1001,MATCH(ROWS($V$2:V924),$V$2:$V$1001,0),MATCH(COLUMNS($AC$1006:AQ1006),$AC$1006:$AS$1006,0)), HYPERLINK("#",""), HYPERLINK(CONCATENATE("#metadata!", ADDRESS(INDEX($X$2:$X$1001,MATCH(ROWS($V$2:V924),$V$2:$V$1001,0),0), INDEX($AC$1004:$AS$1004,1,MATCH(COLUMNS($AC$1006:AQ1006),$AC$1006:$AS$1006,0)))),"Fix")))</f>
        <v xml:space="preserve"> </v>
      </c>
      <c r="Q924" s="4" t="str">
        <f ca="1">IF(OR(INDEX($W$2:$W$1001,MATCH(ROWS($V$2:V924),$V$2:$V$1001,0),1)&gt;=100000,INDEX($AC$1005:$AS$1005,1,MATCH(COLUMNS($AC$1006:AR1006),$AC$1006:$AS$1006,0))&gt;=100000), " ",IF(INDEX($AC$2:$AS$1001,MATCH(ROWS($V$2:V924),$V$2:$V$1001,0),MATCH(COLUMNS($AC$1006:AR1006),$AC$1006:$AS$1006,0)), HYPERLINK("#",""), HYPERLINK(CONCATENATE("#metadata!", ADDRESS(INDEX($X$2:$X$1001,MATCH(ROWS($V$2:V924),$V$2:$V$1001,0),0), INDEX($AC$1004:$AS$1004,1,MATCH(COLUMNS($AC$1006:AR1006),$AC$1006:$AS$1006,0)))),"Fix")))</f>
        <v xml:space="preserve"> </v>
      </c>
      <c r="R924" s="4" t="str">
        <f ca="1">IF(OR(INDEX($W$2:$W$1001,MATCH(ROWS($V$2:V924),$V$2:$V$1001,0),1)&gt;=100000,INDEX($AC$1005:$AS$1005,1,MATCH(COLUMNS($AC$1006:AS1006),$AC$1006:$AS$1006,0))&gt;=100000), " ",IF(INDEX($AC$2:$AS$1001,MATCH(ROWS($V$2:V924),$V$2:$V$1001,0),MATCH(COLUMNS($AC$1006:AS1006),$AC$1006:$AS$1006,0)), HYPERLINK("#",""), HYPERLINK(CONCATENATE("#metadata!", ADDRESS(INDEX($X$2:$X$1001,MATCH(ROWS($V$2:V924),$V$2:$V$1001,0),0), INDEX($AC$1004:$AS$1004,1,MATCH(COLUMNS($AC$1006:AS1006),$AC$1006:$AS$1006,0)))),"Fix")))</f>
        <v xml:space="preserve"> </v>
      </c>
      <c r="V924">
        <v>923</v>
      </c>
      <c r="W924">
        <v>100924</v>
      </c>
      <c r="X924">
        <v>924</v>
      </c>
      <c r="Y924" t="b">
        <f t="shared" si="14"/>
        <v>1</v>
      </c>
      <c r="Z924" t="b">
        <f>COUNTBLANK(metadata!B924:R924)=COLUMNS(metadata!B924:R924)</f>
        <v>1</v>
      </c>
      <c r="AA924" t="str">
        <v/>
      </c>
      <c r="AC924" t="b">
        <f ca="1"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AD924" t="b">
        <f>IF(metadata!C924="",FALSE,ISNUMBER(VALUE(metadata!C924)))</f>
        <v>0</v>
      </c>
      <c r="AE924" t="b">
        <f>AND(IF(metadata!D924="",FALSE,TRUE),EXACT(metadata!D924,"years"))</f>
        <v>0</v>
      </c>
      <c r="AF924" t="b">
        <f>OR(AND(IF(metadata!E924="",FALSE,TRUE),OR(EXACT(metadata!E924,"not applicable"),EXACT(metadata!E924,"missing: not collected"),EXACT(metadata!E924,"missing: not provided"),EXACT(metadata!E924,"missing: restricted access"))),AND(IF(metadata!E924="",FALSE,ISNUMBER(VALUE(metadata!E924))),metadata!E924&gt;0))</f>
        <v>0</v>
      </c>
      <c r="AG924" t="b">
        <f>AND(IF(metadata!F924="",FALSE,TRUE),EXACT(metadata!F924,"Not applicable"))</f>
        <v>0</v>
      </c>
      <c r="AH924" t="b">
        <f>AND(IF(metadata!G924="",FALSE,TRUE),EXACT(metadata!G924,"urban biome"))</f>
        <v>0</v>
      </c>
      <c r="AI924" t="b">
        <f>AND(IF(metadata!H924="",FALSE,TRUE),EXACT(metadata!H924,"human-associated habitat"))</f>
        <v>0</v>
      </c>
      <c r="AJ924" t="b">
        <f>AND(IF(metadata!I924="",FALSE,TRUE),OR(EXACT(metadata!I924,"human-associated"),EXACT(metadata!I924,"human-skin"),EXACT(metadata!I924,"human-oral"),EXACT(metadata!I924,"human-gut"),EXACT(metadata!I924,"human-vaginal")))</f>
        <v>0</v>
      </c>
      <c r="AK924" t="b">
        <f>IF(metadata!J924="",FALSE,ISNUMBER(VALUE(metadata!J924)))</f>
        <v>0</v>
      </c>
      <c r="AL924" t="b">
        <f>AND(IF(metadata!K924="",FALSE,TRUE),EXACT(metadata!K924,"cm"))</f>
        <v>0</v>
      </c>
      <c r="AM924" t="b">
        <f>AND(IF(metadata!L924="",FALSE,TRUE),EXACT(metadata!L924,"human"))</f>
        <v>0</v>
      </c>
      <c r="AN924" t="b">
        <f>AND(IF(metadata!M924="",FALSE,TRUE),EXACT(metadata!M924,"Homo sapiens"))</f>
        <v>0</v>
      </c>
      <c r="AO924" t="b">
        <f>AND(IF(metadata!N924="",FALSE,TRUE),EXACT(metadata!N924,"9606"))</f>
        <v>0</v>
      </c>
      <c r="AP924" t="b">
        <f>IF(metadata!O924="",FALSE,TRUE)</f>
        <v>0</v>
      </c>
      <c r="AQ924" t="b">
        <f>IF(metadata!P924="",FALSE,TRUE)</f>
        <v>0</v>
      </c>
      <c r="AR924" t="b">
        <f>IF(metadata!Q924="",FALSE,ISNUMBER(VALUE(metadata!Q924)))</f>
        <v>0</v>
      </c>
      <c r="AS924" t="b">
        <f>AND(IF(metadata!R924="",FALSE,TRUE),EXACT(metadata!R924,"kg"))</f>
        <v>0</v>
      </c>
    </row>
    <row r="925" spans="1:45" x14ac:dyDescent="0.2">
      <c r="A925" s="5" t="str">
        <f ca="1">IF(B925=" "," ",HYPERLINK(CONCATENATE("#metadata!",ADDRESS(INDEX($X$2:$X$1001,MATCH(ROWS($V$2:V925),$V$2:$V$1001,0),0),1)),INDEX($AA$2:$AA$1001,MATCH(ROWS($V$2:V925),$V$2:$V$1001,0),0)))</f>
        <v xml:space="preserve"> </v>
      </c>
      <c r="B925" s="4" t="str">
        <f ca="1">IF(OR(INDEX($W$2:$W$1001,MATCH(ROWS($V$2:V925),$V$2:$V$1001,0),1)&gt;=100000,INDEX($AC$1005:$AS$1005,1,MATCH(COLUMNS($AC$1006:AC1006),$AC$1006:$AS$1006,0))&gt;=100000), " ",IF(INDEX($AC$2:$AS$1001,MATCH(ROWS($V$2:V925),$V$2:$V$1001,0),MATCH(COLUMNS($AC$1006:AC1006),$AC$1006:$AS$1006,0)), HYPERLINK("#",""), HYPERLINK(CONCATENATE("#metadata!", ADDRESS(INDEX($X$2:$X$1001,MATCH(ROWS($V$2:V925),$V$2:$V$1001,0),0), INDEX($AC$1004:$AS$1004,1,MATCH(COLUMNS($AC$1006:AC1006),$AC$1006:$AS$1006,0)))),"Fix")))</f>
        <v xml:space="preserve"> </v>
      </c>
      <c r="C925" s="4" t="str">
        <f ca="1">IF(OR(INDEX($W$2:$W$1001,MATCH(ROWS($V$2:V925),$V$2:$V$1001,0),1)&gt;=100000,INDEX($AC$1005:$AS$1005,1,MATCH(COLUMNS($AC$1006:AD1006),$AC$1006:$AS$1006,0))&gt;=100000), " ",IF(INDEX($AC$2:$AS$1001,MATCH(ROWS($V$2:V925),$V$2:$V$1001,0),MATCH(COLUMNS($AC$1006:AD1006),$AC$1006:$AS$1006,0)), HYPERLINK("#",""), HYPERLINK(CONCATENATE("#metadata!", ADDRESS(INDEX($X$2:$X$1001,MATCH(ROWS($V$2:V925),$V$2:$V$1001,0),0), INDEX($AC$1004:$AS$1004,1,MATCH(COLUMNS($AC$1006:AD1006),$AC$1006:$AS$1006,0)))),"Fix")))</f>
        <v xml:space="preserve"> </v>
      </c>
      <c r="D925" s="4" t="str">
        <f ca="1">IF(OR(INDEX($W$2:$W$1001,MATCH(ROWS($V$2:V925),$V$2:$V$1001,0),1)&gt;=100000,INDEX($AC$1005:$AS$1005,1,MATCH(COLUMNS($AC$1006:AE1006),$AC$1006:$AS$1006,0))&gt;=100000), " ",IF(INDEX($AC$2:$AS$1001,MATCH(ROWS($V$2:V925),$V$2:$V$1001,0),MATCH(COLUMNS($AC$1006:AE1006),$AC$1006:$AS$1006,0)), HYPERLINK("#",""), HYPERLINK(CONCATENATE("#metadata!", ADDRESS(INDEX($X$2:$X$1001,MATCH(ROWS($V$2:V925),$V$2:$V$1001,0),0), INDEX($AC$1004:$AS$1004,1,MATCH(COLUMNS($AC$1006:AE1006),$AC$1006:$AS$1006,0)))),"Fix")))</f>
        <v xml:space="preserve"> </v>
      </c>
      <c r="E925" s="4" t="str">
        <f ca="1">IF(OR(INDEX($W$2:$W$1001,MATCH(ROWS($V$2:V925),$V$2:$V$1001,0),1)&gt;=100000,INDEX($AC$1005:$AS$1005,1,MATCH(COLUMNS($AC$1006:AF1006),$AC$1006:$AS$1006,0))&gt;=100000), " ",IF(INDEX($AC$2:$AS$1001,MATCH(ROWS($V$2:V925),$V$2:$V$1001,0),MATCH(COLUMNS($AC$1006:AF1006),$AC$1006:$AS$1006,0)), HYPERLINK("#",""), HYPERLINK(CONCATENATE("#metadata!", ADDRESS(INDEX($X$2:$X$1001,MATCH(ROWS($V$2:V925),$V$2:$V$1001,0),0), INDEX($AC$1004:$AS$1004,1,MATCH(COLUMNS($AC$1006:AF1006),$AC$1006:$AS$1006,0)))),"Fix")))</f>
        <v xml:space="preserve"> </v>
      </c>
      <c r="F925" s="4" t="str">
        <f ca="1">IF(OR(INDEX($W$2:$W$1001,MATCH(ROWS($V$2:V925),$V$2:$V$1001,0),1)&gt;=100000,INDEX($AC$1005:$AS$1005,1,MATCH(COLUMNS($AC$1006:AG1006),$AC$1006:$AS$1006,0))&gt;=100000), " ",IF(INDEX($AC$2:$AS$1001,MATCH(ROWS($V$2:V925),$V$2:$V$1001,0),MATCH(COLUMNS($AC$1006:AG1006),$AC$1006:$AS$1006,0)), HYPERLINK("#",""), HYPERLINK(CONCATENATE("#metadata!", ADDRESS(INDEX($X$2:$X$1001,MATCH(ROWS($V$2:V925),$V$2:$V$1001,0),0), INDEX($AC$1004:$AS$1004,1,MATCH(COLUMNS($AC$1006:AG1006),$AC$1006:$AS$1006,0)))),"Fix")))</f>
        <v xml:space="preserve"> </v>
      </c>
      <c r="G925" s="4" t="str">
        <f ca="1">IF(OR(INDEX($W$2:$W$1001,MATCH(ROWS($V$2:V925),$V$2:$V$1001,0),1)&gt;=100000,INDEX($AC$1005:$AS$1005,1,MATCH(COLUMNS($AC$1006:AH1006),$AC$1006:$AS$1006,0))&gt;=100000), " ",IF(INDEX($AC$2:$AS$1001,MATCH(ROWS($V$2:V925),$V$2:$V$1001,0),MATCH(COLUMNS($AC$1006:AH1006),$AC$1006:$AS$1006,0)), HYPERLINK("#",""), HYPERLINK(CONCATENATE("#metadata!", ADDRESS(INDEX($X$2:$X$1001,MATCH(ROWS($V$2:V925),$V$2:$V$1001,0),0), INDEX($AC$1004:$AS$1004,1,MATCH(COLUMNS($AC$1006:AH1006),$AC$1006:$AS$1006,0)))),"Fix")))</f>
        <v xml:space="preserve"> </v>
      </c>
      <c r="H925" s="4" t="str">
        <f ca="1">IF(OR(INDEX($W$2:$W$1001,MATCH(ROWS($V$2:V925),$V$2:$V$1001,0),1)&gt;=100000,INDEX($AC$1005:$AS$1005,1,MATCH(COLUMNS($AC$1006:AI1006),$AC$1006:$AS$1006,0))&gt;=100000), " ",IF(INDEX($AC$2:$AS$1001,MATCH(ROWS($V$2:V925),$V$2:$V$1001,0),MATCH(COLUMNS($AC$1006:AI1006),$AC$1006:$AS$1006,0)), HYPERLINK("#",""), HYPERLINK(CONCATENATE("#metadata!", ADDRESS(INDEX($X$2:$X$1001,MATCH(ROWS($V$2:V925),$V$2:$V$1001,0),0), INDEX($AC$1004:$AS$1004,1,MATCH(COLUMNS($AC$1006:AI1006),$AC$1006:$AS$1006,0)))),"Fix")))</f>
        <v xml:space="preserve"> </v>
      </c>
      <c r="I925" s="4" t="str">
        <f ca="1">IF(OR(INDEX($W$2:$W$1001,MATCH(ROWS($V$2:V925),$V$2:$V$1001,0),1)&gt;=100000,INDEX($AC$1005:$AS$1005,1,MATCH(COLUMNS($AC$1006:AJ1006),$AC$1006:$AS$1006,0))&gt;=100000), " ",IF(INDEX($AC$2:$AS$1001,MATCH(ROWS($V$2:V925),$V$2:$V$1001,0),MATCH(COLUMNS($AC$1006:AJ1006),$AC$1006:$AS$1006,0)), HYPERLINK("#",""), HYPERLINK(CONCATENATE("#metadata!", ADDRESS(INDEX($X$2:$X$1001,MATCH(ROWS($V$2:V925),$V$2:$V$1001,0),0), INDEX($AC$1004:$AS$1004,1,MATCH(COLUMNS($AC$1006:AJ1006),$AC$1006:$AS$1006,0)))),"Fix")))</f>
        <v xml:space="preserve"> </v>
      </c>
      <c r="J925" s="4" t="str">
        <f ca="1">IF(OR(INDEX($W$2:$W$1001,MATCH(ROWS($V$2:V925),$V$2:$V$1001,0),1)&gt;=100000,INDEX($AC$1005:$AS$1005,1,MATCH(COLUMNS($AC$1006:AK1006),$AC$1006:$AS$1006,0))&gt;=100000), " ",IF(INDEX($AC$2:$AS$1001,MATCH(ROWS($V$2:V925),$V$2:$V$1001,0),MATCH(COLUMNS($AC$1006:AK1006),$AC$1006:$AS$1006,0)), HYPERLINK("#",""), HYPERLINK(CONCATENATE("#metadata!", ADDRESS(INDEX($X$2:$X$1001,MATCH(ROWS($V$2:V925),$V$2:$V$1001,0),0), INDEX($AC$1004:$AS$1004,1,MATCH(COLUMNS($AC$1006:AK1006),$AC$1006:$AS$1006,0)))),"Fix")))</f>
        <v xml:space="preserve"> </v>
      </c>
      <c r="K925" s="4" t="str">
        <f ca="1">IF(OR(INDEX($W$2:$W$1001,MATCH(ROWS($V$2:V925),$V$2:$V$1001,0),1)&gt;=100000,INDEX($AC$1005:$AS$1005,1,MATCH(COLUMNS($AC$1006:AL1006),$AC$1006:$AS$1006,0))&gt;=100000), " ",IF(INDEX($AC$2:$AS$1001,MATCH(ROWS($V$2:V925),$V$2:$V$1001,0),MATCH(COLUMNS($AC$1006:AL1006),$AC$1006:$AS$1006,0)), HYPERLINK("#",""), HYPERLINK(CONCATENATE("#metadata!", ADDRESS(INDEX($X$2:$X$1001,MATCH(ROWS($V$2:V925),$V$2:$V$1001,0),0), INDEX($AC$1004:$AS$1004,1,MATCH(COLUMNS($AC$1006:AL1006),$AC$1006:$AS$1006,0)))),"Fix")))</f>
        <v xml:space="preserve"> </v>
      </c>
      <c r="L925" s="4" t="str">
        <f ca="1">IF(OR(INDEX($W$2:$W$1001,MATCH(ROWS($V$2:V925),$V$2:$V$1001,0),1)&gt;=100000,INDEX($AC$1005:$AS$1005,1,MATCH(COLUMNS($AC$1006:AM1006),$AC$1006:$AS$1006,0))&gt;=100000), " ",IF(INDEX($AC$2:$AS$1001,MATCH(ROWS($V$2:V925),$V$2:$V$1001,0),MATCH(COLUMNS($AC$1006:AM1006),$AC$1006:$AS$1006,0)), HYPERLINK("#",""), HYPERLINK(CONCATENATE("#metadata!", ADDRESS(INDEX($X$2:$X$1001,MATCH(ROWS($V$2:V925),$V$2:$V$1001,0),0), INDEX($AC$1004:$AS$1004,1,MATCH(COLUMNS($AC$1006:AM1006),$AC$1006:$AS$1006,0)))),"Fix")))</f>
        <v xml:space="preserve"> </v>
      </c>
      <c r="M925" s="4" t="str">
        <f ca="1">IF(OR(INDEX($W$2:$W$1001,MATCH(ROWS($V$2:V925),$V$2:$V$1001,0),1)&gt;=100000,INDEX($AC$1005:$AS$1005,1,MATCH(COLUMNS($AC$1006:AN1006),$AC$1006:$AS$1006,0))&gt;=100000), " ",IF(INDEX($AC$2:$AS$1001,MATCH(ROWS($V$2:V925),$V$2:$V$1001,0),MATCH(COLUMNS($AC$1006:AN1006),$AC$1006:$AS$1006,0)), HYPERLINK("#",""), HYPERLINK(CONCATENATE("#metadata!", ADDRESS(INDEX($X$2:$X$1001,MATCH(ROWS($V$2:V925),$V$2:$V$1001,0),0), INDEX($AC$1004:$AS$1004,1,MATCH(COLUMNS($AC$1006:AN1006),$AC$1006:$AS$1006,0)))),"Fix")))</f>
        <v xml:space="preserve"> </v>
      </c>
      <c r="N925" s="4" t="str">
        <f ca="1">IF(OR(INDEX($W$2:$W$1001,MATCH(ROWS($V$2:V925),$V$2:$V$1001,0),1)&gt;=100000,INDEX($AC$1005:$AS$1005,1,MATCH(COLUMNS($AC$1006:AO1006),$AC$1006:$AS$1006,0))&gt;=100000), " ",IF(INDEX($AC$2:$AS$1001,MATCH(ROWS($V$2:V925),$V$2:$V$1001,0),MATCH(COLUMNS($AC$1006:AO1006),$AC$1006:$AS$1006,0)), HYPERLINK("#",""), HYPERLINK(CONCATENATE("#metadata!", ADDRESS(INDEX($X$2:$X$1001,MATCH(ROWS($V$2:V925),$V$2:$V$1001,0),0), INDEX($AC$1004:$AS$1004,1,MATCH(COLUMNS($AC$1006:AO1006),$AC$1006:$AS$1006,0)))),"Fix")))</f>
        <v xml:space="preserve"> </v>
      </c>
      <c r="O925" s="4" t="str">
        <f ca="1">IF(OR(INDEX($W$2:$W$1001,MATCH(ROWS($V$2:V925),$V$2:$V$1001,0),1)&gt;=100000,INDEX($AC$1005:$AS$1005,1,MATCH(COLUMNS($AC$1006:AP1006),$AC$1006:$AS$1006,0))&gt;=100000), " ",IF(INDEX($AC$2:$AS$1001,MATCH(ROWS($V$2:V925),$V$2:$V$1001,0),MATCH(COLUMNS($AC$1006:AP1006),$AC$1006:$AS$1006,0)), HYPERLINK("#",""), HYPERLINK(CONCATENATE("#metadata!", ADDRESS(INDEX($X$2:$X$1001,MATCH(ROWS($V$2:V925),$V$2:$V$1001,0),0), INDEX($AC$1004:$AS$1004,1,MATCH(COLUMNS($AC$1006:AP1006),$AC$1006:$AS$1006,0)))),"Fix")))</f>
        <v xml:space="preserve"> </v>
      </c>
      <c r="P925" s="4" t="str">
        <f ca="1">IF(OR(INDEX($W$2:$W$1001,MATCH(ROWS($V$2:V925),$V$2:$V$1001,0),1)&gt;=100000,INDEX($AC$1005:$AS$1005,1,MATCH(COLUMNS($AC$1006:AQ1006),$AC$1006:$AS$1006,0))&gt;=100000), " ",IF(INDEX($AC$2:$AS$1001,MATCH(ROWS($V$2:V925),$V$2:$V$1001,0),MATCH(COLUMNS($AC$1006:AQ1006),$AC$1006:$AS$1006,0)), HYPERLINK("#",""), HYPERLINK(CONCATENATE("#metadata!", ADDRESS(INDEX($X$2:$X$1001,MATCH(ROWS($V$2:V925),$V$2:$V$1001,0),0), INDEX($AC$1004:$AS$1004,1,MATCH(COLUMNS($AC$1006:AQ1006),$AC$1006:$AS$1006,0)))),"Fix")))</f>
        <v xml:space="preserve"> </v>
      </c>
      <c r="Q925" s="4" t="str">
        <f ca="1">IF(OR(INDEX($W$2:$W$1001,MATCH(ROWS($V$2:V925),$V$2:$V$1001,0),1)&gt;=100000,INDEX($AC$1005:$AS$1005,1,MATCH(COLUMNS($AC$1006:AR1006),$AC$1006:$AS$1006,0))&gt;=100000), " ",IF(INDEX($AC$2:$AS$1001,MATCH(ROWS($V$2:V925),$V$2:$V$1001,0),MATCH(COLUMNS($AC$1006:AR1006),$AC$1006:$AS$1006,0)), HYPERLINK("#",""), HYPERLINK(CONCATENATE("#metadata!", ADDRESS(INDEX($X$2:$X$1001,MATCH(ROWS($V$2:V925),$V$2:$V$1001,0),0), INDEX($AC$1004:$AS$1004,1,MATCH(COLUMNS($AC$1006:AR1006),$AC$1006:$AS$1006,0)))),"Fix")))</f>
        <v xml:space="preserve"> </v>
      </c>
      <c r="R925" s="4" t="str">
        <f ca="1">IF(OR(INDEX($W$2:$W$1001,MATCH(ROWS($V$2:V925),$V$2:$V$1001,0),1)&gt;=100000,INDEX($AC$1005:$AS$1005,1,MATCH(COLUMNS($AC$1006:AS1006),$AC$1006:$AS$1006,0))&gt;=100000), " ",IF(INDEX($AC$2:$AS$1001,MATCH(ROWS($V$2:V925),$V$2:$V$1001,0),MATCH(COLUMNS($AC$1006:AS1006),$AC$1006:$AS$1006,0)), HYPERLINK("#",""), HYPERLINK(CONCATENATE("#metadata!", ADDRESS(INDEX($X$2:$X$1001,MATCH(ROWS($V$2:V925),$V$2:$V$1001,0),0), INDEX($AC$1004:$AS$1004,1,MATCH(COLUMNS($AC$1006:AS1006),$AC$1006:$AS$1006,0)))),"Fix")))</f>
        <v xml:space="preserve"> </v>
      </c>
      <c r="V925">
        <v>924</v>
      </c>
      <c r="W925">
        <v>100925</v>
      </c>
      <c r="X925">
        <v>925</v>
      </c>
      <c r="Y925" t="b">
        <f t="shared" si="14"/>
        <v>1</v>
      </c>
      <c r="Z925" t="b">
        <f>COUNTBLANK(metadata!B925:R925)=COLUMNS(metadata!B925:R925)</f>
        <v>1</v>
      </c>
      <c r="AA925" t="str">
        <v/>
      </c>
      <c r="AC925" t="b">
        <f ca="1"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AD925" t="b">
        <f>IF(metadata!C925="",FALSE,ISNUMBER(VALUE(metadata!C925)))</f>
        <v>0</v>
      </c>
      <c r="AE925" t="b">
        <f>AND(IF(metadata!D925="",FALSE,TRUE),EXACT(metadata!D925,"years"))</f>
        <v>0</v>
      </c>
      <c r="AF925" t="b">
        <f>OR(AND(IF(metadata!E925="",FALSE,TRUE),OR(EXACT(metadata!E925,"not applicable"),EXACT(metadata!E925,"missing: not collected"),EXACT(metadata!E925,"missing: not provided"),EXACT(metadata!E925,"missing: restricted access"))),AND(IF(metadata!E925="",FALSE,ISNUMBER(VALUE(metadata!E925))),metadata!E925&gt;0))</f>
        <v>0</v>
      </c>
      <c r="AG925" t="b">
        <f>AND(IF(metadata!F925="",FALSE,TRUE),EXACT(metadata!F925,"Not applicable"))</f>
        <v>0</v>
      </c>
      <c r="AH925" t="b">
        <f>AND(IF(metadata!G925="",FALSE,TRUE),EXACT(metadata!G925,"urban biome"))</f>
        <v>0</v>
      </c>
      <c r="AI925" t="b">
        <f>AND(IF(metadata!H925="",FALSE,TRUE),EXACT(metadata!H925,"human-associated habitat"))</f>
        <v>0</v>
      </c>
      <c r="AJ925" t="b">
        <f>AND(IF(metadata!I925="",FALSE,TRUE),OR(EXACT(metadata!I925,"human-associated"),EXACT(metadata!I925,"human-skin"),EXACT(metadata!I925,"human-oral"),EXACT(metadata!I925,"human-gut"),EXACT(metadata!I925,"human-vaginal")))</f>
        <v>0</v>
      </c>
      <c r="AK925" t="b">
        <f>IF(metadata!J925="",FALSE,ISNUMBER(VALUE(metadata!J925)))</f>
        <v>0</v>
      </c>
      <c r="AL925" t="b">
        <f>AND(IF(metadata!K925="",FALSE,TRUE),EXACT(metadata!K925,"cm"))</f>
        <v>0</v>
      </c>
      <c r="AM925" t="b">
        <f>AND(IF(metadata!L925="",FALSE,TRUE),EXACT(metadata!L925,"human"))</f>
        <v>0</v>
      </c>
      <c r="AN925" t="b">
        <f>AND(IF(metadata!M925="",FALSE,TRUE),EXACT(metadata!M925,"Homo sapiens"))</f>
        <v>0</v>
      </c>
      <c r="AO925" t="b">
        <f>AND(IF(metadata!N925="",FALSE,TRUE),EXACT(metadata!N925,"9606"))</f>
        <v>0</v>
      </c>
      <c r="AP925" t="b">
        <f>IF(metadata!O925="",FALSE,TRUE)</f>
        <v>0</v>
      </c>
      <c r="AQ925" t="b">
        <f>IF(metadata!P925="",FALSE,TRUE)</f>
        <v>0</v>
      </c>
      <c r="AR925" t="b">
        <f>IF(metadata!Q925="",FALSE,ISNUMBER(VALUE(metadata!Q925)))</f>
        <v>0</v>
      </c>
      <c r="AS925" t="b">
        <f>AND(IF(metadata!R925="",FALSE,TRUE),EXACT(metadata!R925,"kg"))</f>
        <v>0</v>
      </c>
    </row>
    <row r="926" spans="1:45" x14ac:dyDescent="0.2">
      <c r="A926" s="5" t="str">
        <f ca="1">IF(B926=" "," ",HYPERLINK(CONCATENATE("#metadata!",ADDRESS(INDEX($X$2:$X$1001,MATCH(ROWS($V$2:V926),$V$2:$V$1001,0),0),1)),INDEX($AA$2:$AA$1001,MATCH(ROWS($V$2:V926),$V$2:$V$1001,0),0)))</f>
        <v xml:space="preserve"> </v>
      </c>
      <c r="B926" s="4" t="str">
        <f ca="1">IF(OR(INDEX($W$2:$W$1001,MATCH(ROWS($V$2:V926),$V$2:$V$1001,0),1)&gt;=100000,INDEX($AC$1005:$AS$1005,1,MATCH(COLUMNS($AC$1006:AC1006),$AC$1006:$AS$1006,0))&gt;=100000), " ",IF(INDEX($AC$2:$AS$1001,MATCH(ROWS($V$2:V926),$V$2:$V$1001,0),MATCH(COLUMNS($AC$1006:AC1006),$AC$1006:$AS$1006,0)), HYPERLINK("#",""), HYPERLINK(CONCATENATE("#metadata!", ADDRESS(INDEX($X$2:$X$1001,MATCH(ROWS($V$2:V926),$V$2:$V$1001,0),0), INDEX($AC$1004:$AS$1004,1,MATCH(COLUMNS($AC$1006:AC1006),$AC$1006:$AS$1006,0)))),"Fix")))</f>
        <v xml:space="preserve"> </v>
      </c>
      <c r="C926" s="4" t="str">
        <f ca="1">IF(OR(INDEX($W$2:$W$1001,MATCH(ROWS($V$2:V926),$V$2:$V$1001,0),1)&gt;=100000,INDEX($AC$1005:$AS$1005,1,MATCH(COLUMNS($AC$1006:AD1006),$AC$1006:$AS$1006,0))&gt;=100000), " ",IF(INDEX($AC$2:$AS$1001,MATCH(ROWS($V$2:V926),$V$2:$V$1001,0),MATCH(COLUMNS($AC$1006:AD1006),$AC$1006:$AS$1006,0)), HYPERLINK("#",""), HYPERLINK(CONCATENATE("#metadata!", ADDRESS(INDEX($X$2:$X$1001,MATCH(ROWS($V$2:V926),$V$2:$V$1001,0),0), INDEX($AC$1004:$AS$1004,1,MATCH(COLUMNS($AC$1006:AD1006),$AC$1006:$AS$1006,0)))),"Fix")))</f>
        <v xml:space="preserve"> </v>
      </c>
      <c r="D926" s="4" t="str">
        <f ca="1">IF(OR(INDEX($W$2:$W$1001,MATCH(ROWS($V$2:V926),$V$2:$V$1001,0),1)&gt;=100000,INDEX($AC$1005:$AS$1005,1,MATCH(COLUMNS($AC$1006:AE1006),$AC$1006:$AS$1006,0))&gt;=100000), " ",IF(INDEX($AC$2:$AS$1001,MATCH(ROWS($V$2:V926),$V$2:$V$1001,0),MATCH(COLUMNS($AC$1006:AE1006),$AC$1006:$AS$1006,0)), HYPERLINK("#",""), HYPERLINK(CONCATENATE("#metadata!", ADDRESS(INDEX($X$2:$X$1001,MATCH(ROWS($V$2:V926),$V$2:$V$1001,0),0), INDEX($AC$1004:$AS$1004,1,MATCH(COLUMNS($AC$1006:AE1006),$AC$1006:$AS$1006,0)))),"Fix")))</f>
        <v xml:space="preserve"> </v>
      </c>
      <c r="E926" s="4" t="str">
        <f ca="1">IF(OR(INDEX($W$2:$W$1001,MATCH(ROWS($V$2:V926),$V$2:$V$1001,0),1)&gt;=100000,INDEX($AC$1005:$AS$1005,1,MATCH(COLUMNS($AC$1006:AF1006),$AC$1006:$AS$1006,0))&gt;=100000), " ",IF(INDEX($AC$2:$AS$1001,MATCH(ROWS($V$2:V926),$V$2:$V$1001,0),MATCH(COLUMNS($AC$1006:AF1006),$AC$1006:$AS$1006,0)), HYPERLINK("#",""), HYPERLINK(CONCATENATE("#metadata!", ADDRESS(INDEX($X$2:$X$1001,MATCH(ROWS($V$2:V926),$V$2:$V$1001,0),0), INDEX($AC$1004:$AS$1004,1,MATCH(COLUMNS($AC$1006:AF1006),$AC$1006:$AS$1006,0)))),"Fix")))</f>
        <v xml:space="preserve"> </v>
      </c>
      <c r="F926" s="4" t="str">
        <f ca="1">IF(OR(INDEX($W$2:$W$1001,MATCH(ROWS($V$2:V926),$V$2:$V$1001,0),1)&gt;=100000,INDEX($AC$1005:$AS$1005,1,MATCH(COLUMNS($AC$1006:AG1006),$AC$1006:$AS$1006,0))&gt;=100000), " ",IF(INDEX($AC$2:$AS$1001,MATCH(ROWS($V$2:V926),$V$2:$V$1001,0),MATCH(COLUMNS($AC$1006:AG1006),$AC$1006:$AS$1006,0)), HYPERLINK("#",""), HYPERLINK(CONCATENATE("#metadata!", ADDRESS(INDEX($X$2:$X$1001,MATCH(ROWS($V$2:V926),$V$2:$V$1001,0),0), INDEX($AC$1004:$AS$1004,1,MATCH(COLUMNS($AC$1006:AG1006),$AC$1006:$AS$1006,0)))),"Fix")))</f>
        <v xml:space="preserve"> </v>
      </c>
      <c r="G926" s="4" t="str">
        <f ca="1">IF(OR(INDEX($W$2:$W$1001,MATCH(ROWS($V$2:V926),$V$2:$V$1001,0),1)&gt;=100000,INDEX($AC$1005:$AS$1005,1,MATCH(COLUMNS($AC$1006:AH1006),$AC$1006:$AS$1006,0))&gt;=100000), " ",IF(INDEX($AC$2:$AS$1001,MATCH(ROWS($V$2:V926),$V$2:$V$1001,0),MATCH(COLUMNS($AC$1006:AH1006),$AC$1006:$AS$1006,0)), HYPERLINK("#",""), HYPERLINK(CONCATENATE("#metadata!", ADDRESS(INDEX($X$2:$X$1001,MATCH(ROWS($V$2:V926),$V$2:$V$1001,0),0), INDEX($AC$1004:$AS$1004,1,MATCH(COLUMNS($AC$1006:AH1006),$AC$1006:$AS$1006,0)))),"Fix")))</f>
        <v xml:space="preserve"> </v>
      </c>
      <c r="H926" s="4" t="str">
        <f ca="1">IF(OR(INDEX($W$2:$W$1001,MATCH(ROWS($V$2:V926),$V$2:$V$1001,0),1)&gt;=100000,INDEX($AC$1005:$AS$1005,1,MATCH(COLUMNS($AC$1006:AI1006),$AC$1006:$AS$1006,0))&gt;=100000), " ",IF(INDEX($AC$2:$AS$1001,MATCH(ROWS($V$2:V926),$V$2:$V$1001,0),MATCH(COLUMNS($AC$1006:AI1006),$AC$1006:$AS$1006,0)), HYPERLINK("#",""), HYPERLINK(CONCATENATE("#metadata!", ADDRESS(INDEX($X$2:$X$1001,MATCH(ROWS($V$2:V926),$V$2:$V$1001,0),0), INDEX($AC$1004:$AS$1004,1,MATCH(COLUMNS($AC$1006:AI1006),$AC$1006:$AS$1006,0)))),"Fix")))</f>
        <v xml:space="preserve"> </v>
      </c>
      <c r="I926" s="4" t="str">
        <f ca="1">IF(OR(INDEX($W$2:$W$1001,MATCH(ROWS($V$2:V926),$V$2:$V$1001,0),1)&gt;=100000,INDEX($AC$1005:$AS$1005,1,MATCH(COLUMNS($AC$1006:AJ1006),$AC$1006:$AS$1006,0))&gt;=100000), " ",IF(INDEX($AC$2:$AS$1001,MATCH(ROWS($V$2:V926),$V$2:$V$1001,0),MATCH(COLUMNS($AC$1006:AJ1006),$AC$1006:$AS$1006,0)), HYPERLINK("#",""), HYPERLINK(CONCATENATE("#metadata!", ADDRESS(INDEX($X$2:$X$1001,MATCH(ROWS($V$2:V926),$V$2:$V$1001,0),0), INDEX($AC$1004:$AS$1004,1,MATCH(COLUMNS($AC$1006:AJ1006),$AC$1006:$AS$1006,0)))),"Fix")))</f>
        <v xml:space="preserve"> </v>
      </c>
      <c r="J926" s="4" t="str">
        <f ca="1">IF(OR(INDEX($W$2:$W$1001,MATCH(ROWS($V$2:V926),$V$2:$V$1001,0),1)&gt;=100000,INDEX($AC$1005:$AS$1005,1,MATCH(COLUMNS($AC$1006:AK1006),$AC$1006:$AS$1006,0))&gt;=100000), " ",IF(INDEX($AC$2:$AS$1001,MATCH(ROWS($V$2:V926),$V$2:$V$1001,0),MATCH(COLUMNS($AC$1006:AK1006),$AC$1006:$AS$1006,0)), HYPERLINK("#",""), HYPERLINK(CONCATENATE("#metadata!", ADDRESS(INDEX($X$2:$X$1001,MATCH(ROWS($V$2:V926),$V$2:$V$1001,0),0), INDEX($AC$1004:$AS$1004,1,MATCH(COLUMNS($AC$1006:AK1006),$AC$1006:$AS$1006,0)))),"Fix")))</f>
        <v xml:space="preserve"> </v>
      </c>
      <c r="K926" s="4" t="str">
        <f ca="1">IF(OR(INDEX($W$2:$W$1001,MATCH(ROWS($V$2:V926),$V$2:$V$1001,0),1)&gt;=100000,INDEX($AC$1005:$AS$1005,1,MATCH(COLUMNS($AC$1006:AL1006),$AC$1006:$AS$1006,0))&gt;=100000), " ",IF(INDEX($AC$2:$AS$1001,MATCH(ROWS($V$2:V926),$V$2:$V$1001,0),MATCH(COLUMNS($AC$1006:AL1006),$AC$1006:$AS$1006,0)), HYPERLINK("#",""), HYPERLINK(CONCATENATE("#metadata!", ADDRESS(INDEX($X$2:$X$1001,MATCH(ROWS($V$2:V926),$V$2:$V$1001,0),0), INDEX($AC$1004:$AS$1004,1,MATCH(COLUMNS($AC$1006:AL1006),$AC$1006:$AS$1006,0)))),"Fix")))</f>
        <v xml:space="preserve"> </v>
      </c>
      <c r="L926" s="4" t="str">
        <f ca="1">IF(OR(INDEX($W$2:$W$1001,MATCH(ROWS($V$2:V926),$V$2:$V$1001,0),1)&gt;=100000,INDEX($AC$1005:$AS$1005,1,MATCH(COLUMNS($AC$1006:AM1006),$AC$1006:$AS$1006,0))&gt;=100000), " ",IF(INDEX($AC$2:$AS$1001,MATCH(ROWS($V$2:V926),$V$2:$V$1001,0),MATCH(COLUMNS($AC$1006:AM1006),$AC$1006:$AS$1006,0)), HYPERLINK("#",""), HYPERLINK(CONCATENATE("#metadata!", ADDRESS(INDEX($X$2:$X$1001,MATCH(ROWS($V$2:V926),$V$2:$V$1001,0),0), INDEX($AC$1004:$AS$1004,1,MATCH(COLUMNS($AC$1006:AM1006),$AC$1006:$AS$1006,0)))),"Fix")))</f>
        <v xml:space="preserve"> </v>
      </c>
      <c r="M926" s="4" t="str">
        <f ca="1">IF(OR(INDEX($W$2:$W$1001,MATCH(ROWS($V$2:V926),$V$2:$V$1001,0),1)&gt;=100000,INDEX($AC$1005:$AS$1005,1,MATCH(COLUMNS($AC$1006:AN1006),$AC$1006:$AS$1006,0))&gt;=100000), " ",IF(INDEX($AC$2:$AS$1001,MATCH(ROWS($V$2:V926),$V$2:$V$1001,0),MATCH(COLUMNS($AC$1006:AN1006),$AC$1006:$AS$1006,0)), HYPERLINK("#",""), HYPERLINK(CONCATENATE("#metadata!", ADDRESS(INDEX($X$2:$X$1001,MATCH(ROWS($V$2:V926),$V$2:$V$1001,0),0), INDEX($AC$1004:$AS$1004,1,MATCH(COLUMNS($AC$1006:AN1006),$AC$1006:$AS$1006,0)))),"Fix")))</f>
        <v xml:space="preserve"> </v>
      </c>
      <c r="N926" s="4" t="str">
        <f ca="1">IF(OR(INDEX($W$2:$W$1001,MATCH(ROWS($V$2:V926),$V$2:$V$1001,0),1)&gt;=100000,INDEX($AC$1005:$AS$1005,1,MATCH(COLUMNS($AC$1006:AO1006),$AC$1006:$AS$1006,0))&gt;=100000), " ",IF(INDEX($AC$2:$AS$1001,MATCH(ROWS($V$2:V926),$V$2:$V$1001,0),MATCH(COLUMNS($AC$1006:AO1006),$AC$1006:$AS$1006,0)), HYPERLINK("#",""), HYPERLINK(CONCATENATE("#metadata!", ADDRESS(INDEX($X$2:$X$1001,MATCH(ROWS($V$2:V926),$V$2:$V$1001,0),0), INDEX($AC$1004:$AS$1004,1,MATCH(COLUMNS($AC$1006:AO1006),$AC$1006:$AS$1006,0)))),"Fix")))</f>
        <v xml:space="preserve"> </v>
      </c>
      <c r="O926" s="4" t="str">
        <f ca="1">IF(OR(INDEX($W$2:$W$1001,MATCH(ROWS($V$2:V926),$V$2:$V$1001,0),1)&gt;=100000,INDEX($AC$1005:$AS$1005,1,MATCH(COLUMNS($AC$1006:AP1006),$AC$1006:$AS$1006,0))&gt;=100000), " ",IF(INDEX($AC$2:$AS$1001,MATCH(ROWS($V$2:V926),$V$2:$V$1001,0),MATCH(COLUMNS($AC$1006:AP1006),$AC$1006:$AS$1006,0)), HYPERLINK("#",""), HYPERLINK(CONCATENATE("#metadata!", ADDRESS(INDEX($X$2:$X$1001,MATCH(ROWS($V$2:V926),$V$2:$V$1001,0),0), INDEX($AC$1004:$AS$1004,1,MATCH(COLUMNS($AC$1006:AP1006),$AC$1006:$AS$1006,0)))),"Fix")))</f>
        <v xml:space="preserve"> </v>
      </c>
      <c r="P926" s="4" t="str">
        <f ca="1">IF(OR(INDEX($W$2:$W$1001,MATCH(ROWS($V$2:V926),$V$2:$V$1001,0),1)&gt;=100000,INDEX($AC$1005:$AS$1005,1,MATCH(COLUMNS($AC$1006:AQ1006),$AC$1006:$AS$1006,0))&gt;=100000), " ",IF(INDEX($AC$2:$AS$1001,MATCH(ROWS($V$2:V926),$V$2:$V$1001,0),MATCH(COLUMNS($AC$1006:AQ1006),$AC$1006:$AS$1006,0)), HYPERLINK("#",""), HYPERLINK(CONCATENATE("#metadata!", ADDRESS(INDEX($X$2:$X$1001,MATCH(ROWS($V$2:V926),$V$2:$V$1001,0),0), INDEX($AC$1004:$AS$1004,1,MATCH(COLUMNS($AC$1006:AQ1006),$AC$1006:$AS$1006,0)))),"Fix")))</f>
        <v xml:space="preserve"> </v>
      </c>
      <c r="Q926" s="4" t="str">
        <f ca="1">IF(OR(INDEX($W$2:$W$1001,MATCH(ROWS($V$2:V926),$V$2:$V$1001,0),1)&gt;=100000,INDEX($AC$1005:$AS$1005,1,MATCH(COLUMNS($AC$1006:AR1006),$AC$1006:$AS$1006,0))&gt;=100000), " ",IF(INDEX($AC$2:$AS$1001,MATCH(ROWS($V$2:V926),$V$2:$V$1001,0),MATCH(COLUMNS($AC$1006:AR1006),$AC$1006:$AS$1006,0)), HYPERLINK("#",""), HYPERLINK(CONCATENATE("#metadata!", ADDRESS(INDEX($X$2:$X$1001,MATCH(ROWS($V$2:V926),$V$2:$V$1001,0),0), INDEX($AC$1004:$AS$1004,1,MATCH(COLUMNS($AC$1006:AR1006),$AC$1006:$AS$1006,0)))),"Fix")))</f>
        <v xml:space="preserve"> </v>
      </c>
      <c r="R926" s="4" t="str">
        <f ca="1">IF(OR(INDEX($W$2:$W$1001,MATCH(ROWS($V$2:V926),$V$2:$V$1001,0),1)&gt;=100000,INDEX($AC$1005:$AS$1005,1,MATCH(COLUMNS($AC$1006:AS1006),$AC$1006:$AS$1006,0))&gt;=100000), " ",IF(INDEX($AC$2:$AS$1001,MATCH(ROWS($V$2:V926),$V$2:$V$1001,0),MATCH(COLUMNS($AC$1006:AS1006),$AC$1006:$AS$1006,0)), HYPERLINK("#",""), HYPERLINK(CONCATENATE("#metadata!", ADDRESS(INDEX($X$2:$X$1001,MATCH(ROWS($V$2:V926),$V$2:$V$1001,0),0), INDEX($AC$1004:$AS$1004,1,MATCH(COLUMNS($AC$1006:AS1006),$AC$1006:$AS$1006,0)))),"Fix")))</f>
        <v xml:space="preserve"> </v>
      </c>
      <c r="V926">
        <v>925</v>
      </c>
      <c r="W926">
        <v>100926</v>
      </c>
      <c r="X926">
        <v>926</v>
      </c>
      <c r="Y926" t="b">
        <f t="shared" si="14"/>
        <v>1</v>
      </c>
      <c r="Z926" t="b">
        <f>COUNTBLANK(metadata!B926:R926)=COLUMNS(metadata!B926:R926)</f>
        <v>1</v>
      </c>
      <c r="AA926" t="str">
        <v/>
      </c>
      <c r="AC926" t="b">
        <f ca="1"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AD926" t="b">
        <f>IF(metadata!C926="",FALSE,ISNUMBER(VALUE(metadata!C926)))</f>
        <v>0</v>
      </c>
      <c r="AE926" t="b">
        <f>AND(IF(metadata!D926="",FALSE,TRUE),EXACT(metadata!D926,"years"))</f>
        <v>0</v>
      </c>
      <c r="AF926" t="b">
        <f>OR(AND(IF(metadata!E926="",FALSE,TRUE),OR(EXACT(metadata!E926,"not applicable"),EXACT(metadata!E926,"missing: not collected"),EXACT(metadata!E926,"missing: not provided"),EXACT(metadata!E926,"missing: restricted access"))),AND(IF(metadata!E926="",FALSE,ISNUMBER(VALUE(metadata!E926))),metadata!E926&gt;0))</f>
        <v>0</v>
      </c>
      <c r="AG926" t="b">
        <f>AND(IF(metadata!F926="",FALSE,TRUE),EXACT(metadata!F926,"Not applicable"))</f>
        <v>0</v>
      </c>
      <c r="AH926" t="b">
        <f>AND(IF(metadata!G926="",FALSE,TRUE),EXACT(metadata!G926,"urban biome"))</f>
        <v>0</v>
      </c>
      <c r="AI926" t="b">
        <f>AND(IF(metadata!H926="",FALSE,TRUE),EXACT(metadata!H926,"human-associated habitat"))</f>
        <v>0</v>
      </c>
      <c r="AJ926" t="b">
        <f>AND(IF(metadata!I926="",FALSE,TRUE),OR(EXACT(metadata!I926,"human-associated"),EXACT(metadata!I926,"human-skin"),EXACT(metadata!I926,"human-oral"),EXACT(metadata!I926,"human-gut"),EXACT(metadata!I926,"human-vaginal")))</f>
        <v>0</v>
      </c>
      <c r="AK926" t="b">
        <f>IF(metadata!J926="",FALSE,ISNUMBER(VALUE(metadata!J926)))</f>
        <v>0</v>
      </c>
      <c r="AL926" t="b">
        <f>AND(IF(metadata!K926="",FALSE,TRUE),EXACT(metadata!K926,"cm"))</f>
        <v>0</v>
      </c>
      <c r="AM926" t="b">
        <f>AND(IF(metadata!L926="",FALSE,TRUE),EXACT(metadata!L926,"human"))</f>
        <v>0</v>
      </c>
      <c r="AN926" t="b">
        <f>AND(IF(metadata!M926="",FALSE,TRUE),EXACT(metadata!M926,"Homo sapiens"))</f>
        <v>0</v>
      </c>
      <c r="AO926" t="b">
        <f>AND(IF(metadata!N926="",FALSE,TRUE),EXACT(metadata!N926,"9606"))</f>
        <v>0</v>
      </c>
      <c r="AP926" t="b">
        <f>IF(metadata!O926="",FALSE,TRUE)</f>
        <v>0</v>
      </c>
      <c r="AQ926" t="b">
        <f>IF(metadata!P926="",FALSE,TRUE)</f>
        <v>0</v>
      </c>
      <c r="AR926" t="b">
        <f>IF(metadata!Q926="",FALSE,ISNUMBER(VALUE(metadata!Q926)))</f>
        <v>0</v>
      </c>
      <c r="AS926" t="b">
        <f>AND(IF(metadata!R926="",FALSE,TRUE),EXACT(metadata!R926,"kg"))</f>
        <v>0</v>
      </c>
    </row>
    <row r="927" spans="1:45" x14ac:dyDescent="0.2">
      <c r="A927" s="5" t="str">
        <f ca="1">IF(B927=" "," ",HYPERLINK(CONCATENATE("#metadata!",ADDRESS(INDEX($X$2:$X$1001,MATCH(ROWS($V$2:V927),$V$2:$V$1001,0),0),1)),INDEX($AA$2:$AA$1001,MATCH(ROWS($V$2:V927),$V$2:$V$1001,0),0)))</f>
        <v xml:space="preserve"> </v>
      </c>
      <c r="B927" s="4" t="str">
        <f ca="1">IF(OR(INDEX($W$2:$W$1001,MATCH(ROWS($V$2:V927),$V$2:$V$1001,0),1)&gt;=100000,INDEX($AC$1005:$AS$1005,1,MATCH(COLUMNS($AC$1006:AC1006),$AC$1006:$AS$1006,0))&gt;=100000), " ",IF(INDEX($AC$2:$AS$1001,MATCH(ROWS($V$2:V927),$V$2:$V$1001,0),MATCH(COLUMNS($AC$1006:AC1006),$AC$1006:$AS$1006,0)), HYPERLINK("#",""), HYPERLINK(CONCATENATE("#metadata!", ADDRESS(INDEX($X$2:$X$1001,MATCH(ROWS($V$2:V927),$V$2:$V$1001,0),0), INDEX($AC$1004:$AS$1004,1,MATCH(COLUMNS($AC$1006:AC1006),$AC$1006:$AS$1006,0)))),"Fix")))</f>
        <v xml:space="preserve"> </v>
      </c>
      <c r="C927" s="4" t="str">
        <f ca="1">IF(OR(INDEX($W$2:$W$1001,MATCH(ROWS($V$2:V927),$V$2:$V$1001,0),1)&gt;=100000,INDEX($AC$1005:$AS$1005,1,MATCH(COLUMNS($AC$1006:AD1006),$AC$1006:$AS$1006,0))&gt;=100000), " ",IF(INDEX($AC$2:$AS$1001,MATCH(ROWS($V$2:V927),$V$2:$V$1001,0),MATCH(COLUMNS($AC$1006:AD1006),$AC$1006:$AS$1006,0)), HYPERLINK("#",""), HYPERLINK(CONCATENATE("#metadata!", ADDRESS(INDEX($X$2:$X$1001,MATCH(ROWS($V$2:V927),$V$2:$V$1001,0),0), INDEX($AC$1004:$AS$1004,1,MATCH(COLUMNS($AC$1006:AD1006),$AC$1006:$AS$1006,0)))),"Fix")))</f>
        <v xml:space="preserve"> </v>
      </c>
      <c r="D927" s="4" t="str">
        <f ca="1">IF(OR(INDEX($W$2:$W$1001,MATCH(ROWS($V$2:V927),$V$2:$V$1001,0),1)&gt;=100000,INDEX($AC$1005:$AS$1005,1,MATCH(COLUMNS($AC$1006:AE1006),$AC$1006:$AS$1006,0))&gt;=100000), " ",IF(INDEX($AC$2:$AS$1001,MATCH(ROWS($V$2:V927),$V$2:$V$1001,0),MATCH(COLUMNS($AC$1006:AE1006),$AC$1006:$AS$1006,0)), HYPERLINK("#",""), HYPERLINK(CONCATENATE("#metadata!", ADDRESS(INDEX($X$2:$X$1001,MATCH(ROWS($V$2:V927),$V$2:$V$1001,0),0), INDEX($AC$1004:$AS$1004,1,MATCH(COLUMNS($AC$1006:AE1006),$AC$1006:$AS$1006,0)))),"Fix")))</f>
        <v xml:space="preserve"> </v>
      </c>
      <c r="E927" s="4" t="str">
        <f ca="1">IF(OR(INDEX($W$2:$W$1001,MATCH(ROWS($V$2:V927),$V$2:$V$1001,0),1)&gt;=100000,INDEX($AC$1005:$AS$1005,1,MATCH(COLUMNS($AC$1006:AF1006),$AC$1006:$AS$1006,0))&gt;=100000), " ",IF(INDEX($AC$2:$AS$1001,MATCH(ROWS($V$2:V927),$V$2:$V$1001,0),MATCH(COLUMNS($AC$1006:AF1006),$AC$1006:$AS$1006,0)), HYPERLINK("#",""), HYPERLINK(CONCATENATE("#metadata!", ADDRESS(INDEX($X$2:$X$1001,MATCH(ROWS($V$2:V927),$V$2:$V$1001,0),0), INDEX($AC$1004:$AS$1004,1,MATCH(COLUMNS($AC$1006:AF1006),$AC$1006:$AS$1006,0)))),"Fix")))</f>
        <v xml:space="preserve"> </v>
      </c>
      <c r="F927" s="4" t="str">
        <f ca="1">IF(OR(INDEX($W$2:$W$1001,MATCH(ROWS($V$2:V927),$V$2:$V$1001,0),1)&gt;=100000,INDEX($AC$1005:$AS$1005,1,MATCH(COLUMNS($AC$1006:AG1006),$AC$1006:$AS$1006,0))&gt;=100000), " ",IF(INDEX($AC$2:$AS$1001,MATCH(ROWS($V$2:V927),$V$2:$V$1001,0),MATCH(COLUMNS($AC$1006:AG1006),$AC$1006:$AS$1006,0)), HYPERLINK("#",""), HYPERLINK(CONCATENATE("#metadata!", ADDRESS(INDEX($X$2:$X$1001,MATCH(ROWS($V$2:V927),$V$2:$V$1001,0),0), INDEX($AC$1004:$AS$1004,1,MATCH(COLUMNS($AC$1006:AG1006),$AC$1006:$AS$1006,0)))),"Fix")))</f>
        <v xml:space="preserve"> </v>
      </c>
      <c r="G927" s="4" t="str">
        <f ca="1">IF(OR(INDEX($W$2:$W$1001,MATCH(ROWS($V$2:V927),$V$2:$V$1001,0),1)&gt;=100000,INDEX($AC$1005:$AS$1005,1,MATCH(COLUMNS($AC$1006:AH1006),$AC$1006:$AS$1006,0))&gt;=100000), " ",IF(INDEX($AC$2:$AS$1001,MATCH(ROWS($V$2:V927),$V$2:$V$1001,0),MATCH(COLUMNS($AC$1006:AH1006),$AC$1006:$AS$1006,0)), HYPERLINK("#",""), HYPERLINK(CONCATENATE("#metadata!", ADDRESS(INDEX($X$2:$X$1001,MATCH(ROWS($V$2:V927),$V$2:$V$1001,0),0), INDEX($AC$1004:$AS$1004,1,MATCH(COLUMNS($AC$1006:AH1006),$AC$1006:$AS$1006,0)))),"Fix")))</f>
        <v xml:space="preserve"> </v>
      </c>
      <c r="H927" s="4" t="str">
        <f ca="1">IF(OR(INDEX($W$2:$W$1001,MATCH(ROWS($V$2:V927),$V$2:$V$1001,0),1)&gt;=100000,INDEX($AC$1005:$AS$1005,1,MATCH(COLUMNS($AC$1006:AI1006),$AC$1006:$AS$1006,0))&gt;=100000), " ",IF(INDEX($AC$2:$AS$1001,MATCH(ROWS($V$2:V927),$V$2:$V$1001,0),MATCH(COLUMNS($AC$1006:AI1006),$AC$1006:$AS$1006,0)), HYPERLINK("#",""), HYPERLINK(CONCATENATE("#metadata!", ADDRESS(INDEX($X$2:$X$1001,MATCH(ROWS($V$2:V927),$V$2:$V$1001,0),0), INDEX($AC$1004:$AS$1004,1,MATCH(COLUMNS($AC$1006:AI1006),$AC$1006:$AS$1006,0)))),"Fix")))</f>
        <v xml:space="preserve"> </v>
      </c>
      <c r="I927" s="4" t="str">
        <f ca="1">IF(OR(INDEX($W$2:$W$1001,MATCH(ROWS($V$2:V927),$V$2:$V$1001,0),1)&gt;=100000,INDEX($AC$1005:$AS$1005,1,MATCH(COLUMNS($AC$1006:AJ1006),$AC$1006:$AS$1006,0))&gt;=100000), " ",IF(INDEX($AC$2:$AS$1001,MATCH(ROWS($V$2:V927),$V$2:$V$1001,0),MATCH(COLUMNS($AC$1006:AJ1006),$AC$1006:$AS$1006,0)), HYPERLINK("#",""), HYPERLINK(CONCATENATE("#metadata!", ADDRESS(INDEX($X$2:$X$1001,MATCH(ROWS($V$2:V927),$V$2:$V$1001,0),0), INDEX($AC$1004:$AS$1004,1,MATCH(COLUMNS($AC$1006:AJ1006),$AC$1006:$AS$1006,0)))),"Fix")))</f>
        <v xml:space="preserve"> </v>
      </c>
      <c r="J927" s="4" t="str">
        <f ca="1">IF(OR(INDEX($W$2:$W$1001,MATCH(ROWS($V$2:V927),$V$2:$V$1001,0),1)&gt;=100000,INDEX($AC$1005:$AS$1005,1,MATCH(COLUMNS($AC$1006:AK1006),$AC$1006:$AS$1006,0))&gt;=100000), " ",IF(INDEX($AC$2:$AS$1001,MATCH(ROWS($V$2:V927),$V$2:$V$1001,0),MATCH(COLUMNS($AC$1006:AK1006),$AC$1006:$AS$1006,0)), HYPERLINK("#",""), HYPERLINK(CONCATENATE("#metadata!", ADDRESS(INDEX($X$2:$X$1001,MATCH(ROWS($V$2:V927),$V$2:$V$1001,0),0), INDEX($AC$1004:$AS$1004,1,MATCH(COLUMNS($AC$1006:AK1006),$AC$1006:$AS$1006,0)))),"Fix")))</f>
        <v xml:space="preserve"> </v>
      </c>
      <c r="K927" s="4" t="str">
        <f ca="1">IF(OR(INDEX($W$2:$W$1001,MATCH(ROWS($V$2:V927),$V$2:$V$1001,0),1)&gt;=100000,INDEX($AC$1005:$AS$1005,1,MATCH(COLUMNS($AC$1006:AL1006),$AC$1006:$AS$1006,0))&gt;=100000), " ",IF(INDEX($AC$2:$AS$1001,MATCH(ROWS($V$2:V927),$V$2:$V$1001,0),MATCH(COLUMNS($AC$1006:AL1006),$AC$1006:$AS$1006,0)), HYPERLINK("#",""), HYPERLINK(CONCATENATE("#metadata!", ADDRESS(INDEX($X$2:$X$1001,MATCH(ROWS($V$2:V927),$V$2:$V$1001,0),0), INDEX($AC$1004:$AS$1004,1,MATCH(COLUMNS($AC$1006:AL1006),$AC$1006:$AS$1006,0)))),"Fix")))</f>
        <v xml:space="preserve"> </v>
      </c>
      <c r="L927" s="4" t="str">
        <f ca="1">IF(OR(INDEX($W$2:$W$1001,MATCH(ROWS($V$2:V927),$V$2:$V$1001,0),1)&gt;=100000,INDEX($AC$1005:$AS$1005,1,MATCH(COLUMNS($AC$1006:AM1006),$AC$1006:$AS$1006,0))&gt;=100000), " ",IF(INDEX($AC$2:$AS$1001,MATCH(ROWS($V$2:V927),$V$2:$V$1001,0),MATCH(COLUMNS($AC$1006:AM1006),$AC$1006:$AS$1006,0)), HYPERLINK("#",""), HYPERLINK(CONCATENATE("#metadata!", ADDRESS(INDEX($X$2:$X$1001,MATCH(ROWS($V$2:V927),$V$2:$V$1001,0),0), INDEX($AC$1004:$AS$1004,1,MATCH(COLUMNS($AC$1006:AM1006),$AC$1006:$AS$1006,0)))),"Fix")))</f>
        <v xml:space="preserve"> </v>
      </c>
      <c r="M927" s="4" t="str">
        <f ca="1">IF(OR(INDEX($W$2:$W$1001,MATCH(ROWS($V$2:V927),$V$2:$V$1001,0),1)&gt;=100000,INDEX($AC$1005:$AS$1005,1,MATCH(COLUMNS($AC$1006:AN1006),$AC$1006:$AS$1006,0))&gt;=100000), " ",IF(INDEX($AC$2:$AS$1001,MATCH(ROWS($V$2:V927),$V$2:$V$1001,0),MATCH(COLUMNS($AC$1006:AN1006),$AC$1006:$AS$1006,0)), HYPERLINK("#",""), HYPERLINK(CONCATENATE("#metadata!", ADDRESS(INDEX($X$2:$X$1001,MATCH(ROWS($V$2:V927),$V$2:$V$1001,0),0), INDEX($AC$1004:$AS$1004,1,MATCH(COLUMNS($AC$1006:AN1006),$AC$1006:$AS$1006,0)))),"Fix")))</f>
        <v xml:space="preserve"> </v>
      </c>
      <c r="N927" s="4" t="str">
        <f ca="1">IF(OR(INDEX($W$2:$W$1001,MATCH(ROWS($V$2:V927),$V$2:$V$1001,0),1)&gt;=100000,INDEX($AC$1005:$AS$1005,1,MATCH(COLUMNS($AC$1006:AO1006),$AC$1006:$AS$1006,0))&gt;=100000), " ",IF(INDEX($AC$2:$AS$1001,MATCH(ROWS($V$2:V927),$V$2:$V$1001,0),MATCH(COLUMNS($AC$1006:AO1006),$AC$1006:$AS$1006,0)), HYPERLINK("#",""), HYPERLINK(CONCATENATE("#metadata!", ADDRESS(INDEX($X$2:$X$1001,MATCH(ROWS($V$2:V927),$V$2:$V$1001,0),0), INDEX($AC$1004:$AS$1004,1,MATCH(COLUMNS($AC$1006:AO1006),$AC$1006:$AS$1006,0)))),"Fix")))</f>
        <v xml:space="preserve"> </v>
      </c>
      <c r="O927" s="4" t="str">
        <f ca="1">IF(OR(INDEX($W$2:$W$1001,MATCH(ROWS($V$2:V927),$V$2:$V$1001,0),1)&gt;=100000,INDEX($AC$1005:$AS$1005,1,MATCH(COLUMNS($AC$1006:AP1006),$AC$1006:$AS$1006,0))&gt;=100000), " ",IF(INDEX($AC$2:$AS$1001,MATCH(ROWS($V$2:V927),$V$2:$V$1001,0),MATCH(COLUMNS($AC$1006:AP1006),$AC$1006:$AS$1006,0)), HYPERLINK("#",""), HYPERLINK(CONCATENATE("#metadata!", ADDRESS(INDEX($X$2:$X$1001,MATCH(ROWS($V$2:V927),$V$2:$V$1001,0),0), INDEX($AC$1004:$AS$1004,1,MATCH(COLUMNS($AC$1006:AP1006),$AC$1006:$AS$1006,0)))),"Fix")))</f>
        <v xml:space="preserve"> </v>
      </c>
      <c r="P927" s="4" t="str">
        <f ca="1">IF(OR(INDEX($W$2:$W$1001,MATCH(ROWS($V$2:V927),$V$2:$V$1001,0),1)&gt;=100000,INDEX($AC$1005:$AS$1005,1,MATCH(COLUMNS($AC$1006:AQ1006),$AC$1006:$AS$1006,0))&gt;=100000), " ",IF(INDEX($AC$2:$AS$1001,MATCH(ROWS($V$2:V927),$V$2:$V$1001,0),MATCH(COLUMNS($AC$1006:AQ1006),$AC$1006:$AS$1006,0)), HYPERLINK("#",""), HYPERLINK(CONCATENATE("#metadata!", ADDRESS(INDEX($X$2:$X$1001,MATCH(ROWS($V$2:V927),$V$2:$V$1001,0),0), INDEX($AC$1004:$AS$1004,1,MATCH(COLUMNS($AC$1006:AQ1006),$AC$1006:$AS$1006,0)))),"Fix")))</f>
        <v xml:space="preserve"> </v>
      </c>
      <c r="Q927" s="4" t="str">
        <f ca="1">IF(OR(INDEX($W$2:$W$1001,MATCH(ROWS($V$2:V927),$V$2:$V$1001,0),1)&gt;=100000,INDEX($AC$1005:$AS$1005,1,MATCH(COLUMNS($AC$1006:AR1006),$AC$1006:$AS$1006,0))&gt;=100000), " ",IF(INDEX($AC$2:$AS$1001,MATCH(ROWS($V$2:V927),$V$2:$V$1001,0),MATCH(COLUMNS($AC$1006:AR1006),$AC$1006:$AS$1006,0)), HYPERLINK("#",""), HYPERLINK(CONCATENATE("#metadata!", ADDRESS(INDEX($X$2:$X$1001,MATCH(ROWS($V$2:V927),$V$2:$V$1001,0),0), INDEX($AC$1004:$AS$1004,1,MATCH(COLUMNS($AC$1006:AR1006),$AC$1006:$AS$1006,0)))),"Fix")))</f>
        <v xml:space="preserve"> </v>
      </c>
      <c r="R927" s="4" t="str">
        <f ca="1">IF(OR(INDEX($W$2:$W$1001,MATCH(ROWS($V$2:V927),$V$2:$V$1001,0),1)&gt;=100000,INDEX($AC$1005:$AS$1005,1,MATCH(COLUMNS($AC$1006:AS1006),$AC$1006:$AS$1006,0))&gt;=100000), " ",IF(INDEX($AC$2:$AS$1001,MATCH(ROWS($V$2:V927),$V$2:$V$1001,0),MATCH(COLUMNS($AC$1006:AS1006),$AC$1006:$AS$1006,0)), HYPERLINK("#",""), HYPERLINK(CONCATENATE("#metadata!", ADDRESS(INDEX($X$2:$X$1001,MATCH(ROWS($V$2:V927),$V$2:$V$1001,0),0), INDEX($AC$1004:$AS$1004,1,MATCH(COLUMNS($AC$1006:AS1006),$AC$1006:$AS$1006,0)))),"Fix")))</f>
        <v xml:space="preserve"> </v>
      </c>
      <c r="V927">
        <v>926</v>
      </c>
      <c r="W927">
        <v>100927</v>
      </c>
      <c r="X927">
        <v>927</v>
      </c>
      <c r="Y927" t="b">
        <f t="shared" si="14"/>
        <v>1</v>
      </c>
      <c r="Z927" t="b">
        <f>COUNTBLANK(metadata!B927:R927)=COLUMNS(metadata!B927:R927)</f>
        <v>1</v>
      </c>
      <c r="AA927" t="str">
        <v/>
      </c>
      <c r="AC927" t="b">
        <f ca="1"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AD927" t="b">
        <f>IF(metadata!C927="",FALSE,ISNUMBER(VALUE(metadata!C927)))</f>
        <v>0</v>
      </c>
      <c r="AE927" t="b">
        <f>AND(IF(metadata!D927="",FALSE,TRUE),EXACT(metadata!D927,"years"))</f>
        <v>0</v>
      </c>
      <c r="AF927" t="b">
        <f>OR(AND(IF(metadata!E927="",FALSE,TRUE),OR(EXACT(metadata!E927,"not applicable"),EXACT(metadata!E927,"missing: not collected"),EXACT(metadata!E927,"missing: not provided"),EXACT(metadata!E927,"missing: restricted access"))),AND(IF(metadata!E927="",FALSE,ISNUMBER(VALUE(metadata!E927))),metadata!E927&gt;0))</f>
        <v>0</v>
      </c>
      <c r="AG927" t="b">
        <f>AND(IF(metadata!F927="",FALSE,TRUE),EXACT(metadata!F927,"Not applicable"))</f>
        <v>0</v>
      </c>
      <c r="AH927" t="b">
        <f>AND(IF(metadata!G927="",FALSE,TRUE),EXACT(metadata!G927,"urban biome"))</f>
        <v>0</v>
      </c>
      <c r="AI927" t="b">
        <f>AND(IF(metadata!H927="",FALSE,TRUE),EXACT(metadata!H927,"human-associated habitat"))</f>
        <v>0</v>
      </c>
      <c r="AJ927" t="b">
        <f>AND(IF(metadata!I927="",FALSE,TRUE),OR(EXACT(metadata!I927,"human-associated"),EXACT(metadata!I927,"human-skin"),EXACT(metadata!I927,"human-oral"),EXACT(metadata!I927,"human-gut"),EXACT(metadata!I927,"human-vaginal")))</f>
        <v>0</v>
      </c>
      <c r="AK927" t="b">
        <f>IF(metadata!J927="",FALSE,ISNUMBER(VALUE(metadata!J927)))</f>
        <v>0</v>
      </c>
      <c r="AL927" t="b">
        <f>AND(IF(metadata!K927="",FALSE,TRUE),EXACT(metadata!K927,"cm"))</f>
        <v>0</v>
      </c>
      <c r="AM927" t="b">
        <f>AND(IF(metadata!L927="",FALSE,TRUE),EXACT(metadata!L927,"human"))</f>
        <v>0</v>
      </c>
      <c r="AN927" t="b">
        <f>AND(IF(metadata!M927="",FALSE,TRUE),EXACT(metadata!M927,"Homo sapiens"))</f>
        <v>0</v>
      </c>
      <c r="AO927" t="b">
        <f>AND(IF(metadata!N927="",FALSE,TRUE),EXACT(metadata!N927,"9606"))</f>
        <v>0</v>
      </c>
      <c r="AP927" t="b">
        <f>IF(metadata!O927="",FALSE,TRUE)</f>
        <v>0</v>
      </c>
      <c r="AQ927" t="b">
        <f>IF(metadata!P927="",FALSE,TRUE)</f>
        <v>0</v>
      </c>
      <c r="AR927" t="b">
        <f>IF(metadata!Q927="",FALSE,ISNUMBER(VALUE(metadata!Q927)))</f>
        <v>0</v>
      </c>
      <c r="AS927" t="b">
        <f>AND(IF(metadata!R927="",FALSE,TRUE),EXACT(metadata!R927,"kg"))</f>
        <v>0</v>
      </c>
    </row>
    <row r="928" spans="1:45" x14ac:dyDescent="0.2">
      <c r="A928" s="5" t="str">
        <f ca="1">IF(B928=" "," ",HYPERLINK(CONCATENATE("#metadata!",ADDRESS(INDEX($X$2:$X$1001,MATCH(ROWS($V$2:V928),$V$2:$V$1001,0),0),1)),INDEX($AA$2:$AA$1001,MATCH(ROWS($V$2:V928),$V$2:$V$1001,0),0)))</f>
        <v xml:space="preserve"> </v>
      </c>
      <c r="B928" s="4" t="str">
        <f ca="1">IF(OR(INDEX($W$2:$W$1001,MATCH(ROWS($V$2:V928),$V$2:$V$1001,0),1)&gt;=100000,INDEX($AC$1005:$AS$1005,1,MATCH(COLUMNS($AC$1006:AC1006),$AC$1006:$AS$1006,0))&gt;=100000), " ",IF(INDEX($AC$2:$AS$1001,MATCH(ROWS($V$2:V928),$V$2:$V$1001,0),MATCH(COLUMNS($AC$1006:AC1006),$AC$1006:$AS$1006,0)), HYPERLINK("#",""), HYPERLINK(CONCATENATE("#metadata!", ADDRESS(INDEX($X$2:$X$1001,MATCH(ROWS($V$2:V928),$V$2:$V$1001,0),0), INDEX($AC$1004:$AS$1004,1,MATCH(COLUMNS($AC$1006:AC1006),$AC$1006:$AS$1006,0)))),"Fix")))</f>
        <v xml:space="preserve"> </v>
      </c>
      <c r="C928" s="4" t="str">
        <f ca="1">IF(OR(INDEX($W$2:$W$1001,MATCH(ROWS($V$2:V928),$V$2:$V$1001,0),1)&gt;=100000,INDEX($AC$1005:$AS$1005,1,MATCH(COLUMNS($AC$1006:AD1006),$AC$1006:$AS$1006,0))&gt;=100000), " ",IF(INDEX($AC$2:$AS$1001,MATCH(ROWS($V$2:V928),$V$2:$V$1001,0),MATCH(COLUMNS($AC$1006:AD1006),$AC$1006:$AS$1006,0)), HYPERLINK("#",""), HYPERLINK(CONCATENATE("#metadata!", ADDRESS(INDEX($X$2:$X$1001,MATCH(ROWS($V$2:V928),$V$2:$V$1001,0),0), INDEX($AC$1004:$AS$1004,1,MATCH(COLUMNS($AC$1006:AD1006),$AC$1006:$AS$1006,0)))),"Fix")))</f>
        <v xml:space="preserve"> </v>
      </c>
      <c r="D928" s="4" t="str">
        <f ca="1">IF(OR(INDEX($W$2:$W$1001,MATCH(ROWS($V$2:V928),$V$2:$V$1001,0),1)&gt;=100000,INDEX($AC$1005:$AS$1005,1,MATCH(COLUMNS($AC$1006:AE1006),$AC$1006:$AS$1006,0))&gt;=100000), " ",IF(INDEX($AC$2:$AS$1001,MATCH(ROWS($V$2:V928),$V$2:$V$1001,0),MATCH(COLUMNS($AC$1006:AE1006),$AC$1006:$AS$1006,0)), HYPERLINK("#",""), HYPERLINK(CONCATENATE("#metadata!", ADDRESS(INDEX($X$2:$X$1001,MATCH(ROWS($V$2:V928),$V$2:$V$1001,0),0), INDEX($AC$1004:$AS$1004,1,MATCH(COLUMNS($AC$1006:AE1006),$AC$1006:$AS$1006,0)))),"Fix")))</f>
        <v xml:space="preserve"> </v>
      </c>
      <c r="E928" s="4" t="str">
        <f ca="1">IF(OR(INDEX($W$2:$W$1001,MATCH(ROWS($V$2:V928),$V$2:$V$1001,0),1)&gt;=100000,INDEX($AC$1005:$AS$1005,1,MATCH(COLUMNS($AC$1006:AF1006),$AC$1006:$AS$1006,0))&gt;=100000), " ",IF(INDEX($AC$2:$AS$1001,MATCH(ROWS($V$2:V928),$V$2:$V$1001,0),MATCH(COLUMNS($AC$1006:AF1006),$AC$1006:$AS$1006,0)), HYPERLINK("#",""), HYPERLINK(CONCATENATE("#metadata!", ADDRESS(INDEX($X$2:$X$1001,MATCH(ROWS($V$2:V928),$V$2:$V$1001,0),0), INDEX($AC$1004:$AS$1004,1,MATCH(COLUMNS($AC$1006:AF1006),$AC$1006:$AS$1006,0)))),"Fix")))</f>
        <v xml:space="preserve"> </v>
      </c>
      <c r="F928" s="4" t="str">
        <f ca="1">IF(OR(INDEX($W$2:$W$1001,MATCH(ROWS($V$2:V928),$V$2:$V$1001,0),1)&gt;=100000,INDEX($AC$1005:$AS$1005,1,MATCH(COLUMNS($AC$1006:AG1006),$AC$1006:$AS$1006,0))&gt;=100000), " ",IF(INDEX($AC$2:$AS$1001,MATCH(ROWS($V$2:V928),$V$2:$V$1001,0),MATCH(COLUMNS($AC$1006:AG1006),$AC$1006:$AS$1006,0)), HYPERLINK("#",""), HYPERLINK(CONCATENATE("#metadata!", ADDRESS(INDEX($X$2:$X$1001,MATCH(ROWS($V$2:V928),$V$2:$V$1001,0),0), INDEX($AC$1004:$AS$1004,1,MATCH(COLUMNS($AC$1006:AG1006),$AC$1006:$AS$1006,0)))),"Fix")))</f>
        <v xml:space="preserve"> </v>
      </c>
      <c r="G928" s="4" t="str">
        <f ca="1">IF(OR(INDEX($W$2:$W$1001,MATCH(ROWS($V$2:V928),$V$2:$V$1001,0),1)&gt;=100000,INDEX($AC$1005:$AS$1005,1,MATCH(COLUMNS($AC$1006:AH1006),$AC$1006:$AS$1006,0))&gt;=100000), " ",IF(INDEX($AC$2:$AS$1001,MATCH(ROWS($V$2:V928),$V$2:$V$1001,0),MATCH(COLUMNS($AC$1006:AH1006),$AC$1006:$AS$1006,0)), HYPERLINK("#",""), HYPERLINK(CONCATENATE("#metadata!", ADDRESS(INDEX($X$2:$X$1001,MATCH(ROWS($V$2:V928),$V$2:$V$1001,0),0), INDEX($AC$1004:$AS$1004,1,MATCH(COLUMNS($AC$1006:AH1006),$AC$1006:$AS$1006,0)))),"Fix")))</f>
        <v xml:space="preserve"> </v>
      </c>
      <c r="H928" s="4" t="str">
        <f ca="1">IF(OR(INDEX($W$2:$W$1001,MATCH(ROWS($V$2:V928),$V$2:$V$1001,0),1)&gt;=100000,INDEX($AC$1005:$AS$1005,1,MATCH(COLUMNS($AC$1006:AI1006),$AC$1006:$AS$1006,0))&gt;=100000), " ",IF(INDEX($AC$2:$AS$1001,MATCH(ROWS($V$2:V928),$V$2:$V$1001,0),MATCH(COLUMNS($AC$1006:AI1006),$AC$1006:$AS$1006,0)), HYPERLINK("#",""), HYPERLINK(CONCATENATE("#metadata!", ADDRESS(INDEX($X$2:$X$1001,MATCH(ROWS($V$2:V928),$V$2:$V$1001,0),0), INDEX($AC$1004:$AS$1004,1,MATCH(COLUMNS($AC$1006:AI1006),$AC$1006:$AS$1006,0)))),"Fix")))</f>
        <v xml:space="preserve"> </v>
      </c>
      <c r="I928" s="4" t="str">
        <f ca="1">IF(OR(INDEX($W$2:$W$1001,MATCH(ROWS($V$2:V928),$V$2:$V$1001,0),1)&gt;=100000,INDEX($AC$1005:$AS$1005,1,MATCH(COLUMNS($AC$1006:AJ1006),$AC$1006:$AS$1006,0))&gt;=100000), " ",IF(INDEX($AC$2:$AS$1001,MATCH(ROWS($V$2:V928),$V$2:$V$1001,0),MATCH(COLUMNS($AC$1006:AJ1006),$AC$1006:$AS$1006,0)), HYPERLINK("#",""), HYPERLINK(CONCATENATE("#metadata!", ADDRESS(INDEX($X$2:$X$1001,MATCH(ROWS($V$2:V928),$V$2:$V$1001,0),0), INDEX($AC$1004:$AS$1004,1,MATCH(COLUMNS($AC$1006:AJ1006),$AC$1006:$AS$1006,0)))),"Fix")))</f>
        <v xml:space="preserve"> </v>
      </c>
      <c r="J928" s="4" t="str">
        <f ca="1">IF(OR(INDEX($W$2:$W$1001,MATCH(ROWS($V$2:V928),$V$2:$V$1001,0),1)&gt;=100000,INDEX($AC$1005:$AS$1005,1,MATCH(COLUMNS($AC$1006:AK1006),$AC$1006:$AS$1006,0))&gt;=100000), " ",IF(INDEX($AC$2:$AS$1001,MATCH(ROWS($V$2:V928),$V$2:$V$1001,0),MATCH(COLUMNS($AC$1006:AK1006),$AC$1006:$AS$1006,0)), HYPERLINK("#",""), HYPERLINK(CONCATENATE("#metadata!", ADDRESS(INDEX($X$2:$X$1001,MATCH(ROWS($V$2:V928),$V$2:$V$1001,0),0), INDEX($AC$1004:$AS$1004,1,MATCH(COLUMNS($AC$1006:AK1006),$AC$1006:$AS$1006,0)))),"Fix")))</f>
        <v xml:space="preserve"> </v>
      </c>
      <c r="K928" s="4" t="str">
        <f ca="1">IF(OR(INDEX($W$2:$W$1001,MATCH(ROWS($V$2:V928),$V$2:$V$1001,0),1)&gt;=100000,INDEX($AC$1005:$AS$1005,1,MATCH(COLUMNS($AC$1006:AL1006),$AC$1006:$AS$1006,0))&gt;=100000), " ",IF(INDEX($AC$2:$AS$1001,MATCH(ROWS($V$2:V928),$V$2:$V$1001,0),MATCH(COLUMNS($AC$1006:AL1006),$AC$1006:$AS$1006,0)), HYPERLINK("#",""), HYPERLINK(CONCATENATE("#metadata!", ADDRESS(INDEX($X$2:$X$1001,MATCH(ROWS($V$2:V928),$V$2:$V$1001,0),0), INDEX($AC$1004:$AS$1004,1,MATCH(COLUMNS($AC$1006:AL1006),$AC$1006:$AS$1006,0)))),"Fix")))</f>
        <v xml:space="preserve"> </v>
      </c>
      <c r="L928" s="4" t="str">
        <f ca="1">IF(OR(INDEX($W$2:$W$1001,MATCH(ROWS($V$2:V928),$V$2:$V$1001,0),1)&gt;=100000,INDEX($AC$1005:$AS$1005,1,MATCH(COLUMNS($AC$1006:AM1006),$AC$1006:$AS$1006,0))&gt;=100000), " ",IF(INDEX($AC$2:$AS$1001,MATCH(ROWS($V$2:V928),$V$2:$V$1001,0),MATCH(COLUMNS($AC$1006:AM1006),$AC$1006:$AS$1006,0)), HYPERLINK("#",""), HYPERLINK(CONCATENATE("#metadata!", ADDRESS(INDEX($X$2:$X$1001,MATCH(ROWS($V$2:V928),$V$2:$V$1001,0),0), INDEX($AC$1004:$AS$1004,1,MATCH(COLUMNS($AC$1006:AM1006),$AC$1006:$AS$1006,0)))),"Fix")))</f>
        <v xml:space="preserve"> </v>
      </c>
      <c r="M928" s="4" t="str">
        <f ca="1">IF(OR(INDEX($W$2:$W$1001,MATCH(ROWS($V$2:V928),$V$2:$V$1001,0),1)&gt;=100000,INDEX($AC$1005:$AS$1005,1,MATCH(COLUMNS($AC$1006:AN1006),$AC$1006:$AS$1006,0))&gt;=100000), " ",IF(INDEX($AC$2:$AS$1001,MATCH(ROWS($V$2:V928),$V$2:$V$1001,0),MATCH(COLUMNS($AC$1006:AN1006),$AC$1006:$AS$1006,0)), HYPERLINK("#",""), HYPERLINK(CONCATENATE("#metadata!", ADDRESS(INDEX($X$2:$X$1001,MATCH(ROWS($V$2:V928),$V$2:$V$1001,0),0), INDEX($AC$1004:$AS$1004,1,MATCH(COLUMNS($AC$1006:AN1006),$AC$1006:$AS$1006,0)))),"Fix")))</f>
        <v xml:space="preserve"> </v>
      </c>
      <c r="N928" s="4" t="str">
        <f ca="1">IF(OR(INDEX($W$2:$W$1001,MATCH(ROWS($V$2:V928),$V$2:$V$1001,0),1)&gt;=100000,INDEX($AC$1005:$AS$1005,1,MATCH(COLUMNS($AC$1006:AO1006),$AC$1006:$AS$1006,0))&gt;=100000), " ",IF(INDEX($AC$2:$AS$1001,MATCH(ROWS($V$2:V928),$V$2:$V$1001,0),MATCH(COLUMNS($AC$1006:AO1006),$AC$1006:$AS$1006,0)), HYPERLINK("#",""), HYPERLINK(CONCATENATE("#metadata!", ADDRESS(INDEX($X$2:$X$1001,MATCH(ROWS($V$2:V928),$V$2:$V$1001,0),0), INDEX($AC$1004:$AS$1004,1,MATCH(COLUMNS($AC$1006:AO1006),$AC$1006:$AS$1006,0)))),"Fix")))</f>
        <v xml:space="preserve"> </v>
      </c>
      <c r="O928" s="4" t="str">
        <f ca="1">IF(OR(INDEX($W$2:$W$1001,MATCH(ROWS($V$2:V928),$V$2:$V$1001,0),1)&gt;=100000,INDEX($AC$1005:$AS$1005,1,MATCH(COLUMNS($AC$1006:AP1006),$AC$1006:$AS$1006,0))&gt;=100000), " ",IF(INDEX($AC$2:$AS$1001,MATCH(ROWS($V$2:V928),$V$2:$V$1001,0),MATCH(COLUMNS($AC$1006:AP1006),$AC$1006:$AS$1006,0)), HYPERLINK("#",""), HYPERLINK(CONCATENATE("#metadata!", ADDRESS(INDEX($X$2:$X$1001,MATCH(ROWS($V$2:V928),$V$2:$V$1001,0),0), INDEX($AC$1004:$AS$1004,1,MATCH(COLUMNS($AC$1006:AP1006),$AC$1006:$AS$1006,0)))),"Fix")))</f>
        <v xml:space="preserve"> </v>
      </c>
      <c r="P928" s="4" t="str">
        <f ca="1">IF(OR(INDEX($W$2:$W$1001,MATCH(ROWS($V$2:V928),$V$2:$V$1001,0),1)&gt;=100000,INDEX($AC$1005:$AS$1005,1,MATCH(COLUMNS($AC$1006:AQ1006),$AC$1006:$AS$1006,0))&gt;=100000), " ",IF(INDEX($AC$2:$AS$1001,MATCH(ROWS($V$2:V928),$V$2:$V$1001,0),MATCH(COLUMNS($AC$1006:AQ1006),$AC$1006:$AS$1006,0)), HYPERLINK("#",""), HYPERLINK(CONCATENATE("#metadata!", ADDRESS(INDEX($X$2:$X$1001,MATCH(ROWS($V$2:V928),$V$2:$V$1001,0),0), INDEX($AC$1004:$AS$1004,1,MATCH(COLUMNS($AC$1006:AQ1006),$AC$1006:$AS$1006,0)))),"Fix")))</f>
        <v xml:space="preserve"> </v>
      </c>
      <c r="Q928" s="4" t="str">
        <f ca="1">IF(OR(INDEX($W$2:$W$1001,MATCH(ROWS($V$2:V928),$V$2:$V$1001,0),1)&gt;=100000,INDEX($AC$1005:$AS$1005,1,MATCH(COLUMNS($AC$1006:AR1006),$AC$1006:$AS$1006,0))&gt;=100000), " ",IF(INDEX($AC$2:$AS$1001,MATCH(ROWS($V$2:V928),$V$2:$V$1001,0),MATCH(COLUMNS($AC$1006:AR1006),$AC$1006:$AS$1006,0)), HYPERLINK("#",""), HYPERLINK(CONCATENATE("#metadata!", ADDRESS(INDEX($X$2:$X$1001,MATCH(ROWS($V$2:V928),$V$2:$V$1001,0),0), INDEX($AC$1004:$AS$1004,1,MATCH(COLUMNS($AC$1006:AR1006),$AC$1006:$AS$1006,0)))),"Fix")))</f>
        <v xml:space="preserve"> </v>
      </c>
      <c r="R928" s="4" t="str">
        <f ca="1">IF(OR(INDEX($W$2:$W$1001,MATCH(ROWS($V$2:V928),$V$2:$V$1001,0),1)&gt;=100000,INDEX($AC$1005:$AS$1005,1,MATCH(COLUMNS($AC$1006:AS1006),$AC$1006:$AS$1006,0))&gt;=100000), " ",IF(INDEX($AC$2:$AS$1001,MATCH(ROWS($V$2:V928),$V$2:$V$1001,0),MATCH(COLUMNS($AC$1006:AS1006),$AC$1006:$AS$1006,0)), HYPERLINK("#",""), HYPERLINK(CONCATENATE("#metadata!", ADDRESS(INDEX($X$2:$X$1001,MATCH(ROWS($V$2:V928),$V$2:$V$1001,0),0), INDEX($AC$1004:$AS$1004,1,MATCH(COLUMNS($AC$1006:AS1006),$AC$1006:$AS$1006,0)))),"Fix")))</f>
        <v xml:space="preserve"> </v>
      </c>
      <c r="V928">
        <v>927</v>
      </c>
      <c r="W928">
        <v>100928</v>
      </c>
      <c r="X928">
        <v>928</v>
      </c>
      <c r="Y928" t="b">
        <f t="shared" si="14"/>
        <v>1</v>
      </c>
      <c r="Z928" t="b">
        <f>COUNTBLANK(metadata!B928:R928)=COLUMNS(metadata!B928:R928)</f>
        <v>1</v>
      </c>
      <c r="AA928" t="str">
        <v/>
      </c>
      <c r="AC928" t="b">
        <f ca="1"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AD928" t="b">
        <f>IF(metadata!C928="",FALSE,ISNUMBER(VALUE(metadata!C928)))</f>
        <v>0</v>
      </c>
      <c r="AE928" t="b">
        <f>AND(IF(metadata!D928="",FALSE,TRUE),EXACT(metadata!D928,"years"))</f>
        <v>0</v>
      </c>
      <c r="AF928" t="b">
        <f>OR(AND(IF(metadata!E928="",FALSE,TRUE),OR(EXACT(metadata!E928,"not applicable"),EXACT(metadata!E928,"missing: not collected"),EXACT(metadata!E928,"missing: not provided"),EXACT(metadata!E928,"missing: restricted access"))),AND(IF(metadata!E928="",FALSE,ISNUMBER(VALUE(metadata!E928))),metadata!E928&gt;0))</f>
        <v>0</v>
      </c>
      <c r="AG928" t="b">
        <f>AND(IF(metadata!F928="",FALSE,TRUE),EXACT(metadata!F928,"Not applicable"))</f>
        <v>0</v>
      </c>
      <c r="AH928" t="b">
        <f>AND(IF(metadata!G928="",FALSE,TRUE),EXACT(metadata!G928,"urban biome"))</f>
        <v>0</v>
      </c>
      <c r="AI928" t="b">
        <f>AND(IF(metadata!H928="",FALSE,TRUE),EXACT(metadata!H928,"human-associated habitat"))</f>
        <v>0</v>
      </c>
      <c r="AJ928" t="b">
        <f>AND(IF(metadata!I928="",FALSE,TRUE),OR(EXACT(metadata!I928,"human-associated"),EXACT(metadata!I928,"human-skin"),EXACT(metadata!I928,"human-oral"),EXACT(metadata!I928,"human-gut"),EXACT(metadata!I928,"human-vaginal")))</f>
        <v>0</v>
      </c>
      <c r="AK928" t="b">
        <f>IF(metadata!J928="",FALSE,ISNUMBER(VALUE(metadata!J928)))</f>
        <v>0</v>
      </c>
      <c r="AL928" t="b">
        <f>AND(IF(metadata!K928="",FALSE,TRUE),EXACT(metadata!K928,"cm"))</f>
        <v>0</v>
      </c>
      <c r="AM928" t="b">
        <f>AND(IF(metadata!L928="",FALSE,TRUE),EXACT(metadata!L928,"human"))</f>
        <v>0</v>
      </c>
      <c r="AN928" t="b">
        <f>AND(IF(metadata!M928="",FALSE,TRUE),EXACT(metadata!M928,"Homo sapiens"))</f>
        <v>0</v>
      </c>
      <c r="AO928" t="b">
        <f>AND(IF(metadata!N928="",FALSE,TRUE),EXACT(metadata!N928,"9606"))</f>
        <v>0</v>
      </c>
      <c r="AP928" t="b">
        <f>IF(metadata!O928="",FALSE,TRUE)</f>
        <v>0</v>
      </c>
      <c r="AQ928" t="b">
        <f>IF(metadata!P928="",FALSE,TRUE)</f>
        <v>0</v>
      </c>
      <c r="AR928" t="b">
        <f>IF(metadata!Q928="",FALSE,ISNUMBER(VALUE(metadata!Q928)))</f>
        <v>0</v>
      </c>
      <c r="AS928" t="b">
        <f>AND(IF(metadata!R928="",FALSE,TRUE),EXACT(metadata!R928,"kg"))</f>
        <v>0</v>
      </c>
    </row>
    <row r="929" spans="1:45" x14ac:dyDescent="0.2">
      <c r="A929" s="5" t="str">
        <f ca="1">IF(B929=" "," ",HYPERLINK(CONCATENATE("#metadata!",ADDRESS(INDEX($X$2:$X$1001,MATCH(ROWS($V$2:V929),$V$2:$V$1001,0),0),1)),INDEX($AA$2:$AA$1001,MATCH(ROWS($V$2:V929),$V$2:$V$1001,0),0)))</f>
        <v xml:space="preserve"> </v>
      </c>
      <c r="B929" s="4" t="str">
        <f ca="1">IF(OR(INDEX($W$2:$W$1001,MATCH(ROWS($V$2:V929),$V$2:$V$1001,0),1)&gt;=100000,INDEX($AC$1005:$AS$1005,1,MATCH(COLUMNS($AC$1006:AC1006),$AC$1006:$AS$1006,0))&gt;=100000), " ",IF(INDEX($AC$2:$AS$1001,MATCH(ROWS($V$2:V929),$V$2:$V$1001,0),MATCH(COLUMNS($AC$1006:AC1006),$AC$1006:$AS$1006,0)), HYPERLINK("#",""), HYPERLINK(CONCATENATE("#metadata!", ADDRESS(INDEX($X$2:$X$1001,MATCH(ROWS($V$2:V929),$V$2:$V$1001,0),0), INDEX($AC$1004:$AS$1004,1,MATCH(COLUMNS($AC$1006:AC1006),$AC$1006:$AS$1006,0)))),"Fix")))</f>
        <v xml:space="preserve"> </v>
      </c>
      <c r="C929" s="4" t="str">
        <f ca="1">IF(OR(INDEX($W$2:$W$1001,MATCH(ROWS($V$2:V929),$V$2:$V$1001,0),1)&gt;=100000,INDEX($AC$1005:$AS$1005,1,MATCH(COLUMNS($AC$1006:AD1006),$AC$1006:$AS$1006,0))&gt;=100000), " ",IF(INDEX($AC$2:$AS$1001,MATCH(ROWS($V$2:V929),$V$2:$V$1001,0),MATCH(COLUMNS($AC$1006:AD1006),$AC$1006:$AS$1006,0)), HYPERLINK("#",""), HYPERLINK(CONCATENATE("#metadata!", ADDRESS(INDEX($X$2:$X$1001,MATCH(ROWS($V$2:V929),$V$2:$V$1001,0),0), INDEX($AC$1004:$AS$1004,1,MATCH(COLUMNS($AC$1006:AD1006),$AC$1006:$AS$1006,0)))),"Fix")))</f>
        <v xml:space="preserve"> </v>
      </c>
      <c r="D929" s="4" t="str">
        <f ca="1">IF(OR(INDEX($W$2:$W$1001,MATCH(ROWS($V$2:V929),$V$2:$V$1001,0),1)&gt;=100000,INDEX($AC$1005:$AS$1005,1,MATCH(COLUMNS($AC$1006:AE1006),$AC$1006:$AS$1006,0))&gt;=100000), " ",IF(INDEX($AC$2:$AS$1001,MATCH(ROWS($V$2:V929),$V$2:$V$1001,0),MATCH(COLUMNS($AC$1006:AE1006),$AC$1006:$AS$1006,0)), HYPERLINK("#",""), HYPERLINK(CONCATENATE("#metadata!", ADDRESS(INDEX($X$2:$X$1001,MATCH(ROWS($V$2:V929),$V$2:$V$1001,0),0), INDEX($AC$1004:$AS$1004,1,MATCH(COLUMNS($AC$1006:AE1006),$AC$1006:$AS$1006,0)))),"Fix")))</f>
        <v xml:space="preserve"> </v>
      </c>
      <c r="E929" s="4" t="str">
        <f ca="1">IF(OR(INDEX($W$2:$W$1001,MATCH(ROWS($V$2:V929),$V$2:$V$1001,0),1)&gt;=100000,INDEX($AC$1005:$AS$1005,1,MATCH(COLUMNS($AC$1006:AF1006),$AC$1006:$AS$1006,0))&gt;=100000), " ",IF(INDEX($AC$2:$AS$1001,MATCH(ROWS($V$2:V929),$V$2:$V$1001,0),MATCH(COLUMNS($AC$1006:AF1006),$AC$1006:$AS$1006,0)), HYPERLINK("#",""), HYPERLINK(CONCATENATE("#metadata!", ADDRESS(INDEX($X$2:$X$1001,MATCH(ROWS($V$2:V929),$V$2:$V$1001,0),0), INDEX($AC$1004:$AS$1004,1,MATCH(COLUMNS($AC$1006:AF1006),$AC$1006:$AS$1006,0)))),"Fix")))</f>
        <v xml:space="preserve"> </v>
      </c>
      <c r="F929" s="4" t="str">
        <f ca="1">IF(OR(INDEX($W$2:$W$1001,MATCH(ROWS($V$2:V929),$V$2:$V$1001,0),1)&gt;=100000,INDEX($AC$1005:$AS$1005,1,MATCH(COLUMNS($AC$1006:AG1006),$AC$1006:$AS$1006,0))&gt;=100000), " ",IF(INDEX($AC$2:$AS$1001,MATCH(ROWS($V$2:V929),$V$2:$V$1001,0),MATCH(COLUMNS($AC$1006:AG1006),$AC$1006:$AS$1006,0)), HYPERLINK("#",""), HYPERLINK(CONCATENATE("#metadata!", ADDRESS(INDEX($X$2:$X$1001,MATCH(ROWS($V$2:V929),$V$2:$V$1001,0),0), INDEX($AC$1004:$AS$1004,1,MATCH(COLUMNS($AC$1006:AG1006),$AC$1006:$AS$1006,0)))),"Fix")))</f>
        <v xml:space="preserve"> </v>
      </c>
      <c r="G929" s="4" t="str">
        <f ca="1">IF(OR(INDEX($W$2:$W$1001,MATCH(ROWS($V$2:V929),$V$2:$V$1001,0),1)&gt;=100000,INDEX($AC$1005:$AS$1005,1,MATCH(COLUMNS($AC$1006:AH1006),$AC$1006:$AS$1006,0))&gt;=100000), " ",IF(INDEX($AC$2:$AS$1001,MATCH(ROWS($V$2:V929),$V$2:$V$1001,0),MATCH(COLUMNS($AC$1006:AH1006),$AC$1006:$AS$1006,0)), HYPERLINK("#",""), HYPERLINK(CONCATENATE("#metadata!", ADDRESS(INDEX($X$2:$X$1001,MATCH(ROWS($V$2:V929),$V$2:$V$1001,0),0), INDEX($AC$1004:$AS$1004,1,MATCH(COLUMNS($AC$1006:AH1006),$AC$1006:$AS$1006,0)))),"Fix")))</f>
        <v xml:space="preserve"> </v>
      </c>
      <c r="H929" s="4" t="str">
        <f ca="1">IF(OR(INDEX($W$2:$W$1001,MATCH(ROWS($V$2:V929),$V$2:$V$1001,0),1)&gt;=100000,INDEX($AC$1005:$AS$1005,1,MATCH(COLUMNS($AC$1006:AI1006),$AC$1006:$AS$1006,0))&gt;=100000), " ",IF(INDEX($AC$2:$AS$1001,MATCH(ROWS($V$2:V929),$V$2:$V$1001,0),MATCH(COLUMNS($AC$1006:AI1006),$AC$1006:$AS$1006,0)), HYPERLINK("#",""), HYPERLINK(CONCATENATE("#metadata!", ADDRESS(INDEX($X$2:$X$1001,MATCH(ROWS($V$2:V929),$V$2:$V$1001,0),0), INDEX($AC$1004:$AS$1004,1,MATCH(COLUMNS($AC$1006:AI1006),$AC$1006:$AS$1006,0)))),"Fix")))</f>
        <v xml:space="preserve"> </v>
      </c>
      <c r="I929" s="4" t="str">
        <f ca="1">IF(OR(INDEX($W$2:$W$1001,MATCH(ROWS($V$2:V929),$V$2:$V$1001,0),1)&gt;=100000,INDEX($AC$1005:$AS$1005,1,MATCH(COLUMNS($AC$1006:AJ1006),$AC$1006:$AS$1006,0))&gt;=100000), " ",IF(INDEX($AC$2:$AS$1001,MATCH(ROWS($V$2:V929),$V$2:$V$1001,0),MATCH(COLUMNS($AC$1006:AJ1006),$AC$1006:$AS$1006,0)), HYPERLINK("#",""), HYPERLINK(CONCATENATE("#metadata!", ADDRESS(INDEX($X$2:$X$1001,MATCH(ROWS($V$2:V929),$V$2:$V$1001,0),0), INDEX($AC$1004:$AS$1004,1,MATCH(COLUMNS($AC$1006:AJ1006),$AC$1006:$AS$1006,0)))),"Fix")))</f>
        <v xml:space="preserve"> </v>
      </c>
      <c r="J929" s="4" t="str">
        <f ca="1">IF(OR(INDEX($W$2:$W$1001,MATCH(ROWS($V$2:V929),$V$2:$V$1001,0),1)&gt;=100000,INDEX($AC$1005:$AS$1005,1,MATCH(COLUMNS($AC$1006:AK1006),$AC$1006:$AS$1006,0))&gt;=100000), " ",IF(INDEX($AC$2:$AS$1001,MATCH(ROWS($V$2:V929),$V$2:$V$1001,0),MATCH(COLUMNS($AC$1006:AK1006),$AC$1006:$AS$1006,0)), HYPERLINK("#",""), HYPERLINK(CONCATENATE("#metadata!", ADDRESS(INDEX($X$2:$X$1001,MATCH(ROWS($V$2:V929),$V$2:$V$1001,0),0), INDEX($AC$1004:$AS$1004,1,MATCH(COLUMNS($AC$1006:AK1006),$AC$1006:$AS$1006,0)))),"Fix")))</f>
        <v xml:space="preserve"> </v>
      </c>
      <c r="K929" s="4" t="str">
        <f ca="1">IF(OR(INDEX($W$2:$W$1001,MATCH(ROWS($V$2:V929),$V$2:$V$1001,0),1)&gt;=100000,INDEX($AC$1005:$AS$1005,1,MATCH(COLUMNS($AC$1006:AL1006),$AC$1006:$AS$1006,0))&gt;=100000), " ",IF(INDEX($AC$2:$AS$1001,MATCH(ROWS($V$2:V929),$V$2:$V$1001,0),MATCH(COLUMNS($AC$1006:AL1006),$AC$1006:$AS$1006,0)), HYPERLINK("#",""), HYPERLINK(CONCATENATE("#metadata!", ADDRESS(INDEX($X$2:$X$1001,MATCH(ROWS($V$2:V929),$V$2:$V$1001,0),0), INDEX($AC$1004:$AS$1004,1,MATCH(COLUMNS($AC$1006:AL1006),$AC$1006:$AS$1006,0)))),"Fix")))</f>
        <v xml:space="preserve"> </v>
      </c>
      <c r="L929" s="4" t="str">
        <f ca="1">IF(OR(INDEX($W$2:$W$1001,MATCH(ROWS($V$2:V929),$V$2:$V$1001,0),1)&gt;=100000,INDEX($AC$1005:$AS$1005,1,MATCH(COLUMNS($AC$1006:AM1006),$AC$1006:$AS$1006,0))&gt;=100000), " ",IF(INDEX($AC$2:$AS$1001,MATCH(ROWS($V$2:V929),$V$2:$V$1001,0),MATCH(COLUMNS($AC$1006:AM1006),$AC$1006:$AS$1006,0)), HYPERLINK("#",""), HYPERLINK(CONCATENATE("#metadata!", ADDRESS(INDEX($X$2:$X$1001,MATCH(ROWS($V$2:V929),$V$2:$V$1001,0),0), INDEX($AC$1004:$AS$1004,1,MATCH(COLUMNS($AC$1006:AM1006),$AC$1006:$AS$1006,0)))),"Fix")))</f>
        <v xml:space="preserve"> </v>
      </c>
      <c r="M929" s="4" t="str">
        <f ca="1">IF(OR(INDEX($W$2:$W$1001,MATCH(ROWS($V$2:V929),$V$2:$V$1001,0),1)&gt;=100000,INDEX($AC$1005:$AS$1005,1,MATCH(COLUMNS($AC$1006:AN1006),$AC$1006:$AS$1006,0))&gt;=100000), " ",IF(INDEX($AC$2:$AS$1001,MATCH(ROWS($V$2:V929),$V$2:$V$1001,0),MATCH(COLUMNS($AC$1006:AN1006),$AC$1006:$AS$1006,0)), HYPERLINK("#",""), HYPERLINK(CONCATENATE("#metadata!", ADDRESS(INDEX($X$2:$X$1001,MATCH(ROWS($V$2:V929),$V$2:$V$1001,0),0), INDEX($AC$1004:$AS$1004,1,MATCH(COLUMNS($AC$1006:AN1006),$AC$1006:$AS$1006,0)))),"Fix")))</f>
        <v xml:space="preserve"> </v>
      </c>
      <c r="N929" s="4" t="str">
        <f ca="1">IF(OR(INDEX($W$2:$W$1001,MATCH(ROWS($V$2:V929),$V$2:$V$1001,0),1)&gt;=100000,INDEX($AC$1005:$AS$1005,1,MATCH(COLUMNS($AC$1006:AO1006),$AC$1006:$AS$1006,0))&gt;=100000), " ",IF(INDEX($AC$2:$AS$1001,MATCH(ROWS($V$2:V929),$V$2:$V$1001,0),MATCH(COLUMNS($AC$1006:AO1006),$AC$1006:$AS$1006,0)), HYPERLINK("#",""), HYPERLINK(CONCATENATE("#metadata!", ADDRESS(INDEX($X$2:$X$1001,MATCH(ROWS($V$2:V929),$V$2:$V$1001,0),0), INDEX($AC$1004:$AS$1004,1,MATCH(COLUMNS($AC$1006:AO1006),$AC$1006:$AS$1006,0)))),"Fix")))</f>
        <v xml:space="preserve"> </v>
      </c>
      <c r="O929" s="4" t="str">
        <f ca="1">IF(OR(INDEX($W$2:$W$1001,MATCH(ROWS($V$2:V929),$V$2:$V$1001,0),1)&gt;=100000,INDEX($AC$1005:$AS$1005,1,MATCH(COLUMNS($AC$1006:AP1006),$AC$1006:$AS$1006,0))&gt;=100000), " ",IF(INDEX($AC$2:$AS$1001,MATCH(ROWS($V$2:V929),$V$2:$V$1001,0),MATCH(COLUMNS($AC$1006:AP1006),$AC$1006:$AS$1006,0)), HYPERLINK("#",""), HYPERLINK(CONCATENATE("#metadata!", ADDRESS(INDEX($X$2:$X$1001,MATCH(ROWS($V$2:V929),$V$2:$V$1001,0),0), INDEX($AC$1004:$AS$1004,1,MATCH(COLUMNS($AC$1006:AP1006),$AC$1006:$AS$1006,0)))),"Fix")))</f>
        <v xml:space="preserve"> </v>
      </c>
      <c r="P929" s="4" t="str">
        <f ca="1">IF(OR(INDEX($W$2:$W$1001,MATCH(ROWS($V$2:V929),$V$2:$V$1001,0),1)&gt;=100000,INDEX($AC$1005:$AS$1005,1,MATCH(COLUMNS($AC$1006:AQ1006),$AC$1006:$AS$1006,0))&gt;=100000), " ",IF(INDEX($AC$2:$AS$1001,MATCH(ROWS($V$2:V929),$V$2:$V$1001,0),MATCH(COLUMNS($AC$1006:AQ1006),$AC$1006:$AS$1006,0)), HYPERLINK("#",""), HYPERLINK(CONCATENATE("#metadata!", ADDRESS(INDEX($X$2:$X$1001,MATCH(ROWS($V$2:V929),$V$2:$V$1001,0),0), INDEX($AC$1004:$AS$1004,1,MATCH(COLUMNS($AC$1006:AQ1006),$AC$1006:$AS$1006,0)))),"Fix")))</f>
        <v xml:space="preserve"> </v>
      </c>
      <c r="Q929" s="4" t="str">
        <f ca="1">IF(OR(INDEX($W$2:$W$1001,MATCH(ROWS($V$2:V929),$V$2:$V$1001,0),1)&gt;=100000,INDEX($AC$1005:$AS$1005,1,MATCH(COLUMNS($AC$1006:AR1006),$AC$1006:$AS$1006,0))&gt;=100000), " ",IF(INDEX($AC$2:$AS$1001,MATCH(ROWS($V$2:V929),$V$2:$V$1001,0),MATCH(COLUMNS($AC$1006:AR1006),$AC$1006:$AS$1006,0)), HYPERLINK("#",""), HYPERLINK(CONCATENATE("#metadata!", ADDRESS(INDEX($X$2:$X$1001,MATCH(ROWS($V$2:V929),$V$2:$V$1001,0),0), INDEX($AC$1004:$AS$1004,1,MATCH(COLUMNS($AC$1006:AR1006),$AC$1006:$AS$1006,0)))),"Fix")))</f>
        <v xml:space="preserve"> </v>
      </c>
      <c r="R929" s="4" t="str">
        <f ca="1">IF(OR(INDEX($W$2:$W$1001,MATCH(ROWS($V$2:V929),$V$2:$V$1001,0),1)&gt;=100000,INDEX($AC$1005:$AS$1005,1,MATCH(COLUMNS($AC$1006:AS1006),$AC$1006:$AS$1006,0))&gt;=100000), " ",IF(INDEX($AC$2:$AS$1001,MATCH(ROWS($V$2:V929),$V$2:$V$1001,0),MATCH(COLUMNS($AC$1006:AS1006),$AC$1006:$AS$1006,0)), HYPERLINK("#",""), HYPERLINK(CONCATENATE("#metadata!", ADDRESS(INDEX($X$2:$X$1001,MATCH(ROWS($V$2:V929),$V$2:$V$1001,0),0), INDEX($AC$1004:$AS$1004,1,MATCH(COLUMNS($AC$1006:AS1006),$AC$1006:$AS$1006,0)))),"Fix")))</f>
        <v xml:space="preserve"> </v>
      </c>
      <c r="V929">
        <v>928</v>
      </c>
      <c r="W929">
        <v>100929</v>
      </c>
      <c r="X929">
        <v>929</v>
      </c>
      <c r="Y929" t="b">
        <f t="shared" si="14"/>
        <v>1</v>
      </c>
      <c r="Z929" t="b">
        <f>COUNTBLANK(metadata!B929:R929)=COLUMNS(metadata!B929:R929)</f>
        <v>1</v>
      </c>
      <c r="AA929" t="str">
        <v/>
      </c>
      <c r="AC929" t="b">
        <f ca="1"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AD929" t="b">
        <f>IF(metadata!C929="",FALSE,ISNUMBER(VALUE(metadata!C929)))</f>
        <v>0</v>
      </c>
      <c r="AE929" t="b">
        <f>AND(IF(metadata!D929="",FALSE,TRUE),EXACT(metadata!D929,"years"))</f>
        <v>0</v>
      </c>
      <c r="AF929" t="b">
        <f>OR(AND(IF(metadata!E929="",FALSE,TRUE),OR(EXACT(metadata!E929,"not applicable"),EXACT(metadata!E929,"missing: not collected"),EXACT(metadata!E929,"missing: not provided"),EXACT(metadata!E929,"missing: restricted access"))),AND(IF(metadata!E929="",FALSE,ISNUMBER(VALUE(metadata!E929))),metadata!E929&gt;0))</f>
        <v>0</v>
      </c>
      <c r="AG929" t="b">
        <f>AND(IF(metadata!F929="",FALSE,TRUE),EXACT(metadata!F929,"Not applicable"))</f>
        <v>0</v>
      </c>
      <c r="AH929" t="b">
        <f>AND(IF(metadata!G929="",FALSE,TRUE),EXACT(metadata!G929,"urban biome"))</f>
        <v>0</v>
      </c>
      <c r="AI929" t="b">
        <f>AND(IF(metadata!H929="",FALSE,TRUE),EXACT(metadata!H929,"human-associated habitat"))</f>
        <v>0</v>
      </c>
      <c r="AJ929" t="b">
        <f>AND(IF(metadata!I929="",FALSE,TRUE),OR(EXACT(metadata!I929,"human-associated"),EXACT(metadata!I929,"human-skin"),EXACT(metadata!I929,"human-oral"),EXACT(metadata!I929,"human-gut"),EXACT(metadata!I929,"human-vaginal")))</f>
        <v>0</v>
      </c>
      <c r="AK929" t="b">
        <f>IF(metadata!J929="",FALSE,ISNUMBER(VALUE(metadata!J929)))</f>
        <v>0</v>
      </c>
      <c r="AL929" t="b">
        <f>AND(IF(metadata!K929="",FALSE,TRUE),EXACT(metadata!K929,"cm"))</f>
        <v>0</v>
      </c>
      <c r="AM929" t="b">
        <f>AND(IF(metadata!L929="",FALSE,TRUE),EXACT(metadata!L929,"human"))</f>
        <v>0</v>
      </c>
      <c r="AN929" t="b">
        <f>AND(IF(metadata!M929="",FALSE,TRUE),EXACT(metadata!M929,"Homo sapiens"))</f>
        <v>0</v>
      </c>
      <c r="AO929" t="b">
        <f>AND(IF(metadata!N929="",FALSE,TRUE),EXACT(metadata!N929,"9606"))</f>
        <v>0</v>
      </c>
      <c r="AP929" t="b">
        <f>IF(metadata!O929="",FALSE,TRUE)</f>
        <v>0</v>
      </c>
      <c r="AQ929" t="b">
        <f>IF(metadata!P929="",FALSE,TRUE)</f>
        <v>0</v>
      </c>
      <c r="AR929" t="b">
        <f>IF(metadata!Q929="",FALSE,ISNUMBER(VALUE(metadata!Q929)))</f>
        <v>0</v>
      </c>
      <c r="AS929" t="b">
        <f>AND(IF(metadata!R929="",FALSE,TRUE),EXACT(metadata!R929,"kg"))</f>
        <v>0</v>
      </c>
    </row>
    <row r="930" spans="1:45" x14ac:dyDescent="0.2">
      <c r="A930" s="5" t="str">
        <f ca="1">IF(B930=" "," ",HYPERLINK(CONCATENATE("#metadata!",ADDRESS(INDEX($X$2:$X$1001,MATCH(ROWS($V$2:V930),$V$2:$V$1001,0),0),1)),INDEX($AA$2:$AA$1001,MATCH(ROWS($V$2:V930),$V$2:$V$1001,0),0)))</f>
        <v xml:space="preserve"> </v>
      </c>
      <c r="B930" s="4" t="str">
        <f ca="1">IF(OR(INDEX($W$2:$W$1001,MATCH(ROWS($V$2:V930),$V$2:$V$1001,0),1)&gt;=100000,INDEX($AC$1005:$AS$1005,1,MATCH(COLUMNS($AC$1006:AC1006),$AC$1006:$AS$1006,0))&gt;=100000), " ",IF(INDEX($AC$2:$AS$1001,MATCH(ROWS($V$2:V930),$V$2:$V$1001,0),MATCH(COLUMNS($AC$1006:AC1006),$AC$1006:$AS$1006,0)), HYPERLINK("#",""), HYPERLINK(CONCATENATE("#metadata!", ADDRESS(INDEX($X$2:$X$1001,MATCH(ROWS($V$2:V930),$V$2:$V$1001,0),0), INDEX($AC$1004:$AS$1004,1,MATCH(COLUMNS($AC$1006:AC1006),$AC$1006:$AS$1006,0)))),"Fix")))</f>
        <v xml:space="preserve"> </v>
      </c>
      <c r="C930" s="4" t="str">
        <f ca="1">IF(OR(INDEX($W$2:$W$1001,MATCH(ROWS($V$2:V930),$V$2:$V$1001,0),1)&gt;=100000,INDEX($AC$1005:$AS$1005,1,MATCH(COLUMNS($AC$1006:AD1006),$AC$1006:$AS$1006,0))&gt;=100000), " ",IF(INDEX($AC$2:$AS$1001,MATCH(ROWS($V$2:V930),$V$2:$V$1001,0),MATCH(COLUMNS($AC$1006:AD1006),$AC$1006:$AS$1006,0)), HYPERLINK("#",""), HYPERLINK(CONCATENATE("#metadata!", ADDRESS(INDEX($X$2:$X$1001,MATCH(ROWS($V$2:V930),$V$2:$V$1001,0),0), INDEX($AC$1004:$AS$1004,1,MATCH(COLUMNS($AC$1006:AD1006),$AC$1006:$AS$1006,0)))),"Fix")))</f>
        <v xml:space="preserve"> </v>
      </c>
      <c r="D930" s="4" t="str">
        <f ca="1">IF(OR(INDEX($W$2:$W$1001,MATCH(ROWS($V$2:V930),$V$2:$V$1001,0),1)&gt;=100000,INDEX($AC$1005:$AS$1005,1,MATCH(COLUMNS($AC$1006:AE1006),$AC$1006:$AS$1006,0))&gt;=100000), " ",IF(INDEX($AC$2:$AS$1001,MATCH(ROWS($V$2:V930),$V$2:$V$1001,0),MATCH(COLUMNS($AC$1006:AE1006),$AC$1006:$AS$1006,0)), HYPERLINK("#",""), HYPERLINK(CONCATENATE("#metadata!", ADDRESS(INDEX($X$2:$X$1001,MATCH(ROWS($V$2:V930),$V$2:$V$1001,0),0), INDEX($AC$1004:$AS$1004,1,MATCH(COLUMNS($AC$1006:AE1006),$AC$1006:$AS$1006,0)))),"Fix")))</f>
        <v xml:space="preserve"> </v>
      </c>
      <c r="E930" s="4" t="str">
        <f ca="1">IF(OR(INDEX($W$2:$W$1001,MATCH(ROWS($V$2:V930),$V$2:$V$1001,0),1)&gt;=100000,INDEX($AC$1005:$AS$1005,1,MATCH(COLUMNS($AC$1006:AF1006),$AC$1006:$AS$1006,0))&gt;=100000), " ",IF(INDEX($AC$2:$AS$1001,MATCH(ROWS($V$2:V930),$V$2:$V$1001,0),MATCH(COLUMNS($AC$1006:AF1006),$AC$1006:$AS$1006,0)), HYPERLINK("#",""), HYPERLINK(CONCATENATE("#metadata!", ADDRESS(INDEX($X$2:$X$1001,MATCH(ROWS($V$2:V930),$V$2:$V$1001,0),0), INDEX($AC$1004:$AS$1004,1,MATCH(COLUMNS($AC$1006:AF1006),$AC$1006:$AS$1006,0)))),"Fix")))</f>
        <v xml:space="preserve"> </v>
      </c>
      <c r="F930" s="4" t="str">
        <f ca="1">IF(OR(INDEX($W$2:$W$1001,MATCH(ROWS($V$2:V930),$V$2:$V$1001,0),1)&gt;=100000,INDEX($AC$1005:$AS$1005,1,MATCH(COLUMNS($AC$1006:AG1006),$AC$1006:$AS$1006,0))&gt;=100000), " ",IF(INDEX($AC$2:$AS$1001,MATCH(ROWS($V$2:V930),$V$2:$V$1001,0),MATCH(COLUMNS($AC$1006:AG1006),$AC$1006:$AS$1006,0)), HYPERLINK("#",""), HYPERLINK(CONCATENATE("#metadata!", ADDRESS(INDEX($X$2:$X$1001,MATCH(ROWS($V$2:V930),$V$2:$V$1001,0),0), INDEX($AC$1004:$AS$1004,1,MATCH(COLUMNS($AC$1006:AG1006),$AC$1006:$AS$1006,0)))),"Fix")))</f>
        <v xml:space="preserve"> </v>
      </c>
      <c r="G930" s="4" t="str">
        <f ca="1">IF(OR(INDEX($W$2:$W$1001,MATCH(ROWS($V$2:V930),$V$2:$V$1001,0),1)&gt;=100000,INDEX($AC$1005:$AS$1005,1,MATCH(COLUMNS($AC$1006:AH1006),$AC$1006:$AS$1006,0))&gt;=100000), " ",IF(INDEX($AC$2:$AS$1001,MATCH(ROWS($V$2:V930),$V$2:$V$1001,0),MATCH(COLUMNS($AC$1006:AH1006),$AC$1006:$AS$1006,0)), HYPERLINK("#",""), HYPERLINK(CONCATENATE("#metadata!", ADDRESS(INDEX($X$2:$X$1001,MATCH(ROWS($V$2:V930),$V$2:$V$1001,0),0), INDEX($AC$1004:$AS$1004,1,MATCH(COLUMNS($AC$1006:AH1006),$AC$1006:$AS$1006,0)))),"Fix")))</f>
        <v xml:space="preserve"> </v>
      </c>
      <c r="H930" s="4" t="str">
        <f ca="1">IF(OR(INDEX($W$2:$W$1001,MATCH(ROWS($V$2:V930),$V$2:$V$1001,0),1)&gt;=100000,INDEX($AC$1005:$AS$1005,1,MATCH(COLUMNS($AC$1006:AI1006),$AC$1006:$AS$1006,0))&gt;=100000), " ",IF(INDEX($AC$2:$AS$1001,MATCH(ROWS($V$2:V930),$V$2:$V$1001,0),MATCH(COLUMNS($AC$1006:AI1006),$AC$1006:$AS$1006,0)), HYPERLINK("#",""), HYPERLINK(CONCATENATE("#metadata!", ADDRESS(INDEX($X$2:$X$1001,MATCH(ROWS($V$2:V930),$V$2:$V$1001,0),0), INDEX($AC$1004:$AS$1004,1,MATCH(COLUMNS($AC$1006:AI1006),$AC$1006:$AS$1006,0)))),"Fix")))</f>
        <v xml:space="preserve"> </v>
      </c>
      <c r="I930" s="4" t="str">
        <f ca="1">IF(OR(INDEX($W$2:$W$1001,MATCH(ROWS($V$2:V930),$V$2:$V$1001,0),1)&gt;=100000,INDEX($AC$1005:$AS$1005,1,MATCH(COLUMNS($AC$1006:AJ1006),$AC$1006:$AS$1006,0))&gt;=100000), " ",IF(INDEX($AC$2:$AS$1001,MATCH(ROWS($V$2:V930),$V$2:$V$1001,0),MATCH(COLUMNS($AC$1006:AJ1006),$AC$1006:$AS$1006,0)), HYPERLINK("#",""), HYPERLINK(CONCATENATE("#metadata!", ADDRESS(INDEX($X$2:$X$1001,MATCH(ROWS($V$2:V930),$V$2:$V$1001,0),0), INDEX($AC$1004:$AS$1004,1,MATCH(COLUMNS($AC$1006:AJ1006),$AC$1006:$AS$1006,0)))),"Fix")))</f>
        <v xml:space="preserve"> </v>
      </c>
      <c r="J930" s="4" t="str">
        <f ca="1">IF(OR(INDEX($W$2:$W$1001,MATCH(ROWS($V$2:V930),$V$2:$V$1001,0),1)&gt;=100000,INDEX($AC$1005:$AS$1005,1,MATCH(COLUMNS($AC$1006:AK1006),$AC$1006:$AS$1006,0))&gt;=100000), " ",IF(INDEX($AC$2:$AS$1001,MATCH(ROWS($V$2:V930),$V$2:$V$1001,0),MATCH(COLUMNS($AC$1006:AK1006),$AC$1006:$AS$1006,0)), HYPERLINK("#",""), HYPERLINK(CONCATENATE("#metadata!", ADDRESS(INDEX($X$2:$X$1001,MATCH(ROWS($V$2:V930),$V$2:$V$1001,0),0), INDEX($AC$1004:$AS$1004,1,MATCH(COLUMNS($AC$1006:AK1006),$AC$1006:$AS$1006,0)))),"Fix")))</f>
        <v xml:space="preserve"> </v>
      </c>
      <c r="K930" s="4" t="str">
        <f ca="1">IF(OR(INDEX($W$2:$W$1001,MATCH(ROWS($V$2:V930),$V$2:$V$1001,0),1)&gt;=100000,INDEX($AC$1005:$AS$1005,1,MATCH(COLUMNS($AC$1006:AL1006),$AC$1006:$AS$1006,0))&gt;=100000), " ",IF(INDEX($AC$2:$AS$1001,MATCH(ROWS($V$2:V930),$V$2:$V$1001,0),MATCH(COLUMNS($AC$1006:AL1006),$AC$1006:$AS$1006,0)), HYPERLINK("#",""), HYPERLINK(CONCATENATE("#metadata!", ADDRESS(INDEX($X$2:$X$1001,MATCH(ROWS($V$2:V930),$V$2:$V$1001,0),0), INDEX($AC$1004:$AS$1004,1,MATCH(COLUMNS($AC$1006:AL1006),$AC$1006:$AS$1006,0)))),"Fix")))</f>
        <v xml:space="preserve"> </v>
      </c>
      <c r="L930" s="4" t="str">
        <f ca="1">IF(OR(INDEX($W$2:$W$1001,MATCH(ROWS($V$2:V930),$V$2:$V$1001,0),1)&gt;=100000,INDEX($AC$1005:$AS$1005,1,MATCH(COLUMNS($AC$1006:AM1006),$AC$1006:$AS$1006,0))&gt;=100000), " ",IF(INDEX($AC$2:$AS$1001,MATCH(ROWS($V$2:V930),$V$2:$V$1001,0),MATCH(COLUMNS($AC$1006:AM1006),$AC$1006:$AS$1006,0)), HYPERLINK("#",""), HYPERLINK(CONCATENATE("#metadata!", ADDRESS(INDEX($X$2:$X$1001,MATCH(ROWS($V$2:V930),$V$2:$V$1001,0),0), INDEX($AC$1004:$AS$1004,1,MATCH(COLUMNS($AC$1006:AM1006),$AC$1006:$AS$1006,0)))),"Fix")))</f>
        <v xml:space="preserve"> </v>
      </c>
      <c r="M930" s="4" t="str">
        <f ca="1">IF(OR(INDEX($W$2:$W$1001,MATCH(ROWS($V$2:V930),$V$2:$V$1001,0),1)&gt;=100000,INDEX($AC$1005:$AS$1005,1,MATCH(COLUMNS($AC$1006:AN1006),$AC$1006:$AS$1006,0))&gt;=100000), " ",IF(INDEX($AC$2:$AS$1001,MATCH(ROWS($V$2:V930),$V$2:$V$1001,0),MATCH(COLUMNS($AC$1006:AN1006),$AC$1006:$AS$1006,0)), HYPERLINK("#",""), HYPERLINK(CONCATENATE("#metadata!", ADDRESS(INDEX($X$2:$X$1001,MATCH(ROWS($V$2:V930),$V$2:$V$1001,0),0), INDEX($AC$1004:$AS$1004,1,MATCH(COLUMNS($AC$1006:AN1006),$AC$1006:$AS$1006,0)))),"Fix")))</f>
        <v xml:space="preserve"> </v>
      </c>
      <c r="N930" s="4" t="str">
        <f ca="1">IF(OR(INDEX($W$2:$W$1001,MATCH(ROWS($V$2:V930),$V$2:$V$1001,0),1)&gt;=100000,INDEX($AC$1005:$AS$1005,1,MATCH(COLUMNS($AC$1006:AO1006),$AC$1006:$AS$1006,0))&gt;=100000), " ",IF(INDEX($AC$2:$AS$1001,MATCH(ROWS($V$2:V930),$V$2:$V$1001,0),MATCH(COLUMNS($AC$1006:AO1006),$AC$1006:$AS$1006,0)), HYPERLINK("#",""), HYPERLINK(CONCATENATE("#metadata!", ADDRESS(INDEX($X$2:$X$1001,MATCH(ROWS($V$2:V930),$V$2:$V$1001,0),0), INDEX($AC$1004:$AS$1004,1,MATCH(COLUMNS($AC$1006:AO1006),$AC$1006:$AS$1006,0)))),"Fix")))</f>
        <v xml:space="preserve"> </v>
      </c>
      <c r="O930" s="4" t="str">
        <f ca="1">IF(OR(INDEX($W$2:$W$1001,MATCH(ROWS($V$2:V930),$V$2:$V$1001,0),1)&gt;=100000,INDEX($AC$1005:$AS$1005,1,MATCH(COLUMNS($AC$1006:AP1006),$AC$1006:$AS$1006,0))&gt;=100000), " ",IF(INDEX($AC$2:$AS$1001,MATCH(ROWS($V$2:V930),$V$2:$V$1001,0),MATCH(COLUMNS($AC$1006:AP1006),$AC$1006:$AS$1006,0)), HYPERLINK("#",""), HYPERLINK(CONCATENATE("#metadata!", ADDRESS(INDEX($X$2:$X$1001,MATCH(ROWS($V$2:V930),$V$2:$V$1001,0),0), INDEX($AC$1004:$AS$1004,1,MATCH(COLUMNS($AC$1006:AP1006),$AC$1006:$AS$1006,0)))),"Fix")))</f>
        <v xml:space="preserve"> </v>
      </c>
      <c r="P930" s="4" t="str">
        <f ca="1">IF(OR(INDEX($W$2:$W$1001,MATCH(ROWS($V$2:V930),$V$2:$V$1001,0),1)&gt;=100000,INDEX($AC$1005:$AS$1005,1,MATCH(COLUMNS($AC$1006:AQ1006),$AC$1006:$AS$1006,0))&gt;=100000), " ",IF(INDEX($AC$2:$AS$1001,MATCH(ROWS($V$2:V930),$V$2:$V$1001,0),MATCH(COLUMNS($AC$1006:AQ1006),$AC$1006:$AS$1006,0)), HYPERLINK("#",""), HYPERLINK(CONCATENATE("#metadata!", ADDRESS(INDEX($X$2:$X$1001,MATCH(ROWS($V$2:V930),$V$2:$V$1001,0),0), INDEX($AC$1004:$AS$1004,1,MATCH(COLUMNS($AC$1006:AQ1006),$AC$1006:$AS$1006,0)))),"Fix")))</f>
        <v xml:space="preserve"> </v>
      </c>
      <c r="Q930" s="4" t="str">
        <f ca="1">IF(OR(INDEX($W$2:$W$1001,MATCH(ROWS($V$2:V930),$V$2:$V$1001,0),1)&gt;=100000,INDEX($AC$1005:$AS$1005,1,MATCH(COLUMNS($AC$1006:AR1006),$AC$1006:$AS$1006,0))&gt;=100000), " ",IF(INDEX($AC$2:$AS$1001,MATCH(ROWS($V$2:V930),$V$2:$V$1001,0),MATCH(COLUMNS($AC$1006:AR1006),$AC$1006:$AS$1006,0)), HYPERLINK("#",""), HYPERLINK(CONCATENATE("#metadata!", ADDRESS(INDEX($X$2:$X$1001,MATCH(ROWS($V$2:V930),$V$2:$V$1001,0),0), INDEX($AC$1004:$AS$1004,1,MATCH(COLUMNS($AC$1006:AR1006),$AC$1006:$AS$1006,0)))),"Fix")))</f>
        <v xml:space="preserve"> </v>
      </c>
      <c r="R930" s="4" t="str">
        <f ca="1">IF(OR(INDEX($W$2:$W$1001,MATCH(ROWS($V$2:V930),$V$2:$V$1001,0),1)&gt;=100000,INDEX($AC$1005:$AS$1005,1,MATCH(COLUMNS($AC$1006:AS1006),$AC$1006:$AS$1006,0))&gt;=100000), " ",IF(INDEX($AC$2:$AS$1001,MATCH(ROWS($V$2:V930),$V$2:$V$1001,0),MATCH(COLUMNS($AC$1006:AS1006),$AC$1006:$AS$1006,0)), HYPERLINK("#",""), HYPERLINK(CONCATENATE("#metadata!", ADDRESS(INDEX($X$2:$X$1001,MATCH(ROWS($V$2:V930),$V$2:$V$1001,0),0), INDEX($AC$1004:$AS$1004,1,MATCH(COLUMNS($AC$1006:AS1006),$AC$1006:$AS$1006,0)))),"Fix")))</f>
        <v xml:space="preserve"> </v>
      </c>
      <c r="V930">
        <v>929</v>
      </c>
      <c r="W930">
        <v>100930</v>
      </c>
      <c r="X930">
        <v>930</v>
      </c>
      <c r="Y930" t="b">
        <f t="shared" si="14"/>
        <v>1</v>
      </c>
      <c r="Z930" t="b">
        <f>COUNTBLANK(metadata!B930:R930)=COLUMNS(metadata!B930:R930)</f>
        <v>1</v>
      </c>
      <c r="AA930" t="str">
        <v/>
      </c>
      <c r="AC930" t="b">
        <f ca="1"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AD930" t="b">
        <f>IF(metadata!C930="",FALSE,ISNUMBER(VALUE(metadata!C930)))</f>
        <v>0</v>
      </c>
      <c r="AE930" t="b">
        <f>AND(IF(metadata!D930="",FALSE,TRUE),EXACT(metadata!D930,"years"))</f>
        <v>0</v>
      </c>
      <c r="AF930" t="b">
        <f>OR(AND(IF(metadata!E930="",FALSE,TRUE),OR(EXACT(metadata!E930,"not applicable"),EXACT(metadata!E930,"missing: not collected"),EXACT(metadata!E930,"missing: not provided"),EXACT(metadata!E930,"missing: restricted access"))),AND(IF(metadata!E930="",FALSE,ISNUMBER(VALUE(metadata!E930))),metadata!E930&gt;0))</f>
        <v>0</v>
      </c>
      <c r="AG930" t="b">
        <f>AND(IF(metadata!F930="",FALSE,TRUE),EXACT(metadata!F930,"Not applicable"))</f>
        <v>0</v>
      </c>
      <c r="AH930" t="b">
        <f>AND(IF(metadata!G930="",FALSE,TRUE),EXACT(metadata!G930,"urban biome"))</f>
        <v>0</v>
      </c>
      <c r="AI930" t="b">
        <f>AND(IF(metadata!H930="",FALSE,TRUE),EXACT(metadata!H930,"human-associated habitat"))</f>
        <v>0</v>
      </c>
      <c r="AJ930" t="b">
        <f>AND(IF(metadata!I930="",FALSE,TRUE),OR(EXACT(metadata!I930,"human-associated"),EXACT(metadata!I930,"human-skin"),EXACT(metadata!I930,"human-oral"),EXACT(metadata!I930,"human-gut"),EXACT(metadata!I930,"human-vaginal")))</f>
        <v>0</v>
      </c>
      <c r="AK930" t="b">
        <f>IF(metadata!J930="",FALSE,ISNUMBER(VALUE(metadata!J930)))</f>
        <v>0</v>
      </c>
      <c r="AL930" t="b">
        <f>AND(IF(metadata!K930="",FALSE,TRUE),EXACT(metadata!K930,"cm"))</f>
        <v>0</v>
      </c>
      <c r="AM930" t="b">
        <f>AND(IF(metadata!L930="",FALSE,TRUE),EXACT(metadata!L930,"human"))</f>
        <v>0</v>
      </c>
      <c r="AN930" t="b">
        <f>AND(IF(metadata!M930="",FALSE,TRUE),EXACT(metadata!M930,"Homo sapiens"))</f>
        <v>0</v>
      </c>
      <c r="AO930" t="b">
        <f>AND(IF(metadata!N930="",FALSE,TRUE),EXACT(metadata!N930,"9606"))</f>
        <v>0</v>
      </c>
      <c r="AP930" t="b">
        <f>IF(metadata!O930="",FALSE,TRUE)</f>
        <v>0</v>
      </c>
      <c r="AQ930" t="b">
        <f>IF(metadata!P930="",FALSE,TRUE)</f>
        <v>0</v>
      </c>
      <c r="AR930" t="b">
        <f>IF(metadata!Q930="",FALSE,ISNUMBER(VALUE(metadata!Q930)))</f>
        <v>0</v>
      </c>
      <c r="AS930" t="b">
        <f>AND(IF(metadata!R930="",FALSE,TRUE),EXACT(metadata!R930,"kg"))</f>
        <v>0</v>
      </c>
    </row>
    <row r="931" spans="1:45" x14ac:dyDescent="0.2">
      <c r="A931" s="5" t="str">
        <f ca="1">IF(B931=" "," ",HYPERLINK(CONCATENATE("#metadata!",ADDRESS(INDEX($X$2:$X$1001,MATCH(ROWS($V$2:V931),$V$2:$V$1001,0),0),1)),INDEX($AA$2:$AA$1001,MATCH(ROWS($V$2:V931),$V$2:$V$1001,0),0)))</f>
        <v xml:space="preserve"> </v>
      </c>
      <c r="B931" s="4" t="str">
        <f ca="1">IF(OR(INDEX($W$2:$W$1001,MATCH(ROWS($V$2:V931),$V$2:$V$1001,0),1)&gt;=100000,INDEX($AC$1005:$AS$1005,1,MATCH(COLUMNS($AC$1006:AC1006),$AC$1006:$AS$1006,0))&gt;=100000), " ",IF(INDEX($AC$2:$AS$1001,MATCH(ROWS($V$2:V931),$V$2:$V$1001,0),MATCH(COLUMNS($AC$1006:AC1006),$AC$1006:$AS$1006,0)), HYPERLINK("#",""), HYPERLINK(CONCATENATE("#metadata!", ADDRESS(INDEX($X$2:$X$1001,MATCH(ROWS($V$2:V931),$V$2:$V$1001,0),0), INDEX($AC$1004:$AS$1004,1,MATCH(COLUMNS($AC$1006:AC1006),$AC$1006:$AS$1006,0)))),"Fix")))</f>
        <v xml:space="preserve"> </v>
      </c>
      <c r="C931" s="4" t="str">
        <f ca="1">IF(OR(INDEX($W$2:$W$1001,MATCH(ROWS($V$2:V931),$V$2:$V$1001,0),1)&gt;=100000,INDEX($AC$1005:$AS$1005,1,MATCH(COLUMNS($AC$1006:AD1006),$AC$1006:$AS$1006,0))&gt;=100000), " ",IF(INDEX($AC$2:$AS$1001,MATCH(ROWS($V$2:V931),$V$2:$V$1001,0),MATCH(COLUMNS($AC$1006:AD1006),$AC$1006:$AS$1006,0)), HYPERLINK("#",""), HYPERLINK(CONCATENATE("#metadata!", ADDRESS(INDEX($X$2:$X$1001,MATCH(ROWS($V$2:V931),$V$2:$V$1001,0),0), INDEX($AC$1004:$AS$1004,1,MATCH(COLUMNS($AC$1006:AD1006),$AC$1006:$AS$1006,0)))),"Fix")))</f>
        <v xml:space="preserve"> </v>
      </c>
      <c r="D931" s="4" t="str">
        <f ca="1">IF(OR(INDEX($W$2:$W$1001,MATCH(ROWS($V$2:V931),$V$2:$V$1001,0),1)&gt;=100000,INDEX($AC$1005:$AS$1005,1,MATCH(COLUMNS($AC$1006:AE1006),$AC$1006:$AS$1006,0))&gt;=100000), " ",IF(INDEX($AC$2:$AS$1001,MATCH(ROWS($V$2:V931),$V$2:$V$1001,0),MATCH(COLUMNS($AC$1006:AE1006),$AC$1006:$AS$1006,0)), HYPERLINK("#",""), HYPERLINK(CONCATENATE("#metadata!", ADDRESS(INDEX($X$2:$X$1001,MATCH(ROWS($V$2:V931),$V$2:$V$1001,0),0), INDEX($AC$1004:$AS$1004,1,MATCH(COLUMNS($AC$1006:AE1006),$AC$1006:$AS$1006,0)))),"Fix")))</f>
        <v xml:space="preserve"> </v>
      </c>
      <c r="E931" s="4" t="str">
        <f ca="1">IF(OR(INDEX($W$2:$W$1001,MATCH(ROWS($V$2:V931),$V$2:$V$1001,0),1)&gt;=100000,INDEX($AC$1005:$AS$1005,1,MATCH(COLUMNS($AC$1006:AF1006),$AC$1006:$AS$1006,0))&gt;=100000), " ",IF(INDEX($AC$2:$AS$1001,MATCH(ROWS($V$2:V931),$V$2:$V$1001,0),MATCH(COLUMNS($AC$1006:AF1006),$AC$1006:$AS$1006,0)), HYPERLINK("#",""), HYPERLINK(CONCATENATE("#metadata!", ADDRESS(INDEX($X$2:$X$1001,MATCH(ROWS($V$2:V931),$V$2:$V$1001,0),0), INDEX($AC$1004:$AS$1004,1,MATCH(COLUMNS($AC$1006:AF1006),$AC$1006:$AS$1006,0)))),"Fix")))</f>
        <v xml:space="preserve"> </v>
      </c>
      <c r="F931" s="4" t="str">
        <f ca="1">IF(OR(INDEX($W$2:$W$1001,MATCH(ROWS($V$2:V931),$V$2:$V$1001,0),1)&gt;=100000,INDEX($AC$1005:$AS$1005,1,MATCH(COLUMNS($AC$1006:AG1006),$AC$1006:$AS$1006,0))&gt;=100000), " ",IF(INDEX($AC$2:$AS$1001,MATCH(ROWS($V$2:V931),$V$2:$V$1001,0),MATCH(COLUMNS($AC$1006:AG1006),$AC$1006:$AS$1006,0)), HYPERLINK("#",""), HYPERLINK(CONCATENATE("#metadata!", ADDRESS(INDEX($X$2:$X$1001,MATCH(ROWS($V$2:V931),$V$2:$V$1001,0),0), INDEX($AC$1004:$AS$1004,1,MATCH(COLUMNS($AC$1006:AG1006),$AC$1006:$AS$1006,0)))),"Fix")))</f>
        <v xml:space="preserve"> </v>
      </c>
      <c r="G931" s="4" t="str">
        <f ca="1">IF(OR(INDEX($W$2:$W$1001,MATCH(ROWS($V$2:V931),$V$2:$V$1001,0),1)&gt;=100000,INDEX($AC$1005:$AS$1005,1,MATCH(COLUMNS($AC$1006:AH1006),$AC$1006:$AS$1006,0))&gt;=100000), " ",IF(INDEX($AC$2:$AS$1001,MATCH(ROWS($V$2:V931),$V$2:$V$1001,0),MATCH(COLUMNS($AC$1006:AH1006),$AC$1006:$AS$1006,0)), HYPERLINK("#",""), HYPERLINK(CONCATENATE("#metadata!", ADDRESS(INDEX($X$2:$X$1001,MATCH(ROWS($V$2:V931),$V$2:$V$1001,0),0), INDEX($AC$1004:$AS$1004,1,MATCH(COLUMNS($AC$1006:AH1006),$AC$1006:$AS$1006,0)))),"Fix")))</f>
        <v xml:space="preserve"> </v>
      </c>
      <c r="H931" s="4" t="str">
        <f ca="1">IF(OR(INDEX($W$2:$W$1001,MATCH(ROWS($V$2:V931),$V$2:$V$1001,0),1)&gt;=100000,INDEX($AC$1005:$AS$1005,1,MATCH(COLUMNS($AC$1006:AI1006),$AC$1006:$AS$1006,0))&gt;=100000), " ",IF(INDEX($AC$2:$AS$1001,MATCH(ROWS($V$2:V931),$V$2:$V$1001,0),MATCH(COLUMNS($AC$1006:AI1006),$AC$1006:$AS$1006,0)), HYPERLINK("#",""), HYPERLINK(CONCATENATE("#metadata!", ADDRESS(INDEX($X$2:$X$1001,MATCH(ROWS($V$2:V931),$V$2:$V$1001,0),0), INDEX($AC$1004:$AS$1004,1,MATCH(COLUMNS($AC$1006:AI1006),$AC$1006:$AS$1006,0)))),"Fix")))</f>
        <v xml:space="preserve"> </v>
      </c>
      <c r="I931" s="4" t="str">
        <f ca="1">IF(OR(INDEX($W$2:$W$1001,MATCH(ROWS($V$2:V931),$V$2:$V$1001,0),1)&gt;=100000,INDEX($AC$1005:$AS$1005,1,MATCH(COLUMNS($AC$1006:AJ1006),$AC$1006:$AS$1006,0))&gt;=100000), " ",IF(INDEX($AC$2:$AS$1001,MATCH(ROWS($V$2:V931),$V$2:$V$1001,0),MATCH(COLUMNS($AC$1006:AJ1006),$AC$1006:$AS$1006,0)), HYPERLINK("#",""), HYPERLINK(CONCATENATE("#metadata!", ADDRESS(INDEX($X$2:$X$1001,MATCH(ROWS($V$2:V931),$V$2:$V$1001,0),0), INDEX($AC$1004:$AS$1004,1,MATCH(COLUMNS($AC$1006:AJ1006),$AC$1006:$AS$1006,0)))),"Fix")))</f>
        <v xml:space="preserve"> </v>
      </c>
      <c r="J931" s="4" t="str">
        <f ca="1">IF(OR(INDEX($W$2:$W$1001,MATCH(ROWS($V$2:V931),$V$2:$V$1001,0),1)&gt;=100000,INDEX($AC$1005:$AS$1005,1,MATCH(COLUMNS($AC$1006:AK1006),$AC$1006:$AS$1006,0))&gt;=100000), " ",IF(INDEX($AC$2:$AS$1001,MATCH(ROWS($V$2:V931),$V$2:$V$1001,0),MATCH(COLUMNS($AC$1006:AK1006),$AC$1006:$AS$1006,0)), HYPERLINK("#",""), HYPERLINK(CONCATENATE("#metadata!", ADDRESS(INDEX($X$2:$X$1001,MATCH(ROWS($V$2:V931),$V$2:$V$1001,0),0), INDEX($AC$1004:$AS$1004,1,MATCH(COLUMNS($AC$1006:AK1006),$AC$1006:$AS$1006,0)))),"Fix")))</f>
        <v xml:space="preserve"> </v>
      </c>
      <c r="K931" s="4" t="str">
        <f ca="1">IF(OR(INDEX($W$2:$W$1001,MATCH(ROWS($V$2:V931),$V$2:$V$1001,0),1)&gt;=100000,INDEX($AC$1005:$AS$1005,1,MATCH(COLUMNS($AC$1006:AL1006),$AC$1006:$AS$1006,0))&gt;=100000), " ",IF(INDEX($AC$2:$AS$1001,MATCH(ROWS($V$2:V931),$V$2:$V$1001,0),MATCH(COLUMNS($AC$1006:AL1006),$AC$1006:$AS$1006,0)), HYPERLINK("#",""), HYPERLINK(CONCATENATE("#metadata!", ADDRESS(INDEX($X$2:$X$1001,MATCH(ROWS($V$2:V931),$V$2:$V$1001,0),0), INDEX($AC$1004:$AS$1004,1,MATCH(COLUMNS($AC$1006:AL1006),$AC$1006:$AS$1006,0)))),"Fix")))</f>
        <v xml:space="preserve"> </v>
      </c>
      <c r="L931" s="4" t="str">
        <f ca="1">IF(OR(INDEX($W$2:$W$1001,MATCH(ROWS($V$2:V931),$V$2:$V$1001,0),1)&gt;=100000,INDEX($AC$1005:$AS$1005,1,MATCH(COLUMNS($AC$1006:AM1006),$AC$1006:$AS$1006,0))&gt;=100000), " ",IF(INDEX($AC$2:$AS$1001,MATCH(ROWS($V$2:V931),$V$2:$V$1001,0),MATCH(COLUMNS($AC$1006:AM1006),$AC$1006:$AS$1006,0)), HYPERLINK("#",""), HYPERLINK(CONCATENATE("#metadata!", ADDRESS(INDEX($X$2:$X$1001,MATCH(ROWS($V$2:V931),$V$2:$V$1001,0),0), INDEX($AC$1004:$AS$1004,1,MATCH(COLUMNS($AC$1006:AM1006),$AC$1006:$AS$1006,0)))),"Fix")))</f>
        <v xml:space="preserve"> </v>
      </c>
      <c r="M931" s="4" t="str">
        <f ca="1">IF(OR(INDEX($W$2:$W$1001,MATCH(ROWS($V$2:V931),$V$2:$V$1001,0),1)&gt;=100000,INDEX($AC$1005:$AS$1005,1,MATCH(COLUMNS($AC$1006:AN1006),$AC$1006:$AS$1006,0))&gt;=100000), " ",IF(INDEX($AC$2:$AS$1001,MATCH(ROWS($V$2:V931),$V$2:$V$1001,0),MATCH(COLUMNS($AC$1006:AN1006),$AC$1006:$AS$1006,0)), HYPERLINK("#",""), HYPERLINK(CONCATENATE("#metadata!", ADDRESS(INDEX($X$2:$X$1001,MATCH(ROWS($V$2:V931),$V$2:$V$1001,0),0), INDEX($AC$1004:$AS$1004,1,MATCH(COLUMNS($AC$1006:AN1006),$AC$1006:$AS$1006,0)))),"Fix")))</f>
        <v xml:space="preserve"> </v>
      </c>
      <c r="N931" s="4" t="str">
        <f ca="1">IF(OR(INDEX($W$2:$W$1001,MATCH(ROWS($V$2:V931),$V$2:$V$1001,0),1)&gt;=100000,INDEX($AC$1005:$AS$1005,1,MATCH(COLUMNS($AC$1006:AO1006),$AC$1006:$AS$1006,0))&gt;=100000), " ",IF(INDEX($AC$2:$AS$1001,MATCH(ROWS($V$2:V931),$V$2:$V$1001,0),MATCH(COLUMNS($AC$1006:AO1006),$AC$1006:$AS$1006,0)), HYPERLINK("#",""), HYPERLINK(CONCATENATE("#metadata!", ADDRESS(INDEX($X$2:$X$1001,MATCH(ROWS($V$2:V931),$V$2:$V$1001,0),0), INDEX($AC$1004:$AS$1004,1,MATCH(COLUMNS($AC$1006:AO1006),$AC$1006:$AS$1006,0)))),"Fix")))</f>
        <v xml:space="preserve"> </v>
      </c>
      <c r="O931" s="4" t="str">
        <f ca="1">IF(OR(INDEX($W$2:$W$1001,MATCH(ROWS($V$2:V931),$V$2:$V$1001,0),1)&gt;=100000,INDEX($AC$1005:$AS$1005,1,MATCH(COLUMNS($AC$1006:AP1006),$AC$1006:$AS$1006,0))&gt;=100000), " ",IF(INDEX($AC$2:$AS$1001,MATCH(ROWS($V$2:V931),$V$2:$V$1001,0),MATCH(COLUMNS($AC$1006:AP1006),$AC$1006:$AS$1006,0)), HYPERLINK("#",""), HYPERLINK(CONCATENATE("#metadata!", ADDRESS(INDEX($X$2:$X$1001,MATCH(ROWS($V$2:V931),$V$2:$V$1001,0),0), INDEX($AC$1004:$AS$1004,1,MATCH(COLUMNS($AC$1006:AP1006),$AC$1006:$AS$1006,0)))),"Fix")))</f>
        <v xml:space="preserve"> </v>
      </c>
      <c r="P931" s="4" t="str">
        <f ca="1">IF(OR(INDEX($W$2:$W$1001,MATCH(ROWS($V$2:V931),$V$2:$V$1001,0),1)&gt;=100000,INDEX($AC$1005:$AS$1005,1,MATCH(COLUMNS($AC$1006:AQ1006),$AC$1006:$AS$1006,0))&gt;=100000), " ",IF(INDEX($AC$2:$AS$1001,MATCH(ROWS($V$2:V931),$V$2:$V$1001,0),MATCH(COLUMNS($AC$1006:AQ1006),$AC$1006:$AS$1006,0)), HYPERLINK("#",""), HYPERLINK(CONCATENATE("#metadata!", ADDRESS(INDEX($X$2:$X$1001,MATCH(ROWS($V$2:V931),$V$2:$V$1001,0),0), INDEX($AC$1004:$AS$1004,1,MATCH(COLUMNS($AC$1006:AQ1006),$AC$1006:$AS$1006,0)))),"Fix")))</f>
        <v xml:space="preserve"> </v>
      </c>
      <c r="Q931" s="4" t="str">
        <f ca="1">IF(OR(INDEX($W$2:$W$1001,MATCH(ROWS($V$2:V931),$V$2:$V$1001,0),1)&gt;=100000,INDEX($AC$1005:$AS$1005,1,MATCH(COLUMNS($AC$1006:AR1006),$AC$1006:$AS$1006,0))&gt;=100000), " ",IF(INDEX($AC$2:$AS$1001,MATCH(ROWS($V$2:V931),$V$2:$V$1001,0),MATCH(COLUMNS($AC$1006:AR1006),$AC$1006:$AS$1006,0)), HYPERLINK("#",""), HYPERLINK(CONCATENATE("#metadata!", ADDRESS(INDEX($X$2:$X$1001,MATCH(ROWS($V$2:V931),$V$2:$V$1001,0),0), INDEX($AC$1004:$AS$1004,1,MATCH(COLUMNS($AC$1006:AR1006),$AC$1006:$AS$1006,0)))),"Fix")))</f>
        <v xml:space="preserve"> </v>
      </c>
      <c r="R931" s="4" t="str">
        <f ca="1">IF(OR(INDEX($W$2:$W$1001,MATCH(ROWS($V$2:V931),$V$2:$V$1001,0),1)&gt;=100000,INDEX($AC$1005:$AS$1005,1,MATCH(COLUMNS($AC$1006:AS1006),$AC$1006:$AS$1006,0))&gt;=100000), " ",IF(INDEX($AC$2:$AS$1001,MATCH(ROWS($V$2:V931),$V$2:$V$1001,0),MATCH(COLUMNS($AC$1006:AS1006),$AC$1006:$AS$1006,0)), HYPERLINK("#",""), HYPERLINK(CONCATENATE("#metadata!", ADDRESS(INDEX($X$2:$X$1001,MATCH(ROWS($V$2:V931),$V$2:$V$1001,0),0), INDEX($AC$1004:$AS$1004,1,MATCH(COLUMNS($AC$1006:AS1006),$AC$1006:$AS$1006,0)))),"Fix")))</f>
        <v xml:space="preserve"> </v>
      </c>
      <c r="V931">
        <v>930</v>
      </c>
      <c r="W931">
        <v>100931</v>
      </c>
      <c r="X931">
        <v>931</v>
      </c>
      <c r="Y931" t="b">
        <f t="shared" si="14"/>
        <v>1</v>
      </c>
      <c r="Z931" t="b">
        <f>COUNTBLANK(metadata!B931:R931)=COLUMNS(metadata!B931:R931)</f>
        <v>1</v>
      </c>
      <c r="AA931" t="str">
        <v/>
      </c>
      <c r="AC931" t="b">
        <f ca="1"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AD931" t="b">
        <f>IF(metadata!C931="",FALSE,ISNUMBER(VALUE(metadata!C931)))</f>
        <v>0</v>
      </c>
      <c r="AE931" t="b">
        <f>AND(IF(metadata!D931="",FALSE,TRUE),EXACT(metadata!D931,"years"))</f>
        <v>0</v>
      </c>
      <c r="AF931" t="b">
        <f>OR(AND(IF(metadata!E931="",FALSE,TRUE),OR(EXACT(metadata!E931,"not applicable"),EXACT(metadata!E931,"missing: not collected"),EXACT(metadata!E931,"missing: not provided"),EXACT(metadata!E931,"missing: restricted access"))),AND(IF(metadata!E931="",FALSE,ISNUMBER(VALUE(metadata!E931))),metadata!E931&gt;0))</f>
        <v>0</v>
      </c>
      <c r="AG931" t="b">
        <f>AND(IF(metadata!F931="",FALSE,TRUE),EXACT(metadata!F931,"Not applicable"))</f>
        <v>0</v>
      </c>
      <c r="AH931" t="b">
        <f>AND(IF(metadata!G931="",FALSE,TRUE),EXACT(metadata!G931,"urban biome"))</f>
        <v>0</v>
      </c>
      <c r="AI931" t="b">
        <f>AND(IF(metadata!H931="",FALSE,TRUE),EXACT(metadata!H931,"human-associated habitat"))</f>
        <v>0</v>
      </c>
      <c r="AJ931" t="b">
        <f>AND(IF(metadata!I931="",FALSE,TRUE),OR(EXACT(metadata!I931,"human-associated"),EXACT(metadata!I931,"human-skin"),EXACT(metadata!I931,"human-oral"),EXACT(metadata!I931,"human-gut"),EXACT(metadata!I931,"human-vaginal")))</f>
        <v>0</v>
      </c>
      <c r="AK931" t="b">
        <f>IF(metadata!J931="",FALSE,ISNUMBER(VALUE(metadata!J931)))</f>
        <v>0</v>
      </c>
      <c r="AL931" t="b">
        <f>AND(IF(metadata!K931="",FALSE,TRUE),EXACT(metadata!K931,"cm"))</f>
        <v>0</v>
      </c>
      <c r="AM931" t="b">
        <f>AND(IF(metadata!L931="",FALSE,TRUE),EXACT(metadata!L931,"human"))</f>
        <v>0</v>
      </c>
      <c r="AN931" t="b">
        <f>AND(IF(metadata!M931="",FALSE,TRUE),EXACT(metadata!M931,"Homo sapiens"))</f>
        <v>0</v>
      </c>
      <c r="AO931" t="b">
        <f>AND(IF(metadata!N931="",FALSE,TRUE),EXACT(metadata!N931,"9606"))</f>
        <v>0</v>
      </c>
      <c r="AP931" t="b">
        <f>IF(metadata!O931="",FALSE,TRUE)</f>
        <v>0</v>
      </c>
      <c r="AQ931" t="b">
        <f>IF(metadata!P931="",FALSE,TRUE)</f>
        <v>0</v>
      </c>
      <c r="AR931" t="b">
        <f>IF(metadata!Q931="",FALSE,ISNUMBER(VALUE(metadata!Q931)))</f>
        <v>0</v>
      </c>
      <c r="AS931" t="b">
        <f>AND(IF(metadata!R931="",FALSE,TRUE),EXACT(metadata!R931,"kg"))</f>
        <v>0</v>
      </c>
    </row>
    <row r="932" spans="1:45" x14ac:dyDescent="0.2">
      <c r="A932" s="5" t="str">
        <f ca="1">IF(B932=" "," ",HYPERLINK(CONCATENATE("#metadata!",ADDRESS(INDEX($X$2:$X$1001,MATCH(ROWS($V$2:V932),$V$2:$V$1001,0),0),1)),INDEX($AA$2:$AA$1001,MATCH(ROWS($V$2:V932),$V$2:$V$1001,0),0)))</f>
        <v xml:space="preserve"> </v>
      </c>
      <c r="B932" s="4" t="str">
        <f ca="1">IF(OR(INDEX($W$2:$W$1001,MATCH(ROWS($V$2:V932),$V$2:$V$1001,0),1)&gt;=100000,INDEX($AC$1005:$AS$1005,1,MATCH(COLUMNS($AC$1006:AC1006),$AC$1006:$AS$1006,0))&gt;=100000), " ",IF(INDEX($AC$2:$AS$1001,MATCH(ROWS($V$2:V932),$V$2:$V$1001,0),MATCH(COLUMNS($AC$1006:AC1006),$AC$1006:$AS$1006,0)), HYPERLINK("#",""), HYPERLINK(CONCATENATE("#metadata!", ADDRESS(INDEX($X$2:$X$1001,MATCH(ROWS($V$2:V932),$V$2:$V$1001,0),0), INDEX($AC$1004:$AS$1004,1,MATCH(COLUMNS($AC$1006:AC1006),$AC$1006:$AS$1006,0)))),"Fix")))</f>
        <v xml:space="preserve"> </v>
      </c>
      <c r="C932" s="4" t="str">
        <f ca="1">IF(OR(INDEX($W$2:$W$1001,MATCH(ROWS($V$2:V932),$V$2:$V$1001,0),1)&gt;=100000,INDEX($AC$1005:$AS$1005,1,MATCH(COLUMNS($AC$1006:AD1006),$AC$1006:$AS$1006,0))&gt;=100000), " ",IF(INDEX($AC$2:$AS$1001,MATCH(ROWS($V$2:V932),$V$2:$V$1001,0),MATCH(COLUMNS($AC$1006:AD1006),$AC$1006:$AS$1006,0)), HYPERLINK("#",""), HYPERLINK(CONCATENATE("#metadata!", ADDRESS(INDEX($X$2:$X$1001,MATCH(ROWS($V$2:V932),$V$2:$V$1001,0),0), INDEX($AC$1004:$AS$1004,1,MATCH(COLUMNS($AC$1006:AD1006),$AC$1006:$AS$1006,0)))),"Fix")))</f>
        <v xml:space="preserve"> </v>
      </c>
      <c r="D932" s="4" t="str">
        <f ca="1">IF(OR(INDEX($W$2:$W$1001,MATCH(ROWS($V$2:V932),$V$2:$V$1001,0),1)&gt;=100000,INDEX($AC$1005:$AS$1005,1,MATCH(COLUMNS($AC$1006:AE1006),$AC$1006:$AS$1006,0))&gt;=100000), " ",IF(INDEX($AC$2:$AS$1001,MATCH(ROWS($V$2:V932),$V$2:$V$1001,0),MATCH(COLUMNS($AC$1006:AE1006),$AC$1006:$AS$1006,0)), HYPERLINK("#",""), HYPERLINK(CONCATENATE("#metadata!", ADDRESS(INDEX($X$2:$X$1001,MATCH(ROWS($V$2:V932),$V$2:$V$1001,0),0), INDEX($AC$1004:$AS$1004,1,MATCH(COLUMNS($AC$1006:AE1006),$AC$1006:$AS$1006,0)))),"Fix")))</f>
        <v xml:space="preserve"> </v>
      </c>
      <c r="E932" s="4" t="str">
        <f ca="1">IF(OR(INDEX($W$2:$W$1001,MATCH(ROWS($V$2:V932),$V$2:$V$1001,0),1)&gt;=100000,INDEX($AC$1005:$AS$1005,1,MATCH(COLUMNS($AC$1006:AF1006),$AC$1006:$AS$1006,0))&gt;=100000), " ",IF(INDEX($AC$2:$AS$1001,MATCH(ROWS($V$2:V932),$V$2:$V$1001,0),MATCH(COLUMNS($AC$1006:AF1006),$AC$1006:$AS$1006,0)), HYPERLINK("#",""), HYPERLINK(CONCATENATE("#metadata!", ADDRESS(INDEX($X$2:$X$1001,MATCH(ROWS($V$2:V932),$V$2:$V$1001,0),0), INDEX($AC$1004:$AS$1004,1,MATCH(COLUMNS($AC$1006:AF1006),$AC$1006:$AS$1006,0)))),"Fix")))</f>
        <v xml:space="preserve"> </v>
      </c>
      <c r="F932" s="4" t="str">
        <f ca="1">IF(OR(INDEX($W$2:$W$1001,MATCH(ROWS($V$2:V932),$V$2:$V$1001,0),1)&gt;=100000,INDEX($AC$1005:$AS$1005,1,MATCH(COLUMNS($AC$1006:AG1006),$AC$1006:$AS$1006,0))&gt;=100000), " ",IF(INDEX($AC$2:$AS$1001,MATCH(ROWS($V$2:V932),$V$2:$V$1001,0),MATCH(COLUMNS($AC$1006:AG1006),$AC$1006:$AS$1006,0)), HYPERLINK("#",""), HYPERLINK(CONCATENATE("#metadata!", ADDRESS(INDEX($X$2:$X$1001,MATCH(ROWS($V$2:V932),$V$2:$V$1001,0),0), INDEX($AC$1004:$AS$1004,1,MATCH(COLUMNS($AC$1006:AG1006),$AC$1006:$AS$1006,0)))),"Fix")))</f>
        <v xml:space="preserve"> </v>
      </c>
      <c r="G932" s="4" t="str">
        <f ca="1">IF(OR(INDEX($W$2:$W$1001,MATCH(ROWS($V$2:V932),$V$2:$V$1001,0),1)&gt;=100000,INDEX($AC$1005:$AS$1005,1,MATCH(COLUMNS($AC$1006:AH1006),$AC$1006:$AS$1006,0))&gt;=100000), " ",IF(INDEX($AC$2:$AS$1001,MATCH(ROWS($V$2:V932),$V$2:$V$1001,0),MATCH(COLUMNS($AC$1006:AH1006),$AC$1006:$AS$1006,0)), HYPERLINK("#",""), HYPERLINK(CONCATENATE("#metadata!", ADDRESS(INDEX($X$2:$X$1001,MATCH(ROWS($V$2:V932),$V$2:$V$1001,0),0), INDEX($AC$1004:$AS$1004,1,MATCH(COLUMNS($AC$1006:AH1006),$AC$1006:$AS$1006,0)))),"Fix")))</f>
        <v xml:space="preserve"> </v>
      </c>
      <c r="H932" s="4" t="str">
        <f ca="1">IF(OR(INDEX($W$2:$W$1001,MATCH(ROWS($V$2:V932),$V$2:$V$1001,0),1)&gt;=100000,INDEX($AC$1005:$AS$1005,1,MATCH(COLUMNS($AC$1006:AI1006),$AC$1006:$AS$1006,0))&gt;=100000), " ",IF(INDEX($AC$2:$AS$1001,MATCH(ROWS($V$2:V932),$V$2:$V$1001,0),MATCH(COLUMNS($AC$1006:AI1006),$AC$1006:$AS$1006,0)), HYPERLINK("#",""), HYPERLINK(CONCATENATE("#metadata!", ADDRESS(INDEX($X$2:$X$1001,MATCH(ROWS($V$2:V932),$V$2:$V$1001,0),0), INDEX($AC$1004:$AS$1004,1,MATCH(COLUMNS($AC$1006:AI1006),$AC$1006:$AS$1006,0)))),"Fix")))</f>
        <v xml:space="preserve"> </v>
      </c>
      <c r="I932" s="4" t="str">
        <f ca="1">IF(OR(INDEX($W$2:$W$1001,MATCH(ROWS($V$2:V932),$V$2:$V$1001,0),1)&gt;=100000,INDEX($AC$1005:$AS$1005,1,MATCH(COLUMNS($AC$1006:AJ1006),$AC$1006:$AS$1006,0))&gt;=100000), " ",IF(INDEX($AC$2:$AS$1001,MATCH(ROWS($V$2:V932),$V$2:$V$1001,0),MATCH(COLUMNS($AC$1006:AJ1006),$AC$1006:$AS$1006,0)), HYPERLINK("#",""), HYPERLINK(CONCATENATE("#metadata!", ADDRESS(INDEX($X$2:$X$1001,MATCH(ROWS($V$2:V932),$V$2:$V$1001,0),0), INDEX($AC$1004:$AS$1004,1,MATCH(COLUMNS($AC$1006:AJ1006),$AC$1006:$AS$1006,0)))),"Fix")))</f>
        <v xml:space="preserve"> </v>
      </c>
      <c r="J932" s="4" t="str">
        <f ca="1">IF(OR(INDEX($W$2:$W$1001,MATCH(ROWS($V$2:V932),$V$2:$V$1001,0),1)&gt;=100000,INDEX($AC$1005:$AS$1005,1,MATCH(COLUMNS($AC$1006:AK1006),$AC$1006:$AS$1006,0))&gt;=100000), " ",IF(INDEX($AC$2:$AS$1001,MATCH(ROWS($V$2:V932),$V$2:$V$1001,0),MATCH(COLUMNS($AC$1006:AK1006),$AC$1006:$AS$1006,0)), HYPERLINK("#",""), HYPERLINK(CONCATENATE("#metadata!", ADDRESS(INDEX($X$2:$X$1001,MATCH(ROWS($V$2:V932),$V$2:$V$1001,0),0), INDEX($AC$1004:$AS$1004,1,MATCH(COLUMNS($AC$1006:AK1006),$AC$1006:$AS$1006,0)))),"Fix")))</f>
        <v xml:space="preserve"> </v>
      </c>
      <c r="K932" s="4" t="str">
        <f ca="1">IF(OR(INDEX($W$2:$W$1001,MATCH(ROWS($V$2:V932),$V$2:$V$1001,0),1)&gt;=100000,INDEX($AC$1005:$AS$1005,1,MATCH(COLUMNS($AC$1006:AL1006),$AC$1006:$AS$1006,0))&gt;=100000), " ",IF(INDEX($AC$2:$AS$1001,MATCH(ROWS($V$2:V932),$V$2:$V$1001,0),MATCH(COLUMNS($AC$1006:AL1006),$AC$1006:$AS$1006,0)), HYPERLINK("#",""), HYPERLINK(CONCATENATE("#metadata!", ADDRESS(INDEX($X$2:$X$1001,MATCH(ROWS($V$2:V932),$V$2:$V$1001,0),0), INDEX($AC$1004:$AS$1004,1,MATCH(COLUMNS($AC$1006:AL1006),$AC$1006:$AS$1006,0)))),"Fix")))</f>
        <v xml:space="preserve"> </v>
      </c>
      <c r="L932" s="4" t="str">
        <f ca="1">IF(OR(INDEX($W$2:$W$1001,MATCH(ROWS($V$2:V932),$V$2:$V$1001,0),1)&gt;=100000,INDEX($AC$1005:$AS$1005,1,MATCH(COLUMNS($AC$1006:AM1006),$AC$1006:$AS$1006,0))&gt;=100000), " ",IF(INDEX($AC$2:$AS$1001,MATCH(ROWS($V$2:V932),$V$2:$V$1001,0),MATCH(COLUMNS($AC$1006:AM1006),$AC$1006:$AS$1006,0)), HYPERLINK("#",""), HYPERLINK(CONCATENATE("#metadata!", ADDRESS(INDEX($X$2:$X$1001,MATCH(ROWS($V$2:V932),$V$2:$V$1001,0),0), INDEX($AC$1004:$AS$1004,1,MATCH(COLUMNS($AC$1006:AM1006),$AC$1006:$AS$1006,0)))),"Fix")))</f>
        <v xml:space="preserve"> </v>
      </c>
      <c r="M932" s="4" t="str">
        <f ca="1">IF(OR(INDEX($W$2:$W$1001,MATCH(ROWS($V$2:V932),$V$2:$V$1001,0),1)&gt;=100000,INDEX($AC$1005:$AS$1005,1,MATCH(COLUMNS($AC$1006:AN1006),$AC$1006:$AS$1006,0))&gt;=100000), " ",IF(INDEX($AC$2:$AS$1001,MATCH(ROWS($V$2:V932),$V$2:$V$1001,0),MATCH(COLUMNS($AC$1006:AN1006),$AC$1006:$AS$1006,0)), HYPERLINK("#",""), HYPERLINK(CONCATENATE("#metadata!", ADDRESS(INDEX($X$2:$X$1001,MATCH(ROWS($V$2:V932),$V$2:$V$1001,0),0), INDEX($AC$1004:$AS$1004,1,MATCH(COLUMNS($AC$1006:AN1006),$AC$1006:$AS$1006,0)))),"Fix")))</f>
        <v xml:space="preserve"> </v>
      </c>
      <c r="N932" s="4" t="str">
        <f ca="1">IF(OR(INDEX($W$2:$W$1001,MATCH(ROWS($V$2:V932),$V$2:$V$1001,0),1)&gt;=100000,INDEX($AC$1005:$AS$1005,1,MATCH(COLUMNS($AC$1006:AO1006),$AC$1006:$AS$1006,0))&gt;=100000), " ",IF(INDEX($AC$2:$AS$1001,MATCH(ROWS($V$2:V932),$V$2:$V$1001,0),MATCH(COLUMNS($AC$1006:AO1006),$AC$1006:$AS$1006,0)), HYPERLINK("#",""), HYPERLINK(CONCATENATE("#metadata!", ADDRESS(INDEX($X$2:$X$1001,MATCH(ROWS($V$2:V932),$V$2:$V$1001,0),0), INDEX($AC$1004:$AS$1004,1,MATCH(COLUMNS($AC$1006:AO1006),$AC$1006:$AS$1006,0)))),"Fix")))</f>
        <v xml:space="preserve"> </v>
      </c>
      <c r="O932" s="4" t="str">
        <f ca="1">IF(OR(INDEX($W$2:$W$1001,MATCH(ROWS($V$2:V932),$V$2:$V$1001,0),1)&gt;=100000,INDEX($AC$1005:$AS$1005,1,MATCH(COLUMNS($AC$1006:AP1006),$AC$1006:$AS$1006,0))&gt;=100000), " ",IF(INDEX($AC$2:$AS$1001,MATCH(ROWS($V$2:V932),$V$2:$V$1001,0),MATCH(COLUMNS($AC$1006:AP1006),$AC$1006:$AS$1006,0)), HYPERLINK("#",""), HYPERLINK(CONCATENATE("#metadata!", ADDRESS(INDEX($X$2:$X$1001,MATCH(ROWS($V$2:V932),$V$2:$V$1001,0),0), INDEX($AC$1004:$AS$1004,1,MATCH(COLUMNS($AC$1006:AP1006),$AC$1006:$AS$1006,0)))),"Fix")))</f>
        <v xml:space="preserve"> </v>
      </c>
      <c r="P932" s="4" t="str">
        <f ca="1">IF(OR(INDEX($W$2:$W$1001,MATCH(ROWS($V$2:V932),$V$2:$V$1001,0),1)&gt;=100000,INDEX($AC$1005:$AS$1005,1,MATCH(COLUMNS($AC$1006:AQ1006),$AC$1006:$AS$1006,0))&gt;=100000), " ",IF(INDEX($AC$2:$AS$1001,MATCH(ROWS($V$2:V932),$V$2:$V$1001,0),MATCH(COLUMNS($AC$1006:AQ1006),$AC$1006:$AS$1006,0)), HYPERLINK("#",""), HYPERLINK(CONCATENATE("#metadata!", ADDRESS(INDEX($X$2:$X$1001,MATCH(ROWS($V$2:V932),$V$2:$V$1001,0),0), INDEX($AC$1004:$AS$1004,1,MATCH(COLUMNS($AC$1006:AQ1006),$AC$1006:$AS$1006,0)))),"Fix")))</f>
        <v xml:space="preserve"> </v>
      </c>
      <c r="Q932" s="4" t="str">
        <f ca="1">IF(OR(INDEX($W$2:$W$1001,MATCH(ROWS($V$2:V932),$V$2:$V$1001,0),1)&gt;=100000,INDEX($AC$1005:$AS$1005,1,MATCH(COLUMNS($AC$1006:AR1006),$AC$1006:$AS$1006,0))&gt;=100000), " ",IF(INDEX($AC$2:$AS$1001,MATCH(ROWS($V$2:V932),$V$2:$V$1001,0),MATCH(COLUMNS($AC$1006:AR1006),$AC$1006:$AS$1006,0)), HYPERLINK("#",""), HYPERLINK(CONCATENATE("#metadata!", ADDRESS(INDEX($X$2:$X$1001,MATCH(ROWS($V$2:V932),$V$2:$V$1001,0),0), INDEX($AC$1004:$AS$1004,1,MATCH(COLUMNS($AC$1006:AR1006),$AC$1006:$AS$1006,0)))),"Fix")))</f>
        <v xml:space="preserve"> </v>
      </c>
      <c r="R932" s="4" t="str">
        <f ca="1">IF(OR(INDEX($W$2:$W$1001,MATCH(ROWS($V$2:V932),$V$2:$V$1001,0),1)&gt;=100000,INDEX($AC$1005:$AS$1005,1,MATCH(COLUMNS($AC$1006:AS1006),$AC$1006:$AS$1006,0))&gt;=100000), " ",IF(INDEX($AC$2:$AS$1001,MATCH(ROWS($V$2:V932),$V$2:$V$1001,0),MATCH(COLUMNS($AC$1006:AS1006),$AC$1006:$AS$1006,0)), HYPERLINK("#",""), HYPERLINK(CONCATENATE("#metadata!", ADDRESS(INDEX($X$2:$X$1001,MATCH(ROWS($V$2:V932),$V$2:$V$1001,0),0), INDEX($AC$1004:$AS$1004,1,MATCH(COLUMNS($AC$1006:AS1006),$AC$1006:$AS$1006,0)))),"Fix")))</f>
        <v xml:space="preserve"> </v>
      </c>
      <c r="V932">
        <v>931</v>
      </c>
      <c r="W932">
        <v>100932</v>
      </c>
      <c r="X932">
        <v>932</v>
      </c>
      <c r="Y932" t="b">
        <f t="shared" si="14"/>
        <v>1</v>
      </c>
      <c r="Z932" t="b">
        <f>COUNTBLANK(metadata!B932:R932)=COLUMNS(metadata!B932:R932)</f>
        <v>1</v>
      </c>
      <c r="AA932" t="str">
        <v/>
      </c>
      <c r="AC932" t="b">
        <f ca="1"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AD932" t="b">
        <f>IF(metadata!C932="",FALSE,ISNUMBER(VALUE(metadata!C932)))</f>
        <v>0</v>
      </c>
      <c r="AE932" t="b">
        <f>AND(IF(metadata!D932="",FALSE,TRUE),EXACT(metadata!D932,"years"))</f>
        <v>0</v>
      </c>
      <c r="AF932" t="b">
        <f>OR(AND(IF(metadata!E932="",FALSE,TRUE),OR(EXACT(metadata!E932,"not applicable"),EXACT(metadata!E932,"missing: not collected"),EXACT(metadata!E932,"missing: not provided"),EXACT(metadata!E932,"missing: restricted access"))),AND(IF(metadata!E932="",FALSE,ISNUMBER(VALUE(metadata!E932))),metadata!E932&gt;0))</f>
        <v>0</v>
      </c>
      <c r="AG932" t="b">
        <f>AND(IF(metadata!F932="",FALSE,TRUE),EXACT(metadata!F932,"Not applicable"))</f>
        <v>0</v>
      </c>
      <c r="AH932" t="b">
        <f>AND(IF(metadata!G932="",FALSE,TRUE),EXACT(metadata!G932,"urban biome"))</f>
        <v>0</v>
      </c>
      <c r="AI932" t="b">
        <f>AND(IF(metadata!H932="",FALSE,TRUE),EXACT(metadata!H932,"human-associated habitat"))</f>
        <v>0</v>
      </c>
      <c r="AJ932" t="b">
        <f>AND(IF(metadata!I932="",FALSE,TRUE),OR(EXACT(metadata!I932,"human-associated"),EXACT(metadata!I932,"human-skin"),EXACT(metadata!I932,"human-oral"),EXACT(metadata!I932,"human-gut"),EXACT(metadata!I932,"human-vaginal")))</f>
        <v>0</v>
      </c>
      <c r="AK932" t="b">
        <f>IF(metadata!J932="",FALSE,ISNUMBER(VALUE(metadata!J932)))</f>
        <v>0</v>
      </c>
      <c r="AL932" t="b">
        <f>AND(IF(metadata!K932="",FALSE,TRUE),EXACT(metadata!K932,"cm"))</f>
        <v>0</v>
      </c>
      <c r="AM932" t="b">
        <f>AND(IF(metadata!L932="",FALSE,TRUE),EXACT(metadata!L932,"human"))</f>
        <v>0</v>
      </c>
      <c r="AN932" t="b">
        <f>AND(IF(metadata!M932="",FALSE,TRUE),EXACT(metadata!M932,"Homo sapiens"))</f>
        <v>0</v>
      </c>
      <c r="AO932" t="b">
        <f>AND(IF(metadata!N932="",FALSE,TRUE),EXACT(metadata!N932,"9606"))</f>
        <v>0</v>
      </c>
      <c r="AP932" t="b">
        <f>IF(metadata!O932="",FALSE,TRUE)</f>
        <v>0</v>
      </c>
      <c r="AQ932" t="b">
        <f>IF(metadata!P932="",FALSE,TRUE)</f>
        <v>0</v>
      </c>
      <c r="AR932" t="b">
        <f>IF(metadata!Q932="",FALSE,ISNUMBER(VALUE(metadata!Q932)))</f>
        <v>0</v>
      </c>
      <c r="AS932" t="b">
        <f>AND(IF(metadata!R932="",FALSE,TRUE),EXACT(metadata!R932,"kg"))</f>
        <v>0</v>
      </c>
    </row>
    <row r="933" spans="1:45" x14ac:dyDescent="0.2">
      <c r="A933" s="5" t="str">
        <f ca="1">IF(B933=" "," ",HYPERLINK(CONCATENATE("#metadata!",ADDRESS(INDEX($X$2:$X$1001,MATCH(ROWS($V$2:V933),$V$2:$V$1001,0),0),1)),INDEX($AA$2:$AA$1001,MATCH(ROWS($V$2:V933),$V$2:$V$1001,0),0)))</f>
        <v xml:space="preserve"> </v>
      </c>
      <c r="B933" s="4" t="str">
        <f ca="1">IF(OR(INDEX($W$2:$W$1001,MATCH(ROWS($V$2:V933),$V$2:$V$1001,0),1)&gt;=100000,INDEX($AC$1005:$AS$1005,1,MATCH(COLUMNS($AC$1006:AC1006),$AC$1006:$AS$1006,0))&gt;=100000), " ",IF(INDEX($AC$2:$AS$1001,MATCH(ROWS($V$2:V933),$V$2:$V$1001,0),MATCH(COLUMNS($AC$1006:AC1006),$AC$1006:$AS$1006,0)), HYPERLINK("#",""), HYPERLINK(CONCATENATE("#metadata!", ADDRESS(INDEX($X$2:$X$1001,MATCH(ROWS($V$2:V933),$V$2:$V$1001,0),0), INDEX($AC$1004:$AS$1004,1,MATCH(COLUMNS($AC$1006:AC1006),$AC$1006:$AS$1006,0)))),"Fix")))</f>
        <v xml:space="preserve"> </v>
      </c>
      <c r="C933" s="4" t="str">
        <f ca="1">IF(OR(INDEX($W$2:$W$1001,MATCH(ROWS($V$2:V933),$V$2:$V$1001,0),1)&gt;=100000,INDEX($AC$1005:$AS$1005,1,MATCH(COLUMNS($AC$1006:AD1006),$AC$1006:$AS$1006,0))&gt;=100000), " ",IF(INDEX($AC$2:$AS$1001,MATCH(ROWS($V$2:V933),$V$2:$V$1001,0),MATCH(COLUMNS($AC$1006:AD1006),$AC$1006:$AS$1006,0)), HYPERLINK("#",""), HYPERLINK(CONCATENATE("#metadata!", ADDRESS(INDEX($X$2:$X$1001,MATCH(ROWS($V$2:V933),$V$2:$V$1001,0),0), INDEX($AC$1004:$AS$1004,1,MATCH(COLUMNS($AC$1006:AD1006),$AC$1006:$AS$1006,0)))),"Fix")))</f>
        <v xml:space="preserve"> </v>
      </c>
      <c r="D933" s="4" t="str">
        <f ca="1">IF(OR(INDEX($W$2:$W$1001,MATCH(ROWS($V$2:V933),$V$2:$V$1001,0),1)&gt;=100000,INDEX($AC$1005:$AS$1005,1,MATCH(COLUMNS($AC$1006:AE1006),$AC$1006:$AS$1006,0))&gt;=100000), " ",IF(INDEX($AC$2:$AS$1001,MATCH(ROWS($V$2:V933),$V$2:$V$1001,0),MATCH(COLUMNS($AC$1006:AE1006),$AC$1006:$AS$1006,0)), HYPERLINK("#",""), HYPERLINK(CONCATENATE("#metadata!", ADDRESS(INDEX($X$2:$X$1001,MATCH(ROWS($V$2:V933),$V$2:$V$1001,0),0), INDEX($AC$1004:$AS$1004,1,MATCH(COLUMNS($AC$1006:AE1006),$AC$1006:$AS$1006,0)))),"Fix")))</f>
        <v xml:space="preserve"> </v>
      </c>
      <c r="E933" s="4" t="str">
        <f ca="1">IF(OR(INDEX($W$2:$W$1001,MATCH(ROWS($V$2:V933),$V$2:$V$1001,0),1)&gt;=100000,INDEX($AC$1005:$AS$1005,1,MATCH(COLUMNS($AC$1006:AF1006),$AC$1006:$AS$1006,0))&gt;=100000), " ",IF(INDEX($AC$2:$AS$1001,MATCH(ROWS($V$2:V933),$V$2:$V$1001,0),MATCH(COLUMNS($AC$1006:AF1006),$AC$1006:$AS$1006,0)), HYPERLINK("#",""), HYPERLINK(CONCATENATE("#metadata!", ADDRESS(INDEX($X$2:$X$1001,MATCH(ROWS($V$2:V933),$V$2:$V$1001,0),0), INDEX($AC$1004:$AS$1004,1,MATCH(COLUMNS($AC$1006:AF1006),$AC$1006:$AS$1006,0)))),"Fix")))</f>
        <v xml:space="preserve"> </v>
      </c>
      <c r="F933" s="4" t="str">
        <f ca="1">IF(OR(INDEX($W$2:$W$1001,MATCH(ROWS($V$2:V933),$V$2:$V$1001,0),1)&gt;=100000,INDEX($AC$1005:$AS$1005,1,MATCH(COLUMNS($AC$1006:AG1006),$AC$1006:$AS$1006,0))&gt;=100000), " ",IF(INDEX($AC$2:$AS$1001,MATCH(ROWS($V$2:V933),$V$2:$V$1001,0),MATCH(COLUMNS($AC$1006:AG1006),$AC$1006:$AS$1006,0)), HYPERLINK("#",""), HYPERLINK(CONCATENATE("#metadata!", ADDRESS(INDEX($X$2:$X$1001,MATCH(ROWS($V$2:V933),$V$2:$V$1001,0),0), INDEX($AC$1004:$AS$1004,1,MATCH(COLUMNS($AC$1006:AG1006),$AC$1006:$AS$1006,0)))),"Fix")))</f>
        <v xml:space="preserve"> </v>
      </c>
      <c r="G933" s="4" t="str">
        <f ca="1">IF(OR(INDEX($W$2:$W$1001,MATCH(ROWS($V$2:V933),$V$2:$V$1001,0),1)&gt;=100000,INDEX($AC$1005:$AS$1005,1,MATCH(COLUMNS($AC$1006:AH1006),$AC$1006:$AS$1006,0))&gt;=100000), " ",IF(INDEX($AC$2:$AS$1001,MATCH(ROWS($V$2:V933),$V$2:$V$1001,0),MATCH(COLUMNS($AC$1006:AH1006),$AC$1006:$AS$1006,0)), HYPERLINK("#",""), HYPERLINK(CONCATENATE("#metadata!", ADDRESS(INDEX($X$2:$X$1001,MATCH(ROWS($V$2:V933),$V$2:$V$1001,0),0), INDEX($AC$1004:$AS$1004,1,MATCH(COLUMNS($AC$1006:AH1006),$AC$1006:$AS$1006,0)))),"Fix")))</f>
        <v xml:space="preserve"> </v>
      </c>
      <c r="H933" s="4" t="str">
        <f ca="1">IF(OR(INDEX($W$2:$W$1001,MATCH(ROWS($V$2:V933),$V$2:$V$1001,0),1)&gt;=100000,INDEX($AC$1005:$AS$1005,1,MATCH(COLUMNS($AC$1006:AI1006),$AC$1006:$AS$1006,0))&gt;=100000), " ",IF(INDEX($AC$2:$AS$1001,MATCH(ROWS($V$2:V933),$V$2:$V$1001,0),MATCH(COLUMNS($AC$1006:AI1006),$AC$1006:$AS$1006,0)), HYPERLINK("#",""), HYPERLINK(CONCATENATE("#metadata!", ADDRESS(INDEX($X$2:$X$1001,MATCH(ROWS($V$2:V933),$V$2:$V$1001,0),0), INDEX($AC$1004:$AS$1004,1,MATCH(COLUMNS($AC$1006:AI1006),$AC$1006:$AS$1006,0)))),"Fix")))</f>
        <v xml:space="preserve"> </v>
      </c>
      <c r="I933" s="4" t="str">
        <f ca="1">IF(OR(INDEX($W$2:$W$1001,MATCH(ROWS($V$2:V933),$V$2:$V$1001,0),1)&gt;=100000,INDEX($AC$1005:$AS$1005,1,MATCH(COLUMNS($AC$1006:AJ1006),$AC$1006:$AS$1006,0))&gt;=100000), " ",IF(INDEX($AC$2:$AS$1001,MATCH(ROWS($V$2:V933),$V$2:$V$1001,0),MATCH(COLUMNS($AC$1006:AJ1006),$AC$1006:$AS$1006,0)), HYPERLINK("#",""), HYPERLINK(CONCATENATE("#metadata!", ADDRESS(INDEX($X$2:$X$1001,MATCH(ROWS($V$2:V933),$V$2:$V$1001,0),0), INDEX($AC$1004:$AS$1004,1,MATCH(COLUMNS($AC$1006:AJ1006),$AC$1006:$AS$1006,0)))),"Fix")))</f>
        <v xml:space="preserve"> </v>
      </c>
      <c r="J933" s="4" t="str">
        <f ca="1">IF(OR(INDEX($W$2:$W$1001,MATCH(ROWS($V$2:V933),$V$2:$V$1001,0),1)&gt;=100000,INDEX($AC$1005:$AS$1005,1,MATCH(COLUMNS($AC$1006:AK1006),$AC$1006:$AS$1006,0))&gt;=100000), " ",IF(INDEX($AC$2:$AS$1001,MATCH(ROWS($V$2:V933),$V$2:$V$1001,0),MATCH(COLUMNS($AC$1006:AK1006),$AC$1006:$AS$1006,0)), HYPERLINK("#",""), HYPERLINK(CONCATENATE("#metadata!", ADDRESS(INDEX($X$2:$X$1001,MATCH(ROWS($V$2:V933),$V$2:$V$1001,0),0), INDEX($AC$1004:$AS$1004,1,MATCH(COLUMNS($AC$1006:AK1006),$AC$1006:$AS$1006,0)))),"Fix")))</f>
        <v xml:space="preserve"> </v>
      </c>
      <c r="K933" s="4" t="str">
        <f ca="1">IF(OR(INDEX($W$2:$W$1001,MATCH(ROWS($V$2:V933),$V$2:$V$1001,0),1)&gt;=100000,INDEX($AC$1005:$AS$1005,1,MATCH(COLUMNS($AC$1006:AL1006),$AC$1006:$AS$1006,0))&gt;=100000), " ",IF(INDEX($AC$2:$AS$1001,MATCH(ROWS($V$2:V933),$V$2:$V$1001,0),MATCH(COLUMNS($AC$1006:AL1006),$AC$1006:$AS$1006,0)), HYPERLINK("#",""), HYPERLINK(CONCATENATE("#metadata!", ADDRESS(INDEX($X$2:$X$1001,MATCH(ROWS($V$2:V933),$V$2:$V$1001,0),0), INDEX($AC$1004:$AS$1004,1,MATCH(COLUMNS($AC$1006:AL1006),$AC$1006:$AS$1006,0)))),"Fix")))</f>
        <v xml:space="preserve"> </v>
      </c>
      <c r="L933" s="4" t="str">
        <f ca="1">IF(OR(INDEX($W$2:$W$1001,MATCH(ROWS($V$2:V933),$V$2:$V$1001,0),1)&gt;=100000,INDEX($AC$1005:$AS$1005,1,MATCH(COLUMNS($AC$1006:AM1006),$AC$1006:$AS$1006,0))&gt;=100000), " ",IF(INDEX($AC$2:$AS$1001,MATCH(ROWS($V$2:V933),$V$2:$V$1001,0),MATCH(COLUMNS($AC$1006:AM1006),$AC$1006:$AS$1006,0)), HYPERLINK("#",""), HYPERLINK(CONCATENATE("#metadata!", ADDRESS(INDEX($X$2:$X$1001,MATCH(ROWS($V$2:V933),$V$2:$V$1001,0),0), INDEX($AC$1004:$AS$1004,1,MATCH(COLUMNS($AC$1006:AM1006),$AC$1006:$AS$1006,0)))),"Fix")))</f>
        <v xml:space="preserve"> </v>
      </c>
      <c r="M933" s="4" t="str">
        <f ca="1">IF(OR(INDEX($W$2:$W$1001,MATCH(ROWS($V$2:V933),$V$2:$V$1001,0),1)&gt;=100000,INDEX($AC$1005:$AS$1005,1,MATCH(COLUMNS($AC$1006:AN1006),$AC$1006:$AS$1006,0))&gt;=100000), " ",IF(INDEX($AC$2:$AS$1001,MATCH(ROWS($V$2:V933),$V$2:$V$1001,0),MATCH(COLUMNS($AC$1006:AN1006),$AC$1006:$AS$1006,0)), HYPERLINK("#",""), HYPERLINK(CONCATENATE("#metadata!", ADDRESS(INDEX($X$2:$X$1001,MATCH(ROWS($V$2:V933),$V$2:$V$1001,0),0), INDEX($AC$1004:$AS$1004,1,MATCH(COLUMNS($AC$1006:AN1006),$AC$1006:$AS$1006,0)))),"Fix")))</f>
        <v xml:space="preserve"> </v>
      </c>
      <c r="N933" s="4" t="str">
        <f ca="1">IF(OR(INDEX($W$2:$W$1001,MATCH(ROWS($V$2:V933),$V$2:$V$1001,0),1)&gt;=100000,INDEX($AC$1005:$AS$1005,1,MATCH(COLUMNS($AC$1006:AO1006),$AC$1006:$AS$1006,0))&gt;=100000), " ",IF(INDEX($AC$2:$AS$1001,MATCH(ROWS($V$2:V933),$V$2:$V$1001,0),MATCH(COLUMNS($AC$1006:AO1006),$AC$1006:$AS$1006,0)), HYPERLINK("#",""), HYPERLINK(CONCATENATE("#metadata!", ADDRESS(INDEX($X$2:$X$1001,MATCH(ROWS($V$2:V933),$V$2:$V$1001,0),0), INDEX($AC$1004:$AS$1004,1,MATCH(COLUMNS($AC$1006:AO1006),$AC$1006:$AS$1006,0)))),"Fix")))</f>
        <v xml:space="preserve"> </v>
      </c>
      <c r="O933" s="4" t="str">
        <f ca="1">IF(OR(INDEX($W$2:$W$1001,MATCH(ROWS($V$2:V933),$V$2:$V$1001,0),1)&gt;=100000,INDEX($AC$1005:$AS$1005,1,MATCH(COLUMNS($AC$1006:AP1006),$AC$1006:$AS$1006,0))&gt;=100000), " ",IF(INDEX($AC$2:$AS$1001,MATCH(ROWS($V$2:V933),$V$2:$V$1001,0),MATCH(COLUMNS($AC$1006:AP1006),$AC$1006:$AS$1006,0)), HYPERLINK("#",""), HYPERLINK(CONCATENATE("#metadata!", ADDRESS(INDEX($X$2:$X$1001,MATCH(ROWS($V$2:V933),$V$2:$V$1001,0),0), INDEX($AC$1004:$AS$1004,1,MATCH(COLUMNS($AC$1006:AP1006),$AC$1006:$AS$1006,0)))),"Fix")))</f>
        <v xml:space="preserve"> </v>
      </c>
      <c r="P933" s="4" t="str">
        <f ca="1">IF(OR(INDEX($W$2:$W$1001,MATCH(ROWS($V$2:V933),$V$2:$V$1001,0),1)&gt;=100000,INDEX($AC$1005:$AS$1005,1,MATCH(COLUMNS($AC$1006:AQ1006),$AC$1006:$AS$1006,0))&gt;=100000), " ",IF(INDEX($AC$2:$AS$1001,MATCH(ROWS($V$2:V933),$V$2:$V$1001,0),MATCH(COLUMNS($AC$1006:AQ1006),$AC$1006:$AS$1006,0)), HYPERLINK("#",""), HYPERLINK(CONCATENATE("#metadata!", ADDRESS(INDEX($X$2:$X$1001,MATCH(ROWS($V$2:V933),$V$2:$V$1001,0),0), INDEX($AC$1004:$AS$1004,1,MATCH(COLUMNS($AC$1006:AQ1006),$AC$1006:$AS$1006,0)))),"Fix")))</f>
        <v xml:space="preserve"> </v>
      </c>
      <c r="Q933" s="4" t="str">
        <f ca="1">IF(OR(INDEX($W$2:$W$1001,MATCH(ROWS($V$2:V933),$V$2:$V$1001,0),1)&gt;=100000,INDEX($AC$1005:$AS$1005,1,MATCH(COLUMNS($AC$1006:AR1006),$AC$1006:$AS$1006,0))&gt;=100000), " ",IF(INDEX($AC$2:$AS$1001,MATCH(ROWS($V$2:V933),$V$2:$V$1001,0),MATCH(COLUMNS($AC$1006:AR1006),$AC$1006:$AS$1006,0)), HYPERLINK("#",""), HYPERLINK(CONCATENATE("#metadata!", ADDRESS(INDEX($X$2:$X$1001,MATCH(ROWS($V$2:V933),$V$2:$V$1001,0),0), INDEX($AC$1004:$AS$1004,1,MATCH(COLUMNS($AC$1006:AR1006),$AC$1006:$AS$1006,0)))),"Fix")))</f>
        <v xml:space="preserve"> </v>
      </c>
      <c r="R933" s="4" t="str">
        <f ca="1">IF(OR(INDEX($W$2:$W$1001,MATCH(ROWS($V$2:V933),$V$2:$V$1001,0),1)&gt;=100000,INDEX($AC$1005:$AS$1005,1,MATCH(COLUMNS($AC$1006:AS1006),$AC$1006:$AS$1006,0))&gt;=100000), " ",IF(INDEX($AC$2:$AS$1001,MATCH(ROWS($V$2:V933),$V$2:$V$1001,0),MATCH(COLUMNS($AC$1006:AS1006),$AC$1006:$AS$1006,0)), HYPERLINK("#",""), HYPERLINK(CONCATENATE("#metadata!", ADDRESS(INDEX($X$2:$X$1001,MATCH(ROWS($V$2:V933),$V$2:$V$1001,0),0), INDEX($AC$1004:$AS$1004,1,MATCH(COLUMNS($AC$1006:AS1006),$AC$1006:$AS$1006,0)))),"Fix")))</f>
        <v xml:space="preserve"> </v>
      </c>
      <c r="V933">
        <v>932</v>
      </c>
      <c r="W933">
        <v>100933</v>
      </c>
      <c r="X933">
        <v>933</v>
      </c>
      <c r="Y933" t="b">
        <f t="shared" si="14"/>
        <v>1</v>
      </c>
      <c r="Z933" t="b">
        <f>COUNTBLANK(metadata!B933:R933)=COLUMNS(metadata!B933:R933)</f>
        <v>1</v>
      </c>
      <c r="AA933" t="str">
        <v/>
      </c>
      <c r="AC933" t="b">
        <f ca="1"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AD933" t="b">
        <f>IF(metadata!C933="",FALSE,ISNUMBER(VALUE(metadata!C933)))</f>
        <v>0</v>
      </c>
      <c r="AE933" t="b">
        <f>AND(IF(metadata!D933="",FALSE,TRUE),EXACT(metadata!D933,"years"))</f>
        <v>0</v>
      </c>
      <c r="AF933" t="b">
        <f>OR(AND(IF(metadata!E933="",FALSE,TRUE),OR(EXACT(metadata!E933,"not applicable"),EXACT(metadata!E933,"missing: not collected"),EXACT(metadata!E933,"missing: not provided"),EXACT(metadata!E933,"missing: restricted access"))),AND(IF(metadata!E933="",FALSE,ISNUMBER(VALUE(metadata!E933))),metadata!E933&gt;0))</f>
        <v>0</v>
      </c>
      <c r="AG933" t="b">
        <f>AND(IF(metadata!F933="",FALSE,TRUE),EXACT(metadata!F933,"Not applicable"))</f>
        <v>0</v>
      </c>
      <c r="AH933" t="b">
        <f>AND(IF(metadata!G933="",FALSE,TRUE),EXACT(metadata!G933,"urban biome"))</f>
        <v>0</v>
      </c>
      <c r="AI933" t="b">
        <f>AND(IF(metadata!H933="",FALSE,TRUE),EXACT(metadata!H933,"human-associated habitat"))</f>
        <v>0</v>
      </c>
      <c r="AJ933" t="b">
        <f>AND(IF(metadata!I933="",FALSE,TRUE),OR(EXACT(metadata!I933,"human-associated"),EXACT(metadata!I933,"human-skin"),EXACT(metadata!I933,"human-oral"),EXACT(metadata!I933,"human-gut"),EXACT(metadata!I933,"human-vaginal")))</f>
        <v>0</v>
      </c>
      <c r="AK933" t="b">
        <f>IF(metadata!J933="",FALSE,ISNUMBER(VALUE(metadata!J933)))</f>
        <v>0</v>
      </c>
      <c r="AL933" t="b">
        <f>AND(IF(metadata!K933="",FALSE,TRUE),EXACT(metadata!K933,"cm"))</f>
        <v>0</v>
      </c>
      <c r="AM933" t="b">
        <f>AND(IF(metadata!L933="",FALSE,TRUE),EXACT(metadata!L933,"human"))</f>
        <v>0</v>
      </c>
      <c r="AN933" t="b">
        <f>AND(IF(metadata!M933="",FALSE,TRUE),EXACT(metadata!M933,"Homo sapiens"))</f>
        <v>0</v>
      </c>
      <c r="AO933" t="b">
        <f>AND(IF(metadata!N933="",FALSE,TRUE),EXACT(metadata!N933,"9606"))</f>
        <v>0</v>
      </c>
      <c r="AP933" t="b">
        <f>IF(metadata!O933="",FALSE,TRUE)</f>
        <v>0</v>
      </c>
      <c r="AQ933" t="b">
        <f>IF(metadata!P933="",FALSE,TRUE)</f>
        <v>0</v>
      </c>
      <c r="AR933" t="b">
        <f>IF(metadata!Q933="",FALSE,ISNUMBER(VALUE(metadata!Q933)))</f>
        <v>0</v>
      </c>
      <c r="AS933" t="b">
        <f>AND(IF(metadata!R933="",FALSE,TRUE),EXACT(metadata!R933,"kg"))</f>
        <v>0</v>
      </c>
    </row>
    <row r="934" spans="1:45" x14ac:dyDescent="0.2">
      <c r="A934" s="5" t="str">
        <f ca="1">IF(B934=" "," ",HYPERLINK(CONCATENATE("#metadata!",ADDRESS(INDEX($X$2:$X$1001,MATCH(ROWS($V$2:V934),$V$2:$V$1001,0),0),1)),INDEX($AA$2:$AA$1001,MATCH(ROWS($V$2:V934),$V$2:$V$1001,0),0)))</f>
        <v xml:space="preserve"> </v>
      </c>
      <c r="B934" s="4" t="str">
        <f ca="1">IF(OR(INDEX($W$2:$W$1001,MATCH(ROWS($V$2:V934),$V$2:$V$1001,0),1)&gt;=100000,INDEX($AC$1005:$AS$1005,1,MATCH(COLUMNS($AC$1006:AC1006),$AC$1006:$AS$1006,0))&gt;=100000), " ",IF(INDEX($AC$2:$AS$1001,MATCH(ROWS($V$2:V934),$V$2:$V$1001,0),MATCH(COLUMNS($AC$1006:AC1006),$AC$1006:$AS$1006,0)), HYPERLINK("#",""), HYPERLINK(CONCATENATE("#metadata!", ADDRESS(INDEX($X$2:$X$1001,MATCH(ROWS($V$2:V934),$V$2:$V$1001,0),0), INDEX($AC$1004:$AS$1004,1,MATCH(COLUMNS($AC$1006:AC1006),$AC$1006:$AS$1006,0)))),"Fix")))</f>
        <v xml:space="preserve"> </v>
      </c>
      <c r="C934" s="4" t="str">
        <f ca="1">IF(OR(INDEX($W$2:$W$1001,MATCH(ROWS($V$2:V934),$V$2:$V$1001,0),1)&gt;=100000,INDEX($AC$1005:$AS$1005,1,MATCH(COLUMNS($AC$1006:AD1006),$AC$1006:$AS$1006,0))&gt;=100000), " ",IF(INDEX($AC$2:$AS$1001,MATCH(ROWS($V$2:V934),$V$2:$V$1001,0),MATCH(COLUMNS($AC$1006:AD1006),$AC$1006:$AS$1006,0)), HYPERLINK("#",""), HYPERLINK(CONCATENATE("#metadata!", ADDRESS(INDEX($X$2:$X$1001,MATCH(ROWS($V$2:V934),$V$2:$V$1001,0),0), INDEX($AC$1004:$AS$1004,1,MATCH(COLUMNS($AC$1006:AD1006),$AC$1006:$AS$1006,0)))),"Fix")))</f>
        <v xml:space="preserve"> </v>
      </c>
      <c r="D934" s="4" t="str">
        <f ca="1">IF(OR(INDEX($W$2:$W$1001,MATCH(ROWS($V$2:V934),$V$2:$V$1001,0),1)&gt;=100000,INDEX($AC$1005:$AS$1005,1,MATCH(COLUMNS($AC$1006:AE1006),$AC$1006:$AS$1006,0))&gt;=100000), " ",IF(INDEX($AC$2:$AS$1001,MATCH(ROWS($V$2:V934),$V$2:$V$1001,0),MATCH(COLUMNS($AC$1006:AE1006),$AC$1006:$AS$1006,0)), HYPERLINK("#",""), HYPERLINK(CONCATENATE("#metadata!", ADDRESS(INDEX($X$2:$X$1001,MATCH(ROWS($V$2:V934),$V$2:$V$1001,0),0), INDEX($AC$1004:$AS$1004,1,MATCH(COLUMNS($AC$1006:AE1006),$AC$1006:$AS$1006,0)))),"Fix")))</f>
        <v xml:space="preserve"> </v>
      </c>
      <c r="E934" s="4" t="str">
        <f ca="1">IF(OR(INDEX($W$2:$W$1001,MATCH(ROWS($V$2:V934),$V$2:$V$1001,0),1)&gt;=100000,INDEX($AC$1005:$AS$1005,1,MATCH(COLUMNS($AC$1006:AF1006),$AC$1006:$AS$1006,0))&gt;=100000), " ",IF(INDEX($AC$2:$AS$1001,MATCH(ROWS($V$2:V934),$V$2:$V$1001,0),MATCH(COLUMNS($AC$1006:AF1006),$AC$1006:$AS$1006,0)), HYPERLINK("#",""), HYPERLINK(CONCATENATE("#metadata!", ADDRESS(INDEX($X$2:$X$1001,MATCH(ROWS($V$2:V934),$V$2:$V$1001,0),0), INDEX($AC$1004:$AS$1004,1,MATCH(COLUMNS($AC$1006:AF1006),$AC$1006:$AS$1006,0)))),"Fix")))</f>
        <v xml:space="preserve"> </v>
      </c>
      <c r="F934" s="4" t="str">
        <f ca="1">IF(OR(INDEX($W$2:$W$1001,MATCH(ROWS($V$2:V934),$V$2:$V$1001,0),1)&gt;=100000,INDEX($AC$1005:$AS$1005,1,MATCH(COLUMNS($AC$1006:AG1006),$AC$1006:$AS$1006,0))&gt;=100000), " ",IF(INDEX($AC$2:$AS$1001,MATCH(ROWS($V$2:V934),$V$2:$V$1001,0),MATCH(COLUMNS($AC$1006:AG1006),$AC$1006:$AS$1006,0)), HYPERLINK("#",""), HYPERLINK(CONCATENATE("#metadata!", ADDRESS(INDEX($X$2:$X$1001,MATCH(ROWS($V$2:V934),$V$2:$V$1001,0),0), INDEX($AC$1004:$AS$1004,1,MATCH(COLUMNS($AC$1006:AG1006),$AC$1006:$AS$1006,0)))),"Fix")))</f>
        <v xml:space="preserve"> </v>
      </c>
      <c r="G934" s="4" t="str">
        <f ca="1">IF(OR(INDEX($W$2:$W$1001,MATCH(ROWS($V$2:V934),$V$2:$V$1001,0),1)&gt;=100000,INDEX($AC$1005:$AS$1005,1,MATCH(COLUMNS($AC$1006:AH1006),$AC$1006:$AS$1006,0))&gt;=100000), " ",IF(INDEX($AC$2:$AS$1001,MATCH(ROWS($V$2:V934),$V$2:$V$1001,0),MATCH(COLUMNS($AC$1006:AH1006),$AC$1006:$AS$1006,0)), HYPERLINK("#",""), HYPERLINK(CONCATENATE("#metadata!", ADDRESS(INDEX($X$2:$X$1001,MATCH(ROWS($V$2:V934),$V$2:$V$1001,0),0), INDEX($AC$1004:$AS$1004,1,MATCH(COLUMNS($AC$1006:AH1006),$AC$1006:$AS$1006,0)))),"Fix")))</f>
        <v xml:space="preserve"> </v>
      </c>
      <c r="H934" s="4" t="str">
        <f ca="1">IF(OR(INDEX($W$2:$W$1001,MATCH(ROWS($V$2:V934),$V$2:$V$1001,0),1)&gt;=100000,INDEX($AC$1005:$AS$1005,1,MATCH(COLUMNS($AC$1006:AI1006),$AC$1006:$AS$1006,0))&gt;=100000), " ",IF(INDEX($AC$2:$AS$1001,MATCH(ROWS($V$2:V934),$V$2:$V$1001,0),MATCH(COLUMNS($AC$1006:AI1006),$AC$1006:$AS$1006,0)), HYPERLINK("#",""), HYPERLINK(CONCATENATE("#metadata!", ADDRESS(INDEX($X$2:$X$1001,MATCH(ROWS($V$2:V934),$V$2:$V$1001,0),0), INDEX($AC$1004:$AS$1004,1,MATCH(COLUMNS($AC$1006:AI1006),$AC$1006:$AS$1006,0)))),"Fix")))</f>
        <v xml:space="preserve"> </v>
      </c>
      <c r="I934" s="4" t="str">
        <f ca="1">IF(OR(INDEX($W$2:$W$1001,MATCH(ROWS($V$2:V934),$V$2:$V$1001,0),1)&gt;=100000,INDEX($AC$1005:$AS$1005,1,MATCH(COLUMNS($AC$1006:AJ1006),$AC$1006:$AS$1006,0))&gt;=100000), " ",IF(INDEX($AC$2:$AS$1001,MATCH(ROWS($V$2:V934),$V$2:$V$1001,0),MATCH(COLUMNS($AC$1006:AJ1006),$AC$1006:$AS$1006,0)), HYPERLINK("#",""), HYPERLINK(CONCATENATE("#metadata!", ADDRESS(INDEX($X$2:$X$1001,MATCH(ROWS($V$2:V934),$V$2:$V$1001,0),0), INDEX($AC$1004:$AS$1004,1,MATCH(COLUMNS($AC$1006:AJ1006),$AC$1006:$AS$1006,0)))),"Fix")))</f>
        <v xml:space="preserve"> </v>
      </c>
      <c r="J934" s="4" t="str">
        <f ca="1">IF(OR(INDEX($W$2:$W$1001,MATCH(ROWS($V$2:V934),$V$2:$V$1001,0),1)&gt;=100000,INDEX($AC$1005:$AS$1005,1,MATCH(COLUMNS($AC$1006:AK1006),$AC$1006:$AS$1006,0))&gt;=100000), " ",IF(INDEX($AC$2:$AS$1001,MATCH(ROWS($V$2:V934),$V$2:$V$1001,0),MATCH(COLUMNS($AC$1006:AK1006),$AC$1006:$AS$1006,0)), HYPERLINK("#",""), HYPERLINK(CONCATENATE("#metadata!", ADDRESS(INDEX($X$2:$X$1001,MATCH(ROWS($V$2:V934),$V$2:$V$1001,0),0), INDEX($AC$1004:$AS$1004,1,MATCH(COLUMNS($AC$1006:AK1006),$AC$1006:$AS$1006,0)))),"Fix")))</f>
        <v xml:space="preserve"> </v>
      </c>
      <c r="K934" s="4" t="str">
        <f ca="1">IF(OR(INDEX($W$2:$W$1001,MATCH(ROWS($V$2:V934),$V$2:$V$1001,0),1)&gt;=100000,INDEX($AC$1005:$AS$1005,1,MATCH(COLUMNS($AC$1006:AL1006),$AC$1006:$AS$1006,0))&gt;=100000), " ",IF(INDEX($AC$2:$AS$1001,MATCH(ROWS($V$2:V934),$V$2:$V$1001,0),MATCH(COLUMNS($AC$1006:AL1006),$AC$1006:$AS$1006,0)), HYPERLINK("#",""), HYPERLINK(CONCATENATE("#metadata!", ADDRESS(INDEX($X$2:$X$1001,MATCH(ROWS($V$2:V934),$V$2:$V$1001,0),0), INDEX($AC$1004:$AS$1004,1,MATCH(COLUMNS($AC$1006:AL1006),$AC$1006:$AS$1006,0)))),"Fix")))</f>
        <v xml:space="preserve"> </v>
      </c>
      <c r="L934" s="4" t="str">
        <f ca="1">IF(OR(INDEX($W$2:$W$1001,MATCH(ROWS($V$2:V934),$V$2:$V$1001,0),1)&gt;=100000,INDEX($AC$1005:$AS$1005,1,MATCH(COLUMNS($AC$1006:AM1006),$AC$1006:$AS$1006,0))&gt;=100000), " ",IF(INDEX($AC$2:$AS$1001,MATCH(ROWS($V$2:V934),$V$2:$V$1001,0),MATCH(COLUMNS($AC$1006:AM1006),$AC$1006:$AS$1006,0)), HYPERLINK("#",""), HYPERLINK(CONCATENATE("#metadata!", ADDRESS(INDEX($X$2:$X$1001,MATCH(ROWS($V$2:V934),$V$2:$V$1001,0),0), INDEX($AC$1004:$AS$1004,1,MATCH(COLUMNS($AC$1006:AM1006),$AC$1006:$AS$1006,0)))),"Fix")))</f>
        <v xml:space="preserve"> </v>
      </c>
      <c r="M934" s="4" t="str">
        <f ca="1">IF(OR(INDEX($W$2:$W$1001,MATCH(ROWS($V$2:V934),$V$2:$V$1001,0),1)&gt;=100000,INDEX($AC$1005:$AS$1005,1,MATCH(COLUMNS($AC$1006:AN1006),$AC$1006:$AS$1006,0))&gt;=100000), " ",IF(INDEX($AC$2:$AS$1001,MATCH(ROWS($V$2:V934),$V$2:$V$1001,0),MATCH(COLUMNS($AC$1006:AN1006),$AC$1006:$AS$1006,0)), HYPERLINK("#",""), HYPERLINK(CONCATENATE("#metadata!", ADDRESS(INDEX($X$2:$X$1001,MATCH(ROWS($V$2:V934),$V$2:$V$1001,0),0), INDEX($AC$1004:$AS$1004,1,MATCH(COLUMNS($AC$1006:AN1006),$AC$1006:$AS$1006,0)))),"Fix")))</f>
        <v xml:space="preserve"> </v>
      </c>
      <c r="N934" s="4" t="str">
        <f ca="1">IF(OR(INDEX($W$2:$W$1001,MATCH(ROWS($V$2:V934),$V$2:$V$1001,0),1)&gt;=100000,INDEX($AC$1005:$AS$1005,1,MATCH(COLUMNS($AC$1006:AO1006),$AC$1006:$AS$1006,0))&gt;=100000), " ",IF(INDEX($AC$2:$AS$1001,MATCH(ROWS($V$2:V934),$V$2:$V$1001,0),MATCH(COLUMNS($AC$1006:AO1006),$AC$1006:$AS$1006,0)), HYPERLINK("#",""), HYPERLINK(CONCATENATE("#metadata!", ADDRESS(INDEX($X$2:$X$1001,MATCH(ROWS($V$2:V934),$V$2:$V$1001,0),0), INDEX($AC$1004:$AS$1004,1,MATCH(COLUMNS($AC$1006:AO1006),$AC$1006:$AS$1006,0)))),"Fix")))</f>
        <v xml:space="preserve"> </v>
      </c>
      <c r="O934" s="4" t="str">
        <f ca="1">IF(OR(INDEX($W$2:$W$1001,MATCH(ROWS($V$2:V934),$V$2:$V$1001,0),1)&gt;=100000,INDEX($AC$1005:$AS$1005,1,MATCH(COLUMNS($AC$1006:AP1006),$AC$1006:$AS$1006,0))&gt;=100000), " ",IF(INDEX($AC$2:$AS$1001,MATCH(ROWS($V$2:V934),$V$2:$V$1001,0),MATCH(COLUMNS($AC$1006:AP1006),$AC$1006:$AS$1006,0)), HYPERLINK("#",""), HYPERLINK(CONCATENATE("#metadata!", ADDRESS(INDEX($X$2:$X$1001,MATCH(ROWS($V$2:V934),$V$2:$V$1001,0),0), INDEX($AC$1004:$AS$1004,1,MATCH(COLUMNS($AC$1006:AP1006),$AC$1006:$AS$1006,0)))),"Fix")))</f>
        <v xml:space="preserve"> </v>
      </c>
      <c r="P934" s="4" t="str">
        <f ca="1">IF(OR(INDEX($W$2:$W$1001,MATCH(ROWS($V$2:V934),$V$2:$V$1001,0),1)&gt;=100000,INDEX($AC$1005:$AS$1005,1,MATCH(COLUMNS($AC$1006:AQ1006),$AC$1006:$AS$1006,0))&gt;=100000), " ",IF(INDEX($AC$2:$AS$1001,MATCH(ROWS($V$2:V934),$V$2:$V$1001,0),MATCH(COLUMNS($AC$1006:AQ1006),$AC$1006:$AS$1006,0)), HYPERLINK("#",""), HYPERLINK(CONCATENATE("#metadata!", ADDRESS(INDEX($X$2:$X$1001,MATCH(ROWS($V$2:V934),$V$2:$V$1001,0),0), INDEX($AC$1004:$AS$1004,1,MATCH(COLUMNS($AC$1006:AQ1006),$AC$1006:$AS$1006,0)))),"Fix")))</f>
        <v xml:space="preserve"> </v>
      </c>
      <c r="Q934" s="4" t="str">
        <f ca="1">IF(OR(INDEX($W$2:$W$1001,MATCH(ROWS($V$2:V934),$V$2:$V$1001,0),1)&gt;=100000,INDEX($AC$1005:$AS$1005,1,MATCH(COLUMNS($AC$1006:AR1006),$AC$1006:$AS$1006,0))&gt;=100000), " ",IF(INDEX($AC$2:$AS$1001,MATCH(ROWS($V$2:V934),$V$2:$V$1001,0),MATCH(COLUMNS($AC$1006:AR1006),$AC$1006:$AS$1006,0)), HYPERLINK("#",""), HYPERLINK(CONCATENATE("#metadata!", ADDRESS(INDEX($X$2:$X$1001,MATCH(ROWS($V$2:V934),$V$2:$V$1001,0),0), INDEX($AC$1004:$AS$1004,1,MATCH(COLUMNS($AC$1006:AR1006),$AC$1006:$AS$1006,0)))),"Fix")))</f>
        <v xml:space="preserve"> </v>
      </c>
      <c r="R934" s="4" t="str">
        <f ca="1">IF(OR(INDEX($W$2:$W$1001,MATCH(ROWS($V$2:V934),$V$2:$V$1001,0),1)&gt;=100000,INDEX($AC$1005:$AS$1005,1,MATCH(COLUMNS($AC$1006:AS1006),$AC$1006:$AS$1006,0))&gt;=100000), " ",IF(INDEX($AC$2:$AS$1001,MATCH(ROWS($V$2:V934),$V$2:$V$1001,0),MATCH(COLUMNS($AC$1006:AS1006),$AC$1006:$AS$1006,0)), HYPERLINK("#",""), HYPERLINK(CONCATENATE("#metadata!", ADDRESS(INDEX($X$2:$X$1001,MATCH(ROWS($V$2:V934),$V$2:$V$1001,0),0), INDEX($AC$1004:$AS$1004,1,MATCH(COLUMNS($AC$1006:AS1006),$AC$1006:$AS$1006,0)))),"Fix")))</f>
        <v xml:space="preserve"> </v>
      </c>
      <c r="V934">
        <v>933</v>
      </c>
      <c r="W934">
        <v>100934</v>
      </c>
      <c r="X934">
        <v>934</v>
      </c>
      <c r="Y934" t="b">
        <f t="shared" si="14"/>
        <v>1</v>
      </c>
      <c r="Z934" t="b">
        <f>COUNTBLANK(metadata!B934:R934)=COLUMNS(metadata!B934:R934)</f>
        <v>1</v>
      </c>
      <c r="AA934" t="str">
        <v/>
      </c>
      <c r="AC934" t="b">
        <f ca="1"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AD934" t="b">
        <f>IF(metadata!C934="",FALSE,ISNUMBER(VALUE(metadata!C934)))</f>
        <v>0</v>
      </c>
      <c r="AE934" t="b">
        <f>AND(IF(metadata!D934="",FALSE,TRUE),EXACT(metadata!D934,"years"))</f>
        <v>0</v>
      </c>
      <c r="AF934" t="b">
        <f>OR(AND(IF(metadata!E934="",FALSE,TRUE),OR(EXACT(metadata!E934,"not applicable"),EXACT(metadata!E934,"missing: not collected"),EXACT(metadata!E934,"missing: not provided"),EXACT(metadata!E934,"missing: restricted access"))),AND(IF(metadata!E934="",FALSE,ISNUMBER(VALUE(metadata!E934))),metadata!E934&gt;0))</f>
        <v>0</v>
      </c>
      <c r="AG934" t="b">
        <f>AND(IF(metadata!F934="",FALSE,TRUE),EXACT(metadata!F934,"Not applicable"))</f>
        <v>0</v>
      </c>
      <c r="AH934" t="b">
        <f>AND(IF(metadata!G934="",FALSE,TRUE),EXACT(metadata!G934,"urban biome"))</f>
        <v>0</v>
      </c>
      <c r="AI934" t="b">
        <f>AND(IF(metadata!H934="",FALSE,TRUE),EXACT(metadata!H934,"human-associated habitat"))</f>
        <v>0</v>
      </c>
      <c r="AJ934" t="b">
        <f>AND(IF(metadata!I934="",FALSE,TRUE),OR(EXACT(metadata!I934,"human-associated"),EXACT(metadata!I934,"human-skin"),EXACT(metadata!I934,"human-oral"),EXACT(metadata!I934,"human-gut"),EXACT(metadata!I934,"human-vaginal")))</f>
        <v>0</v>
      </c>
      <c r="AK934" t="b">
        <f>IF(metadata!J934="",FALSE,ISNUMBER(VALUE(metadata!J934)))</f>
        <v>0</v>
      </c>
      <c r="AL934" t="b">
        <f>AND(IF(metadata!K934="",FALSE,TRUE),EXACT(metadata!K934,"cm"))</f>
        <v>0</v>
      </c>
      <c r="AM934" t="b">
        <f>AND(IF(metadata!L934="",FALSE,TRUE),EXACT(metadata!L934,"human"))</f>
        <v>0</v>
      </c>
      <c r="AN934" t="b">
        <f>AND(IF(metadata!M934="",FALSE,TRUE),EXACT(metadata!M934,"Homo sapiens"))</f>
        <v>0</v>
      </c>
      <c r="AO934" t="b">
        <f>AND(IF(metadata!N934="",FALSE,TRUE),EXACT(metadata!N934,"9606"))</f>
        <v>0</v>
      </c>
      <c r="AP934" t="b">
        <f>IF(metadata!O934="",FALSE,TRUE)</f>
        <v>0</v>
      </c>
      <c r="AQ934" t="b">
        <f>IF(metadata!P934="",FALSE,TRUE)</f>
        <v>0</v>
      </c>
      <c r="AR934" t="b">
        <f>IF(metadata!Q934="",FALSE,ISNUMBER(VALUE(metadata!Q934)))</f>
        <v>0</v>
      </c>
      <c r="AS934" t="b">
        <f>AND(IF(metadata!R934="",FALSE,TRUE),EXACT(metadata!R934,"kg"))</f>
        <v>0</v>
      </c>
    </row>
    <row r="935" spans="1:45" x14ac:dyDescent="0.2">
      <c r="A935" s="5" t="str">
        <f ca="1">IF(B935=" "," ",HYPERLINK(CONCATENATE("#metadata!",ADDRESS(INDEX($X$2:$X$1001,MATCH(ROWS($V$2:V935),$V$2:$V$1001,0),0),1)),INDEX($AA$2:$AA$1001,MATCH(ROWS($V$2:V935),$V$2:$V$1001,0),0)))</f>
        <v xml:space="preserve"> </v>
      </c>
      <c r="B935" s="4" t="str">
        <f ca="1">IF(OR(INDEX($W$2:$W$1001,MATCH(ROWS($V$2:V935),$V$2:$V$1001,0),1)&gt;=100000,INDEX($AC$1005:$AS$1005,1,MATCH(COLUMNS($AC$1006:AC1006),$AC$1006:$AS$1006,0))&gt;=100000), " ",IF(INDEX($AC$2:$AS$1001,MATCH(ROWS($V$2:V935),$V$2:$V$1001,0),MATCH(COLUMNS($AC$1006:AC1006),$AC$1006:$AS$1006,0)), HYPERLINK("#",""), HYPERLINK(CONCATENATE("#metadata!", ADDRESS(INDEX($X$2:$X$1001,MATCH(ROWS($V$2:V935),$V$2:$V$1001,0),0), INDEX($AC$1004:$AS$1004,1,MATCH(COLUMNS($AC$1006:AC1006),$AC$1006:$AS$1006,0)))),"Fix")))</f>
        <v xml:space="preserve"> </v>
      </c>
      <c r="C935" s="4" t="str">
        <f ca="1">IF(OR(INDEX($W$2:$W$1001,MATCH(ROWS($V$2:V935),$V$2:$V$1001,0),1)&gt;=100000,INDEX($AC$1005:$AS$1005,1,MATCH(COLUMNS($AC$1006:AD1006),$AC$1006:$AS$1006,0))&gt;=100000), " ",IF(INDEX($AC$2:$AS$1001,MATCH(ROWS($V$2:V935),$V$2:$V$1001,0),MATCH(COLUMNS($AC$1006:AD1006),$AC$1006:$AS$1006,0)), HYPERLINK("#",""), HYPERLINK(CONCATENATE("#metadata!", ADDRESS(INDEX($X$2:$X$1001,MATCH(ROWS($V$2:V935),$V$2:$V$1001,0),0), INDEX($AC$1004:$AS$1004,1,MATCH(COLUMNS($AC$1006:AD1006),$AC$1006:$AS$1006,0)))),"Fix")))</f>
        <v xml:space="preserve"> </v>
      </c>
      <c r="D935" s="4" t="str">
        <f ca="1">IF(OR(INDEX($W$2:$W$1001,MATCH(ROWS($V$2:V935),$V$2:$V$1001,0),1)&gt;=100000,INDEX($AC$1005:$AS$1005,1,MATCH(COLUMNS($AC$1006:AE1006),$AC$1006:$AS$1006,0))&gt;=100000), " ",IF(INDEX($AC$2:$AS$1001,MATCH(ROWS($V$2:V935),$V$2:$V$1001,0),MATCH(COLUMNS($AC$1006:AE1006),$AC$1006:$AS$1006,0)), HYPERLINK("#",""), HYPERLINK(CONCATENATE("#metadata!", ADDRESS(INDEX($X$2:$X$1001,MATCH(ROWS($V$2:V935),$V$2:$V$1001,0),0), INDEX($AC$1004:$AS$1004,1,MATCH(COLUMNS($AC$1006:AE1006),$AC$1006:$AS$1006,0)))),"Fix")))</f>
        <v xml:space="preserve"> </v>
      </c>
      <c r="E935" s="4" t="str">
        <f ca="1">IF(OR(INDEX($W$2:$W$1001,MATCH(ROWS($V$2:V935),$V$2:$V$1001,0),1)&gt;=100000,INDEX($AC$1005:$AS$1005,1,MATCH(COLUMNS($AC$1006:AF1006),$AC$1006:$AS$1006,0))&gt;=100000), " ",IF(INDEX($AC$2:$AS$1001,MATCH(ROWS($V$2:V935),$V$2:$V$1001,0),MATCH(COLUMNS($AC$1006:AF1006),$AC$1006:$AS$1006,0)), HYPERLINK("#",""), HYPERLINK(CONCATENATE("#metadata!", ADDRESS(INDEX($X$2:$X$1001,MATCH(ROWS($V$2:V935),$V$2:$V$1001,0),0), INDEX($AC$1004:$AS$1004,1,MATCH(COLUMNS($AC$1006:AF1006),$AC$1006:$AS$1006,0)))),"Fix")))</f>
        <v xml:space="preserve"> </v>
      </c>
      <c r="F935" s="4" t="str">
        <f ca="1">IF(OR(INDEX($W$2:$W$1001,MATCH(ROWS($V$2:V935),$V$2:$V$1001,0),1)&gt;=100000,INDEX($AC$1005:$AS$1005,1,MATCH(COLUMNS($AC$1006:AG1006),$AC$1006:$AS$1006,0))&gt;=100000), " ",IF(INDEX($AC$2:$AS$1001,MATCH(ROWS($V$2:V935),$V$2:$V$1001,0),MATCH(COLUMNS($AC$1006:AG1006),$AC$1006:$AS$1006,0)), HYPERLINK("#",""), HYPERLINK(CONCATENATE("#metadata!", ADDRESS(INDEX($X$2:$X$1001,MATCH(ROWS($V$2:V935),$V$2:$V$1001,0),0), INDEX($AC$1004:$AS$1004,1,MATCH(COLUMNS($AC$1006:AG1006),$AC$1006:$AS$1006,0)))),"Fix")))</f>
        <v xml:space="preserve"> </v>
      </c>
      <c r="G935" s="4" t="str">
        <f ca="1">IF(OR(INDEX($W$2:$W$1001,MATCH(ROWS($V$2:V935),$V$2:$V$1001,0),1)&gt;=100000,INDEX($AC$1005:$AS$1005,1,MATCH(COLUMNS($AC$1006:AH1006),$AC$1006:$AS$1006,0))&gt;=100000), " ",IF(INDEX($AC$2:$AS$1001,MATCH(ROWS($V$2:V935),$V$2:$V$1001,0),MATCH(COLUMNS($AC$1006:AH1006),$AC$1006:$AS$1006,0)), HYPERLINK("#",""), HYPERLINK(CONCATENATE("#metadata!", ADDRESS(INDEX($X$2:$X$1001,MATCH(ROWS($V$2:V935),$V$2:$V$1001,0),0), INDEX($AC$1004:$AS$1004,1,MATCH(COLUMNS($AC$1006:AH1006),$AC$1006:$AS$1006,0)))),"Fix")))</f>
        <v xml:space="preserve"> </v>
      </c>
      <c r="H935" s="4" t="str">
        <f ca="1">IF(OR(INDEX($W$2:$W$1001,MATCH(ROWS($V$2:V935),$V$2:$V$1001,0),1)&gt;=100000,INDEX($AC$1005:$AS$1005,1,MATCH(COLUMNS($AC$1006:AI1006),$AC$1006:$AS$1006,0))&gt;=100000), " ",IF(INDEX($AC$2:$AS$1001,MATCH(ROWS($V$2:V935),$V$2:$V$1001,0),MATCH(COLUMNS($AC$1006:AI1006),$AC$1006:$AS$1006,0)), HYPERLINK("#",""), HYPERLINK(CONCATENATE("#metadata!", ADDRESS(INDEX($X$2:$X$1001,MATCH(ROWS($V$2:V935),$V$2:$V$1001,0),0), INDEX($AC$1004:$AS$1004,1,MATCH(COLUMNS($AC$1006:AI1006),$AC$1006:$AS$1006,0)))),"Fix")))</f>
        <v xml:space="preserve"> </v>
      </c>
      <c r="I935" s="4" t="str">
        <f ca="1">IF(OR(INDEX($W$2:$W$1001,MATCH(ROWS($V$2:V935),$V$2:$V$1001,0),1)&gt;=100000,INDEX($AC$1005:$AS$1005,1,MATCH(COLUMNS($AC$1006:AJ1006),$AC$1006:$AS$1006,0))&gt;=100000), " ",IF(INDEX($AC$2:$AS$1001,MATCH(ROWS($V$2:V935),$V$2:$V$1001,0),MATCH(COLUMNS($AC$1006:AJ1006),$AC$1006:$AS$1006,0)), HYPERLINK("#",""), HYPERLINK(CONCATENATE("#metadata!", ADDRESS(INDEX($X$2:$X$1001,MATCH(ROWS($V$2:V935),$V$2:$V$1001,0),0), INDEX($AC$1004:$AS$1004,1,MATCH(COLUMNS($AC$1006:AJ1006),$AC$1006:$AS$1006,0)))),"Fix")))</f>
        <v xml:space="preserve"> </v>
      </c>
      <c r="J935" s="4" t="str">
        <f ca="1">IF(OR(INDEX($W$2:$W$1001,MATCH(ROWS($V$2:V935),$V$2:$V$1001,0),1)&gt;=100000,INDEX($AC$1005:$AS$1005,1,MATCH(COLUMNS($AC$1006:AK1006),$AC$1006:$AS$1006,0))&gt;=100000), " ",IF(INDEX($AC$2:$AS$1001,MATCH(ROWS($V$2:V935),$V$2:$V$1001,0),MATCH(COLUMNS($AC$1006:AK1006),$AC$1006:$AS$1006,0)), HYPERLINK("#",""), HYPERLINK(CONCATENATE("#metadata!", ADDRESS(INDEX($X$2:$X$1001,MATCH(ROWS($V$2:V935),$V$2:$V$1001,0),0), INDEX($AC$1004:$AS$1004,1,MATCH(COLUMNS($AC$1006:AK1006),$AC$1006:$AS$1006,0)))),"Fix")))</f>
        <v xml:space="preserve"> </v>
      </c>
      <c r="K935" s="4" t="str">
        <f ca="1">IF(OR(INDEX($W$2:$W$1001,MATCH(ROWS($V$2:V935),$V$2:$V$1001,0),1)&gt;=100000,INDEX($AC$1005:$AS$1005,1,MATCH(COLUMNS($AC$1006:AL1006),$AC$1006:$AS$1006,0))&gt;=100000), " ",IF(INDEX($AC$2:$AS$1001,MATCH(ROWS($V$2:V935),$V$2:$V$1001,0),MATCH(COLUMNS($AC$1006:AL1006),$AC$1006:$AS$1006,0)), HYPERLINK("#",""), HYPERLINK(CONCATENATE("#metadata!", ADDRESS(INDEX($X$2:$X$1001,MATCH(ROWS($V$2:V935),$V$2:$V$1001,0),0), INDEX($AC$1004:$AS$1004,1,MATCH(COLUMNS($AC$1006:AL1006),$AC$1006:$AS$1006,0)))),"Fix")))</f>
        <v xml:space="preserve"> </v>
      </c>
      <c r="L935" s="4" t="str">
        <f ca="1">IF(OR(INDEX($W$2:$W$1001,MATCH(ROWS($V$2:V935),$V$2:$V$1001,0),1)&gt;=100000,INDEX($AC$1005:$AS$1005,1,MATCH(COLUMNS($AC$1006:AM1006),$AC$1006:$AS$1006,0))&gt;=100000), " ",IF(INDEX($AC$2:$AS$1001,MATCH(ROWS($V$2:V935),$V$2:$V$1001,0),MATCH(COLUMNS($AC$1006:AM1006),$AC$1006:$AS$1006,0)), HYPERLINK("#",""), HYPERLINK(CONCATENATE("#metadata!", ADDRESS(INDEX($X$2:$X$1001,MATCH(ROWS($V$2:V935),$V$2:$V$1001,0),0), INDEX($AC$1004:$AS$1004,1,MATCH(COLUMNS($AC$1006:AM1006),$AC$1006:$AS$1006,0)))),"Fix")))</f>
        <v xml:space="preserve"> </v>
      </c>
      <c r="M935" s="4" t="str">
        <f ca="1">IF(OR(INDEX($W$2:$W$1001,MATCH(ROWS($V$2:V935),$V$2:$V$1001,0),1)&gt;=100000,INDEX($AC$1005:$AS$1005,1,MATCH(COLUMNS($AC$1006:AN1006),$AC$1006:$AS$1006,0))&gt;=100000), " ",IF(INDEX($AC$2:$AS$1001,MATCH(ROWS($V$2:V935),$V$2:$V$1001,0),MATCH(COLUMNS($AC$1006:AN1006),$AC$1006:$AS$1006,0)), HYPERLINK("#",""), HYPERLINK(CONCATENATE("#metadata!", ADDRESS(INDEX($X$2:$X$1001,MATCH(ROWS($V$2:V935),$V$2:$V$1001,0),0), INDEX($AC$1004:$AS$1004,1,MATCH(COLUMNS($AC$1006:AN1006),$AC$1006:$AS$1006,0)))),"Fix")))</f>
        <v xml:space="preserve"> </v>
      </c>
      <c r="N935" s="4" t="str">
        <f ca="1">IF(OR(INDEX($W$2:$W$1001,MATCH(ROWS($V$2:V935),$V$2:$V$1001,0),1)&gt;=100000,INDEX($AC$1005:$AS$1005,1,MATCH(COLUMNS($AC$1006:AO1006),$AC$1006:$AS$1006,0))&gt;=100000), " ",IF(INDEX($AC$2:$AS$1001,MATCH(ROWS($V$2:V935),$V$2:$V$1001,0),MATCH(COLUMNS($AC$1006:AO1006),$AC$1006:$AS$1006,0)), HYPERLINK("#",""), HYPERLINK(CONCATENATE("#metadata!", ADDRESS(INDEX($X$2:$X$1001,MATCH(ROWS($V$2:V935),$V$2:$V$1001,0),0), INDEX($AC$1004:$AS$1004,1,MATCH(COLUMNS($AC$1006:AO1006),$AC$1006:$AS$1006,0)))),"Fix")))</f>
        <v xml:space="preserve"> </v>
      </c>
      <c r="O935" s="4" t="str">
        <f ca="1">IF(OR(INDEX($W$2:$W$1001,MATCH(ROWS($V$2:V935),$V$2:$V$1001,0),1)&gt;=100000,INDEX($AC$1005:$AS$1005,1,MATCH(COLUMNS($AC$1006:AP1006),$AC$1006:$AS$1006,0))&gt;=100000), " ",IF(INDEX($AC$2:$AS$1001,MATCH(ROWS($V$2:V935),$V$2:$V$1001,0),MATCH(COLUMNS($AC$1006:AP1006),$AC$1006:$AS$1006,0)), HYPERLINK("#",""), HYPERLINK(CONCATENATE("#metadata!", ADDRESS(INDEX($X$2:$X$1001,MATCH(ROWS($V$2:V935),$V$2:$V$1001,0),0), INDEX($AC$1004:$AS$1004,1,MATCH(COLUMNS($AC$1006:AP1006),$AC$1006:$AS$1006,0)))),"Fix")))</f>
        <v xml:space="preserve"> </v>
      </c>
      <c r="P935" s="4" t="str">
        <f ca="1">IF(OR(INDEX($W$2:$W$1001,MATCH(ROWS($V$2:V935),$V$2:$V$1001,0),1)&gt;=100000,INDEX($AC$1005:$AS$1005,1,MATCH(COLUMNS($AC$1006:AQ1006),$AC$1006:$AS$1006,0))&gt;=100000), " ",IF(INDEX($AC$2:$AS$1001,MATCH(ROWS($V$2:V935),$V$2:$V$1001,0),MATCH(COLUMNS($AC$1006:AQ1006),$AC$1006:$AS$1006,0)), HYPERLINK("#",""), HYPERLINK(CONCATENATE("#metadata!", ADDRESS(INDEX($X$2:$X$1001,MATCH(ROWS($V$2:V935),$V$2:$V$1001,0),0), INDEX($AC$1004:$AS$1004,1,MATCH(COLUMNS($AC$1006:AQ1006),$AC$1006:$AS$1006,0)))),"Fix")))</f>
        <v xml:space="preserve"> </v>
      </c>
      <c r="Q935" s="4" t="str">
        <f ca="1">IF(OR(INDEX($W$2:$W$1001,MATCH(ROWS($V$2:V935),$V$2:$V$1001,0),1)&gt;=100000,INDEX($AC$1005:$AS$1005,1,MATCH(COLUMNS($AC$1006:AR1006),$AC$1006:$AS$1006,0))&gt;=100000), " ",IF(INDEX($AC$2:$AS$1001,MATCH(ROWS($V$2:V935),$V$2:$V$1001,0),MATCH(COLUMNS($AC$1006:AR1006),$AC$1006:$AS$1006,0)), HYPERLINK("#",""), HYPERLINK(CONCATENATE("#metadata!", ADDRESS(INDEX($X$2:$X$1001,MATCH(ROWS($V$2:V935),$V$2:$V$1001,0),0), INDEX($AC$1004:$AS$1004,1,MATCH(COLUMNS($AC$1006:AR1006),$AC$1006:$AS$1006,0)))),"Fix")))</f>
        <v xml:space="preserve"> </v>
      </c>
      <c r="R935" s="4" t="str">
        <f ca="1">IF(OR(INDEX($W$2:$W$1001,MATCH(ROWS($V$2:V935),$V$2:$V$1001,0),1)&gt;=100000,INDEX($AC$1005:$AS$1005,1,MATCH(COLUMNS($AC$1006:AS1006),$AC$1006:$AS$1006,0))&gt;=100000), " ",IF(INDEX($AC$2:$AS$1001,MATCH(ROWS($V$2:V935),$V$2:$V$1001,0),MATCH(COLUMNS($AC$1006:AS1006),$AC$1006:$AS$1006,0)), HYPERLINK("#",""), HYPERLINK(CONCATENATE("#metadata!", ADDRESS(INDEX($X$2:$X$1001,MATCH(ROWS($V$2:V935),$V$2:$V$1001,0),0), INDEX($AC$1004:$AS$1004,1,MATCH(COLUMNS($AC$1006:AS1006),$AC$1006:$AS$1006,0)))),"Fix")))</f>
        <v xml:space="preserve"> </v>
      </c>
      <c r="V935">
        <v>934</v>
      </c>
      <c r="W935">
        <v>100935</v>
      </c>
      <c r="X935">
        <v>935</v>
      </c>
      <c r="Y935" t="b">
        <f t="shared" si="14"/>
        <v>1</v>
      </c>
      <c r="Z935" t="b">
        <f>COUNTBLANK(metadata!B935:R935)=COLUMNS(metadata!B935:R935)</f>
        <v>1</v>
      </c>
      <c r="AA935" t="str">
        <v/>
      </c>
      <c r="AC935" t="b">
        <f ca="1"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AD935" t="b">
        <f>IF(metadata!C935="",FALSE,ISNUMBER(VALUE(metadata!C935)))</f>
        <v>0</v>
      </c>
      <c r="AE935" t="b">
        <f>AND(IF(metadata!D935="",FALSE,TRUE),EXACT(metadata!D935,"years"))</f>
        <v>0</v>
      </c>
      <c r="AF935" t="b">
        <f>OR(AND(IF(metadata!E935="",FALSE,TRUE),OR(EXACT(metadata!E935,"not applicable"),EXACT(metadata!E935,"missing: not collected"),EXACT(metadata!E935,"missing: not provided"),EXACT(metadata!E935,"missing: restricted access"))),AND(IF(metadata!E935="",FALSE,ISNUMBER(VALUE(metadata!E935))),metadata!E935&gt;0))</f>
        <v>0</v>
      </c>
      <c r="AG935" t="b">
        <f>AND(IF(metadata!F935="",FALSE,TRUE),EXACT(metadata!F935,"Not applicable"))</f>
        <v>0</v>
      </c>
      <c r="AH935" t="b">
        <f>AND(IF(metadata!G935="",FALSE,TRUE),EXACT(metadata!G935,"urban biome"))</f>
        <v>0</v>
      </c>
      <c r="AI935" t="b">
        <f>AND(IF(metadata!H935="",FALSE,TRUE),EXACT(metadata!H935,"human-associated habitat"))</f>
        <v>0</v>
      </c>
      <c r="AJ935" t="b">
        <f>AND(IF(metadata!I935="",FALSE,TRUE),OR(EXACT(metadata!I935,"human-associated"),EXACT(metadata!I935,"human-skin"),EXACT(metadata!I935,"human-oral"),EXACT(metadata!I935,"human-gut"),EXACT(metadata!I935,"human-vaginal")))</f>
        <v>0</v>
      </c>
      <c r="AK935" t="b">
        <f>IF(metadata!J935="",FALSE,ISNUMBER(VALUE(metadata!J935)))</f>
        <v>0</v>
      </c>
      <c r="AL935" t="b">
        <f>AND(IF(metadata!K935="",FALSE,TRUE),EXACT(metadata!K935,"cm"))</f>
        <v>0</v>
      </c>
      <c r="AM935" t="b">
        <f>AND(IF(metadata!L935="",FALSE,TRUE),EXACT(metadata!L935,"human"))</f>
        <v>0</v>
      </c>
      <c r="AN935" t="b">
        <f>AND(IF(metadata!M935="",FALSE,TRUE),EXACT(metadata!M935,"Homo sapiens"))</f>
        <v>0</v>
      </c>
      <c r="AO935" t="b">
        <f>AND(IF(metadata!N935="",FALSE,TRUE),EXACT(metadata!N935,"9606"))</f>
        <v>0</v>
      </c>
      <c r="AP935" t="b">
        <f>IF(metadata!O935="",FALSE,TRUE)</f>
        <v>0</v>
      </c>
      <c r="AQ935" t="b">
        <f>IF(metadata!P935="",FALSE,TRUE)</f>
        <v>0</v>
      </c>
      <c r="AR935" t="b">
        <f>IF(metadata!Q935="",FALSE,ISNUMBER(VALUE(metadata!Q935)))</f>
        <v>0</v>
      </c>
      <c r="AS935" t="b">
        <f>AND(IF(metadata!R935="",FALSE,TRUE),EXACT(metadata!R935,"kg"))</f>
        <v>0</v>
      </c>
    </row>
    <row r="936" spans="1:45" x14ac:dyDescent="0.2">
      <c r="A936" s="5" t="str">
        <f ca="1">IF(B936=" "," ",HYPERLINK(CONCATENATE("#metadata!",ADDRESS(INDEX($X$2:$X$1001,MATCH(ROWS($V$2:V936),$V$2:$V$1001,0),0),1)),INDEX($AA$2:$AA$1001,MATCH(ROWS($V$2:V936),$V$2:$V$1001,0),0)))</f>
        <v xml:space="preserve"> </v>
      </c>
      <c r="B936" s="4" t="str">
        <f ca="1">IF(OR(INDEX($W$2:$W$1001,MATCH(ROWS($V$2:V936),$V$2:$V$1001,0),1)&gt;=100000,INDEX($AC$1005:$AS$1005,1,MATCH(COLUMNS($AC$1006:AC1006),$AC$1006:$AS$1006,0))&gt;=100000), " ",IF(INDEX($AC$2:$AS$1001,MATCH(ROWS($V$2:V936),$V$2:$V$1001,0),MATCH(COLUMNS($AC$1006:AC1006),$AC$1006:$AS$1006,0)), HYPERLINK("#",""), HYPERLINK(CONCATENATE("#metadata!", ADDRESS(INDEX($X$2:$X$1001,MATCH(ROWS($V$2:V936),$V$2:$V$1001,0),0), INDEX($AC$1004:$AS$1004,1,MATCH(COLUMNS($AC$1006:AC1006),$AC$1006:$AS$1006,0)))),"Fix")))</f>
        <v xml:space="preserve"> </v>
      </c>
      <c r="C936" s="4" t="str">
        <f ca="1">IF(OR(INDEX($W$2:$W$1001,MATCH(ROWS($V$2:V936),$V$2:$V$1001,0),1)&gt;=100000,INDEX($AC$1005:$AS$1005,1,MATCH(COLUMNS($AC$1006:AD1006),$AC$1006:$AS$1006,0))&gt;=100000), " ",IF(INDEX($AC$2:$AS$1001,MATCH(ROWS($V$2:V936),$V$2:$V$1001,0),MATCH(COLUMNS($AC$1006:AD1006),$AC$1006:$AS$1006,0)), HYPERLINK("#",""), HYPERLINK(CONCATENATE("#metadata!", ADDRESS(INDEX($X$2:$X$1001,MATCH(ROWS($V$2:V936),$V$2:$V$1001,0),0), INDEX($AC$1004:$AS$1004,1,MATCH(COLUMNS($AC$1006:AD1006),$AC$1006:$AS$1006,0)))),"Fix")))</f>
        <v xml:space="preserve"> </v>
      </c>
      <c r="D936" s="4" t="str">
        <f ca="1">IF(OR(INDEX($W$2:$W$1001,MATCH(ROWS($V$2:V936),$V$2:$V$1001,0),1)&gt;=100000,INDEX($AC$1005:$AS$1005,1,MATCH(COLUMNS($AC$1006:AE1006),$AC$1006:$AS$1006,0))&gt;=100000), " ",IF(INDEX($AC$2:$AS$1001,MATCH(ROWS($V$2:V936),$V$2:$V$1001,0),MATCH(COLUMNS($AC$1006:AE1006),$AC$1006:$AS$1006,0)), HYPERLINK("#",""), HYPERLINK(CONCATENATE("#metadata!", ADDRESS(INDEX($X$2:$X$1001,MATCH(ROWS($V$2:V936),$V$2:$V$1001,0),0), INDEX($AC$1004:$AS$1004,1,MATCH(COLUMNS($AC$1006:AE1006),$AC$1006:$AS$1006,0)))),"Fix")))</f>
        <v xml:space="preserve"> </v>
      </c>
      <c r="E936" s="4" t="str">
        <f ca="1">IF(OR(INDEX($W$2:$W$1001,MATCH(ROWS($V$2:V936),$V$2:$V$1001,0),1)&gt;=100000,INDEX($AC$1005:$AS$1005,1,MATCH(COLUMNS($AC$1006:AF1006),$AC$1006:$AS$1006,0))&gt;=100000), " ",IF(INDEX($AC$2:$AS$1001,MATCH(ROWS($V$2:V936),$V$2:$V$1001,0),MATCH(COLUMNS($AC$1006:AF1006),$AC$1006:$AS$1006,0)), HYPERLINK("#",""), HYPERLINK(CONCATENATE("#metadata!", ADDRESS(INDEX($X$2:$X$1001,MATCH(ROWS($V$2:V936),$V$2:$V$1001,0),0), INDEX($AC$1004:$AS$1004,1,MATCH(COLUMNS($AC$1006:AF1006),$AC$1006:$AS$1006,0)))),"Fix")))</f>
        <v xml:space="preserve"> </v>
      </c>
      <c r="F936" s="4" t="str">
        <f ca="1">IF(OR(INDEX($W$2:$W$1001,MATCH(ROWS($V$2:V936),$V$2:$V$1001,0),1)&gt;=100000,INDEX($AC$1005:$AS$1005,1,MATCH(COLUMNS($AC$1006:AG1006),$AC$1006:$AS$1006,0))&gt;=100000), " ",IF(INDEX($AC$2:$AS$1001,MATCH(ROWS($V$2:V936),$V$2:$V$1001,0),MATCH(COLUMNS($AC$1006:AG1006),$AC$1006:$AS$1006,0)), HYPERLINK("#",""), HYPERLINK(CONCATENATE("#metadata!", ADDRESS(INDEX($X$2:$X$1001,MATCH(ROWS($V$2:V936),$V$2:$V$1001,0),0), INDEX($AC$1004:$AS$1004,1,MATCH(COLUMNS($AC$1006:AG1006),$AC$1006:$AS$1006,0)))),"Fix")))</f>
        <v xml:space="preserve"> </v>
      </c>
      <c r="G936" s="4" t="str">
        <f ca="1">IF(OR(INDEX($W$2:$W$1001,MATCH(ROWS($V$2:V936),$V$2:$V$1001,0),1)&gt;=100000,INDEX($AC$1005:$AS$1005,1,MATCH(COLUMNS($AC$1006:AH1006),$AC$1006:$AS$1006,0))&gt;=100000), " ",IF(INDEX($AC$2:$AS$1001,MATCH(ROWS($V$2:V936),$V$2:$V$1001,0),MATCH(COLUMNS($AC$1006:AH1006),$AC$1006:$AS$1006,0)), HYPERLINK("#",""), HYPERLINK(CONCATENATE("#metadata!", ADDRESS(INDEX($X$2:$X$1001,MATCH(ROWS($V$2:V936),$V$2:$V$1001,0),0), INDEX($AC$1004:$AS$1004,1,MATCH(COLUMNS($AC$1006:AH1006),$AC$1006:$AS$1006,0)))),"Fix")))</f>
        <v xml:space="preserve"> </v>
      </c>
      <c r="H936" s="4" t="str">
        <f ca="1">IF(OR(INDEX($W$2:$W$1001,MATCH(ROWS($V$2:V936),$V$2:$V$1001,0),1)&gt;=100000,INDEX($AC$1005:$AS$1005,1,MATCH(COLUMNS($AC$1006:AI1006),$AC$1006:$AS$1006,0))&gt;=100000), " ",IF(INDEX($AC$2:$AS$1001,MATCH(ROWS($V$2:V936),$V$2:$V$1001,0),MATCH(COLUMNS($AC$1006:AI1006),$AC$1006:$AS$1006,0)), HYPERLINK("#",""), HYPERLINK(CONCATENATE("#metadata!", ADDRESS(INDEX($X$2:$X$1001,MATCH(ROWS($V$2:V936),$V$2:$V$1001,0),0), INDEX($AC$1004:$AS$1004,1,MATCH(COLUMNS($AC$1006:AI1006),$AC$1006:$AS$1006,0)))),"Fix")))</f>
        <v xml:space="preserve"> </v>
      </c>
      <c r="I936" s="4" t="str">
        <f ca="1">IF(OR(INDEX($W$2:$W$1001,MATCH(ROWS($V$2:V936),$V$2:$V$1001,0),1)&gt;=100000,INDEX($AC$1005:$AS$1005,1,MATCH(COLUMNS($AC$1006:AJ1006),$AC$1006:$AS$1006,0))&gt;=100000), " ",IF(INDEX($AC$2:$AS$1001,MATCH(ROWS($V$2:V936),$V$2:$V$1001,0),MATCH(COLUMNS($AC$1006:AJ1006),$AC$1006:$AS$1006,0)), HYPERLINK("#",""), HYPERLINK(CONCATENATE("#metadata!", ADDRESS(INDEX($X$2:$X$1001,MATCH(ROWS($V$2:V936),$V$2:$V$1001,0),0), INDEX($AC$1004:$AS$1004,1,MATCH(COLUMNS($AC$1006:AJ1006),$AC$1006:$AS$1006,0)))),"Fix")))</f>
        <v xml:space="preserve"> </v>
      </c>
      <c r="J936" s="4" t="str">
        <f ca="1">IF(OR(INDEX($W$2:$W$1001,MATCH(ROWS($V$2:V936),$V$2:$V$1001,0),1)&gt;=100000,INDEX($AC$1005:$AS$1005,1,MATCH(COLUMNS($AC$1006:AK1006),$AC$1006:$AS$1006,0))&gt;=100000), " ",IF(INDEX($AC$2:$AS$1001,MATCH(ROWS($V$2:V936),$V$2:$V$1001,0),MATCH(COLUMNS($AC$1006:AK1006),$AC$1006:$AS$1006,0)), HYPERLINK("#",""), HYPERLINK(CONCATENATE("#metadata!", ADDRESS(INDEX($X$2:$X$1001,MATCH(ROWS($V$2:V936),$V$2:$V$1001,0),0), INDEX($AC$1004:$AS$1004,1,MATCH(COLUMNS($AC$1006:AK1006),$AC$1006:$AS$1006,0)))),"Fix")))</f>
        <v xml:space="preserve"> </v>
      </c>
      <c r="K936" s="4" t="str">
        <f ca="1">IF(OR(INDEX($W$2:$W$1001,MATCH(ROWS($V$2:V936),$V$2:$V$1001,0),1)&gt;=100000,INDEX($AC$1005:$AS$1005,1,MATCH(COLUMNS($AC$1006:AL1006),$AC$1006:$AS$1006,0))&gt;=100000), " ",IF(INDEX($AC$2:$AS$1001,MATCH(ROWS($V$2:V936),$V$2:$V$1001,0),MATCH(COLUMNS($AC$1006:AL1006),$AC$1006:$AS$1006,0)), HYPERLINK("#",""), HYPERLINK(CONCATENATE("#metadata!", ADDRESS(INDEX($X$2:$X$1001,MATCH(ROWS($V$2:V936),$V$2:$V$1001,0),0), INDEX($AC$1004:$AS$1004,1,MATCH(COLUMNS($AC$1006:AL1006),$AC$1006:$AS$1006,0)))),"Fix")))</f>
        <v xml:space="preserve"> </v>
      </c>
      <c r="L936" s="4" t="str">
        <f ca="1">IF(OR(INDEX($W$2:$W$1001,MATCH(ROWS($V$2:V936),$V$2:$V$1001,0),1)&gt;=100000,INDEX($AC$1005:$AS$1005,1,MATCH(COLUMNS($AC$1006:AM1006),$AC$1006:$AS$1006,0))&gt;=100000), " ",IF(INDEX($AC$2:$AS$1001,MATCH(ROWS($V$2:V936),$V$2:$V$1001,0),MATCH(COLUMNS($AC$1006:AM1006),$AC$1006:$AS$1006,0)), HYPERLINK("#",""), HYPERLINK(CONCATENATE("#metadata!", ADDRESS(INDEX($X$2:$X$1001,MATCH(ROWS($V$2:V936),$V$2:$V$1001,0),0), INDEX($AC$1004:$AS$1004,1,MATCH(COLUMNS($AC$1006:AM1006),$AC$1006:$AS$1006,0)))),"Fix")))</f>
        <v xml:space="preserve"> </v>
      </c>
      <c r="M936" s="4" t="str">
        <f ca="1">IF(OR(INDEX($W$2:$W$1001,MATCH(ROWS($V$2:V936),$V$2:$V$1001,0),1)&gt;=100000,INDEX($AC$1005:$AS$1005,1,MATCH(COLUMNS($AC$1006:AN1006),$AC$1006:$AS$1006,0))&gt;=100000), " ",IF(INDEX($AC$2:$AS$1001,MATCH(ROWS($V$2:V936),$V$2:$V$1001,0),MATCH(COLUMNS($AC$1006:AN1006),$AC$1006:$AS$1006,0)), HYPERLINK("#",""), HYPERLINK(CONCATENATE("#metadata!", ADDRESS(INDEX($X$2:$X$1001,MATCH(ROWS($V$2:V936),$V$2:$V$1001,0),0), INDEX($AC$1004:$AS$1004,1,MATCH(COLUMNS($AC$1006:AN1006),$AC$1006:$AS$1006,0)))),"Fix")))</f>
        <v xml:space="preserve"> </v>
      </c>
      <c r="N936" s="4" t="str">
        <f ca="1">IF(OR(INDEX($W$2:$W$1001,MATCH(ROWS($V$2:V936),$V$2:$V$1001,0),1)&gt;=100000,INDEX($AC$1005:$AS$1005,1,MATCH(COLUMNS($AC$1006:AO1006),$AC$1006:$AS$1006,0))&gt;=100000), " ",IF(INDEX($AC$2:$AS$1001,MATCH(ROWS($V$2:V936),$V$2:$V$1001,0),MATCH(COLUMNS($AC$1006:AO1006),$AC$1006:$AS$1006,0)), HYPERLINK("#",""), HYPERLINK(CONCATENATE("#metadata!", ADDRESS(INDEX($X$2:$X$1001,MATCH(ROWS($V$2:V936),$V$2:$V$1001,0),0), INDEX($AC$1004:$AS$1004,1,MATCH(COLUMNS($AC$1006:AO1006),$AC$1006:$AS$1006,0)))),"Fix")))</f>
        <v xml:space="preserve"> </v>
      </c>
      <c r="O936" s="4" t="str">
        <f ca="1">IF(OR(INDEX($W$2:$W$1001,MATCH(ROWS($V$2:V936),$V$2:$V$1001,0),1)&gt;=100000,INDEX($AC$1005:$AS$1005,1,MATCH(COLUMNS($AC$1006:AP1006),$AC$1006:$AS$1006,0))&gt;=100000), " ",IF(INDEX($AC$2:$AS$1001,MATCH(ROWS($V$2:V936),$V$2:$V$1001,0),MATCH(COLUMNS($AC$1006:AP1006),$AC$1006:$AS$1006,0)), HYPERLINK("#",""), HYPERLINK(CONCATENATE("#metadata!", ADDRESS(INDEX($X$2:$X$1001,MATCH(ROWS($V$2:V936),$V$2:$V$1001,0),0), INDEX($AC$1004:$AS$1004,1,MATCH(COLUMNS($AC$1006:AP1006),$AC$1006:$AS$1006,0)))),"Fix")))</f>
        <v xml:space="preserve"> </v>
      </c>
      <c r="P936" s="4" t="str">
        <f ca="1">IF(OR(INDEX($W$2:$W$1001,MATCH(ROWS($V$2:V936),$V$2:$V$1001,0),1)&gt;=100000,INDEX($AC$1005:$AS$1005,1,MATCH(COLUMNS($AC$1006:AQ1006),$AC$1006:$AS$1006,0))&gt;=100000), " ",IF(INDEX($AC$2:$AS$1001,MATCH(ROWS($V$2:V936),$V$2:$V$1001,0),MATCH(COLUMNS($AC$1006:AQ1006),$AC$1006:$AS$1006,0)), HYPERLINK("#",""), HYPERLINK(CONCATENATE("#metadata!", ADDRESS(INDEX($X$2:$X$1001,MATCH(ROWS($V$2:V936),$V$2:$V$1001,0),0), INDEX($AC$1004:$AS$1004,1,MATCH(COLUMNS($AC$1006:AQ1006),$AC$1006:$AS$1006,0)))),"Fix")))</f>
        <v xml:space="preserve"> </v>
      </c>
      <c r="Q936" s="4" t="str">
        <f ca="1">IF(OR(INDEX($W$2:$W$1001,MATCH(ROWS($V$2:V936),$V$2:$V$1001,0),1)&gt;=100000,INDEX($AC$1005:$AS$1005,1,MATCH(COLUMNS($AC$1006:AR1006),$AC$1006:$AS$1006,0))&gt;=100000), " ",IF(INDEX($AC$2:$AS$1001,MATCH(ROWS($V$2:V936),$V$2:$V$1001,0),MATCH(COLUMNS($AC$1006:AR1006),$AC$1006:$AS$1006,0)), HYPERLINK("#",""), HYPERLINK(CONCATENATE("#metadata!", ADDRESS(INDEX($X$2:$X$1001,MATCH(ROWS($V$2:V936),$V$2:$V$1001,0),0), INDEX($AC$1004:$AS$1004,1,MATCH(COLUMNS($AC$1006:AR1006),$AC$1006:$AS$1006,0)))),"Fix")))</f>
        <v xml:space="preserve"> </v>
      </c>
      <c r="R936" s="4" t="str">
        <f ca="1">IF(OR(INDEX($W$2:$W$1001,MATCH(ROWS($V$2:V936),$V$2:$V$1001,0),1)&gt;=100000,INDEX($AC$1005:$AS$1005,1,MATCH(COLUMNS($AC$1006:AS1006),$AC$1006:$AS$1006,0))&gt;=100000), " ",IF(INDEX($AC$2:$AS$1001,MATCH(ROWS($V$2:V936),$V$2:$V$1001,0),MATCH(COLUMNS($AC$1006:AS1006),$AC$1006:$AS$1006,0)), HYPERLINK("#",""), HYPERLINK(CONCATENATE("#metadata!", ADDRESS(INDEX($X$2:$X$1001,MATCH(ROWS($V$2:V936),$V$2:$V$1001,0),0), INDEX($AC$1004:$AS$1004,1,MATCH(COLUMNS($AC$1006:AS1006),$AC$1006:$AS$1006,0)))),"Fix")))</f>
        <v xml:space="preserve"> </v>
      </c>
      <c r="V936">
        <v>935</v>
      </c>
      <c r="W936">
        <v>100936</v>
      </c>
      <c r="X936">
        <v>936</v>
      </c>
      <c r="Y936" t="b">
        <f t="shared" si="14"/>
        <v>1</v>
      </c>
      <c r="Z936" t="b">
        <f>COUNTBLANK(metadata!B936:R936)=COLUMNS(metadata!B936:R936)</f>
        <v>1</v>
      </c>
      <c r="AA936" t="str">
        <v/>
      </c>
      <c r="AC936" t="b">
        <f ca="1"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AD936" t="b">
        <f>IF(metadata!C936="",FALSE,ISNUMBER(VALUE(metadata!C936)))</f>
        <v>0</v>
      </c>
      <c r="AE936" t="b">
        <f>AND(IF(metadata!D936="",FALSE,TRUE),EXACT(metadata!D936,"years"))</f>
        <v>0</v>
      </c>
      <c r="AF936" t="b">
        <f>OR(AND(IF(metadata!E936="",FALSE,TRUE),OR(EXACT(metadata!E936,"not applicable"),EXACT(metadata!E936,"missing: not collected"),EXACT(metadata!E936,"missing: not provided"),EXACT(metadata!E936,"missing: restricted access"))),AND(IF(metadata!E936="",FALSE,ISNUMBER(VALUE(metadata!E936))),metadata!E936&gt;0))</f>
        <v>0</v>
      </c>
      <c r="AG936" t="b">
        <f>AND(IF(metadata!F936="",FALSE,TRUE),EXACT(metadata!F936,"Not applicable"))</f>
        <v>0</v>
      </c>
      <c r="AH936" t="b">
        <f>AND(IF(metadata!G936="",FALSE,TRUE),EXACT(metadata!G936,"urban biome"))</f>
        <v>0</v>
      </c>
      <c r="AI936" t="b">
        <f>AND(IF(metadata!H936="",FALSE,TRUE),EXACT(metadata!H936,"human-associated habitat"))</f>
        <v>0</v>
      </c>
      <c r="AJ936" t="b">
        <f>AND(IF(metadata!I936="",FALSE,TRUE),OR(EXACT(metadata!I936,"human-associated"),EXACT(metadata!I936,"human-skin"),EXACT(metadata!I936,"human-oral"),EXACT(metadata!I936,"human-gut"),EXACT(metadata!I936,"human-vaginal")))</f>
        <v>0</v>
      </c>
      <c r="AK936" t="b">
        <f>IF(metadata!J936="",FALSE,ISNUMBER(VALUE(metadata!J936)))</f>
        <v>0</v>
      </c>
      <c r="AL936" t="b">
        <f>AND(IF(metadata!K936="",FALSE,TRUE),EXACT(metadata!K936,"cm"))</f>
        <v>0</v>
      </c>
      <c r="AM936" t="b">
        <f>AND(IF(metadata!L936="",FALSE,TRUE),EXACT(metadata!L936,"human"))</f>
        <v>0</v>
      </c>
      <c r="AN936" t="b">
        <f>AND(IF(metadata!M936="",FALSE,TRUE),EXACT(metadata!M936,"Homo sapiens"))</f>
        <v>0</v>
      </c>
      <c r="AO936" t="b">
        <f>AND(IF(metadata!N936="",FALSE,TRUE),EXACT(metadata!N936,"9606"))</f>
        <v>0</v>
      </c>
      <c r="AP936" t="b">
        <f>IF(metadata!O936="",FALSE,TRUE)</f>
        <v>0</v>
      </c>
      <c r="AQ936" t="b">
        <f>IF(metadata!P936="",FALSE,TRUE)</f>
        <v>0</v>
      </c>
      <c r="AR936" t="b">
        <f>IF(metadata!Q936="",FALSE,ISNUMBER(VALUE(metadata!Q936)))</f>
        <v>0</v>
      </c>
      <c r="AS936" t="b">
        <f>AND(IF(metadata!R936="",FALSE,TRUE),EXACT(metadata!R936,"kg"))</f>
        <v>0</v>
      </c>
    </row>
    <row r="937" spans="1:45" x14ac:dyDescent="0.2">
      <c r="A937" s="5" t="str">
        <f ca="1">IF(B937=" "," ",HYPERLINK(CONCATENATE("#metadata!",ADDRESS(INDEX($X$2:$X$1001,MATCH(ROWS($V$2:V937),$V$2:$V$1001,0),0),1)),INDEX($AA$2:$AA$1001,MATCH(ROWS($V$2:V937),$V$2:$V$1001,0),0)))</f>
        <v xml:space="preserve"> </v>
      </c>
      <c r="B937" s="4" t="str">
        <f ca="1">IF(OR(INDEX($W$2:$W$1001,MATCH(ROWS($V$2:V937),$V$2:$V$1001,0),1)&gt;=100000,INDEX($AC$1005:$AS$1005,1,MATCH(COLUMNS($AC$1006:AC1006),$AC$1006:$AS$1006,0))&gt;=100000), " ",IF(INDEX($AC$2:$AS$1001,MATCH(ROWS($V$2:V937),$V$2:$V$1001,0),MATCH(COLUMNS($AC$1006:AC1006),$AC$1006:$AS$1006,0)), HYPERLINK("#",""), HYPERLINK(CONCATENATE("#metadata!", ADDRESS(INDEX($X$2:$X$1001,MATCH(ROWS($V$2:V937),$V$2:$V$1001,0),0), INDEX($AC$1004:$AS$1004,1,MATCH(COLUMNS($AC$1006:AC1006),$AC$1006:$AS$1006,0)))),"Fix")))</f>
        <v xml:space="preserve"> </v>
      </c>
      <c r="C937" s="4" t="str">
        <f ca="1">IF(OR(INDEX($W$2:$W$1001,MATCH(ROWS($V$2:V937),$V$2:$V$1001,0),1)&gt;=100000,INDEX($AC$1005:$AS$1005,1,MATCH(COLUMNS($AC$1006:AD1006),$AC$1006:$AS$1006,0))&gt;=100000), " ",IF(INDEX($AC$2:$AS$1001,MATCH(ROWS($V$2:V937),$V$2:$V$1001,0),MATCH(COLUMNS($AC$1006:AD1006),$AC$1006:$AS$1006,0)), HYPERLINK("#",""), HYPERLINK(CONCATENATE("#metadata!", ADDRESS(INDEX($X$2:$X$1001,MATCH(ROWS($V$2:V937),$V$2:$V$1001,0),0), INDEX($AC$1004:$AS$1004,1,MATCH(COLUMNS($AC$1006:AD1006),$AC$1006:$AS$1006,0)))),"Fix")))</f>
        <v xml:space="preserve"> </v>
      </c>
      <c r="D937" s="4" t="str">
        <f ca="1">IF(OR(INDEX($W$2:$W$1001,MATCH(ROWS($V$2:V937),$V$2:$V$1001,0),1)&gt;=100000,INDEX($AC$1005:$AS$1005,1,MATCH(COLUMNS($AC$1006:AE1006),$AC$1006:$AS$1006,0))&gt;=100000), " ",IF(INDEX($AC$2:$AS$1001,MATCH(ROWS($V$2:V937),$V$2:$V$1001,0),MATCH(COLUMNS($AC$1006:AE1006),$AC$1006:$AS$1006,0)), HYPERLINK("#",""), HYPERLINK(CONCATENATE("#metadata!", ADDRESS(INDEX($X$2:$X$1001,MATCH(ROWS($V$2:V937),$V$2:$V$1001,0),0), INDEX($AC$1004:$AS$1004,1,MATCH(COLUMNS($AC$1006:AE1006),$AC$1006:$AS$1006,0)))),"Fix")))</f>
        <v xml:space="preserve"> </v>
      </c>
      <c r="E937" s="4" t="str">
        <f ca="1">IF(OR(INDEX($W$2:$W$1001,MATCH(ROWS($V$2:V937),$V$2:$V$1001,0),1)&gt;=100000,INDEX($AC$1005:$AS$1005,1,MATCH(COLUMNS($AC$1006:AF1006),$AC$1006:$AS$1006,0))&gt;=100000), " ",IF(INDEX($AC$2:$AS$1001,MATCH(ROWS($V$2:V937),$V$2:$V$1001,0),MATCH(COLUMNS($AC$1006:AF1006),$AC$1006:$AS$1006,0)), HYPERLINK("#",""), HYPERLINK(CONCATENATE("#metadata!", ADDRESS(INDEX($X$2:$X$1001,MATCH(ROWS($V$2:V937),$V$2:$V$1001,0),0), INDEX($AC$1004:$AS$1004,1,MATCH(COLUMNS($AC$1006:AF1006),$AC$1006:$AS$1006,0)))),"Fix")))</f>
        <v xml:space="preserve"> </v>
      </c>
      <c r="F937" s="4" t="str">
        <f ca="1">IF(OR(INDEX($W$2:$W$1001,MATCH(ROWS($V$2:V937),$V$2:$V$1001,0),1)&gt;=100000,INDEX($AC$1005:$AS$1005,1,MATCH(COLUMNS($AC$1006:AG1006),$AC$1006:$AS$1006,0))&gt;=100000), " ",IF(INDEX($AC$2:$AS$1001,MATCH(ROWS($V$2:V937),$V$2:$V$1001,0),MATCH(COLUMNS($AC$1006:AG1006),$AC$1006:$AS$1006,0)), HYPERLINK("#",""), HYPERLINK(CONCATENATE("#metadata!", ADDRESS(INDEX($X$2:$X$1001,MATCH(ROWS($V$2:V937),$V$2:$V$1001,0),0), INDEX($AC$1004:$AS$1004,1,MATCH(COLUMNS($AC$1006:AG1006),$AC$1006:$AS$1006,0)))),"Fix")))</f>
        <v xml:space="preserve"> </v>
      </c>
      <c r="G937" s="4" t="str">
        <f ca="1">IF(OR(INDEX($W$2:$W$1001,MATCH(ROWS($V$2:V937),$V$2:$V$1001,0),1)&gt;=100000,INDEX($AC$1005:$AS$1005,1,MATCH(COLUMNS($AC$1006:AH1006),$AC$1006:$AS$1006,0))&gt;=100000), " ",IF(INDEX($AC$2:$AS$1001,MATCH(ROWS($V$2:V937),$V$2:$V$1001,0),MATCH(COLUMNS($AC$1006:AH1006),$AC$1006:$AS$1006,0)), HYPERLINK("#",""), HYPERLINK(CONCATENATE("#metadata!", ADDRESS(INDEX($X$2:$X$1001,MATCH(ROWS($V$2:V937),$V$2:$V$1001,0),0), INDEX($AC$1004:$AS$1004,1,MATCH(COLUMNS($AC$1006:AH1006),$AC$1006:$AS$1006,0)))),"Fix")))</f>
        <v xml:space="preserve"> </v>
      </c>
      <c r="H937" s="4" t="str">
        <f ca="1">IF(OR(INDEX($W$2:$W$1001,MATCH(ROWS($V$2:V937),$V$2:$V$1001,0),1)&gt;=100000,INDEX($AC$1005:$AS$1005,1,MATCH(COLUMNS($AC$1006:AI1006),$AC$1006:$AS$1006,0))&gt;=100000), " ",IF(INDEX($AC$2:$AS$1001,MATCH(ROWS($V$2:V937),$V$2:$V$1001,0),MATCH(COLUMNS($AC$1006:AI1006),$AC$1006:$AS$1006,0)), HYPERLINK("#",""), HYPERLINK(CONCATENATE("#metadata!", ADDRESS(INDEX($X$2:$X$1001,MATCH(ROWS($V$2:V937),$V$2:$V$1001,0),0), INDEX($AC$1004:$AS$1004,1,MATCH(COLUMNS($AC$1006:AI1006),$AC$1006:$AS$1006,0)))),"Fix")))</f>
        <v xml:space="preserve"> </v>
      </c>
      <c r="I937" s="4" t="str">
        <f ca="1">IF(OR(INDEX($W$2:$W$1001,MATCH(ROWS($V$2:V937),$V$2:$V$1001,0),1)&gt;=100000,INDEX($AC$1005:$AS$1005,1,MATCH(COLUMNS($AC$1006:AJ1006),$AC$1006:$AS$1006,0))&gt;=100000), " ",IF(INDEX($AC$2:$AS$1001,MATCH(ROWS($V$2:V937),$V$2:$V$1001,0),MATCH(COLUMNS($AC$1006:AJ1006),$AC$1006:$AS$1006,0)), HYPERLINK("#",""), HYPERLINK(CONCATENATE("#metadata!", ADDRESS(INDEX($X$2:$X$1001,MATCH(ROWS($V$2:V937),$V$2:$V$1001,0),0), INDEX($AC$1004:$AS$1004,1,MATCH(COLUMNS($AC$1006:AJ1006),$AC$1006:$AS$1006,0)))),"Fix")))</f>
        <v xml:space="preserve"> </v>
      </c>
      <c r="J937" s="4" t="str">
        <f ca="1">IF(OR(INDEX($W$2:$W$1001,MATCH(ROWS($V$2:V937),$V$2:$V$1001,0),1)&gt;=100000,INDEX($AC$1005:$AS$1005,1,MATCH(COLUMNS($AC$1006:AK1006),$AC$1006:$AS$1006,0))&gt;=100000), " ",IF(INDEX($AC$2:$AS$1001,MATCH(ROWS($V$2:V937),$V$2:$V$1001,0),MATCH(COLUMNS($AC$1006:AK1006),$AC$1006:$AS$1006,0)), HYPERLINK("#",""), HYPERLINK(CONCATENATE("#metadata!", ADDRESS(INDEX($X$2:$X$1001,MATCH(ROWS($V$2:V937),$V$2:$V$1001,0),0), INDEX($AC$1004:$AS$1004,1,MATCH(COLUMNS($AC$1006:AK1006),$AC$1006:$AS$1006,0)))),"Fix")))</f>
        <v xml:space="preserve"> </v>
      </c>
      <c r="K937" s="4" t="str">
        <f ca="1">IF(OR(INDEX($W$2:$W$1001,MATCH(ROWS($V$2:V937),$V$2:$V$1001,0),1)&gt;=100000,INDEX($AC$1005:$AS$1005,1,MATCH(COLUMNS($AC$1006:AL1006),$AC$1006:$AS$1006,0))&gt;=100000), " ",IF(INDEX($AC$2:$AS$1001,MATCH(ROWS($V$2:V937),$V$2:$V$1001,0),MATCH(COLUMNS($AC$1006:AL1006),$AC$1006:$AS$1006,0)), HYPERLINK("#",""), HYPERLINK(CONCATENATE("#metadata!", ADDRESS(INDEX($X$2:$X$1001,MATCH(ROWS($V$2:V937),$V$2:$V$1001,0),0), INDEX($AC$1004:$AS$1004,1,MATCH(COLUMNS($AC$1006:AL1006),$AC$1006:$AS$1006,0)))),"Fix")))</f>
        <v xml:space="preserve"> </v>
      </c>
      <c r="L937" s="4" t="str">
        <f ca="1">IF(OR(INDEX($W$2:$W$1001,MATCH(ROWS($V$2:V937),$V$2:$V$1001,0),1)&gt;=100000,INDEX($AC$1005:$AS$1005,1,MATCH(COLUMNS($AC$1006:AM1006),$AC$1006:$AS$1006,0))&gt;=100000), " ",IF(INDEX($AC$2:$AS$1001,MATCH(ROWS($V$2:V937),$V$2:$V$1001,0),MATCH(COLUMNS($AC$1006:AM1006),$AC$1006:$AS$1006,0)), HYPERLINK("#",""), HYPERLINK(CONCATENATE("#metadata!", ADDRESS(INDEX($X$2:$X$1001,MATCH(ROWS($V$2:V937),$V$2:$V$1001,0),0), INDEX($AC$1004:$AS$1004,1,MATCH(COLUMNS($AC$1006:AM1006),$AC$1006:$AS$1006,0)))),"Fix")))</f>
        <v xml:space="preserve"> </v>
      </c>
      <c r="M937" s="4" t="str">
        <f ca="1">IF(OR(INDEX($W$2:$W$1001,MATCH(ROWS($V$2:V937),$V$2:$V$1001,0),1)&gt;=100000,INDEX($AC$1005:$AS$1005,1,MATCH(COLUMNS($AC$1006:AN1006),$AC$1006:$AS$1006,0))&gt;=100000), " ",IF(INDEX($AC$2:$AS$1001,MATCH(ROWS($V$2:V937),$V$2:$V$1001,0),MATCH(COLUMNS($AC$1006:AN1006),$AC$1006:$AS$1006,0)), HYPERLINK("#",""), HYPERLINK(CONCATENATE("#metadata!", ADDRESS(INDEX($X$2:$X$1001,MATCH(ROWS($V$2:V937),$V$2:$V$1001,0),0), INDEX($AC$1004:$AS$1004,1,MATCH(COLUMNS($AC$1006:AN1006),$AC$1006:$AS$1006,0)))),"Fix")))</f>
        <v xml:space="preserve"> </v>
      </c>
      <c r="N937" s="4" t="str">
        <f ca="1">IF(OR(INDEX($W$2:$W$1001,MATCH(ROWS($V$2:V937),$V$2:$V$1001,0),1)&gt;=100000,INDEX($AC$1005:$AS$1005,1,MATCH(COLUMNS($AC$1006:AO1006),$AC$1006:$AS$1006,0))&gt;=100000), " ",IF(INDEX($AC$2:$AS$1001,MATCH(ROWS($V$2:V937),$V$2:$V$1001,0),MATCH(COLUMNS($AC$1006:AO1006),$AC$1006:$AS$1006,0)), HYPERLINK("#",""), HYPERLINK(CONCATENATE("#metadata!", ADDRESS(INDEX($X$2:$X$1001,MATCH(ROWS($V$2:V937),$V$2:$V$1001,0),0), INDEX($AC$1004:$AS$1004,1,MATCH(COLUMNS($AC$1006:AO1006),$AC$1006:$AS$1006,0)))),"Fix")))</f>
        <v xml:space="preserve"> </v>
      </c>
      <c r="O937" s="4" t="str">
        <f ca="1">IF(OR(INDEX($W$2:$W$1001,MATCH(ROWS($V$2:V937),$V$2:$V$1001,0),1)&gt;=100000,INDEX($AC$1005:$AS$1005,1,MATCH(COLUMNS($AC$1006:AP1006),$AC$1006:$AS$1006,0))&gt;=100000), " ",IF(INDEX($AC$2:$AS$1001,MATCH(ROWS($V$2:V937),$V$2:$V$1001,0),MATCH(COLUMNS($AC$1006:AP1006),$AC$1006:$AS$1006,0)), HYPERLINK("#",""), HYPERLINK(CONCATENATE("#metadata!", ADDRESS(INDEX($X$2:$X$1001,MATCH(ROWS($V$2:V937),$V$2:$V$1001,0),0), INDEX($AC$1004:$AS$1004,1,MATCH(COLUMNS($AC$1006:AP1006),$AC$1006:$AS$1006,0)))),"Fix")))</f>
        <v xml:space="preserve"> </v>
      </c>
      <c r="P937" s="4" t="str">
        <f ca="1">IF(OR(INDEX($W$2:$W$1001,MATCH(ROWS($V$2:V937),$V$2:$V$1001,0),1)&gt;=100000,INDEX($AC$1005:$AS$1005,1,MATCH(COLUMNS($AC$1006:AQ1006),$AC$1006:$AS$1006,0))&gt;=100000), " ",IF(INDEX($AC$2:$AS$1001,MATCH(ROWS($V$2:V937),$V$2:$V$1001,0),MATCH(COLUMNS($AC$1006:AQ1006),$AC$1006:$AS$1006,0)), HYPERLINK("#",""), HYPERLINK(CONCATENATE("#metadata!", ADDRESS(INDEX($X$2:$X$1001,MATCH(ROWS($V$2:V937),$V$2:$V$1001,0),0), INDEX($AC$1004:$AS$1004,1,MATCH(COLUMNS($AC$1006:AQ1006),$AC$1006:$AS$1006,0)))),"Fix")))</f>
        <v xml:space="preserve"> </v>
      </c>
      <c r="Q937" s="4" t="str">
        <f ca="1">IF(OR(INDEX($W$2:$W$1001,MATCH(ROWS($V$2:V937),$V$2:$V$1001,0),1)&gt;=100000,INDEX($AC$1005:$AS$1005,1,MATCH(COLUMNS($AC$1006:AR1006),$AC$1006:$AS$1006,0))&gt;=100000), " ",IF(INDEX($AC$2:$AS$1001,MATCH(ROWS($V$2:V937),$V$2:$V$1001,0),MATCH(COLUMNS($AC$1006:AR1006),$AC$1006:$AS$1006,0)), HYPERLINK("#",""), HYPERLINK(CONCATENATE("#metadata!", ADDRESS(INDEX($X$2:$X$1001,MATCH(ROWS($V$2:V937),$V$2:$V$1001,0),0), INDEX($AC$1004:$AS$1004,1,MATCH(COLUMNS($AC$1006:AR1006),$AC$1006:$AS$1006,0)))),"Fix")))</f>
        <v xml:space="preserve"> </v>
      </c>
      <c r="R937" s="4" t="str">
        <f ca="1">IF(OR(INDEX($W$2:$W$1001,MATCH(ROWS($V$2:V937),$V$2:$V$1001,0),1)&gt;=100000,INDEX($AC$1005:$AS$1005,1,MATCH(COLUMNS($AC$1006:AS1006),$AC$1006:$AS$1006,0))&gt;=100000), " ",IF(INDEX($AC$2:$AS$1001,MATCH(ROWS($V$2:V937),$V$2:$V$1001,0),MATCH(COLUMNS($AC$1006:AS1006),$AC$1006:$AS$1006,0)), HYPERLINK("#",""), HYPERLINK(CONCATENATE("#metadata!", ADDRESS(INDEX($X$2:$X$1001,MATCH(ROWS($V$2:V937),$V$2:$V$1001,0),0), INDEX($AC$1004:$AS$1004,1,MATCH(COLUMNS($AC$1006:AS1006),$AC$1006:$AS$1006,0)))),"Fix")))</f>
        <v xml:space="preserve"> </v>
      </c>
      <c r="V937">
        <v>936</v>
      </c>
      <c r="W937">
        <v>100937</v>
      </c>
      <c r="X937">
        <v>937</v>
      </c>
      <c r="Y937" t="b">
        <f t="shared" si="14"/>
        <v>1</v>
      </c>
      <c r="Z937" t="b">
        <f>COUNTBLANK(metadata!B937:R937)=COLUMNS(metadata!B937:R937)</f>
        <v>1</v>
      </c>
      <c r="AA937" t="str">
        <v/>
      </c>
      <c r="AC937" t="b">
        <f ca="1"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AD937" t="b">
        <f>IF(metadata!C937="",FALSE,ISNUMBER(VALUE(metadata!C937)))</f>
        <v>0</v>
      </c>
      <c r="AE937" t="b">
        <f>AND(IF(metadata!D937="",FALSE,TRUE),EXACT(metadata!D937,"years"))</f>
        <v>0</v>
      </c>
      <c r="AF937" t="b">
        <f>OR(AND(IF(metadata!E937="",FALSE,TRUE),OR(EXACT(metadata!E937,"not applicable"),EXACT(metadata!E937,"missing: not collected"),EXACT(metadata!E937,"missing: not provided"),EXACT(metadata!E937,"missing: restricted access"))),AND(IF(metadata!E937="",FALSE,ISNUMBER(VALUE(metadata!E937))),metadata!E937&gt;0))</f>
        <v>0</v>
      </c>
      <c r="AG937" t="b">
        <f>AND(IF(metadata!F937="",FALSE,TRUE),EXACT(metadata!F937,"Not applicable"))</f>
        <v>0</v>
      </c>
      <c r="AH937" t="b">
        <f>AND(IF(metadata!G937="",FALSE,TRUE),EXACT(metadata!G937,"urban biome"))</f>
        <v>0</v>
      </c>
      <c r="AI937" t="b">
        <f>AND(IF(metadata!H937="",FALSE,TRUE),EXACT(metadata!H937,"human-associated habitat"))</f>
        <v>0</v>
      </c>
      <c r="AJ937" t="b">
        <f>AND(IF(metadata!I937="",FALSE,TRUE),OR(EXACT(metadata!I937,"human-associated"),EXACT(metadata!I937,"human-skin"),EXACT(metadata!I937,"human-oral"),EXACT(metadata!I937,"human-gut"),EXACT(metadata!I937,"human-vaginal")))</f>
        <v>0</v>
      </c>
      <c r="AK937" t="b">
        <f>IF(metadata!J937="",FALSE,ISNUMBER(VALUE(metadata!J937)))</f>
        <v>0</v>
      </c>
      <c r="AL937" t="b">
        <f>AND(IF(metadata!K937="",FALSE,TRUE),EXACT(metadata!K937,"cm"))</f>
        <v>0</v>
      </c>
      <c r="AM937" t="b">
        <f>AND(IF(metadata!L937="",FALSE,TRUE),EXACT(metadata!L937,"human"))</f>
        <v>0</v>
      </c>
      <c r="AN937" t="b">
        <f>AND(IF(metadata!M937="",FALSE,TRUE),EXACT(metadata!M937,"Homo sapiens"))</f>
        <v>0</v>
      </c>
      <c r="AO937" t="b">
        <f>AND(IF(metadata!N937="",FALSE,TRUE),EXACT(metadata!N937,"9606"))</f>
        <v>0</v>
      </c>
      <c r="AP937" t="b">
        <f>IF(metadata!O937="",FALSE,TRUE)</f>
        <v>0</v>
      </c>
      <c r="AQ937" t="b">
        <f>IF(metadata!P937="",FALSE,TRUE)</f>
        <v>0</v>
      </c>
      <c r="AR937" t="b">
        <f>IF(metadata!Q937="",FALSE,ISNUMBER(VALUE(metadata!Q937)))</f>
        <v>0</v>
      </c>
      <c r="AS937" t="b">
        <f>AND(IF(metadata!R937="",FALSE,TRUE),EXACT(metadata!R937,"kg"))</f>
        <v>0</v>
      </c>
    </row>
    <row r="938" spans="1:45" x14ac:dyDescent="0.2">
      <c r="A938" s="5" t="str">
        <f ca="1">IF(B938=" "," ",HYPERLINK(CONCATENATE("#metadata!",ADDRESS(INDEX($X$2:$X$1001,MATCH(ROWS($V$2:V938),$V$2:$V$1001,0),0),1)),INDEX($AA$2:$AA$1001,MATCH(ROWS($V$2:V938),$V$2:$V$1001,0),0)))</f>
        <v xml:space="preserve"> </v>
      </c>
      <c r="B938" s="4" t="str">
        <f ca="1">IF(OR(INDEX($W$2:$W$1001,MATCH(ROWS($V$2:V938),$V$2:$V$1001,0),1)&gt;=100000,INDEX($AC$1005:$AS$1005,1,MATCH(COLUMNS($AC$1006:AC1006),$AC$1006:$AS$1006,0))&gt;=100000), " ",IF(INDEX($AC$2:$AS$1001,MATCH(ROWS($V$2:V938),$V$2:$V$1001,0),MATCH(COLUMNS($AC$1006:AC1006),$AC$1006:$AS$1006,0)), HYPERLINK("#",""), HYPERLINK(CONCATENATE("#metadata!", ADDRESS(INDEX($X$2:$X$1001,MATCH(ROWS($V$2:V938),$V$2:$V$1001,0),0), INDEX($AC$1004:$AS$1004,1,MATCH(COLUMNS($AC$1006:AC1006),$AC$1006:$AS$1006,0)))),"Fix")))</f>
        <v xml:space="preserve"> </v>
      </c>
      <c r="C938" s="4" t="str">
        <f ca="1">IF(OR(INDEX($W$2:$W$1001,MATCH(ROWS($V$2:V938),$V$2:$V$1001,0),1)&gt;=100000,INDEX($AC$1005:$AS$1005,1,MATCH(COLUMNS($AC$1006:AD1006),$AC$1006:$AS$1006,0))&gt;=100000), " ",IF(INDEX($AC$2:$AS$1001,MATCH(ROWS($V$2:V938),$V$2:$V$1001,0),MATCH(COLUMNS($AC$1006:AD1006),$AC$1006:$AS$1006,0)), HYPERLINK("#",""), HYPERLINK(CONCATENATE("#metadata!", ADDRESS(INDEX($X$2:$X$1001,MATCH(ROWS($V$2:V938),$V$2:$V$1001,0),0), INDEX($AC$1004:$AS$1004,1,MATCH(COLUMNS($AC$1006:AD1006),$AC$1006:$AS$1006,0)))),"Fix")))</f>
        <v xml:space="preserve"> </v>
      </c>
      <c r="D938" s="4" t="str">
        <f ca="1">IF(OR(INDEX($W$2:$W$1001,MATCH(ROWS($V$2:V938),$V$2:$V$1001,0),1)&gt;=100000,INDEX($AC$1005:$AS$1005,1,MATCH(COLUMNS($AC$1006:AE1006),$AC$1006:$AS$1006,0))&gt;=100000), " ",IF(INDEX($AC$2:$AS$1001,MATCH(ROWS($V$2:V938),$V$2:$V$1001,0),MATCH(COLUMNS($AC$1006:AE1006),$AC$1006:$AS$1006,0)), HYPERLINK("#",""), HYPERLINK(CONCATENATE("#metadata!", ADDRESS(INDEX($X$2:$X$1001,MATCH(ROWS($V$2:V938),$V$2:$V$1001,0),0), INDEX($AC$1004:$AS$1004,1,MATCH(COLUMNS($AC$1006:AE1006),$AC$1006:$AS$1006,0)))),"Fix")))</f>
        <v xml:space="preserve"> </v>
      </c>
      <c r="E938" s="4" t="str">
        <f ca="1">IF(OR(INDEX($W$2:$W$1001,MATCH(ROWS($V$2:V938),$V$2:$V$1001,0),1)&gt;=100000,INDEX($AC$1005:$AS$1005,1,MATCH(COLUMNS($AC$1006:AF1006),$AC$1006:$AS$1006,0))&gt;=100000), " ",IF(INDEX($AC$2:$AS$1001,MATCH(ROWS($V$2:V938),$V$2:$V$1001,0),MATCH(COLUMNS($AC$1006:AF1006),$AC$1006:$AS$1006,0)), HYPERLINK("#",""), HYPERLINK(CONCATENATE("#metadata!", ADDRESS(INDEX($X$2:$X$1001,MATCH(ROWS($V$2:V938),$V$2:$V$1001,0),0), INDEX($AC$1004:$AS$1004,1,MATCH(COLUMNS($AC$1006:AF1006),$AC$1006:$AS$1006,0)))),"Fix")))</f>
        <v xml:space="preserve"> </v>
      </c>
      <c r="F938" s="4" t="str">
        <f ca="1">IF(OR(INDEX($W$2:$W$1001,MATCH(ROWS($V$2:V938),$V$2:$V$1001,0),1)&gt;=100000,INDEX($AC$1005:$AS$1005,1,MATCH(COLUMNS($AC$1006:AG1006),$AC$1006:$AS$1006,0))&gt;=100000), " ",IF(INDEX($AC$2:$AS$1001,MATCH(ROWS($V$2:V938),$V$2:$V$1001,0),MATCH(COLUMNS($AC$1006:AG1006),$AC$1006:$AS$1006,0)), HYPERLINK("#",""), HYPERLINK(CONCATENATE("#metadata!", ADDRESS(INDEX($X$2:$X$1001,MATCH(ROWS($V$2:V938),$V$2:$V$1001,0),0), INDEX($AC$1004:$AS$1004,1,MATCH(COLUMNS($AC$1006:AG1006),$AC$1006:$AS$1006,0)))),"Fix")))</f>
        <v xml:space="preserve"> </v>
      </c>
      <c r="G938" s="4" t="str">
        <f ca="1">IF(OR(INDEX($W$2:$W$1001,MATCH(ROWS($V$2:V938),$V$2:$V$1001,0),1)&gt;=100000,INDEX($AC$1005:$AS$1005,1,MATCH(COLUMNS($AC$1006:AH1006),$AC$1006:$AS$1006,0))&gt;=100000), " ",IF(INDEX($AC$2:$AS$1001,MATCH(ROWS($V$2:V938),$V$2:$V$1001,0),MATCH(COLUMNS($AC$1006:AH1006),$AC$1006:$AS$1006,0)), HYPERLINK("#",""), HYPERLINK(CONCATENATE("#metadata!", ADDRESS(INDEX($X$2:$X$1001,MATCH(ROWS($V$2:V938),$V$2:$V$1001,0),0), INDEX($AC$1004:$AS$1004,1,MATCH(COLUMNS($AC$1006:AH1006),$AC$1006:$AS$1006,0)))),"Fix")))</f>
        <v xml:space="preserve"> </v>
      </c>
      <c r="H938" s="4" t="str">
        <f ca="1">IF(OR(INDEX($W$2:$W$1001,MATCH(ROWS($V$2:V938),$V$2:$V$1001,0),1)&gt;=100000,INDEX($AC$1005:$AS$1005,1,MATCH(COLUMNS($AC$1006:AI1006),$AC$1006:$AS$1006,0))&gt;=100000), " ",IF(INDEX($AC$2:$AS$1001,MATCH(ROWS($V$2:V938),$V$2:$V$1001,0),MATCH(COLUMNS($AC$1006:AI1006),$AC$1006:$AS$1006,0)), HYPERLINK("#",""), HYPERLINK(CONCATENATE("#metadata!", ADDRESS(INDEX($X$2:$X$1001,MATCH(ROWS($V$2:V938),$V$2:$V$1001,0),0), INDEX($AC$1004:$AS$1004,1,MATCH(COLUMNS($AC$1006:AI1006),$AC$1006:$AS$1006,0)))),"Fix")))</f>
        <v xml:space="preserve"> </v>
      </c>
      <c r="I938" s="4" t="str">
        <f ca="1">IF(OR(INDEX($W$2:$W$1001,MATCH(ROWS($V$2:V938),$V$2:$V$1001,0),1)&gt;=100000,INDEX($AC$1005:$AS$1005,1,MATCH(COLUMNS($AC$1006:AJ1006),$AC$1006:$AS$1006,0))&gt;=100000), " ",IF(INDEX($AC$2:$AS$1001,MATCH(ROWS($V$2:V938),$V$2:$V$1001,0),MATCH(COLUMNS($AC$1006:AJ1006),$AC$1006:$AS$1006,0)), HYPERLINK("#",""), HYPERLINK(CONCATENATE("#metadata!", ADDRESS(INDEX($X$2:$X$1001,MATCH(ROWS($V$2:V938),$V$2:$V$1001,0),0), INDEX($AC$1004:$AS$1004,1,MATCH(COLUMNS($AC$1006:AJ1006),$AC$1006:$AS$1006,0)))),"Fix")))</f>
        <v xml:space="preserve"> </v>
      </c>
      <c r="J938" s="4" t="str">
        <f ca="1">IF(OR(INDEX($W$2:$W$1001,MATCH(ROWS($V$2:V938),$V$2:$V$1001,0),1)&gt;=100000,INDEX($AC$1005:$AS$1005,1,MATCH(COLUMNS($AC$1006:AK1006),$AC$1006:$AS$1006,0))&gt;=100000), " ",IF(INDEX($AC$2:$AS$1001,MATCH(ROWS($V$2:V938),$V$2:$V$1001,0),MATCH(COLUMNS($AC$1006:AK1006),$AC$1006:$AS$1006,0)), HYPERLINK("#",""), HYPERLINK(CONCATENATE("#metadata!", ADDRESS(INDEX($X$2:$X$1001,MATCH(ROWS($V$2:V938),$V$2:$V$1001,0),0), INDEX($AC$1004:$AS$1004,1,MATCH(COLUMNS($AC$1006:AK1006),$AC$1006:$AS$1006,0)))),"Fix")))</f>
        <v xml:space="preserve"> </v>
      </c>
      <c r="K938" s="4" t="str">
        <f ca="1">IF(OR(INDEX($W$2:$W$1001,MATCH(ROWS($V$2:V938),$V$2:$V$1001,0),1)&gt;=100000,INDEX($AC$1005:$AS$1005,1,MATCH(COLUMNS($AC$1006:AL1006),$AC$1006:$AS$1006,0))&gt;=100000), " ",IF(INDEX($AC$2:$AS$1001,MATCH(ROWS($V$2:V938),$V$2:$V$1001,0),MATCH(COLUMNS($AC$1006:AL1006),$AC$1006:$AS$1006,0)), HYPERLINK("#",""), HYPERLINK(CONCATENATE("#metadata!", ADDRESS(INDEX($X$2:$X$1001,MATCH(ROWS($V$2:V938),$V$2:$V$1001,0),0), INDEX($AC$1004:$AS$1004,1,MATCH(COLUMNS($AC$1006:AL1006),$AC$1006:$AS$1006,0)))),"Fix")))</f>
        <v xml:space="preserve"> </v>
      </c>
      <c r="L938" s="4" t="str">
        <f ca="1">IF(OR(INDEX($W$2:$W$1001,MATCH(ROWS($V$2:V938),$V$2:$V$1001,0),1)&gt;=100000,INDEX($AC$1005:$AS$1005,1,MATCH(COLUMNS($AC$1006:AM1006),$AC$1006:$AS$1006,0))&gt;=100000), " ",IF(INDEX($AC$2:$AS$1001,MATCH(ROWS($V$2:V938),$V$2:$V$1001,0),MATCH(COLUMNS($AC$1006:AM1006),$AC$1006:$AS$1006,0)), HYPERLINK("#",""), HYPERLINK(CONCATENATE("#metadata!", ADDRESS(INDEX($X$2:$X$1001,MATCH(ROWS($V$2:V938),$V$2:$V$1001,0),0), INDEX($AC$1004:$AS$1004,1,MATCH(COLUMNS($AC$1006:AM1006),$AC$1006:$AS$1006,0)))),"Fix")))</f>
        <v xml:space="preserve"> </v>
      </c>
      <c r="M938" s="4" t="str">
        <f ca="1">IF(OR(INDEX($W$2:$W$1001,MATCH(ROWS($V$2:V938),$V$2:$V$1001,0),1)&gt;=100000,INDEX($AC$1005:$AS$1005,1,MATCH(COLUMNS($AC$1006:AN1006),$AC$1006:$AS$1006,0))&gt;=100000), " ",IF(INDEX($AC$2:$AS$1001,MATCH(ROWS($V$2:V938),$V$2:$V$1001,0),MATCH(COLUMNS($AC$1006:AN1006),$AC$1006:$AS$1006,0)), HYPERLINK("#",""), HYPERLINK(CONCATENATE("#metadata!", ADDRESS(INDEX($X$2:$X$1001,MATCH(ROWS($V$2:V938),$V$2:$V$1001,0),0), INDEX($AC$1004:$AS$1004,1,MATCH(COLUMNS($AC$1006:AN1006),$AC$1006:$AS$1006,0)))),"Fix")))</f>
        <v xml:space="preserve"> </v>
      </c>
      <c r="N938" s="4" t="str">
        <f ca="1">IF(OR(INDEX($W$2:$W$1001,MATCH(ROWS($V$2:V938),$V$2:$V$1001,0),1)&gt;=100000,INDEX($AC$1005:$AS$1005,1,MATCH(COLUMNS($AC$1006:AO1006),$AC$1006:$AS$1006,0))&gt;=100000), " ",IF(INDEX($AC$2:$AS$1001,MATCH(ROWS($V$2:V938),$V$2:$V$1001,0),MATCH(COLUMNS($AC$1006:AO1006),$AC$1006:$AS$1006,0)), HYPERLINK("#",""), HYPERLINK(CONCATENATE("#metadata!", ADDRESS(INDEX($X$2:$X$1001,MATCH(ROWS($V$2:V938),$V$2:$V$1001,0),0), INDEX($AC$1004:$AS$1004,1,MATCH(COLUMNS($AC$1006:AO1006),$AC$1006:$AS$1006,0)))),"Fix")))</f>
        <v xml:space="preserve"> </v>
      </c>
      <c r="O938" s="4" t="str">
        <f ca="1">IF(OR(INDEX($W$2:$W$1001,MATCH(ROWS($V$2:V938),$V$2:$V$1001,0),1)&gt;=100000,INDEX($AC$1005:$AS$1005,1,MATCH(COLUMNS($AC$1006:AP1006),$AC$1006:$AS$1006,0))&gt;=100000), " ",IF(INDEX($AC$2:$AS$1001,MATCH(ROWS($V$2:V938),$V$2:$V$1001,0),MATCH(COLUMNS($AC$1006:AP1006),$AC$1006:$AS$1006,0)), HYPERLINK("#",""), HYPERLINK(CONCATENATE("#metadata!", ADDRESS(INDEX($X$2:$X$1001,MATCH(ROWS($V$2:V938),$V$2:$V$1001,0),0), INDEX($AC$1004:$AS$1004,1,MATCH(COLUMNS($AC$1006:AP1006),$AC$1006:$AS$1006,0)))),"Fix")))</f>
        <v xml:space="preserve"> </v>
      </c>
      <c r="P938" s="4" t="str">
        <f ca="1">IF(OR(INDEX($W$2:$W$1001,MATCH(ROWS($V$2:V938),$V$2:$V$1001,0),1)&gt;=100000,INDEX($AC$1005:$AS$1005,1,MATCH(COLUMNS($AC$1006:AQ1006),$AC$1006:$AS$1006,0))&gt;=100000), " ",IF(INDEX($AC$2:$AS$1001,MATCH(ROWS($V$2:V938),$V$2:$V$1001,0),MATCH(COLUMNS($AC$1006:AQ1006),$AC$1006:$AS$1006,0)), HYPERLINK("#",""), HYPERLINK(CONCATENATE("#metadata!", ADDRESS(INDEX($X$2:$X$1001,MATCH(ROWS($V$2:V938),$V$2:$V$1001,0),0), INDEX($AC$1004:$AS$1004,1,MATCH(COLUMNS($AC$1006:AQ1006),$AC$1006:$AS$1006,0)))),"Fix")))</f>
        <v xml:space="preserve"> </v>
      </c>
      <c r="Q938" s="4" t="str">
        <f ca="1">IF(OR(INDEX($W$2:$W$1001,MATCH(ROWS($V$2:V938),$V$2:$V$1001,0),1)&gt;=100000,INDEX($AC$1005:$AS$1005,1,MATCH(COLUMNS($AC$1006:AR1006),$AC$1006:$AS$1006,0))&gt;=100000), " ",IF(INDEX($AC$2:$AS$1001,MATCH(ROWS($V$2:V938),$V$2:$V$1001,0),MATCH(COLUMNS($AC$1006:AR1006),$AC$1006:$AS$1006,0)), HYPERLINK("#",""), HYPERLINK(CONCATENATE("#metadata!", ADDRESS(INDEX($X$2:$X$1001,MATCH(ROWS($V$2:V938),$V$2:$V$1001,0),0), INDEX($AC$1004:$AS$1004,1,MATCH(COLUMNS($AC$1006:AR1006),$AC$1006:$AS$1006,0)))),"Fix")))</f>
        <v xml:space="preserve"> </v>
      </c>
      <c r="R938" s="4" t="str">
        <f ca="1">IF(OR(INDEX($W$2:$W$1001,MATCH(ROWS($V$2:V938),$V$2:$V$1001,0),1)&gt;=100000,INDEX($AC$1005:$AS$1005,1,MATCH(COLUMNS($AC$1006:AS1006),$AC$1006:$AS$1006,0))&gt;=100000), " ",IF(INDEX($AC$2:$AS$1001,MATCH(ROWS($V$2:V938),$V$2:$V$1001,0),MATCH(COLUMNS($AC$1006:AS1006),$AC$1006:$AS$1006,0)), HYPERLINK("#",""), HYPERLINK(CONCATENATE("#metadata!", ADDRESS(INDEX($X$2:$X$1001,MATCH(ROWS($V$2:V938),$V$2:$V$1001,0),0), INDEX($AC$1004:$AS$1004,1,MATCH(COLUMNS($AC$1006:AS1006),$AC$1006:$AS$1006,0)))),"Fix")))</f>
        <v xml:space="preserve"> </v>
      </c>
      <c r="V938">
        <v>937</v>
      </c>
      <c r="W938">
        <v>100938</v>
      </c>
      <c r="X938">
        <v>938</v>
      </c>
      <c r="Y938" t="b">
        <f t="shared" si="14"/>
        <v>1</v>
      </c>
      <c r="Z938" t="b">
        <f>COUNTBLANK(metadata!B938:R938)=COLUMNS(metadata!B938:R938)</f>
        <v>1</v>
      </c>
      <c r="AA938" t="str">
        <v/>
      </c>
      <c r="AC938" t="b">
        <f ca="1"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AD938" t="b">
        <f>IF(metadata!C938="",FALSE,ISNUMBER(VALUE(metadata!C938)))</f>
        <v>0</v>
      </c>
      <c r="AE938" t="b">
        <f>AND(IF(metadata!D938="",FALSE,TRUE),EXACT(metadata!D938,"years"))</f>
        <v>0</v>
      </c>
      <c r="AF938" t="b">
        <f>OR(AND(IF(metadata!E938="",FALSE,TRUE),OR(EXACT(metadata!E938,"not applicable"),EXACT(metadata!E938,"missing: not collected"),EXACT(metadata!E938,"missing: not provided"),EXACT(metadata!E938,"missing: restricted access"))),AND(IF(metadata!E938="",FALSE,ISNUMBER(VALUE(metadata!E938))),metadata!E938&gt;0))</f>
        <v>0</v>
      </c>
      <c r="AG938" t="b">
        <f>AND(IF(metadata!F938="",FALSE,TRUE),EXACT(metadata!F938,"Not applicable"))</f>
        <v>0</v>
      </c>
      <c r="AH938" t="b">
        <f>AND(IF(metadata!G938="",FALSE,TRUE),EXACT(metadata!G938,"urban biome"))</f>
        <v>0</v>
      </c>
      <c r="AI938" t="b">
        <f>AND(IF(metadata!H938="",FALSE,TRUE),EXACT(metadata!H938,"human-associated habitat"))</f>
        <v>0</v>
      </c>
      <c r="AJ938" t="b">
        <f>AND(IF(metadata!I938="",FALSE,TRUE),OR(EXACT(metadata!I938,"human-associated"),EXACT(metadata!I938,"human-skin"),EXACT(metadata!I938,"human-oral"),EXACT(metadata!I938,"human-gut"),EXACT(metadata!I938,"human-vaginal")))</f>
        <v>0</v>
      </c>
      <c r="AK938" t="b">
        <f>IF(metadata!J938="",FALSE,ISNUMBER(VALUE(metadata!J938)))</f>
        <v>0</v>
      </c>
      <c r="AL938" t="b">
        <f>AND(IF(metadata!K938="",FALSE,TRUE),EXACT(metadata!K938,"cm"))</f>
        <v>0</v>
      </c>
      <c r="AM938" t="b">
        <f>AND(IF(metadata!L938="",FALSE,TRUE),EXACT(metadata!L938,"human"))</f>
        <v>0</v>
      </c>
      <c r="AN938" t="b">
        <f>AND(IF(metadata!M938="",FALSE,TRUE),EXACT(metadata!M938,"Homo sapiens"))</f>
        <v>0</v>
      </c>
      <c r="AO938" t="b">
        <f>AND(IF(metadata!N938="",FALSE,TRUE),EXACT(metadata!N938,"9606"))</f>
        <v>0</v>
      </c>
      <c r="AP938" t="b">
        <f>IF(metadata!O938="",FALSE,TRUE)</f>
        <v>0</v>
      </c>
      <c r="AQ938" t="b">
        <f>IF(metadata!P938="",FALSE,TRUE)</f>
        <v>0</v>
      </c>
      <c r="AR938" t="b">
        <f>IF(metadata!Q938="",FALSE,ISNUMBER(VALUE(metadata!Q938)))</f>
        <v>0</v>
      </c>
      <c r="AS938" t="b">
        <f>AND(IF(metadata!R938="",FALSE,TRUE),EXACT(metadata!R938,"kg"))</f>
        <v>0</v>
      </c>
    </row>
    <row r="939" spans="1:45" x14ac:dyDescent="0.2">
      <c r="A939" s="5" t="str">
        <f ca="1">IF(B939=" "," ",HYPERLINK(CONCATENATE("#metadata!",ADDRESS(INDEX($X$2:$X$1001,MATCH(ROWS($V$2:V939),$V$2:$V$1001,0),0),1)),INDEX($AA$2:$AA$1001,MATCH(ROWS($V$2:V939),$V$2:$V$1001,0),0)))</f>
        <v xml:space="preserve"> </v>
      </c>
      <c r="B939" s="4" t="str">
        <f ca="1">IF(OR(INDEX($W$2:$W$1001,MATCH(ROWS($V$2:V939),$V$2:$V$1001,0),1)&gt;=100000,INDEX($AC$1005:$AS$1005,1,MATCH(COLUMNS($AC$1006:AC1006),$AC$1006:$AS$1006,0))&gt;=100000), " ",IF(INDEX($AC$2:$AS$1001,MATCH(ROWS($V$2:V939),$V$2:$V$1001,0),MATCH(COLUMNS($AC$1006:AC1006),$AC$1006:$AS$1006,0)), HYPERLINK("#",""), HYPERLINK(CONCATENATE("#metadata!", ADDRESS(INDEX($X$2:$X$1001,MATCH(ROWS($V$2:V939),$V$2:$V$1001,0),0), INDEX($AC$1004:$AS$1004,1,MATCH(COLUMNS($AC$1006:AC1006),$AC$1006:$AS$1006,0)))),"Fix")))</f>
        <v xml:space="preserve"> </v>
      </c>
      <c r="C939" s="4" t="str">
        <f ca="1">IF(OR(INDEX($W$2:$W$1001,MATCH(ROWS($V$2:V939),$V$2:$V$1001,0),1)&gt;=100000,INDEX($AC$1005:$AS$1005,1,MATCH(COLUMNS($AC$1006:AD1006),$AC$1006:$AS$1006,0))&gt;=100000), " ",IF(INDEX($AC$2:$AS$1001,MATCH(ROWS($V$2:V939),$V$2:$V$1001,0),MATCH(COLUMNS($AC$1006:AD1006),$AC$1006:$AS$1006,0)), HYPERLINK("#",""), HYPERLINK(CONCATENATE("#metadata!", ADDRESS(INDEX($X$2:$X$1001,MATCH(ROWS($V$2:V939),$V$2:$V$1001,0),0), INDEX($AC$1004:$AS$1004,1,MATCH(COLUMNS($AC$1006:AD1006),$AC$1006:$AS$1006,0)))),"Fix")))</f>
        <v xml:space="preserve"> </v>
      </c>
      <c r="D939" s="4" t="str">
        <f ca="1">IF(OR(INDEX($W$2:$W$1001,MATCH(ROWS($V$2:V939),$V$2:$V$1001,0),1)&gt;=100000,INDEX($AC$1005:$AS$1005,1,MATCH(COLUMNS($AC$1006:AE1006),$AC$1006:$AS$1006,0))&gt;=100000), " ",IF(INDEX($AC$2:$AS$1001,MATCH(ROWS($V$2:V939),$V$2:$V$1001,0),MATCH(COLUMNS($AC$1006:AE1006),$AC$1006:$AS$1006,0)), HYPERLINK("#",""), HYPERLINK(CONCATENATE("#metadata!", ADDRESS(INDEX($X$2:$X$1001,MATCH(ROWS($V$2:V939),$V$2:$V$1001,0),0), INDEX($AC$1004:$AS$1004,1,MATCH(COLUMNS($AC$1006:AE1006),$AC$1006:$AS$1006,0)))),"Fix")))</f>
        <v xml:space="preserve"> </v>
      </c>
      <c r="E939" s="4" t="str">
        <f ca="1">IF(OR(INDEX($W$2:$W$1001,MATCH(ROWS($V$2:V939),$V$2:$V$1001,0),1)&gt;=100000,INDEX($AC$1005:$AS$1005,1,MATCH(COLUMNS($AC$1006:AF1006),$AC$1006:$AS$1006,0))&gt;=100000), " ",IF(INDEX($AC$2:$AS$1001,MATCH(ROWS($V$2:V939),$V$2:$V$1001,0),MATCH(COLUMNS($AC$1006:AF1006),$AC$1006:$AS$1006,0)), HYPERLINK("#",""), HYPERLINK(CONCATENATE("#metadata!", ADDRESS(INDEX($X$2:$X$1001,MATCH(ROWS($V$2:V939),$V$2:$V$1001,0),0), INDEX($AC$1004:$AS$1004,1,MATCH(COLUMNS($AC$1006:AF1006),$AC$1006:$AS$1006,0)))),"Fix")))</f>
        <v xml:space="preserve"> </v>
      </c>
      <c r="F939" s="4" t="str">
        <f ca="1">IF(OR(INDEX($W$2:$W$1001,MATCH(ROWS($V$2:V939),$V$2:$V$1001,0),1)&gt;=100000,INDEX($AC$1005:$AS$1005,1,MATCH(COLUMNS($AC$1006:AG1006),$AC$1006:$AS$1006,0))&gt;=100000), " ",IF(INDEX($AC$2:$AS$1001,MATCH(ROWS($V$2:V939),$V$2:$V$1001,0),MATCH(COLUMNS($AC$1006:AG1006),$AC$1006:$AS$1006,0)), HYPERLINK("#",""), HYPERLINK(CONCATENATE("#metadata!", ADDRESS(INDEX($X$2:$X$1001,MATCH(ROWS($V$2:V939),$V$2:$V$1001,0),0), INDEX($AC$1004:$AS$1004,1,MATCH(COLUMNS($AC$1006:AG1006),$AC$1006:$AS$1006,0)))),"Fix")))</f>
        <v xml:space="preserve"> </v>
      </c>
      <c r="G939" s="4" t="str">
        <f ca="1">IF(OR(INDEX($W$2:$W$1001,MATCH(ROWS($V$2:V939),$V$2:$V$1001,0),1)&gt;=100000,INDEX($AC$1005:$AS$1005,1,MATCH(COLUMNS($AC$1006:AH1006),$AC$1006:$AS$1006,0))&gt;=100000), " ",IF(INDEX($AC$2:$AS$1001,MATCH(ROWS($V$2:V939),$V$2:$V$1001,0),MATCH(COLUMNS($AC$1006:AH1006),$AC$1006:$AS$1006,0)), HYPERLINK("#",""), HYPERLINK(CONCATENATE("#metadata!", ADDRESS(INDEX($X$2:$X$1001,MATCH(ROWS($V$2:V939),$V$2:$V$1001,0),0), INDEX($AC$1004:$AS$1004,1,MATCH(COLUMNS($AC$1006:AH1006),$AC$1006:$AS$1006,0)))),"Fix")))</f>
        <v xml:space="preserve"> </v>
      </c>
      <c r="H939" s="4" t="str">
        <f ca="1">IF(OR(INDEX($W$2:$W$1001,MATCH(ROWS($V$2:V939),$V$2:$V$1001,0),1)&gt;=100000,INDEX($AC$1005:$AS$1005,1,MATCH(COLUMNS($AC$1006:AI1006),$AC$1006:$AS$1006,0))&gt;=100000), " ",IF(INDEX($AC$2:$AS$1001,MATCH(ROWS($V$2:V939),$V$2:$V$1001,0),MATCH(COLUMNS($AC$1006:AI1006),$AC$1006:$AS$1006,0)), HYPERLINK("#",""), HYPERLINK(CONCATENATE("#metadata!", ADDRESS(INDEX($X$2:$X$1001,MATCH(ROWS($V$2:V939),$V$2:$V$1001,0),0), INDEX($AC$1004:$AS$1004,1,MATCH(COLUMNS($AC$1006:AI1006),$AC$1006:$AS$1006,0)))),"Fix")))</f>
        <v xml:space="preserve"> </v>
      </c>
      <c r="I939" s="4" t="str">
        <f ca="1">IF(OR(INDEX($W$2:$W$1001,MATCH(ROWS($V$2:V939),$V$2:$V$1001,0),1)&gt;=100000,INDEX($AC$1005:$AS$1005,1,MATCH(COLUMNS($AC$1006:AJ1006),$AC$1006:$AS$1006,0))&gt;=100000), " ",IF(INDEX($AC$2:$AS$1001,MATCH(ROWS($V$2:V939),$V$2:$V$1001,0),MATCH(COLUMNS($AC$1006:AJ1006),$AC$1006:$AS$1006,0)), HYPERLINK("#",""), HYPERLINK(CONCATENATE("#metadata!", ADDRESS(INDEX($X$2:$X$1001,MATCH(ROWS($V$2:V939),$V$2:$V$1001,0),0), INDEX($AC$1004:$AS$1004,1,MATCH(COLUMNS($AC$1006:AJ1006),$AC$1006:$AS$1006,0)))),"Fix")))</f>
        <v xml:space="preserve"> </v>
      </c>
      <c r="J939" s="4" t="str">
        <f ca="1">IF(OR(INDEX($W$2:$W$1001,MATCH(ROWS($V$2:V939),$V$2:$V$1001,0),1)&gt;=100000,INDEX($AC$1005:$AS$1005,1,MATCH(COLUMNS($AC$1006:AK1006),$AC$1006:$AS$1006,0))&gt;=100000), " ",IF(INDEX($AC$2:$AS$1001,MATCH(ROWS($V$2:V939),$V$2:$V$1001,0),MATCH(COLUMNS($AC$1006:AK1006),$AC$1006:$AS$1006,0)), HYPERLINK("#",""), HYPERLINK(CONCATENATE("#metadata!", ADDRESS(INDEX($X$2:$X$1001,MATCH(ROWS($V$2:V939),$V$2:$V$1001,0),0), INDEX($AC$1004:$AS$1004,1,MATCH(COLUMNS($AC$1006:AK1006),$AC$1006:$AS$1006,0)))),"Fix")))</f>
        <v xml:space="preserve"> </v>
      </c>
      <c r="K939" s="4" t="str">
        <f ca="1">IF(OR(INDEX($W$2:$W$1001,MATCH(ROWS($V$2:V939),$V$2:$V$1001,0),1)&gt;=100000,INDEX($AC$1005:$AS$1005,1,MATCH(COLUMNS($AC$1006:AL1006),$AC$1006:$AS$1006,0))&gt;=100000), " ",IF(INDEX($AC$2:$AS$1001,MATCH(ROWS($V$2:V939),$V$2:$V$1001,0),MATCH(COLUMNS($AC$1006:AL1006),$AC$1006:$AS$1006,0)), HYPERLINK("#",""), HYPERLINK(CONCATENATE("#metadata!", ADDRESS(INDEX($X$2:$X$1001,MATCH(ROWS($V$2:V939),$V$2:$V$1001,0),0), INDEX($AC$1004:$AS$1004,1,MATCH(COLUMNS($AC$1006:AL1006),$AC$1006:$AS$1006,0)))),"Fix")))</f>
        <v xml:space="preserve"> </v>
      </c>
      <c r="L939" s="4" t="str">
        <f ca="1">IF(OR(INDEX($W$2:$W$1001,MATCH(ROWS($V$2:V939),$V$2:$V$1001,0),1)&gt;=100000,INDEX($AC$1005:$AS$1005,1,MATCH(COLUMNS($AC$1006:AM1006),$AC$1006:$AS$1006,0))&gt;=100000), " ",IF(INDEX($AC$2:$AS$1001,MATCH(ROWS($V$2:V939),$V$2:$V$1001,0),MATCH(COLUMNS($AC$1006:AM1006),$AC$1006:$AS$1006,0)), HYPERLINK("#",""), HYPERLINK(CONCATENATE("#metadata!", ADDRESS(INDEX($X$2:$X$1001,MATCH(ROWS($V$2:V939),$V$2:$V$1001,0),0), INDEX($AC$1004:$AS$1004,1,MATCH(COLUMNS($AC$1006:AM1006),$AC$1006:$AS$1006,0)))),"Fix")))</f>
        <v xml:space="preserve"> </v>
      </c>
      <c r="M939" s="4" t="str">
        <f ca="1">IF(OR(INDEX($W$2:$W$1001,MATCH(ROWS($V$2:V939),$V$2:$V$1001,0),1)&gt;=100000,INDEX($AC$1005:$AS$1005,1,MATCH(COLUMNS($AC$1006:AN1006),$AC$1006:$AS$1006,0))&gt;=100000), " ",IF(INDEX($AC$2:$AS$1001,MATCH(ROWS($V$2:V939),$V$2:$V$1001,0),MATCH(COLUMNS($AC$1006:AN1006),$AC$1006:$AS$1006,0)), HYPERLINK("#",""), HYPERLINK(CONCATENATE("#metadata!", ADDRESS(INDEX($X$2:$X$1001,MATCH(ROWS($V$2:V939),$V$2:$V$1001,0),0), INDEX($AC$1004:$AS$1004,1,MATCH(COLUMNS($AC$1006:AN1006),$AC$1006:$AS$1006,0)))),"Fix")))</f>
        <v xml:space="preserve"> </v>
      </c>
      <c r="N939" s="4" t="str">
        <f ca="1">IF(OR(INDEX($W$2:$W$1001,MATCH(ROWS($V$2:V939),$V$2:$V$1001,0),1)&gt;=100000,INDEX($AC$1005:$AS$1005,1,MATCH(COLUMNS($AC$1006:AO1006),$AC$1006:$AS$1006,0))&gt;=100000), " ",IF(INDEX($AC$2:$AS$1001,MATCH(ROWS($V$2:V939),$V$2:$V$1001,0),MATCH(COLUMNS($AC$1006:AO1006),$AC$1006:$AS$1006,0)), HYPERLINK("#",""), HYPERLINK(CONCATENATE("#metadata!", ADDRESS(INDEX($X$2:$X$1001,MATCH(ROWS($V$2:V939),$V$2:$V$1001,0),0), INDEX($AC$1004:$AS$1004,1,MATCH(COLUMNS($AC$1006:AO1006),$AC$1006:$AS$1006,0)))),"Fix")))</f>
        <v xml:space="preserve"> </v>
      </c>
      <c r="O939" s="4" t="str">
        <f ca="1">IF(OR(INDEX($W$2:$W$1001,MATCH(ROWS($V$2:V939),$V$2:$V$1001,0),1)&gt;=100000,INDEX($AC$1005:$AS$1005,1,MATCH(COLUMNS($AC$1006:AP1006),$AC$1006:$AS$1006,0))&gt;=100000), " ",IF(INDEX($AC$2:$AS$1001,MATCH(ROWS($V$2:V939),$V$2:$V$1001,0),MATCH(COLUMNS($AC$1006:AP1006),$AC$1006:$AS$1006,0)), HYPERLINK("#",""), HYPERLINK(CONCATENATE("#metadata!", ADDRESS(INDEX($X$2:$X$1001,MATCH(ROWS($V$2:V939),$V$2:$V$1001,0),0), INDEX($AC$1004:$AS$1004,1,MATCH(COLUMNS($AC$1006:AP1006),$AC$1006:$AS$1006,0)))),"Fix")))</f>
        <v xml:space="preserve"> </v>
      </c>
      <c r="P939" s="4" t="str">
        <f ca="1">IF(OR(INDEX($W$2:$W$1001,MATCH(ROWS($V$2:V939),$V$2:$V$1001,0),1)&gt;=100000,INDEX($AC$1005:$AS$1005,1,MATCH(COLUMNS($AC$1006:AQ1006),$AC$1006:$AS$1006,0))&gt;=100000), " ",IF(INDEX($AC$2:$AS$1001,MATCH(ROWS($V$2:V939),$V$2:$V$1001,0),MATCH(COLUMNS($AC$1006:AQ1006),$AC$1006:$AS$1006,0)), HYPERLINK("#",""), HYPERLINK(CONCATENATE("#metadata!", ADDRESS(INDEX($X$2:$X$1001,MATCH(ROWS($V$2:V939),$V$2:$V$1001,0),0), INDEX($AC$1004:$AS$1004,1,MATCH(COLUMNS($AC$1006:AQ1006),$AC$1006:$AS$1006,0)))),"Fix")))</f>
        <v xml:space="preserve"> </v>
      </c>
      <c r="Q939" s="4" t="str">
        <f ca="1">IF(OR(INDEX($W$2:$W$1001,MATCH(ROWS($V$2:V939),$V$2:$V$1001,0),1)&gt;=100000,INDEX($AC$1005:$AS$1005,1,MATCH(COLUMNS($AC$1006:AR1006),$AC$1006:$AS$1006,0))&gt;=100000), " ",IF(INDEX($AC$2:$AS$1001,MATCH(ROWS($V$2:V939),$V$2:$V$1001,0),MATCH(COLUMNS($AC$1006:AR1006),$AC$1006:$AS$1006,0)), HYPERLINK("#",""), HYPERLINK(CONCATENATE("#metadata!", ADDRESS(INDEX($X$2:$X$1001,MATCH(ROWS($V$2:V939),$V$2:$V$1001,0),0), INDEX($AC$1004:$AS$1004,1,MATCH(COLUMNS($AC$1006:AR1006),$AC$1006:$AS$1006,0)))),"Fix")))</f>
        <v xml:space="preserve"> </v>
      </c>
      <c r="R939" s="4" t="str">
        <f ca="1">IF(OR(INDEX($W$2:$W$1001,MATCH(ROWS($V$2:V939),$V$2:$V$1001,0),1)&gt;=100000,INDEX($AC$1005:$AS$1005,1,MATCH(COLUMNS($AC$1006:AS1006),$AC$1006:$AS$1006,0))&gt;=100000), " ",IF(INDEX($AC$2:$AS$1001,MATCH(ROWS($V$2:V939),$V$2:$V$1001,0),MATCH(COLUMNS($AC$1006:AS1006),$AC$1006:$AS$1006,0)), HYPERLINK("#",""), HYPERLINK(CONCATENATE("#metadata!", ADDRESS(INDEX($X$2:$X$1001,MATCH(ROWS($V$2:V939),$V$2:$V$1001,0),0), INDEX($AC$1004:$AS$1004,1,MATCH(COLUMNS($AC$1006:AS1006),$AC$1006:$AS$1006,0)))),"Fix")))</f>
        <v xml:space="preserve"> </v>
      </c>
      <c r="V939">
        <v>938</v>
      </c>
      <c r="W939">
        <v>100939</v>
      </c>
      <c r="X939">
        <v>939</v>
      </c>
      <c r="Y939" t="b">
        <f t="shared" si="14"/>
        <v>1</v>
      </c>
      <c r="Z939" t="b">
        <f>COUNTBLANK(metadata!B939:R939)=COLUMNS(metadata!B939:R939)</f>
        <v>1</v>
      </c>
      <c r="AA939" t="str">
        <v/>
      </c>
      <c r="AC939" t="b">
        <f ca="1"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AD939" t="b">
        <f>IF(metadata!C939="",FALSE,ISNUMBER(VALUE(metadata!C939)))</f>
        <v>0</v>
      </c>
      <c r="AE939" t="b">
        <f>AND(IF(metadata!D939="",FALSE,TRUE),EXACT(metadata!D939,"years"))</f>
        <v>0</v>
      </c>
      <c r="AF939" t="b">
        <f>OR(AND(IF(metadata!E939="",FALSE,TRUE),OR(EXACT(metadata!E939,"not applicable"),EXACT(metadata!E939,"missing: not collected"),EXACT(metadata!E939,"missing: not provided"),EXACT(metadata!E939,"missing: restricted access"))),AND(IF(metadata!E939="",FALSE,ISNUMBER(VALUE(metadata!E939))),metadata!E939&gt;0))</f>
        <v>0</v>
      </c>
      <c r="AG939" t="b">
        <f>AND(IF(metadata!F939="",FALSE,TRUE),EXACT(metadata!F939,"Not applicable"))</f>
        <v>0</v>
      </c>
      <c r="AH939" t="b">
        <f>AND(IF(metadata!G939="",FALSE,TRUE),EXACT(metadata!G939,"urban biome"))</f>
        <v>0</v>
      </c>
      <c r="AI939" t="b">
        <f>AND(IF(metadata!H939="",FALSE,TRUE),EXACT(metadata!H939,"human-associated habitat"))</f>
        <v>0</v>
      </c>
      <c r="AJ939" t="b">
        <f>AND(IF(metadata!I939="",FALSE,TRUE),OR(EXACT(metadata!I939,"human-associated"),EXACT(metadata!I939,"human-skin"),EXACT(metadata!I939,"human-oral"),EXACT(metadata!I939,"human-gut"),EXACT(metadata!I939,"human-vaginal")))</f>
        <v>0</v>
      </c>
      <c r="AK939" t="b">
        <f>IF(metadata!J939="",FALSE,ISNUMBER(VALUE(metadata!J939)))</f>
        <v>0</v>
      </c>
      <c r="AL939" t="b">
        <f>AND(IF(metadata!K939="",FALSE,TRUE),EXACT(metadata!K939,"cm"))</f>
        <v>0</v>
      </c>
      <c r="AM939" t="b">
        <f>AND(IF(metadata!L939="",FALSE,TRUE),EXACT(metadata!L939,"human"))</f>
        <v>0</v>
      </c>
      <c r="AN939" t="b">
        <f>AND(IF(metadata!M939="",FALSE,TRUE),EXACT(metadata!M939,"Homo sapiens"))</f>
        <v>0</v>
      </c>
      <c r="AO939" t="b">
        <f>AND(IF(metadata!N939="",FALSE,TRUE),EXACT(metadata!N939,"9606"))</f>
        <v>0</v>
      </c>
      <c r="AP939" t="b">
        <f>IF(metadata!O939="",FALSE,TRUE)</f>
        <v>0</v>
      </c>
      <c r="AQ939" t="b">
        <f>IF(metadata!P939="",FALSE,TRUE)</f>
        <v>0</v>
      </c>
      <c r="AR939" t="b">
        <f>IF(metadata!Q939="",FALSE,ISNUMBER(VALUE(metadata!Q939)))</f>
        <v>0</v>
      </c>
      <c r="AS939" t="b">
        <f>AND(IF(metadata!R939="",FALSE,TRUE),EXACT(metadata!R939,"kg"))</f>
        <v>0</v>
      </c>
    </row>
    <row r="940" spans="1:45" x14ac:dyDescent="0.2">
      <c r="A940" s="5" t="str">
        <f ca="1">IF(B940=" "," ",HYPERLINK(CONCATENATE("#metadata!",ADDRESS(INDEX($X$2:$X$1001,MATCH(ROWS($V$2:V940),$V$2:$V$1001,0),0),1)),INDEX($AA$2:$AA$1001,MATCH(ROWS($V$2:V940),$V$2:$V$1001,0),0)))</f>
        <v xml:space="preserve"> </v>
      </c>
      <c r="B940" s="4" t="str">
        <f ca="1">IF(OR(INDEX($W$2:$W$1001,MATCH(ROWS($V$2:V940),$V$2:$V$1001,0),1)&gt;=100000,INDEX($AC$1005:$AS$1005,1,MATCH(COLUMNS($AC$1006:AC1006),$AC$1006:$AS$1006,0))&gt;=100000), " ",IF(INDEX($AC$2:$AS$1001,MATCH(ROWS($V$2:V940),$V$2:$V$1001,0),MATCH(COLUMNS($AC$1006:AC1006),$AC$1006:$AS$1006,0)), HYPERLINK("#",""), HYPERLINK(CONCATENATE("#metadata!", ADDRESS(INDEX($X$2:$X$1001,MATCH(ROWS($V$2:V940),$V$2:$V$1001,0),0), INDEX($AC$1004:$AS$1004,1,MATCH(COLUMNS($AC$1006:AC1006),$AC$1006:$AS$1006,0)))),"Fix")))</f>
        <v xml:space="preserve"> </v>
      </c>
      <c r="C940" s="4" t="str">
        <f ca="1">IF(OR(INDEX($W$2:$W$1001,MATCH(ROWS($V$2:V940),$V$2:$V$1001,0),1)&gt;=100000,INDEX($AC$1005:$AS$1005,1,MATCH(COLUMNS($AC$1006:AD1006),$AC$1006:$AS$1006,0))&gt;=100000), " ",IF(INDEX($AC$2:$AS$1001,MATCH(ROWS($V$2:V940),$V$2:$V$1001,0),MATCH(COLUMNS($AC$1006:AD1006),$AC$1006:$AS$1006,0)), HYPERLINK("#",""), HYPERLINK(CONCATENATE("#metadata!", ADDRESS(INDEX($X$2:$X$1001,MATCH(ROWS($V$2:V940),$V$2:$V$1001,0),0), INDEX($AC$1004:$AS$1004,1,MATCH(COLUMNS($AC$1006:AD1006),$AC$1006:$AS$1006,0)))),"Fix")))</f>
        <v xml:space="preserve"> </v>
      </c>
      <c r="D940" s="4" t="str">
        <f ca="1">IF(OR(INDEX($W$2:$W$1001,MATCH(ROWS($V$2:V940),$V$2:$V$1001,0),1)&gt;=100000,INDEX($AC$1005:$AS$1005,1,MATCH(COLUMNS($AC$1006:AE1006),$AC$1006:$AS$1006,0))&gt;=100000), " ",IF(INDEX($AC$2:$AS$1001,MATCH(ROWS($V$2:V940),$V$2:$V$1001,0),MATCH(COLUMNS($AC$1006:AE1006),$AC$1006:$AS$1006,0)), HYPERLINK("#",""), HYPERLINK(CONCATENATE("#metadata!", ADDRESS(INDEX($X$2:$X$1001,MATCH(ROWS($V$2:V940),$V$2:$V$1001,0),0), INDEX($AC$1004:$AS$1004,1,MATCH(COLUMNS($AC$1006:AE1006),$AC$1006:$AS$1006,0)))),"Fix")))</f>
        <v xml:space="preserve"> </v>
      </c>
      <c r="E940" s="4" t="str">
        <f ca="1">IF(OR(INDEX($W$2:$W$1001,MATCH(ROWS($V$2:V940),$V$2:$V$1001,0),1)&gt;=100000,INDEX($AC$1005:$AS$1005,1,MATCH(COLUMNS($AC$1006:AF1006),$AC$1006:$AS$1006,0))&gt;=100000), " ",IF(INDEX($AC$2:$AS$1001,MATCH(ROWS($V$2:V940),$V$2:$V$1001,0),MATCH(COLUMNS($AC$1006:AF1006),$AC$1006:$AS$1006,0)), HYPERLINK("#",""), HYPERLINK(CONCATENATE("#metadata!", ADDRESS(INDEX($X$2:$X$1001,MATCH(ROWS($V$2:V940),$V$2:$V$1001,0),0), INDEX($AC$1004:$AS$1004,1,MATCH(COLUMNS($AC$1006:AF1006),$AC$1006:$AS$1006,0)))),"Fix")))</f>
        <v xml:space="preserve"> </v>
      </c>
      <c r="F940" s="4" t="str">
        <f ca="1">IF(OR(INDEX($W$2:$W$1001,MATCH(ROWS($V$2:V940),$V$2:$V$1001,0),1)&gt;=100000,INDEX($AC$1005:$AS$1005,1,MATCH(COLUMNS($AC$1006:AG1006),$AC$1006:$AS$1006,0))&gt;=100000), " ",IF(INDEX($AC$2:$AS$1001,MATCH(ROWS($V$2:V940),$V$2:$V$1001,0),MATCH(COLUMNS($AC$1006:AG1006),$AC$1006:$AS$1006,0)), HYPERLINK("#",""), HYPERLINK(CONCATENATE("#metadata!", ADDRESS(INDEX($X$2:$X$1001,MATCH(ROWS($V$2:V940),$V$2:$V$1001,0),0), INDEX($AC$1004:$AS$1004,1,MATCH(COLUMNS($AC$1006:AG1006),$AC$1006:$AS$1006,0)))),"Fix")))</f>
        <v xml:space="preserve"> </v>
      </c>
      <c r="G940" s="4" t="str">
        <f ca="1">IF(OR(INDEX($W$2:$W$1001,MATCH(ROWS($V$2:V940),$V$2:$V$1001,0),1)&gt;=100000,INDEX($AC$1005:$AS$1005,1,MATCH(COLUMNS($AC$1006:AH1006),$AC$1006:$AS$1006,0))&gt;=100000), " ",IF(INDEX($AC$2:$AS$1001,MATCH(ROWS($V$2:V940),$V$2:$V$1001,0),MATCH(COLUMNS($AC$1006:AH1006),$AC$1006:$AS$1006,0)), HYPERLINK("#",""), HYPERLINK(CONCATENATE("#metadata!", ADDRESS(INDEX($X$2:$X$1001,MATCH(ROWS($V$2:V940),$V$2:$V$1001,0),0), INDEX($AC$1004:$AS$1004,1,MATCH(COLUMNS($AC$1006:AH1006),$AC$1006:$AS$1006,0)))),"Fix")))</f>
        <v xml:space="preserve"> </v>
      </c>
      <c r="H940" s="4" t="str">
        <f ca="1">IF(OR(INDEX($W$2:$W$1001,MATCH(ROWS($V$2:V940),$V$2:$V$1001,0),1)&gt;=100000,INDEX($AC$1005:$AS$1005,1,MATCH(COLUMNS($AC$1006:AI1006),$AC$1006:$AS$1006,0))&gt;=100000), " ",IF(INDEX($AC$2:$AS$1001,MATCH(ROWS($V$2:V940),$V$2:$V$1001,0),MATCH(COLUMNS($AC$1006:AI1006),$AC$1006:$AS$1006,0)), HYPERLINK("#",""), HYPERLINK(CONCATENATE("#metadata!", ADDRESS(INDEX($X$2:$X$1001,MATCH(ROWS($V$2:V940),$V$2:$V$1001,0),0), INDEX($AC$1004:$AS$1004,1,MATCH(COLUMNS($AC$1006:AI1006),$AC$1006:$AS$1006,0)))),"Fix")))</f>
        <v xml:space="preserve"> </v>
      </c>
      <c r="I940" s="4" t="str">
        <f ca="1">IF(OR(INDEX($W$2:$W$1001,MATCH(ROWS($V$2:V940),$V$2:$V$1001,0),1)&gt;=100000,INDEX($AC$1005:$AS$1005,1,MATCH(COLUMNS($AC$1006:AJ1006),$AC$1006:$AS$1006,0))&gt;=100000), " ",IF(INDEX($AC$2:$AS$1001,MATCH(ROWS($V$2:V940),$V$2:$V$1001,0),MATCH(COLUMNS($AC$1006:AJ1006),$AC$1006:$AS$1006,0)), HYPERLINK("#",""), HYPERLINK(CONCATENATE("#metadata!", ADDRESS(INDEX($X$2:$X$1001,MATCH(ROWS($V$2:V940),$V$2:$V$1001,0),0), INDEX($AC$1004:$AS$1004,1,MATCH(COLUMNS($AC$1006:AJ1006),$AC$1006:$AS$1006,0)))),"Fix")))</f>
        <v xml:space="preserve"> </v>
      </c>
      <c r="J940" s="4" t="str">
        <f ca="1">IF(OR(INDEX($W$2:$W$1001,MATCH(ROWS($V$2:V940),$V$2:$V$1001,0),1)&gt;=100000,INDEX($AC$1005:$AS$1005,1,MATCH(COLUMNS($AC$1006:AK1006),$AC$1006:$AS$1006,0))&gt;=100000), " ",IF(INDEX($AC$2:$AS$1001,MATCH(ROWS($V$2:V940),$V$2:$V$1001,0),MATCH(COLUMNS($AC$1006:AK1006),$AC$1006:$AS$1006,0)), HYPERLINK("#",""), HYPERLINK(CONCATENATE("#metadata!", ADDRESS(INDEX($X$2:$X$1001,MATCH(ROWS($V$2:V940),$V$2:$V$1001,0),0), INDEX($AC$1004:$AS$1004,1,MATCH(COLUMNS($AC$1006:AK1006),$AC$1006:$AS$1006,0)))),"Fix")))</f>
        <v xml:space="preserve"> </v>
      </c>
      <c r="K940" s="4" t="str">
        <f ca="1">IF(OR(INDEX($W$2:$W$1001,MATCH(ROWS($V$2:V940),$V$2:$V$1001,0),1)&gt;=100000,INDEX($AC$1005:$AS$1005,1,MATCH(COLUMNS($AC$1006:AL1006),$AC$1006:$AS$1006,0))&gt;=100000), " ",IF(INDEX($AC$2:$AS$1001,MATCH(ROWS($V$2:V940),$V$2:$V$1001,0),MATCH(COLUMNS($AC$1006:AL1006),$AC$1006:$AS$1006,0)), HYPERLINK("#",""), HYPERLINK(CONCATENATE("#metadata!", ADDRESS(INDEX($X$2:$X$1001,MATCH(ROWS($V$2:V940),$V$2:$V$1001,0),0), INDEX($AC$1004:$AS$1004,1,MATCH(COLUMNS($AC$1006:AL1006),$AC$1006:$AS$1006,0)))),"Fix")))</f>
        <v xml:space="preserve"> </v>
      </c>
      <c r="L940" s="4" t="str">
        <f ca="1">IF(OR(INDEX($W$2:$W$1001,MATCH(ROWS($V$2:V940),$V$2:$V$1001,0),1)&gt;=100000,INDEX($AC$1005:$AS$1005,1,MATCH(COLUMNS($AC$1006:AM1006),$AC$1006:$AS$1006,0))&gt;=100000), " ",IF(INDEX($AC$2:$AS$1001,MATCH(ROWS($V$2:V940),$V$2:$V$1001,0),MATCH(COLUMNS($AC$1006:AM1006),$AC$1006:$AS$1006,0)), HYPERLINK("#",""), HYPERLINK(CONCATENATE("#metadata!", ADDRESS(INDEX($X$2:$X$1001,MATCH(ROWS($V$2:V940),$V$2:$V$1001,0),0), INDEX($AC$1004:$AS$1004,1,MATCH(COLUMNS($AC$1006:AM1006),$AC$1006:$AS$1006,0)))),"Fix")))</f>
        <v xml:space="preserve"> </v>
      </c>
      <c r="M940" s="4" t="str">
        <f ca="1">IF(OR(INDEX($W$2:$W$1001,MATCH(ROWS($V$2:V940),$V$2:$V$1001,0),1)&gt;=100000,INDEX($AC$1005:$AS$1005,1,MATCH(COLUMNS($AC$1006:AN1006),$AC$1006:$AS$1006,0))&gt;=100000), " ",IF(INDEX($AC$2:$AS$1001,MATCH(ROWS($V$2:V940),$V$2:$V$1001,0),MATCH(COLUMNS($AC$1006:AN1006),$AC$1006:$AS$1006,0)), HYPERLINK("#",""), HYPERLINK(CONCATENATE("#metadata!", ADDRESS(INDEX($X$2:$X$1001,MATCH(ROWS($V$2:V940),$V$2:$V$1001,0),0), INDEX($AC$1004:$AS$1004,1,MATCH(COLUMNS($AC$1006:AN1006),$AC$1006:$AS$1006,0)))),"Fix")))</f>
        <v xml:space="preserve"> </v>
      </c>
      <c r="N940" s="4" t="str">
        <f ca="1">IF(OR(INDEX($W$2:$W$1001,MATCH(ROWS($V$2:V940),$V$2:$V$1001,0),1)&gt;=100000,INDEX($AC$1005:$AS$1005,1,MATCH(COLUMNS($AC$1006:AO1006),$AC$1006:$AS$1006,0))&gt;=100000), " ",IF(INDEX($AC$2:$AS$1001,MATCH(ROWS($V$2:V940),$V$2:$V$1001,0),MATCH(COLUMNS($AC$1006:AO1006),$AC$1006:$AS$1006,0)), HYPERLINK("#",""), HYPERLINK(CONCATENATE("#metadata!", ADDRESS(INDEX($X$2:$X$1001,MATCH(ROWS($V$2:V940),$V$2:$V$1001,0),0), INDEX($AC$1004:$AS$1004,1,MATCH(COLUMNS($AC$1006:AO1006),$AC$1006:$AS$1006,0)))),"Fix")))</f>
        <v xml:space="preserve"> </v>
      </c>
      <c r="O940" s="4" t="str">
        <f ca="1">IF(OR(INDEX($W$2:$W$1001,MATCH(ROWS($V$2:V940),$V$2:$V$1001,0),1)&gt;=100000,INDEX($AC$1005:$AS$1005,1,MATCH(COLUMNS($AC$1006:AP1006),$AC$1006:$AS$1006,0))&gt;=100000), " ",IF(INDEX($AC$2:$AS$1001,MATCH(ROWS($V$2:V940),$V$2:$V$1001,0),MATCH(COLUMNS($AC$1006:AP1006),$AC$1006:$AS$1006,0)), HYPERLINK("#",""), HYPERLINK(CONCATENATE("#metadata!", ADDRESS(INDEX($X$2:$X$1001,MATCH(ROWS($V$2:V940),$V$2:$V$1001,0),0), INDEX($AC$1004:$AS$1004,1,MATCH(COLUMNS($AC$1006:AP1006),$AC$1006:$AS$1006,0)))),"Fix")))</f>
        <v xml:space="preserve"> </v>
      </c>
      <c r="P940" s="4" t="str">
        <f ca="1">IF(OR(INDEX($W$2:$W$1001,MATCH(ROWS($V$2:V940),$V$2:$V$1001,0),1)&gt;=100000,INDEX($AC$1005:$AS$1005,1,MATCH(COLUMNS($AC$1006:AQ1006),$AC$1006:$AS$1006,0))&gt;=100000), " ",IF(INDEX($AC$2:$AS$1001,MATCH(ROWS($V$2:V940),$V$2:$V$1001,0),MATCH(COLUMNS($AC$1006:AQ1006),$AC$1006:$AS$1006,0)), HYPERLINK("#",""), HYPERLINK(CONCATENATE("#metadata!", ADDRESS(INDEX($X$2:$X$1001,MATCH(ROWS($V$2:V940),$V$2:$V$1001,0),0), INDEX($AC$1004:$AS$1004,1,MATCH(COLUMNS($AC$1006:AQ1006),$AC$1006:$AS$1006,0)))),"Fix")))</f>
        <v xml:space="preserve"> </v>
      </c>
      <c r="Q940" s="4" t="str">
        <f ca="1">IF(OR(INDEX($W$2:$W$1001,MATCH(ROWS($V$2:V940),$V$2:$V$1001,0),1)&gt;=100000,INDEX($AC$1005:$AS$1005,1,MATCH(COLUMNS($AC$1006:AR1006),$AC$1006:$AS$1006,0))&gt;=100000), " ",IF(INDEX($AC$2:$AS$1001,MATCH(ROWS($V$2:V940),$V$2:$V$1001,0),MATCH(COLUMNS($AC$1006:AR1006),$AC$1006:$AS$1006,0)), HYPERLINK("#",""), HYPERLINK(CONCATENATE("#metadata!", ADDRESS(INDEX($X$2:$X$1001,MATCH(ROWS($V$2:V940),$V$2:$V$1001,0),0), INDEX($AC$1004:$AS$1004,1,MATCH(COLUMNS($AC$1006:AR1006),$AC$1006:$AS$1006,0)))),"Fix")))</f>
        <v xml:space="preserve"> </v>
      </c>
      <c r="R940" s="4" t="str">
        <f ca="1">IF(OR(INDEX($W$2:$W$1001,MATCH(ROWS($V$2:V940),$V$2:$V$1001,0),1)&gt;=100000,INDEX($AC$1005:$AS$1005,1,MATCH(COLUMNS($AC$1006:AS1006),$AC$1006:$AS$1006,0))&gt;=100000), " ",IF(INDEX($AC$2:$AS$1001,MATCH(ROWS($V$2:V940),$V$2:$V$1001,0),MATCH(COLUMNS($AC$1006:AS1006),$AC$1006:$AS$1006,0)), HYPERLINK("#",""), HYPERLINK(CONCATENATE("#metadata!", ADDRESS(INDEX($X$2:$X$1001,MATCH(ROWS($V$2:V940),$V$2:$V$1001,0),0), INDEX($AC$1004:$AS$1004,1,MATCH(COLUMNS($AC$1006:AS1006),$AC$1006:$AS$1006,0)))),"Fix")))</f>
        <v xml:space="preserve"> </v>
      </c>
      <c r="V940">
        <v>939</v>
      </c>
      <c r="W940">
        <v>100940</v>
      </c>
      <c r="X940">
        <v>940</v>
      </c>
      <c r="Y940" t="b">
        <f t="shared" si="14"/>
        <v>1</v>
      </c>
      <c r="Z940" t="b">
        <f>COUNTBLANK(metadata!B940:R940)=COLUMNS(metadata!B940:R940)</f>
        <v>1</v>
      </c>
      <c r="AA940" t="str">
        <v/>
      </c>
      <c r="AC940" t="b">
        <f ca="1"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AD940" t="b">
        <f>IF(metadata!C940="",FALSE,ISNUMBER(VALUE(metadata!C940)))</f>
        <v>0</v>
      </c>
      <c r="AE940" t="b">
        <f>AND(IF(metadata!D940="",FALSE,TRUE),EXACT(metadata!D940,"years"))</f>
        <v>0</v>
      </c>
      <c r="AF940" t="b">
        <f>OR(AND(IF(metadata!E940="",FALSE,TRUE),OR(EXACT(metadata!E940,"not applicable"),EXACT(metadata!E940,"missing: not collected"),EXACT(metadata!E940,"missing: not provided"),EXACT(metadata!E940,"missing: restricted access"))),AND(IF(metadata!E940="",FALSE,ISNUMBER(VALUE(metadata!E940))),metadata!E940&gt;0))</f>
        <v>0</v>
      </c>
      <c r="AG940" t="b">
        <f>AND(IF(metadata!F940="",FALSE,TRUE),EXACT(metadata!F940,"Not applicable"))</f>
        <v>0</v>
      </c>
      <c r="AH940" t="b">
        <f>AND(IF(metadata!G940="",FALSE,TRUE),EXACT(metadata!G940,"urban biome"))</f>
        <v>0</v>
      </c>
      <c r="AI940" t="b">
        <f>AND(IF(metadata!H940="",FALSE,TRUE),EXACT(metadata!H940,"human-associated habitat"))</f>
        <v>0</v>
      </c>
      <c r="AJ940" t="b">
        <f>AND(IF(metadata!I940="",FALSE,TRUE),OR(EXACT(metadata!I940,"human-associated"),EXACT(metadata!I940,"human-skin"),EXACT(metadata!I940,"human-oral"),EXACT(metadata!I940,"human-gut"),EXACT(metadata!I940,"human-vaginal")))</f>
        <v>0</v>
      </c>
      <c r="AK940" t="b">
        <f>IF(metadata!J940="",FALSE,ISNUMBER(VALUE(metadata!J940)))</f>
        <v>0</v>
      </c>
      <c r="AL940" t="b">
        <f>AND(IF(metadata!K940="",FALSE,TRUE),EXACT(metadata!K940,"cm"))</f>
        <v>0</v>
      </c>
      <c r="AM940" t="b">
        <f>AND(IF(metadata!L940="",FALSE,TRUE),EXACT(metadata!L940,"human"))</f>
        <v>0</v>
      </c>
      <c r="AN940" t="b">
        <f>AND(IF(metadata!M940="",FALSE,TRUE),EXACT(metadata!M940,"Homo sapiens"))</f>
        <v>0</v>
      </c>
      <c r="AO940" t="b">
        <f>AND(IF(metadata!N940="",FALSE,TRUE),EXACT(metadata!N940,"9606"))</f>
        <v>0</v>
      </c>
      <c r="AP940" t="b">
        <f>IF(metadata!O940="",FALSE,TRUE)</f>
        <v>0</v>
      </c>
      <c r="AQ940" t="b">
        <f>IF(metadata!P940="",FALSE,TRUE)</f>
        <v>0</v>
      </c>
      <c r="AR940" t="b">
        <f>IF(metadata!Q940="",FALSE,ISNUMBER(VALUE(metadata!Q940)))</f>
        <v>0</v>
      </c>
      <c r="AS940" t="b">
        <f>AND(IF(metadata!R940="",FALSE,TRUE),EXACT(metadata!R940,"kg"))</f>
        <v>0</v>
      </c>
    </row>
    <row r="941" spans="1:45" x14ac:dyDescent="0.2">
      <c r="A941" s="5" t="str">
        <f ca="1">IF(B941=" "," ",HYPERLINK(CONCATENATE("#metadata!",ADDRESS(INDEX($X$2:$X$1001,MATCH(ROWS($V$2:V941),$V$2:$V$1001,0),0),1)),INDEX($AA$2:$AA$1001,MATCH(ROWS($V$2:V941),$V$2:$V$1001,0),0)))</f>
        <v xml:space="preserve"> </v>
      </c>
      <c r="B941" s="4" t="str">
        <f ca="1">IF(OR(INDEX($W$2:$W$1001,MATCH(ROWS($V$2:V941),$V$2:$V$1001,0),1)&gt;=100000,INDEX($AC$1005:$AS$1005,1,MATCH(COLUMNS($AC$1006:AC1006),$AC$1006:$AS$1006,0))&gt;=100000), " ",IF(INDEX($AC$2:$AS$1001,MATCH(ROWS($V$2:V941),$V$2:$V$1001,0),MATCH(COLUMNS($AC$1006:AC1006),$AC$1006:$AS$1006,0)), HYPERLINK("#",""), HYPERLINK(CONCATENATE("#metadata!", ADDRESS(INDEX($X$2:$X$1001,MATCH(ROWS($V$2:V941),$V$2:$V$1001,0),0), INDEX($AC$1004:$AS$1004,1,MATCH(COLUMNS($AC$1006:AC1006),$AC$1006:$AS$1006,0)))),"Fix")))</f>
        <v xml:space="preserve"> </v>
      </c>
      <c r="C941" s="4" t="str">
        <f ca="1">IF(OR(INDEX($W$2:$W$1001,MATCH(ROWS($V$2:V941),$V$2:$V$1001,0),1)&gt;=100000,INDEX($AC$1005:$AS$1005,1,MATCH(COLUMNS($AC$1006:AD1006),$AC$1006:$AS$1006,0))&gt;=100000), " ",IF(INDEX($AC$2:$AS$1001,MATCH(ROWS($V$2:V941),$V$2:$V$1001,0),MATCH(COLUMNS($AC$1006:AD1006),$AC$1006:$AS$1006,0)), HYPERLINK("#",""), HYPERLINK(CONCATENATE("#metadata!", ADDRESS(INDEX($X$2:$X$1001,MATCH(ROWS($V$2:V941),$V$2:$V$1001,0),0), INDEX($AC$1004:$AS$1004,1,MATCH(COLUMNS($AC$1006:AD1006),$AC$1006:$AS$1006,0)))),"Fix")))</f>
        <v xml:space="preserve"> </v>
      </c>
      <c r="D941" s="4" t="str">
        <f ca="1">IF(OR(INDEX($W$2:$W$1001,MATCH(ROWS($V$2:V941),$V$2:$V$1001,0),1)&gt;=100000,INDEX($AC$1005:$AS$1005,1,MATCH(COLUMNS($AC$1006:AE1006),$AC$1006:$AS$1006,0))&gt;=100000), " ",IF(INDEX($AC$2:$AS$1001,MATCH(ROWS($V$2:V941),$V$2:$V$1001,0),MATCH(COLUMNS($AC$1006:AE1006),$AC$1006:$AS$1006,0)), HYPERLINK("#",""), HYPERLINK(CONCATENATE("#metadata!", ADDRESS(INDEX($X$2:$X$1001,MATCH(ROWS($V$2:V941),$V$2:$V$1001,0),0), INDEX($AC$1004:$AS$1004,1,MATCH(COLUMNS($AC$1006:AE1006),$AC$1006:$AS$1006,0)))),"Fix")))</f>
        <v xml:space="preserve"> </v>
      </c>
      <c r="E941" s="4" t="str">
        <f ca="1">IF(OR(INDEX($W$2:$W$1001,MATCH(ROWS($V$2:V941),$V$2:$V$1001,0),1)&gt;=100000,INDEX($AC$1005:$AS$1005,1,MATCH(COLUMNS($AC$1006:AF1006),$AC$1006:$AS$1006,0))&gt;=100000), " ",IF(INDEX($AC$2:$AS$1001,MATCH(ROWS($V$2:V941),$V$2:$V$1001,0),MATCH(COLUMNS($AC$1006:AF1006),$AC$1006:$AS$1006,0)), HYPERLINK("#",""), HYPERLINK(CONCATENATE("#metadata!", ADDRESS(INDEX($X$2:$X$1001,MATCH(ROWS($V$2:V941),$V$2:$V$1001,0),0), INDEX($AC$1004:$AS$1004,1,MATCH(COLUMNS($AC$1006:AF1006),$AC$1006:$AS$1006,0)))),"Fix")))</f>
        <v xml:space="preserve"> </v>
      </c>
      <c r="F941" s="4" t="str">
        <f ca="1">IF(OR(INDEX($W$2:$W$1001,MATCH(ROWS($V$2:V941),$V$2:$V$1001,0),1)&gt;=100000,INDEX($AC$1005:$AS$1005,1,MATCH(COLUMNS($AC$1006:AG1006),$AC$1006:$AS$1006,0))&gt;=100000), " ",IF(INDEX($AC$2:$AS$1001,MATCH(ROWS($V$2:V941),$V$2:$V$1001,0),MATCH(COLUMNS($AC$1006:AG1006),$AC$1006:$AS$1006,0)), HYPERLINK("#",""), HYPERLINK(CONCATENATE("#metadata!", ADDRESS(INDEX($X$2:$X$1001,MATCH(ROWS($V$2:V941),$V$2:$V$1001,0),0), INDEX($AC$1004:$AS$1004,1,MATCH(COLUMNS($AC$1006:AG1006),$AC$1006:$AS$1006,0)))),"Fix")))</f>
        <v xml:space="preserve"> </v>
      </c>
      <c r="G941" s="4" t="str">
        <f ca="1">IF(OR(INDEX($W$2:$W$1001,MATCH(ROWS($V$2:V941),$V$2:$V$1001,0),1)&gt;=100000,INDEX($AC$1005:$AS$1005,1,MATCH(COLUMNS($AC$1006:AH1006),$AC$1006:$AS$1006,0))&gt;=100000), " ",IF(INDEX($AC$2:$AS$1001,MATCH(ROWS($V$2:V941),$V$2:$V$1001,0),MATCH(COLUMNS($AC$1006:AH1006),$AC$1006:$AS$1006,0)), HYPERLINK("#",""), HYPERLINK(CONCATENATE("#metadata!", ADDRESS(INDEX($X$2:$X$1001,MATCH(ROWS($V$2:V941),$V$2:$V$1001,0),0), INDEX($AC$1004:$AS$1004,1,MATCH(COLUMNS($AC$1006:AH1006),$AC$1006:$AS$1006,0)))),"Fix")))</f>
        <v xml:space="preserve"> </v>
      </c>
      <c r="H941" s="4" t="str">
        <f ca="1">IF(OR(INDEX($W$2:$W$1001,MATCH(ROWS($V$2:V941),$V$2:$V$1001,0),1)&gt;=100000,INDEX($AC$1005:$AS$1005,1,MATCH(COLUMNS($AC$1006:AI1006),$AC$1006:$AS$1006,0))&gt;=100000), " ",IF(INDEX($AC$2:$AS$1001,MATCH(ROWS($V$2:V941),$V$2:$V$1001,0),MATCH(COLUMNS($AC$1006:AI1006),$AC$1006:$AS$1006,0)), HYPERLINK("#",""), HYPERLINK(CONCATENATE("#metadata!", ADDRESS(INDEX($X$2:$X$1001,MATCH(ROWS($V$2:V941),$V$2:$V$1001,0),0), INDEX($AC$1004:$AS$1004,1,MATCH(COLUMNS($AC$1006:AI1006),$AC$1006:$AS$1006,0)))),"Fix")))</f>
        <v xml:space="preserve"> </v>
      </c>
      <c r="I941" s="4" t="str">
        <f ca="1">IF(OR(INDEX($W$2:$W$1001,MATCH(ROWS($V$2:V941),$V$2:$V$1001,0),1)&gt;=100000,INDEX($AC$1005:$AS$1005,1,MATCH(COLUMNS($AC$1006:AJ1006),$AC$1006:$AS$1006,0))&gt;=100000), " ",IF(INDEX($AC$2:$AS$1001,MATCH(ROWS($V$2:V941),$V$2:$V$1001,0),MATCH(COLUMNS($AC$1006:AJ1006),$AC$1006:$AS$1006,0)), HYPERLINK("#",""), HYPERLINK(CONCATENATE("#metadata!", ADDRESS(INDEX($X$2:$X$1001,MATCH(ROWS($V$2:V941),$V$2:$V$1001,0),0), INDEX($AC$1004:$AS$1004,1,MATCH(COLUMNS($AC$1006:AJ1006),$AC$1006:$AS$1006,0)))),"Fix")))</f>
        <v xml:space="preserve"> </v>
      </c>
      <c r="J941" s="4" t="str">
        <f ca="1">IF(OR(INDEX($W$2:$W$1001,MATCH(ROWS($V$2:V941),$V$2:$V$1001,0),1)&gt;=100000,INDEX($AC$1005:$AS$1005,1,MATCH(COLUMNS($AC$1006:AK1006),$AC$1006:$AS$1006,0))&gt;=100000), " ",IF(INDEX($AC$2:$AS$1001,MATCH(ROWS($V$2:V941),$V$2:$V$1001,0),MATCH(COLUMNS($AC$1006:AK1006),$AC$1006:$AS$1006,0)), HYPERLINK("#",""), HYPERLINK(CONCATENATE("#metadata!", ADDRESS(INDEX($X$2:$X$1001,MATCH(ROWS($V$2:V941),$V$2:$V$1001,0),0), INDEX($AC$1004:$AS$1004,1,MATCH(COLUMNS($AC$1006:AK1006),$AC$1006:$AS$1006,0)))),"Fix")))</f>
        <v xml:space="preserve"> </v>
      </c>
      <c r="K941" s="4" t="str">
        <f ca="1">IF(OR(INDEX($W$2:$W$1001,MATCH(ROWS($V$2:V941),$V$2:$V$1001,0),1)&gt;=100000,INDEX($AC$1005:$AS$1005,1,MATCH(COLUMNS($AC$1006:AL1006),$AC$1006:$AS$1006,0))&gt;=100000), " ",IF(INDEX($AC$2:$AS$1001,MATCH(ROWS($V$2:V941),$V$2:$V$1001,0),MATCH(COLUMNS($AC$1006:AL1006),$AC$1006:$AS$1006,0)), HYPERLINK("#",""), HYPERLINK(CONCATENATE("#metadata!", ADDRESS(INDEX($X$2:$X$1001,MATCH(ROWS($V$2:V941),$V$2:$V$1001,0),0), INDEX($AC$1004:$AS$1004,1,MATCH(COLUMNS($AC$1006:AL1006),$AC$1006:$AS$1006,0)))),"Fix")))</f>
        <v xml:space="preserve"> </v>
      </c>
      <c r="L941" s="4" t="str">
        <f ca="1">IF(OR(INDEX($W$2:$W$1001,MATCH(ROWS($V$2:V941),$V$2:$V$1001,0),1)&gt;=100000,INDEX($AC$1005:$AS$1005,1,MATCH(COLUMNS($AC$1006:AM1006),$AC$1006:$AS$1006,0))&gt;=100000), " ",IF(INDEX($AC$2:$AS$1001,MATCH(ROWS($V$2:V941),$V$2:$V$1001,0),MATCH(COLUMNS($AC$1006:AM1006),$AC$1006:$AS$1006,0)), HYPERLINK("#",""), HYPERLINK(CONCATENATE("#metadata!", ADDRESS(INDEX($X$2:$X$1001,MATCH(ROWS($V$2:V941),$V$2:$V$1001,0),0), INDEX($AC$1004:$AS$1004,1,MATCH(COLUMNS($AC$1006:AM1006),$AC$1006:$AS$1006,0)))),"Fix")))</f>
        <v xml:space="preserve"> </v>
      </c>
      <c r="M941" s="4" t="str">
        <f ca="1">IF(OR(INDEX($W$2:$W$1001,MATCH(ROWS($V$2:V941),$V$2:$V$1001,0),1)&gt;=100000,INDEX($AC$1005:$AS$1005,1,MATCH(COLUMNS($AC$1006:AN1006),$AC$1006:$AS$1006,0))&gt;=100000), " ",IF(INDEX($AC$2:$AS$1001,MATCH(ROWS($V$2:V941),$V$2:$V$1001,0),MATCH(COLUMNS($AC$1006:AN1006),$AC$1006:$AS$1006,0)), HYPERLINK("#",""), HYPERLINK(CONCATENATE("#metadata!", ADDRESS(INDEX($X$2:$X$1001,MATCH(ROWS($V$2:V941),$V$2:$V$1001,0),0), INDEX($AC$1004:$AS$1004,1,MATCH(COLUMNS($AC$1006:AN1006),$AC$1006:$AS$1006,0)))),"Fix")))</f>
        <v xml:space="preserve"> </v>
      </c>
      <c r="N941" s="4" t="str">
        <f ca="1">IF(OR(INDEX($W$2:$W$1001,MATCH(ROWS($V$2:V941),$V$2:$V$1001,0),1)&gt;=100000,INDEX($AC$1005:$AS$1005,1,MATCH(COLUMNS($AC$1006:AO1006),$AC$1006:$AS$1006,0))&gt;=100000), " ",IF(INDEX($AC$2:$AS$1001,MATCH(ROWS($V$2:V941),$V$2:$V$1001,0),MATCH(COLUMNS($AC$1006:AO1006),$AC$1006:$AS$1006,0)), HYPERLINK("#",""), HYPERLINK(CONCATENATE("#metadata!", ADDRESS(INDEX($X$2:$X$1001,MATCH(ROWS($V$2:V941),$V$2:$V$1001,0),0), INDEX($AC$1004:$AS$1004,1,MATCH(COLUMNS($AC$1006:AO1006),$AC$1006:$AS$1006,0)))),"Fix")))</f>
        <v xml:space="preserve"> </v>
      </c>
      <c r="O941" s="4" t="str">
        <f ca="1">IF(OR(INDEX($W$2:$W$1001,MATCH(ROWS($V$2:V941),$V$2:$V$1001,0),1)&gt;=100000,INDEX($AC$1005:$AS$1005,1,MATCH(COLUMNS($AC$1006:AP1006),$AC$1006:$AS$1006,0))&gt;=100000), " ",IF(INDEX($AC$2:$AS$1001,MATCH(ROWS($V$2:V941),$V$2:$V$1001,0),MATCH(COLUMNS($AC$1006:AP1006),$AC$1006:$AS$1006,0)), HYPERLINK("#",""), HYPERLINK(CONCATENATE("#metadata!", ADDRESS(INDEX($X$2:$X$1001,MATCH(ROWS($V$2:V941),$V$2:$V$1001,0),0), INDEX($AC$1004:$AS$1004,1,MATCH(COLUMNS($AC$1006:AP1006),$AC$1006:$AS$1006,0)))),"Fix")))</f>
        <v xml:space="preserve"> </v>
      </c>
      <c r="P941" s="4" t="str">
        <f ca="1">IF(OR(INDEX($W$2:$W$1001,MATCH(ROWS($V$2:V941),$V$2:$V$1001,0),1)&gt;=100000,INDEX($AC$1005:$AS$1005,1,MATCH(COLUMNS($AC$1006:AQ1006),$AC$1006:$AS$1006,0))&gt;=100000), " ",IF(INDEX($AC$2:$AS$1001,MATCH(ROWS($V$2:V941),$V$2:$V$1001,0),MATCH(COLUMNS($AC$1006:AQ1006),$AC$1006:$AS$1006,0)), HYPERLINK("#",""), HYPERLINK(CONCATENATE("#metadata!", ADDRESS(INDEX($X$2:$X$1001,MATCH(ROWS($V$2:V941),$V$2:$V$1001,0),0), INDEX($AC$1004:$AS$1004,1,MATCH(COLUMNS($AC$1006:AQ1006),$AC$1006:$AS$1006,0)))),"Fix")))</f>
        <v xml:space="preserve"> </v>
      </c>
      <c r="Q941" s="4" t="str">
        <f ca="1">IF(OR(INDEX($W$2:$W$1001,MATCH(ROWS($V$2:V941),$V$2:$V$1001,0),1)&gt;=100000,INDEX($AC$1005:$AS$1005,1,MATCH(COLUMNS($AC$1006:AR1006),$AC$1006:$AS$1006,0))&gt;=100000), " ",IF(INDEX($AC$2:$AS$1001,MATCH(ROWS($V$2:V941),$V$2:$V$1001,0),MATCH(COLUMNS($AC$1006:AR1006),$AC$1006:$AS$1006,0)), HYPERLINK("#",""), HYPERLINK(CONCATENATE("#metadata!", ADDRESS(INDEX($X$2:$X$1001,MATCH(ROWS($V$2:V941),$V$2:$V$1001,0),0), INDEX($AC$1004:$AS$1004,1,MATCH(COLUMNS($AC$1006:AR1006),$AC$1006:$AS$1006,0)))),"Fix")))</f>
        <v xml:space="preserve"> </v>
      </c>
      <c r="R941" s="4" t="str">
        <f ca="1">IF(OR(INDEX($W$2:$W$1001,MATCH(ROWS($V$2:V941),$V$2:$V$1001,0),1)&gt;=100000,INDEX($AC$1005:$AS$1005,1,MATCH(COLUMNS($AC$1006:AS1006),$AC$1006:$AS$1006,0))&gt;=100000), " ",IF(INDEX($AC$2:$AS$1001,MATCH(ROWS($V$2:V941),$V$2:$V$1001,0),MATCH(COLUMNS($AC$1006:AS1006),$AC$1006:$AS$1006,0)), HYPERLINK("#",""), HYPERLINK(CONCATENATE("#metadata!", ADDRESS(INDEX($X$2:$X$1001,MATCH(ROWS($V$2:V941),$V$2:$V$1001,0),0), INDEX($AC$1004:$AS$1004,1,MATCH(COLUMNS($AC$1006:AS1006),$AC$1006:$AS$1006,0)))),"Fix")))</f>
        <v xml:space="preserve"> </v>
      </c>
      <c r="V941">
        <v>940</v>
      </c>
      <c r="W941">
        <v>100941</v>
      </c>
      <c r="X941">
        <v>941</v>
      </c>
      <c r="Y941" t="b">
        <f t="shared" si="14"/>
        <v>1</v>
      </c>
      <c r="Z941" t="b">
        <f>COUNTBLANK(metadata!B941:R941)=COLUMNS(metadata!B941:R941)</f>
        <v>1</v>
      </c>
      <c r="AA941" t="str">
        <v/>
      </c>
      <c r="AC941" t="b">
        <f ca="1"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AD941" t="b">
        <f>IF(metadata!C941="",FALSE,ISNUMBER(VALUE(metadata!C941)))</f>
        <v>0</v>
      </c>
      <c r="AE941" t="b">
        <f>AND(IF(metadata!D941="",FALSE,TRUE),EXACT(metadata!D941,"years"))</f>
        <v>0</v>
      </c>
      <c r="AF941" t="b">
        <f>OR(AND(IF(metadata!E941="",FALSE,TRUE),OR(EXACT(metadata!E941,"not applicable"),EXACT(metadata!E941,"missing: not collected"),EXACT(metadata!E941,"missing: not provided"),EXACT(metadata!E941,"missing: restricted access"))),AND(IF(metadata!E941="",FALSE,ISNUMBER(VALUE(metadata!E941))),metadata!E941&gt;0))</f>
        <v>0</v>
      </c>
      <c r="AG941" t="b">
        <f>AND(IF(metadata!F941="",FALSE,TRUE),EXACT(metadata!F941,"Not applicable"))</f>
        <v>0</v>
      </c>
      <c r="AH941" t="b">
        <f>AND(IF(metadata!G941="",FALSE,TRUE),EXACT(metadata!G941,"urban biome"))</f>
        <v>0</v>
      </c>
      <c r="AI941" t="b">
        <f>AND(IF(metadata!H941="",FALSE,TRUE),EXACT(metadata!H941,"human-associated habitat"))</f>
        <v>0</v>
      </c>
      <c r="AJ941" t="b">
        <f>AND(IF(metadata!I941="",FALSE,TRUE),OR(EXACT(metadata!I941,"human-associated"),EXACT(metadata!I941,"human-skin"),EXACT(metadata!I941,"human-oral"),EXACT(metadata!I941,"human-gut"),EXACT(metadata!I941,"human-vaginal")))</f>
        <v>0</v>
      </c>
      <c r="AK941" t="b">
        <f>IF(metadata!J941="",FALSE,ISNUMBER(VALUE(metadata!J941)))</f>
        <v>0</v>
      </c>
      <c r="AL941" t="b">
        <f>AND(IF(metadata!K941="",FALSE,TRUE),EXACT(metadata!K941,"cm"))</f>
        <v>0</v>
      </c>
      <c r="AM941" t="b">
        <f>AND(IF(metadata!L941="",FALSE,TRUE),EXACT(metadata!L941,"human"))</f>
        <v>0</v>
      </c>
      <c r="AN941" t="b">
        <f>AND(IF(metadata!M941="",FALSE,TRUE),EXACT(metadata!M941,"Homo sapiens"))</f>
        <v>0</v>
      </c>
      <c r="AO941" t="b">
        <f>AND(IF(metadata!N941="",FALSE,TRUE),EXACT(metadata!N941,"9606"))</f>
        <v>0</v>
      </c>
      <c r="AP941" t="b">
        <f>IF(metadata!O941="",FALSE,TRUE)</f>
        <v>0</v>
      </c>
      <c r="AQ941" t="b">
        <f>IF(metadata!P941="",FALSE,TRUE)</f>
        <v>0</v>
      </c>
      <c r="AR941" t="b">
        <f>IF(metadata!Q941="",FALSE,ISNUMBER(VALUE(metadata!Q941)))</f>
        <v>0</v>
      </c>
      <c r="AS941" t="b">
        <f>AND(IF(metadata!R941="",FALSE,TRUE),EXACT(metadata!R941,"kg"))</f>
        <v>0</v>
      </c>
    </row>
    <row r="942" spans="1:45" x14ac:dyDescent="0.2">
      <c r="A942" s="5" t="str">
        <f ca="1">IF(B942=" "," ",HYPERLINK(CONCATENATE("#metadata!",ADDRESS(INDEX($X$2:$X$1001,MATCH(ROWS($V$2:V942),$V$2:$V$1001,0),0),1)),INDEX($AA$2:$AA$1001,MATCH(ROWS($V$2:V942),$V$2:$V$1001,0),0)))</f>
        <v xml:space="preserve"> </v>
      </c>
      <c r="B942" s="4" t="str">
        <f ca="1">IF(OR(INDEX($W$2:$W$1001,MATCH(ROWS($V$2:V942),$V$2:$V$1001,0),1)&gt;=100000,INDEX($AC$1005:$AS$1005,1,MATCH(COLUMNS($AC$1006:AC1006),$AC$1006:$AS$1006,0))&gt;=100000), " ",IF(INDEX($AC$2:$AS$1001,MATCH(ROWS($V$2:V942),$V$2:$V$1001,0),MATCH(COLUMNS($AC$1006:AC1006),$AC$1006:$AS$1006,0)), HYPERLINK("#",""), HYPERLINK(CONCATENATE("#metadata!", ADDRESS(INDEX($X$2:$X$1001,MATCH(ROWS($V$2:V942),$V$2:$V$1001,0),0), INDEX($AC$1004:$AS$1004,1,MATCH(COLUMNS($AC$1006:AC1006),$AC$1006:$AS$1006,0)))),"Fix")))</f>
        <v xml:space="preserve"> </v>
      </c>
      <c r="C942" s="4" t="str">
        <f ca="1">IF(OR(INDEX($W$2:$W$1001,MATCH(ROWS($V$2:V942),$V$2:$V$1001,0),1)&gt;=100000,INDEX($AC$1005:$AS$1005,1,MATCH(COLUMNS($AC$1006:AD1006),$AC$1006:$AS$1006,0))&gt;=100000), " ",IF(INDEX($AC$2:$AS$1001,MATCH(ROWS($V$2:V942),$V$2:$V$1001,0),MATCH(COLUMNS($AC$1006:AD1006),$AC$1006:$AS$1006,0)), HYPERLINK("#",""), HYPERLINK(CONCATENATE("#metadata!", ADDRESS(INDEX($X$2:$X$1001,MATCH(ROWS($V$2:V942),$V$2:$V$1001,0),0), INDEX($AC$1004:$AS$1004,1,MATCH(COLUMNS($AC$1006:AD1006),$AC$1006:$AS$1006,0)))),"Fix")))</f>
        <v xml:space="preserve"> </v>
      </c>
      <c r="D942" s="4" t="str">
        <f ca="1">IF(OR(INDEX($W$2:$W$1001,MATCH(ROWS($V$2:V942),$V$2:$V$1001,0),1)&gt;=100000,INDEX($AC$1005:$AS$1005,1,MATCH(COLUMNS($AC$1006:AE1006),$AC$1006:$AS$1006,0))&gt;=100000), " ",IF(INDEX($AC$2:$AS$1001,MATCH(ROWS($V$2:V942),$V$2:$V$1001,0),MATCH(COLUMNS($AC$1006:AE1006),$AC$1006:$AS$1006,0)), HYPERLINK("#",""), HYPERLINK(CONCATENATE("#metadata!", ADDRESS(INDEX($X$2:$X$1001,MATCH(ROWS($V$2:V942),$V$2:$V$1001,0),0), INDEX($AC$1004:$AS$1004,1,MATCH(COLUMNS($AC$1006:AE1006),$AC$1006:$AS$1006,0)))),"Fix")))</f>
        <v xml:space="preserve"> </v>
      </c>
      <c r="E942" s="4" t="str">
        <f ca="1">IF(OR(INDEX($W$2:$W$1001,MATCH(ROWS($V$2:V942),$V$2:$V$1001,0),1)&gt;=100000,INDEX($AC$1005:$AS$1005,1,MATCH(COLUMNS($AC$1006:AF1006),$AC$1006:$AS$1006,0))&gt;=100000), " ",IF(INDEX($AC$2:$AS$1001,MATCH(ROWS($V$2:V942),$V$2:$V$1001,0),MATCH(COLUMNS($AC$1006:AF1006),$AC$1006:$AS$1006,0)), HYPERLINK("#",""), HYPERLINK(CONCATENATE("#metadata!", ADDRESS(INDEX($X$2:$X$1001,MATCH(ROWS($V$2:V942),$V$2:$V$1001,0),0), INDEX($AC$1004:$AS$1004,1,MATCH(COLUMNS($AC$1006:AF1006),$AC$1006:$AS$1006,0)))),"Fix")))</f>
        <v xml:space="preserve"> </v>
      </c>
      <c r="F942" s="4" t="str">
        <f ca="1">IF(OR(INDEX($W$2:$W$1001,MATCH(ROWS($V$2:V942),$V$2:$V$1001,0),1)&gt;=100000,INDEX($AC$1005:$AS$1005,1,MATCH(COLUMNS($AC$1006:AG1006),$AC$1006:$AS$1006,0))&gt;=100000), " ",IF(INDEX($AC$2:$AS$1001,MATCH(ROWS($V$2:V942),$V$2:$V$1001,0),MATCH(COLUMNS($AC$1006:AG1006),$AC$1006:$AS$1006,0)), HYPERLINK("#",""), HYPERLINK(CONCATENATE("#metadata!", ADDRESS(INDEX($X$2:$X$1001,MATCH(ROWS($V$2:V942),$V$2:$V$1001,0),0), INDEX($AC$1004:$AS$1004,1,MATCH(COLUMNS($AC$1006:AG1006),$AC$1006:$AS$1006,0)))),"Fix")))</f>
        <v xml:space="preserve"> </v>
      </c>
      <c r="G942" s="4" t="str">
        <f ca="1">IF(OR(INDEX($W$2:$W$1001,MATCH(ROWS($V$2:V942),$V$2:$V$1001,0),1)&gt;=100000,INDEX($AC$1005:$AS$1005,1,MATCH(COLUMNS($AC$1006:AH1006),$AC$1006:$AS$1006,0))&gt;=100000), " ",IF(INDEX($AC$2:$AS$1001,MATCH(ROWS($V$2:V942),$V$2:$V$1001,0),MATCH(COLUMNS($AC$1006:AH1006),$AC$1006:$AS$1006,0)), HYPERLINK("#",""), HYPERLINK(CONCATENATE("#metadata!", ADDRESS(INDEX($X$2:$X$1001,MATCH(ROWS($V$2:V942),$V$2:$V$1001,0),0), INDEX($AC$1004:$AS$1004,1,MATCH(COLUMNS($AC$1006:AH1006),$AC$1006:$AS$1006,0)))),"Fix")))</f>
        <v xml:space="preserve"> </v>
      </c>
      <c r="H942" s="4" t="str">
        <f ca="1">IF(OR(INDEX($W$2:$W$1001,MATCH(ROWS($V$2:V942),$V$2:$V$1001,0),1)&gt;=100000,INDEX($AC$1005:$AS$1005,1,MATCH(COLUMNS($AC$1006:AI1006),$AC$1006:$AS$1006,0))&gt;=100000), " ",IF(INDEX($AC$2:$AS$1001,MATCH(ROWS($V$2:V942),$V$2:$V$1001,0),MATCH(COLUMNS($AC$1006:AI1006),$AC$1006:$AS$1006,0)), HYPERLINK("#",""), HYPERLINK(CONCATENATE("#metadata!", ADDRESS(INDEX($X$2:$X$1001,MATCH(ROWS($V$2:V942),$V$2:$V$1001,0),0), INDEX($AC$1004:$AS$1004,1,MATCH(COLUMNS($AC$1006:AI1006),$AC$1006:$AS$1006,0)))),"Fix")))</f>
        <v xml:space="preserve"> </v>
      </c>
      <c r="I942" s="4" t="str">
        <f ca="1">IF(OR(INDEX($W$2:$W$1001,MATCH(ROWS($V$2:V942),$V$2:$V$1001,0),1)&gt;=100000,INDEX($AC$1005:$AS$1005,1,MATCH(COLUMNS($AC$1006:AJ1006),$AC$1006:$AS$1006,0))&gt;=100000), " ",IF(INDEX($AC$2:$AS$1001,MATCH(ROWS($V$2:V942),$V$2:$V$1001,0),MATCH(COLUMNS($AC$1006:AJ1006),$AC$1006:$AS$1006,0)), HYPERLINK("#",""), HYPERLINK(CONCATENATE("#metadata!", ADDRESS(INDEX($X$2:$X$1001,MATCH(ROWS($V$2:V942),$V$2:$V$1001,0),0), INDEX($AC$1004:$AS$1004,1,MATCH(COLUMNS($AC$1006:AJ1006),$AC$1006:$AS$1006,0)))),"Fix")))</f>
        <v xml:space="preserve"> </v>
      </c>
      <c r="J942" s="4" t="str">
        <f ca="1">IF(OR(INDEX($W$2:$W$1001,MATCH(ROWS($V$2:V942),$V$2:$V$1001,0),1)&gt;=100000,INDEX($AC$1005:$AS$1005,1,MATCH(COLUMNS($AC$1006:AK1006),$AC$1006:$AS$1006,0))&gt;=100000), " ",IF(INDEX($AC$2:$AS$1001,MATCH(ROWS($V$2:V942),$V$2:$V$1001,0),MATCH(COLUMNS($AC$1006:AK1006),$AC$1006:$AS$1006,0)), HYPERLINK("#",""), HYPERLINK(CONCATENATE("#metadata!", ADDRESS(INDEX($X$2:$X$1001,MATCH(ROWS($V$2:V942),$V$2:$V$1001,0),0), INDEX($AC$1004:$AS$1004,1,MATCH(COLUMNS($AC$1006:AK1006),$AC$1006:$AS$1006,0)))),"Fix")))</f>
        <v xml:space="preserve"> </v>
      </c>
      <c r="K942" s="4" t="str">
        <f ca="1">IF(OR(INDEX($W$2:$W$1001,MATCH(ROWS($V$2:V942),$V$2:$V$1001,0),1)&gt;=100000,INDEX($AC$1005:$AS$1005,1,MATCH(COLUMNS($AC$1006:AL1006),$AC$1006:$AS$1006,0))&gt;=100000), " ",IF(INDEX($AC$2:$AS$1001,MATCH(ROWS($V$2:V942),$V$2:$V$1001,0),MATCH(COLUMNS($AC$1006:AL1006),$AC$1006:$AS$1006,0)), HYPERLINK("#",""), HYPERLINK(CONCATENATE("#metadata!", ADDRESS(INDEX($X$2:$X$1001,MATCH(ROWS($V$2:V942),$V$2:$V$1001,0),0), INDEX($AC$1004:$AS$1004,1,MATCH(COLUMNS($AC$1006:AL1006),$AC$1006:$AS$1006,0)))),"Fix")))</f>
        <v xml:space="preserve"> </v>
      </c>
      <c r="L942" s="4" t="str">
        <f ca="1">IF(OR(INDEX($W$2:$W$1001,MATCH(ROWS($V$2:V942),$V$2:$V$1001,0),1)&gt;=100000,INDEX($AC$1005:$AS$1005,1,MATCH(COLUMNS($AC$1006:AM1006),$AC$1006:$AS$1006,0))&gt;=100000), " ",IF(INDEX($AC$2:$AS$1001,MATCH(ROWS($V$2:V942),$V$2:$V$1001,0),MATCH(COLUMNS($AC$1006:AM1006),$AC$1006:$AS$1006,0)), HYPERLINK("#",""), HYPERLINK(CONCATENATE("#metadata!", ADDRESS(INDEX($X$2:$X$1001,MATCH(ROWS($V$2:V942),$V$2:$V$1001,0),0), INDEX($AC$1004:$AS$1004,1,MATCH(COLUMNS($AC$1006:AM1006),$AC$1006:$AS$1006,0)))),"Fix")))</f>
        <v xml:space="preserve"> </v>
      </c>
      <c r="M942" s="4" t="str">
        <f ca="1">IF(OR(INDEX($W$2:$W$1001,MATCH(ROWS($V$2:V942),$V$2:$V$1001,0),1)&gt;=100000,INDEX($AC$1005:$AS$1005,1,MATCH(COLUMNS($AC$1006:AN1006),$AC$1006:$AS$1006,0))&gt;=100000), " ",IF(INDEX($AC$2:$AS$1001,MATCH(ROWS($V$2:V942),$V$2:$V$1001,0),MATCH(COLUMNS($AC$1006:AN1006),$AC$1006:$AS$1006,0)), HYPERLINK("#",""), HYPERLINK(CONCATENATE("#metadata!", ADDRESS(INDEX($X$2:$X$1001,MATCH(ROWS($V$2:V942),$V$2:$V$1001,0),0), INDEX($AC$1004:$AS$1004,1,MATCH(COLUMNS($AC$1006:AN1006),$AC$1006:$AS$1006,0)))),"Fix")))</f>
        <v xml:space="preserve"> </v>
      </c>
      <c r="N942" s="4" t="str">
        <f ca="1">IF(OR(INDEX($W$2:$W$1001,MATCH(ROWS($V$2:V942),$V$2:$V$1001,0),1)&gt;=100000,INDEX($AC$1005:$AS$1005,1,MATCH(COLUMNS($AC$1006:AO1006),$AC$1006:$AS$1006,0))&gt;=100000), " ",IF(INDEX($AC$2:$AS$1001,MATCH(ROWS($V$2:V942),$V$2:$V$1001,0),MATCH(COLUMNS($AC$1006:AO1006),$AC$1006:$AS$1006,0)), HYPERLINK("#",""), HYPERLINK(CONCATENATE("#metadata!", ADDRESS(INDEX($X$2:$X$1001,MATCH(ROWS($V$2:V942),$V$2:$V$1001,0),0), INDEX($AC$1004:$AS$1004,1,MATCH(COLUMNS($AC$1006:AO1006),$AC$1006:$AS$1006,0)))),"Fix")))</f>
        <v xml:space="preserve"> </v>
      </c>
      <c r="O942" s="4" t="str">
        <f ca="1">IF(OR(INDEX($W$2:$W$1001,MATCH(ROWS($V$2:V942),$V$2:$V$1001,0),1)&gt;=100000,INDEX($AC$1005:$AS$1005,1,MATCH(COLUMNS($AC$1006:AP1006),$AC$1006:$AS$1006,0))&gt;=100000), " ",IF(INDEX($AC$2:$AS$1001,MATCH(ROWS($V$2:V942),$V$2:$V$1001,0),MATCH(COLUMNS($AC$1006:AP1006),$AC$1006:$AS$1006,0)), HYPERLINK("#",""), HYPERLINK(CONCATENATE("#metadata!", ADDRESS(INDEX($X$2:$X$1001,MATCH(ROWS($V$2:V942),$V$2:$V$1001,0),0), INDEX($AC$1004:$AS$1004,1,MATCH(COLUMNS($AC$1006:AP1006),$AC$1006:$AS$1006,0)))),"Fix")))</f>
        <v xml:space="preserve"> </v>
      </c>
      <c r="P942" s="4" t="str">
        <f ca="1">IF(OR(INDEX($W$2:$W$1001,MATCH(ROWS($V$2:V942),$V$2:$V$1001,0),1)&gt;=100000,INDEX($AC$1005:$AS$1005,1,MATCH(COLUMNS($AC$1006:AQ1006),$AC$1006:$AS$1006,0))&gt;=100000), " ",IF(INDEX($AC$2:$AS$1001,MATCH(ROWS($V$2:V942),$V$2:$V$1001,0),MATCH(COLUMNS($AC$1006:AQ1006),$AC$1006:$AS$1006,0)), HYPERLINK("#",""), HYPERLINK(CONCATENATE("#metadata!", ADDRESS(INDEX($X$2:$X$1001,MATCH(ROWS($V$2:V942),$V$2:$V$1001,0),0), INDEX($AC$1004:$AS$1004,1,MATCH(COLUMNS($AC$1006:AQ1006),$AC$1006:$AS$1006,0)))),"Fix")))</f>
        <v xml:space="preserve"> </v>
      </c>
      <c r="Q942" s="4" t="str">
        <f ca="1">IF(OR(INDEX($W$2:$W$1001,MATCH(ROWS($V$2:V942),$V$2:$V$1001,0),1)&gt;=100000,INDEX($AC$1005:$AS$1005,1,MATCH(COLUMNS($AC$1006:AR1006),$AC$1006:$AS$1006,0))&gt;=100000), " ",IF(INDEX($AC$2:$AS$1001,MATCH(ROWS($V$2:V942),$V$2:$V$1001,0),MATCH(COLUMNS($AC$1006:AR1006),$AC$1006:$AS$1006,0)), HYPERLINK("#",""), HYPERLINK(CONCATENATE("#metadata!", ADDRESS(INDEX($X$2:$X$1001,MATCH(ROWS($V$2:V942),$V$2:$V$1001,0),0), INDEX($AC$1004:$AS$1004,1,MATCH(COLUMNS($AC$1006:AR1006),$AC$1006:$AS$1006,0)))),"Fix")))</f>
        <v xml:space="preserve"> </v>
      </c>
      <c r="R942" s="4" t="str">
        <f ca="1">IF(OR(INDEX($W$2:$W$1001,MATCH(ROWS($V$2:V942),$V$2:$V$1001,0),1)&gt;=100000,INDEX($AC$1005:$AS$1005,1,MATCH(COLUMNS($AC$1006:AS1006),$AC$1006:$AS$1006,0))&gt;=100000), " ",IF(INDEX($AC$2:$AS$1001,MATCH(ROWS($V$2:V942),$V$2:$V$1001,0),MATCH(COLUMNS($AC$1006:AS1006),$AC$1006:$AS$1006,0)), HYPERLINK("#",""), HYPERLINK(CONCATENATE("#metadata!", ADDRESS(INDEX($X$2:$X$1001,MATCH(ROWS($V$2:V942),$V$2:$V$1001,0),0), INDEX($AC$1004:$AS$1004,1,MATCH(COLUMNS($AC$1006:AS1006),$AC$1006:$AS$1006,0)))),"Fix")))</f>
        <v xml:space="preserve"> </v>
      </c>
      <c r="V942">
        <v>941</v>
      </c>
      <c r="W942">
        <v>100942</v>
      </c>
      <c r="X942">
        <v>942</v>
      </c>
      <c r="Y942" t="b">
        <f t="shared" si="14"/>
        <v>1</v>
      </c>
      <c r="Z942" t="b">
        <f>COUNTBLANK(metadata!B942:R942)=COLUMNS(metadata!B942:R942)</f>
        <v>1</v>
      </c>
      <c r="AA942" t="str">
        <v/>
      </c>
      <c r="AC942" t="b">
        <f ca="1"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AD942" t="b">
        <f>IF(metadata!C942="",FALSE,ISNUMBER(VALUE(metadata!C942)))</f>
        <v>0</v>
      </c>
      <c r="AE942" t="b">
        <f>AND(IF(metadata!D942="",FALSE,TRUE),EXACT(metadata!D942,"years"))</f>
        <v>0</v>
      </c>
      <c r="AF942" t="b">
        <f>OR(AND(IF(metadata!E942="",FALSE,TRUE),OR(EXACT(metadata!E942,"not applicable"),EXACT(metadata!E942,"missing: not collected"),EXACT(metadata!E942,"missing: not provided"),EXACT(metadata!E942,"missing: restricted access"))),AND(IF(metadata!E942="",FALSE,ISNUMBER(VALUE(metadata!E942))),metadata!E942&gt;0))</f>
        <v>0</v>
      </c>
      <c r="AG942" t="b">
        <f>AND(IF(metadata!F942="",FALSE,TRUE),EXACT(metadata!F942,"Not applicable"))</f>
        <v>0</v>
      </c>
      <c r="AH942" t="b">
        <f>AND(IF(metadata!G942="",FALSE,TRUE),EXACT(metadata!G942,"urban biome"))</f>
        <v>0</v>
      </c>
      <c r="AI942" t="b">
        <f>AND(IF(metadata!H942="",FALSE,TRUE),EXACT(metadata!H942,"human-associated habitat"))</f>
        <v>0</v>
      </c>
      <c r="AJ942" t="b">
        <f>AND(IF(metadata!I942="",FALSE,TRUE),OR(EXACT(metadata!I942,"human-associated"),EXACT(metadata!I942,"human-skin"),EXACT(metadata!I942,"human-oral"),EXACT(metadata!I942,"human-gut"),EXACT(metadata!I942,"human-vaginal")))</f>
        <v>0</v>
      </c>
      <c r="AK942" t="b">
        <f>IF(metadata!J942="",FALSE,ISNUMBER(VALUE(metadata!J942)))</f>
        <v>0</v>
      </c>
      <c r="AL942" t="b">
        <f>AND(IF(metadata!K942="",FALSE,TRUE),EXACT(metadata!K942,"cm"))</f>
        <v>0</v>
      </c>
      <c r="AM942" t="b">
        <f>AND(IF(metadata!L942="",FALSE,TRUE),EXACT(metadata!L942,"human"))</f>
        <v>0</v>
      </c>
      <c r="AN942" t="b">
        <f>AND(IF(metadata!M942="",FALSE,TRUE),EXACT(metadata!M942,"Homo sapiens"))</f>
        <v>0</v>
      </c>
      <c r="AO942" t="b">
        <f>AND(IF(metadata!N942="",FALSE,TRUE),EXACT(metadata!N942,"9606"))</f>
        <v>0</v>
      </c>
      <c r="AP942" t="b">
        <f>IF(metadata!O942="",FALSE,TRUE)</f>
        <v>0</v>
      </c>
      <c r="AQ942" t="b">
        <f>IF(metadata!P942="",FALSE,TRUE)</f>
        <v>0</v>
      </c>
      <c r="AR942" t="b">
        <f>IF(metadata!Q942="",FALSE,ISNUMBER(VALUE(metadata!Q942)))</f>
        <v>0</v>
      </c>
      <c r="AS942" t="b">
        <f>AND(IF(metadata!R942="",FALSE,TRUE),EXACT(metadata!R942,"kg"))</f>
        <v>0</v>
      </c>
    </row>
    <row r="943" spans="1:45" x14ac:dyDescent="0.2">
      <c r="A943" s="5" t="str">
        <f ca="1">IF(B943=" "," ",HYPERLINK(CONCATENATE("#metadata!",ADDRESS(INDEX($X$2:$X$1001,MATCH(ROWS($V$2:V943),$V$2:$V$1001,0),0),1)),INDEX($AA$2:$AA$1001,MATCH(ROWS($V$2:V943),$V$2:$V$1001,0),0)))</f>
        <v xml:space="preserve"> </v>
      </c>
      <c r="B943" s="4" t="str">
        <f ca="1">IF(OR(INDEX($W$2:$W$1001,MATCH(ROWS($V$2:V943),$V$2:$V$1001,0),1)&gt;=100000,INDEX($AC$1005:$AS$1005,1,MATCH(COLUMNS($AC$1006:AC1006),$AC$1006:$AS$1006,0))&gt;=100000), " ",IF(INDEX($AC$2:$AS$1001,MATCH(ROWS($V$2:V943),$V$2:$V$1001,0),MATCH(COLUMNS($AC$1006:AC1006),$AC$1006:$AS$1006,0)), HYPERLINK("#",""), HYPERLINK(CONCATENATE("#metadata!", ADDRESS(INDEX($X$2:$X$1001,MATCH(ROWS($V$2:V943),$V$2:$V$1001,0),0), INDEX($AC$1004:$AS$1004,1,MATCH(COLUMNS($AC$1006:AC1006),$AC$1006:$AS$1006,0)))),"Fix")))</f>
        <v xml:space="preserve"> </v>
      </c>
      <c r="C943" s="4" t="str">
        <f ca="1">IF(OR(INDEX($W$2:$W$1001,MATCH(ROWS($V$2:V943),$V$2:$V$1001,0),1)&gt;=100000,INDEX($AC$1005:$AS$1005,1,MATCH(COLUMNS($AC$1006:AD1006),$AC$1006:$AS$1006,0))&gt;=100000), " ",IF(INDEX($AC$2:$AS$1001,MATCH(ROWS($V$2:V943),$V$2:$V$1001,0),MATCH(COLUMNS($AC$1006:AD1006),$AC$1006:$AS$1006,0)), HYPERLINK("#",""), HYPERLINK(CONCATENATE("#metadata!", ADDRESS(INDEX($X$2:$X$1001,MATCH(ROWS($V$2:V943),$V$2:$V$1001,0),0), INDEX($AC$1004:$AS$1004,1,MATCH(COLUMNS($AC$1006:AD1006),$AC$1006:$AS$1006,0)))),"Fix")))</f>
        <v xml:space="preserve"> </v>
      </c>
      <c r="D943" s="4" t="str">
        <f ca="1">IF(OR(INDEX($W$2:$W$1001,MATCH(ROWS($V$2:V943),$V$2:$V$1001,0),1)&gt;=100000,INDEX($AC$1005:$AS$1005,1,MATCH(COLUMNS($AC$1006:AE1006),$AC$1006:$AS$1006,0))&gt;=100000), " ",IF(INDEX($AC$2:$AS$1001,MATCH(ROWS($V$2:V943),$V$2:$V$1001,0),MATCH(COLUMNS($AC$1006:AE1006),$AC$1006:$AS$1006,0)), HYPERLINK("#",""), HYPERLINK(CONCATENATE("#metadata!", ADDRESS(INDEX($X$2:$X$1001,MATCH(ROWS($V$2:V943),$V$2:$V$1001,0),0), INDEX($AC$1004:$AS$1004,1,MATCH(COLUMNS($AC$1006:AE1006),$AC$1006:$AS$1006,0)))),"Fix")))</f>
        <v xml:space="preserve"> </v>
      </c>
      <c r="E943" s="4" t="str">
        <f ca="1">IF(OR(INDEX($W$2:$W$1001,MATCH(ROWS($V$2:V943),$V$2:$V$1001,0),1)&gt;=100000,INDEX($AC$1005:$AS$1005,1,MATCH(COLUMNS($AC$1006:AF1006),$AC$1006:$AS$1006,0))&gt;=100000), " ",IF(INDEX($AC$2:$AS$1001,MATCH(ROWS($V$2:V943),$V$2:$V$1001,0),MATCH(COLUMNS($AC$1006:AF1006),$AC$1006:$AS$1006,0)), HYPERLINK("#",""), HYPERLINK(CONCATENATE("#metadata!", ADDRESS(INDEX($X$2:$X$1001,MATCH(ROWS($V$2:V943),$V$2:$V$1001,0),0), INDEX($AC$1004:$AS$1004,1,MATCH(COLUMNS($AC$1006:AF1006),$AC$1006:$AS$1006,0)))),"Fix")))</f>
        <v xml:space="preserve"> </v>
      </c>
      <c r="F943" s="4" t="str">
        <f ca="1">IF(OR(INDEX($W$2:$W$1001,MATCH(ROWS($V$2:V943),$V$2:$V$1001,0),1)&gt;=100000,INDEX($AC$1005:$AS$1005,1,MATCH(COLUMNS($AC$1006:AG1006),$AC$1006:$AS$1006,0))&gt;=100000), " ",IF(INDEX($AC$2:$AS$1001,MATCH(ROWS($V$2:V943),$V$2:$V$1001,0),MATCH(COLUMNS($AC$1006:AG1006),$AC$1006:$AS$1006,0)), HYPERLINK("#",""), HYPERLINK(CONCATENATE("#metadata!", ADDRESS(INDEX($X$2:$X$1001,MATCH(ROWS($V$2:V943),$V$2:$V$1001,0),0), INDEX($AC$1004:$AS$1004,1,MATCH(COLUMNS($AC$1006:AG1006),$AC$1006:$AS$1006,0)))),"Fix")))</f>
        <v xml:space="preserve"> </v>
      </c>
      <c r="G943" s="4" t="str">
        <f ca="1">IF(OR(INDEX($W$2:$W$1001,MATCH(ROWS($V$2:V943),$V$2:$V$1001,0),1)&gt;=100000,INDEX($AC$1005:$AS$1005,1,MATCH(COLUMNS($AC$1006:AH1006),$AC$1006:$AS$1006,0))&gt;=100000), " ",IF(INDEX($AC$2:$AS$1001,MATCH(ROWS($V$2:V943),$V$2:$V$1001,0),MATCH(COLUMNS($AC$1006:AH1006),$AC$1006:$AS$1006,0)), HYPERLINK("#",""), HYPERLINK(CONCATENATE("#metadata!", ADDRESS(INDEX($X$2:$X$1001,MATCH(ROWS($V$2:V943),$V$2:$V$1001,0),0), INDEX($AC$1004:$AS$1004,1,MATCH(COLUMNS($AC$1006:AH1006),$AC$1006:$AS$1006,0)))),"Fix")))</f>
        <v xml:space="preserve"> </v>
      </c>
      <c r="H943" s="4" t="str">
        <f ca="1">IF(OR(INDEX($W$2:$W$1001,MATCH(ROWS($V$2:V943),$V$2:$V$1001,0),1)&gt;=100000,INDEX($AC$1005:$AS$1005,1,MATCH(COLUMNS($AC$1006:AI1006),$AC$1006:$AS$1006,0))&gt;=100000), " ",IF(INDEX($AC$2:$AS$1001,MATCH(ROWS($V$2:V943),$V$2:$V$1001,0),MATCH(COLUMNS($AC$1006:AI1006),$AC$1006:$AS$1006,0)), HYPERLINK("#",""), HYPERLINK(CONCATENATE("#metadata!", ADDRESS(INDEX($X$2:$X$1001,MATCH(ROWS($V$2:V943),$V$2:$V$1001,0),0), INDEX($AC$1004:$AS$1004,1,MATCH(COLUMNS($AC$1006:AI1006),$AC$1006:$AS$1006,0)))),"Fix")))</f>
        <v xml:space="preserve"> </v>
      </c>
      <c r="I943" s="4" t="str">
        <f ca="1">IF(OR(INDEX($W$2:$W$1001,MATCH(ROWS($V$2:V943),$V$2:$V$1001,0),1)&gt;=100000,INDEX($AC$1005:$AS$1005,1,MATCH(COLUMNS($AC$1006:AJ1006),$AC$1006:$AS$1006,0))&gt;=100000), " ",IF(INDEX($AC$2:$AS$1001,MATCH(ROWS($V$2:V943),$V$2:$V$1001,0),MATCH(COLUMNS($AC$1006:AJ1006),$AC$1006:$AS$1006,0)), HYPERLINK("#",""), HYPERLINK(CONCATENATE("#metadata!", ADDRESS(INDEX($X$2:$X$1001,MATCH(ROWS($V$2:V943),$V$2:$V$1001,0),0), INDEX($AC$1004:$AS$1004,1,MATCH(COLUMNS($AC$1006:AJ1006),$AC$1006:$AS$1006,0)))),"Fix")))</f>
        <v xml:space="preserve"> </v>
      </c>
      <c r="J943" s="4" t="str">
        <f ca="1">IF(OR(INDEX($W$2:$W$1001,MATCH(ROWS($V$2:V943),$V$2:$V$1001,0),1)&gt;=100000,INDEX($AC$1005:$AS$1005,1,MATCH(COLUMNS($AC$1006:AK1006),$AC$1006:$AS$1006,0))&gt;=100000), " ",IF(INDEX($AC$2:$AS$1001,MATCH(ROWS($V$2:V943),$V$2:$V$1001,0),MATCH(COLUMNS($AC$1006:AK1006),$AC$1006:$AS$1006,0)), HYPERLINK("#",""), HYPERLINK(CONCATENATE("#metadata!", ADDRESS(INDEX($X$2:$X$1001,MATCH(ROWS($V$2:V943),$V$2:$V$1001,0),0), INDEX($AC$1004:$AS$1004,1,MATCH(COLUMNS($AC$1006:AK1006),$AC$1006:$AS$1006,0)))),"Fix")))</f>
        <v xml:space="preserve"> </v>
      </c>
      <c r="K943" s="4" t="str">
        <f ca="1">IF(OR(INDEX($W$2:$W$1001,MATCH(ROWS($V$2:V943),$V$2:$V$1001,0),1)&gt;=100000,INDEX($AC$1005:$AS$1005,1,MATCH(COLUMNS($AC$1006:AL1006),$AC$1006:$AS$1006,0))&gt;=100000), " ",IF(INDEX($AC$2:$AS$1001,MATCH(ROWS($V$2:V943),$V$2:$V$1001,0),MATCH(COLUMNS($AC$1006:AL1006),$AC$1006:$AS$1006,0)), HYPERLINK("#",""), HYPERLINK(CONCATENATE("#metadata!", ADDRESS(INDEX($X$2:$X$1001,MATCH(ROWS($V$2:V943),$V$2:$V$1001,0),0), INDEX($AC$1004:$AS$1004,1,MATCH(COLUMNS($AC$1006:AL1006),$AC$1006:$AS$1006,0)))),"Fix")))</f>
        <v xml:space="preserve"> </v>
      </c>
      <c r="L943" s="4" t="str">
        <f ca="1">IF(OR(INDEX($W$2:$W$1001,MATCH(ROWS($V$2:V943),$V$2:$V$1001,0),1)&gt;=100000,INDEX($AC$1005:$AS$1005,1,MATCH(COLUMNS($AC$1006:AM1006),$AC$1006:$AS$1006,0))&gt;=100000), " ",IF(INDEX($AC$2:$AS$1001,MATCH(ROWS($V$2:V943),$V$2:$V$1001,0),MATCH(COLUMNS($AC$1006:AM1006),$AC$1006:$AS$1006,0)), HYPERLINK("#",""), HYPERLINK(CONCATENATE("#metadata!", ADDRESS(INDEX($X$2:$X$1001,MATCH(ROWS($V$2:V943),$V$2:$V$1001,0),0), INDEX($AC$1004:$AS$1004,1,MATCH(COLUMNS($AC$1006:AM1006),$AC$1006:$AS$1006,0)))),"Fix")))</f>
        <v xml:space="preserve"> </v>
      </c>
      <c r="M943" s="4" t="str">
        <f ca="1">IF(OR(INDEX($W$2:$W$1001,MATCH(ROWS($V$2:V943),$V$2:$V$1001,0),1)&gt;=100000,INDEX($AC$1005:$AS$1005,1,MATCH(COLUMNS($AC$1006:AN1006),$AC$1006:$AS$1006,0))&gt;=100000), " ",IF(INDEX($AC$2:$AS$1001,MATCH(ROWS($V$2:V943),$V$2:$V$1001,0),MATCH(COLUMNS($AC$1006:AN1006),$AC$1006:$AS$1006,0)), HYPERLINK("#",""), HYPERLINK(CONCATENATE("#metadata!", ADDRESS(INDEX($X$2:$X$1001,MATCH(ROWS($V$2:V943),$V$2:$V$1001,0),0), INDEX($AC$1004:$AS$1004,1,MATCH(COLUMNS($AC$1006:AN1006),$AC$1006:$AS$1006,0)))),"Fix")))</f>
        <v xml:space="preserve"> </v>
      </c>
      <c r="N943" s="4" t="str">
        <f ca="1">IF(OR(INDEX($W$2:$W$1001,MATCH(ROWS($V$2:V943),$V$2:$V$1001,0),1)&gt;=100000,INDEX($AC$1005:$AS$1005,1,MATCH(COLUMNS($AC$1006:AO1006),$AC$1006:$AS$1006,0))&gt;=100000), " ",IF(INDEX($AC$2:$AS$1001,MATCH(ROWS($V$2:V943),$V$2:$V$1001,0),MATCH(COLUMNS($AC$1006:AO1006),$AC$1006:$AS$1006,0)), HYPERLINK("#",""), HYPERLINK(CONCATENATE("#metadata!", ADDRESS(INDEX($X$2:$X$1001,MATCH(ROWS($V$2:V943),$V$2:$V$1001,0),0), INDEX($AC$1004:$AS$1004,1,MATCH(COLUMNS($AC$1006:AO1006),$AC$1006:$AS$1006,0)))),"Fix")))</f>
        <v xml:space="preserve"> </v>
      </c>
      <c r="O943" s="4" t="str">
        <f ca="1">IF(OR(INDEX($W$2:$W$1001,MATCH(ROWS($V$2:V943),$V$2:$V$1001,0),1)&gt;=100000,INDEX($AC$1005:$AS$1005,1,MATCH(COLUMNS($AC$1006:AP1006),$AC$1006:$AS$1006,0))&gt;=100000), " ",IF(INDEX($AC$2:$AS$1001,MATCH(ROWS($V$2:V943),$V$2:$V$1001,0),MATCH(COLUMNS($AC$1006:AP1006),$AC$1006:$AS$1006,0)), HYPERLINK("#",""), HYPERLINK(CONCATENATE("#metadata!", ADDRESS(INDEX($X$2:$X$1001,MATCH(ROWS($V$2:V943),$V$2:$V$1001,0),0), INDEX($AC$1004:$AS$1004,1,MATCH(COLUMNS($AC$1006:AP1006),$AC$1006:$AS$1006,0)))),"Fix")))</f>
        <v xml:space="preserve"> </v>
      </c>
      <c r="P943" s="4" t="str">
        <f ca="1">IF(OR(INDEX($W$2:$W$1001,MATCH(ROWS($V$2:V943),$V$2:$V$1001,0),1)&gt;=100000,INDEX($AC$1005:$AS$1005,1,MATCH(COLUMNS($AC$1006:AQ1006),$AC$1006:$AS$1006,0))&gt;=100000), " ",IF(INDEX($AC$2:$AS$1001,MATCH(ROWS($V$2:V943),$V$2:$V$1001,0),MATCH(COLUMNS($AC$1006:AQ1006),$AC$1006:$AS$1006,0)), HYPERLINK("#",""), HYPERLINK(CONCATENATE("#metadata!", ADDRESS(INDEX($X$2:$X$1001,MATCH(ROWS($V$2:V943),$V$2:$V$1001,0),0), INDEX($AC$1004:$AS$1004,1,MATCH(COLUMNS($AC$1006:AQ1006),$AC$1006:$AS$1006,0)))),"Fix")))</f>
        <v xml:space="preserve"> </v>
      </c>
      <c r="Q943" s="4" t="str">
        <f ca="1">IF(OR(INDEX($W$2:$W$1001,MATCH(ROWS($V$2:V943),$V$2:$V$1001,0),1)&gt;=100000,INDEX($AC$1005:$AS$1005,1,MATCH(COLUMNS($AC$1006:AR1006),$AC$1006:$AS$1006,0))&gt;=100000), " ",IF(INDEX($AC$2:$AS$1001,MATCH(ROWS($V$2:V943),$V$2:$V$1001,0),MATCH(COLUMNS($AC$1006:AR1006),$AC$1006:$AS$1006,0)), HYPERLINK("#",""), HYPERLINK(CONCATENATE("#metadata!", ADDRESS(INDEX($X$2:$X$1001,MATCH(ROWS($V$2:V943),$V$2:$V$1001,0),0), INDEX($AC$1004:$AS$1004,1,MATCH(COLUMNS($AC$1006:AR1006),$AC$1006:$AS$1006,0)))),"Fix")))</f>
        <v xml:space="preserve"> </v>
      </c>
      <c r="R943" s="4" t="str">
        <f ca="1">IF(OR(INDEX($W$2:$W$1001,MATCH(ROWS($V$2:V943),$V$2:$V$1001,0),1)&gt;=100000,INDEX($AC$1005:$AS$1005,1,MATCH(COLUMNS($AC$1006:AS1006),$AC$1006:$AS$1006,0))&gt;=100000), " ",IF(INDEX($AC$2:$AS$1001,MATCH(ROWS($V$2:V943),$V$2:$V$1001,0),MATCH(COLUMNS($AC$1006:AS1006),$AC$1006:$AS$1006,0)), HYPERLINK("#",""), HYPERLINK(CONCATENATE("#metadata!", ADDRESS(INDEX($X$2:$X$1001,MATCH(ROWS($V$2:V943),$V$2:$V$1001,0),0), INDEX($AC$1004:$AS$1004,1,MATCH(COLUMNS($AC$1006:AS1006),$AC$1006:$AS$1006,0)))),"Fix")))</f>
        <v xml:space="preserve"> </v>
      </c>
      <c r="V943">
        <v>942</v>
      </c>
      <c r="W943">
        <v>100943</v>
      </c>
      <c r="X943">
        <v>943</v>
      </c>
      <c r="Y943" t="b">
        <f t="shared" si="14"/>
        <v>1</v>
      </c>
      <c r="Z943" t="b">
        <f>COUNTBLANK(metadata!B943:R943)=COLUMNS(metadata!B943:R943)</f>
        <v>1</v>
      </c>
      <c r="AA943" t="str">
        <v/>
      </c>
      <c r="AC943" t="b">
        <f ca="1"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AD943" t="b">
        <f>IF(metadata!C943="",FALSE,ISNUMBER(VALUE(metadata!C943)))</f>
        <v>0</v>
      </c>
      <c r="AE943" t="b">
        <f>AND(IF(metadata!D943="",FALSE,TRUE),EXACT(metadata!D943,"years"))</f>
        <v>0</v>
      </c>
      <c r="AF943" t="b">
        <f>OR(AND(IF(metadata!E943="",FALSE,TRUE),OR(EXACT(metadata!E943,"not applicable"),EXACT(metadata!E943,"missing: not collected"),EXACT(metadata!E943,"missing: not provided"),EXACT(metadata!E943,"missing: restricted access"))),AND(IF(metadata!E943="",FALSE,ISNUMBER(VALUE(metadata!E943))),metadata!E943&gt;0))</f>
        <v>0</v>
      </c>
      <c r="AG943" t="b">
        <f>AND(IF(metadata!F943="",FALSE,TRUE),EXACT(metadata!F943,"Not applicable"))</f>
        <v>0</v>
      </c>
      <c r="AH943" t="b">
        <f>AND(IF(metadata!G943="",FALSE,TRUE),EXACT(metadata!G943,"urban biome"))</f>
        <v>0</v>
      </c>
      <c r="AI943" t="b">
        <f>AND(IF(metadata!H943="",FALSE,TRUE),EXACT(metadata!H943,"human-associated habitat"))</f>
        <v>0</v>
      </c>
      <c r="AJ943" t="b">
        <f>AND(IF(metadata!I943="",FALSE,TRUE),OR(EXACT(metadata!I943,"human-associated"),EXACT(metadata!I943,"human-skin"),EXACT(metadata!I943,"human-oral"),EXACT(metadata!I943,"human-gut"),EXACT(metadata!I943,"human-vaginal")))</f>
        <v>0</v>
      </c>
      <c r="AK943" t="b">
        <f>IF(metadata!J943="",FALSE,ISNUMBER(VALUE(metadata!J943)))</f>
        <v>0</v>
      </c>
      <c r="AL943" t="b">
        <f>AND(IF(metadata!K943="",FALSE,TRUE),EXACT(metadata!K943,"cm"))</f>
        <v>0</v>
      </c>
      <c r="AM943" t="b">
        <f>AND(IF(metadata!L943="",FALSE,TRUE),EXACT(metadata!L943,"human"))</f>
        <v>0</v>
      </c>
      <c r="AN943" t="b">
        <f>AND(IF(metadata!M943="",FALSE,TRUE),EXACT(metadata!M943,"Homo sapiens"))</f>
        <v>0</v>
      </c>
      <c r="AO943" t="b">
        <f>AND(IF(metadata!N943="",FALSE,TRUE),EXACT(metadata!N943,"9606"))</f>
        <v>0</v>
      </c>
      <c r="AP943" t="b">
        <f>IF(metadata!O943="",FALSE,TRUE)</f>
        <v>0</v>
      </c>
      <c r="AQ943" t="b">
        <f>IF(metadata!P943="",FALSE,TRUE)</f>
        <v>0</v>
      </c>
      <c r="AR943" t="b">
        <f>IF(metadata!Q943="",FALSE,ISNUMBER(VALUE(metadata!Q943)))</f>
        <v>0</v>
      </c>
      <c r="AS943" t="b">
        <f>AND(IF(metadata!R943="",FALSE,TRUE),EXACT(metadata!R943,"kg"))</f>
        <v>0</v>
      </c>
    </row>
    <row r="944" spans="1:45" x14ac:dyDescent="0.2">
      <c r="A944" s="5" t="str">
        <f ca="1">IF(B944=" "," ",HYPERLINK(CONCATENATE("#metadata!",ADDRESS(INDEX($X$2:$X$1001,MATCH(ROWS($V$2:V944),$V$2:$V$1001,0),0),1)),INDEX($AA$2:$AA$1001,MATCH(ROWS($V$2:V944),$V$2:$V$1001,0),0)))</f>
        <v xml:space="preserve"> </v>
      </c>
      <c r="B944" s="4" t="str">
        <f ca="1">IF(OR(INDEX($W$2:$W$1001,MATCH(ROWS($V$2:V944),$V$2:$V$1001,0),1)&gt;=100000,INDEX($AC$1005:$AS$1005,1,MATCH(COLUMNS($AC$1006:AC1006),$AC$1006:$AS$1006,0))&gt;=100000), " ",IF(INDEX($AC$2:$AS$1001,MATCH(ROWS($V$2:V944),$V$2:$V$1001,0),MATCH(COLUMNS($AC$1006:AC1006),$AC$1006:$AS$1006,0)), HYPERLINK("#",""), HYPERLINK(CONCATENATE("#metadata!", ADDRESS(INDEX($X$2:$X$1001,MATCH(ROWS($V$2:V944),$V$2:$V$1001,0),0), INDEX($AC$1004:$AS$1004,1,MATCH(COLUMNS($AC$1006:AC1006),$AC$1006:$AS$1006,0)))),"Fix")))</f>
        <v xml:space="preserve"> </v>
      </c>
      <c r="C944" s="4" t="str">
        <f ca="1">IF(OR(INDEX($W$2:$W$1001,MATCH(ROWS($V$2:V944),$V$2:$V$1001,0),1)&gt;=100000,INDEX($AC$1005:$AS$1005,1,MATCH(COLUMNS($AC$1006:AD1006),$AC$1006:$AS$1006,0))&gt;=100000), " ",IF(INDEX($AC$2:$AS$1001,MATCH(ROWS($V$2:V944),$V$2:$V$1001,0),MATCH(COLUMNS($AC$1006:AD1006),$AC$1006:$AS$1006,0)), HYPERLINK("#",""), HYPERLINK(CONCATENATE("#metadata!", ADDRESS(INDEX($X$2:$X$1001,MATCH(ROWS($V$2:V944),$V$2:$V$1001,0),0), INDEX($AC$1004:$AS$1004,1,MATCH(COLUMNS($AC$1006:AD1006),$AC$1006:$AS$1006,0)))),"Fix")))</f>
        <v xml:space="preserve"> </v>
      </c>
      <c r="D944" s="4" t="str">
        <f ca="1">IF(OR(INDEX($W$2:$W$1001,MATCH(ROWS($V$2:V944),$V$2:$V$1001,0),1)&gt;=100000,INDEX($AC$1005:$AS$1005,1,MATCH(COLUMNS($AC$1006:AE1006),$AC$1006:$AS$1006,0))&gt;=100000), " ",IF(INDEX($AC$2:$AS$1001,MATCH(ROWS($V$2:V944),$V$2:$V$1001,0),MATCH(COLUMNS($AC$1006:AE1006),$AC$1006:$AS$1006,0)), HYPERLINK("#",""), HYPERLINK(CONCATENATE("#metadata!", ADDRESS(INDEX($X$2:$X$1001,MATCH(ROWS($V$2:V944),$V$2:$V$1001,0),0), INDEX($AC$1004:$AS$1004,1,MATCH(COLUMNS($AC$1006:AE1006),$AC$1006:$AS$1006,0)))),"Fix")))</f>
        <v xml:space="preserve"> </v>
      </c>
      <c r="E944" s="4" t="str">
        <f ca="1">IF(OR(INDEX($W$2:$W$1001,MATCH(ROWS($V$2:V944),$V$2:$V$1001,0),1)&gt;=100000,INDEX($AC$1005:$AS$1005,1,MATCH(COLUMNS($AC$1006:AF1006),$AC$1006:$AS$1006,0))&gt;=100000), " ",IF(INDEX($AC$2:$AS$1001,MATCH(ROWS($V$2:V944),$V$2:$V$1001,0),MATCH(COLUMNS($AC$1006:AF1006),$AC$1006:$AS$1006,0)), HYPERLINK("#",""), HYPERLINK(CONCATENATE("#metadata!", ADDRESS(INDEX($X$2:$X$1001,MATCH(ROWS($V$2:V944),$V$2:$V$1001,0),0), INDEX($AC$1004:$AS$1004,1,MATCH(COLUMNS($AC$1006:AF1006),$AC$1006:$AS$1006,0)))),"Fix")))</f>
        <v xml:space="preserve"> </v>
      </c>
      <c r="F944" s="4" t="str">
        <f ca="1">IF(OR(INDEX($W$2:$W$1001,MATCH(ROWS($V$2:V944),$V$2:$V$1001,0),1)&gt;=100000,INDEX($AC$1005:$AS$1005,1,MATCH(COLUMNS($AC$1006:AG1006),$AC$1006:$AS$1006,0))&gt;=100000), " ",IF(INDEX($AC$2:$AS$1001,MATCH(ROWS($V$2:V944),$V$2:$V$1001,0),MATCH(COLUMNS($AC$1006:AG1006),$AC$1006:$AS$1006,0)), HYPERLINK("#",""), HYPERLINK(CONCATENATE("#metadata!", ADDRESS(INDEX($X$2:$X$1001,MATCH(ROWS($V$2:V944),$V$2:$V$1001,0),0), INDEX($AC$1004:$AS$1004,1,MATCH(COLUMNS($AC$1006:AG1006),$AC$1006:$AS$1006,0)))),"Fix")))</f>
        <v xml:space="preserve"> </v>
      </c>
      <c r="G944" s="4" t="str">
        <f ca="1">IF(OR(INDEX($W$2:$W$1001,MATCH(ROWS($V$2:V944),$V$2:$V$1001,0),1)&gt;=100000,INDEX($AC$1005:$AS$1005,1,MATCH(COLUMNS($AC$1006:AH1006),$AC$1006:$AS$1006,0))&gt;=100000), " ",IF(INDEX($AC$2:$AS$1001,MATCH(ROWS($V$2:V944),$V$2:$V$1001,0),MATCH(COLUMNS($AC$1006:AH1006),$AC$1006:$AS$1006,0)), HYPERLINK("#",""), HYPERLINK(CONCATENATE("#metadata!", ADDRESS(INDEX($X$2:$X$1001,MATCH(ROWS($V$2:V944),$V$2:$V$1001,0),0), INDEX($AC$1004:$AS$1004,1,MATCH(COLUMNS($AC$1006:AH1006),$AC$1006:$AS$1006,0)))),"Fix")))</f>
        <v xml:space="preserve"> </v>
      </c>
      <c r="H944" s="4" t="str">
        <f ca="1">IF(OR(INDEX($W$2:$W$1001,MATCH(ROWS($V$2:V944),$V$2:$V$1001,0),1)&gt;=100000,INDEX($AC$1005:$AS$1005,1,MATCH(COLUMNS($AC$1006:AI1006),$AC$1006:$AS$1006,0))&gt;=100000), " ",IF(INDEX($AC$2:$AS$1001,MATCH(ROWS($V$2:V944),$V$2:$V$1001,0),MATCH(COLUMNS($AC$1006:AI1006),$AC$1006:$AS$1006,0)), HYPERLINK("#",""), HYPERLINK(CONCATENATE("#metadata!", ADDRESS(INDEX($X$2:$X$1001,MATCH(ROWS($V$2:V944),$V$2:$V$1001,0),0), INDEX($AC$1004:$AS$1004,1,MATCH(COLUMNS($AC$1006:AI1006),$AC$1006:$AS$1006,0)))),"Fix")))</f>
        <v xml:space="preserve"> </v>
      </c>
      <c r="I944" s="4" t="str">
        <f ca="1">IF(OR(INDEX($W$2:$W$1001,MATCH(ROWS($V$2:V944),$V$2:$V$1001,0),1)&gt;=100000,INDEX($AC$1005:$AS$1005,1,MATCH(COLUMNS($AC$1006:AJ1006),$AC$1006:$AS$1006,0))&gt;=100000), " ",IF(INDEX($AC$2:$AS$1001,MATCH(ROWS($V$2:V944),$V$2:$V$1001,0),MATCH(COLUMNS($AC$1006:AJ1006),$AC$1006:$AS$1006,0)), HYPERLINK("#",""), HYPERLINK(CONCATENATE("#metadata!", ADDRESS(INDEX($X$2:$X$1001,MATCH(ROWS($V$2:V944),$V$2:$V$1001,0),0), INDEX($AC$1004:$AS$1004,1,MATCH(COLUMNS($AC$1006:AJ1006),$AC$1006:$AS$1006,0)))),"Fix")))</f>
        <v xml:space="preserve"> </v>
      </c>
      <c r="J944" s="4" t="str">
        <f ca="1">IF(OR(INDEX($W$2:$W$1001,MATCH(ROWS($V$2:V944),$V$2:$V$1001,0),1)&gt;=100000,INDEX($AC$1005:$AS$1005,1,MATCH(COLUMNS($AC$1006:AK1006),$AC$1006:$AS$1006,0))&gt;=100000), " ",IF(INDEX($AC$2:$AS$1001,MATCH(ROWS($V$2:V944),$V$2:$V$1001,0),MATCH(COLUMNS($AC$1006:AK1006),$AC$1006:$AS$1006,0)), HYPERLINK("#",""), HYPERLINK(CONCATENATE("#metadata!", ADDRESS(INDEX($X$2:$X$1001,MATCH(ROWS($V$2:V944),$V$2:$V$1001,0),0), INDEX($AC$1004:$AS$1004,1,MATCH(COLUMNS($AC$1006:AK1006),$AC$1006:$AS$1006,0)))),"Fix")))</f>
        <v xml:space="preserve"> </v>
      </c>
      <c r="K944" s="4" t="str">
        <f ca="1">IF(OR(INDEX($W$2:$W$1001,MATCH(ROWS($V$2:V944),$V$2:$V$1001,0),1)&gt;=100000,INDEX($AC$1005:$AS$1005,1,MATCH(COLUMNS($AC$1006:AL1006),$AC$1006:$AS$1006,0))&gt;=100000), " ",IF(INDEX($AC$2:$AS$1001,MATCH(ROWS($V$2:V944),$V$2:$V$1001,0),MATCH(COLUMNS($AC$1006:AL1006),$AC$1006:$AS$1006,0)), HYPERLINK("#",""), HYPERLINK(CONCATENATE("#metadata!", ADDRESS(INDEX($X$2:$X$1001,MATCH(ROWS($V$2:V944),$V$2:$V$1001,0),0), INDEX($AC$1004:$AS$1004,1,MATCH(COLUMNS($AC$1006:AL1006),$AC$1006:$AS$1006,0)))),"Fix")))</f>
        <v xml:space="preserve"> </v>
      </c>
      <c r="L944" s="4" t="str">
        <f ca="1">IF(OR(INDEX($W$2:$W$1001,MATCH(ROWS($V$2:V944),$V$2:$V$1001,0),1)&gt;=100000,INDEX($AC$1005:$AS$1005,1,MATCH(COLUMNS($AC$1006:AM1006),$AC$1006:$AS$1006,0))&gt;=100000), " ",IF(INDEX($AC$2:$AS$1001,MATCH(ROWS($V$2:V944),$V$2:$V$1001,0),MATCH(COLUMNS($AC$1006:AM1006),$AC$1006:$AS$1006,0)), HYPERLINK("#",""), HYPERLINK(CONCATENATE("#metadata!", ADDRESS(INDEX($X$2:$X$1001,MATCH(ROWS($V$2:V944),$V$2:$V$1001,0),0), INDEX($AC$1004:$AS$1004,1,MATCH(COLUMNS($AC$1006:AM1006),$AC$1006:$AS$1006,0)))),"Fix")))</f>
        <v xml:space="preserve"> </v>
      </c>
      <c r="M944" s="4" t="str">
        <f ca="1">IF(OR(INDEX($W$2:$W$1001,MATCH(ROWS($V$2:V944),$V$2:$V$1001,0),1)&gt;=100000,INDEX($AC$1005:$AS$1005,1,MATCH(COLUMNS($AC$1006:AN1006),$AC$1006:$AS$1006,0))&gt;=100000), " ",IF(INDEX($AC$2:$AS$1001,MATCH(ROWS($V$2:V944),$V$2:$V$1001,0),MATCH(COLUMNS($AC$1006:AN1006),$AC$1006:$AS$1006,0)), HYPERLINK("#",""), HYPERLINK(CONCATENATE("#metadata!", ADDRESS(INDEX($X$2:$X$1001,MATCH(ROWS($V$2:V944),$V$2:$V$1001,0),0), INDEX($AC$1004:$AS$1004,1,MATCH(COLUMNS($AC$1006:AN1006),$AC$1006:$AS$1006,0)))),"Fix")))</f>
        <v xml:space="preserve"> </v>
      </c>
      <c r="N944" s="4" t="str">
        <f ca="1">IF(OR(INDEX($W$2:$W$1001,MATCH(ROWS($V$2:V944),$V$2:$V$1001,0),1)&gt;=100000,INDEX($AC$1005:$AS$1005,1,MATCH(COLUMNS($AC$1006:AO1006),$AC$1006:$AS$1006,0))&gt;=100000), " ",IF(INDEX($AC$2:$AS$1001,MATCH(ROWS($V$2:V944),$V$2:$V$1001,0),MATCH(COLUMNS($AC$1006:AO1006),$AC$1006:$AS$1006,0)), HYPERLINK("#",""), HYPERLINK(CONCATENATE("#metadata!", ADDRESS(INDEX($X$2:$X$1001,MATCH(ROWS($V$2:V944),$V$2:$V$1001,0),0), INDEX($AC$1004:$AS$1004,1,MATCH(COLUMNS($AC$1006:AO1006),$AC$1006:$AS$1006,0)))),"Fix")))</f>
        <v xml:space="preserve"> </v>
      </c>
      <c r="O944" s="4" t="str">
        <f ca="1">IF(OR(INDEX($W$2:$W$1001,MATCH(ROWS($V$2:V944),$V$2:$V$1001,0),1)&gt;=100000,INDEX($AC$1005:$AS$1005,1,MATCH(COLUMNS($AC$1006:AP1006),$AC$1006:$AS$1006,0))&gt;=100000), " ",IF(INDEX($AC$2:$AS$1001,MATCH(ROWS($V$2:V944),$V$2:$V$1001,0),MATCH(COLUMNS($AC$1006:AP1006),$AC$1006:$AS$1006,0)), HYPERLINK("#",""), HYPERLINK(CONCATENATE("#metadata!", ADDRESS(INDEX($X$2:$X$1001,MATCH(ROWS($V$2:V944),$V$2:$V$1001,0),0), INDEX($AC$1004:$AS$1004,1,MATCH(COLUMNS($AC$1006:AP1006),$AC$1006:$AS$1006,0)))),"Fix")))</f>
        <v xml:space="preserve"> </v>
      </c>
      <c r="P944" s="4" t="str">
        <f ca="1">IF(OR(INDEX($W$2:$W$1001,MATCH(ROWS($V$2:V944),$V$2:$V$1001,0),1)&gt;=100000,INDEX($AC$1005:$AS$1005,1,MATCH(COLUMNS($AC$1006:AQ1006),$AC$1006:$AS$1006,0))&gt;=100000), " ",IF(INDEX($AC$2:$AS$1001,MATCH(ROWS($V$2:V944),$V$2:$V$1001,0),MATCH(COLUMNS($AC$1006:AQ1006),$AC$1006:$AS$1006,0)), HYPERLINK("#",""), HYPERLINK(CONCATENATE("#metadata!", ADDRESS(INDEX($X$2:$X$1001,MATCH(ROWS($V$2:V944),$V$2:$V$1001,0),0), INDEX($AC$1004:$AS$1004,1,MATCH(COLUMNS($AC$1006:AQ1006),$AC$1006:$AS$1006,0)))),"Fix")))</f>
        <v xml:space="preserve"> </v>
      </c>
      <c r="Q944" s="4" t="str">
        <f ca="1">IF(OR(INDEX($W$2:$W$1001,MATCH(ROWS($V$2:V944),$V$2:$V$1001,0),1)&gt;=100000,INDEX($AC$1005:$AS$1005,1,MATCH(COLUMNS($AC$1006:AR1006),$AC$1006:$AS$1006,0))&gt;=100000), " ",IF(INDEX($AC$2:$AS$1001,MATCH(ROWS($V$2:V944),$V$2:$V$1001,0),MATCH(COLUMNS($AC$1006:AR1006),$AC$1006:$AS$1006,0)), HYPERLINK("#",""), HYPERLINK(CONCATENATE("#metadata!", ADDRESS(INDEX($X$2:$X$1001,MATCH(ROWS($V$2:V944),$V$2:$V$1001,0),0), INDEX($AC$1004:$AS$1004,1,MATCH(COLUMNS($AC$1006:AR1006),$AC$1006:$AS$1006,0)))),"Fix")))</f>
        <v xml:space="preserve"> </v>
      </c>
      <c r="R944" s="4" t="str">
        <f ca="1">IF(OR(INDEX($W$2:$W$1001,MATCH(ROWS($V$2:V944),$V$2:$V$1001,0),1)&gt;=100000,INDEX($AC$1005:$AS$1005,1,MATCH(COLUMNS($AC$1006:AS1006),$AC$1006:$AS$1006,0))&gt;=100000), " ",IF(INDEX($AC$2:$AS$1001,MATCH(ROWS($V$2:V944),$V$2:$V$1001,0),MATCH(COLUMNS($AC$1006:AS1006),$AC$1006:$AS$1006,0)), HYPERLINK("#",""), HYPERLINK(CONCATENATE("#metadata!", ADDRESS(INDEX($X$2:$X$1001,MATCH(ROWS($V$2:V944),$V$2:$V$1001,0),0), INDEX($AC$1004:$AS$1004,1,MATCH(COLUMNS($AC$1006:AS1006),$AC$1006:$AS$1006,0)))),"Fix")))</f>
        <v xml:space="preserve"> </v>
      </c>
      <c r="V944">
        <v>943</v>
      </c>
      <c r="W944">
        <v>100944</v>
      </c>
      <c r="X944">
        <v>944</v>
      </c>
      <c r="Y944" t="b">
        <f t="shared" si="14"/>
        <v>1</v>
      </c>
      <c r="Z944" t="b">
        <f>COUNTBLANK(metadata!B944:R944)=COLUMNS(metadata!B944:R944)</f>
        <v>1</v>
      </c>
      <c r="AA944" t="str">
        <v/>
      </c>
      <c r="AC944" t="b">
        <f ca="1"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AD944" t="b">
        <f>IF(metadata!C944="",FALSE,ISNUMBER(VALUE(metadata!C944)))</f>
        <v>0</v>
      </c>
      <c r="AE944" t="b">
        <f>AND(IF(metadata!D944="",FALSE,TRUE),EXACT(metadata!D944,"years"))</f>
        <v>0</v>
      </c>
      <c r="AF944" t="b">
        <f>OR(AND(IF(metadata!E944="",FALSE,TRUE),OR(EXACT(metadata!E944,"not applicable"),EXACT(metadata!E944,"missing: not collected"),EXACT(metadata!E944,"missing: not provided"),EXACT(metadata!E944,"missing: restricted access"))),AND(IF(metadata!E944="",FALSE,ISNUMBER(VALUE(metadata!E944))),metadata!E944&gt;0))</f>
        <v>0</v>
      </c>
      <c r="AG944" t="b">
        <f>AND(IF(metadata!F944="",FALSE,TRUE),EXACT(metadata!F944,"Not applicable"))</f>
        <v>0</v>
      </c>
      <c r="AH944" t="b">
        <f>AND(IF(metadata!G944="",FALSE,TRUE),EXACT(metadata!G944,"urban biome"))</f>
        <v>0</v>
      </c>
      <c r="AI944" t="b">
        <f>AND(IF(metadata!H944="",FALSE,TRUE),EXACT(metadata!H944,"human-associated habitat"))</f>
        <v>0</v>
      </c>
      <c r="AJ944" t="b">
        <f>AND(IF(metadata!I944="",FALSE,TRUE),OR(EXACT(metadata!I944,"human-associated"),EXACT(metadata!I944,"human-skin"),EXACT(metadata!I944,"human-oral"),EXACT(metadata!I944,"human-gut"),EXACT(metadata!I944,"human-vaginal")))</f>
        <v>0</v>
      </c>
      <c r="AK944" t="b">
        <f>IF(metadata!J944="",FALSE,ISNUMBER(VALUE(metadata!J944)))</f>
        <v>0</v>
      </c>
      <c r="AL944" t="b">
        <f>AND(IF(metadata!K944="",FALSE,TRUE),EXACT(metadata!K944,"cm"))</f>
        <v>0</v>
      </c>
      <c r="AM944" t="b">
        <f>AND(IF(metadata!L944="",FALSE,TRUE),EXACT(metadata!L944,"human"))</f>
        <v>0</v>
      </c>
      <c r="AN944" t="b">
        <f>AND(IF(metadata!M944="",FALSE,TRUE),EXACT(metadata!M944,"Homo sapiens"))</f>
        <v>0</v>
      </c>
      <c r="AO944" t="b">
        <f>AND(IF(metadata!N944="",FALSE,TRUE),EXACT(metadata!N944,"9606"))</f>
        <v>0</v>
      </c>
      <c r="AP944" t="b">
        <f>IF(metadata!O944="",FALSE,TRUE)</f>
        <v>0</v>
      </c>
      <c r="AQ944" t="b">
        <f>IF(metadata!P944="",FALSE,TRUE)</f>
        <v>0</v>
      </c>
      <c r="AR944" t="b">
        <f>IF(metadata!Q944="",FALSE,ISNUMBER(VALUE(metadata!Q944)))</f>
        <v>0</v>
      </c>
      <c r="AS944" t="b">
        <f>AND(IF(metadata!R944="",FALSE,TRUE),EXACT(metadata!R944,"kg"))</f>
        <v>0</v>
      </c>
    </row>
    <row r="945" spans="1:45" x14ac:dyDescent="0.2">
      <c r="A945" s="5" t="str">
        <f ca="1">IF(B945=" "," ",HYPERLINK(CONCATENATE("#metadata!",ADDRESS(INDEX($X$2:$X$1001,MATCH(ROWS($V$2:V945),$V$2:$V$1001,0),0),1)),INDEX($AA$2:$AA$1001,MATCH(ROWS($V$2:V945),$V$2:$V$1001,0),0)))</f>
        <v xml:space="preserve"> </v>
      </c>
      <c r="B945" s="4" t="str">
        <f ca="1">IF(OR(INDEX($W$2:$W$1001,MATCH(ROWS($V$2:V945),$V$2:$V$1001,0),1)&gt;=100000,INDEX($AC$1005:$AS$1005,1,MATCH(COLUMNS($AC$1006:AC1006),$AC$1006:$AS$1006,0))&gt;=100000), " ",IF(INDEX($AC$2:$AS$1001,MATCH(ROWS($V$2:V945),$V$2:$V$1001,0),MATCH(COLUMNS($AC$1006:AC1006),$AC$1006:$AS$1006,0)), HYPERLINK("#",""), HYPERLINK(CONCATENATE("#metadata!", ADDRESS(INDEX($X$2:$X$1001,MATCH(ROWS($V$2:V945),$V$2:$V$1001,0),0), INDEX($AC$1004:$AS$1004,1,MATCH(COLUMNS($AC$1006:AC1006),$AC$1006:$AS$1006,0)))),"Fix")))</f>
        <v xml:space="preserve"> </v>
      </c>
      <c r="C945" s="4" t="str">
        <f ca="1">IF(OR(INDEX($W$2:$W$1001,MATCH(ROWS($V$2:V945),$V$2:$V$1001,0),1)&gt;=100000,INDEX($AC$1005:$AS$1005,1,MATCH(COLUMNS($AC$1006:AD1006),$AC$1006:$AS$1006,0))&gt;=100000), " ",IF(INDEX($AC$2:$AS$1001,MATCH(ROWS($V$2:V945),$V$2:$V$1001,0),MATCH(COLUMNS($AC$1006:AD1006),$AC$1006:$AS$1006,0)), HYPERLINK("#",""), HYPERLINK(CONCATENATE("#metadata!", ADDRESS(INDEX($X$2:$X$1001,MATCH(ROWS($V$2:V945),$V$2:$V$1001,0),0), INDEX($AC$1004:$AS$1004,1,MATCH(COLUMNS($AC$1006:AD1006),$AC$1006:$AS$1006,0)))),"Fix")))</f>
        <v xml:space="preserve"> </v>
      </c>
      <c r="D945" s="4" t="str">
        <f ca="1">IF(OR(INDEX($W$2:$W$1001,MATCH(ROWS($V$2:V945),$V$2:$V$1001,0),1)&gt;=100000,INDEX($AC$1005:$AS$1005,1,MATCH(COLUMNS($AC$1006:AE1006),$AC$1006:$AS$1006,0))&gt;=100000), " ",IF(INDEX($AC$2:$AS$1001,MATCH(ROWS($V$2:V945),$V$2:$V$1001,0),MATCH(COLUMNS($AC$1006:AE1006),$AC$1006:$AS$1006,0)), HYPERLINK("#",""), HYPERLINK(CONCATENATE("#metadata!", ADDRESS(INDEX($X$2:$X$1001,MATCH(ROWS($V$2:V945),$V$2:$V$1001,0),0), INDEX($AC$1004:$AS$1004,1,MATCH(COLUMNS($AC$1006:AE1006),$AC$1006:$AS$1006,0)))),"Fix")))</f>
        <v xml:space="preserve"> </v>
      </c>
      <c r="E945" s="4" t="str">
        <f ca="1">IF(OR(INDEX($W$2:$W$1001,MATCH(ROWS($V$2:V945),$V$2:$V$1001,0),1)&gt;=100000,INDEX($AC$1005:$AS$1005,1,MATCH(COLUMNS($AC$1006:AF1006),$AC$1006:$AS$1006,0))&gt;=100000), " ",IF(INDEX($AC$2:$AS$1001,MATCH(ROWS($V$2:V945),$V$2:$V$1001,0),MATCH(COLUMNS($AC$1006:AF1006),$AC$1006:$AS$1006,0)), HYPERLINK("#",""), HYPERLINK(CONCATENATE("#metadata!", ADDRESS(INDEX($X$2:$X$1001,MATCH(ROWS($V$2:V945),$V$2:$V$1001,0),0), INDEX($AC$1004:$AS$1004,1,MATCH(COLUMNS($AC$1006:AF1006),$AC$1006:$AS$1006,0)))),"Fix")))</f>
        <v xml:space="preserve"> </v>
      </c>
      <c r="F945" s="4" t="str">
        <f ca="1">IF(OR(INDEX($W$2:$W$1001,MATCH(ROWS($V$2:V945),$V$2:$V$1001,0),1)&gt;=100000,INDEX($AC$1005:$AS$1005,1,MATCH(COLUMNS($AC$1006:AG1006),$AC$1006:$AS$1006,0))&gt;=100000), " ",IF(INDEX($AC$2:$AS$1001,MATCH(ROWS($V$2:V945),$V$2:$V$1001,0),MATCH(COLUMNS($AC$1006:AG1006),$AC$1006:$AS$1006,0)), HYPERLINK("#",""), HYPERLINK(CONCATENATE("#metadata!", ADDRESS(INDEX($X$2:$X$1001,MATCH(ROWS($V$2:V945),$V$2:$V$1001,0),0), INDEX($AC$1004:$AS$1004,1,MATCH(COLUMNS($AC$1006:AG1006),$AC$1006:$AS$1006,0)))),"Fix")))</f>
        <v xml:space="preserve"> </v>
      </c>
      <c r="G945" s="4" t="str">
        <f ca="1">IF(OR(INDEX($W$2:$W$1001,MATCH(ROWS($V$2:V945),$V$2:$V$1001,0),1)&gt;=100000,INDEX($AC$1005:$AS$1005,1,MATCH(COLUMNS($AC$1006:AH1006),$AC$1006:$AS$1006,0))&gt;=100000), " ",IF(INDEX($AC$2:$AS$1001,MATCH(ROWS($V$2:V945),$V$2:$V$1001,0),MATCH(COLUMNS($AC$1006:AH1006),$AC$1006:$AS$1006,0)), HYPERLINK("#",""), HYPERLINK(CONCATENATE("#metadata!", ADDRESS(INDEX($X$2:$X$1001,MATCH(ROWS($V$2:V945),$V$2:$V$1001,0),0), INDEX($AC$1004:$AS$1004,1,MATCH(COLUMNS($AC$1006:AH1006),$AC$1006:$AS$1006,0)))),"Fix")))</f>
        <v xml:space="preserve"> </v>
      </c>
      <c r="H945" s="4" t="str">
        <f ca="1">IF(OR(INDEX($W$2:$W$1001,MATCH(ROWS($V$2:V945),$V$2:$V$1001,0),1)&gt;=100000,INDEX($AC$1005:$AS$1005,1,MATCH(COLUMNS($AC$1006:AI1006),$AC$1006:$AS$1006,0))&gt;=100000), " ",IF(INDEX($AC$2:$AS$1001,MATCH(ROWS($V$2:V945),$V$2:$V$1001,0),MATCH(COLUMNS($AC$1006:AI1006),$AC$1006:$AS$1006,0)), HYPERLINK("#",""), HYPERLINK(CONCATENATE("#metadata!", ADDRESS(INDEX($X$2:$X$1001,MATCH(ROWS($V$2:V945),$V$2:$V$1001,0),0), INDEX($AC$1004:$AS$1004,1,MATCH(COLUMNS($AC$1006:AI1006),$AC$1006:$AS$1006,0)))),"Fix")))</f>
        <v xml:space="preserve"> </v>
      </c>
      <c r="I945" s="4" t="str">
        <f ca="1">IF(OR(INDEX($W$2:$W$1001,MATCH(ROWS($V$2:V945),$V$2:$V$1001,0),1)&gt;=100000,INDEX($AC$1005:$AS$1005,1,MATCH(COLUMNS($AC$1006:AJ1006),$AC$1006:$AS$1006,0))&gt;=100000), " ",IF(INDEX($AC$2:$AS$1001,MATCH(ROWS($V$2:V945),$V$2:$V$1001,0),MATCH(COLUMNS($AC$1006:AJ1006),$AC$1006:$AS$1006,0)), HYPERLINK("#",""), HYPERLINK(CONCATENATE("#metadata!", ADDRESS(INDEX($X$2:$X$1001,MATCH(ROWS($V$2:V945),$V$2:$V$1001,0),0), INDEX($AC$1004:$AS$1004,1,MATCH(COLUMNS($AC$1006:AJ1006),$AC$1006:$AS$1006,0)))),"Fix")))</f>
        <v xml:space="preserve"> </v>
      </c>
      <c r="J945" s="4" t="str">
        <f ca="1">IF(OR(INDEX($W$2:$W$1001,MATCH(ROWS($V$2:V945),$V$2:$V$1001,0),1)&gt;=100000,INDEX($AC$1005:$AS$1005,1,MATCH(COLUMNS($AC$1006:AK1006),$AC$1006:$AS$1006,0))&gt;=100000), " ",IF(INDEX($AC$2:$AS$1001,MATCH(ROWS($V$2:V945),$V$2:$V$1001,0),MATCH(COLUMNS($AC$1006:AK1006),$AC$1006:$AS$1006,0)), HYPERLINK("#",""), HYPERLINK(CONCATENATE("#metadata!", ADDRESS(INDEX($X$2:$X$1001,MATCH(ROWS($V$2:V945),$V$2:$V$1001,0),0), INDEX($AC$1004:$AS$1004,1,MATCH(COLUMNS($AC$1006:AK1006),$AC$1006:$AS$1006,0)))),"Fix")))</f>
        <v xml:space="preserve"> </v>
      </c>
      <c r="K945" s="4" t="str">
        <f ca="1">IF(OR(INDEX($W$2:$W$1001,MATCH(ROWS($V$2:V945),$V$2:$V$1001,0),1)&gt;=100000,INDEX($AC$1005:$AS$1005,1,MATCH(COLUMNS($AC$1006:AL1006),$AC$1006:$AS$1006,0))&gt;=100000), " ",IF(INDEX($AC$2:$AS$1001,MATCH(ROWS($V$2:V945),$V$2:$V$1001,0),MATCH(COLUMNS($AC$1006:AL1006),$AC$1006:$AS$1006,0)), HYPERLINK("#",""), HYPERLINK(CONCATENATE("#metadata!", ADDRESS(INDEX($X$2:$X$1001,MATCH(ROWS($V$2:V945),$V$2:$V$1001,0),0), INDEX($AC$1004:$AS$1004,1,MATCH(COLUMNS($AC$1006:AL1006),$AC$1006:$AS$1006,0)))),"Fix")))</f>
        <v xml:space="preserve"> </v>
      </c>
      <c r="L945" s="4" t="str">
        <f ca="1">IF(OR(INDEX($W$2:$W$1001,MATCH(ROWS($V$2:V945),$V$2:$V$1001,0),1)&gt;=100000,INDEX($AC$1005:$AS$1005,1,MATCH(COLUMNS($AC$1006:AM1006),$AC$1006:$AS$1006,0))&gt;=100000), " ",IF(INDEX($AC$2:$AS$1001,MATCH(ROWS($V$2:V945),$V$2:$V$1001,0),MATCH(COLUMNS($AC$1006:AM1006),$AC$1006:$AS$1006,0)), HYPERLINK("#",""), HYPERLINK(CONCATENATE("#metadata!", ADDRESS(INDEX($X$2:$X$1001,MATCH(ROWS($V$2:V945),$V$2:$V$1001,0),0), INDEX($AC$1004:$AS$1004,1,MATCH(COLUMNS($AC$1006:AM1006),$AC$1006:$AS$1006,0)))),"Fix")))</f>
        <v xml:space="preserve"> </v>
      </c>
      <c r="M945" s="4" t="str">
        <f ca="1">IF(OR(INDEX($W$2:$W$1001,MATCH(ROWS($V$2:V945),$V$2:$V$1001,0),1)&gt;=100000,INDEX($AC$1005:$AS$1005,1,MATCH(COLUMNS($AC$1006:AN1006),$AC$1006:$AS$1006,0))&gt;=100000), " ",IF(INDEX($AC$2:$AS$1001,MATCH(ROWS($V$2:V945),$V$2:$V$1001,0),MATCH(COLUMNS($AC$1006:AN1006),$AC$1006:$AS$1006,0)), HYPERLINK("#",""), HYPERLINK(CONCATENATE("#metadata!", ADDRESS(INDEX($X$2:$X$1001,MATCH(ROWS($V$2:V945),$V$2:$V$1001,0),0), INDEX($AC$1004:$AS$1004,1,MATCH(COLUMNS($AC$1006:AN1006),$AC$1006:$AS$1006,0)))),"Fix")))</f>
        <v xml:space="preserve"> </v>
      </c>
      <c r="N945" s="4" t="str">
        <f ca="1">IF(OR(INDEX($W$2:$W$1001,MATCH(ROWS($V$2:V945),$V$2:$V$1001,0),1)&gt;=100000,INDEX($AC$1005:$AS$1005,1,MATCH(COLUMNS($AC$1006:AO1006),$AC$1006:$AS$1006,0))&gt;=100000), " ",IF(INDEX($AC$2:$AS$1001,MATCH(ROWS($V$2:V945),$V$2:$V$1001,0),MATCH(COLUMNS($AC$1006:AO1006),$AC$1006:$AS$1006,0)), HYPERLINK("#",""), HYPERLINK(CONCATENATE("#metadata!", ADDRESS(INDEX($X$2:$X$1001,MATCH(ROWS($V$2:V945),$V$2:$V$1001,0),0), INDEX($AC$1004:$AS$1004,1,MATCH(COLUMNS($AC$1006:AO1006),$AC$1006:$AS$1006,0)))),"Fix")))</f>
        <v xml:space="preserve"> </v>
      </c>
      <c r="O945" s="4" t="str">
        <f ca="1">IF(OR(INDEX($W$2:$W$1001,MATCH(ROWS($V$2:V945),$V$2:$V$1001,0),1)&gt;=100000,INDEX($AC$1005:$AS$1005,1,MATCH(COLUMNS($AC$1006:AP1006),$AC$1006:$AS$1006,0))&gt;=100000), " ",IF(INDEX($AC$2:$AS$1001,MATCH(ROWS($V$2:V945),$V$2:$V$1001,0),MATCH(COLUMNS($AC$1006:AP1006),$AC$1006:$AS$1006,0)), HYPERLINK("#",""), HYPERLINK(CONCATENATE("#metadata!", ADDRESS(INDEX($X$2:$X$1001,MATCH(ROWS($V$2:V945),$V$2:$V$1001,0),0), INDEX($AC$1004:$AS$1004,1,MATCH(COLUMNS($AC$1006:AP1006),$AC$1006:$AS$1006,0)))),"Fix")))</f>
        <v xml:space="preserve"> </v>
      </c>
      <c r="P945" s="4" t="str">
        <f ca="1">IF(OR(INDEX($W$2:$W$1001,MATCH(ROWS($V$2:V945),$V$2:$V$1001,0),1)&gt;=100000,INDEX($AC$1005:$AS$1005,1,MATCH(COLUMNS($AC$1006:AQ1006),$AC$1006:$AS$1006,0))&gt;=100000), " ",IF(INDEX($AC$2:$AS$1001,MATCH(ROWS($V$2:V945),$V$2:$V$1001,0),MATCH(COLUMNS($AC$1006:AQ1006),$AC$1006:$AS$1006,0)), HYPERLINK("#",""), HYPERLINK(CONCATENATE("#metadata!", ADDRESS(INDEX($X$2:$X$1001,MATCH(ROWS($V$2:V945),$V$2:$V$1001,0),0), INDEX($AC$1004:$AS$1004,1,MATCH(COLUMNS($AC$1006:AQ1006),$AC$1006:$AS$1006,0)))),"Fix")))</f>
        <v xml:space="preserve"> </v>
      </c>
      <c r="Q945" s="4" t="str">
        <f ca="1">IF(OR(INDEX($W$2:$W$1001,MATCH(ROWS($V$2:V945),$V$2:$V$1001,0),1)&gt;=100000,INDEX($AC$1005:$AS$1005,1,MATCH(COLUMNS($AC$1006:AR1006),$AC$1006:$AS$1006,0))&gt;=100000), " ",IF(INDEX($AC$2:$AS$1001,MATCH(ROWS($V$2:V945),$V$2:$V$1001,0),MATCH(COLUMNS($AC$1006:AR1006),$AC$1006:$AS$1006,0)), HYPERLINK("#",""), HYPERLINK(CONCATENATE("#metadata!", ADDRESS(INDEX($X$2:$X$1001,MATCH(ROWS($V$2:V945),$V$2:$V$1001,0),0), INDEX($AC$1004:$AS$1004,1,MATCH(COLUMNS($AC$1006:AR1006),$AC$1006:$AS$1006,0)))),"Fix")))</f>
        <v xml:space="preserve"> </v>
      </c>
      <c r="R945" s="4" t="str">
        <f ca="1">IF(OR(INDEX($W$2:$W$1001,MATCH(ROWS($V$2:V945),$V$2:$V$1001,0),1)&gt;=100000,INDEX($AC$1005:$AS$1005,1,MATCH(COLUMNS($AC$1006:AS1006),$AC$1006:$AS$1006,0))&gt;=100000), " ",IF(INDEX($AC$2:$AS$1001,MATCH(ROWS($V$2:V945),$V$2:$V$1001,0),MATCH(COLUMNS($AC$1006:AS1006),$AC$1006:$AS$1006,0)), HYPERLINK("#",""), HYPERLINK(CONCATENATE("#metadata!", ADDRESS(INDEX($X$2:$X$1001,MATCH(ROWS($V$2:V945),$V$2:$V$1001,0),0), INDEX($AC$1004:$AS$1004,1,MATCH(COLUMNS($AC$1006:AS1006),$AC$1006:$AS$1006,0)))),"Fix")))</f>
        <v xml:space="preserve"> </v>
      </c>
      <c r="V945">
        <v>944</v>
      </c>
      <c r="W945">
        <v>100945</v>
      </c>
      <c r="X945">
        <v>945</v>
      </c>
      <c r="Y945" t="b">
        <f t="shared" si="14"/>
        <v>1</v>
      </c>
      <c r="Z945" t="b">
        <f>COUNTBLANK(metadata!B945:R945)=COLUMNS(metadata!B945:R945)</f>
        <v>1</v>
      </c>
      <c r="AA945" t="str">
        <v/>
      </c>
      <c r="AC945" t="b">
        <f ca="1"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AD945" t="b">
        <f>IF(metadata!C945="",FALSE,ISNUMBER(VALUE(metadata!C945)))</f>
        <v>0</v>
      </c>
      <c r="AE945" t="b">
        <f>AND(IF(metadata!D945="",FALSE,TRUE),EXACT(metadata!D945,"years"))</f>
        <v>0</v>
      </c>
      <c r="AF945" t="b">
        <f>OR(AND(IF(metadata!E945="",FALSE,TRUE),OR(EXACT(metadata!E945,"not applicable"),EXACT(metadata!E945,"missing: not collected"),EXACT(metadata!E945,"missing: not provided"),EXACT(metadata!E945,"missing: restricted access"))),AND(IF(metadata!E945="",FALSE,ISNUMBER(VALUE(metadata!E945))),metadata!E945&gt;0))</f>
        <v>0</v>
      </c>
      <c r="AG945" t="b">
        <f>AND(IF(metadata!F945="",FALSE,TRUE),EXACT(metadata!F945,"Not applicable"))</f>
        <v>0</v>
      </c>
      <c r="AH945" t="b">
        <f>AND(IF(metadata!G945="",FALSE,TRUE),EXACT(metadata!G945,"urban biome"))</f>
        <v>0</v>
      </c>
      <c r="AI945" t="b">
        <f>AND(IF(metadata!H945="",FALSE,TRUE),EXACT(metadata!H945,"human-associated habitat"))</f>
        <v>0</v>
      </c>
      <c r="AJ945" t="b">
        <f>AND(IF(metadata!I945="",FALSE,TRUE),OR(EXACT(metadata!I945,"human-associated"),EXACT(metadata!I945,"human-skin"),EXACT(metadata!I945,"human-oral"),EXACT(metadata!I945,"human-gut"),EXACT(metadata!I945,"human-vaginal")))</f>
        <v>0</v>
      </c>
      <c r="AK945" t="b">
        <f>IF(metadata!J945="",FALSE,ISNUMBER(VALUE(metadata!J945)))</f>
        <v>0</v>
      </c>
      <c r="AL945" t="b">
        <f>AND(IF(metadata!K945="",FALSE,TRUE),EXACT(metadata!K945,"cm"))</f>
        <v>0</v>
      </c>
      <c r="AM945" t="b">
        <f>AND(IF(metadata!L945="",FALSE,TRUE),EXACT(metadata!L945,"human"))</f>
        <v>0</v>
      </c>
      <c r="AN945" t="b">
        <f>AND(IF(metadata!M945="",FALSE,TRUE),EXACT(metadata!M945,"Homo sapiens"))</f>
        <v>0</v>
      </c>
      <c r="AO945" t="b">
        <f>AND(IF(metadata!N945="",FALSE,TRUE),EXACT(metadata!N945,"9606"))</f>
        <v>0</v>
      </c>
      <c r="AP945" t="b">
        <f>IF(metadata!O945="",FALSE,TRUE)</f>
        <v>0</v>
      </c>
      <c r="AQ945" t="b">
        <f>IF(metadata!P945="",FALSE,TRUE)</f>
        <v>0</v>
      </c>
      <c r="AR945" t="b">
        <f>IF(metadata!Q945="",FALSE,ISNUMBER(VALUE(metadata!Q945)))</f>
        <v>0</v>
      </c>
      <c r="AS945" t="b">
        <f>AND(IF(metadata!R945="",FALSE,TRUE),EXACT(metadata!R945,"kg"))</f>
        <v>0</v>
      </c>
    </row>
    <row r="946" spans="1:45" x14ac:dyDescent="0.2">
      <c r="A946" s="5" t="str">
        <f ca="1">IF(B946=" "," ",HYPERLINK(CONCATENATE("#metadata!",ADDRESS(INDEX($X$2:$X$1001,MATCH(ROWS($V$2:V946),$V$2:$V$1001,0),0),1)),INDEX($AA$2:$AA$1001,MATCH(ROWS($V$2:V946),$V$2:$V$1001,0),0)))</f>
        <v xml:space="preserve"> </v>
      </c>
      <c r="B946" s="4" t="str">
        <f ca="1">IF(OR(INDEX($W$2:$W$1001,MATCH(ROWS($V$2:V946),$V$2:$V$1001,0),1)&gt;=100000,INDEX($AC$1005:$AS$1005,1,MATCH(COLUMNS($AC$1006:AC1006),$AC$1006:$AS$1006,0))&gt;=100000), " ",IF(INDEX($AC$2:$AS$1001,MATCH(ROWS($V$2:V946),$V$2:$V$1001,0),MATCH(COLUMNS($AC$1006:AC1006),$AC$1006:$AS$1006,0)), HYPERLINK("#",""), HYPERLINK(CONCATENATE("#metadata!", ADDRESS(INDEX($X$2:$X$1001,MATCH(ROWS($V$2:V946),$V$2:$V$1001,0),0), INDEX($AC$1004:$AS$1004,1,MATCH(COLUMNS($AC$1006:AC1006),$AC$1006:$AS$1006,0)))),"Fix")))</f>
        <v xml:space="preserve"> </v>
      </c>
      <c r="C946" s="4" t="str">
        <f ca="1">IF(OR(INDEX($W$2:$W$1001,MATCH(ROWS($V$2:V946),$V$2:$V$1001,0),1)&gt;=100000,INDEX($AC$1005:$AS$1005,1,MATCH(COLUMNS($AC$1006:AD1006),$AC$1006:$AS$1006,0))&gt;=100000), " ",IF(INDEX($AC$2:$AS$1001,MATCH(ROWS($V$2:V946),$V$2:$V$1001,0),MATCH(COLUMNS($AC$1006:AD1006),$AC$1006:$AS$1006,0)), HYPERLINK("#",""), HYPERLINK(CONCATENATE("#metadata!", ADDRESS(INDEX($X$2:$X$1001,MATCH(ROWS($V$2:V946),$V$2:$V$1001,0),0), INDEX($AC$1004:$AS$1004,1,MATCH(COLUMNS($AC$1006:AD1006),$AC$1006:$AS$1006,0)))),"Fix")))</f>
        <v xml:space="preserve"> </v>
      </c>
      <c r="D946" s="4" t="str">
        <f ca="1">IF(OR(INDEX($W$2:$W$1001,MATCH(ROWS($V$2:V946),$V$2:$V$1001,0),1)&gt;=100000,INDEX($AC$1005:$AS$1005,1,MATCH(COLUMNS($AC$1006:AE1006),$AC$1006:$AS$1006,0))&gt;=100000), " ",IF(INDEX($AC$2:$AS$1001,MATCH(ROWS($V$2:V946),$V$2:$V$1001,0),MATCH(COLUMNS($AC$1006:AE1006),$AC$1006:$AS$1006,0)), HYPERLINK("#",""), HYPERLINK(CONCATENATE("#metadata!", ADDRESS(INDEX($X$2:$X$1001,MATCH(ROWS($V$2:V946),$V$2:$V$1001,0),0), INDEX($AC$1004:$AS$1004,1,MATCH(COLUMNS($AC$1006:AE1006),$AC$1006:$AS$1006,0)))),"Fix")))</f>
        <v xml:space="preserve"> </v>
      </c>
      <c r="E946" s="4" t="str">
        <f ca="1">IF(OR(INDEX($W$2:$W$1001,MATCH(ROWS($V$2:V946),$V$2:$V$1001,0),1)&gt;=100000,INDEX($AC$1005:$AS$1005,1,MATCH(COLUMNS($AC$1006:AF1006),$AC$1006:$AS$1006,0))&gt;=100000), " ",IF(INDEX($AC$2:$AS$1001,MATCH(ROWS($V$2:V946),$V$2:$V$1001,0),MATCH(COLUMNS($AC$1006:AF1006),$AC$1006:$AS$1006,0)), HYPERLINK("#",""), HYPERLINK(CONCATENATE("#metadata!", ADDRESS(INDEX($X$2:$X$1001,MATCH(ROWS($V$2:V946),$V$2:$V$1001,0),0), INDEX($AC$1004:$AS$1004,1,MATCH(COLUMNS($AC$1006:AF1006),$AC$1006:$AS$1006,0)))),"Fix")))</f>
        <v xml:space="preserve"> </v>
      </c>
      <c r="F946" s="4" t="str">
        <f ca="1">IF(OR(INDEX($W$2:$W$1001,MATCH(ROWS($V$2:V946),$V$2:$V$1001,0),1)&gt;=100000,INDEX($AC$1005:$AS$1005,1,MATCH(COLUMNS($AC$1006:AG1006),$AC$1006:$AS$1006,0))&gt;=100000), " ",IF(INDEX($AC$2:$AS$1001,MATCH(ROWS($V$2:V946),$V$2:$V$1001,0),MATCH(COLUMNS($AC$1006:AG1006),$AC$1006:$AS$1006,0)), HYPERLINK("#",""), HYPERLINK(CONCATENATE("#metadata!", ADDRESS(INDEX($X$2:$X$1001,MATCH(ROWS($V$2:V946),$V$2:$V$1001,0),0), INDEX($AC$1004:$AS$1004,1,MATCH(COLUMNS($AC$1006:AG1006),$AC$1006:$AS$1006,0)))),"Fix")))</f>
        <v xml:space="preserve"> </v>
      </c>
      <c r="G946" s="4" t="str">
        <f ca="1">IF(OR(INDEX($W$2:$W$1001,MATCH(ROWS($V$2:V946),$V$2:$V$1001,0),1)&gt;=100000,INDEX($AC$1005:$AS$1005,1,MATCH(COLUMNS($AC$1006:AH1006),$AC$1006:$AS$1006,0))&gt;=100000), " ",IF(INDEX($AC$2:$AS$1001,MATCH(ROWS($V$2:V946),$V$2:$V$1001,0),MATCH(COLUMNS($AC$1006:AH1006),$AC$1006:$AS$1006,0)), HYPERLINK("#",""), HYPERLINK(CONCATENATE("#metadata!", ADDRESS(INDEX($X$2:$X$1001,MATCH(ROWS($V$2:V946),$V$2:$V$1001,0),0), INDEX($AC$1004:$AS$1004,1,MATCH(COLUMNS($AC$1006:AH1006),$AC$1006:$AS$1006,0)))),"Fix")))</f>
        <v xml:space="preserve"> </v>
      </c>
      <c r="H946" s="4" t="str">
        <f ca="1">IF(OR(INDEX($W$2:$W$1001,MATCH(ROWS($V$2:V946),$V$2:$V$1001,0),1)&gt;=100000,INDEX($AC$1005:$AS$1005,1,MATCH(COLUMNS($AC$1006:AI1006),$AC$1006:$AS$1006,0))&gt;=100000), " ",IF(INDEX($AC$2:$AS$1001,MATCH(ROWS($V$2:V946),$V$2:$V$1001,0),MATCH(COLUMNS($AC$1006:AI1006),$AC$1006:$AS$1006,0)), HYPERLINK("#",""), HYPERLINK(CONCATENATE("#metadata!", ADDRESS(INDEX($X$2:$X$1001,MATCH(ROWS($V$2:V946),$V$2:$V$1001,0),0), INDEX($AC$1004:$AS$1004,1,MATCH(COLUMNS($AC$1006:AI1006),$AC$1006:$AS$1006,0)))),"Fix")))</f>
        <v xml:space="preserve"> </v>
      </c>
      <c r="I946" s="4" t="str">
        <f ca="1">IF(OR(INDEX($W$2:$W$1001,MATCH(ROWS($V$2:V946),$V$2:$V$1001,0),1)&gt;=100000,INDEX($AC$1005:$AS$1005,1,MATCH(COLUMNS($AC$1006:AJ1006),$AC$1006:$AS$1006,0))&gt;=100000), " ",IF(INDEX($AC$2:$AS$1001,MATCH(ROWS($V$2:V946),$V$2:$V$1001,0),MATCH(COLUMNS($AC$1006:AJ1006),$AC$1006:$AS$1006,0)), HYPERLINK("#",""), HYPERLINK(CONCATENATE("#metadata!", ADDRESS(INDEX($X$2:$X$1001,MATCH(ROWS($V$2:V946),$V$2:$V$1001,0),0), INDEX($AC$1004:$AS$1004,1,MATCH(COLUMNS($AC$1006:AJ1006),$AC$1006:$AS$1006,0)))),"Fix")))</f>
        <v xml:space="preserve"> </v>
      </c>
      <c r="J946" s="4" t="str">
        <f ca="1">IF(OR(INDEX($W$2:$W$1001,MATCH(ROWS($V$2:V946),$V$2:$V$1001,0),1)&gt;=100000,INDEX($AC$1005:$AS$1005,1,MATCH(COLUMNS($AC$1006:AK1006),$AC$1006:$AS$1006,0))&gt;=100000), " ",IF(INDEX($AC$2:$AS$1001,MATCH(ROWS($V$2:V946),$V$2:$V$1001,0),MATCH(COLUMNS($AC$1006:AK1006),$AC$1006:$AS$1006,0)), HYPERLINK("#",""), HYPERLINK(CONCATENATE("#metadata!", ADDRESS(INDEX($X$2:$X$1001,MATCH(ROWS($V$2:V946),$V$2:$V$1001,0),0), INDEX($AC$1004:$AS$1004,1,MATCH(COLUMNS($AC$1006:AK1006),$AC$1006:$AS$1006,0)))),"Fix")))</f>
        <v xml:space="preserve"> </v>
      </c>
      <c r="K946" s="4" t="str">
        <f ca="1">IF(OR(INDEX($W$2:$W$1001,MATCH(ROWS($V$2:V946),$V$2:$V$1001,0),1)&gt;=100000,INDEX($AC$1005:$AS$1005,1,MATCH(COLUMNS($AC$1006:AL1006),$AC$1006:$AS$1006,0))&gt;=100000), " ",IF(INDEX($AC$2:$AS$1001,MATCH(ROWS($V$2:V946),$V$2:$V$1001,0),MATCH(COLUMNS($AC$1006:AL1006),$AC$1006:$AS$1006,0)), HYPERLINK("#",""), HYPERLINK(CONCATENATE("#metadata!", ADDRESS(INDEX($X$2:$X$1001,MATCH(ROWS($V$2:V946),$V$2:$V$1001,0),0), INDEX($AC$1004:$AS$1004,1,MATCH(COLUMNS($AC$1006:AL1006),$AC$1006:$AS$1006,0)))),"Fix")))</f>
        <v xml:space="preserve"> </v>
      </c>
      <c r="L946" s="4" t="str">
        <f ca="1">IF(OR(INDEX($W$2:$W$1001,MATCH(ROWS($V$2:V946),$V$2:$V$1001,0),1)&gt;=100000,INDEX($AC$1005:$AS$1005,1,MATCH(COLUMNS($AC$1006:AM1006),$AC$1006:$AS$1006,0))&gt;=100000), " ",IF(INDEX($AC$2:$AS$1001,MATCH(ROWS($V$2:V946),$V$2:$V$1001,0),MATCH(COLUMNS($AC$1006:AM1006),$AC$1006:$AS$1006,0)), HYPERLINK("#",""), HYPERLINK(CONCATENATE("#metadata!", ADDRESS(INDEX($X$2:$X$1001,MATCH(ROWS($V$2:V946),$V$2:$V$1001,0),0), INDEX($AC$1004:$AS$1004,1,MATCH(COLUMNS($AC$1006:AM1006),$AC$1006:$AS$1006,0)))),"Fix")))</f>
        <v xml:space="preserve"> </v>
      </c>
      <c r="M946" s="4" t="str">
        <f ca="1">IF(OR(INDEX($W$2:$W$1001,MATCH(ROWS($V$2:V946),$V$2:$V$1001,0),1)&gt;=100000,INDEX($AC$1005:$AS$1005,1,MATCH(COLUMNS($AC$1006:AN1006),$AC$1006:$AS$1006,0))&gt;=100000), " ",IF(INDEX($AC$2:$AS$1001,MATCH(ROWS($V$2:V946),$V$2:$V$1001,0),MATCH(COLUMNS($AC$1006:AN1006),$AC$1006:$AS$1006,0)), HYPERLINK("#",""), HYPERLINK(CONCATENATE("#metadata!", ADDRESS(INDEX($X$2:$X$1001,MATCH(ROWS($V$2:V946),$V$2:$V$1001,0),0), INDEX($AC$1004:$AS$1004,1,MATCH(COLUMNS($AC$1006:AN1006),$AC$1006:$AS$1006,0)))),"Fix")))</f>
        <v xml:space="preserve"> </v>
      </c>
      <c r="N946" s="4" t="str">
        <f ca="1">IF(OR(INDEX($W$2:$W$1001,MATCH(ROWS($V$2:V946),$V$2:$V$1001,0),1)&gt;=100000,INDEX($AC$1005:$AS$1005,1,MATCH(COLUMNS($AC$1006:AO1006),$AC$1006:$AS$1006,0))&gt;=100000), " ",IF(INDEX($AC$2:$AS$1001,MATCH(ROWS($V$2:V946),$V$2:$V$1001,0),MATCH(COLUMNS($AC$1006:AO1006),$AC$1006:$AS$1006,0)), HYPERLINK("#",""), HYPERLINK(CONCATENATE("#metadata!", ADDRESS(INDEX($X$2:$X$1001,MATCH(ROWS($V$2:V946),$V$2:$V$1001,0),0), INDEX($AC$1004:$AS$1004,1,MATCH(COLUMNS($AC$1006:AO1006),$AC$1006:$AS$1006,0)))),"Fix")))</f>
        <v xml:space="preserve"> </v>
      </c>
      <c r="O946" s="4" t="str">
        <f ca="1">IF(OR(INDEX($W$2:$W$1001,MATCH(ROWS($V$2:V946),$V$2:$V$1001,0),1)&gt;=100000,INDEX($AC$1005:$AS$1005,1,MATCH(COLUMNS($AC$1006:AP1006),$AC$1006:$AS$1006,0))&gt;=100000), " ",IF(INDEX($AC$2:$AS$1001,MATCH(ROWS($V$2:V946),$V$2:$V$1001,0),MATCH(COLUMNS($AC$1006:AP1006),$AC$1006:$AS$1006,0)), HYPERLINK("#",""), HYPERLINK(CONCATENATE("#metadata!", ADDRESS(INDEX($X$2:$X$1001,MATCH(ROWS($V$2:V946),$V$2:$V$1001,0),0), INDEX($AC$1004:$AS$1004,1,MATCH(COLUMNS($AC$1006:AP1006),$AC$1006:$AS$1006,0)))),"Fix")))</f>
        <v xml:space="preserve"> </v>
      </c>
      <c r="P946" s="4" t="str">
        <f ca="1">IF(OR(INDEX($W$2:$W$1001,MATCH(ROWS($V$2:V946),$V$2:$V$1001,0),1)&gt;=100000,INDEX($AC$1005:$AS$1005,1,MATCH(COLUMNS($AC$1006:AQ1006),$AC$1006:$AS$1006,0))&gt;=100000), " ",IF(INDEX($AC$2:$AS$1001,MATCH(ROWS($V$2:V946),$V$2:$V$1001,0),MATCH(COLUMNS($AC$1006:AQ1006),$AC$1006:$AS$1006,0)), HYPERLINK("#",""), HYPERLINK(CONCATENATE("#metadata!", ADDRESS(INDEX($X$2:$X$1001,MATCH(ROWS($V$2:V946),$V$2:$V$1001,0),0), INDEX($AC$1004:$AS$1004,1,MATCH(COLUMNS($AC$1006:AQ1006),$AC$1006:$AS$1006,0)))),"Fix")))</f>
        <v xml:space="preserve"> </v>
      </c>
      <c r="Q946" s="4" t="str">
        <f ca="1">IF(OR(INDEX($W$2:$W$1001,MATCH(ROWS($V$2:V946),$V$2:$V$1001,0),1)&gt;=100000,INDEX($AC$1005:$AS$1005,1,MATCH(COLUMNS($AC$1006:AR1006),$AC$1006:$AS$1006,0))&gt;=100000), " ",IF(INDEX($AC$2:$AS$1001,MATCH(ROWS($V$2:V946),$V$2:$V$1001,0),MATCH(COLUMNS($AC$1006:AR1006),$AC$1006:$AS$1006,0)), HYPERLINK("#",""), HYPERLINK(CONCATENATE("#metadata!", ADDRESS(INDEX($X$2:$X$1001,MATCH(ROWS($V$2:V946),$V$2:$V$1001,0),0), INDEX($AC$1004:$AS$1004,1,MATCH(COLUMNS($AC$1006:AR1006),$AC$1006:$AS$1006,0)))),"Fix")))</f>
        <v xml:space="preserve"> </v>
      </c>
      <c r="R946" s="4" t="str">
        <f ca="1">IF(OR(INDEX($W$2:$W$1001,MATCH(ROWS($V$2:V946),$V$2:$V$1001,0),1)&gt;=100000,INDEX($AC$1005:$AS$1005,1,MATCH(COLUMNS($AC$1006:AS1006),$AC$1006:$AS$1006,0))&gt;=100000), " ",IF(INDEX($AC$2:$AS$1001,MATCH(ROWS($V$2:V946),$V$2:$V$1001,0),MATCH(COLUMNS($AC$1006:AS1006),$AC$1006:$AS$1006,0)), HYPERLINK("#",""), HYPERLINK(CONCATENATE("#metadata!", ADDRESS(INDEX($X$2:$X$1001,MATCH(ROWS($V$2:V946),$V$2:$V$1001,0),0), INDEX($AC$1004:$AS$1004,1,MATCH(COLUMNS($AC$1006:AS1006),$AC$1006:$AS$1006,0)))),"Fix")))</f>
        <v xml:space="preserve"> </v>
      </c>
      <c r="V946">
        <v>945</v>
      </c>
      <c r="W946">
        <v>100946</v>
      </c>
      <c r="X946">
        <v>946</v>
      </c>
      <c r="Y946" t="b">
        <f t="shared" si="14"/>
        <v>1</v>
      </c>
      <c r="Z946" t="b">
        <f>COUNTBLANK(metadata!B946:R946)=COLUMNS(metadata!B946:R946)</f>
        <v>1</v>
      </c>
      <c r="AA946" t="str">
        <v/>
      </c>
      <c r="AC946" t="b">
        <f ca="1"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AD946" t="b">
        <f>IF(metadata!C946="",FALSE,ISNUMBER(VALUE(metadata!C946)))</f>
        <v>0</v>
      </c>
      <c r="AE946" t="b">
        <f>AND(IF(metadata!D946="",FALSE,TRUE),EXACT(metadata!D946,"years"))</f>
        <v>0</v>
      </c>
      <c r="AF946" t="b">
        <f>OR(AND(IF(metadata!E946="",FALSE,TRUE),OR(EXACT(metadata!E946,"not applicable"),EXACT(metadata!E946,"missing: not collected"),EXACT(metadata!E946,"missing: not provided"),EXACT(metadata!E946,"missing: restricted access"))),AND(IF(metadata!E946="",FALSE,ISNUMBER(VALUE(metadata!E946))),metadata!E946&gt;0))</f>
        <v>0</v>
      </c>
      <c r="AG946" t="b">
        <f>AND(IF(metadata!F946="",FALSE,TRUE),EXACT(metadata!F946,"Not applicable"))</f>
        <v>0</v>
      </c>
      <c r="AH946" t="b">
        <f>AND(IF(metadata!G946="",FALSE,TRUE),EXACT(metadata!G946,"urban biome"))</f>
        <v>0</v>
      </c>
      <c r="AI946" t="b">
        <f>AND(IF(metadata!H946="",FALSE,TRUE),EXACT(metadata!H946,"human-associated habitat"))</f>
        <v>0</v>
      </c>
      <c r="AJ946" t="b">
        <f>AND(IF(metadata!I946="",FALSE,TRUE),OR(EXACT(metadata!I946,"human-associated"),EXACT(metadata!I946,"human-skin"),EXACT(metadata!I946,"human-oral"),EXACT(metadata!I946,"human-gut"),EXACT(metadata!I946,"human-vaginal")))</f>
        <v>0</v>
      </c>
      <c r="AK946" t="b">
        <f>IF(metadata!J946="",FALSE,ISNUMBER(VALUE(metadata!J946)))</f>
        <v>0</v>
      </c>
      <c r="AL946" t="b">
        <f>AND(IF(metadata!K946="",FALSE,TRUE),EXACT(metadata!K946,"cm"))</f>
        <v>0</v>
      </c>
      <c r="AM946" t="b">
        <f>AND(IF(metadata!L946="",FALSE,TRUE),EXACT(metadata!L946,"human"))</f>
        <v>0</v>
      </c>
      <c r="AN946" t="b">
        <f>AND(IF(metadata!M946="",FALSE,TRUE),EXACT(metadata!M946,"Homo sapiens"))</f>
        <v>0</v>
      </c>
      <c r="AO946" t="b">
        <f>AND(IF(metadata!N946="",FALSE,TRUE),EXACT(metadata!N946,"9606"))</f>
        <v>0</v>
      </c>
      <c r="AP946" t="b">
        <f>IF(metadata!O946="",FALSE,TRUE)</f>
        <v>0</v>
      </c>
      <c r="AQ946" t="b">
        <f>IF(metadata!P946="",FALSE,TRUE)</f>
        <v>0</v>
      </c>
      <c r="AR946" t="b">
        <f>IF(metadata!Q946="",FALSE,ISNUMBER(VALUE(metadata!Q946)))</f>
        <v>0</v>
      </c>
      <c r="AS946" t="b">
        <f>AND(IF(metadata!R946="",FALSE,TRUE),EXACT(metadata!R946,"kg"))</f>
        <v>0</v>
      </c>
    </row>
    <row r="947" spans="1:45" x14ac:dyDescent="0.2">
      <c r="A947" s="5" t="str">
        <f ca="1">IF(B947=" "," ",HYPERLINK(CONCATENATE("#metadata!",ADDRESS(INDEX($X$2:$X$1001,MATCH(ROWS($V$2:V947),$V$2:$V$1001,0),0),1)),INDEX($AA$2:$AA$1001,MATCH(ROWS($V$2:V947),$V$2:$V$1001,0),0)))</f>
        <v xml:space="preserve"> </v>
      </c>
      <c r="B947" s="4" t="str">
        <f ca="1">IF(OR(INDEX($W$2:$W$1001,MATCH(ROWS($V$2:V947),$V$2:$V$1001,0),1)&gt;=100000,INDEX($AC$1005:$AS$1005,1,MATCH(COLUMNS($AC$1006:AC1006),$AC$1006:$AS$1006,0))&gt;=100000), " ",IF(INDEX($AC$2:$AS$1001,MATCH(ROWS($V$2:V947),$V$2:$V$1001,0),MATCH(COLUMNS($AC$1006:AC1006),$AC$1006:$AS$1006,0)), HYPERLINK("#",""), HYPERLINK(CONCATENATE("#metadata!", ADDRESS(INDEX($X$2:$X$1001,MATCH(ROWS($V$2:V947),$V$2:$V$1001,0),0), INDEX($AC$1004:$AS$1004,1,MATCH(COLUMNS($AC$1006:AC1006),$AC$1006:$AS$1006,0)))),"Fix")))</f>
        <v xml:space="preserve"> </v>
      </c>
      <c r="C947" s="4" t="str">
        <f ca="1">IF(OR(INDEX($W$2:$W$1001,MATCH(ROWS($V$2:V947),$V$2:$V$1001,0),1)&gt;=100000,INDEX($AC$1005:$AS$1005,1,MATCH(COLUMNS($AC$1006:AD1006),$AC$1006:$AS$1006,0))&gt;=100000), " ",IF(INDEX($AC$2:$AS$1001,MATCH(ROWS($V$2:V947),$V$2:$V$1001,0),MATCH(COLUMNS($AC$1006:AD1006),$AC$1006:$AS$1006,0)), HYPERLINK("#",""), HYPERLINK(CONCATENATE("#metadata!", ADDRESS(INDEX($X$2:$X$1001,MATCH(ROWS($V$2:V947),$V$2:$V$1001,0),0), INDEX($AC$1004:$AS$1004,1,MATCH(COLUMNS($AC$1006:AD1006),$AC$1006:$AS$1006,0)))),"Fix")))</f>
        <v xml:space="preserve"> </v>
      </c>
      <c r="D947" s="4" t="str">
        <f ca="1">IF(OR(INDEX($W$2:$W$1001,MATCH(ROWS($V$2:V947),$V$2:$V$1001,0),1)&gt;=100000,INDEX($AC$1005:$AS$1005,1,MATCH(COLUMNS($AC$1006:AE1006),$AC$1006:$AS$1006,0))&gt;=100000), " ",IF(INDEX($AC$2:$AS$1001,MATCH(ROWS($V$2:V947),$V$2:$V$1001,0),MATCH(COLUMNS($AC$1006:AE1006),$AC$1006:$AS$1006,0)), HYPERLINK("#",""), HYPERLINK(CONCATENATE("#metadata!", ADDRESS(INDEX($X$2:$X$1001,MATCH(ROWS($V$2:V947),$V$2:$V$1001,0),0), INDEX($AC$1004:$AS$1004,1,MATCH(COLUMNS($AC$1006:AE1006),$AC$1006:$AS$1006,0)))),"Fix")))</f>
        <v xml:space="preserve"> </v>
      </c>
      <c r="E947" s="4" t="str">
        <f ca="1">IF(OR(INDEX($W$2:$W$1001,MATCH(ROWS($V$2:V947),$V$2:$V$1001,0),1)&gt;=100000,INDEX($AC$1005:$AS$1005,1,MATCH(COLUMNS($AC$1006:AF1006),$AC$1006:$AS$1006,0))&gt;=100000), " ",IF(INDEX($AC$2:$AS$1001,MATCH(ROWS($V$2:V947),$V$2:$V$1001,0),MATCH(COLUMNS($AC$1006:AF1006),$AC$1006:$AS$1006,0)), HYPERLINK("#",""), HYPERLINK(CONCATENATE("#metadata!", ADDRESS(INDEX($X$2:$X$1001,MATCH(ROWS($V$2:V947),$V$2:$V$1001,0),0), INDEX($AC$1004:$AS$1004,1,MATCH(COLUMNS($AC$1006:AF1006),$AC$1006:$AS$1006,0)))),"Fix")))</f>
        <v xml:space="preserve"> </v>
      </c>
      <c r="F947" s="4" t="str">
        <f ca="1">IF(OR(INDEX($W$2:$W$1001,MATCH(ROWS($V$2:V947),$V$2:$V$1001,0),1)&gt;=100000,INDEX($AC$1005:$AS$1005,1,MATCH(COLUMNS($AC$1006:AG1006),$AC$1006:$AS$1006,0))&gt;=100000), " ",IF(INDEX($AC$2:$AS$1001,MATCH(ROWS($V$2:V947),$V$2:$V$1001,0),MATCH(COLUMNS($AC$1006:AG1006),$AC$1006:$AS$1006,0)), HYPERLINK("#",""), HYPERLINK(CONCATENATE("#metadata!", ADDRESS(INDEX($X$2:$X$1001,MATCH(ROWS($V$2:V947),$V$2:$V$1001,0),0), INDEX($AC$1004:$AS$1004,1,MATCH(COLUMNS($AC$1006:AG1006),$AC$1006:$AS$1006,0)))),"Fix")))</f>
        <v xml:space="preserve"> </v>
      </c>
      <c r="G947" s="4" t="str">
        <f ca="1">IF(OR(INDEX($W$2:$W$1001,MATCH(ROWS($V$2:V947),$V$2:$V$1001,0),1)&gt;=100000,INDEX($AC$1005:$AS$1005,1,MATCH(COLUMNS($AC$1006:AH1006),$AC$1006:$AS$1006,0))&gt;=100000), " ",IF(INDEX($AC$2:$AS$1001,MATCH(ROWS($V$2:V947),$V$2:$V$1001,0),MATCH(COLUMNS($AC$1006:AH1006),$AC$1006:$AS$1006,0)), HYPERLINK("#",""), HYPERLINK(CONCATENATE("#metadata!", ADDRESS(INDEX($X$2:$X$1001,MATCH(ROWS($V$2:V947),$V$2:$V$1001,0),0), INDEX($AC$1004:$AS$1004,1,MATCH(COLUMNS($AC$1006:AH1006),$AC$1006:$AS$1006,0)))),"Fix")))</f>
        <v xml:space="preserve"> </v>
      </c>
      <c r="H947" s="4" t="str">
        <f ca="1">IF(OR(INDEX($W$2:$W$1001,MATCH(ROWS($V$2:V947),$V$2:$V$1001,0),1)&gt;=100000,INDEX($AC$1005:$AS$1005,1,MATCH(COLUMNS($AC$1006:AI1006),$AC$1006:$AS$1006,0))&gt;=100000), " ",IF(INDEX($AC$2:$AS$1001,MATCH(ROWS($V$2:V947),$V$2:$V$1001,0),MATCH(COLUMNS($AC$1006:AI1006),$AC$1006:$AS$1006,0)), HYPERLINK("#",""), HYPERLINK(CONCATENATE("#metadata!", ADDRESS(INDEX($X$2:$X$1001,MATCH(ROWS($V$2:V947),$V$2:$V$1001,0),0), INDEX($AC$1004:$AS$1004,1,MATCH(COLUMNS($AC$1006:AI1006),$AC$1006:$AS$1006,0)))),"Fix")))</f>
        <v xml:space="preserve"> </v>
      </c>
      <c r="I947" s="4" t="str">
        <f ca="1">IF(OR(INDEX($W$2:$W$1001,MATCH(ROWS($V$2:V947),$V$2:$V$1001,0),1)&gt;=100000,INDEX($AC$1005:$AS$1005,1,MATCH(COLUMNS($AC$1006:AJ1006),$AC$1006:$AS$1006,0))&gt;=100000), " ",IF(INDEX($AC$2:$AS$1001,MATCH(ROWS($V$2:V947),$V$2:$V$1001,0),MATCH(COLUMNS($AC$1006:AJ1006),$AC$1006:$AS$1006,0)), HYPERLINK("#",""), HYPERLINK(CONCATENATE("#metadata!", ADDRESS(INDEX($X$2:$X$1001,MATCH(ROWS($V$2:V947),$V$2:$V$1001,0),0), INDEX($AC$1004:$AS$1004,1,MATCH(COLUMNS($AC$1006:AJ1006),$AC$1006:$AS$1006,0)))),"Fix")))</f>
        <v xml:space="preserve"> </v>
      </c>
      <c r="J947" s="4" t="str">
        <f ca="1">IF(OR(INDEX($W$2:$W$1001,MATCH(ROWS($V$2:V947),$V$2:$V$1001,0),1)&gt;=100000,INDEX($AC$1005:$AS$1005,1,MATCH(COLUMNS($AC$1006:AK1006),$AC$1006:$AS$1006,0))&gt;=100000), " ",IF(INDEX($AC$2:$AS$1001,MATCH(ROWS($V$2:V947),$V$2:$V$1001,0),MATCH(COLUMNS($AC$1006:AK1006),$AC$1006:$AS$1006,0)), HYPERLINK("#",""), HYPERLINK(CONCATENATE("#metadata!", ADDRESS(INDEX($X$2:$X$1001,MATCH(ROWS($V$2:V947),$V$2:$V$1001,0),0), INDEX($AC$1004:$AS$1004,1,MATCH(COLUMNS($AC$1006:AK1006),$AC$1006:$AS$1006,0)))),"Fix")))</f>
        <v xml:space="preserve"> </v>
      </c>
      <c r="K947" s="4" t="str">
        <f ca="1">IF(OR(INDEX($W$2:$W$1001,MATCH(ROWS($V$2:V947),$V$2:$V$1001,0),1)&gt;=100000,INDEX($AC$1005:$AS$1005,1,MATCH(COLUMNS($AC$1006:AL1006),$AC$1006:$AS$1006,0))&gt;=100000), " ",IF(INDEX($AC$2:$AS$1001,MATCH(ROWS($V$2:V947),$V$2:$V$1001,0),MATCH(COLUMNS($AC$1006:AL1006),$AC$1006:$AS$1006,0)), HYPERLINK("#",""), HYPERLINK(CONCATENATE("#metadata!", ADDRESS(INDEX($X$2:$X$1001,MATCH(ROWS($V$2:V947),$V$2:$V$1001,0),0), INDEX($AC$1004:$AS$1004,1,MATCH(COLUMNS($AC$1006:AL1006),$AC$1006:$AS$1006,0)))),"Fix")))</f>
        <v xml:space="preserve"> </v>
      </c>
      <c r="L947" s="4" t="str">
        <f ca="1">IF(OR(INDEX($W$2:$W$1001,MATCH(ROWS($V$2:V947),$V$2:$V$1001,0),1)&gt;=100000,INDEX($AC$1005:$AS$1005,1,MATCH(COLUMNS($AC$1006:AM1006),$AC$1006:$AS$1006,0))&gt;=100000), " ",IF(INDEX($AC$2:$AS$1001,MATCH(ROWS($V$2:V947),$V$2:$V$1001,0),MATCH(COLUMNS($AC$1006:AM1006),$AC$1006:$AS$1006,0)), HYPERLINK("#",""), HYPERLINK(CONCATENATE("#metadata!", ADDRESS(INDEX($X$2:$X$1001,MATCH(ROWS($V$2:V947),$V$2:$V$1001,0),0), INDEX($AC$1004:$AS$1004,1,MATCH(COLUMNS($AC$1006:AM1006),$AC$1006:$AS$1006,0)))),"Fix")))</f>
        <v xml:space="preserve"> </v>
      </c>
      <c r="M947" s="4" t="str">
        <f ca="1">IF(OR(INDEX($W$2:$W$1001,MATCH(ROWS($V$2:V947),$V$2:$V$1001,0),1)&gt;=100000,INDEX($AC$1005:$AS$1005,1,MATCH(COLUMNS($AC$1006:AN1006),$AC$1006:$AS$1006,0))&gt;=100000), " ",IF(INDEX($AC$2:$AS$1001,MATCH(ROWS($V$2:V947),$V$2:$V$1001,0),MATCH(COLUMNS($AC$1006:AN1006),$AC$1006:$AS$1006,0)), HYPERLINK("#",""), HYPERLINK(CONCATENATE("#metadata!", ADDRESS(INDEX($X$2:$X$1001,MATCH(ROWS($V$2:V947),$V$2:$V$1001,0),0), INDEX($AC$1004:$AS$1004,1,MATCH(COLUMNS($AC$1006:AN1006),$AC$1006:$AS$1006,0)))),"Fix")))</f>
        <v xml:space="preserve"> </v>
      </c>
      <c r="N947" s="4" t="str">
        <f ca="1">IF(OR(INDEX($W$2:$W$1001,MATCH(ROWS($V$2:V947),$V$2:$V$1001,0),1)&gt;=100000,INDEX($AC$1005:$AS$1005,1,MATCH(COLUMNS($AC$1006:AO1006),$AC$1006:$AS$1006,0))&gt;=100000), " ",IF(INDEX($AC$2:$AS$1001,MATCH(ROWS($V$2:V947),$V$2:$V$1001,0),MATCH(COLUMNS($AC$1006:AO1006),$AC$1006:$AS$1006,0)), HYPERLINK("#",""), HYPERLINK(CONCATENATE("#metadata!", ADDRESS(INDEX($X$2:$X$1001,MATCH(ROWS($V$2:V947),$V$2:$V$1001,0),0), INDEX($AC$1004:$AS$1004,1,MATCH(COLUMNS($AC$1006:AO1006),$AC$1006:$AS$1006,0)))),"Fix")))</f>
        <v xml:space="preserve"> </v>
      </c>
      <c r="O947" s="4" t="str">
        <f ca="1">IF(OR(INDEX($W$2:$W$1001,MATCH(ROWS($V$2:V947),$V$2:$V$1001,0),1)&gt;=100000,INDEX($AC$1005:$AS$1005,1,MATCH(COLUMNS($AC$1006:AP1006),$AC$1006:$AS$1006,0))&gt;=100000), " ",IF(INDEX($AC$2:$AS$1001,MATCH(ROWS($V$2:V947),$V$2:$V$1001,0),MATCH(COLUMNS($AC$1006:AP1006),$AC$1006:$AS$1006,0)), HYPERLINK("#",""), HYPERLINK(CONCATENATE("#metadata!", ADDRESS(INDEX($X$2:$X$1001,MATCH(ROWS($V$2:V947),$V$2:$V$1001,0),0), INDEX($AC$1004:$AS$1004,1,MATCH(COLUMNS($AC$1006:AP1006),$AC$1006:$AS$1006,0)))),"Fix")))</f>
        <v xml:space="preserve"> </v>
      </c>
      <c r="P947" s="4" t="str">
        <f ca="1">IF(OR(INDEX($W$2:$W$1001,MATCH(ROWS($V$2:V947),$V$2:$V$1001,0),1)&gt;=100000,INDEX($AC$1005:$AS$1005,1,MATCH(COLUMNS($AC$1006:AQ1006),$AC$1006:$AS$1006,0))&gt;=100000), " ",IF(INDEX($AC$2:$AS$1001,MATCH(ROWS($V$2:V947),$V$2:$V$1001,0),MATCH(COLUMNS($AC$1006:AQ1006),$AC$1006:$AS$1006,0)), HYPERLINK("#",""), HYPERLINK(CONCATENATE("#metadata!", ADDRESS(INDEX($X$2:$X$1001,MATCH(ROWS($V$2:V947),$V$2:$V$1001,0),0), INDEX($AC$1004:$AS$1004,1,MATCH(COLUMNS($AC$1006:AQ1006),$AC$1006:$AS$1006,0)))),"Fix")))</f>
        <v xml:space="preserve"> </v>
      </c>
      <c r="Q947" s="4" t="str">
        <f ca="1">IF(OR(INDEX($W$2:$W$1001,MATCH(ROWS($V$2:V947),$V$2:$V$1001,0),1)&gt;=100000,INDEX($AC$1005:$AS$1005,1,MATCH(COLUMNS($AC$1006:AR1006),$AC$1006:$AS$1006,0))&gt;=100000), " ",IF(INDEX($AC$2:$AS$1001,MATCH(ROWS($V$2:V947),$V$2:$V$1001,0),MATCH(COLUMNS($AC$1006:AR1006),$AC$1006:$AS$1006,0)), HYPERLINK("#",""), HYPERLINK(CONCATENATE("#metadata!", ADDRESS(INDEX($X$2:$X$1001,MATCH(ROWS($V$2:V947),$V$2:$V$1001,0),0), INDEX($AC$1004:$AS$1004,1,MATCH(COLUMNS($AC$1006:AR1006),$AC$1006:$AS$1006,0)))),"Fix")))</f>
        <v xml:space="preserve"> </v>
      </c>
      <c r="R947" s="4" t="str">
        <f ca="1">IF(OR(INDEX($W$2:$W$1001,MATCH(ROWS($V$2:V947),$V$2:$V$1001,0),1)&gt;=100000,INDEX($AC$1005:$AS$1005,1,MATCH(COLUMNS($AC$1006:AS1006),$AC$1006:$AS$1006,0))&gt;=100000), " ",IF(INDEX($AC$2:$AS$1001,MATCH(ROWS($V$2:V947),$V$2:$V$1001,0),MATCH(COLUMNS($AC$1006:AS1006),$AC$1006:$AS$1006,0)), HYPERLINK("#",""), HYPERLINK(CONCATENATE("#metadata!", ADDRESS(INDEX($X$2:$X$1001,MATCH(ROWS($V$2:V947),$V$2:$V$1001,0),0), INDEX($AC$1004:$AS$1004,1,MATCH(COLUMNS($AC$1006:AS1006),$AC$1006:$AS$1006,0)))),"Fix")))</f>
        <v xml:space="preserve"> </v>
      </c>
      <c r="V947">
        <v>946</v>
      </c>
      <c r="W947">
        <v>100947</v>
      </c>
      <c r="X947">
        <v>947</v>
      </c>
      <c r="Y947" t="b">
        <f t="shared" si="14"/>
        <v>1</v>
      </c>
      <c r="Z947" t="b">
        <f>COUNTBLANK(metadata!B947:R947)=COLUMNS(metadata!B947:R947)</f>
        <v>1</v>
      </c>
      <c r="AA947" t="str">
        <v/>
      </c>
      <c r="AC947" t="b">
        <f ca="1"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AD947" t="b">
        <f>IF(metadata!C947="",FALSE,ISNUMBER(VALUE(metadata!C947)))</f>
        <v>0</v>
      </c>
      <c r="AE947" t="b">
        <f>AND(IF(metadata!D947="",FALSE,TRUE),EXACT(metadata!D947,"years"))</f>
        <v>0</v>
      </c>
      <c r="AF947" t="b">
        <f>OR(AND(IF(metadata!E947="",FALSE,TRUE),OR(EXACT(metadata!E947,"not applicable"),EXACT(metadata!E947,"missing: not collected"),EXACT(metadata!E947,"missing: not provided"),EXACT(metadata!E947,"missing: restricted access"))),AND(IF(metadata!E947="",FALSE,ISNUMBER(VALUE(metadata!E947))),metadata!E947&gt;0))</f>
        <v>0</v>
      </c>
      <c r="AG947" t="b">
        <f>AND(IF(metadata!F947="",FALSE,TRUE),EXACT(metadata!F947,"Not applicable"))</f>
        <v>0</v>
      </c>
      <c r="AH947" t="b">
        <f>AND(IF(metadata!G947="",FALSE,TRUE),EXACT(metadata!G947,"urban biome"))</f>
        <v>0</v>
      </c>
      <c r="AI947" t="b">
        <f>AND(IF(metadata!H947="",FALSE,TRUE),EXACT(metadata!H947,"human-associated habitat"))</f>
        <v>0</v>
      </c>
      <c r="AJ947" t="b">
        <f>AND(IF(metadata!I947="",FALSE,TRUE),OR(EXACT(metadata!I947,"human-associated"),EXACT(metadata!I947,"human-skin"),EXACT(metadata!I947,"human-oral"),EXACT(metadata!I947,"human-gut"),EXACT(metadata!I947,"human-vaginal")))</f>
        <v>0</v>
      </c>
      <c r="AK947" t="b">
        <f>IF(metadata!J947="",FALSE,ISNUMBER(VALUE(metadata!J947)))</f>
        <v>0</v>
      </c>
      <c r="AL947" t="b">
        <f>AND(IF(metadata!K947="",FALSE,TRUE),EXACT(metadata!K947,"cm"))</f>
        <v>0</v>
      </c>
      <c r="AM947" t="b">
        <f>AND(IF(metadata!L947="",FALSE,TRUE),EXACT(metadata!L947,"human"))</f>
        <v>0</v>
      </c>
      <c r="AN947" t="b">
        <f>AND(IF(metadata!M947="",FALSE,TRUE),EXACT(metadata!M947,"Homo sapiens"))</f>
        <v>0</v>
      </c>
      <c r="AO947" t="b">
        <f>AND(IF(metadata!N947="",FALSE,TRUE),EXACT(metadata!N947,"9606"))</f>
        <v>0</v>
      </c>
      <c r="AP947" t="b">
        <f>IF(metadata!O947="",FALSE,TRUE)</f>
        <v>0</v>
      </c>
      <c r="AQ947" t="b">
        <f>IF(metadata!P947="",FALSE,TRUE)</f>
        <v>0</v>
      </c>
      <c r="AR947" t="b">
        <f>IF(metadata!Q947="",FALSE,ISNUMBER(VALUE(metadata!Q947)))</f>
        <v>0</v>
      </c>
      <c r="AS947" t="b">
        <f>AND(IF(metadata!R947="",FALSE,TRUE),EXACT(metadata!R947,"kg"))</f>
        <v>0</v>
      </c>
    </row>
    <row r="948" spans="1:45" x14ac:dyDescent="0.2">
      <c r="A948" s="5" t="str">
        <f ca="1">IF(B948=" "," ",HYPERLINK(CONCATENATE("#metadata!",ADDRESS(INDEX($X$2:$X$1001,MATCH(ROWS($V$2:V948),$V$2:$V$1001,0),0),1)),INDEX($AA$2:$AA$1001,MATCH(ROWS($V$2:V948),$V$2:$V$1001,0),0)))</f>
        <v xml:space="preserve"> </v>
      </c>
      <c r="B948" s="4" t="str">
        <f ca="1">IF(OR(INDEX($W$2:$W$1001,MATCH(ROWS($V$2:V948),$V$2:$V$1001,0),1)&gt;=100000,INDEX($AC$1005:$AS$1005,1,MATCH(COLUMNS($AC$1006:AC1006),$AC$1006:$AS$1006,0))&gt;=100000), " ",IF(INDEX($AC$2:$AS$1001,MATCH(ROWS($V$2:V948),$V$2:$V$1001,0),MATCH(COLUMNS($AC$1006:AC1006),$AC$1006:$AS$1006,0)), HYPERLINK("#",""), HYPERLINK(CONCATENATE("#metadata!", ADDRESS(INDEX($X$2:$X$1001,MATCH(ROWS($V$2:V948),$V$2:$V$1001,0),0), INDEX($AC$1004:$AS$1004,1,MATCH(COLUMNS($AC$1006:AC1006),$AC$1006:$AS$1006,0)))),"Fix")))</f>
        <v xml:space="preserve"> </v>
      </c>
      <c r="C948" s="4" t="str">
        <f ca="1">IF(OR(INDEX($W$2:$W$1001,MATCH(ROWS($V$2:V948),$V$2:$V$1001,0),1)&gt;=100000,INDEX($AC$1005:$AS$1005,1,MATCH(COLUMNS($AC$1006:AD1006),$AC$1006:$AS$1006,0))&gt;=100000), " ",IF(INDEX($AC$2:$AS$1001,MATCH(ROWS($V$2:V948),$V$2:$V$1001,0),MATCH(COLUMNS($AC$1006:AD1006),$AC$1006:$AS$1006,0)), HYPERLINK("#",""), HYPERLINK(CONCATENATE("#metadata!", ADDRESS(INDEX($X$2:$X$1001,MATCH(ROWS($V$2:V948),$V$2:$V$1001,0),0), INDEX($AC$1004:$AS$1004,1,MATCH(COLUMNS($AC$1006:AD1006),$AC$1006:$AS$1006,0)))),"Fix")))</f>
        <v xml:space="preserve"> </v>
      </c>
      <c r="D948" s="4" t="str">
        <f ca="1">IF(OR(INDEX($W$2:$W$1001,MATCH(ROWS($V$2:V948),$V$2:$V$1001,0),1)&gt;=100000,INDEX($AC$1005:$AS$1005,1,MATCH(COLUMNS($AC$1006:AE1006),$AC$1006:$AS$1006,0))&gt;=100000), " ",IF(INDEX($AC$2:$AS$1001,MATCH(ROWS($V$2:V948),$V$2:$V$1001,0),MATCH(COLUMNS($AC$1006:AE1006),$AC$1006:$AS$1006,0)), HYPERLINK("#",""), HYPERLINK(CONCATENATE("#metadata!", ADDRESS(INDEX($X$2:$X$1001,MATCH(ROWS($V$2:V948),$V$2:$V$1001,0),0), INDEX($AC$1004:$AS$1004,1,MATCH(COLUMNS($AC$1006:AE1006),$AC$1006:$AS$1006,0)))),"Fix")))</f>
        <v xml:space="preserve"> </v>
      </c>
      <c r="E948" s="4" t="str">
        <f ca="1">IF(OR(INDEX($W$2:$W$1001,MATCH(ROWS($V$2:V948),$V$2:$V$1001,0),1)&gt;=100000,INDEX($AC$1005:$AS$1005,1,MATCH(COLUMNS($AC$1006:AF1006),$AC$1006:$AS$1006,0))&gt;=100000), " ",IF(INDEX($AC$2:$AS$1001,MATCH(ROWS($V$2:V948),$V$2:$V$1001,0),MATCH(COLUMNS($AC$1006:AF1006),$AC$1006:$AS$1006,0)), HYPERLINK("#",""), HYPERLINK(CONCATENATE("#metadata!", ADDRESS(INDEX($X$2:$X$1001,MATCH(ROWS($V$2:V948),$V$2:$V$1001,0),0), INDEX($AC$1004:$AS$1004,1,MATCH(COLUMNS($AC$1006:AF1006),$AC$1006:$AS$1006,0)))),"Fix")))</f>
        <v xml:space="preserve"> </v>
      </c>
      <c r="F948" s="4" t="str">
        <f ca="1">IF(OR(INDEX($W$2:$W$1001,MATCH(ROWS($V$2:V948),$V$2:$V$1001,0),1)&gt;=100000,INDEX($AC$1005:$AS$1005,1,MATCH(COLUMNS($AC$1006:AG1006),$AC$1006:$AS$1006,0))&gt;=100000), " ",IF(INDEX($AC$2:$AS$1001,MATCH(ROWS($V$2:V948),$V$2:$V$1001,0),MATCH(COLUMNS($AC$1006:AG1006),$AC$1006:$AS$1006,0)), HYPERLINK("#",""), HYPERLINK(CONCATENATE("#metadata!", ADDRESS(INDEX($X$2:$X$1001,MATCH(ROWS($V$2:V948),$V$2:$V$1001,0),0), INDEX($AC$1004:$AS$1004,1,MATCH(COLUMNS($AC$1006:AG1006),$AC$1006:$AS$1006,0)))),"Fix")))</f>
        <v xml:space="preserve"> </v>
      </c>
      <c r="G948" s="4" t="str">
        <f ca="1">IF(OR(INDEX($W$2:$W$1001,MATCH(ROWS($V$2:V948),$V$2:$V$1001,0),1)&gt;=100000,INDEX($AC$1005:$AS$1005,1,MATCH(COLUMNS($AC$1006:AH1006),$AC$1006:$AS$1006,0))&gt;=100000), " ",IF(INDEX($AC$2:$AS$1001,MATCH(ROWS($V$2:V948),$V$2:$V$1001,0),MATCH(COLUMNS($AC$1006:AH1006),$AC$1006:$AS$1006,0)), HYPERLINK("#",""), HYPERLINK(CONCATENATE("#metadata!", ADDRESS(INDEX($X$2:$X$1001,MATCH(ROWS($V$2:V948),$V$2:$V$1001,0),0), INDEX($AC$1004:$AS$1004,1,MATCH(COLUMNS($AC$1006:AH1006),$AC$1006:$AS$1006,0)))),"Fix")))</f>
        <v xml:space="preserve"> </v>
      </c>
      <c r="H948" s="4" t="str">
        <f ca="1">IF(OR(INDEX($W$2:$W$1001,MATCH(ROWS($V$2:V948),$V$2:$V$1001,0),1)&gt;=100000,INDEX($AC$1005:$AS$1005,1,MATCH(COLUMNS($AC$1006:AI1006),$AC$1006:$AS$1006,0))&gt;=100000), " ",IF(INDEX($AC$2:$AS$1001,MATCH(ROWS($V$2:V948),$V$2:$V$1001,0),MATCH(COLUMNS($AC$1006:AI1006),$AC$1006:$AS$1006,0)), HYPERLINK("#",""), HYPERLINK(CONCATENATE("#metadata!", ADDRESS(INDEX($X$2:$X$1001,MATCH(ROWS($V$2:V948),$V$2:$V$1001,0),0), INDEX($AC$1004:$AS$1004,1,MATCH(COLUMNS($AC$1006:AI1006),$AC$1006:$AS$1006,0)))),"Fix")))</f>
        <v xml:space="preserve"> </v>
      </c>
      <c r="I948" s="4" t="str">
        <f ca="1">IF(OR(INDEX($W$2:$W$1001,MATCH(ROWS($V$2:V948),$V$2:$V$1001,0),1)&gt;=100000,INDEX($AC$1005:$AS$1005,1,MATCH(COLUMNS($AC$1006:AJ1006),$AC$1006:$AS$1006,0))&gt;=100000), " ",IF(INDEX($AC$2:$AS$1001,MATCH(ROWS($V$2:V948),$V$2:$V$1001,0),MATCH(COLUMNS($AC$1006:AJ1006),$AC$1006:$AS$1006,0)), HYPERLINK("#",""), HYPERLINK(CONCATENATE("#metadata!", ADDRESS(INDEX($X$2:$X$1001,MATCH(ROWS($V$2:V948),$V$2:$V$1001,0),0), INDEX($AC$1004:$AS$1004,1,MATCH(COLUMNS($AC$1006:AJ1006),$AC$1006:$AS$1006,0)))),"Fix")))</f>
        <v xml:space="preserve"> </v>
      </c>
      <c r="J948" s="4" t="str">
        <f ca="1">IF(OR(INDEX($W$2:$W$1001,MATCH(ROWS($V$2:V948),$V$2:$V$1001,0),1)&gt;=100000,INDEX($AC$1005:$AS$1005,1,MATCH(COLUMNS($AC$1006:AK1006),$AC$1006:$AS$1006,0))&gt;=100000), " ",IF(INDEX($AC$2:$AS$1001,MATCH(ROWS($V$2:V948),$V$2:$V$1001,0),MATCH(COLUMNS($AC$1006:AK1006),$AC$1006:$AS$1006,0)), HYPERLINK("#",""), HYPERLINK(CONCATENATE("#metadata!", ADDRESS(INDEX($X$2:$X$1001,MATCH(ROWS($V$2:V948),$V$2:$V$1001,0),0), INDEX($AC$1004:$AS$1004,1,MATCH(COLUMNS($AC$1006:AK1006),$AC$1006:$AS$1006,0)))),"Fix")))</f>
        <v xml:space="preserve"> </v>
      </c>
      <c r="K948" s="4" t="str">
        <f ca="1">IF(OR(INDEX($W$2:$W$1001,MATCH(ROWS($V$2:V948),$V$2:$V$1001,0),1)&gt;=100000,INDEX($AC$1005:$AS$1005,1,MATCH(COLUMNS($AC$1006:AL1006),$AC$1006:$AS$1006,0))&gt;=100000), " ",IF(INDEX($AC$2:$AS$1001,MATCH(ROWS($V$2:V948),$V$2:$V$1001,0),MATCH(COLUMNS($AC$1006:AL1006),$AC$1006:$AS$1006,0)), HYPERLINK("#",""), HYPERLINK(CONCATENATE("#metadata!", ADDRESS(INDEX($X$2:$X$1001,MATCH(ROWS($V$2:V948),$V$2:$V$1001,0),0), INDEX($AC$1004:$AS$1004,1,MATCH(COLUMNS($AC$1006:AL1006),$AC$1006:$AS$1006,0)))),"Fix")))</f>
        <v xml:space="preserve"> </v>
      </c>
      <c r="L948" s="4" t="str">
        <f ca="1">IF(OR(INDEX($W$2:$W$1001,MATCH(ROWS($V$2:V948),$V$2:$V$1001,0),1)&gt;=100000,INDEX($AC$1005:$AS$1005,1,MATCH(COLUMNS($AC$1006:AM1006),$AC$1006:$AS$1006,0))&gt;=100000), " ",IF(INDEX($AC$2:$AS$1001,MATCH(ROWS($V$2:V948),$V$2:$V$1001,0),MATCH(COLUMNS($AC$1006:AM1006),$AC$1006:$AS$1006,0)), HYPERLINK("#",""), HYPERLINK(CONCATENATE("#metadata!", ADDRESS(INDEX($X$2:$X$1001,MATCH(ROWS($V$2:V948),$V$2:$V$1001,0),0), INDEX($AC$1004:$AS$1004,1,MATCH(COLUMNS($AC$1006:AM1006),$AC$1006:$AS$1006,0)))),"Fix")))</f>
        <v xml:space="preserve"> </v>
      </c>
      <c r="M948" s="4" t="str">
        <f ca="1">IF(OR(INDEX($W$2:$W$1001,MATCH(ROWS($V$2:V948),$V$2:$V$1001,0),1)&gt;=100000,INDEX($AC$1005:$AS$1005,1,MATCH(COLUMNS($AC$1006:AN1006),$AC$1006:$AS$1006,0))&gt;=100000), " ",IF(INDEX($AC$2:$AS$1001,MATCH(ROWS($V$2:V948),$V$2:$V$1001,0),MATCH(COLUMNS($AC$1006:AN1006),$AC$1006:$AS$1006,0)), HYPERLINK("#",""), HYPERLINK(CONCATENATE("#metadata!", ADDRESS(INDEX($X$2:$X$1001,MATCH(ROWS($V$2:V948),$V$2:$V$1001,0),0), INDEX($AC$1004:$AS$1004,1,MATCH(COLUMNS($AC$1006:AN1006),$AC$1006:$AS$1006,0)))),"Fix")))</f>
        <v xml:space="preserve"> </v>
      </c>
      <c r="N948" s="4" t="str">
        <f ca="1">IF(OR(INDEX($W$2:$W$1001,MATCH(ROWS($V$2:V948),$V$2:$V$1001,0),1)&gt;=100000,INDEX($AC$1005:$AS$1005,1,MATCH(COLUMNS($AC$1006:AO1006),$AC$1006:$AS$1006,0))&gt;=100000), " ",IF(INDEX($AC$2:$AS$1001,MATCH(ROWS($V$2:V948),$V$2:$V$1001,0),MATCH(COLUMNS($AC$1006:AO1006),$AC$1006:$AS$1006,0)), HYPERLINK("#",""), HYPERLINK(CONCATENATE("#metadata!", ADDRESS(INDEX($X$2:$X$1001,MATCH(ROWS($V$2:V948),$V$2:$V$1001,0),0), INDEX($AC$1004:$AS$1004,1,MATCH(COLUMNS($AC$1006:AO1006),$AC$1006:$AS$1006,0)))),"Fix")))</f>
        <v xml:space="preserve"> </v>
      </c>
      <c r="O948" s="4" t="str">
        <f ca="1">IF(OR(INDEX($W$2:$W$1001,MATCH(ROWS($V$2:V948),$V$2:$V$1001,0),1)&gt;=100000,INDEX($AC$1005:$AS$1005,1,MATCH(COLUMNS($AC$1006:AP1006),$AC$1006:$AS$1006,0))&gt;=100000), " ",IF(INDEX($AC$2:$AS$1001,MATCH(ROWS($V$2:V948),$V$2:$V$1001,0),MATCH(COLUMNS($AC$1006:AP1006),$AC$1006:$AS$1006,0)), HYPERLINK("#",""), HYPERLINK(CONCATENATE("#metadata!", ADDRESS(INDEX($X$2:$X$1001,MATCH(ROWS($V$2:V948),$V$2:$V$1001,0),0), INDEX($AC$1004:$AS$1004,1,MATCH(COLUMNS($AC$1006:AP1006),$AC$1006:$AS$1006,0)))),"Fix")))</f>
        <v xml:space="preserve"> </v>
      </c>
      <c r="P948" s="4" t="str">
        <f ca="1">IF(OR(INDEX($W$2:$W$1001,MATCH(ROWS($V$2:V948),$V$2:$V$1001,0),1)&gt;=100000,INDEX($AC$1005:$AS$1005,1,MATCH(COLUMNS($AC$1006:AQ1006),$AC$1006:$AS$1006,0))&gt;=100000), " ",IF(INDEX($AC$2:$AS$1001,MATCH(ROWS($V$2:V948),$V$2:$V$1001,0),MATCH(COLUMNS($AC$1006:AQ1006),$AC$1006:$AS$1006,0)), HYPERLINK("#",""), HYPERLINK(CONCATENATE("#metadata!", ADDRESS(INDEX($X$2:$X$1001,MATCH(ROWS($V$2:V948),$V$2:$V$1001,0),0), INDEX($AC$1004:$AS$1004,1,MATCH(COLUMNS($AC$1006:AQ1006),$AC$1006:$AS$1006,0)))),"Fix")))</f>
        <v xml:space="preserve"> </v>
      </c>
      <c r="Q948" s="4" t="str">
        <f ca="1">IF(OR(INDEX($W$2:$W$1001,MATCH(ROWS($V$2:V948),$V$2:$V$1001,0),1)&gt;=100000,INDEX($AC$1005:$AS$1005,1,MATCH(COLUMNS($AC$1006:AR1006),$AC$1006:$AS$1006,0))&gt;=100000), " ",IF(INDEX($AC$2:$AS$1001,MATCH(ROWS($V$2:V948),$V$2:$V$1001,0),MATCH(COLUMNS($AC$1006:AR1006),$AC$1006:$AS$1006,0)), HYPERLINK("#",""), HYPERLINK(CONCATENATE("#metadata!", ADDRESS(INDEX($X$2:$X$1001,MATCH(ROWS($V$2:V948),$V$2:$V$1001,0),0), INDEX($AC$1004:$AS$1004,1,MATCH(COLUMNS($AC$1006:AR1006),$AC$1006:$AS$1006,0)))),"Fix")))</f>
        <v xml:space="preserve"> </v>
      </c>
      <c r="R948" s="4" t="str">
        <f ca="1">IF(OR(INDEX($W$2:$W$1001,MATCH(ROWS($V$2:V948),$V$2:$V$1001,0),1)&gt;=100000,INDEX($AC$1005:$AS$1005,1,MATCH(COLUMNS($AC$1006:AS1006),$AC$1006:$AS$1006,0))&gt;=100000), " ",IF(INDEX($AC$2:$AS$1001,MATCH(ROWS($V$2:V948),$V$2:$V$1001,0),MATCH(COLUMNS($AC$1006:AS1006),$AC$1006:$AS$1006,0)), HYPERLINK("#",""), HYPERLINK(CONCATENATE("#metadata!", ADDRESS(INDEX($X$2:$X$1001,MATCH(ROWS($V$2:V948),$V$2:$V$1001,0),0), INDEX($AC$1004:$AS$1004,1,MATCH(COLUMNS($AC$1006:AS1006),$AC$1006:$AS$1006,0)))),"Fix")))</f>
        <v xml:space="preserve"> </v>
      </c>
      <c r="V948">
        <v>947</v>
      </c>
      <c r="W948">
        <v>100948</v>
      </c>
      <c r="X948">
        <v>948</v>
      </c>
      <c r="Y948" t="b">
        <f t="shared" si="14"/>
        <v>1</v>
      </c>
      <c r="Z948" t="b">
        <f>COUNTBLANK(metadata!B948:R948)=COLUMNS(metadata!B948:R948)</f>
        <v>1</v>
      </c>
      <c r="AA948" t="str">
        <v/>
      </c>
      <c r="AC948" t="b">
        <f ca="1"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AD948" t="b">
        <f>IF(metadata!C948="",FALSE,ISNUMBER(VALUE(metadata!C948)))</f>
        <v>0</v>
      </c>
      <c r="AE948" t="b">
        <f>AND(IF(metadata!D948="",FALSE,TRUE),EXACT(metadata!D948,"years"))</f>
        <v>0</v>
      </c>
      <c r="AF948" t="b">
        <f>OR(AND(IF(metadata!E948="",FALSE,TRUE),OR(EXACT(metadata!E948,"not applicable"),EXACT(metadata!E948,"missing: not collected"),EXACT(metadata!E948,"missing: not provided"),EXACT(metadata!E948,"missing: restricted access"))),AND(IF(metadata!E948="",FALSE,ISNUMBER(VALUE(metadata!E948))),metadata!E948&gt;0))</f>
        <v>0</v>
      </c>
      <c r="AG948" t="b">
        <f>AND(IF(metadata!F948="",FALSE,TRUE),EXACT(metadata!F948,"Not applicable"))</f>
        <v>0</v>
      </c>
      <c r="AH948" t="b">
        <f>AND(IF(metadata!G948="",FALSE,TRUE),EXACT(metadata!G948,"urban biome"))</f>
        <v>0</v>
      </c>
      <c r="AI948" t="b">
        <f>AND(IF(metadata!H948="",FALSE,TRUE),EXACT(metadata!H948,"human-associated habitat"))</f>
        <v>0</v>
      </c>
      <c r="AJ948" t="b">
        <f>AND(IF(metadata!I948="",FALSE,TRUE),OR(EXACT(metadata!I948,"human-associated"),EXACT(metadata!I948,"human-skin"),EXACT(metadata!I948,"human-oral"),EXACT(metadata!I948,"human-gut"),EXACT(metadata!I948,"human-vaginal")))</f>
        <v>0</v>
      </c>
      <c r="AK948" t="b">
        <f>IF(metadata!J948="",FALSE,ISNUMBER(VALUE(metadata!J948)))</f>
        <v>0</v>
      </c>
      <c r="AL948" t="b">
        <f>AND(IF(metadata!K948="",FALSE,TRUE),EXACT(metadata!K948,"cm"))</f>
        <v>0</v>
      </c>
      <c r="AM948" t="b">
        <f>AND(IF(metadata!L948="",FALSE,TRUE),EXACT(metadata!L948,"human"))</f>
        <v>0</v>
      </c>
      <c r="AN948" t="b">
        <f>AND(IF(metadata!M948="",FALSE,TRUE),EXACT(metadata!M948,"Homo sapiens"))</f>
        <v>0</v>
      </c>
      <c r="AO948" t="b">
        <f>AND(IF(metadata!N948="",FALSE,TRUE),EXACT(metadata!N948,"9606"))</f>
        <v>0</v>
      </c>
      <c r="AP948" t="b">
        <f>IF(metadata!O948="",FALSE,TRUE)</f>
        <v>0</v>
      </c>
      <c r="AQ948" t="b">
        <f>IF(metadata!P948="",FALSE,TRUE)</f>
        <v>0</v>
      </c>
      <c r="AR948" t="b">
        <f>IF(metadata!Q948="",FALSE,ISNUMBER(VALUE(metadata!Q948)))</f>
        <v>0</v>
      </c>
      <c r="AS948" t="b">
        <f>AND(IF(metadata!R948="",FALSE,TRUE),EXACT(metadata!R948,"kg"))</f>
        <v>0</v>
      </c>
    </row>
    <row r="949" spans="1:45" x14ac:dyDescent="0.2">
      <c r="A949" s="5" t="str">
        <f ca="1">IF(B949=" "," ",HYPERLINK(CONCATENATE("#metadata!",ADDRESS(INDEX($X$2:$X$1001,MATCH(ROWS($V$2:V949),$V$2:$V$1001,0),0),1)),INDEX($AA$2:$AA$1001,MATCH(ROWS($V$2:V949),$V$2:$V$1001,0),0)))</f>
        <v xml:space="preserve"> </v>
      </c>
      <c r="B949" s="4" t="str">
        <f ca="1">IF(OR(INDEX($W$2:$W$1001,MATCH(ROWS($V$2:V949),$V$2:$V$1001,0),1)&gt;=100000,INDEX($AC$1005:$AS$1005,1,MATCH(COLUMNS($AC$1006:AC1006),$AC$1006:$AS$1006,0))&gt;=100000), " ",IF(INDEX($AC$2:$AS$1001,MATCH(ROWS($V$2:V949),$V$2:$V$1001,0),MATCH(COLUMNS($AC$1006:AC1006),$AC$1006:$AS$1006,0)), HYPERLINK("#",""), HYPERLINK(CONCATENATE("#metadata!", ADDRESS(INDEX($X$2:$X$1001,MATCH(ROWS($V$2:V949),$V$2:$V$1001,0),0), INDEX($AC$1004:$AS$1004,1,MATCH(COLUMNS($AC$1006:AC1006),$AC$1006:$AS$1006,0)))),"Fix")))</f>
        <v xml:space="preserve"> </v>
      </c>
      <c r="C949" s="4" t="str">
        <f ca="1">IF(OR(INDEX($W$2:$W$1001,MATCH(ROWS($V$2:V949),$V$2:$V$1001,0),1)&gt;=100000,INDEX($AC$1005:$AS$1005,1,MATCH(COLUMNS($AC$1006:AD1006),$AC$1006:$AS$1006,0))&gt;=100000), " ",IF(INDEX($AC$2:$AS$1001,MATCH(ROWS($V$2:V949),$V$2:$V$1001,0),MATCH(COLUMNS($AC$1006:AD1006),$AC$1006:$AS$1006,0)), HYPERLINK("#",""), HYPERLINK(CONCATENATE("#metadata!", ADDRESS(INDEX($X$2:$X$1001,MATCH(ROWS($V$2:V949),$V$2:$V$1001,0),0), INDEX($AC$1004:$AS$1004,1,MATCH(COLUMNS($AC$1006:AD1006),$AC$1006:$AS$1006,0)))),"Fix")))</f>
        <v xml:space="preserve"> </v>
      </c>
      <c r="D949" s="4" t="str">
        <f ca="1">IF(OR(INDEX($W$2:$W$1001,MATCH(ROWS($V$2:V949),$V$2:$V$1001,0),1)&gt;=100000,INDEX($AC$1005:$AS$1005,1,MATCH(COLUMNS($AC$1006:AE1006),$AC$1006:$AS$1006,0))&gt;=100000), " ",IF(INDEX($AC$2:$AS$1001,MATCH(ROWS($V$2:V949),$V$2:$V$1001,0),MATCH(COLUMNS($AC$1006:AE1006),$AC$1006:$AS$1006,0)), HYPERLINK("#",""), HYPERLINK(CONCATENATE("#metadata!", ADDRESS(INDEX($X$2:$X$1001,MATCH(ROWS($V$2:V949),$V$2:$V$1001,0),0), INDEX($AC$1004:$AS$1004,1,MATCH(COLUMNS($AC$1006:AE1006),$AC$1006:$AS$1006,0)))),"Fix")))</f>
        <v xml:space="preserve"> </v>
      </c>
      <c r="E949" s="4" t="str">
        <f ca="1">IF(OR(INDEX($W$2:$W$1001,MATCH(ROWS($V$2:V949),$V$2:$V$1001,0),1)&gt;=100000,INDEX($AC$1005:$AS$1005,1,MATCH(COLUMNS($AC$1006:AF1006),$AC$1006:$AS$1006,0))&gt;=100000), " ",IF(INDEX($AC$2:$AS$1001,MATCH(ROWS($V$2:V949),$V$2:$V$1001,0),MATCH(COLUMNS($AC$1006:AF1006),$AC$1006:$AS$1006,0)), HYPERLINK("#",""), HYPERLINK(CONCATENATE("#metadata!", ADDRESS(INDEX($X$2:$X$1001,MATCH(ROWS($V$2:V949),$V$2:$V$1001,0),0), INDEX($AC$1004:$AS$1004,1,MATCH(COLUMNS($AC$1006:AF1006),$AC$1006:$AS$1006,0)))),"Fix")))</f>
        <v xml:space="preserve"> </v>
      </c>
      <c r="F949" s="4" t="str">
        <f ca="1">IF(OR(INDEX($W$2:$W$1001,MATCH(ROWS($V$2:V949),$V$2:$V$1001,0),1)&gt;=100000,INDEX($AC$1005:$AS$1005,1,MATCH(COLUMNS($AC$1006:AG1006),$AC$1006:$AS$1006,0))&gt;=100000), " ",IF(INDEX($AC$2:$AS$1001,MATCH(ROWS($V$2:V949),$V$2:$V$1001,0),MATCH(COLUMNS($AC$1006:AG1006),$AC$1006:$AS$1006,0)), HYPERLINK("#",""), HYPERLINK(CONCATENATE("#metadata!", ADDRESS(INDEX($X$2:$X$1001,MATCH(ROWS($V$2:V949),$V$2:$V$1001,0),0), INDEX($AC$1004:$AS$1004,1,MATCH(COLUMNS($AC$1006:AG1006),$AC$1006:$AS$1006,0)))),"Fix")))</f>
        <v xml:space="preserve"> </v>
      </c>
      <c r="G949" s="4" t="str">
        <f ca="1">IF(OR(INDEX($W$2:$W$1001,MATCH(ROWS($V$2:V949),$V$2:$V$1001,0),1)&gt;=100000,INDEX($AC$1005:$AS$1005,1,MATCH(COLUMNS($AC$1006:AH1006),$AC$1006:$AS$1006,0))&gt;=100000), " ",IF(INDEX($AC$2:$AS$1001,MATCH(ROWS($V$2:V949),$V$2:$V$1001,0),MATCH(COLUMNS($AC$1006:AH1006),$AC$1006:$AS$1006,0)), HYPERLINK("#",""), HYPERLINK(CONCATENATE("#metadata!", ADDRESS(INDEX($X$2:$X$1001,MATCH(ROWS($V$2:V949),$V$2:$V$1001,0),0), INDEX($AC$1004:$AS$1004,1,MATCH(COLUMNS($AC$1006:AH1006),$AC$1006:$AS$1006,0)))),"Fix")))</f>
        <v xml:space="preserve"> </v>
      </c>
      <c r="H949" s="4" t="str">
        <f ca="1">IF(OR(INDEX($W$2:$W$1001,MATCH(ROWS($V$2:V949),$V$2:$V$1001,0),1)&gt;=100000,INDEX($AC$1005:$AS$1005,1,MATCH(COLUMNS($AC$1006:AI1006),$AC$1006:$AS$1006,0))&gt;=100000), " ",IF(INDEX($AC$2:$AS$1001,MATCH(ROWS($V$2:V949),$V$2:$V$1001,0),MATCH(COLUMNS($AC$1006:AI1006),$AC$1006:$AS$1006,0)), HYPERLINK("#",""), HYPERLINK(CONCATENATE("#metadata!", ADDRESS(INDEX($X$2:$X$1001,MATCH(ROWS($V$2:V949),$V$2:$V$1001,0),0), INDEX($AC$1004:$AS$1004,1,MATCH(COLUMNS($AC$1006:AI1006),$AC$1006:$AS$1006,0)))),"Fix")))</f>
        <v xml:space="preserve"> </v>
      </c>
      <c r="I949" s="4" t="str">
        <f ca="1">IF(OR(INDEX($W$2:$W$1001,MATCH(ROWS($V$2:V949),$V$2:$V$1001,0),1)&gt;=100000,INDEX($AC$1005:$AS$1005,1,MATCH(COLUMNS($AC$1006:AJ1006),$AC$1006:$AS$1006,0))&gt;=100000), " ",IF(INDEX($AC$2:$AS$1001,MATCH(ROWS($V$2:V949),$V$2:$V$1001,0),MATCH(COLUMNS($AC$1006:AJ1006),$AC$1006:$AS$1006,0)), HYPERLINK("#",""), HYPERLINK(CONCATENATE("#metadata!", ADDRESS(INDEX($X$2:$X$1001,MATCH(ROWS($V$2:V949),$V$2:$V$1001,0),0), INDEX($AC$1004:$AS$1004,1,MATCH(COLUMNS($AC$1006:AJ1006),$AC$1006:$AS$1006,0)))),"Fix")))</f>
        <v xml:space="preserve"> </v>
      </c>
      <c r="J949" s="4" t="str">
        <f ca="1">IF(OR(INDEX($W$2:$W$1001,MATCH(ROWS($V$2:V949),$V$2:$V$1001,0),1)&gt;=100000,INDEX($AC$1005:$AS$1005,1,MATCH(COLUMNS($AC$1006:AK1006),$AC$1006:$AS$1006,0))&gt;=100000), " ",IF(INDEX($AC$2:$AS$1001,MATCH(ROWS($V$2:V949),$V$2:$V$1001,0),MATCH(COLUMNS($AC$1006:AK1006),$AC$1006:$AS$1006,0)), HYPERLINK("#",""), HYPERLINK(CONCATENATE("#metadata!", ADDRESS(INDEX($X$2:$X$1001,MATCH(ROWS($V$2:V949),$V$2:$V$1001,0),0), INDEX($AC$1004:$AS$1004,1,MATCH(COLUMNS($AC$1006:AK1006),$AC$1006:$AS$1006,0)))),"Fix")))</f>
        <v xml:space="preserve"> </v>
      </c>
      <c r="K949" s="4" t="str">
        <f ca="1">IF(OR(INDEX($W$2:$W$1001,MATCH(ROWS($V$2:V949),$V$2:$V$1001,0),1)&gt;=100000,INDEX($AC$1005:$AS$1005,1,MATCH(COLUMNS($AC$1006:AL1006),$AC$1006:$AS$1006,0))&gt;=100000), " ",IF(INDEX($AC$2:$AS$1001,MATCH(ROWS($V$2:V949),$V$2:$V$1001,0),MATCH(COLUMNS($AC$1006:AL1006),$AC$1006:$AS$1006,0)), HYPERLINK("#",""), HYPERLINK(CONCATENATE("#metadata!", ADDRESS(INDEX($X$2:$X$1001,MATCH(ROWS($V$2:V949),$V$2:$V$1001,0),0), INDEX($AC$1004:$AS$1004,1,MATCH(COLUMNS($AC$1006:AL1006),$AC$1006:$AS$1006,0)))),"Fix")))</f>
        <v xml:space="preserve"> </v>
      </c>
      <c r="L949" s="4" t="str">
        <f ca="1">IF(OR(INDEX($W$2:$W$1001,MATCH(ROWS($V$2:V949),$V$2:$V$1001,0),1)&gt;=100000,INDEX($AC$1005:$AS$1005,1,MATCH(COLUMNS($AC$1006:AM1006),$AC$1006:$AS$1006,0))&gt;=100000), " ",IF(INDEX($AC$2:$AS$1001,MATCH(ROWS($V$2:V949),$V$2:$V$1001,0),MATCH(COLUMNS($AC$1006:AM1006),$AC$1006:$AS$1006,0)), HYPERLINK("#",""), HYPERLINK(CONCATENATE("#metadata!", ADDRESS(INDEX($X$2:$X$1001,MATCH(ROWS($V$2:V949),$V$2:$V$1001,0),0), INDEX($AC$1004:$AS$1004,1,MATCH(COLUMNS($AC$1006:AM1006),$AC$1006:$AS$1006,0)))),"Fix")))</f>
        <v xml:space="preserve"> </v>
      </c>
      <c r="M949" s="4" t="str">
        <f ca="1">IF(OR(INDEX($W$2:$W$1001,MATCH(ROWS($V$2:V949),$V$2:$V$1001,0),1)&gt;=100000,INDEX($AC$1005:$AS$1005,1,MATCH(COLUMNS($AC$1006:AN1006),$AC$1006:$AS$1006,0))&gt;=100000), " ",IF(INDEX($AC$2:$AS$1001,MATCH(ROWS($V$2:V949),$V$2:$V$1001,0),MATCH(COLUMNS($AC$1006:AN1006),$AC$1006:$AS$1006,0)), HYPERLINK("#",""), HYPERLINK(CONCATENATE("#metadata!", ADDRESS(INDEX($X$2:$X$1001,MATCH(ROWS($V$2:V949),$V$2:$V$1001,0),0), INDEX($AC$1004:$AS$1004,1,MATCH(COLUMNS($AC$1006:AN1006),$AC$1006:$AS$1006,0)))),"Fix")))</f>
        <v xml:space="preserve"> </v>
      </c>
      <c r="N949" s="4" t="str">
        <f ca="1">IF(OR(INDEX($W$2:$W$1001,MATCH(ROWS($V$2:V949),$V$2:$V$1001,0),1)&gt;=100000,INDEX($AC$1005:$AS$1005,1,MATCH(COLUMNS($AC$1006:AO1006),$AC$1006:$AS$1006,0))&gt;=100000), " ",IF(INDEX($AC$2:$AS$1001,MATCH(ROWS($V$2:V949),$V$2:$V$1001,0),MATCH(COLUMNS($AC$1006:AO1006),$AC$1006:$AS$1006,0)), HYPERLINK("#",""), HYPERLINK(CONCATENATE("#metadata!", ADDRESS(INDEX($X$2:$X$1001,MATCH(ROWS($V$2:V949),$V$2:$V$1001,0),0), INDEX($AC$1004:$AS$1004,1,MATCH(COLUMNS($AC$1006:AO1006),$AC$1006:$AS$1006,0)))),"Fix")))</f>
        <v xml:space="preserve"> </v>
      </c>
      <c r="O949" s="4" t="str">
        <f ca="1">IF(OR(INDEX($W$2:$W$1001,MATCH(ROWS($V$2:V949),$V$2:$V$1001,0),1)&gt;=100000,INDEX($AC$1005:$AS$1005,1,MATCH(COLUMNS($AC$1006:AP1006),$AC$1006:$AS$1006,0))&gt;=100000), " ",IF(INDEX($AC$2:$AS$1001,MATCH(ROWS($V$2:V949),$V$2:$V$1001,0),MATCH(COLUMNS($AC$1006:AP1006),$AC$1006:$AS$1006,0)), HYPERLINK("#",""), HYPERLINK(CONCATENATE("#metadata!", ADDRESS(INDEX($X$2:$X$1001,MATCH(ROWS($V$2:V949),$V$2:$V$1001,0),0), INDEX($AC$1004:$AS$1004,1,MATCH(COLUMNS($AC$1006:AP1006),$AC$1006:$AS$1006,0)))),"Fix")))</f>
        <v xml:space="preserve"> </v>
      </c>
      <c r="P949" s="4" t="str">
        <f ca="1">IF(OR(INDEX($W$2:$W$1001,MATCH(ROWS($V$2:V949),$V$2:$V$1001,0),1)&gt;=100000,INDEX($AC$1005:$AS$1005,1,MATCH(COLUMNS($AC$1006:AQ1006),$AC$1006:$AS$1006,0))&gt;=100000), " ",IF(INDEX($AC$2:$AS$1001,MATCH(ROWS($V$2:V949),$V$2:$V$1001,0),MATCH(COLUMNS($AC$1006:AQ1006),$AC$1006:$AS$1006,0)), HYPERLINK("#",""), HYPERLINK(CONCATENATE("#metadata!", ADDRESS(INDEX($X$2:$X$1001,MATCH(ROWS($V$2:V949),$V$2:$V$1001,0),0), INDEX($AC$1004:$AS$1004,1,MATCH(COLUMNS($AC$1006:AQ1006),$AC$1006:$AS$1006,0)))),"Fix")))</f>
        <v xml:space="preserve"> </v>
      </c>
      <c r="Q949" s="4" t="str">
        <f ca="1">IF(OR(INDEX($W$2:$W$1001,MATCH(ROWS($V$2:V949),$V$2:$V$1001,0),1)&gt;=100000,INDEX($AC$1005:$AS$1005,1,MATCH(COLUMNS($AC$1006:AR1006),$AC$1006:$AS$1006,0))&gt;=100000), " ",IF(INDEX($AC$2:$AS$1001,MATCH(ROWS($V$2:V949),$V$2:$V$1001,0),MATCH(COLUMNS($AC$1006:AR1006),$AC$1006:$AS$1006,0)), HYPERLINK("#",""), HYPERLINK(CONCATENATE("#metadata!", ADDRESS(INDEX($X$2:$X$1001,MATCH(ROWS($V$2:V949),$V$2:$V$1001,0),0), INDEX($AC$1004:$AS$1004,1,MATCH(COLUMNS($AC$1006:AR1006),$AC$1006:$AS$1006,0)))),"Fix")))</f>
        <v xml:space="preserve"> </v>
      </c>
      <c r="R949" s="4" t="str">
        <f ca="1">IF(OR(INDEX($W$2:$W$1001,MATCH(ROWS($V$2:V949),$V$2:$V$1001,0),1)&gt;=100000,INDEX($AC$1005:$AS$1005,1,MATCH(COLUMNS($AC$1006:AS1006),$AC$1006:$AS$1006,0))&gt;=100000), " ",IF(INDEX($AC$2:$AS$1001,MATCH(ROWS($V$2:V949),$V$2:$V$1001,0),MATCH(COLUMNS($AC$1006:AS1006),$AC$1006:$AS$1006,0)), HYPERLINK("#",""), HYPERLINK(CONCATENATE("#metadata!", ADDRESS(INDEX($X$2:$X$1001,MATCH(ROWS($V$2:V949),$V$2:$V$1001,0),0), INDEX($AC$1004:$AS$1004,1,MATCH(COLUMNS($AC$1006:AS1006),$AC$1006:$AS$1006,0)))),"Fix")))</f>
        <v xml:space="preserve"> </v>
      </c>
      <c r="V949">
        <v>948</v>
      </c>
      <c r="W949">
        <v>100949</v>
      </c>
      <c r="X949">
        <v>949</v>
      </c>
      <c r="Y949" t="b">
        <f t="shared" si="14"/>
        <v>1</v>
      </c>
      <c r="Z949" t="b">
        <f>COUNTBLANK(metadata!B949:R949)=COLUMNS(metadata!B949:R949)</f>
        <v>1</v>
      </c>
      <c r="AA949" t="str">
        <v/>
      </c>
      <c r="AC949" t="b">
        <f ca="1"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AD949" t="b">
        <f>IF(metadata!C949="",FALSE,ISNUMBER(VALUE(metadata!C949)))</f>
        <v>0</v>
      </c>
      <c r="AE949" t="b">
        <f>AND(IF(metadata!D949="",FALSE,TRUE),EXACT(metadata!D949,"years"))</f>
        <v>0</v>
      </c>
      <c r="AF949" t="b">
        <f>OR(AND(IF(metadata!E949="",FALSE,TRUE),OR(EXACT(metadata!E949,"not applicable"),EXACT(metadata!E949,"missing: not collected"),EXACT(metadata!E949,"missing: not provided"),EXACT(metadata!E949,"missing: restricted access"))),AND(IF(metadata!E949="",FALSE,ISNUMBER(VALUE(metadata!E949))),metadata!E949&gt;0))</f>
        <v>0</v>
      </c>
      <c r="AG949" t="b">
        <f>AND(IF(metadata!F949="",FALSE,TRUE),EXACT(metadata!F949,"Not applicable"))</f>
        <v>0</v>
      </c>
      <c r="AH949" t="b">
        <f>AND(IF(metadata!G949="",FALSE,TRUE),EXACT(metadata!G949,"urban biome"))</f>
        <v>0</v>
      </c>
      <c r="AI949" t="b">
        <f>AND(IF(metadata!H949="",FALSE,TRUE),EXACT(metadata!H949,"human-associated habitat"))</f>
        <v>0</v>
      </c>
      <c r="AJ949" t="b">
        <f>AND(IF(metadata!I949="",FALSE,TRUE),OR(EXACT(metadata!I949,"human-associated"),EXACT(metadata!I949,"human-skin"),EXACT(metadata!I949,"human-oral"),EXACT(metadata!I949,"human-gut"),EXACT(metadata!I949,"human-vaginal")))</f>
        <v>0</v>
      </c>
      <c r="AK949" t="b">
        <f>IF(metadata!J949="",FALSE,ISNUMBER(VALUE(metadata!J949)))</f>
        <v>0</v>
      </c>
      <c r="AL949" t="b">
        <f>AND(IF(metadata!K949="",FALSE,TRUE),EXACT(metadata!K949,"cm"))</f>
        <v>0</v>
      </c>
      <c r="AM949" t="b">
        <f>AND(IF(metadata!L949="",FALSE,TRUE),EXACT(metadata!L949,"human"))</f>
        <v>0</v>
      </c>
      <c r="AN949" t="b">
        <f>AND(IF(metadata!M949="",FALSE,TRUE),EXACT(metadata!M949,"Homo sapiens"))</f>
        <v>0</v>
      </c>
      <c r="AO949" t="b">
        <f>AND(IF(metadata!N949="",FALSE,TRUE),EXACT(metadata!N949,"9606"))</f>
        <v>0</v>
      </c>
      <c r="AP949" t="b">
        <f>IF(metadata!O949="",FALSE,TRUE)</f>
        <v>0</v>
      </c>
      <c r="AQ949" t="b">
        <f>IF(metadata!P949="",FALSE,TRUE)</f>
        <v>0</v>
      </c>
      <c r="AR949" t="b">
        <f>IF(metadata!Q949="",FALSE,ISNUMBER(VALUE(metadata!Q949)))</f>
        <v>0</v>
      </c>
      <c r="AS949" t="b">
        <f>AND(IF(metadata!R949="",FALSE,TRUE),EXACT(metadata!R949,"kg"))</f>
        <v>0</v>
      </c>
    </row>
    <row r="950" spans="1:45" x14ac:dyDescent="0.2">
      <c r="A950" s="5" t="str">
        <f ca="1">IF(B950=" "," ",HYPERLINK(CONCATENATE("#metadata!",ADDRESS(INDEX($X$2:$X$1001,MATCH(ROWS($V$2:V950),$V$2:$V$1001,0),0),1)),INDEX($AA$2:$AA$1001,MATCH(ROWS($V$2:V950),$V$2:$V$1001,0),0)))</f>
        <v xml:space="preserve"> </v>
      </c>
      <c r="B950" s="4" t="str">
        <f ca="1">IF(OR(INDEX($W$2:$W$1001,MATCH(ROWS($V$2:V950),$V$2:$V$1001,0),1)&gt;=100000,INDEX($AC$1005:$AS$1005,1,MATCH(COLUMNS($AC$1006:AC1006),$AC$1006:$AS$1006,0))&gt;=100000), " ",IF(INDEX($AC$2:$AS$1001,MATCH(ROWS($V$2:V950),$V$2:$V$1001,0),MATCH(COLUMNS($AC$1006:AC1006),$AC$1006:$AS$1006,0)), HYPERLINK("#",""), HYPERLINK(CONCATENATE("#metadata!", ADDRESS(INDEX($X$2:$X$1001,MATCH(ROWS($V$2:V950),$V$2:$V$1001,0),0), INDEX($AC$1004:$AS$1004,1,MATCH(COLUMNS($AC$1006:AC1006),$AC$1006:$AS$1006,0)))),"Fix")))</f>
        <v xml:space="preserve"> </v>
      </c>
      <c r="C950" s="4" t="str">
        <f ca="1">IF(OR(INDEX($W$2:$W$1001,MATCH(ROWS($V$2:V950),$V$2:$V$1001,0),1)&gt;=100000,INDEX($AC$1005:$AS$1005,1,MATCH(COLUMNS($AC$1006:AD1006),$AC$1006:$AS$1006,0))&gt;=100000), " ",IF(INDEX($AC$2:$AS$1001,MATCH(ROWS($V$2:V950),$V$2:$V$1001,0),MATCH(COLUMNS($AC$1006:AD1006),$AC$1006:$AS$1006,0)), HYPERLINK("#",""), HYPERLINK(CONCATENATE("#metadata!", ADDRESS(INDEX($X$2:$X$1001,MATCH(ROWS($V$2:V950),$V$2:$V$1001,0),0), INDEX($AC$1004:$AS$1004,1,MATCH(COLUMNS($AC$1006:AD1006),$AC$1006:$AS$1006,0)))),"Fix")))</f>
        <v xml:space="preserve"> </v>
      </c>
      <c r="D950" s="4" t="str">
        <f ca="1">IF(OR(INDEX($W$2:$W$1001,MATCH(ROWS($V$2:V950),$V$2:$V$1001,0),1)&gt;=100000,INDEX($AC$1005:$AS$1005,1,MATCH(COLUMNS($AC$1006:AE1006),$AC$1006:$AS$1006,0))&gt;=100000), " ",IF(INDEX($AC$2:$AS$1001,MATCH(ROWS($V$2:V950),$V$2:$V$1001,0),MATCH(COLUMNS($AC$1006:AE1006),$AC$1006:$AS$1006,0)), HYPERLINK("#",""), HYPERLINK(CONCATENATE("#metadata!", ADDRESS(INDEX($X$2:$X$1001,MATCH(ROWS($V$2:V950),$V$2:$V$1001,0),0), INDEX($AC$1004:$AS$1004,1,MATCH(COLUMNS($AC$1006:AE1006),$AC$1006:$AS$1006,0)))),"Fix")))</f>
        <v xml:space="preserve"> </v>
      </c>
      <c r="E950" s="4" t="str">
        <f ca="1">IF(OR(INDEX($W$2:$W$1001,MATCH(ROWS($V$2:V950),$V$2:$V$1001,0),1)&gt;=100000,INDEX($AC$1005:$AS$1005,1,MATCH(COLUMNS($AC$1006:AF1006),$AC$1006:$AS$1006,0))&gt;=100000), " ",IF(INDEX($AC$2:$AS$1001,MATCH(ROWS($V$2:V950),$V$2:$V$1001,0),MATCH(COLUMNS($AC$1006:AF1006),$AC$1006:$AS$1006,0)), HYPERLINK("#",""), HYPERLINK(CONCATENATE("#metadata!", ADDRESS(INDEX($X$2:$X$1001,MATCH(ROWS($V$2:V950),$V$2:$V$1001,0),0), INDEX($AC$1004:$AS$1004,1,MATCH(COLUMNS($AC$1006:AF1006),$AC$1006:$AS$1006,0)))),"Fix")))</f>
        <v xml:space="preserve"> </v>
      </c>
      <c r="F950" s="4" t="str">
        <f ca="1">IF(OR(INDEX($W$2:$W$1001,MATCH(ROWS($V$2:V950),$V$2:$V$1001,0),1)&gt;=100000,INDEX($AC$1005:$AS$1005,1,MATCH(COLUMNS($AC$1006:AG1006),$AC$1006:$AS$1006,0))&gt;=100000), " ",IF(INDEX($AC$2:$AS$1001,MATCH(ROWS($V$2:V950),$V$2:$V$1001,0),MATCH(COLUMNS($AC$1006:AG1006),$AC$1006:$AS$1006,0)), HYPERLINK("#",""), HYPERLINK(CONCATENATE("#metadata!", ADDRESS(INDEX($X$2:$X$1001,MATCH(ROWS($V$2:V950),$V$2:$V$1001,0),0), INDEX($AC$1004:$AS$1004,1,MATCH(COLUMNS($AC$1006:AG1006),$AC$1006:$AS$1006,0)))),"Fix")))</f>
        <v xml:space="preserve"> </v>
      </c>
      <c r="G950" s="4" t="str">
        <f ca="1">IF(OR(INDEX($W$2:$W$1001,MATCH(ROWS($V$2:V950),$V$2:$V$1001,0),1)&gt;=100000,INDEX($AC$1005:$AS$1005,1,MATCH(COLUMNS($AC$1006:AH1006),$AC$1006:$AS$1006,0))&gt;=100000), " ",IF(INDEX($AC$2:$AS$1001,MATCH(ROWS($V$2:V950),$V$2:$V$1001,0),MATCH(COLUMNS($AC$1006:AH1006),$AC$1006:$AS$1006,0)), HYPERLINK("#",""), HYPERLINK(CONCATENATE("#metadata!", ADDRESS(INDEX($X$2:$X$1001,MATCH(ROWS($V$2:V950),$V$2:$V$1001,0),0), INDEX($AC$1004:$AS$1004,1,MATCH(COLUMNS($AC$1006:AH1006),$AC$1006:$AS$1006,0)))),"Fix")))</f>
        <v xml:space="preserve"> </v>
      </c>
      <c r="H950" s="4" t="str">
        <f ca="1">IF(OR(INDEX($W$2:$W$1001,MATCH(ROWS($V$2:V950),$V$2:$V$1001,0),1)&gt;=100000,INDEX($AC$1005:$AS$1005,1,MATCH(COLUMNS($AC$1006:AI1006),$AC$1006:$AS$1006,0))&gt;=100000), " ",IF(INDEX($AC$2:$AS$1001,MATCH(ROWS($V$2:V950),$V$2:$V$1001,0),MATCH(COLUMNS($AC$1006:AI1006),$AC$1006:$AS$1006,0)), HYPERLINK("#",""), HYPERLINK(CONCATENATE("#metadata!", ADDRESS(INDEX($X$2:$X$1001,MATCH(ROWS($V$2:V950),$V$2:$V$1001,0),0), INDEX($AC$1004:$AS$1004,1,MATCH(COLUMNS($AC$1006:AI1006),$AC$1006:$AS$1006,0)))),"Fix")))</f>
        <v xml:space="preserve"> </v>
      </c>
      <c r="I950" s="4" t="str">
        <f ca="1">IF(OR(INDEX($W$2:$W$1001,MATCH(ROWS($V$2:V950),$V$2:$V$1001,0),1)&gt;=100000,INDEX($AC$1005:$AS$1005,1,MATCH(COLUMNS($AC$1006:AJ1006),$AC$1006:$AS$1006,0))&gt;=100000), " ",IF(INDEX($AC$2:$AS$1001,MATCH(ROWS($V$2:V950),$V$2:$V$1001,0),MATCH(COLUMNS($AC$1006:AJ1006),$AC$1006:$AS$1006,0)), HYPERLINK("#",""), HYPERLINK(CONCATENATE("#metadata!", ADDRESS(INDEX($X$2:$X$1001,MATCH(ROWS($V$2:V950),$V$2:$V$1001,0),0), INDEX($AC$1004:$AS$1004,1,MATCH(COLUMNS($AC$1006:AJ1006),$AC$1006:$AS$1006,0)))),"Fix")))</f>
        <v xml:space="preserve"> </v>
      </c>
      <c r="J950" s="4" t="str">
        <f ca="1">IF(OR(INDEX($W$2:$W$1001,MATCH(ROWS($V$2:V950),$V$2:$V$1001,0),1)&gt;=100000,INDEX($AC$1005:$AS$1005,1,MATCH(COLUMNS($AC$1006:AK1006),$AC$1006:$AS$1006,0))&gt;=100000), " ",IF(INDEX($AC$2:$AS$1001,MATCH(ROWS($V$2:V950),$V$2:$V$1001,0),MATCH(COLUMNS($AC$1006:AK1006),$AC$1006:$AS$1006,0)), HYPERLINK("#",""), HYPERLINK(CONCATENATE("#metadata!", ADDRESS(INDEX($X$2:$X$1001,MATCH(ROWS($V$2:V950),$V$2:$V$1001,0),0), INDEX($AC$1004:$AS$1004,1,MATCH(COLUMNS($AC$1006:AK1006),$AC$1006:$AS$1006,0)))),"Fix")))</f>
        <v xml:space="preserve"> </v>
      </c>
      <c r="K950" s="4" t="str">
        <f ca="1">IF(OR(INDEX($W$2:$W$1001,MATCH(ROWS($V$2:V950),$V$2:$V$1001,0),1)&gt;=100000,INDEX($AC$1005:$AS$1005,1,MATCH(COLUMNS($AC$1006:AL1006),$AC$1006:$AS$1006,0))&gt;=100000), " ",IF(INDEX($AC$2:$AS$1001,MATCH(ROWS($V$2:V950),$V$2:$V$1001,0),MATCH(COLUMNS($AC$1006:AL1006),$AC$1006:$AS$1006,0)), HYPERLINK("#",""), HYPERLINK(CONCATENATE("#metadata!", ADDRESS(INDEX($X$2:$X$1001,MATCH(ROWS($V$2:V950),$V$2:$V$1001,0),0), INDEX($AC$1004:$AS$1004,1,MATCH(COLUMNS($AC$1006:AL1006),$AC$1006:$AS$1006,0)))),"Fix")))</f>
        <v xml:space="preserve"> </v>
      </c>
      <c r="L950" s="4" t="str">
        <f ca="1">IF(OR(INDEX($W$2:$W$1001,MATCH(ROWS($V$2:V950),$V$2:$V$1001,0),1)&gt;=100000,INDEX($AC$1005:$AS$1005,1,MATCH(COLUMNS($AC$1006:AM1006),$AC$1006:$AS$1006,0))&gt;=100000), " ",IF(INDEX($AC$2:$AS$1001,MATCH(ROWS($V$2:V950),$V$2:$V$1001,0),MATCH(COLUMNS($AC$1006:AM1006),$AC$1006:$AS$1006,0)), HYPERLINK("#",""), HYPERLINK(CONCATENATE("#metadata!", ADDRESS(INDEX($X$2:$X$1001,MATCH(ROWS($V$2:V950),$V$2:$V$1001,0),0), INDEX($AC$1004:$AS$1004,1,MATCH(COLUMNS($AC$1006:AM1006),$AC$1006:$AS$1006,0)))),"Fix")))</f>
        <v xml:space="preserve"> </v>
      </c>
      <c r="M950" s="4" t="str">
        <f ca="1">IF(OR(INDEX($W$2:$W$1001,MATCH(ROWS($V$2:V950),$V$2:$V$1001,0),1)&gt;=100000,INDEX($AC$1005:$AS$1005,1,MATCH(COLUMNS($AC$1006:AN1006),$AC$1006:$AS$1006,0))&gt;=100000), " ",IF(INDEX($AC$2:$AS$1001,MATCH(ROWS($V$2:V950),$V$2:$V$1001,0),MATCH(COLUMNS($AC$1006:AN1006),$AC$1006:$AS$1006,0)), HYPERLINK("#",""), HYPERLINK(CONCATENATE("#metadata!", ADDRESS(INDEX($X$2:$X$1001,MATCH(ROWS($V$2:V950),$V$2:$V$1001,0),0), INDEX($AC$1004:$AS$1004,1,MATCH(COLUMNS($AC$1006:AN1006),$AC$1006:$AS$1006,0)))),"Fix")))</f>
        <v xml:space="preserve"> </v>
      </c>
      <c r="N950" s="4" t="str">
        <f ca="1">IF(OR(INDEX($W$2:$W$1001,MATCH(ROWS($V$2:V950),$V$2:$V$1001,0),1)&gt;=100000,INDEX($AC$1005:$AS$1005,1,MATCH(COLUMNS($AC$1006:AO1006),$AC$1006:$AS$1006,0))&gt;=100000), " ",IF(INDEX($AC$2:$AS$1001,MATCH(ROWS($V$2:V950),$V$2:$V$1001,0),MATCH(COLUMNS($AC$1006:AO1006),$AC$1006:$AS$1006,0)), HYPERLINK("#",""), HYPERLINK(CONCATENATE("#metadata!", ADDRESS(INDEX($X$2:$X$1001,MATCH(ROWS($V$2:V950),$V$2:$V$1001,0),0), INDEX($AC$1004:$AS$1004,1,MATCH(COLUMNS($AC$1006:AO1006),$AC$1006:$AS$1006,0)))),"Fix")))</f>
        <v xml:space="preserve"> </v>
      </c>
      <c r="O950" s="4" t="str">
        <f ca="1">IF(OR(INDEX($W$2:$W$1001,MATCH(ROWS($V$2:V950),$V$2:$V$1001,0),1)&gt;=100000,INDEX($AC$1005:$AS$1005,1,MATCH(COLUMNS($AC$1006:AP1006),$AC$1006:$AS$1006,0))&gt;=100000), " ",IF(INDEX($AC$2:$AS$1001,MATCH(ROWS($V$2:V950),$V$2:$V$1001,0),MATCH(COLUMNS($AC$1006:AP1006),$AC$1006:$AS$1006,0)), HYPERLINK("#",""), HYPERLINK(CONCATENATE("#metadata!", ADDRESS(INDEX($X$2:$X$1001,MATCH(ROWS($V$2:V950),$V$2:$V$1001,0),0), INDEX($AC$1004:$AS$1004,1,MATCH(COLUMNS($AC$1006:AP1006),$AC$1006:$AS$1006,0)))),"Fix")))</f>
        <v xml:space="preserve"> </v>
      </c>
      <c r="P950" s="4" t="str">
        <f ca="1">IF(OR(INDEX($W$2:$W$1001,MATCH(ROWS($V$2:V950),$V$2:$V$1001,0),1)&gt;=100000,INDEX($AC$1005:$AS$1005,1,MATCH(COLUMNS($AC$1006:AQ1006),$AC$1006:$AS$1006,0))&gt;=100000), " ",IF(INDEX($AC$2:$AS$1001,MATCH(ROWS($V$2:V950),$V$2:$V$1001,0),MATCH(COLUMNS($AC$1006:AQ1006),$AC$1006:$AS$1006,0)), HYPERLINK("#",""), HYPERLINK(CONCATENATE("#metadata!", ADDRESS(INDEX($X$2:$X$1001,MATCH(ROWS($V$2:V950),$V$2:$V$1001,0),0), INDEX($AC$1004:$AS$1004,1,MATCH(COLUMNS($AC$1006:AQ1006),$AC$1006:$AS$1006,0)))),"Fix")))</f>
        <v xml:space="preserve"> </v>
      </c>
      <c r="Q950" s="4" t="str">
        <f ca="1">IF(OR(INDEX($W$2:$W$1001,MATCH(ROWS($V$2:V950),$V$2:$V$1001,0),1)&gt;=100000,INDEX($AC$1005:$AS$1005,1,MATCH(COLUMNS($AC$1006:AR1006),$AC$1006:$AS$1006,0))&gt;=100000), " ",IF(INDEX($AC$2:$AS$1001,MATCH(ROWS($V$2:V950),$V$2:$V$1001,0),MATCH(COLUMNS($AC$1006:AR1006),$AC$1006:$AS$1006,0)), HYPERLINK("#",""), HYPERLINK(CONCATENATE("#metadata!", ADDRESS(INDEX($X$2:$X$1001,MATCH(ROWS($V$2:V950),$V$2:$V$1001,0),0), INDEX($AC$1004:$AS$1004,1,MATCH(COLUMNS($AC$1006:AR1006),$AC$1006:$AS$1006,0)))),"Fix")))</f>
        <v xml:space="preserve"> </v>
      </c>
      <c r="R950" s="4" t="str">
        <f ca="1">IF(OR(INDEX($W$2:$W$1001,MATCH(ROWS($V$2:V950),$V$2:$V$1001,0),1)&gt;=100000,INDEX($AC$1005:$AS$1005,1,MATCH(COLUMNS($AC$1006:AS1006),$AC$1006:$AS$1006,0))&gt;=100000), " ",IF(INDEX($AC$2:$AS$1001,MATCH(ROWS($V$2:V950),$V$2:$V$1001,0),MATCH(COLUMNS($AC$1006:AS1006),$AC$1006:$AS$1006,0)), HYPERLINK("#",""), HYPERLINK(CONCATENATE("#metadata!", ADDRESS(INDEX($X$2:$X$1001,MATCH(ROWS($V$2:V950),$V$2:$V$1001,0),0), INDEX($AC$1004:$AS$1004,1,MATCH(COLUMNS($AC$1006:AS1006),$AC$1006:$AS$1006,0)))),"Fix")))</f>
        <v xml:space="preserve"> </v>
      </c>
      <c r="V950">
        <v>949</v>
      </c>
      <c r="W950">
        <v>100950</v>
      </c>
      <c r="X950">
        <v>950</v>
      </c>
      <c r="Y950" t="b">
        <f t="shared" si="14"/>
        <v>1</v>
      </c>
      <c r="Z950" t="b">
        <f>COUNTBLANK(metadata!B950:R950)=COLUMNS(metadata!B950:R950)</f>
        <v>1</v>
      </c>
      <c r="AA950" t="str">
        <v/>
      </c>
      <c r="AC950" t="b">
        <f ca="1"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AD950" t="b">
        <f>IF(metadata!C950="",FALSE,ISNUMBER(VALUE(metadata!C950)))</f>
        <v>0</v>
      </c>
      <c r="AE950" t="b">
        <f>AND(IF(metadata!D950="",FALSE,TRUE),EXACT(metadata!D950,"years"))</f>
        <v>0</v>
      </c>
      <c r="AF950" t="b">
        <f>OR(AND(IF(metadata!E950="",FALSE,TRUE),OR(EXACT(metadata!E950,"not applicable"),EXACT(metadata!E950,"missing: not collected"),EXACT(metadata!E950,"missing: not provided"),EXACT(metadata!E950,"missing: restricted access"))),AND(IF(metadata!E950="",FALSE,ISNUMBER(VALUE(metadata!E950))),metadata!E950&gt;0))</f>
        <v>0</v>
      </c>
      <c r="AG950" t="b">
        <f>AND(IF(metadata!F950="",FALSE,TRUE),EXACT(metadata!F950,"Not applicable"))</f>
        <v>0</v>
      </c>
      <c r="AH950" t="b">
        <f>AND(IF(metadata!G950="",FALSE,TRUE),EXACT(metadata!G950,"urban biome"))</f>
        <v>0</v>
      </c>
      <c r="AI950" t="b">
        <f>AND(IF(metadata!H950="",FALSE,TRUE),EXACT(metadata!H950,"human-associated habitat"))</f>
        <v>0</v>
      </c>
      <c r="AJ950" t="b">
        <f>AND(IF(metadata!I950="",FALSE,TRUE),OR(EXACT(metadata!I950,"human-associated"),EXACT(metadata!I950,"human-skin"),EXACT(metadata!I950,"human-oral"),EXACT(metadata!I950,"human-gut"),EXACT(metadata!I950,"human-vaginal")))</f>
        <v>0</v>
      </c>
      <c r="AK950" t="b">
        <f>IF(metadata!J950="",FALSE,ISNUMBER(VALUE(metadata!J950)))</f>
        <v>0</v>
      </c>
      <c r="AL950" t="b">
        <f>AND(IF(metadata!K950="",FALSE,TRUE),EXACT(metadata!K950,"cm"))</f>
        <v>0</v>
      </c>
      <c r="AM950" t="b">
        <f>AND(IF(metadata!L950="",FALSE,TRUE),EXACT(metadata!L950,"human"))</f>
        <v>0</v>
      </c>
      <c r="AN950" t="b">
        <f>AND(IF(metadata!M950="",FALSE,TRUE),EXACT(metadata!M950,"Homo sapiens"))</f>
        <v>0</v>
      </c>
      <c r="AO950" t="b">
        <f>AND(IF(metadata!N950="",FALSE,TRUE),EXACT(metadata!N950,"9606"))</f>
        <v>0</v>
      </c>
      <c r="AP950" t="b">
        <f>IF(metadata!O950="",FALSE,TRUE)</f>
        <v>0</v>
      </c>
      <c r="AQ950" t="b">
        <f>IF(metadata!P950="",FALSE,TRUE)</f>
        <v>0</v>
      </c>
      <c r="AR950" t="b">
        <f>IF(metadata!Q950="",FALSE,ISNUMBER(VALUE(metadata!Q950)))</f>
        <v>0</v>
      </c>
      <c r="AS950" t="b">
        <f>AND(IF(metadata!R950="",FALSE,TRUE),EXACT(metadata!R950,"kg"))</f>
        <v>0</v>
      </c>
    </row>
    <row r="951" spans="1:45" x14ac:dyDescent="0.2">
      <c r="A951" s="5" t="str">
        <f ca="1">IF(B951=" "," ",HYPERLINK(CONCATENATE("#metadata!",ADDRESS(INDEX($X$2:$X$1001,MATCH(ROWS($V$2:V951),$V$2:$V$1001,0),0),1)),INDEX($AA$2:$AA$1001,MATCH(ROWS($V$2:V951),$V$2:$V$1001,0),0)))</f>
        <v xml:space="preserve"> </v>
      </c>
      <c r="B951" s="4" t="str">
        <f ca="1">IF(OR(INDEX($W$2:$W$1001,MATCH(ROWS($V$2:V951),$V$2:$V$1001,0),1)&gt;=100000,INDEX($AC$1005:$AS$1005,1,MATCH(COLUMNS($AC$1006:AC1006),$AC$1006:$AS$1006,0))&gt;=100000), " ",IF(INDEX($AC$2:$AS$1001,MATCH(ROWS($V$2:V951),$V$2:$V$1001,0),MATCH(COLUMNS($AC$1006:AC1006),$AC$1006:$AS$1006,0)), HYPERLINK("#",""), HYPERLINK(CONCATENATE("#metadata!", ADDRESS(INDEX($X$2:$X$1001,MATCH(ROWS($V$2:V951),$V$2:$V$1001,0),0), INDEX($AC$1004:$AS$1004,1,MATCH(COLUMNS($AC$1006:AC1006),$AC$1006:$AS$1006,0)))),"Fix")))</f>
        <v xml:space="preserve"> </v>
      </c>
      <c r="C951" s="4" t="str">
        <f ca="1">IF(OR(INDEX($W$2:$W$1001,MATCH(ROWS($V$2:V951),$V$2:$V$1001,0),1)&gt;=100000,INDEX($AC$1005:$AS$1005,1,MATCH(COLUMNS($AC$1006:AD1006),$AC$1006:$AS$1006,0))&gt;=100000), " ",IF(INDEX($AC$2:$AS$1001,MATCH(ROWS($V$2:V951),$V$2:$V$1001,0),MATCH(COLUMNS($AC$1006:AD1006),$AC$1006:$AS$1006,0)), HYPERLINK("#",""), HYPERLINK(CONCATENATE("#metadata!", ADDRESS(INDEX($X$2:$X$1001,MATCH(ROWS($V$2:V951),$V$2:$V$1001,0),0), INDEX($AC$1004:$AS$1004,1,MATCH(COLUMNS($AC$1006:AD1006),$AC$1006:$AS$1006,0)))),"Fix")))</f>
        <v xml:space="preserve"> </v>
      </c>
      <c r="D951" s="4" t="str">
        <f ca="1">IF(OR(INDEX($W$2:$W$1001,MATCH(ROWS($V$2:V951),$V$2:$V$1001,0),1)&gt;=100000,INDEX($AC$1005:$AS$1005,1,MATCH(COLUMNS($AC$1006:AE1006),$AC$1006:$AS$1006,0))&gt;=100000), " ",IF(INDEX($AC$2:$AS$1001,MATCH(ROWS($V$2:V951),$V$2:$V$1001,0),MATCH(COLUMNS($AC$1006:AE1006),$AC$1006:$AS$1006,0)), HYPERLINK("#",""), HYPERLINK(CONCATENATE("#metadata!", ADDRESS(INDEX($X$2:$X$1001,MATCH(ROWS($V$2:V951),$V$2:$V$1001,0),0), INDEX($AC$1004:$AS$1004,1,MATCH(COLUMNS($AC$1006:AE1006),$AC$1006:$AS$1006,0)))),"Fix")))</f>
        <v xml:space="preserve"> </v>
      </c>
      <c r="E951" s="4" t="str">
        <f ca="1">IF(OR(INDEX($W$2:$W$1001,MATCH(ROWS($V$2:V951),$V$2:$V$1001,0),1)&gt;=100000,INDEX($AC$1005:$AS$1005,1,MATCH(COLUMNS($AC$1006:AF1006),$AC$1006:$AS$1006,0))&gt;=100000), " ",IF(INDEX($AC$2:$AS$1001,MATCH(ROWS($V$2:V951),$V$2:$V$1001,0),MATCH(COLUMNS($AC$1006:AF1006),$AC$1006:$AS$1006,0)), HYPERLINK("#",""), HYPERLINK(CONCATENATE("#metadata!", ADDRESS(INDEX($X$2:$X$1001,MATCH(ROWS($V$2:V951),$V$2:$V$1001,0),0), INDEX($AC$1004:$AS$1004,1,MATCH(COLUMNS($AC$1006:AF1006),$AC$1006:$AS$1006,0)))),"Fix")))</f>
        <v xml:space="preserve"> </v>
      </c>
      <c r="F951" s="4" t="str">
        <f ca="1">IF(OR(INDEX($W$2:$W$1001,MATCH(ROWS($V$2:V951),$V$2:$V$1001,0),1)&gt;=100000,INDEX($AC$1005:$AS$1005,1,MATCH(COLUMNS($AC$1006:AG1006),$AC$1006:$AS$1006,0))&gt;=100000), " ",IF(INDEX($AC$2:$AS$1001,MATCH(ROWS($V$2:V951),$V$2:$V$1001,0),MATCH(COLUMNS($AC$1006:AG1006),$AC$1006:$AS$1006,0)), HYPERLINK("#",""), HYPERLINK(CONCATENATE("#metadata!", ADDRESS(INDEX($X$2:$X$1001,MATCH(ROWS($V$2:V951),$V$2:$V$1001,0),0), INDEX($AC$1004:$AS$1004,1,MATCH(COLUMNS($AC$1006:AG1006),$AC$1006:$AS$1006,0)))),"Fix")))</f>
        <v xml:space="preserve"> </v>
      </c>
      <c r="G951" s="4" t="str">
        <f ca="1">IF(OR(INDEX($W$2:$W$1001,MATCH(ROWS($V$2:V951),$V$2:$V$1001,0),1)&gt;=100000,INDEX($AC$1005:$AS$1005,1,MATCH(COLUMNS($AC$1006:AH1006),$AC$1006:$AS$1006,0))&gt;=100000), " ",IF(INDEX($AC$2:$AS$1001,MATCH(ROWS($V$2:V951),$V$2:$V$1001,0),MATCH(COLUMNS($AC$1006:AH1006),$AC$1006:$AS$1006,0)), HYPERLINK("#",""), HYPERLINK(CONCATENATE("#metadata!", ADDRESS(INDEX($X$2:$X$1001,MATCH(ROWS($V$2:V951),$V$2:$V$1001,0),0), INDEX($AC$1004:$AS$1004,1,MATCH(COLUMNS($AC$1006:AH1006),$AC$1006:$AS$1006,0)))),"Fix")))</f>
        <v xml:space="preserve"> </v>
      </c>
      <c r="H951" s="4" t="str">
        <f ca="1">IF(OR(INDEX($W$2:$W$1001,MATCH(ROWS($V$2:V951),$V$2:$V$1001,0),1)&gt;=100000,INDEX($AC$1005:$AS$1005,1,MATCH(COLUMNS($AC$1006:AI1006),$AC$1006:$AS$1006,0))&gt;=100000), " ",IF(INDEX($AC$2:$AS$1001,MATCH(ROWS($V$2:V951),$V$2:$V$1001,0),MATCH(COLUMNS($AC$1006:AI1006),$AC$1006:$AS$1006,0)), HYPERLINK("#",""), HYPERLINK(CONCATENATE("#metadata!", ADDRESS(INDEX($X$2:$X$1001,MATCH(ROWS($V$2:V951),$V$2:$V$1001,0),0), INDEX($AC$1004:$AS$1004,1,MATCH(COLUMNS($AC$1006:AI1006),$AC$1006:$AS$1006,0)))),"Fix")))</f>
        <v xml:space="preserve"> </v>
      </c>
      <c r="I951" s="4" t="str">
        <f ca="1">IF(OR(INDEX($W$2:$W$1001,MATCH(ROWS($V$2:V951),$V$2:$V$1001,0),1)&gt;=100000,INDEX($AC$1005:$AS$1005,1,MATCH(COLUMNS($AC$1006:AJ1006),$AC$1006:$AS$1006,0))&gt;=100000), " ",IF(INDEX($AC$2:$AS$1001,MATCH(ROWS($V$2:V951),$V$2:$V$1001,0),MATCH(COLUMNS($AC$1006:AJ1006),$AC$1006:$AS$1006,0)), HYPERLINK("#",""), HYPERLINK(CONCATENATE("#metadata!", ADDRESS(INDEX($X$2:$X$1001,MATCH(ROWS($V$2:V951),$V$2:$V$1001,0),0), INDEX($AC$1004:$AS$1004,1,MATCH(COLUMNS($AC$1006:AJ1006),$AC$1006:$AS$1006,0)))),"Fix")))</f>
        <v xml:space="preserve"> </v>
      </c>
      <c r="J951" s="4" t="str">
        <f ca="1">IF(OR(INDEX($W$2:$W$1001,MATCH(ROWS($V$2:V951),$V$2:$V$1001,0),1)&gt;=100000,INDEX($AC$1005:$AS$1005,1,MATCH(COLUMNS($AC$1006:AK1006),$AC$1006:$AS$1006,0))&gt;=100000), " ",IF(INDEX($AC$2:$AS$1001,MATCH(ROWS($V$2:V951),$V$2:$V$1001,0),MATCH(COLUMNS($AC$1006:AK1006),$AC$1006:$AS$1006,0)), HYPERLINK("#",""), HYPERLINK(CONCATENATE("#metadata!", ADDRESS(INDEX($X$2:$X$1001,MATCH(ROWS($V$2:V951),$V$2:$V$1001,0),0), INDEX($AC$1004:$AS$1004,1,MATCH(COLUMNS($AC$1006:AK1006),$AC$1006:$AS$1006,0)))),"Fix")))</f>
        <v xml:space="preserve"> </v>
      </c>
      <c r="K951" s="4" t="str">
        <f ca="1">IF(OR(INDEX($W$2:$W$1001,MATCH(ROWS($V$2:V951),$V$2:$V$1001,0),1)&gt;=100000,INDEX($AC$1005:$AS$1005,1,MATCH(COLUMNS($AC$1006:AL1006),$AC$1006:$AS$1006,0))&gt;=100000), " ",IF(INDEX($AC$2:$AS$1001,MATCH(ROWS($V$2:V951),$V$2:$V$1001,0),MATCH(COLUMNS($AC$1006:AL1006),$AC$1006:$AS$1006,0)), HYPERLINK("#",""), HYPERLINK(CONCATENATE("#metadata!", ADDRESS(INDEX($X$2:$X$1001,MATCH(ROWS($V$2:V951),$V$2:$V$1001,0),0), INDEX($AC$1004:$AS$1004,1,MATCH(COLUMNS($AC$1006:AL1006),$AC$1006:$AS$1006,0)))),"Fix")))</f>
        <v xml:space="preserve"> </v>
      </c>
      <c r="L951" s="4" t="str">
        <f ca="1">IF(OR(INDEX($W$2:$W$1001,MATCH(ROWS($V$2:V951),$V$2:$V$1001,0),1)&gt;=100000,INDEX($AC$1005:$AS$1005,1,MATCH(COLUMNS($AC$1006:AM1006),$AC$1006:$AS$1006,0))&gt;=100000), " ",IF(INDEX($AC$2:$AS$1001,MATCH(ROWS($V$2:V951),$V$2:$V$1001,0),MATCH(COLUMNS($AC$1006:AM1006),$AC$1006:$AS$1006,0)), HYPERLINK("#",""), HYPERLINK(CONCATENATE("#metadata!", ADDRESS(INDEX($X$2:$X$1001,MATCH(ROWS($V$2:V951),$V$2:$V$1001,0),0), INDEX($AC$1004:$AS$1004,1,MATCH(COLUMNS($AC$1006:AM1006),$AC$1006:$AS$1006,0)))),"Fix")))</f>
        <v xml:space="preserve"> </v>
      </c>
      <c r="M951" s="4" t="str">
        <f ca="1">IF(OR(INDEX($W$2:$W$1001,MATCH(ROWS($V$2:V951),$V$2:$V$1001,0),1)&gt;=100000,INDEX($AC$1005:$AS$1005,1,MATCH(COLUMNS($AC$1006:AN1006),$AC$1006:$AS$1006,0))&gt;=100000), " ",IF(INDEX($AC$2:$AS$1001,MATCH(ROWS($V$2:V951),$V$2:$V$1001,0),MATCH(COLUMNS($AC$1006:AN1006),$AC$1006:$AS$1006,0)), HYPERLINK("#",""), HYPERLINK(CONCATENATE("#metadata!", ADDRESS(INDEX($X$2:$X$1001,MATCH(ROWS($V$2:V951),$V$2:$V$1001,0),0), INDEX($AC$1004:$AS$1004,1,MATCH(COLUMNS($AC$1006:AN1006),$AC$1006:$AS$1006,0)))),"Fix")))</f>
        <v xml:space="preserve"> </v>
      </c>
      <c r="N951" s="4" t="str">
        <f ca="1">IF(OR(INDEX($W$2:$W$1001,MATCH(ROWS($V$2:V951),$V$2:$V$1001,0),1)&gt;=100000,INDEX($AC$1005:$AS$1005,1,MATCH(COLUMNS($AC$1006:AO1006),$AC$1006:$AS$1006,0))&gt;=100000), " ",IF(INDEX($AC$2:$AS$1001,MATCH(ROWS($V$2:V951),$V$2:$V$1001,0),MATCH(COLUMNS($AC$1006:AO1006),$AC$1006:$AS$1006,0)), HYPERLINK("#",""), HYPERLINK(CONCATENATE("#metadata!", ADDRESS(INDEX($X$2:$X$1001,MATCH(ROWS($V$2:V951),$V$2:$V$1001,0),0), INDEX($AC$1004:$AS$1004,1,MATCH(COLUMNS($AC$1006:AO1006),$AC$1006:$AS$1006,0)))),"Fix")))</f>
        <v xml:space="preserve"> </v>
      </c>
      <c r="O951" s="4" t="str">
        <f ca="1">IF(OR(INDEX($W$2:$W$1001,MATCH(ROWS($V$2:V951),$V$2:$V$1001,0),1)&gt;=100000,INDEX($AC$1005:$AS$1005,1,MATCH(COLUMNS($AC$1006:AP1006),$AC$1006:$AS$1006,0))&gt;=100000), " ",IF(INDEX($AC$2:$AS$1001,MATCH(ROWS($V$2:V951),$V$2:$V$1001,0),MATCH(COLUMNS($AC$1006:AP1006),$AC$1006:$AS$1006,0)), HYPERLINK("#",""), HYPERLINK(CONCATENATE("#metadata!", ADDRESS(INDEX($X$2:$X$1001,MATCH(ROWS($V$2:V951),$V$2:$V$1001,0),0), INDEX($AC$1004:$AS$1004,1,MATCH(COLUMNS($AC$1006:AP1006),$AC$1006:$AS$1006,0)))),"Fix")))</f>
        <v xml:space="preserve"> </v>
      </c>
      <c r="P951" s="4" t="str">
        <f ca="1">IF(OR(INDEX($W$2:$W$1001,MATCH(ROWS($V$2:V951),$V$2:$V$1001,0),1)&gt;=100000,INDEX($AC$1005:$AS$1005,1,MATCH(COLUMNS($AC$1006:AQ1006),$AC$1006:$AS$1006,0))&gt;=100000), " ",IF(INDEX($AC$2:$AS$1001,MATCH(ROWS($V$2:V951),$V$2:$V$1001,0),MATCH(COLUMNS($AC$1006:AQ1006),$AC$1006:$AS$1006,0)), HYPERLINK("#",""), HYPERLINK(CONCATENATE("#metadata!", ADDRESS(INDEX($X$2:$X$1001,MATCH(ROWS($V$2:V951),$V$2:$V$1001,0),0), INDEX($AC$1004:$AS$1004,1,MATCH(COLUMNS($AC$1006:AQ1006),$AC$1006:$AS$1006,0)))),"Fix")))</f>
        <v xml:space="preserve"> </v>
      </c>
      <c r="Q951" s="4" t="str">
        <f ca="1">IF(OR(INDEX($W$2:$W$1001,MATCH(ROWS($V$2:V951),$V$2:$V$1001,0),1)&gt;=100000,INDEX($AC$1005:$AS$1005,1,MATCH(COLUMNS($AC$1006:AR1006),$AC$1006:$AS$1006,0))&gt;=100000), " ",IF(INDEX($AC$2:$AS$1001,MATCH(ROWS($V$2:V951),$V$2:$V$1001,0),MATCH(COLUMNS($AC$1006:AR1006),$AC$1006:$AS$1006,0)), HYPERLINK("#",""), HYPERLINK(CONCATENATE("#metadata!", ADDRESS(INDEX($X$2:$X$1001,MATCH(ROWS($V$2:V951),$V$2:$V$1001,0),0), INDEX($AC$1004:$AS$1004,1,MATCH(COLUMNS($AC$1006:AR1006),$AC$1006:$AS$1006,0)))),"Fix")))</f>
        <v xml:space="preserve"> </v>
      </c>
      <c r="R951" s="4" t="str">
        <f ca="1">IF(OR(INDEX($W$2:$W$1001,MATCH(ROWS($V$2:V951),$V$2:$V$1001,0),1)&gt;=100000,INDEX($AC$1005:$AS$1005,1,MATCH(COLUMNS($AC$1006:AS1006),$AC$1006:$AS$1006,0))&gt;=100000), " ",IF(INDEX($AC$2:$AS$1001,MATCH(ROWS($V$2:V951),$V$2:$V$1001,0),MATCH(COLUMNS($AC$1006:AS1006),$AC$1006:$AS$1006,0)), HYPERLINK("#",""), HYPERLINK(CONCATENATE("#metadata!", ADDRESS(INDEX($X$2:$X$1001,MATCH(ROWS($V$2:V951),$V$2:$V$1001,0),0), INDEX($AC$1004:$AS$1004,1,MATCH(COLUMNS($AC$1006:AS1006),$AC$1006:$AS$1006,0)))),"Fix")))</f>
        <v xml:space="preserve"> </v>
      </c>
      <c r="V951">
        <v>950</v>
      </c>
      <c r="W951">
        <v>100951</v>
      </c>
      <c r="X951">
        <v>951</v>
      </c>
      <c r="Y951" t="b">
        <f t="shared" si="14"/>
        <v>1</v>
      </c>
      <c r="Z951" t="b">
        <f>COUNTBLANK(metadata!B951:R951)=COLUMNS(metadata!B951:R951)</f>
        <v>1</v>
      </c>
      <c r="AA951" t="str">
        <v/>
      </c>
      <c r="AC951" t="b">
        <f ca="1"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AD951" t="b">
        <f>IF(metadata!C951="",FALSE,ISNUMBER(VALUE(metadata!C951)))</f>
        <v>0</v>
      </c>
      <c r="AE951" t="b">
        <f>AND(IF(metadata!D951="",FALSE,TRUE),EXACT(metadata!D951,"years"))</f>
        <v>0</v>
      </c>
      <c r="AF951" t="b">
        <f>OR(AND(IF(metadata!E951="",FALSE,TRUE),OR(EXACT(metadata!E951,"not applicable"),EXACT(metadata!E951,"missing: not collected"),EXACT(metadata!E951,"missing: not provided"),EXACT(metadata!E951,"missing: restricted access"))),AND(IF(metadata!E951="",FALSE,ISNUMBER(VALUE(metadata!E951))),metadata!E951&gt;0))</f>
        <v>0</v>
      </c>
      <c r="AG951" t="b">
        <f>AND(IF(metadata!F951="",FALSE,TRUE),EXACT(metadata!F951,"Not applicable"))</f>
        <v>0</v>
      </c>
      <c r="AH951" t="b">
        <f>AND(IF(metadata!G951="",FALSE,TRUE),EXACT(metadata!G951,"urban biome"))</f>
        <v>0</v>
      </c>
      <c r="AI951" t="b">
        <f>AND(IF(metadata!H951="",FALSE,TRUE),EXACT(metadata!H951,"human-associated habitat"))</f>
        <v>0</v>
      </c>
      <c r="AJ951" t="b">
        <f>AND(IF(metadata!I951="",FALSE,TRUE),OR(EXACT(metadata!I951,"human-associated"),EXACT(metadata!I951,"human-skin"),EXACT(metadata!I951,"human-oral"),EXACT(metadata!I951,"human-gut"),EXACT(metadata!I951,"human-vaginal")))</f>
        <v>0</v>
      </c>
      <c r="AK951" t="b">
        <f>IF(metadata!J951="",FALSE,ISNUMBER(VALUE(metadata!J951)))</f>
        <v>0</v>
      </c>
      <c r="AL951" t="b">
        <f>AND(IF(metadata!K951="",FALSE,TRUE),EXACT(metadata!K951,"cm"))</f>
        <v>0</v>
      </c>
      <c r="AM951" t="b">
        <f>AND(IF(metadata!L951="",FALSE,TRUE),EXACT(metadata!L951,"human"))</f>
        <v>0</v>
      </c>
      <c r="AN951" t="b">
        <f>AND(IF(metadata!M951="",FALSE,TRUE),EXACT(metadata!M951,"Homo sapiens"))</f>
        <v>0</v>
      </c>
      <c r="AO951" t="b">
        <f>AND(IF(metadata!N951="",FALSE,TRUE),EXACT(metadata!N951,"9606"))</f>
        <v>0</v>
      </c>
      <c r="AP951" t="b">
        <f>IF(metadata!O951="",FALSE,TRUE)</f>
        <v>0</v>
      </c>
      <c r="AQ951" t="b">
        <f>IF(metadata!P951="",FALSE,TRUE)</f>
        <v>0</v>
      </c>
      <c r="AR951" t="b">
        <f>IF(metadata!Q951="",FALSE,ISNUMBER(VALUE(metadata!Q951)))</f>
        <v>0</v>
      </c>
      <c r="AS951" t="b">
        <f>AND(IF(metadata!R951="",FALSE,TRUE),EXACT(metadata!R951,"kg"))</f>
        <v>0</v>
      </c>
    </row>
    <row r="952" spans="1:45" x14ac:dyDescent="0.2">
      <c r="A952" s="5" t="str">
        <f ca="1">IF(B952=" "," ",HYPERLINK(CONCATENATE("#metadata!",ADDRESS(INDEX($X$2:$X$1001,MATCH(ROWS($V$2:V952),$V$2:$V$1001,0),0),1)),INDEX($AA$2:$AA$1001,MATCH(ROWS($V$2:V952),$V$2:$V$1001,0),0)))</f>
        <v xml:space="preserve"> </v>
      </c>
      <c r="B952" s="4" t="str">
        <f ca="1">IF(OR(INDEX($W$2:$W$1001,MATCH(ROWS($V$2:V952),$V$2:$V$1001,0),1)&gt;=100000,INDEX($AC$1005:$AS$1005,1,MATCH(COLUMNS($AC$1006:AC1006),$AC$1006:$AS$1006,0))&gt;=100000), " ",IF(INDEX($AC$2:$AS$1001,MATCH(ROWS($V$2:V952),$V$2:$V$1001,0),MATCH(COLUMNS($AC$1006:AC1006),$AC$1006:$AS$1006,0)), HYPERLINK("#",""), HYPERLINK(CONCATENATE("#metadata!", ADDRESS(INDEX($X$2:$X$1001,MATCH(ROWS($V$2:V952),$V$2:$V$1001,0),0), INDEX($AC$1004:$AS$1004,1,MATCH(COLUMNS($AC$1006:AC1006),$AC$1006:$AS$1006,0)))),"Fix")))</f>
        <v xml:space="preserve"> </v>
      </c>
      <c r="C952" s="4" t="str">
        <f ca="1">IF(OR(INDEX($W$2:$W$1001,MATCH(ROWS($V$2:V952),$V$2:$V$1001,0),1)&gt;=100000,INDEX($AC$1005:$AS$1005,1,MATCH(COLUMNS($AC$1006:AD1006),$AC$1006:$AS$1006,0))&gt;=100000), " ",IF(INDEX($AC$2:$AS$1001,MATCH(ROWS($V$2:V952),$V$2:$V$1001,0),MATCH(COLUMNS($AC$1006:AD1006),$AC$1006:$AS$1006,0)), HYPERLINK("#",""), HYPERLINK(CONCATENATE("#metadata!", ADDRESS(INDEX($X$2:$X$1001,MATCH(ROWS($V$2:V952),$V$2:$V$1001,0),0), INDEX($AC$1004:$AS$1004,1,MATCH(COLUMNS($AC$1006:AD1006),$AC$1006:$AS$1006,0)))),"Fix")))</f>
        <v xml:space="preserve"> </v>
      </c>
      <c r="D952" s="4" t="str">
        <f ca="1">IF(OR(INDEX($W$2:$W$1001,MATCH(ROWS($V$2:V952),$V$2:$V$1001,0),1)&gt;=100000,INDEX($AC$1005:$AS$1005,1,MATCH(COLUMNS($AC$1006:AE1006),$AC$1006:$AS$1006,0))&gt;=100000), " ",IF(INDEX($AC$2:$AS$1001,MATCH(ROWS($V$2:V952),$V$2:$V$1001,0),MATCH(COLUMNS($AC$1006:AE1006),$AC$1006:$AS$1006,0)), HYPERLINK("#",""), HYPERLINK(CONCATENATE("#metadata!", ADDRESS(INDEX($X$2:$X$1001,MATCH(ROWS($V$2:V952),$V$2:$V$1001,0),0), INDEX($AC$1004:$AS$1004,1,MATCH(COLUMNS($AC$1006:AE1006),$AC$1006:$AS$1006,0)))),"Fix")))</f>
        <v xml:space="preserve"> </v>
      </c>
      <c r="E952" s="4" t="str">
        <f ca="1">IF(OR(INDEX($W$2:$W$1001,MATCH(ROWS($V$2:V952),$V$2:$V$1001,0),1)&gt;=100000,INDEX($AC$1005:$AS$1005,1,MATCH(COLUMNS($AC$1006:AF1006),$AC$1006:$AS$1006,0))&gt;=100000), " ",IF(INDEX($AC$2:$AS$1001,MATCH(ROWS($V$2:V952),$V$2:$V$1001,0),MATCH(COLUMNS($AC$1006:AF1006),$AC$1006:$AS$1006,0)), HYPERLINK("#",""), HYPERLINK(CONCATENATE("#metadata!", ADDRESS(INDEX($X$2:$X$1001,MATCH(ROWS($V$2:V952),$V$2:$V$1001,0),0), INDEX($AC$1004:$AS$1004,1,MATCH(COLUMNS($AC$1006:AF1006),$AC$1006:$AS$1006,0)))),"Fix")))</f>
        <v xml:space="preserve"> </v>
      </c>
      <c r="F952" s="4" t="str">
        <f ca="1">IF(OR(INDEX($W$2:$W$1001,MATCH(ROWS($V$2:V952),$V$2:$V$1001,0),1)&gt;=100000,INDEX($AC$1005:$AS$1005,1,MATCH(COLUMNS($AC$1006:AG1006),$AC$1006:$AS$1006,0))&gt;=100000), " ",IF(INDEX($AC$2:$AS$1001,MATCH(ROWS($V$2:V952),$V$2:$V$1001,0),MATCH(COLUMNS($AC$1006:AG1006),$AC$1006:$AS$1006,0)), HYPERLINK("#",""), HYPERLINK(CONCATENATE("#metadata!", ADDRESS(INDEX($X$2:$X$1001,MATCH(ROWS($V$2:V952),$V$2:$V$1001,0),0), INDEX($AC$1004:$AS$1004,1,MATCH(COLUMNS($AC$1006:AG1006),$AC$1006:$AS$1006,0)))),"Fix")))</f>
        <v xml:space="preserve"> </v>
      </c>
      <c r="G952" s="4" t="str">
        <f ca="1">IF(OR(INDEX($W$2:$W$1001,MATCH(ROWS($V$2:V952),$V$2:$V$1001,0),1)&gt;=100000,INDEX($AC$1005:$AS$1005,1,MATCH(COLUMNS($AC$1006:AH1006),$AC$1006:$AS$1006,0))&gt;=100000), " ",IF(INDEX($AC$2:$AS$1001,MATCH(ROWS($V$2:V952),$V$2:$V$1001,0),MATCH(COLUMNS($AC$1006:AH1006),$AC$1006:$AS$1006,0)), HYPERLINK("#",""), HYPERLINK(CONCATENATE("#metadata!", ADDRESS(INDEX($X$2:$X$1001,MATCH(ROWS($V$2:V952),$V$2:$V$1001,0),0), INDEX($AC$1004:$AS$1004,1,MATCH(COLUMNS($AC$1006:AH1006),$AC$1006:$AS$1006,0)))),"Fix")))</f>
        <v xml:space="preserve"> </v>
      </c>
      <c r="H952" s="4" t="str">
        <f ca="1">IF(OR(INDEX($W$2:$W$1001,MATCH(ROWS($V$2:V952),$V$2:$V$1001,0),1)&gt;=100000,INDEX($AC$1005:$AS$1005,1,MATCH(COLUMNS($AC$1006:AI1006),$AC$1006:$AS$1006,0))&gt;=100000), " ",IF(INDEX($AC$2:$AS$1001,MATCH(ROWS($V$2:V952),$V$2:$V$1001,0),MATCH(COLUMNS($AC$1006:AI1006),$AC$1006:$AS$1006,0)), HYPERLINK("#",""), HYPERLINK(CONCATENATE("#metadata!", ADDRESS(INDEX($X$2:$X$1001,MATCH(ROWS($V$2:V952),$V$2:$V$1001,0),0), INDEX($AC$1004:$AS$1004,1,MATCH(COLUMNS($AC$1006:AI1006),$AC$1006:$AS$1006,0)))),"Fix")))</f>
        <v xml:space="preserve"> </v>
      </c>
      <c r="I952" s="4" t="str">
        <f ca="1">IF(OR(INDEX($W$2:$W$1001,MATCH(ROWS($V$2:V952),$V$2:$V$1001,0),1)&gt;=100000,INDEX($AC$1005:$AS$1005,1,MATCH(COLUMNS($AC$1006:AJ1006),$AC$1006:$AS$1006,0))&gt;=100000), " ",IF(INDEX($AC$2:$AS$1001,MATCH(ROWS($V$2:V952),$V$2:$V$1001,0),MATCH(COLUMNS($AC$1006:AJ1006),$AC$1006:$AS$1006,0)), HYPERLINK("#",""), HYPERLINK(CONCATENATE("#metadata!", ADDRESS(INDEX($X$2:$X$1001,MATCH(ROWS($V$2:V952),$V$2:$V$1001,0),0), INDEX($AC$1004:$AS$1004,1,MATCH(COLUMNS($AC$1006:AJ1006),$AC$1006:$AS$1006,0)))),"Fix")))</f>
        <v xml:space="preserve"> </v>
      </c>
      <c r="J952" s="4" t="str">
        <f ca="1">IF(OR(INDEX($W$2:$W$1001,MATCH(ROWS($V$2:V952),$V$2:$V$1001,0),1)&gt;=100000,INDEX($AC$1005:$AS$1005,1,MATCH(COLUMNS($AC$1006:AK1006),$AC$1006:$AS$1006,0))&gt;=100000), " ",IF(INDEX($AC$2:$AS$1001,MATCH(ROWS($V$2:V952),$V$2:$V$1001,0),MATCH(COLUMNS($AC$1006:AK1006),$AC$1006:$AS$1006,0)), HYPERLINK("#",""), HYPERLINK(CONCATENATE("#metadata!", ADDRESS(INDEX($X$2:$X$1001,MATCH(ROWS($V$2:V952),$V$2:$V$1001,0),0), INDEX($AC$1004:$AS$1004,1,MATCH(COLUMNS($AC$1006:AK1006),$AC$1006:$AS$1006,0)))),"Fix")))</f>
        <v xml:space="preserve"> </v>
      </c>
      <c r="K952" s="4" t="str">
        <f ca="1">IF(OR(INDEX($W$2:$W$1001,MATCH(ROWS($V$2:V952),$V$2:$V$1001,0),1)&gt;=100000,INDEX($AC$1005:$AS$1005,1,MATCH(COLUMNS($AC$1006:AL1006),$AC$1006:$AS$1006,0))&gt;=100000), " ",IF(INDEX($AC$2:$AS$1001,MATCH(ROWS($V$2:V952),$V$2:$V$1001,0),MATCH(COLUMNS($AC$1006:AL1006),$AC$1006:$AS$1006,0)), HYPERLINK("#",""), HYPERLINK(CONCATENATE("#metadata!", ADDRESS(INDEX($X$2:$X$1001,MATCH(ROWS($V$2:V952),$V$2:$V$1001,0),0), INDEX($AC$1004:$AS$1004,1,MATCH(COLUMNS($AC$1006:AL1006),$AC$1006:$AS$1006,0)))),"Fix")))</f>
        <v xml:space="preserve"> </v>
      </c>
      <c r="L952" s="4" t="str">
        <f ca="1">IF(OR(INDEX($W$2:$W$1001,MATCH(ROWS($V$2:V952),$V$2:$V$1001,0),1)&gt;=100000,INDEX($AC$1005:$AS$1005,1,MATCH(COLUMNS($AC$1006:AM1006),$AC$1006:$AS$1006,0))&gt;=100000), " ",IF(INDEX($AC$2:$AS$1001,MATCH(ROWS($V$2:V952),$V$2:$V$1001,0),MATCH(COLUMNS($AC$1006:AM1006),$AC$1006:$AS$1006,0)), HYPERLINK("#",""), HYPERLINK(CONCATENATE("#metadata!", ADDRESS(INDEX($X$2:$X$1001,MATCH(ROWS($V$2:V952),$V$2:$V$1001,0),0), INDEX($AC$1004:$AS$1004,1,MATCH(COLUMNS($AC$1006:AM1006),$AC$1006:$AS$1006,0)))),"Fix")))</f>
        <v xml:space="preserve"> </v>
      </c>
      <c r="M952" s="4" t="str">
        <f ca="1">IF(OR(INDEX($W$2:$W$1001,MATCH(ROWS($V$2:V952),$V$2:$V$1001,0),1)&gt;=100000,INDEX($AC$1005:$AS$1005,1,MATCH(COLUMNS($AC$1006:AN1006),$AC$1006:$AS$1006,0))&gt;=100000), " ",IF(INDEX($AC$2:$AS$1001,MATCH(ROWS($V$2:V952),$V$2:$V$1001,0),MATCH(COLUMNS($AC$1006:AN1006),$AC$1006:$AS$1006,0)), HYPERLINK("#",""), HYPERLINK(CONCATENATE("#metadata!", ADDRESS(INDEX($X$2:$X$1001,MATCH(ROWS($V$2:V952),$V$2:$V$1001,0),0), INDEX($AC$1004:$AS$1004,1,MATCH(COLUMNS($AC$1006:AN1006),$AC$1006:$AS$1006,0)))),"Fix")))</f>
        <v xml:space="preserve"> </v>
      </c>
      <c r="N952" s="4" t="str">
        <f ca="1">IF(OR(INDEX($W$2:$W$1001,MATCH(ROWS($V$2:V952),$V$2:$V$1001,0),1)&gt;=100000,INDEX($AC$1005:$AS$1005,1,MATCH(COLUMNS($AC$1006:AO1006),$AC$1006:$AS$1006,0))&gt;=100000), " ",IF(INDEX($AC$2:$AS$1001,MATCH(ROWS($V$2:V952),$V$2:$V$1001,0),MATCH(COLUMNS($AC$1006:AO1006),$AC$1006:$AS$1006,0)), HYPERLINK("#",""), HYPERLINK(CONCATENATE("#metadata!", ADDRESS(INDEX($X$2:$X$1001,MATCH(ROWS($V$2:V952),$V$2:$V$1001,0),0), INDEX($AC$1004:$AS$1004,1,MATCH(COLUMNS($AC$1006:AO1006),$AC$1006:$AS$1006,0)))),"Fix")))</f>
        <v xml:space="preserve"> </v>
      </c>
      <c r="O952" s="4" t="str">
        <f ca="1">IF(OR(INDEX($W$2:$W$1001,MATCH(ROWS($V$2:V952),$V$2:$V$1001,0),1)&gt;=100000,INDEX($AC$1005:$AS$1005,1,MATCH(COLUMNS($AC$1006:AP1006),$AC$1006:$AS$1006,0))&gt;=100000), " ",IF(INDEX($AC$2:$AS$1001,MATCH(ROWS($V$2:V952),$V$2:$V$1001,0),MATCH(COLUMNS($AC$1006:AP1006),$AC$1006:$AS$1006,0)), HYPERLINK("#",""), HYPERLINK(CONCATENATE("#metadata!", ADDRESS(INDEX($X$2:$X$1001,MATCH(ROWS($V$2:V952),$V$2:$V$1001,0),0), INDEX($AC$1004:$AS$1004,1,MATCH(COLUMNS($AC$1006:AP1006),$AC$1006:$AS$1006,0)))),"Fix")))</f>
        <v xml:space="preserve"> </v>
      </c>
      <c r="P952" s="4" t="str">
        <f ca="1">IF(OR(INDEX($W$2:$W$1001,MATCH(ROWS($V$2:V952),$V$2:$V$1001,0),1)&gt;=100000,INDEX($AC$1005:$AS$1005,1,MATCH(COLUMNS($AC$1006:AQ1006),$AC$1006:$AS$1006,0))&gt;=100000), " ",IF(INDEX($AC$2:$AS$1001,MATCH(ROWS($V$2:V952),$V$2:$V$1001,0),MATCH(COLUMNS($AC$1006:AQ1006),$AC$1006:$AS$1006,0)), HYPERLINK("#",""), HYPERLINK(CONCATENATE("#metadata!", ADDRESS(INDEX($X$2:$X$1001,MATCH(ROWS($V$2:V952),$V$2:$V$1001,0),0), INDEX($AC$1004:$AS$1004,1,MATCH(COLUMNS($AC$1006:AQ1006),$AC$1006:$AS$1006,0)))),"Fix")))</f>
        <v xml:space="preserve"> </v>
      </c>
      <c r="Q952" s="4" t="str">
        <f ca="1">IF(OR(INDEX($W$2:$W$1001,MATCH(ROWS($V$2:V952),$V$2:$V$1001,0),1)&gt;=100000,INDEX($AC$1005:$AS$1005,1,MATCH(COLUMNS($AC$1006:AR1006),$AC$1006:$AS$1006,0))&gt;=100000), " ",IF(INDEX($AC$2:$AS$1001,MATCH(ROWS($V$2:V952),$V$2:$V$1001,0),MATCH(COLUMNS($AC$1006:AR1006),$AC$1006:$AS$1006,0)), HYPERLINK("#",""), HYPERLINK(CONCATENATE("#metadata!", ADDRESS(INDEX($X$2:$X$1001,MATCH(ROWS($V$2:V952),$V$2:$V$1001,0),0), INDEX($AC$1004:$AS$1004,1,MATCH(COLUMNS($AC$1006:AR1006),$AC$1006:$AS$1006,0)))),"Fix")))</f>
        <v xml:space="preserve"> </v>
      </c>
      <c r="R952" s="4" t="str">
        <f ca="1">IF(OR(INDEX($W$2:$W$1001,MATCH(ROWS($V$2:V952),$V$2:$V$1001,0),1)&gt;=100000,INDEX($AC$1005:$AS$1005,1,MATCH(COLUMNS($AC$1006:AS1006),$AC$1006:$AS$1006,0))&gt;=100000), " ",IF(INDEX($AC$2:$AS$1001,MATCH(ROWS($V$2:V952),$V$2:$V$1001,0),MATCH(COLUMNS($AC$1006:AS1006),$AC$1006:$AS$1006,0)), HYPERLINK("#",""), HYPERLINK(CONCATENATE("#metadata!", ADDRESS(INDEX($X$2:$X$1001,MATCH(ROWS($V$2:V952),$V$2:$V$1001,0),0), INDEX($AC$1004:$AS$1004,1,MATCH(COLUMNS($AC$1006:AS1006),$AC$1006:$AS$1006,0)))),"Fix")))</f>
        <v xml:space="preserve"> </v>
      </c>
      <c r="V952">
        <v>951</v>
      </c>
      <c r="W952">
        <v>100952</v>
      </c>
      <c r="X952">
        <v>952</v>
      </c>
      <c r="Y952" t="b">
        <f t="shared" si="14"/>
        <v>1</v>
      </c>
      <c r="Z952" t="b">
        <f>COUNTBLANK(metadata!B952:R952)=COLUMNS(metadata!B952:R952)</f>
        <v>1</v>
      </c>
      <c r="AA952" t="str">
        <v/>
      </c>
      <c r="AC952" t="b">
        <f ca="1"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AD952" t="b">
        <f>IF(metadata!C952="",FALSE,ISNUMBER(VALUE(metadata!C952)))</f>
        <v>0</v>
      </c>
      <c r="AE952" t="b">
        <f>AND(IF(metadata!D952="",FALSE,TRUE),EXACT(metadata!D952,"years"))</f>
        <v>0</v>
      </c>
      <c r="AF952" t="b">
        <f>OR(AND(IF(metadata!E952="",FALSE,TRUE),OR(EXACT(metadata!E952,"not applicable"),EXACT(metadata!E952,"missing: not collected"),EXACT(metadata!E952,"missing: not provided"),EXACT(metadata!E952,"missing: restricted access"))),AND(IF(metadata!E952="",FALSE,ISNUMBER(VALUE(metadata!E952))),metadata!E952&gt;0))</f>
        <v>0</v>
      </c>
      <c r="AG952" t="b">
        <f>AND(IF(metadata!F952="",FALSE,TRUE),EXACT(metadata!F952,"Not applicable"))</f>
        <v>0</v>
      </c>
      <c r="AH952" t="b">
        <f>AND(IF(metadata!G952="",FALSE,TRUE),EXACT(metadata!G952,"urban biome"))</f>
        <v>0</v>
      </c>
      <c r="AI952" t="b">
        <f>AND(IF(metadata!H952="",FALSE,TRUE),EXACT(metadata!H952,"human-associated habitat"))</f>
        <v>0</v>
      </c>
      <c r="AJ952" t="b">
        <f>AND(IF(metadata!I952="",FALSE,TRUE),OR(EXACT(metadata!I952,"human-associated"),EXACT(metadata!I952,"human-skin"),EXACT(metadata!I952,"human-oral"),EXACT(metadata!I952,"human-gut"),EXACT(metadata!I952,"human-vaginal")))</f>
        <v>0</v>
      </c>
      <c r="AK952" t="b">
        <f>IF(metadata!J952="",FALSE,ISNUMBER(VALUE(metadata!J952)))</f>
        <v>0</v>
      </c>
      <c r="AL952" t="b">
        <f>AND(IF(metadata!K952="",FALSE,TRUE),EXACT(metadata!K952,"cm"))</f>
        <v>0</v>
      </c>
      <c r="AM952" t="b">
        <f>AND(IF(metadata!L952="",FALSE,TRUE),EXACT(metadata!L952,"human"))</f>
        <v>0</v>
      </c>
      <c r="AN952" t="b">
        <f>AND(IF(metadata!M952="",FALSE,TRUE),EXACT(metadata!M952,"Homo sapiens"))</f>
        <v>0</v>
      </c>
      <c r="AO952" t="b">
        <f>AND(IF(metadata!N952="",FALSE,TRUE),EXACT(metadata!N952,"9606"))</f>
        <v>0</v>
      </c>
      <c r="AP952" t="b">
        <f>IF(metadata!O952="",FALSE,TRUE)</f>
        <v>0</v>
      </c>
      <c r="AQ952" t="b">
        <f>IF(metadata!P952="",FALSE,TRUE)</f>
        <v>0</v>
      </c>
      <c r="AR952" t="b">
        <f>IF(metadata!Q952="",FALSE,ISNUMBER(VALUE(metadata!Q952)))</f>
        <v>0</v>
      </c>
      <c r="AS952" t="b">
        <f>AND(IF(metadata!R952="",FALSE,TRUE),EXACT(metadata!R952,"kg"))</f>
        <v>0</v>
      </c>
    </row>
    <row r="953" spans="1:45" x14ac:dyDescent="0.2">
      <c r="A953" s="5" t="str">
        <f ca="1">IF(B953=" "," ",HYPERLINK(CONCATENATE("#metadata!",ADDRESS(INDEX($X$2:$X$1001,MATCH(ROWS($V$2:V953),$V$2:$V$1001,0),0),1)),INDEX($AA$2:$AA$1001,MATCH(ROWS($V$2:V953),$V$2:$V$1001,0),0)))</f>
        <v xml:space="preserve"> </v>
      </c>
      <c r="B953" s="4" t="str">
        <f ca="1">IF(OR(INDEX($W$2:$W$1001,MATCH(ROWS($V$2:V953),$V$2:$V$1001,0),1)&gt;=100000,INDEX($AC$1005:$AS$1005,1,MATCH(COLUMNS($AC$1006:AC1006),$AC$1006:$AS$1006,0))&gt;=100000), " ",IF(INDEX($AC$2:$AS$1001,MATCH(ROWS($V$2:V953),$V$2:$V$1001,0),MATCH(COLUMNS($AC$1006:AC1006),$AC$1006:$AS$1006,0)), HYPERLINK("#",""), HYPERLINK(CONCATENATE("#metadata!", ADDRESS(INDEX($X$2:$X$1001,MATCH(ROWS($V$2:V953),$V$2:$V$1001,0),0), INDEX($AC$1004:$AS$1004,1,MATCH(COLUMNS($AC$1006:AC1006),$AC$1006:$AS$1006,0)))),"Fix")))</f>
        <v xml:space="preserve"> </v>
      </c>
      <c r="C953" s="4" t="str">
        <f ca="1">IF(OR(INDEX($W$2:$W$1001,MATCH(ROWS($V$2:V953),$V$2:$V$1001,0),1)&gt;=100000,INDEX($AC$1005:$AS$1005,1,MATCH(COLUMNS($AC$1006:AD1006),$AC$1006:$AS$1006,0))&gt;=100000), " ",IF(INDEX($AC$2:$AS$1001,MATCH(ROWS($V$2:V953),$V$2:$V$1001,0),MATCH(COLUMNS($AC$1006:AD1006),$AC$1006:$AS$1006,0)), HYPERLINK("#",""), HYPERLINK(CONCATENATE("#metadata!", ADDRESS(INDEX($X$2:$X$1001,MATCH(ROWS($V$2:V953),$V$2:$V$1001,0),0), INDEX($AC$1004:$AS$1004,1,MATCH(COLUMNS($AC$1006:AD1006),$AC$1006:$AS$1006,0)))),"Fix")))</f>
        <v xml:space="preserve"> </v>
      </c>
      <c r="D953" s="4" t="str">
        <f ca="1">IF(OR(INDEX($W$2:$W$1001,MATCH(ROWS($V$2:V953),$V$2:$V$1001,0),1)&gt;=100000,INDEX($AC$1005:$AS$1005,1,MATCH(COLUMNS($AC$1006:AE1006),$AC$1006:$AS$1006,0))&gt;=100000), " ",IF(INDEX($AC$2:$AS$1001,MATCH(ROWS($V$2:V953),$V$2:$V$1001,0),MATCH(COLUMNS($AC$1006:AE1006),$AC$1006:$AS$1006,0)), HYPERLINK("#",""), HYPERLINK(CONCATENATE("#metadata!", ADDRESS(INDEX($X$2:$X$1001,MATCH(ROWS($V$2:V953),$V$2:$V$1001,0),0), INDEX($AC$1004:$AS$1004,1,MATCH(COLUMNS($AC$1006:AE1006),$AC$1006:$AS$1006,0)))),"Fix")))</f>
        <v xml:space="preserve"> </v>
      </c>
      <c r="E953" s="4" t="str">
        <f ca="1">IF(OR(INDEX($W$2:$W$1001,MATCH(ROWS($V$2:V953),$V$2:$V$1001,0),1)&gt;=100000,INDEX($AC$1005:$AS$1005,1,MATCH(COLUMNS($AC$1006:AF1006),$AC$1006:$AS$1006,0))&gt;=100000), " ",IF(INDEX($AC$2:$AS$1001,MATCH(ROWS($V$2:V953),$V$2:$V$1001,0),MATCH(COLUMNS($AC$1006:AF1006),$AC$1006:$AS$1006,0)), HYPERLINK("#",""), HYPERLINK(CONCATENATE("#metadata!", ADDRESS(INDEX($X$2:$X$1001,MATCH(ROWS($V$2:V953),$V$2:$V$1001,0),0), INDEX($AC$1004:$AS$1004,1,MATCH(COLUMNS($AC$1006:AF1006),$AC$1006:$AS$1006,0)))),"Fix")))</f>
        <v xml:space="preserve"> </v>
      </c>
      <c r="F953" s="4" t="str">
        <f ca="1">IF(OR(INDEX($W$2:$W$1001,MATCH(ROWS($V$2:V953),$V$2:$V$1001,0),1)&gt;=100000,INDEX($AC$1005:$AS$1005,1,MATCH(COLUMNS($AC$1006:AG1006),$AC$1006:$AS$1006,0))&gt;=100000), " ",IF(INDEX($AC$2:$AS$1001,MATCH(ROWS($V$2:V953),$V$2:$V$1001,0),MATCH(COLUMNS($AC$1006:AG1006),$AC$1006:$AS$1006,0)), HYPERLINK("#",""), HYPERLINK(CONCATENATE("#metadata!", ADDRESS(INDEX($X$2:$X$1001,MATCH(ROWS($V$2:V953),$V$2:$V$1001,0),0), INDEX($AC$1004:$AS$1004,1,MATCH(COLUMNS($AC$1006:AG1006),$AC$1006:$AS$1006,0)))),"Fix")))</f>
        <v xml:space="preserve"> </v>
      </c>
      <c r="G953" s="4" t="str">
        <f ca="1">IF(OR(INDEX($W$2:$W$1001,MATCH(ROWS($V$2:V953),$V$2:$V$1001,0),1)&gt;=100000,INDEX($AC$1005:$AS$1005,1,MATCH(COLUMNS($AC$1006:AH1006),$AC$1006:$AS$1006,0))&gt;=100000), " ",IF(INDEX($AC$2:$AS$1001,MATCH(ROWS($V$2:V953),$V$2:$V$1001,0),MATCH(COLUMNS($AC$1006:AH1006),$AC$1006:$AS$1006,0)), HYPERLINK("#",""), HYPERLINK(CONCATENATE("#metadata!", ADDRESS(INDEX($X$2:$X$1001,MATCH(ROWS($V$2:V953),$V$2:$V$1001,0),0), INDEX($AC$1004:$AS$1004,1,MATCH(COLUMNS($AC$1006:AH1006),$AC$1006:$AS$1006,0)))),"Fix")))</f>
        <v xml:space="preserve"> </v>
      </c>
      <c r="H953" s="4" t="str">
        <f ca="1">IF(OR(INDEX($W$2:$W$1001,MATCH(ROWS($V$2:V953),$V$2:$V$1001,0),1)&gt;=100000,INDEX($AC$1005:$AS$1005,1,MATCH(COLUMNS($AC$1006:AI1006),$AC$1006:$AS$1006,0))&gt;=100000), " ",IF(INDEX($AC$2:$AS$1001,MATCH(ROWS($V$2:V953),$V$2:$V$1001,0),MATCH(COLUMNS($AC$1006:AI1006),$AC$1006:$AS$1006,0)), HYPERLINK("#",""), HYPERLINK(CONCATENATE("#metadata!", ADDRESS(INDEX($X$2:$X$1001,MATCH(ROWS($V$2:V953),$V$2:$V$1001,0),0), INDEX($AC$1004:$AS$1004,1,MATCH(COLUMNS($AC$1006:AI1006),$AC$1006:$AS$1006,0)))),"Fix")))</f>
        <v xml:space="preserve"> </v>
      </c>
      <c r="I953" s="4" t="str">
        <f ca="1">IF(OR(INDEX($W$2:$W$1001,MATCH(ROWS($V$2:V953),$V$2:$V$1001,0),1)&gt;=100000,INDEX($AC$1005:$AS$1005,1,MATCH(COLUMNS($AC$1006:AJ1006),$AC$1006:$AS$1006,0))&gt;=100000), " ",IF(INDEX($AC$2:$AS$1001,MATCH(ROWS($V$2:V953),$V$2:$V$1001,0),MATCH(COLUMNS($AC$1006:AJ1006),$AC$1006:$AS$1006,0)), HYPERLINK("#",""), HYPERLINK(CONCATENATE("#metadata!", ADDRESS(INDEX($X$2:$X$1001,MATCH(ROWS($V$2:V953),$V$2:$V$1001,0),0), INDEX($AC$1004:$AS$1004,1,MATCH(COLUMNS($AC$1006:AJ1006),$AC$1006:$AS$1006,0)))),"Fix")))</f>
        <v xml:space="preserve"> </v>
      </c>
      <c r="J953" s="4" t="str">
        <f ca="1">IF(OR(INDEX($W$2:$W$1001,MATCH(ROWS($V$2:V953),$V$2:$V$1001,0),1)&gt;=100000,INDEX($AC$1005:$AS$1005,1,MATCH(COLUMNS($AC$1006:AK1006),$AC$1006:$AS$1006,0))&gt;=100000), " ",IF(INDEX($AC$2:$AS$1001,MATCH(ROWS($V$2:V953),$V$2:$V$1001,0),MATCH(COLUMNS($AC$1006:AK1006),$AC$1006:$AS$1006,0)), HYPERLINK("#",""), HYPERLINK(CONCATENATE("#metadata!", ADDRESS(INDEX($X$2:$X$1001,MATCH(ROWS($V$2:V953),$V$2:$V$1001,0),0), INDEX($AC$1004:$AS$1004,1,MATCH(COLUMNS($AC$1006:AK1006),$AC$1006:$AS$1006,0)))),"Fix")))</f>
        <v xml:space="preserve"> </v>
      </c>
      <c r="K953" s="4" t="str">
        <f ca="1">IF(OR(INDEX($W$2:$W$1001,MATCH(ROWS($V$2:V953),$V$2:$V$1001,0),1)&gt;=100000,INDEX($AC$1005:$AS$1005,1,MATCH(COLUMNS($AC$1006:AL1006),$AC$1006:$AS$1006,0))&gt;=100000), " ",IF(INDEX($AC$2:$AS$1001,MATCH(ROWS($V$2:V953),$V$2:$V$1001,0),MATCH(COLUMNS($AC$1006:AL1006),$AC$1006:$AS$1006,0)), HYPERLINK("#",""), HYPERLINK(CONCATENATE("#metadata!", ADDRESS(INDEX($X$2:$X$1001,MATCH(ROWS($V$2:V953),$V$2:$V$1001,0),0), INDEX($AC$1004:$AS$1004,1,MATCH(COLUMNS($AC$1006:AL1006),$AC$1006:$AS$1006,0)))),"Fix")))</f>
        <v xml:space="preserve"> </v>
      </c>
      <c r="L953" s="4" t="str">
        <f ca="1">IF(OR(INDEX($W$2:$W$1001,MATCH(ROWS($V$2:V953),$V$2:$V$1001,0),1)&gt;=100000,INDEX($AC$1005:$AS$1005,1,MATCH(COLUMNS($AC$1006:AM1006),$AC$1006:$AS$1006,0))&gt;=100000), " ",IF(INDEX($AC$2:$AS$1001,MATCH(ROWS($V$2:V953),$V$2:$V$1001,0),MATCH(COLUMNS($AC$1006:AM1006),$AC$1006:$AS$1006,0)), HYPERLINK("#",""), HYPERLINK(CONCATENATE("#metadata!", ADDRESS(INDEX($X$2:$X$1001,MATCH(ROWS($V$2:V953),$V$2:$V$1001,0),0), INDEX($AC$1004:$AS$1004,1,MATCH(COLUMNS($AC$1006:AM1006),$AC$1006:$AS$1006,0)))),"Fix")))</f>
        <v xml:space="preserve"> </v>
      </c>
      <c r="M953" s="4" t="str">
        <f ca="1">IF(OR(INDEX($W$2:$W$1001,MATCH(ROWS($V$2:V953),$V$2:$V$1001,0),1)&gt;=100000,INDEX($AC$1005:$AS$1005,1,MATCH(COLUMNS($AC$1006:AN1006),$AC$1006:$AS$1006,0))&gt;=100000), " ",IF(INDEX($AC$2:$AS$1001,MATCH(ROWS($V$2:V953),$V$2:$V$1001,0),MATCH(COLUMNS($AC$1006:AN1006),$AC$1006:$AS$1006,0)), HYPERLINK("#",""), HYPERLINK(CONCATENATE("#metadata!", ADDRESS(INDEX($X$2:$X$1001,MATCH(ROWS($V$2:V953),$V$2:$V$1001,0),0), INDEX($AC$1004:$AS$1004,1,MATCH(COLUMNS($AC$1006:AN1006),$AC$1006:$AS$1006,0)))),"Fix")))</f>
        <v xml:space="preserve"> </v>
      </c>
      <c r="N953" s="4" t="str">
        <f ca="1">IF(OR(INDEX($W$2:$W$1001,MATCH(ROWS($V$2:V953),$V$2:$V$1001,0),1)&gt;=100000,INDEX($AC$1005:$AS$1005,1,MATCH(COLUMNS($AC$1006:AO1006),$AC$1006:$AS$1006,0))&gt;=100000), " ",IF(INDEX($AC$2:$AS$1001,MATCH(ROWS($V$2:V953),$V$2:$V$1001,0),MATCH(COLUMNS($AC$1006:AO1006),$AC$1006:$AS$1006,0)), HYPERLINK("#",""), HYPERLINK(CONCATENATE("#metadata!", ADDRESS(INDEX($X$2:$X$1001,MATCH(ROWS($V$2:V953),$V$2:$V$1001,0),0), INDEX($AC$1004:$AS$1004,1,MATCH(COLUMNS($AC$1006:AO1006),$AC$1006:$AS$1006,0)))),"Fix")))</f>
        <v xml:space="preserve"> </v>
      </c>
      <c r="O953" s="4" t="str">
        <f ca="1">IF(OR(INDEX($W$2:$W$1001,MATCH(ROWS($V$2:V953),$V$2:$V$1001,0),1)&gt;=100000,INDEX($AC$1005:$AS$1005,1,MATCH(COLUMNS($AC$1006:AP1006),$AC$1006:$AS$1006,0))&gt;=100000), " ",IF(INDEX($AC$2:$AS$1001,MATCH(ROWS($V$2:V953),$V$2:$V$1001,0),MATCH(COLUMNS($AC$1006:AP1006),$AC$1006:$AS$1006,0)), HYPERLINK("#",""), HYPERLINK(CONCATENATE("#metadata!", ADDRESS(INDEX($X$2:$X$1001,MATCH(ROWS($V$2:V953),$V$2:$V$1001,0),0), INDEX($AC$1004:$AS$1004,1,MATCH(COLUMNS($AC$1006:AP1006),$AC$1006:$AS$1006,0)))),"Fix")))</f>
        <v xml:space="preserve"> </v>
      </c>
      <c r="P953" s="4" t="str">
        <f ca="1">IF(OR(INDEX($W$2:$W$1001,MATCH(ROWS($V$2:V953),$V$2:$V$1001,0),1)&gt;=100000,INDEX($AC$1005:$AS$1005,1,MATCH(COLUMNS($AC$1006:AQ1006),$AC$1006:$AS$1006,0))&gt;=100000), " ",IF(INDEX($AC$2:$AS$1001,MATCH(ROWS($V$2:V953),$V$2:$V$1001,0),MATCH(COLUMNS($AC$1006:AQ1006),$AC$1006:$AS$1006,0)), HYPERLINK("#",""), HYPERLINK(CONCATENATE("#metadata!", ADDRESS(INDEX($X$2:$X$1001,MATCH(ROWS($V$2:V953),$V$2:$V$1001,0),0), INDEX($AC$1004:$AS$1004,1,MATCH(COLUMNS($AC$1006:AQ1006),$AC$1006:$AS$1006,0)))),"Fix")))</f>
        <v xml:space="preserve"> </v>
      </c>
      <c r="Q953" s="4" t="str">
        <f ca="1">IF(OR(INDEX($W$2:$W$1001,MATCH(ROWS($V$2:V953),$V$2:$V$1001,0),1)&gt;=100000,INDEX($AC$1005:$AS$1005,1,MATCH(COLUMNS($AC$1006:AR1006),$AC$1006:$AS$1006,0))&gt;=100000), " ",IF(INDEX($AC$2:$AS$1001,MATCH(ROWS($V$2:V953),$V$2:$V$1001,0),MATCH(COLUMNS($AC$1006:AR1006),$AC$1006:$AS$1006,0)), HYPERLINK("#",""), HYPERLINK(CONCATENATE("#metadata!", ADDRESS(INDEX($X$2:$X$1001,MATCH(ROWS($V$2:V953),$V$2:$V$1001,0),0), INDEX($AC$1004:$AS$1004,1,MATCH(COLUMNS($AC$1006:AR1006),$AC$1006:$AS$1006,0)))),"Fix")))</f>
        <v xml:space="preserve"> </v>
      </c>
      <c r="R953" s="4" t="str">
        <f ca="1">IF(OR(INDEX($W$2:$W$1001,MATCH(ROWS($V$2:V953),$V$2:$V$1001,0),1)&gt;=100000,INDEX($AC$1005:$AS$1005,1,MATCH(COLUMNS($AC$1006:AS1006),$AC$1006:$AS$1006,0))&gt;=100000), " ",IF(INDEX($AC$2:$AS$1001,MATCH(ROWS($V$2:V953),$V$2:$V$1001,0),MATCH(COLUMNS($AC$1006:AS1006),$AC$1006:$AS$1006,0)), HYPERLINK("#",""), HYPERLINK(CONCATENATE("#metadata!", ADDRESS(INDEX($X$2:$X$1001,MATCH(ROWS($V$2:V953),$V$2:$V$1001,0),0), INDEX($AC$1004:$AS$1004,1,MATCH(COLUMNS($AC$1006:AS1006),$AC$1006:$AS$1006,0)))),"Fix")))</f>
        <v xml:space="preserve"> </v>
      </c>
      <c r="V953">
        <v>952</v>
      </c>
      <c r="W953">
        <v>100953</v>
      </c>
      <c r="X953">
        <v>953</v>
      </c>
      <c r="Y953" t="b">
        <f t="shared" si="14"/>
        <v>1</v>
      </c>
      <c r="Z953" t="b">
        <f>COUNTBLANK(metadata!B953:R953)=COLUMNS(metadata!B953:R953)</f>
        <v>1</v>
      </c>
      <c r="AA953" t="str">
        <v/>
      </c>
      <c r="AC953" t="b">
        <f ca="1"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AD953" t="b">
        <f>IF(metadata!C953="",FALSE,ISNUMBER(VALUE(metadata!C953)))</f>
        <v>0</v>
      </c>
      <c r="AE953" t="b">
        <f>AND(IF(metadata!D953="",FALSE,TRUE),EXACT(metadata!D953,"years"))</f>
        <v>0</v>
      </c>
      <c r="AF953" t="b">
        <f>OR(AND(IF(metadata!E953="",FALSE,TRUE),OR(EXACT(metadata!E953,"not applicable"),EXACT(metadata!E953,"missing: not collected"),EXACT(metadata!E953,"missing: not provided"),EXACT(metadata!E953,"missing: restricted access"))),AND(IF(metadata!E953="",FALSE,ISNUMBER(VALUE(metadata!E953))),metadata!E953&gt;0))</f>
        <v>0</v>
      </c>
      <c r="AG953" t="b">
        <f>AND(IF(metadata!F953="",FALSE,TRUE),EXACT(metadata!F953,"Not applicable"))</f>
        <v>0</v>
      </c>
      <c r="AH953" t="b">
        <f>AND(IF(metadata!G953="",FALSE,TRUE),EXACT(metadata!G953,"urban biome"))</f>
        <v>0</v>
      </c>
      <c r="AI953" t="b">
        <f>AND(IF(metadata!H953="",FALSE,TRUE),EXACT(metadata!H953,"human-associated habitat"))</f>
        <v>0</v>
      </c>
      <c r="AJ953" t="b">
        <f>AND(IF(metadata!I953="",FALSE,TRUE),OR(EXACT(metadata!I953,"human-associated"),EXACT(metadata!I953,"human-skin"),EXACT(metadata!I953,"human-oral"),EXACT(metadata!I953,"human-gut"),EXACT(metadata!I953,"human-vaginal")))</f>
        <v>0</v>
      </c>
      <c r="AK953" t="b">
        <f>IF(metadata!J953="",FALSE,ISNUMBER(VALUE(metadata!J953)))</f>
        <v>0</v>
      </c>
      <c r="AL953" t="b">
        <f>AND(IF(metadata!K953="",FALSE,TRUE),EXACT(metadata!K953,"cm"))</f>
        <v>0</v>
      </c>
      <c r="AM953" t="b">
        <f>AND(IF(metadata!L953="",FALSE,TRUE),EXACT(metadata!L953,"human"))</f>
        <v>0</v>
      </c>
      <c r="AN953" t="b">
        <f>AND(IF(metadata!M953="",FALSE,TRUE),EXACT(metadata!M953,"Homo sapiens"))</f>
        <v>0</v>
      </c>
      <c r="AO953" t="b">
        <f>AND(IF(metadata!N953="",FALSE,TRUE),EXACT(metadata!N953,"9606"))</f>
        <v>0</v>
      </c>
      <c r="AP953" t="b">
        <f>IF(metadata!O953="",FALSE,TRUE)</f>
        <v>0</v>
      </c>
      <c r="AQ953" t="b">
        <f>IF(metadata!P953="",FALSE,TRUE)</f>
        <v>0</v>
      </c>
      <c r="AR953" t="b">
        <f>IF(metadata!Q953="",FALSE,ISNUMBER(VALUE(metadata!Q953)))</f>
        <v>0</v>
      </c>
      <c r="AS953" t="b">
        <f>AND(IF(metadata!R953="",FALSE,TRUE),EXACT(metadata!R953,"kg"))</f>
        <v>0</v>
      </c>
    </row>
    <row r="954" spans="1:45" x14ac:dyDescent="0.2">
      <c r="A954" s="5" t="str">
        <f ca="1">IF(B954=" "," ",HYPERLINK(CONCATENATE("#metadata!",ADDRESS(INDEX($X$2:$X$1001,MATCH(ROWS($V$2:V954),$V$2:$V$1001,0),0),1)),INDEX($AA$2:$AA$1001,MATCH(ROWS($V$2:V954),$V$2:$V$1001,0),0)))</f>
        <v xml:space="preserve"> </v>
      </c>
      <c r="B954" s="4" t="str">
        <f ca="1">IF(OR(INDEX($W$2:$W$1001,MATCH(ROWS($V$2:V954),$V$2:$V$1001,0),1)&gt;=100000,INDEX($AC$1005:$AS$1005,1,MATCH(COLUMNS($AC$1006:AC1006),$AC$1006:$AS$1006,0))&gt;=100000), " ",IF(INDEX($AC$2:$AS$1001,MATCH(ROWS($V$2:V954),$V$2:$V$1001,0),MATCH(COLUMNS($AC$1006:AC1006),$AC$1006:$AS$1006,0)), HYPERLINK("#",""), HYPERLINK(CONCATENATE("#metadata!", ADDRESS(INDEX($X$2:$X$1001,MATCH(ROWS($V$2:V954),$V$2:$V$1001,0),0), INDEX($AC$1004:$AS$1004,1,MATCH(COLUMNS($AC$1006:AC1006),$AC$1006:$AS$1006,0)))),"Fix")))</f>
        <v xml:space="preserve"> </v>
      </c>
      <c r="C954" s="4" t="str">
        <f ca="1">IF(OR(INDEX($W$2:$W$1001,MATCH(ROWS($V$2:V954),$V$2:$V$1001,0),1)&gt;=100000,INDEX($AC$1005:$AS$1005,1,MATCH(COLUMNS($AC$1006:AD1006),$AC$1006:$AS$1006,0))&gt;=100000), " ",IF(INDEX($AC$2:$AS$1001,MATCH(ROWS($V$2:V954),$V$2:$V$1001,0),MATCH(COLUMNS($AC$1006:AD1006),$AC$1006:$AS$1006,0)), HYPERLINK("#",""), HYPERLINK(CONCATENATE("#metadata!", ADDRESS(INDEX($X$2:$X$1001,MATCH(ROWS($V$2:V954),$V$2:$V$1001,0),0), INDEX($AC$1004:$AS$1004,1,MATCH(COLUMNS($AC$1006:AD1006),$AC$1006:$AS$1006,0)))),"Fix")))</f>
        <v xml:space="preserve"> </v>
      </c>
      <c r="D954" s="4" t="str">
        <f ca="1">IF(OR(INDEX($W$2:$W$1001,MATCH(ROWS($V$2:V954),$V$2:$V$1001,0),1)&gt;=100000,INDEX($AC$1005:$AS$1005,1,MATCH(COLUMNS($AC$1006:AE1006),$AC$1006:$AS$1006,0))&gt;=100000), " ",IF(INDEX($AC$2:$AS$1001,MATCH(ROWS($V$2:V954),$V$2:$V$1001,0),MATCH(COLUMNS($AC$1006:AE1006),$AC$1006:$AS$1006,0)), HYPERLINK("#",""), HYPERLINK(CONCATENATE("#metadata!", ADDRESS(INDEX($X$2:$X$1001,MATCH(ROWS($V$2:V954),$V$2:$V$1001,0),0), INDEX($AC$1004:$AS$1004,1,MATCH(COLUMNS($AC$1006:AE1006),$AC$1006:$AS$1006,0)))),"Fix")))</f>
        <v xml:space="preserve"> </v>
      </c>
      <c r="E954" s="4" t="str">
        <f ca="1">IF(OR(INDEX($W$2:$W$1001,MATCH(ROWS($V$2:V954),$V$2:$V$1001,0),1)&gt;=100000,INDEX($AC$1005:$AS$1005,1,MATCH(COLUMNS($AC$1006:AF1006),$AC$1006:$AS$1006,0))&gt;=100000), " ",IF(INDEX($AC$2:$AS$1001,MATCH(ROWS($V$2:V954),$V$2:$V$1001,0),MATCH(COLUMNS($AC$1006:AF1006),$AC$1006:$AS$1006,0)), HYPERLINK("#",""), HYPERLINK(CONCATENATE("#metadata!", ADDRESS(INDEX($X$2:$X$1001,MATCH(ROWS($V$2:V954),$V$2:$V$1001,0),0), INDEX($AC$1004:$AS$1004,1,MATCH(COLUMNS($AC$1006:AF1006),$AC$1006:$AS$1006,0)))),"Fix")))</f>
        <v xml:space="preserve"> </v>
      </c>
      <c r="F954" s="4" t="str">
        <f ca="1">IF(OR(INDEX($W$2:$W$1001,MATCH(ROWS($V$2:V954),$V$2:$V$1001,0),1)&gt;=100000,INDEX($AC$1005:$AS$1005,1,MATCH(COLUMNS($AC$1006:AG1006),$AC$1006:$AS$1006,0))&gt;=100000), " ",IF(INDEX($AC$2:$AS$1001,MATCH(ROWS($V$2:V954),$V$2:$V$1001,0),MATCH(COLUMNS($AC$1006:AG1006),$AC$1006:$AS$1006,0)), HYPERLINK("#",""), HYPERLINK(CONCATENATE("#metadata!", ADDRESS(INDEX($X$2:$X$1001,MATCH(ROWS($V$2:V954),$V$2:$V$1001,0),0), INDEX($AC$1004:$AS$1004,1,MATCH(COLUMNS($AC$1006:AG1006),$AC$1006:$AS$1006,0)))),"Fix")))</f>
        <v xml:space="preserve"> </v>
      </c>
      <c r="G954" s="4" t="str">
        <f ca="1">IF(OR(INDEX($W$2:$W$1001,MATCH(ROWS($V$2:V954),$V$2:$V$1001,0),1)&gt;=100000,INDEX($AC$1005:$AS$1005,1,MATCH(COLUMNS($AC$1006:AH1006),$AC$1006:$AS$1006,0))&gt;=100000), " ",IF(INDEX($AC$2:$AS$1001,MATCH(ROWS($V$2:V954),$V$2:$V$1001,0),MATCH(COLUMNS($AC$1006:AH1006),$AC$1006:$AS$1006,0)), HYPERLINK("#",""), HYPERLINK(CONCATENATE("#metadata!", ADDRESS(INDEX($X$2:$X$1001,MATCH(ROWS($V$2:V954),$V$2:$V$1001,0),0), INDEX($AC$1004:$AS$1004,1,MATCH(COLUMNS($AC$1006:AH1006),$AC$1006:$AS$1006,0)))),"Fix")))</f>
        <v xml:space="preserve"> </v>
      </c>
      <c r="H954" s="4" t="str">
        <f ca="1">IF(OR(INDEX($W$2:$W$1001,MATCH(ROWS($V$2:V954),$V$2:$V$1001,0),1)&gt;=100000,INDEX($AC$1005:$AS$1005,1,MATCH(COLUMNS($AC$1006:AI1006),$AC$1006:$AS$1006,0))&gt;=100000), " ",IF(INDEX($AC$2:$AS$1001,MATCH(ROWS($V$2:V954),$V$2:$V$1001,0),MATCH(COLUMNS($AC$1006:AI1006),$AC$1006:$AS$1006,0)), HYPERLINK("#",""), HYPERLINK(CONCATENATE("#metadata!", ADDRESS(INDEX($X$2:$X$1001,MATCH(ROWS($V$2:V954),$V$2:$V$1001,0),0), INDEX($AC$1004:$AS$1004,1,MATCH(COLUMNS($AC$1006:AI1006),$AC$1006:$AS$1006,0)))),"Fix")))</f>
        <v xml:space="preserve"> </v>
      </c>
      <c r="I954" s="4" t="str">
        <f ca="1">IF(OR(INDEX($W$2:$W$1001,MATCH(ROWS($V$2:V954),$V$2:$V$1001,0),1)&gt;=100000,INDEX($AC$1005:$AS$1005,1,MATCH(COLUMNS($AC$1006:AJ1006),$AC$1006:$AS$1006,0))&gt;=100000), " ",IF(INDEX($AC$2:$AS$1001,MATCH(ROWS($V$2:V954),$V$2:$V$1001,0),MATCH(COLUMNS($AC$1006:AJ1006),$AC$1006:$AS$1006,0)), HYPERLINK("#",""), HYPERLINK(CONCATENATE("#metadata!", ADDRESS(INDEX($X$2:$X$1001,MATCH(ROWS($V$2:V954),$V$2:$V$1001,0),0), INDEX($AC$1004:$AS$1004,1,MATCH(COLUMNS($AC$1006:AJ1006),$AC$1006:$AS$1006,0)))),"Fix")))</f>
        <v xml:space="preserve"> </v>
      </c>
      <c r="J954" s="4" t="str">
        <f ca="1">IF(OR(INDEX($W$2:$W$1001,MATCH(ROWS($V$2:V954),$V$2:$V$1001,0),1)&gt;=100000,INDEX($AC$1005:$AS$1005,1,MATCH(COLUMNS($AC$1006:AK1006),$AC$1006:$AS$1006,0))&gt;=100000), " ",IF(INDEX($AC$2:$AS$1001,MATCH(ROWS($V$2:V954),$V$2:$V$1001,0),MATCH(COLUMNS($AC$1006:AK1006),$AC$1006:$AS$1006,0)), HYPERLINK("#",""), HYPERLINK(CONCATENATE("#metadata!", ADDRESS(INDEX($X$2:$X$1001,MATCH(ROWS($V$2:V954),$V$2:$V$1001,0),0), INDEX($AC$1004:$AS$1004,1,MATCH(COLUMNS($AC$1006:AK1006),$AC$1006:$AS$1006,0)))),"Fix")))</f>
        <v xml:space="preserve"> </v>
      </c>
      <c r="K954" s="4" t="str">
        <f ca="1">IF(OR(INDEX($W$2:$W$1001,MATCH(ROWS($V$2:V954),$V$2:$V$1001,0),1)&gt;=100000,INDEX($AC$1005:$AS$1005,1,MATCH(COLUMNS($AC$1006:AL1006),$AC$1006:$AS$1006,0))&gt;=100000), " ",IF(INDEX($AC$2:$AS$1001,MATCH(ROWS($V$2:V954),$V$2:$V$1001,0),MATCH(COLUMNS($AC$1006:AL1006),$AC$1006:$AS$1006,0)), HYPERLINK("#",""), HYPERLINK(CONCATENATE("#metadata!", ADDRESS(INDEX($X$2:$X$1001,MATCH(ROWS($V$2:V954),$V$2:$V$1001,0),0), INDEX($AC$1004:$AS$1004,1,MATCH(COLUMNS($AC$1006:AL1006),$AC$1006:$AS$1006,0)))),"Fix")))</f>
        <v xml:space="preserve"> </v>
      </c>
      <c r="L954" s="4" t="str">
        <f ca="1">IF(OR(INDEX($W$2:$W$1001,MATCH(ROWS($V$2:V954),$V$2:$V$1001,0),1)&gt;=100000,INDEX($AC$1005:$AS$1005,1,MATCH(COLUMNS($AC$1006:AM1006),$AC$1006:$AS$1006,0))&gt;=100000), " ",IF(INDEX($AC$2:$AS$1001,MATCH(ROWS($V$2:V954),$V$2:$V$1001,0),MATCH(COLUMNS($AC$1006:AM1006),$AC$1006:$AS$1006,0)), HYPERLINK("#",""), HYPERLINK(CONCATENATE("#metadata!", ADDRESS(INDEX($X$2:$X$1001,MATCH(ROWS($V$2:V954),$V$2:$V$1001,0),0), INDEX($AC$1004:$AS$1004,1,MATCH(COLUMNS($AC$1006:AM1006),$AC$1006:$AS$1006,0)))),"Fix")))</f>
        <v xml:space="preserve"> </v>
      </c>
      <c r="M954" s="4" t="str">
        <f ca="1">IF(OR(INDEX($W$2:$W$1001,MATCH(ROWS($V$2:V954),$V$2:$V$1001,0),1)&gt;=100000,INDEX($AC$1005:$AS$1005,1,MATCH(COLUMNS($AC$1006:AN1006),$AC$1006:$AS$1006,0))&gt;=100000), " ",IF(INDEX($AC$2:$AS$1001,MATCH(ROWS($V$2:V954),$V$2:$V$1001,0),MATCH(COLUMNS($AC$1006:AN1006),$AC$1006:$AS$1006,0)), HYPERLINK("#",""), HYPERLINK(CONCATENATE("#metadata!", ADDRESS(INDEX($X$2:$X$1001,MATCH(ROWS($V$2:V954),$V$2:$V$1001,0),0), INDEX($AC$1004:$AS$1004,1,MATCH(COLUMNS($AC$1006:AN1006),$AC$1006:$AS$1006,0)))),"Fix")))</f>
        <v xml:space="preserve"> </v>
      </c>
      <c r="N954" s="4" t="str">
        <f ca="1">IF(OR(INDEX($W$2:$W$1001,MATCH(ROWS($V$2:V954),$V$2:$V$1001,0),1)&gt;=100000,INDEX($AC$1005:$AS$1005,1,MATCH(COLUMNS($AC$1006:AO1006),$AC$1006:$AS$1006,0))&gt;=100000), " ",IF(INDEX($AC$2:$AS$1001,MATCH(ROWS($V$2:V954),$V$2:$V$1001,0),MATCH(COLUMNS($AC$1006:AO1006),$AC$1006:$AS$1006,0)), HYPERLINK("#",""), HYPERLINK(CONCATENATE("#metadata!", ADDRESS(INDEX($X$2:$X$1001,MATCH(ROWS($V$2:V954),$V$2:$V$1001,0),0), INDEX($AC$1004:$AS$1004,1,MATCH(COLUMNS($AC$1006:AO1006),$AC$1006:$AS$1006,0)))),"Fix")))</f>
        <v xml:space="preserve"> </v>
      </c>
      <c r="O954" s="4" t="str">
        <f ca="1">IF(OR(INDEX($W$2:$W$1001,MATCH(ROWS($V$2:V954),$V$2:$V$1001,0),1)&gt;=100000,INDEX($AC$1005:$AS$1005,1,MATCH(COLUMNS($AC$1006:AP1006),$AC$1006:$AS$1006,0))&gt;=100000), " ",IF(INDEX($AC$2:$AS$1001,MATCH(ROWS($V$2:V954),$V$2:$V$1001,0),MATCH(COLUMNS($AC$1006:AP1006),$AC$1006:$AS$1006,0)), HYPERLINK("#",""), HYPERLINK(CONCATENATE("#metadata!", ADDRESS(INDEX($X$2:$X$1001,MATCH(ROWS($V$2:V954),$V$2:$V$1001,0),0), INDEX($AC$1004:$AS$1004,1,MATCH(COLUMNS($AC$1006:AP1006),$AC$1006:$AS$1006,0)))),"Fix")))</f>
        <v xml:space="preserve"> </v>
      </c>
      <c r="P954" s="4" t="str">
        <f ca="1">IF(OR(INDEX($W$2:$W$1001,MATCH(ROWS($V$2:V954),$V$2:$V$1001,0),1)&gt;=100000,INDEX($AC$1005:$AS$1005,1,MATCH(COLUMNS($AC$1006:AQ1006),$AC$1006:$AS$1006,0))&gt;=100000), " ",IF(INDEX($AC$2:$AS$1001,MATCH(ROWS($V$2:V954),$V$2:$V$1001,0),MATCH(COLUMNS($AC$1006:AQ1006),$AC$1006:$AS$1006,0)), HYPERLINK("#",""), HYPERLINK(CONCATENATE("#metadata!", ADDRESS(INDEX($X$2:$X$1001,MATCH(ROWS($V$2:V954),$V$2:$V$1001,0),0), INDEX($AC$1004:$AS$1004,1,MATCH(COLUMNS($AC$1006:AQ1006),$AC$1006:$AS$1006,0)))),"Fix")))</f>
        <v xml:space="preserve"> </v>
      </c>
      <c r="Q954" s="4" t="str">
        <f ca="1">IF(OR(INDEX($W$2:$W$1001,MATCH(ROWS($V$2:V954),$V$2:$V$1001,0),1)&gt;=100000,INDEX($AC$1005:$AS$1005,1,MATCH(COLUMNS($AC$1006:AR1006),$AC$1006:$AS$1006,0))&gt;=100000), " ",IF(INDEX($AC$2:$AS$1001,MATCH(ROWS($V$2:V954),$V$2:$V$1001,0),MATCH(COLUMNS($AC$1006:AR1006),$AC$1006:$AS$1006,0)), HYPERLINK("#",""), HYPERLINK(CONCATENATE("#metadata!", ADDRESS(INDEX($X$2:$X$1001,MATCH(ROWS($V$2:V954),$V$2:$V$1001,0),0), INDEX($AC$1004:$AS$1004,1,MATCH(COLUMNS($AC$1006:AR1006),$AC$1006:$AS$1006,0)))),"Fix")))</f>
        <v xml:space="preserve"> </v>
      </c>
      <c r="R954" s="4" t="str">
        <f ca="1">IF(OR(INDEX($W$2:$W$1001,MATCH(ROWS($V$2:V954),$V$2:$V$1001,0),1)&gt;=100000,INDEX($AC$1005:$AS$1005,1,MATCH(COLUMNS($AC$1006:AS1006),$AC$1006:$AS$1006,0))&gt;=100000), " ",IF(INDEX($AC$2:$AS$1001,MATCH(ROWS($V$2:V954),$V$2:$V$1001,0),MATCH(COLUMNS($AC$1006:AS1006),$AC$1006:$AS$1006,0)), HYPERLINK("#",""), HYPERLINK(CONCATENATE("#metadata!", ADDRESS(INDEX($X$2:$X$1001,MATCH(ROWS($V$2:V954),$V$2:$V$1001,0),0), INDEX($AC$1004:$AS$1004,1,MATCH(COLUMNS($AC$1006:AS1006),$AC$1006:$AS$1006,0)))),"Fix")))</f>
        <v xml:space="preserve"> </v>
      </c>
      <c r="V954">
        <v>953</v>
      </c>
      <c r="W954">
        <v>100954</v>
      </c>
      <c r="X954">
        <v>954</v>
      </c>
      <c r="Y954" t="b">
        <f t="shared" si="14"/>
        <v>1</v>
      </c>
      <c r="Z954" t="b">
        <f>COUNTBLANK(metadata!B954:R954)=COLUMNS(metadata!B954:R954)</f>
        <v>1</v>
      </c>
      <c r="AA954" t="str">
        <v/>
      </c>
      <c r="AC954" t="b">
        <f ca="1"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AD954" t="b">
        <f>IF(metadata!C954="",FALSE,ISNUMBER(VALUE(metadata!C954)))</f>
        <v>0</v>
      </c>
      <c r="AE954" t="b">
        <f>AND(IF(metadata!D954="",FALSE,TRUE),EXACT(metadata!D954,"years"))</f>
        <v>0</v>
      </c>
      <c r="AF954" t="b">
        <f>OR(AND(IF(metadata!E954="",FALSE,TRUE),OR(EXACT(metadata!E954,"not applicable"),EXACT(metadata!E954,"missing: not collected"),EXACT(metadata!E954,"missing: not provided"),EXACT(metadata!E954,"missing: restricted access"))),AND(IF(metadata!E954="",FALSE,ISNUMBER(VALUE(metadata!E954))),metadata!E954&gt;0))</f>
        <v>0</v>
      </c>
      <c r="AG954" t="b">
        <f>AND(IF(metadata!F954="",FALSE,TRUE),EXACT(metadata!F954,"Not applicable"))</f>
        <v>0</v>
      </c>
      <c r="AH954" t="b">
        <f>AND(IF(metadata!G954="",FALSE,TRUE),EXACT(metadata!G954,"urban biome"))</f>
        <v>0</v>
      </c>
      <c r="AI954" t="b">
        <f>AND(IF(metadata!H954="",FALSE,TRUE),EXACT(metadata!H954,"human-associated habitat"))</f>
        <v>0</v>
      </c>
      <c r="AJ954" t="b">
        <f>AND(IF(metadata!I954="",FALSE,TRUE),OR(EXACT(metadata!I954,"human-associated"),EXACT(metadata!I954,"human-skin"),EXACT(metadata!I954,"human-oral"),EXACT(metadata!I954,"human-gut"),EXACT(metadata!I954,"human-vaginal")))</f>
        <v>0</v>
      </c>
      <c r="AK954" t="b">
        <f>IF(metadata!J954="",FALSE,ISNUMBER(VALUE(metadata!J954)))</f>
        <v>0</v>
      </c>
      <c r="AL954" t="b">
        <f>AND(IF(metadata!K954="",FALSE,TRUE),EXACT(metadata!K954,"cm"))</f>
        <v>0</v>
      </c>
      <c r="AM954" t="b">
        <f>AND(IF(metadata!L954="",FALSE,TRUE),EXACT(metadata!L954,"human"))</f>
        <v>0</v>
      </c>
      <c r="AN954" t="b">
        <f>AND(IF(metadata!M954="",FALSE,TRUE),EXACT(metadata!M954,"Homo sapiens"))</f>
        <v>0</v>
      </c>
      <c r="AO954" t="b">
        <f>AND(IF(metadata!N954="",FALSE,TRUE),EXACT(metadata!N954,"9606"))</f>
        <v>0</v>
      </c>
      <c r="AP954" t="b">
        <f>IF(metadata!O954="",FALSE,TRUE)</f>
        <v>0</v>
      </c>
      <c r="AQ954" t="b">
        <f>IF(metadata!P954="",FALSE,TRUE)</f>
        <v>0</v>
      </c>
      <c r="AR954" t="b">
        <f>IF(metadata!Q954="",FALSE,ISNUMBER(VALUE(metadata!Q954)))</f>
        <v>0</v>
      </c>
      <c r="AS954" t="b">
        <f>AND(IF(metadata!R954="",FALSE,TRUE),EXACT(metadata!R954,"kg"))</f>
        <v>0</v>
      </c>
    </row>
    <row r="955" spans="1:45" x14ac:dyDescent="0.2">
      <c r="A955" s="5" t="str">
        <f ca="1">IF(B955=" "," ",HYPERLINK(CONCATENATE("#metadata!",ADDRESS(INDEX($X$2:$X$1001,MATCH(ROWS($V$2:V955),$V$2:$V$1001,0),0),1)),INDEX($AA$2:$AA$1001,MATCH(ROWS($V$2:V955),$V$2:$V$1001,0),0)))</f>
        <v xml:space="preserve"> </v>
      </c>
      <c r="B955" s="4" t="str">
        <f ca="1">IF(OR(INDEX($W$2:$W$1001,MATCH(ROWS($V$2:V955),$V$2:$V$1001,0),1)&gt;=100000,INDEX($AC$1005:$AS$1005,1,MATCH(COLUMNS($AC$1006:AC1006),$AC$1006:$AS$1006,0))&gt;=100000), " ",IF(INDEX($AC$2:$AS$1001,MATCH(ROWS($V$2:V955),$V$2:$V$1001,0),MATCH(COLUMNS($AC$1006:AC1006),$AC$1006:$AS$1006,0)), HYPERLINK("#",""), HYPERLINK(CONCATENATE("#metadata!", ADDRESS(INDEX($X$2:$X$1001,MATCH(ROWS($V$2:V955),$V$2:$V$1001,0),0), INDEX($AC$1004:$AS$1004,1,MATCH(COLUMNS($AC$1006:AC1006),$AC$1006:$AS$1006,0)))),"Fix")))</f>
        <v xml:space="preserve"> </v>
      </c>
      <c r="C955" s="4" t="str">
        <f ca="1">IF(OR(INDEX($W$2:$W$1001,MATCH(ROWS($V$2:V955),$V$2:$V$1001,0),1)&gt;=100000,INDEX($AC$1005:$AS$1005,1,MATCH(COLUMNS($AC$1006:AD1006),$AC$1006:$AS$1006,0))&gt;=100000), " ",IF(INDEX($AC$2:$AS$1001,MATCH(ROWS($V$2:V955),$V$2:$V$1001,0),MATCH(COLUMNS($AC$1006:AD1006),$AC$1006:$AS$1006,0)), HYPERLINK("#",""), HYPERLINK(CONCATENATE("#metadata!", ADDRESS(INDEX($X$2:$X$1001,MATCH(ROWS($V$2:V955),$V$2:$V$1001,0),0), INDEX($AC$1004:$AS$1004,1,MATCH(COLUMNS($AC$1006:AD1006),$AC$1006:$AS$1006,0)))),"Fix")))</f>
        <v xml:space="preserve"> </v>
      </c>
      <c r="D955" s="4" t="str">
        <f ca="1">IF(OR(INDEX($W$2:$W$1001,MATCH(ROWS($V$2:V955),$V$2:$V$1001,0),1)&gt;=100000,INDEX($AC$1005:$AS$1005,1,MATCH(COLUMNS($AC$1006:AE1006),$AC$1006:$AS$1006,0))&gt;=100000), " ",IF(INDEX($AC$2:$AS$1001,MATCH(ROWS($V$2:V955),$V$2:$V$1001,0),MATCH(COLUMNS($AC$1006:AE1006),$AC$1006:$AS$1006,0)), HYPERLINK("#",""), HYPERLINK(CONCATENATE("#metadata!", ADDRESS(INDEX($X$2:$X$1001,MATCH(ROWS($V$2:V955),$V$2:$V$1001,0),0), INDEX($AC$1004:$AS$1004,1,MATCH(COLUMNS($AC$1006:AE1006),$AC$1006:$AS$1006,0)))),"Fix")))</f>
        <v xml:space="preserve"> </v>
      </c>
      <c r="E955" s="4" t="str">
        <f ca="1">IF(OR(INDEX($W$2:$W$1001,MATCH(ROWS($V$2:V955),$V$2:$V$1001,0),1)&gt;=100000,INDEX($AC$1005:$AS$1005,1,MATCH(COLUMNS($AC$1006:AF1006),$AC$1006:$AS$1006,0))&gt;=100000), " ",IF(INDEX($AC$2:$AS$1001,MATCH(ROWS($V$2:V955),$V$2:$V$1001,0),MATCH(COLUMNS($AC$1006:AF1006),$AC$1006:$AS$1006,0)), HYPERLINK("#",""), HYPERLINK(CONCATENATE("#metadata!", ADDRESS(INDEX($X$2:$X$1001,MATCH(ROWS($V$2:V955),$V$2:$V$1001,0),0), INDEX($AC$1004:$AS$1004,1,MATCH(COLUMNS($AC$1006:AF1006),$AC$1006:$AS$1006,0)))),"Fix")))</f>
        <v xml:space="preserve"> </v>
      </c>
      <c r="F955" s="4" t="str">
        <f ca="1">IF(OR(INDEX($W$2:$W$1001,MATCH(ROWS($V$2:V955),$V$2:$V$1001,0),1)&gt;=100000,INDEX($AC$1005:$AS$1005,1,MATCH(COLUMNS($AC$1006:AG1006),$AC$1006:$AS$1006,0))&gt;=100000), " ",IF(INDEX($AC$2:$AS$1001,MATCH(ROWS($V$2:V955),$V$2:$V$1001,0),MATCH(COLUMNS($AC$1006:AG1006),$AC$1006:$AS$1006,0)), HYPERLINK("#",""), HYPERLINK(CONCATENATE("#metadata!", ADDRESS(INDEX($X$2:$X$1001,MATCH(ROWS($V$2:V955),$V$2:$V$1001,0),0), INDEX($AC$1004:$AS$1004,1,MATCH(COLUMNS($AC$1006:AG1006),$AC$1006:$AS$1006,0)))),"Fix")))</f>
        <v xml:space="preserve"> </v>
      </c>
      <c r="G955" s="4" t="str">
        <f ca="1">IF(OR(INDEX($W$2:$W$1001,MATCH(ROWS($V$2:V955),$V$2:$V$1001,0),1)&gt;=100000,INDEX($AC$1005:$AS$1005,1,MATCH(COLUMNS($AC$1006:AH1006),$AC$1006:$AS$1006,0))&gt;=100000), " ",IF(INDEX($AC$2:$AS$1001,MATCH(ROWS($V$2:V955),$V$2:$V$1001,0),MATCH(COLUMNS($AC$1006:AH1006),$AC$1006:$AS$1006,0)), HYPERLINK("#",""), HYPERLINK(CONCATENATE("#metadata!", ADDRESS(INDEX($X$2:$X$1001,MATCH(ROWS($V$2:V955),$V$2:$V$1001,0),0), INDEX($AC$1004:$AS$1004,1,MATCH(COLUMNS($AC$1006:AH1006),$AC$1006:$AS$1006,0)))),"Fix")))</f>
        <v xml:space="preserve"> </v>
      </c>
      <c r="H955" s="4" t="str">
        <f ca="1">IF(OR(INDEX($W$2:$W$1001,MATCH(ROWS($V$2:V955),$V$2:$V$1001,0),1)&gt;=100000,INDEX($AC$1005:$AS$1005,1,MATCH(COLUMNS($AC$1006:AI1006),$AC$1006:$AS$1006,0))&gt;=100000), " ",IF(INDEX($AC$2:$AS$1001,MATCH(ROWS($V$2:V955),$V$2:$V$1001,0),MATCH(COLUMNS($AC$1006:AI1006),$AC$1006:$AS$1006,0)), HYPERLINK("#",""), HYPERLINK(CONCATENATE("#metadata!", ADDRESS(INDEX($X$2:$X$1001,MATCH(ROWS($V$2:V955),$V$2:$V$1001,0),0), INDEX($AC$1004:$AS$1004,1,MATCH(COLUMNS($AC$1006:AI1006),$AC$1006:$AS$1006,0)))),"Fix")))</f>
        <v xml:space="preserve"> </v>
      </c>
      <c r="I955" s="4" t="str">
        <f ca="1">IF(OR(INDEX($W$2:$W$1001,MATCH(ROWS($V$2:V955),$V$2:$V$1001,0),1)&gt;=100000,INDEX($AC$1005:$AS$1005,1,MATCH(COLUMNS($AC$1006:AJ1006),$AC$1006:$AS$1006,0))&gt;=100000), " ",IF(INDEX($AC$2:$AS$1001,MATCH(ROWS($V$2:V955),$V$2:$V$1001,0),MATCH(COLUMNS($AC$1006:AJ1006),$AC$1006:$AS$1006,0)), HYPERLINK("#",""), HYPERLINK(CONCATENATE("#metadata!", ADDRESS(INDEX($X$2:$X$1001,MATCH(ROWS($V$2:V955),$V$2:$V$1001,0),0), INDEX($AC$1004:$AS$1004,1,MATCH(COLUMNS($AC$1006:AJ1006),$AC$1006:$AS$1006,0)))),"Fix")))</f>
        <v xml:space="preserve"> </v>
      </c>
      <c r="J955" s="4" t="str">
        <f ca="1">IF(OR(INDEX($W$2:$W$1001,MATCH(ROWS($V$2:V955),$V$2:$V$1001,0),1)&gt;=100000,INDEX($AC$1005:$AS$1005,1,MATCH(COLUMNS($AC$1006:AK1006),$AC$1006:$AS$1006,0))&gt;=100000), " ",IF(INDEX($AC$2:$AS$1001,MATCH(ROWS($V$2:V955),$V$2:$V$1001,0),MATCH(COLUMNS($AC$1006:AK1006),$AC$1006:$AS$1006,0)), HYPERLINK("#",""), HYPERLINK(CONCATENATE("#metadata!", ADDRESS(INDEX($X$2:$X$1001,MATCH(ROWS($V$2:V955),$V$2:$V$1001,0),0), INDEX($AC$1004:$AS$1004,1,MATCH(COLUMNS($AC$1006:AK1006),$AC$1006:$AS$1006,0)))),"Fix")))</f>
        <v xml:space="preserve"> </v>
      </c>
      <c r="K955" s="4" t="str">
        <f ca="1">IF(OR(INDEX($W$2:$W$1001,MATCH(ROWS($V$2:V955),$V$2:$V$1001,0),1)&gt;=100000,INDEX($AC$1005:$AS$1005,1,MATCH(COLUMNS($AC$1006:AL1006),$AC$1006:$AS$1006,0))&gt;=100000), " ",IF(INDEX($AC$2:$AS$1001,MATCH(ROWS($V$2:V955),$V$2:$V$1001,0),MATCH(COLUMNS($AC$1006:AL1006),$AC$1006:$AS$1006,0)), HYPERLINK("#",""), HYPERLINK(CONCATENATE("#metadata!", ADDRESS(INDEX($X$2:$X$1001,MATCH(ROWS($V$2:V955),$V$2:$V$1001,0),0), INDEX($AC$1004:$AS$1004,1,MATCH(COLUMNS($AC$1006:AL1006),$AC$1006:$AS$1006,0)))),"Fix")))</f>
        <v xml:space="preserve"> </v>
      </c>
      <c r="L955" s="4" t="str">
        <f ca="1">IF(OR(INDEX($W$2:$W$1001,MATCH(ROWS($V$2:V955),$V$2:$V$1001,0),1)&gt;=100000,INDEX($AC$1005:$AS$1005,1,MATCH(COLUMNS($AC$1006:AM1006),$AC$1006:$AS$1006,0))&gt;=100000), " ",IF(INDEX($AC$2:$AS$1001,MATCH(ROWS($V$2:V955),$V$2:$V$1001,0),MATCH(COLUMNS($AC$1006:AM1006),$AC$1006:$AS$1006,0)), HYPERLINK("#",""), HYPERLINK(CONCATENATE("#metadata!", ADDRESS(INDEX($X$2:$X$1001,MATCH(ROWS($V$2:V955),$V$2:$V$1001,0),0), INDEX($AC$1004:$AS$1004,1,MATCH(COLUMNS($AC$1006:AM1006),$AC$1006:$AS$1006,0)))),"Fix")))</f>
        <v xml:space="preserve"> </v>
      </c>
      <c r="M955" s="4" t="str">
        <f ca="1">IF(OR(INDEX($W$2:$W$1001,MATCH(ROWS($V$2:V955),$V$2:$V$1001,0),1)&gt;=100000,INDEX($AC$1005:$AS$1005,1,MATCH(COLUMNS($AC$1006:AN1006),$AC$1006:$AS$1006,0))&gt;=100000), " ",IF(INDEX($AC$2:$AS$1001,MATCH(ROWS($V$2:V955),$V$2:$V$1001,0),MATCH(COLUMNS($AC$1006:AN1006),$AC$1006:$AS$1006,0)), HYPERLINK("#",""), HYPERLINK(CONCATENATE("#metadata!", ADDRESS(INDEX($X$2:$X$1001,MATCH(ROWS($V$2:V955),$V$2:$V$1001,0),0), INDEX($AC$1004:$AS$1004,1,MATCH(COLUMNS($AC$1006:AN1006),$AC$1006:$AS$1006,0)))),"Fix")))</f>
        <v xml:space="preserve"> </v>
      </c>
      <c r="N955" s="4" t="str">
        <f ca="1">IF(OR(INDEX($W$2:$W$1001,MATCH(ROWS($V$2:V955),$V$2:$V$1001,0),1)&gt;=100000,INDEX($AC$1005:$AS$1005,1,MATCH(COLUMNS($AC$1006:AO1006),$AC$1006:$AS$1006,0))&gt;=100000), " ",IF(INDEX($AC$2:$AS$1001,MATCH(ROWS($V$2:V955),$V$2:$V$1001,0),MATCH(COLUMNS($AC$1006:AO1006),$AC$1006:$AS$1006,0)), HYPERLINK("#",""), HYPERLINK(CONCATENATE("#metadata!", ADDRESS(INDEX($X$2:$X$1001,MATCH(ROWS($V$2:V955),$V$2:$V$1001,0),0), INDEX($AC$1004:$AS$1004,1,MATCH(COLUMNS($AC$1006:AO1006),$AC$1006:$AS$1006,0)))),"Fix")))</f>
        <v xml:space="preserve"> </v>
      </c>
      <c r="O955" s="4" t="str">
        <f ca="1">IF(OR(INDEX($W$2:$W$1001,MATCH(ROWS($V$2:V955),$V$2:$V$1001,0),1)&gt;=100000,INDEX($AC$1005:$AS$1005,1,MATCH(COLUMNS($AC$1006:AP1006),$AC$1006:$AS$1006,0))&gt;=100000), " ",IF(INDEX($AC$2:$AS$1001,MATCH(ROWS($V$2:V955),$V$2:$V$1001,0),MATCH(COLUMNS($AC$1006:AP1006),$AC$1006:$AS$1006,0)), HYPERLINK("#",""), HYPERLINK(CONCATENATE("#metadata!", ADDRESS(INDEX($X$2:$X$1001,MATCH(ROWS($V$2:V955),$V$2:$V$1001,0),0), INDEX($AC$1004:$AS$1004,1,MATCH(COLUMNS($AC$1006:AP1006),$AC$1006:$AS$1006,0)))),"Fix")))</f>
        <v xml:space="preserve"> </v>
      </c>
      <c r="P955" s="4" t="str">
        <f ca="1">IF(OR(INDEX($W$2:$W$1001,MATCH(ROWS($V$2:V955),$V$2:$V$1001,0),1)&gt;=100000,INDEX($AC$1005:$AS$1005,1,MATCH(COLUMNS($AC$1006:AQ1006),$AC$1006:$AS$1006,0))&gt;=100000), " ",IF(INDEX($AC$2:$AS$1001,MATCH(ROWS($V$2:V955),$V$2:$V$1001,0),MATCH(COLUMNS($AC$1006:AQ1006),$AC$1006:$AS$1006,0)), HYPERLINK("#",""), HYPERLINK(CONCATENATE("#metadata!", ADDRESS(INDEX($X$2:$X$1001,MATCH(ROWS($V$2:V955),$V$2:$V$1001,0),0), INDEX($AC$1004:$AS$1004,1,MATCH(COLUMNS($AC$1006:AQ1006),$AC$1006:$AS$1006,0)))),"Fix")))</f>
        <v xml:space="preserve"> </v>
      </c>
      <c r="Q955" s="4" t="str">
        <f ca="1">IF(OR(INDEX($W$2:$W$1001,MATCH(ROWS($V$2:V955),$V$2:$V$1001,0),1)&gt;=100000,INDEX($AC$1005:$AS$1005,1,MATCH(COLUMNS($AC$1006:AR1006),$AC$1006:$AS$1006,0))&gt;=100000), " ",IF(INDEX($AC$2:$AS$1001,MATCH(ROWS($V$2:V955),$V$2:$V$1001,0),MATCH(COLUMNS($AC$1006:AR1006),$AC$1006:$AS$1006,0)), HYPERLINK("#",""), HYPERLINK(CONCATENATE("#metadata!", ADDRESS(INDEX($X$2:$X$1001,MATCH(ROWS($V$2:V955),$V$2:$V$1001,0),0), INDEX($AC$1004:$AS$1004,1,MATCH(COLUMNS($AC$1006:AR1006),$AC$1006:$AS$1006,0)))),"Fix")))</f>
        <v xml:space="preserve"> </v>
      </c>
      <c r="R955" s="4" t="str">
        <f ca="1">IF(OR(INDEX($W$2:$W$1001,MATCH(ROWS($V$2:V955),$V$2:$V$1001,0),1)&gt;=100000,INDEX($AC$1005:$AS$1005,1,MATCH(COLUMNS($AC$1006:AS1006),$AC$1006:$AS$1006,0))&gt;=100000), " ",IF(INDEX($AC$2:$AS$1001,MATCH(ROWS($V$2:V955),$V$2:$V$1001,0),MATCH(COLUMNS($AC$1006:AS1006),$AC$1006:$AS$1006,0)), HYPERLINK("#",""), HYPERLINK(CONCATENATE("#metadata!", ADDRESS(INDEX($X$2:$X$1001,MATCH(ROWS($V$2:V955),$V$2:$V$1001,0),0), INDEX($AC$1004:$AS$1004,1,MATCH(COLUMNS($AC$1006:AS1006),$AC$1006:$AS$1006,0)))),"Fix")))</f>
        <v xml:space="preserve"> </v>
      </c>
      <c r="V955">
        <v>954</v>
      </c>
      <c r="W955">
        <v>100955</v>
      </c>
      <c r="X955">
        <v>955</v>
      </c>
      <c r="Y955" t="b">
        <f t="shared" si="14"/>
        <v>1</v>
      </c>
      <c r="Z955" t="b">
        <f>COUNTBLANK(metadata!B955:R955)=COLUMNS(metadata!B955:R955)</f>
        <v>1</v>
      </c>
      <c r="AA955" t="str">
        <v/>
      </c>
      <c r="AC955" t="b">
        <f ca="1"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AD955" t="b">
        <f>IF(metadata!C955="",FALSE,ISNUMBER(VALUE(metadata!C955)))</f>
        <v>0</v>
      </c>
      <c r="AE955" t="b">
        <f>AND(IF(metadata!D955="",FALSE,TRUE),EXACT(metadata!D955,"years"))</f>
        <v>0</v>
      </c>
      <c r="AF955" t="b">
        <f>OR(AND(IF(metadata!E955="",FALSE,TRUE),OR(EXACT(metadata!E955,"not applicable"),EXACT(metadata!E955,"missing: not collected"),EXACT(metadata!E955,"missing: not provided"),EXACT(metadata!E955,"missing: restricted access"))),AND(IF(metadata!E955="",FALSE,ISNUMBER(VALUE(metadata!E955))),metadata!E955&gt;0))</f>
        <v>0</v>
      </c>
      <c r="AG955" t="b">
        <f>AND(IF(metadata!F955="",FALSE,TRUE),EXACT(metadata!F955,"Not applicable"))</f>
        <v>0</v>
      </c>
      <c r="AH955" t="b">
        <f>AND(IF(metadata!G955="",FALSE,TRUE),EXACT(metadata!G955,"urban biome"))</f>
        <v>0</v>
      </c>
      <c r="AI955" t="b">
        <f>AND(IF(metadata!H955="",FALSE,TRUE),EXACT(metadata!H955,"human-associated habitat"))</f>
        <v>0</v>
      </c>
      <c r="AJ955" t="b">
        <f>AND(IF(metadata!I955="",FALSE,TRUE),OR(EXACT(metadata!I955,"human-associated"),EXACT(metadata!I955,"human-skin"),EXACT(metadata!I955,"human-oral"),EXACT(metadata!I955,"human-gut"),EXACT(metadata!I955,"human-vaginal")))</f>
        <v>0</v>
      </c>
      <c r="AK955" t="b">
        <f>IF(metadata!J955="",FALSE,ISNUMBER(VALUE(metadata!J955)))</f>
        <v>0</v>
      </c>
      <c r="AL955" t="b">
        <f>AND(IF(metadata!K955="",FALSE,TRUE),EXACT(metadata!K955,"cm"))</f>
        <v>0</v>
      </c>
      <c r="AM955" t="b">
        <f>AND(IF(metadata!L955="",FALSE,TRUE),EXACT(metadata!L955,"human"))</f>
        <v>0</v>
      </c>
      <c r="AN955" t="b">
        <f>AND(IF(metadata!M955="",FALSE,TRUE),EXACT(metadata!M955,"Homo sapiens"))</f>
        <v>0</v>
      </c>
      <c r="AO955" t="b">
        <f>AND(IF(metadata!N955="",FALSE,TRUE),EXACT(metadata!N955,"9606"))</f>
        <v>0</v>
      </c>
      <c r="AP955" t="b">
        <f>IF(metadata!O955="",FALSE,TRUE)</f>
        <v>0</v>
      </c>
      <c r="AQ955" t="b">
        <f>IF(metadata!P955="",FALSE,TRUE)</f>
        <v>0</v>
      </c>
      <c r="AR955" t="b">
        <f>IF(metadata!Q955="",FALSE,ISNUMBER(VALUE(metadata!Q955)))</f>
        <v>0</v>
      </c>
      <c r="AS955" t="b">
        <f>AND(IF(metadata!R955="",FALSE,TRUE),EXACT(metadata!R955,"kg"))</f>
        <v>0</v>
      </c>
    </row>
    <row r="956" spans="1:45" x14ac:dyDescent="0.2">
      <c r="A956" s="5" t="str">
        <f ca="1">IF(B956=" "," ",HYPERLINK(CONCATENATE("#metadata!",ADDRESS(INDEX($X$2:$X$1001,MATCH(ROWS($V$2:V956),$V$2:$V$1001,0),0),1)),INDEX($AA$2:$AA$1001,MATCH(ROWS($V$2:V956),$V$2:$V$1001,0),0)))</f>
        <v xml:space="preserve"> </v>
      </c>
      <c r="B956" s="4" t="str">
        <f ca="1">IF(OR(INDEX($W$2:$W$1001,MATCH(ROWS($V$2:V956),$V$2:$V$1001,0),1)&gt;=100000,INDEX($AC$1005:$AS$1005,1,MATCH(COLUMNS($AC$1006:AC1006),$AC$1006:$AS$1006,0))&gt;=100000), " ",IF(INDEX($AC$2:$AS$1001,MATCH(ROWS($V$2:V956),$V$2:$V$1001,0),MATCH(COLUMNS($AC$1006:AC1006),$AC$1006:$AS$1006,0)), HYPERLINK("#",""), HYPERLINK(CONCATENATE("#metadata!", ADDRESS(INDEX($X$2:$X$1001,MATCH(ROWS($V$2:V956),$V$2:$V$1001,0),0), INDEX($AC$1004:$AS$1004,1,MATCH(COLUMNS($AC$1006:AC1006),$AC$1006:$AS$1006,0)))),"Fix")))</f>
        <v xml:space="preserve"> </v>
      </c>
      <c r="C956" s="4" t="str">
        <f ca="1">IF(OR(INDEX($W$2:$W$1001,MATCH(ROWS($V$2:V956),$V$2:$V$1001,0),1)&gt;=100000,INDEX($AC$1005:$AS$1005,1,MATCH(COLUMNS($AC$1006:AD1006),$AC$1006:$AS$1006,0))&gt;=100000), " ",IF(INDEX($AC$2:$AS$1001,MATCH(ROWS($V$2:V956),$V$2:$V$1001,0),MATCH(COLUMNS($AC$1006:AD1006),$AC$1006:$AS$1006,0)), HYPERLINK("#",""), HYPERLINK(CONCATENATE("#metadata!", ADDRESS(INDEX($X$2:$X$1001,MATCH(ROWS($V$2:V956),$V$2:$V$1001,0),0), INDEX($AC$1004:$AS$1004,1,MATCH(COLUMNS($AC$1006:AD1006),$AC$1006:$AS$1006,0)))),"Fix")))</f>
        <v xml:space="preserve"> </v>
      </c>
      <c r="D956" s="4" t="str">
        <f ca="1">IF(OR(INDEX($W$2:$W$1001,MATCH(ROWS($V$2:V956),$V$2:$V$1001,0),1)&gt;=100000,INDEX($AC$1005:$AS$1005,1,MATCH(COLUMNS($AC$1006:AE1006),$AC$1006:$AS$1006,0))&gt;=100000), " ",IF(INDEX($AC$2:$AS$1001,MATCH(ROWS($V$2:V956),$V$2:$V$1001,0),MATCH(COLUMNS($AC$1006:AE1006),$AC$1006:$AS$1006,0)), HYPERLINK("#",""), HYPERLINK(CONCATENATE("#metadata!", ADDRESS(INDEX($X$2:$X$1001,MATCH(ROWS($V$2:V956),$V$2:$V$1001,0),0), INDEX($AC$1004:$AS$1004,1,MATCH(COLUMNS($AC$1006:AE1006),$AC$1006:$AS$1006,0)))),"Fix")))</f>
        <v xml:space="preserve"> </v>
      </c>
      <c r="E956" s="4" t="str">
        <f ca="1">IF(OR(INDEX($W$2:$W$1001,MATCH(ROWS($V$2:V956),$V$2:$V$1001,0),1)&gt;=100000,INDEX($AC$1005:$AS$1005,1,MATCH(COLUMNS($AC$1006:AF1006),$AC$1006:$AS$1006,0))&gt;=100000), " ",IF(INDEX($AC$2:$AS$1001,MATCH(ROWS($V$2:V956),$V$2:$V$1001,0),MATCH(COLUMNS($AC$1006:AF1006),$AC$1006:$AS$1006,0)), HYPERLINK("#",""), HYPERLINK(CONCATENATE("#metadata!", ADDRESS(INDEX($X$2:$X$1001,MATCH(ROWS($V$2:V956),$V$2:$V$1001,0),0), INDEX($AC$1004:$AS$1004,1,MATCH(COLUMNS($AC$1006:AF1006),$AC$1006:$AS$1006,0)))),"Fix")))</f>
        <v xml:space="preserve"> </v>
      </c>
      <c r="F956" s="4" t="str">
        <f ca="1">IF(OR(INDEX($W$2:$W$1001,MATCH(ROWS($V$2:V956),$V$2:$V$1001,0),1)&gt;=100000,INDEX($AC$1005:$AS$1005,1,MATCH(COLUMNS($AC$1006:AG1006),$AC$1006:$AS$1006,0))&gt;=100000), " ",IF(INDEX($AC$2:$AS$1001,MATCH(ROWS($V$2:V956),$V$2:$V$1001,0),MATCH(COLUMNS($AC$1006:AG1006),$AC$1006:$AS$1006,0)), HYPERLINK("#",""), HYPERLINK(CONCATENATE("#metadata!", ADDRESS(INDEX($X$2:$X$1001,MATCH(ROWS($V$2:V956),$V$2:$V$1001,0),0), INDEX($AC$1004:$AS$1004,1,MATCH(COLUMNS($AC$1006:AG1006),$AC$1006:$AS$1006,0)))),"Fix")))</f>
        <v xml:space="preserve"> </v>
      </c>
      <c r="G956" s="4" t="str">
        <f ca="1">IF(OR(INDEX($W$2:$W$1001,MATCH(ROWS($V$2:V956),$V$2:$V$1001,0),1)&gt;=100000,INDEX($AC$1005:$AS$1005,1,MATCH(COLUMNS($AC$1006:AH1006),$AC$1006:$AS$1006,0))&gt;=100000), " ",IF(INDEX($AC$2:$AS$1001,MATCH(ROWS($V$2:V956),$V$2:$V$1001,0),MATCH(COLUMNS($AC$1006:AH1006),$AC$1006:$AS$1006,0)), HYPERLINK("#",""), HYPERLINK(CONCATENATE("#metadata!", ADDRESS(INDEX($X$2:$X$1001,MATCH(ROWS($V$2:V956),$V$2:$V$1001,0),0), INDEX($AC$1004:$AS$1004,1,MATCH(COLUMNS($AC$1006:AH1006),$AC$1006:$AS$1006,0)))),"Fix")))</f>
        <v xml:space="preserve"> </v>
      </c>
      <c r="H956" s="4" t="str">
        <f ca="1">IF(OR(INDEX($W$2:$W$1001,MATCH(ROWS($V$2:V956),$V$2:$V$1001,0),1)&gt;=100000,INDEX($AC$1005:$AS$1005,1,MATCH(COLUMNS($AC$1006:AI1006),$AC$1006:$AS$1006,0))&gt;=100000), " ",IF(INDEX($AC$2:$AS$1001,MATCH(ROWS($V$2:V956),$V$2:$V$1001,0),MATCH(COLUMNS($AC$1006:AI1006),$AC$1006:$AS$1006,0)), HYPERLINK("#",""), HYPERLINK(CONCATENATE("#metadata!", ADDRESS(INDEX($X$2:$X$1001,MATCH(ROWS($V$2:V956),$V$2:$V$1001,0),0), INDEX($AC$1004:$AS$1004,1,MATCH(COLUMNS($AC$1006:AI1006),$AC$1006:$AS$1006,0)))),"Fix")))</f>
        <v xml:space="preserve"> </v>
      </c>
      <c r="I956" s="4" t="str">
        <f ca="1">IF(OR(INDEX($W$2:$W$1001,MATCH(ROWS($V$2:V956),$V$2:$V$1001,0),1)&gt;=100000,INDEX($AC$1005:$AS$1005,1,MATCH(COLUMNS($AC$1006:AJ1006),$AC$1006:$AS$1006,0))&gt;=100000), " ",IF(INDEX($AC$2:$AS$1001,MATCH(ROWS($V$2:V956),$V$2:$V$1001,0),MATCH(COLUMNS($AC$1006:AJ1006),$AC$1006:$AS$1006,0)), HYPERLINK("#",""), HYPERLINK(CONCATENATE("#metadata!", ADDRESS(INDEX($X$2:$X$1001,MATCH(ROWS($V$2:V956),$V$2:$V$1001,0),0), INDEX($AC$1004:$AS$1004,1,MATCH(COLUMNS($AC$1006:AJ1006),$AC$1006:$AS$1006,0)))),"Fix")))</f>
        <v xml:space="preserve"> </v>
      </c>
      <c r="J956" s="4" t="str">
        <f ca="1">IF(OR(INDEX($W$2:$W$1001,MATCH(ROWS($V$2:V956),$V$2:$V$1001,0),1)&gt;=100000,INDEX($AC$1005:$AS$1005,1,MATCH(COLUMNS($AC$1006:AK1006),$AC$1006:$AS$1006,0))&gt;=100000), " ",IF(INDEX($AC$2:$AS$1001,MATCH(ROWS($V$2:V956),$V$2:$V$1001,0),MATCH(COLUMNS($AC$1006:AK1006),$AC$1006:$AS$1006,0)), HYPERLINK("#",""), HYPERLINK(CONCATENATE("#metadata!", ADDRESS(INDEX($X$2:$X$1001,MATCH(ROWS($V$2:V956),$V$2:$V$1001,0),0), INDEX($AC$1004:$AS$1004,1,MATCH(COLUMNS($AC$1006:AK1006),$AC$1006:$AS$1006,0)))),"Fix")))</f>
        <v xml:space="preserve"> </v>
      </c>
      <c r="K956" s="4" t="str">
        <f ca="1">IF(OR(INDEX($W$2:$W$1001,MATCH(ROWS($V$2:V956),$V$2:$V$1001,0),1)&gt;=100000,INDEX($AC$1005:$AS$1005,1,MATCH(COLUMNS($AC$1006:AL1006),$AC$1006:$AS$1006,0))&gt;=100000), " ",IF(INDEX($AC$2:$AS$1001,MATCH(ROWS($V$2:V956),$V$2:$V$1001,0),MATCH(COLUMNS($AC$1006:AL1006),$AC$1006:$AS$1006,0)), HYPERLINK("#",""), HYPERLINK(CONCATENATE("#metadata!", ADDRESS(INDEX($X$2:$X$1001,MATCH(ROWS($V$2:V956),$V$2:$V$1001,0),0), INDEX($AC$1004:$AS$1004,1,MATCH(COLUMNS($AC$1006:AL1006),$AC$1006:$AS$1006,0)))),"Fix")))</f>
        <v xml:space="preserve"> </v>
      </c>
      <c r="L956" s="4" t="str">
        <f ca="1">IF(OR(INDEX($W$2:$W$1001,MATCH(ROWS($V$2:V956),$V$2:$V$1001,0),1)&gt;=100000,INDEX($AC$1005:$AS$1005,1,MATCH(COLUMNS($AC$1006:AM1006),$AC$1006:$AS$1006,0))&gt;=100000), " ",IF(INDEX($AC$2:$AS$1001,MATCH(ROWS($V$2:V956),$V$2:$V$1001,0),MATCH(COLUMNS($AC$1006:AM1006),$AC$1006:$AS$1006,0)), HYPERLINK("#",""), HYPERLINK(CONCATENATE("#metadata!", ADDRESS(INDEX($X$2:$X$1001,MATCH(ROWS($V$2:V956),$V$2:$V$1001,0),0), INDEX($AC$1004:$AS$1004,1,MATCH(COLUMNS($AC$1006:AM1006),$AC$1006:$AS$1006,0)))),"Fix")))</f>
        <v xml:space="preserve"> </v>
      </c>
      <c r="M956" s="4" t="str">
        <f ca="1">IF(OR(INDEX($W$2:$W$1001,MATCH(ROWS($V$2:V956),$V$2:$V$1001,0),1)&gt;=100000,INDEX($AC$1005:$AS$1005,1,MATCH(COLUMNS($AC$1006:AN1006),$AC$1006:$AS$1006,0))&gt;=100000), " ",IF(INDEX($AC$2:$AS$1001,MATCH(ROWS($V$2:V956),$V$2:$V$1001,0),MATCH(COLUMNS($AC$1006:AN1006),$AC$1006:$AS$1006,0)), HYPERLINK("#",""), HYPERLINK(CONCATENATE("#metadata!", ADDRESS(INDEX($X$2:$X$1001,MATCH(ROWS($V$2:V956),$V$2:$V$1001,0),0), INDEX($AC$1004:$AS$1004,1,MATCH(COLUMNS($AC$1006:AN1006),$AC$1006:$AS$1006,0)))),"Fix")))</f>
        <v xml:space="preserve"> </v>
      </c>
      <c r="N956" s="4" t="str">
        <f ca="1">IF(OR(INDEX($W$2:$W$1001,MATCH(ROWS($V$2:V956),$V$2:$V$1001,0),1)&gt;=100000,INDEX($AC$1005:$AS$1005,1,MATCH(COLUMNS($AC$1006:AO1006),$AC$1006:$AS$1006,0))&gt;=100000), " ",IF(INDEX($AC$2:$AS$1001,MATCH(ROWS($V$2:V956),$V$2:$V$1001,0),MATCH(COLUMNS($AC$1006:AO1006),$AC$1006:$AS$1006,0)), HYPERLINK("#",""), HYPERLINK(CONCATENATE("#metadata!", ADDRESS(INDEX($X$2:$X$1001,MATCH(ROWS($V$2:V956),$V$2:$V$1001,0),0), INDEX($AC$1004:$AS$1004,1,MATCH(COLUMNS($AC$1006:AO1006),$AC$1006:$AS$1006,0)))),"Fix")))</f>
        <v xml:space="preserve"> </v>
      </c>
      <c r="O956" s="4" t="str">
        <f ca="1">IF(OR(INDEX($W$2:$W$1001,MATCH(ROWS($V$2:V956),$V$2:$V$1001,0),1)&gt;=100000,INDEX($AC$1005:$AS$1005,1,MATCH(COLUMNS($AC$1006:AP1006),$AC$1006:$AS$1006,0))&gt;=100000), " ",IF(INDEX($AC$2:$AS$1001,MATCH(ROWS($V$2:V956),$V$2:$V$1001,0),MATCH(COLUMNS($AC$1006:AP1006),$AC$1006:$AS$1006,0)), HYPERLINK("#",""), HYPERLINK(CONCATENATE("#metadata!", ADDRESS(INDEX($X$2:$X$1001,MATCH(ROWS($V$2:V956),$V$2:$V$1001,0),0), INDEX($AC$1004:$AS$1004,1,MATCH(COLUMNS($AC$1006:AP1006),$AC$1006:$AS$1006,0)))),"Fix")))</f>
        <v xml:space="preserve"> </v>
      </c>
      <c r="P956" s="4" t="str">
        <f ca="1">IF(OR(INDEX($W$2:$W$1001,MATCH(ROWS($V$2:V956),$V$2:$V$1001,0),1)&gt;=100000,INDEX($AC$1005:$AS$1005,1,MATCH(COLUMNS($AC$1006:AQ1006),$AC$1006:$AS$1006,0))&gt;=100000), " ",IF(INDEX($AC$2:$AS$1001,MATCH(ROWS($V$2:V956),$V$2:$V$1001,0),MATCH(COLUMNS($AC$1006:AQ1006),$AC$1006:$AS$1006,0)), HYPERLINK("#",""), HYPERLINK(CONCATENATE("#metadata!", ADDRESS(INDEX($X$2:$X$1001,MATCH(ROWS($V$2:V956),$V$2:$V$1001,0),0), INDEX($AC$1004:$AS$1004,1,MATCH(COLUMNS($AC$1006:AQ1006),$AC$1006:$AS$1006,0)))),"Fix")))</f>
        <v xml:space="preserve"> </v>
      </c>
      <c r="Q956" s="4" t="str">
        <f ca="1">IF(OR(INDEX($W$2:$W$1001,MATCH(ROWS($V$2:V956),$V$2:$V$1001,0),1)&gt;=100000,INDEX($AC$1005:$AS$1005,1,MATCH(COLUMNS($AC$1006:AR1006),$AC$1006:$AS$1006,0))&gt;=100000), " ",IF(INDEX($AC$2:$AS$1001,MATCH(ROWS($V$2:V956),$V$2:$V$1001,0),MATCH(COLUMNS($AC$1006:AR1006),$AC$1006:$AS$1006,0)), HYPERLINK("#",""), HYPERLINK(CONCATENATE("#metadata!", ADDRESS(INDEX($X$2:$X$1001,MATCH(ROWS($V$2:V956),$V$2:$V$1001,0),0), INDEX($AC$1004:$AS$1004,1,MATCH(COLUMNS($AC$1006:AR1006),$AC$1006:$AS$1006,0)))),"Fix")))</f>
        <v xml:space="preserve"> </v>
      </c>
      <c r="R956" s="4" t="str">
        <f ca="1">IF(OR(INDEX($W$2:$W$1001,MATCH(ROWS($V$2:V956),$V$2:$V$1001,0),1)&gt;=100000,INDEX($AC$1005:$AS$1005,1,MATCH(COLUMNS($AC$1006:AS1006),$AC$1006:$AS$1006,0))&gt;=100000), " ",IF(INDEX($AC$2:$AS$1001,MATCH(ROWS($V$2:V956),$V$2:$V$1001,0),MATCH(COLUMNS($AC$1006:AS1006),$AC$1006:$AS$1006,0)), HYPERLINK("#",""), HYPERLINK(CONCATENATE("#metadata!", ADDRESS(INDEX($X$2:$X$1001,MATCH(ROWS($V$2:V956),$V$2:$V$1001,0),0), INDEX($AC$1004:$AS$1004,1,MATCH(COLUMNS($AC$1006:AS1006),$AC$1006:$AS$1006,0)))),"Fix")))</f>
        <v xml:space="preserve"> </v>
      </c>
      <c r="V956">
        <v>955</v>
      </c>
      <c r="W956">
        <v>100956</v>
      </c>
      <c r="X956">
        <v>956</v>
      </c>
      <c r="Y956" t="b">
        <f t="shared" si="14"/>
        <v>1</v>
      </c>
      <c r="Z956" t="b">
        <f>COUNTBLANK(metadata!B956:R956)=COLUMNS(metadata!B956:R956)</f>
        <v>1</v>
      </c>
      <c r="AA956" t="str">
        <v/>
      </c>
      <c r="AC956" t="b">
        <f ca="1"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AD956" t="b">
        <f>IF(metadata!C956="",FALSE,ISNUMBER(VALUE(metadata!C956)))</f>
        <v>0</v>
      </c>
      <c r="AE956" t="b">
        <f>AND(IF(metadata!D956="",FALSE,TRUE),EXACT(metadata!D956,"years"))</f>
        <v>0</v>
      </c>
      <c r="AF956" t="b">
        <f>OR(AND(IF(metadata!E956="",FALSE,TRUE),OR(EXACT(metadata!E956,"not applicable"),EXACT(metadata!E956,"missing: not collected"),EXACT(metadata!E956,"missing: not provided"),EXACT(metadata!E956,"missing: restricted access"))),AND(IF(metadata!E956="",FALSE,ISNUMBER(VALUE(metadata!E956))),metadata!E956&gt;0))</f>
        <v>0</v>
      </c>
      <c r="AG956" t="b">
        <f>AND(IF(metadata!F956="",FALSE,TRUE),EXACT(metadata!F956,"Not applicable"))</f>
        <v>0</v>
      </c>
      <c r="AH956" t="b">
        <f>AND(IF(metadata!G956="",FALSE,TRUE),EXACT(metadata!G956,"urban biome"))</f>
        <v>0</v>
      </c>
      <c r="AI956" t="b">
        <f>AND(IF(metadata!H956="",FALSE,TRUE),EXACT(metadata!H956,"human-associated habitat"))</f>
        <v>0</v>
      </c>
      <c r="AJ956" t="b">
        <f>AND(IF(metadata!I956="",FALSE,TRUE),OR(EXACT(metadata!I956,"human-associated"),EXACT(metadata!I956,"human-skin"),EXACT(metadata!I956,"human-oral"),EXACT(metadata!I956,"human-gut"),EXACT(metadata!I956,"human-vaginal")))</f>
        <v>0</v>
      </c>
      <c r="AK956" t="b">
        <f>IF(metadata!J956="",FALSE,ISNUMBER(VALUE(metadata!J956)))</f>
        <v>0</v>
      </c>
      <c r="AL956" t="b">
        <f>AND(IF(metadata!K956="",FALSE,TRUE),EXACT(metadata!K956,"cm"))</f>
        <v>0</v>
      </c>
      <c r="AM956" t="b">
        <f>AND(IF(metadata!L956="",FALSE,TRUE),EXACT(metadata!L956,"human"))</f>
        <v>0</v>
      </c>
      <c r="AN956" t="b">
        <f>AND(IF(metadata!M956="",FALSE,TRUE),EXACT(metadata!M956,"Homo sapiens"))</f>
        <v>0</v>
      </c>
      <c r="AO956" t="b">
        <f>AND(IF(metadata!N956="",FALSE,TRUE),EXACT(metadata!N956,"9606"))</f>
        <v>0</v>
      </c>
      <c r="AP956" t="b">
        <f>IF(metadata!O956="",FALSE,TRUE)</f>
        <v>0</v>
      </c>
      <c r="AQ956" t="b">
        <f>IF(metadata!P956="",FALSE,TRUE)</f>
        <v>0</v>
      </c>
      <c r="AR956" t="b">
        <f>IF(metadata!Q956="",FALSE,ISNUMBER(VALUE(metadata!Q956)))</f>
        <v>0</v>
      </c>
      <c r="AS956" t="b">
        <f>AND(IF(metadata!R956="",FALSE,TRUE),EXACT(metadata!R956,"kg"))</f>
        <v>0</v>
      </c>
    </row>
    <row r="957" spans="1:45" x14ac:dyDescent="0.2">
      <c r="A957" s="5" t="str">
        <f ca="1">IF(B957=" "," ",HYPERLINK(CONCATENATE("#metadata!",ADDRESS(INDEX($X$2:$X$1001,MATCH(ROWS($V$2:V957),$V$2:$V$1001,0),0),1)),INDEX($AA$2:$AA$1001,MATCH(ROWS($V$2:V957),$V$2:$V$1001,0),0)))</f>
        <v xml:space="preserve"> </v>
      </c>
      <c r="B957" s="4" t="str">
        <f ca="1">IF(OR(INDEX($W$2:$W$1001,MATCH(ROWS($V$2:V957),$V$2:$V$1001,0),1)&gt;=100000,INDEX($AC$1005:$AS$1005,1,MATCH(COLUMNS($AC$1006:AC1006),$AC$1006:$AS$1006,0))&gt;=100000), " ",IF(INDEX($AC$2:$AS$1001,MATCH(ROWS($V$2:V957),$V$2:$V$1001,0),MATCH(COLUMNS($AC$1006:AC1006),$AC$1006:$AS$1006,0)), HYPERLINK("#",""), HYPERLINK(CONCATENATE("#metadata!", ADDRESS(INDEX($X$2:$X$1001,MATCH(ROWS($V$2:V957),$V$2:$V$1001,0),0), INDEX($AC$1004:$AS$1004,1,MATCH(COLUMNS($AC$1006:AC1006),$AC$1006:$AS$1006,0)))),"Fix")))</f>
        <v xml:space="preserve"> </v>
      </c>
      <c r="C957" s="4" t="str">
        <f ca="1">IF(OR(INDEX($W$2:$W$1001,MATCH(ROWS($V$2:V957),$V$2:$V$1001,0),1)&gt;=100000,INDEX($AC$1005:$AS$1005,1,MATCH(COLUMNS($AC$1006:AD1006),$AC$1006:$AS$1006,0))&gt;=100000), " ",IF(INDEX($AC$2:$AS$1001,MATCH(ROWS($V$2:V957),$V$2:$V$1001,0),MATCH(COLUMNS($AC$1006:AD1006),$AC$1006:$AS$1006,0)), HYPERLINK("#",""), HYPERLINK(CONCATENATE("#metadata!", ADDRESS(INDEX($X$2:$X$1001,MATCH(ROWS($V$2:V957),$V$2:$V$1001,0),0), INDEX($AC$1004:$AS$1004,1,MATCH(COLUMNS($AC$1006:AD1006),$AC$1006:$AS$1006,0)))),"Fix")))</f>
        <v xml:space="preserve"> </v>
      </c>
      <c r="D957" s="4" t="str">
        <f ca="1">IF(OR(INDEX($W$2:$W$1001,MATCH(ROWS($V$2:V957),$V$2:$V$1001,0),1)&gt;=100000,INDEX($AC$1005:$AS$1005,1,MATCH(COLUMNS($AC$1006:AE1006),$AC$1006:$AS$1006,0))&gt;=100000), " ",IF(INDEX($AC$2:$AS$1001,MATCH(ROWS($V$2:V957),$V$2:$V$1001,0),MATCH(COLUMNS($AC$1006:AE1006),$AC$1006:$AS$1006,0)), HYPERLINK("#",""), HYPERLINK(CONCATENATE("#metadata!", ADDRESS(INDEX($X$2:$X$1001,MATCH(ROWS($V$2:V957),$V$2:$V$1001,0),0), INDEX($AC$1004:$AS$1004,1,MATCH(COLUMNS($AC$1006:AE1006),$AC$1006:$AS$1006,0)))),"Fix")))</f>
        <v xml:space="preserve"> </v>
      </c>
      <c r="E957" s="4" t="str">
        <f ca="1">IF(OR(INDEX($W$2:$W$1001,MATCH(ROWS($V$2:V957),$V$2:$V$1001,0),1)&gt;=100000,INDEX($AC$1005:$AS$1005,1,MATCH(COLUMNS($AC$1006:AF1006),$AC$1006:$AS$1006,0))&gt;=100000), " ",IF(INDEX($AC$2:$AS$1001,MATCH(ROWS($V$2:V957),$V$2:$V$1001,0),MATCH(COLUMNS($AC$1006:AF1006),$AC$1006:$AS$1006,0)), HYPERLINK("#",""), HYPERLINK(CONCATENATE("#metadata!", ADDRESS(INDEX($X$2:$X$1001,MATCH(ROWS($V$2:V957),$V$2:$V$1001,0),0), INDEX($AC$1004:$AS$1004,1,MATCH(COLUMNS($AC$1006:AF1006),$AC$1006:$AS$1006,0)))),"Fix")))</f>
        <v xml:space="preserve"> </v>
      </c>
      <c r="F957" s="4" t="str">
        <f ca="1">IF(OR(INDEX($W$2:$W$1001,MATCH(ROWS($V$2:V957),$V$2:$V$1001,0),1)&gt;=100000,INDEX($AC$1005:$AS$1005,1,MATCH(COLUMNS($AC$1006:AG1006),$AC$1006:$AS$1006,0))&gt;=100000), " ",IF(INDEX($AC$2:$AS$1001,MATCH(ROWS($V$2:V957),$V$2:$V$1001,0),MATCH(COLUMNS($AC$1006:AG1006),$AC$1006:$AS$1006,0)), HYPERLINK("#",""), HYPERLINK(CONCATENATE("#metadata!", ADDRESS(INDEX($X$2:$X$1001,MATCH(ROWS($V$2:V957),$V$2:$V$1001,0),0), INDEX($AC$1004:$AS$1004,1,MATCH(COLUMNS($AC$1006:AG1006),$AC$1006:$AS$1006,0)))),"Fix")))</f>
        <v xml:space="preserve"> </v>
      </c>
      <c r="G957" s="4" t="str">
        <f ca="1">IF(OR(INDEX($W$2:$W$1001,MATCH(ROWS($V$2:V957),$V$2:$V$1001,0),1)&gt;=100000,INDEX($AC$1005:$AS$1005,1,MATCH(COLUMNS($AC$1006:AH1006),$AC$1006:$AS$1006,0))&gt;=100000), " ",IF(INDEX($AC$2:$AS$1001,MATCH(ROWS($V$2:V957),$V$2:$V$1001,0),MATCH(COLUMNS($AC$1006:AH1006),$AC$1006:$AS$1006,0)), HYPERLINK("#",""), HYPERLINK(CONCATENATE("#metadata!", ADDRESS(INDEX($X$2:$X$1001,MATCH(ROWS($V$2:V957),$V$2:$V$1001,0),0), INDEX($AC$1004:$AS$1004,1,MATCH(COLUMNS($AC$1006:AH1006),$AC$1006:$AS$1006,0)))),"Fix")))</f>
        <v xml:space="preserve"> </v>
      </c>
      <c r="H957" s="4" t="str">
        <f ca="1">IF(OR(INDEX($W$2:$W$1001,MATCH(ROWS($V$2:V957),$V$2:$V$1001,0),1)&gt;=100000,INDEX($AC$1005:$AS$1005,1,MATCH(COLUMNS($AC$1006:AI1006),$AC$1006:$AS$1006,0))&gt;=100000), " ",IF(INDEX($AC$2:$AS$1001,MATCH(ROWS($V$2:V957),$V$2:$V$1001,0),MATCH(COLUMNS($AC$1006:AI1006),$AC$1006:$AS$1006,0)), HYPERLINK("#",""), HYPERLINK(CONCATENATE("#metadata!", ADDRESS(INDEX($X$2:$X$1001,MATCH(ROWS($V$2:V957),$V$2:$V$1001,0),0), INDEX($AC$1004:$AS$1004,1,MATCH(COLUMNS($AC$1006:AI1006),$AC$1006:$AS$1006,0)))),"Fix")))</f>
        <v xml:space="preserve"> </v>
      </c>
      <c r="I957" s="4" t="str">
        <f ca="1">IF(OR(INDEX($W$2:$W$1001,MATCH(ROWS($V$2:V957),$V$2:$V$1001,0),1)&gt;=100000,INDEX($AC$1005:$AS$1005,1,MATCH(COLUMNS($AC$1006:AJ1006),$AC$1006:$AS$1006,0))&gt;=100000), " ",IF(INDEX($AC$2:$AS$1001,MATCH(ROWS($V$2:V957),$V$2:$V$1001,0),MATCH(COLUMNS($AC$1006:AJ1006),$AC$1006:$AS$1006,0)), HYPERLINK("#",""), HYPERLINK(CONCATENATE("#metadata!", ADDRESS(INDEX($X$2:$X$1001,MATCH(ROWS($V$2:V957),$V$2:$V$1001,0),0), INDEX($AC$1004:$AS$1004,1,MATCH(COLUMNS($AC$1006:AJ1006),$AC$1006:$AS$1006,0)))),"Fix")))</f>
        <v xml:space="preserve"> </v>
      </c>
      <c r="J957" s="4" t="str">
        <f ca="1">IF(OR(INDEX($W$2:$W$1001,MATCH(ROWS($V$2:V957),$V$2:$V$1001,0),1)&gt;=100000,INDEX($AC$1005:$AS$1005,1,MATCH(COLUMNS($AC$1006:AK1006),$AC$1006:$AS$1006,0))&gt;=100000), " ",IF(INDEX($AC$2:$AS$1001,MATCH(ROWS($V$2:V957),$V$2:$V$1001,0),MATCH(COLUMNS($AC$1006:AK1006),$AC$1006:$AS$1006,0)), HYPERLINK("#",""), HYPERLINK(CONCATENATE("#metadata!", ADDRESS(INDEX($X$2:$X$1001,MATCH(ROWS($V$2:V957),$V$2:$V$1001,0),0), INDEX($AC$1004:$AS$1004,1,MATCH(COLUMNS($AC$1006:AK1006),$AC$1006:$AS$1006,0)))),"Fix")))</f>
        <v xml:space="preserve"> </v>
      </c>
      <c r="K957" s="4" t="str">
        <f ca="1">IF(OR(INDEX($W$2:$W$1001,MATCH(ROWS($V$2:V957),$V$2:$V$1001,0),1)&gt;=100000,INDEX($AC$1005:$AS$1005,1,MATCH(COLUMNS($AC$1006:AL1006),$AC$1006:$AS$1006,0))&gt;=100000), " ",IF(INDEX($AC$2:$AS$1001,MATCH(ROWS($V$2:V957),$V$2:$V$1001,0),MATCH(COLUMNS($AC$1006:AL1006),$AC$1006:$AS$1006,0)), HYPERLINK("#",""), HYPERLINK(CONCATENATE("#metadata!", ADDRESS(INDEX($X$2:$X$1001,MATCH(ROWS($V$2:V957),$V$2:$V$1001,0),0), INDEX($AC$1004:$AS$1004,1,MATCH(COLUMNS($AC$1006:AL1006),$AC$1006:$AS$1006,0)))),"Fix")))</f>
        <v xml:space="preserve"> </v>
      </c>
      <c r="L957" s="4" t="str">
        <f ca="1">IF(OR(INDEX($W$2:$W$1001,MATCH(ROWS($V$2:V957),$V$2:$V$1001,0),1)&gt;=100000,INDEX($AC$1005:$AS$1005,1,MATCH(COLUMNS($AC$1006:AM1006),$AC$1006:$AS$1006,0))&gt;=100000), " ",IF(INDEX($AC$2:$AS$1001,MATCH(ROWS($V$2:V957),$V$2:$V$1001,0),MATCH(COLUMNS($AC$1006:AM1006),$AC$1006:$AS$1006,0)), HYPERLINK("#",""), HYPERLINK(CONCATENATE("#metadata!", ADDRESS(INDEX($X$2:$X$1001,MATCH(ROWS($V$2:V957),$V$2:$V$1001,0),0), INDEX($AC$1004:$AS$1004,1,MATCH(COLUMNS($AC$1006:AM1006),$AC$1006:$AS$1006,0)))),"Fix")))</f>
        <v xml:space="preserve"> </v>
      </c>
      <c r="M957" s="4" t="str">
        <f ca="1">IF(OR(INDEX($W$2:$W$1001,MATCH(ROWS($V$2:V957),$V$2:$V$1001,0),1)&gt;=100000,INDEX($AC$1005:$AS$1005,1,MATCH(COLUMNS($AC$1006:AN1006),$AC$1006:$AS$1006,0))&gt;=100000), " ",IF(INDEX($AC$2:$AS$1001,MATCH(ROWS($V$2:V957),$V$2:$V$1001,0),MATCH(COLUMNS($AC$1006:AN1006),$AC$1006:$AS$1006,0)), HYPERLINK("#",""), HYPERLINK(CONCATENATE("#metadata!", ADDRESS(INDEX($X$2:$X$1001,MATCH(ROWS($V$2:V957),$V$2:$V$1001,0),0), INDEX($AC$1004:$AS$1004,1,MATCH(COLUMNS($AC$1006:AN1006),$AC$1006:$AS$1006,0)))),"Fix")))</f>
        <v xml:space="preserve"> </v>
      </c>
      <c r="N957" s="4" t="str">
        <f ca="1">IF(OR(INDEX($W$2:$W$1001,MATCH(ROWS($V$2:V957),$V$2:$V$1001,0),1)&gt;=100000,INDEX($AC$1005:$AS$1005,1,MATCH(COLUMNS($AC$1006:AO1006),$AC$1006:$AS$1006,0))&gt;=100000), " ",IF(INDEX($AC$2:$AS$1001,MATCH(ROWS($V$2:V957),$V$2:$V$1001,0),MATCH(COLUMNS($AC$1006:AO1006),$AC$1006:$AS$1006,0)), HYPERLINK("#",""), HYPERLINK(CONCATENATE("#metadata!", ADDRESS(INDEX($X$2:$X$1001,MATCH(ROWS($V$2:V957),$V$2:$V$1001,0),0), INDEX($AC$1004:$AS$1004,1,MATCH(COLUMNS($AC$1006:AO1006),$AC$1006:$AS$1006,0)))),"Fix")))</f>
        <v xml:space="preserve"> </v>
      </c>
      <c r="O957" s="4" t="str">
        <f ca="1">IF(OR(INDEX($W$2:$W$1001,MATCH(ROWS($V$2:V957),$V$2:$V$1001,0),1)&gt;=100000,INDEX($AC$1005:$AS$1005,1,MATCH(COLUMNS($AC$1006:AP1006),$AC$1006:$AS$1006,0))&gt;=100000), " ",IF(INDEX($AC$2:$AS$1001,MATCH(ROWS($V$2:V957),$V$2:$V$1001,0),MATCH(COLUMNS($AC$1006:AP1006),$AC$1006:$AS$1006,0)), HYPERLINK("#",""), HYPERLINK(CONCATENATE("#metadata!", ADDRESS(INDEX($X$2:$X$1001,MATCH(ROWS($V$2:V957),$V$2:$V$1001,0),0), INDEX($AC$1004:$AS$1004,1,MATCH(COLUMNS($AC$1006:AP1006),$AC$1006:$AS$1006,0)))),"Fix")))</f>
        <v xml:space="preserve"> </v>
      </c>
      <c r="P957" s="4" t="str">
        <f ca="1">IF(OR(INDEX($W$2:$W$1001,MATCH(ROWS($V$2:V957),$V$2:$V$1001,0),1)&gt;=100000,INDEX($AC$1005:$AS$1005,1,MATCH(COLUMNS($AC$1006:AQ1006),$AC$1006:$AS$1006,0))&gt;=100000), " ",IF(INDEX($AC$2:$AS$1001,MATCH(ROWS($V$2:V957),$V$2:$V$1001,0),MATCH(COLUMNS($AC$1006:AQ1006),$AC$1006:$AS$1006,0)), HYPERLINK("#",""), HYPERLINK(CONCATENATE("#metadata!", ADDRESS(INDEX($X$2:$X$1001,MATCH(ROWS($V$2:V957),$V$2:$V$1001,0),0), INDEX($AC$1004:$AS$1004,1,MATCH(COLUMNS($AC$1006:AQ1006),$AC$1006:$AS$1006,0)))),"Fix")))</f>
        <v xml:space="preserve"> </v>
      </c>
      <c r="Q957" s="4" t="str">
        <f ca="1">IF(OR(INDEX($W$2:$W$1001,MATCH(ROWS($V$2:V957),$V$2:$V$1001,0),1)&gt;=100000,INDEX($AC$1005:$AS$1005,1,MATCH(COLUMNS($AC$1006:AR1006),$AC$1006:$AS$1006,0))&gt;=100000), " ",IF(INDEX($AC$2:$AS$1001,MATCH(ROWS($V$2:V957),$V$2:$V$1001,0),MATCH(COLUMNS($AC$1006:AR1006),$AC$1006:$AS$1006,0)), HYPERLINK("#",""), HYPERLINK(CONCATENATE("#metadata!", ADDRESS(INDEX($X$2:$X$1001,MATCH(ROWS($V$2:V957),$V$2:$V$1001,0),0), INDEX($AC$1004:$AS$1004,1,MATCH(COLUMNS($AC$1006:AR1006),$AC$1006:$AS$1006,0)))),"Fix")))</f>
        <v xml:space="preserve"> </v>
      </c>
      <c r="R957" s="4" t="str">
        <f ca="1">IF(OR(INDEX($W$2:$W$1001,MATCH(ROWS($V$2:V957),$V$2:$V$1001,0),1)&gt;=100000,INDEX($AC$1005:$AS$1005,1,MATCH(COLUMNS($AC$1006:AS1006),$AC$1006:$AS$1006,0))&gt;=100000), " ",IF(INDEX($AC$2:$AS$1001,MATCH(ROWS($V$2:V957),$V$2:$V$1001,0),MATCH(COLUMNS($AC$1006:AS1006),$AC$1006:$AS$1006,0)), HYPERLINK("#",""), HYPERLINK(CONCATENATE("#metadata!", ADDRESS(INDEX($X$2:$X$1001,MATCH(ROWS($V$2:V957),$V$2:$V$1001,0),0), INDEX($AC$1004:$AS$1004,1,MATCH(COLUMNS($AC$1006:AS1006),$AC$1006:$AS$1006,0)))),"Fix")))</f>
        <v xml:space="preserve"> </v>
      </c>
      <c r="V957">
        <v>956</v>
      </c>
      <c r="W957">
        <v>100957</v>
      </c>
      <c r="X957">
        <v>957</v>
      </c>
      <c r="Y957" t="b">
        <f t="shared" si="14"/>
        <v>1</v>
      </c>
      <c r="Z957" t="b">
        <f>COUNTBLANK(metadata!B957:R957)=COLUMNS(metadata!B957:R957)</f>
        <v>1</v>
      </c>
      <c r="AA957" t="str">
        <v/>
      </c>
      <c r="AC957" t="b">
        <f ca="1"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AD957" t="b">
        <f>IF(metadata!C957="",FALSE,ISNUMBER(VALUE(metadata!C957)))</f>
        <v>0</v>
      </c>
      <c r="AE957" t="b">
        <f>AND(IF(metadata!D957="",FALSE,TRUE),EXACT(metadata!D957,"years"))</f>
        <v>0</v>
      </c>
      <c r="AF957" t="b">
        <f>OR(AND(IF(metadata!E957="",FALSE,TRUE),OR(EXACT(metadata!E957,"not applicable"),EXACT(metadata!E957,"missing: not collected"),EXACT(metadata!E957,"missing: not provided"),EXACT(metadata!E957,"missing: restricted access"))),AND(IF(metadata!E957="",FALSE,ISNUMBER(VALUE(metadata!E957))),metadata!E957&gt;0))</f>
        <v>0</v>
      </c>
      <c r="AG957" t="b">
        <f>AND(IF(metadata!F957="",FALSE,TRUE),EXACT(metadata!F957,"Not applicable"))</f>
        <v>0</v>
      </c>
      <c r="AH957" t="b">
        <f>AND(IF(metadata!G957="",FALSE,TRUE),EXACT(metadata!G957,"urban biome"))</f>
        <v>0</v>
      </c>
      <c r="AI957" t="b">
        <f>AND(IF(metadata!H957="",FALSE,TRUE),EXACT(metadata!H957,"human-associated habitat"))</f>
        <v>0</v>
      </c>
      <c r="AJ957" t="b">
        <f>AND(IF(metadata!I957="",FALSE,TRUE),OR(EXACT(metadata!I957,"human-associated"),EXACT(metadata!I957,"human-skin"),EXACT(metadata!I957,"human-oral"),EXACT(metadata!I957,"human-gut"),EXACT(metadata!I957,"human-vaginal")))</f>
        <v>0</v>
      </c>
      <c r="AK957" t="b">
        <f>IF(metadata!J957="",FALSE,ISNUMBER(VALUE(metadata!J957)))</f>
        <v>0</v>
      </c>
      <c r="AL957" t="b">
        <f>AND(IF(metadata!K957="",FALSE,TRUE),EXACT(metadata!K957,"cm"))</f>
        <v>0</v>
      </c>
      <c r="AM957" t="b">
        <f>AND(IF(metadata!L957="",FALSE,TRUE),EXACT(metadata!L957,"human"))</f>
        <v>0</v>
      </c>
      <c r="AN957" t="b">
        <f>AND(IF(metadata!M957="",FALSE,TRUE),EXACT(metadata!M957,"Homo sapiens"))</f>
        <v>0</v>
      </c>
      <c r="AO957" t="b">
        <f>AND(IF(metadata!N957="",FALSE,TRUE),EXACT(metadata!N957,"9606"))</f>
        <v>0</v>
      </c>
      <c r="AP957" t="b">
        <f>IF(metadata!O957="",FALSE,TRUE)</f>
        <v>0</v>
      </c>
      <c r="AQ957" t="b">
        <f>IF(metadata!P957="",FALSE,TRUE)</f>
        <v>0</v>
      </c>
      <c r="AR957" t="b">
        <f>IF(metadata!Q957="",FALSE,ISNUMBER(VALUE(metadata!Q957)))</f>
        <v>0</v>
      </c>
      <c r="AS957" t="b">
        <f>AND(IF(metadata!R957="",FALSE,TRUE),EXACT(metadata!R957,"kg"))</f>
        <v>0</v>
      </c>
    </row>
    <row r="958" spans="1:45" x14ac:dyDescent="0.2">
      <c r="A958" s="5" t="str">
        <f ca="1">IF(B958=" "," ",HYPERLINK(CONCATENATE("#metadata!",ADDRESS(INDEX($X$2:$X$1001,MATCH(ROWS($V$2:V958),$V$2:$V$1001,0),0),1)),INDEX($AA$2:$AA$1001,MATCH(ROWS($V$2:V958),$V$2:$V$1001,0),0)))</f>
        <v xml:space="preserve"> </v>
      </c>
      <c r="B958" s="4" t="str">
        <f ca="1">IF(OR(INDEX($W$2:$W$1001,MATCH(ROWS($V$2:V958),$V$2:$V$1001,0),1)&gt;=100000,INDEX($AC$1005:$AS$1005,1,MATCH(COLUMNS($AC$1006:AC1006),$AC$1006:$AS$1006,0))&gt;=100000), " ",IF(INDEX($AC$2:$AS$1001,MATCH(ROWS($V$2:V958),$V$2:$V$1001,0),MATCH(COLUMNS($AC$1006:AC1006),$AC$1006:$AS$1006,0)), HYPERLINK("#",""), HYPERLINK(CONCATENATE("#metadata!", ADDRESS(INDEX($X$2:$X$1001,MATCH(ROWS($V$2:V958),$V$2:$V$1001,0),0), INDEX($AC$1004:$AS$1004,1,MATCH(COLUMNS($AC$1006:AC1006),$AC$1006:$AS$1006,0)))),"Fix")))</f>
        <v xml:space="preserve"> </v>
      </c>
      <c r="C958" s="4" t="str">
        <f ca="1">IF(OR(INDEX($W$2:$W$1001,MATCH(ROWS($V$2:V958),$V$2:$V$1001,0),1)&gt;=100000,INDEX($AC$1005:$AS$1005,1,MATCH(COLUMNS($AC$1006:AD1006),$AC$1006:$AS$1006,0))&gt;=100000), " ",IF(INDEX($AC$2:$AS$1001,MATCH(ROWS($V$2:V958),$V$2:$V$1001,0),MATCH(COLUMNS($AC$1006:AD1006),$AC$1006:$AS$1006,0)), HYPERLINK("#",""), HYPERLINK(CONCATENATE("#metadata!", ADDRESS(INDEX($X$2:$X$1001,MATCH(ROWS($V$2:V958),$V$2:$V$1001,0),0), INDEX($AC$1004:$AS$1004,1,MATCH(COLUMNS($AC$1006:AD1006),$AC$1006:$AS$1006,0)))),"Fix")))</f>
        <v xml:space="preserve"> </v>
      </c>
      <c r="D958" s="4" t="str">
        <f ca="1">IF(OR(INDEX($W$2:$W$1001,MATCH(ROWS($V$2:V958),$V$2:$V$1001,0),1)&gt;=100000,INDEX($AC$1005:$AS$1005,1,MATCH(COLUMNS($AC$1006:AE1006),$AC$1006:$AS$1006,0))&gt;=100000), " ",IF(INDEX($AC$2:$AS$1001,MATCH(ROWS($V$2:V958),$V$2:$V$1001,0),MATCH(COLUMNS($AC$1006:AE1006),$AC$1006:$AS$1006,0)), HYPERLINK("#",""), HYPERLINK(CONCATENATE("#metadata!", ADDRESS(INDEX($X$2:$X$1001,MATCH(ROWS($V$2:V958),$V$2:$V$1001,0),0), INDEX($AC$1004:$AS$1004,1,MATCH(COLUMNS($AC$1006:AE1006),$AC$1006:$AS$1006,0)))),"Fix")))</f>
        <v xml:space="preserve"> </v>
      </c>
      <c r="E958" s="4" t="str">
        <f ca="1">IF(OR(INDEX($W$2:$W$1001,MATCH(ROWS($V$2:V958),$V$2:$V$1001,0),1)&gt;=100000,INDEX($AC$1005:$AS$1005,1,MATCH(COLUMNS($AC$1006:AF1006),$AC$1006:$AS$1006,0))&gt;=100000), " ",IF(INDEX($AC$2:$AS$1001,MATCH(ROWS($V$2:V958),$V$2:$V$1001,0),MATCH(COLUMNS($AC$1006:AF1006),$AC$1006:$AS$1006,0)), HYPERLINK("#",""), HYPERLINK(CONCATENATE("#metadata!", ADDRESS(INDEX($X$2:$X$1001,MATCH(ROWS($V$2:V958),$V$2:$V$1001,0),0), INDEX($AC$1004:$AS$1004,1,MATCH(COLUMNS($AC$1006:AF1006),$AC$1006:$AS$1006,0)))),"Fix")))</f>
        <v xml:space="preserve"> </v>
      </c>
      <c r="F958" s="4" t="str">
        <f ca="1">IF(OR(INDEX($W$2:$W$1001,MATCH(ROWS($V$2:V958),$V$2:$V$1001,0),1)&gt;=100000,INDEX($AC$1005:$AS$1005,1,MATCH(COLUMNS($AC$1006:AG1006),$AC$1006:$AS$1006,0))&gt;=100000), " ",IF(INDEX($AC$2:$AS$1001,MATCH(ROWS($V$2:V958),$V$2:$V$1001,0),MATCH(COLUMNS($AC$1006:AG1006),$AC$1006:$AS$1006,0)), HYPERLINK("#",""), HYPERLINK(CONCATENATE("#metadata!", ADDRESS(INDEX($X$2:$X$1001,MATCH(ROWS($V$2:V958),$V$2:$V$1001,0),0), INDEX($AC$1004:$AS$1004,1,MATCH(COLUMNS($AC$1006:AG1006),$AC$1006:$AS$1006,0)))),"Fix")))</f>
        <v xml:space="preserve"> </v>
      </c>
      <c r="G958" s="4" t="str">
        <f ca="1">IF(OR(INDEX($W$2:$W$1001,MATCH(ROWS($V$2:V958),$V$2:$V$1001,0),1)&gt;=100000,INDEX($AC$1005:$AS$1005,1,MATCH(COLUMNS($AC$1006:AH1006),$AC$1006:$AS$1006,0))&gt;=100000), " ",IF(INDEX($AC$2:$AS$1001,MATCH(ROWS($V$2:V958),$V$2:$V$1001,0),MATCH(COLUMNS($AC$1006:AH1006),$AC$1006:$AS$1006,0)), HYPERLINK("#",""), HYPERLINK(CONCATENATE("#metadata!", ADDRESS(INDEX($X$2:$X$1001,MATCH(ROWS($V$2:V958),$V$2:$V$1001,0),0), INDEX($AC$1004:$AS$1004,1,MATCH(COLUMNS($AC$1006:AH1006),$AC$1006:$AS$1006,0)))),"Fix")))</f>
        <v xml:space="preserve"> </v>
      </c>
      <c r="H958" s="4" t="str">
        <f ca="1">IF(OR(INDEX($W$2:$W$1001,MATCH(ROWS($V$2:V958),$V$2:$V$1001,0),1)&gt;=100000,INDEX($AC$1005:$AS$1005,1,MATCH(COLUMNS($AC$1006:AI1006),$AC$1006:$AS$1006,0))&gt;=100000), " ",IF(INDEX($AC$2:$AS$1001,MATCH(ROWS($V$2:V958),$V$2:$V$1001,0),MATCH(COLUMNS($AC$1006:AI1006),$AC$1006:$AS$1006,0)), HYPERLINK("#",""), HYPERLINK(CONCATENATE("#metadata!", ADDRESS(INDEX($X$2:$X$1001,MATCH(ROWS($V$2:V958),$V$2:$V$1001,0),0), INDEX($AC$1004:$AS$1004,1,MATCH(COLUMNS($AC$1006:AI1006),$AC$1006:$AS$1006,0)))),"Fix")))</f>
        <v xml:space="preserve"> </v>
      </c>
      <c r="I958" s="4" t="str">
        <f ca="1">IF(OR(INDEX($W$2:$W$1001,MATCH(ROWS($V$2:V958),$V$2:$V$1001,0),1)&gt;=100000,INDEX($AC$1005:$AS$1005,1,MATCH(COLUMNS($AC$1006:AJ1006),$AC$1006:$AS$1006,0))&gt;=100000), " ",IF(INDEX($AC$2:$AS$1001,MATCH(ROWS($V$2:V958),$V$2:$V$1001,0),MATCH(COLUMNS($AC$1006:AJ1006),$AC$1006:$AS$1006,0)), HYPERLINK("#",""), HYPERLINK(CONCATENATE("#metadata!", ADDRESS(INDEX($X$2:$X$1001,MATCH(ROWS($V$2:V958),$V$2:$V$1001,0),0), INDEX($AC$1004:$AS$1004,1,MATCH(COLUMNS($AC$1006:AJ1006),$AC$1006:$AS$1006,0)))),"Fix")))</f>
        <v xml:space="preserve"> </v>
      </c>
      <c r="J958" s="4" t="str">
        <f ca="1">IF(OR(INDEX($W$2:$W$1001,MATCH(ROWS($V$2:V958),$V$2:$V$1001,0),1)&gt;=100000,INDEX($AC$1005:$AS$1005,1,MATCH(COLUMNS($AC$1006:AK1006),$AC$1006:$AS$1006,0))&gt;=100000), " ",IF(INDEX($AC$2:$AS$1001,MATCH(ROWS($V$2:V958),$V$2:$V$1001,0),MATCH(COLUMNS($AC$1006:AK1006),$AC$1006:$AS$1006,0)), HYPERLINK("#",""), HYPERLINK(CONCATENATE("#metadata!", ADDRESS(INDEX($X$2:$X$1001,MATCH(ROWS($V$2:V958),$V$2:$V$1001,0),0), INDEX($AC$1004:$AS$1004,1,MATCH(COLUMNS($AC$1006:AK1006),$AC$1006:$AS$1006,0)))),"Fix")))</f>
        <v xml:space="preserve"> </v>
      </c>
      <c r="K958" s="4" t="str">
        <f ca="1">IF(OR(INDEX($W$2:$W$1001,MATCH(ROWS($V$2:V958),$V$2:$V$1001,0),1)&gt;=100000,INDEX($AC$1005:$AS$1005,1,MATCH(COLUMNS($AC$1006:AL1006),$AC$1006:$AS$1006,0))&gt;=100000), " ",IF(INDEX($AC$2:$AS$1001,MATCH(ROWS($V$2:V958),$V$2:$V$1001,0),MATCH(COLUMNS($AC$1006:AL1006),$AC$1006:$AS$1006,0)), HYPERLINK("#",""), HYPERLINK(CONCATENATE("#metadata!", ADDRESS(INDEX($X$2:$X$1001,MATCH(ROWS($V$2:V958),$V$2:$V$1001,0),0), INDEX($AC$1004:$AS$1004,1,MATCH(COLUMNS($AC$1006:AL1006),$AC$1006:$AS$1006,0)))),"Fix")))</f>
        <v xml:space="preserve"> </v>
      </c>
      <c r="L958" s="4" t="str">
        <f ca="1">IF(OR(INDEX($W$2:$W$1001,MATCH(ROWS($V$2:V958),$V$2:$V$1001,0),1)&gt;=100000,INDEX($AC$1005:$AS$1005,1,MATCH(COLUMNS($AC$1006:AM1006),$AC$1006:$AS$1006,0))&gt;=100000), " ",IF(INDEX($AC$2:$AS$1001,MATCH(ROWS($V$2:V958),$V$2:$V$1001,0),MATCH(COLUMNS($AC$1006:AM1006),$AC$1006:$AS$1006,0)), HYPERLINK("#",""), HYPERLINK(CONCATENATE("#metadata!", ADDRESS(INDEX($X$2:$X$1001,MATCH(ROWS($V$2:V958),$V$2:$V$1001,0),0), INDEX($AC$1004:$AS$1004,1,MATCH(COLUMNS($AC$1006:AM1006),$AC$1006:$AS$1006,0)))),"Fix")))</f>
        <v xml:space="preserve"> </v>
      </c>
      <c r="M958" s="4" t="str">
        <f ca="1">IF(OR(INDEX($W$2:$W$1001,MATCH(ROWS($V$2:V958),$V$2:$V$1001,0),1)&gt;=100000,INDEX($AC$1005:$AS$1005,1,MATCH(COLUMNS($AC$1006:AN1006),$AC$1006:$AS$1006,0))&gt;=100000), " ",IF(INDEX($AC$2:$AS$1001,MATCH(ROWS($V$2:V958),$V$2:$V$1001,0),MATCH(COLUMNS($AC$1006:AN1006),$AC$1006:$AS$1006,0)), HYPERLINK("#",""), HYPERLINK(CONCATENATE("#metadata!", ADDRESS(INDEX($X$2:$X$1001,MATCH(ROWS($V$2:V958),$V$2:$V$1001,0),0), INDEX($AC$1004:$AS$1004,1,MATCH(COLUMNS($AC$1006:AN1006),$AC$1006:$AS$1006,0)))),"Fix")))</f>
        <v xml:space="preserve"> </v>
      </c>
      <c r="N958" s="4" t="str">
        <f ca="1">IF(OR(INDEX($W$2:$W$1001,MATCH(ROWS($V$2:V958),$V$2:$V$1001,0),1)&gt;=100000,INDEX($AC$1005:$AS$1005,1,MATCH(COLUMNS($AC$1006:AO1006),$AC$1006:$AS$1006,0))&gt;=100000), " ",IF(INDEX($AC$2:$AS$1001,MATCH(ROWS($V$2:V958),$V$2:$V$1001,0),MATCH(COLUMNS($AC$1006:AO1006),$AC$1006:$AS$1006,0)), HYPERLINK("#",""), HYPERLINK(CONCATENATE("#metadata!", ADDRESS(INDEX($X$2:$X$1001,MATCH(ROWS($V$2:V958),$V$2:$V$1001,0),0), INDEX($AC$1004:$AS$1004,1,MATCH(COLUMNS($AC$1006:AO1006),$AC$1006:$AS$1006,0)))),"Fix")))</f>
        <v xml:space="preserve"> </v>
      </c>
      <c r="O958" s="4" t="str">
        <f ca="1">IF(OR(INDEX($W$2:$W$1001,MATCH(ROWS($V$2:V958),$V$2:$V$1001,0),1)&gt;=100000,INDEX($AC$1005:$AS$1005,1,MATCH(COLUMNS($AC$1006:AP1006),$AC$1006:$AS$1006,0))&gt;=100000), " ",IF(INDEX($AC$2:$AS$1001,MATCH(ROWS($V$2:V958),$V$2:$V$1001,0),MATCH(COLUMNS($AC$1006:AP1006),$AC$1006:$AS$1006,0)), HYPERLINK("#",""), HYPERLINK(CONCATENATE("#metadata!", ADDRESS(INDEX($X$2:$X$1001,MATCH(ROWS($V$2:V958),$V$2:$V$1001,0),0), INDEX($AC$1004:$AS$1004,1,MATCH(COLUMNS($AC$1006:AP1006),$AC$1006:$AS$1006,0)))),"Fix")))</f>
        <v xml:space="preserve"> </v>
      </c>
      <c r="P958" s="4" t="str">
        <f ca="1">IF(OR(INDEX($W$2:$W$1001,MATCH(ROWS($V$2:V958),$V$2:$V$1001,0),1)&gt;=100000,INDEX($AC$1005:$AS$1005,1,MATCH(COLUMNS($AC$1006:AQ1006),$AC$1006:$AS$1006,0))&gt;=100000), " ",IF(INDEX($AC$2:$AS$1001,MATCH(ROWS($V$2:V958),$V$2:$V$1001,0),MATCH(COLUMNS($AC$1006:AQ1006),$AC$1006:$AS$1006,0)), HYPERLINK("#",""), HYPERLINK(CONCATENATE("#metadata!", ADDRESS(INDEX($X$2:$X$1001,MATCH(ROWS($V$2:V958),$V$2:$V$1001,0),0), INDEX($AC$1004:$AS$1004,1,MATCH(COLUMNS($AC$1006:AQ1006),$AC$1006:$AS$1006,0)))),"Fix")))</f>
        <v xml:space="preserve"> </v>
      </c>
      <c r="Q958" s="4" t="str">
        <f ca="1">IF(OR(INDEX($W$2:$W$1001,MATCH(ROWS($V$2:V958),$V$2:$V$1001,0),1)&gt;=100000,INDEX($AC$1005:$AS$1005,1,MATCH(COLUMNS($AC$1006:AR1006),$AC$1006:$AS$1006,0))&gt;=100000), " ",IF(INDEX($AC$2:$AS$1001,MATCH(ROWS($V$2:V958),$V$2:$V$1001,0),MATCH(COLUMNS($AC$1006:AR1006),$AC$1006:$AS$1006,0)), HYPERLINK("#",""), HYPERLINK(CONCATENATE("#metadata!", ADDRESS(INDEX($X$2:$X$1001,MATCH(ROWS($V$2:V958),$V$2:$V$1001,0),0), INDEX($AC$1004:$AS$1004,1,MATCH(COLUMNS($AC$1006:AR1006),$AC$1006:$AS$1006,0)))),"Fix")))</f>
        <v xml:space="preserve"> </v>
      </c>
      <c r="R958" s="4" t="str">
        <f ca="1">IF(OR(INDEX($W$2:$W$1001,MATCH(ROWS($V$2:V958),$V$2:$V$1001,0),1)&gt;=100000,INDEX($AC$1005:$AS$1005,1,MATCH(COLUMNS($AC$1006:AS1006),$AC$1006:$AS$1006,0))&gt;=100000), " ",IF(INDEX($AC$2:$AS$1001,MATCH(ROWS($V$2:V958),$V$2:$V$1001,0),MATCH(COLUMNS($AC$1006:AS1006),$AC$1006:$AS$1006,0)), HYPERLINK("#",""), HYPERLINK(CONCATENATE("#metadata!", ADDRESS(INDEX($X$2:$X$1001,MATCH(ROWS($V$2:V958),$V$2:$V$1001,0),0), INDEX($AC$1004:$AS$1004,1,MATCH(COLUMNS($AC$1006:AS1006),$AC$1006:$AS$1006,0)))),"Fix")))</f>
        <v xml:space="preserve"> </v>
      </c>
      <c r="V958">
        <v>957</v>
      </c>
      <c r="W958">
        <v>100958</v>
      </c>
      <c r="X958">
        <v>958</v>
      </c>
      <c r="Y958" t="b">
        <f t="shared" si="14"/>
        <v>1</v>
      </c>
      <c r="Z958" t="b">
        <f>COUNTBLANK(metadata!B958:R958)=COLUMNS(metadata!B958:R958)</f>
        <v>1</v>
      </c>
      <c r="AA958" t="str">
        <v/>
      </c>
      <c r="AC958" t="b">
        <f ca="1"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AD958" t="b">
        <f>IF(metadata!C958="",FALSE,ISNUMBER(VALUE(metadata!C958)))</f>
        <v>0</v>
      </c>
      <c r="AE958" t="b">
        <f>AND(IF(metadata!D958="",FALSE,TRUE),EXACT(metadata!D958,"years"))</f>
        <v>0</v>
      </c>
      <c r="AF958" t="b">
        <f>OR(AND(IF(metadata!E958="",FALSE,TRUE),OR(EXACT(metadata!E958,"not applicable"),EXACT(metadata!E958,"missing: not collected"),EXACT(metadata!E958,"missing: not provided"),EXACT(metadata!E958,"missing: restricted access"))),AND(IF(metadata!E958="",FALSE,ISNUMBER(VALUE(metadata!E958))),metadata!E958&gt;0))</f>
        <v>0</v>
      </c>
      <c r="AG958" t="b">
        <f>AND(IF(metadata!F958="",FALSE,TRUE),EXACT(metadata!F958,"Not applicable"))</f>
        <v>0</v>
      </c>
      <c r="AH958" t="b">
        <f>AND(IF(metadata!G958="",FALSE,TRUE),EXACT(metadata!G958,"urban biome"))</f>
        <v>0</v>
      </c>
      <c r="AI958" t="b">
        <f>AND(IF(metadata!H958="",FALSE,TRUE),EXACT(metadata!H958,"human-associated habitat"))</f>
        <v>0</v>
      </c>
      <c r="AJ958" t="b">
        <f>AND(IF(metadata!I958="",FALSE,TRUE),OR(EXACT(metadata!I958,"human-associated"),EXACT(metadata!I958,"human-skin"),EXACT(metadata!I958,"human-oral"),EXACT(metadata!I958,"human-gut"),EXACT(metadata!I958,"human-vaginal")))</f>
        <v>0</v>
      </c>
      <c r="AK958" t="b">
        <f>IF(metadata!J958="",FALSE,ISNUMBER(VALUE(metadata!J958)))</f>
        <v>0</v>
      </c>
      <c r="AL958" t="b">
        <f>AND(IF(metadata!K958="",FALSE,TRUE),EXACT(metadata!K958,"cm"))</f>
        <v>0</v>
      </c>
      <c r="AM958" t="b">
        <f>AND(IF(metadata!L958="",FALSE,TRUE),EXACT(metadata!L958,"human"))</f>
        <v>0</v>
      </c>
      <c r="AN958" t="b">
        <f>AND(IF(metadata!M958="",FALSE,TRUE),EXACT(metadata!M958,"Homo sapiens"))</f>
        <v>0</v>
      </c>
      <c r="AO958" t="b">
        <f>AND(IF(metadata!N958="",FALSE,TRUE),EXACT(metadata!N958,"9606"))</f>
        <v>0</v>
      </c>
      <c r="AP958" t="b">
        <f>IF(metadata!O958="",FALSE,TRUE)</f>
        <v>0</v>
      </c>
      <c r="AQ958" t="b">
        <f>IF(metadata!P958="",FALSE,TRUE)</f>
        <v>0</v>
      </c>
      <c r="AR958" t="b">
        <f>IF(metadata!Q958="",FALSE,ISNUMBER(VALUE(metadata!Q958)))</f>
        <v>0</v>
      </c>
      <c r="AS958" t="b">
        <f>AND(IF(metadata!R958="",FALSE,TRUE),EXACT(metadata!R958,"kg"))</f>
        <v>0</v>
      </c>
    </row>
    <row r="959" spans="1:45" x14ac:dyDescent="0.2">
      <c r="A959" s="5" t="str">
        <f ca="1">IF(B959=" "," ",HYPERLINK(CONCATENATE("#metadata!",ADDRESS(INDEX($X$2:$X$1001,MATCH(ROWS($V$2:V959),$V$2:$V$1001,0),0),1)),INDEX($AA$2:$AA$1001,MATCH(ROWS($V$2:V959),$V$2:$V$1001,0),0)))</f>
        <v xml:space="preserve"> </v>
      </c>
      <c r="B959" s="4" t="str">
        <f ca="1">IF(OR(INDEX($W$2:$W$1001,MATCH(ROWS($V$2:V959),$V$2:$V$1001,0),1)&gt;=100000,INDEX($AC$1005:$AS$1005,1,MATCH(COLUMNS($AC$1006:AC1006),$AC$1006:$AS$1006,0))&gt;=100000), " ",IF(INDEX($AC$2:$AS$1001,MATCH(ROWS($V$2:V959),$V$2:$V$1001,0),MATCH(COLUMNS($AC$1006:AC1006),$AC$1006:$AS$1006,0)), HYPERLINK("#",""), HYPERLINK(CONCATENATE("#metadata!", ADDRESS(INDEX($X$2:$X$1001,MATCH(ROWS($V$2:V959),$V$2:$V$1001,0),0), INDEX($AC$1004:$AS$1004,1,MATCH(COLUMNS($AC$1006:AC1006),$AC$1006:$AS$1006,0)))),"Fix")))</f>
        <v xml:space="preserve"> </v>
      </c>
      <c r="C959" s="4" t="str">
        <f ca="1">IF(OR(INDEX($W$2:$W$1001,MATCH(ROWS($V$2:V959),$V$2:$V$1001,0),1)&gt;=100000,INDEX($AC$1005:$AS$1005,1,MATCH(COLUMNS($AC$1006:AD1006),$AC$1006:$AS$1006,0))&gt;=100000), " ",IF(INDEX($AC$2:$AS$1001,MATCH(ROWS($V$2:V959),$V$2:$V$1001,0),MATCH(COLUMNS($AC$1006:AD1006),$AC$1006:$AS$1006,0)), HYPERLINK("#",""), HYPERLINK(CONCATENATE("#metadata!", ADDRESS(INDEX($X$2:$X$1001,MATCH(ROWS($V$2:V959),$V$2:$V$1001,0),0), INDEX($AC$1004:$AS$1004,1,MATCH(COLUMNS($AC$1006:AD1006),$AC$1006:$AS$1006,0)))),"Fix")))</f>
        <v xml:space="preserve"> </v>
      </c>
      <c r="D959" s="4" t="str">
        <f ca="1">IF(OR(INDEX($W$2:$W$1001,MATCH(ROWS($V$2:V959),$V$2:$V$1001,0),1)&gt;=100000,INDEX($AC$1005:$AS$1005,1,MATCH(COLUMNS($AC$1006:AE1006),$AC$1006:$AS$1006,0))&gt;=100000), " ",IF(INDEX($AC$2:$AS$1001,MATCH(ROWS($V$2:V959),$V$2:$V$1001,0),MATCH(COLUMNS($AC$1006:AE1006),$AC$1006:$AS$1006,0)), HYPERLINK("#",""), HYPERLINK(CONCATENATE("#metadata!", ADDRESS(INDEX($X$2:$X$1001,MATCH(ROWS($V$2:V959),$V$2:$V$1001,0),0), INDEX($AC$1004:$AS$1004,1,MATCH(COLUMNS($AC$1006:AE1006),$AC$1006:$AS$1006,0)))),"Fix")))</f>
        <v xml:space="preserve"> </v>
      </c>
      <c r="E959" s="4" t="str">
        <f ca="1">IF(OR(INDEX($W$2:$W$1001,MATCH(ROWS($V$2:V959),$V$2:$V$1001,0),1)&gt;=100000,INDEX($AC$1005:$AS$1005,1,MATCH(COLUMNS($AC$1006:AF1006),$AC$1006:$AS$1006,0))&gt;=100000), " ",IF(INDEX($AC$2:$AS$1001,MATCH(ROWS($V$2:V959),$V$2:$V$1001,0),MATCH(COLUMNS($AC$1006:AF1006),$AC$1006:$AS$1006,0)), HYPERLINK("#",""), HYPERLINK(CONCATENATE("#metadata!", ADDRESS(INDEX($X$2:$X$1001,MATCH(ROWS($V$2:V959),$V$2:$V$1001,0),0), INDEX($AC$1004:$AS$1004,1,MATCH(COLUMNS($AC$1006:AF1006),$AC$1006:$AS$1006,0)))),"Fix")))</f>
        <v xml:space="preserve"> </v>
      </c>
      <c r="F959" s="4" t="str">
        <f ca="1">IF(OR(INDEX($W$2:$W$1001,MATCH(ROWS($V$2:V959),$V$2:$V$1001,0),1)&gt;=100000,INDEX($AC$1005:$AS$1005,1,MATCH(COLUMNS($AC$1006:AG1006),$AC$1006:$AS$1006,0))&gt;=100000), " ",IF(INDEX($AC$2:$AS$1001,MATCH(ROWS($V$2:V959),$V$2:$V$1001,0),MATCH(COLUMNS($AC$1006:AG1006),$AC$1006:$AS$1006,0)), HYPERLINK("#",""), HYPERLINK(CONCATENATE("#metadata!", ADDRESS(INDEX($X$2:$X$1001,MATCH(ROWS($V$2:V959),$V$2:$V$1001,0),0), INDEX($AC$1004:$AS$1004,1,MATCH(COLUMNS($AC$1006:AG1006),$AC$1006:$AS$1006,0)))),"Fix")))</f>
        <v xml:space="preserve"> </v>
      </c>
      <c r="G959" s="4" t="str">
        <f ca="1">IF(OR(INDEX($W$2:$W$1001,MATCH(ROWS($V$2:V959),$V$2:$V$1001,0),1)&gt;=100000,INDEX($AC$1005:$AS$1005,1,MATCH(COLUMNS($AC$1006:AH1006),$AC$1006:$AS$1006,0))&gt;=100000), " ",IF(INDEX($AC$2:$AS$1001,MATCH(ROWS($V$2:V959),$V$2:$V$1001,0),MATCH(COLUMNS($AC$1006:AH1006),$AC$1006:$AS$1006,0)), HYPERLINK("#",""), HYPERLINK(CONCATENATE("#metadata!", ADDRESS(INDEX($X$2:$X$1001,MATCH(ROWS($V$2:V959),$V$2:$V$1001,0),0), INDEX($AC$1004:$AS$1004,1,MATCH(COLUMNS($AC$1006:AH1006),$AC$1006:$AS$1006,0)))),"Fix")))</f>
        <v xml:space="preserve"> </v>
      </c>
      <c r="H959" s="4" t="str">
        <f ca="1">IF(OR(INDEX($W$2:$W$1001,MATCH(ROWS($V$2:V959),$V$2:$V$1001,0),1)&gt;=100000,INDEX($AC$1005:$AS$1005,1,MATCH(COLUMNS($AC$1006:AI1006),$AC$1006:$AS$1006,0))&gt;=100000), " ",IF(INDEX($AC$2:$AS$1001,MATCH(ROWS($V$2:V959),$V$2:$V$1001,0),MATCH(COLUMNS($AC$1006:AI1006),$AC$1006:$AS$1006,0)), HYPERLINK("#",""), HYPERLINK(CONCATENATE("#metadata!", ADDRESS(INDEX($X$2:$X$1001,MATCH(ROWS($V$2:V959),$V$2:$V$1001,0),0), INDEX($AC$1004:$AS$1004,1,MATCH(COLUMNS($AC$1006:AI1006),$AC$1006:$AS$1006,0)))),"Fix")))</f>
        <v xml:space="preserve"> </v>
      </c>
      <c r="I959" s="4" t="str">
        <f ca="1">IF(OR(INDEX($W$2:$W$1001,MATCH(ROWS($V$2:V959),$V$2:$V$1001,0),1)&gt;=100000,INDEX($AC$1005:$AS$1005,1,MATCH(COLUMNS($AC$1006:AJ1006),$AC$1006:$AS$1006,0))&gt;=100000), " ",IF(INDEX($AC$2:$AS$1001,MATCH(ROWS($V$2:V959),$V$2:$V$1001,0),MATCH(COLUMNS($AC$1006:AJ1006),$AC$1006:$AS$1006,0)), HYPERLINK("#",""), HYPERLINK(CONCATENATE("#metadata!", ADDRESS(INDEX($X$2:$X$1001,MATCH(ROWS($V$2:V959),$V$2:$V$1001,0),0), INDEX($AC$1004:$AS$1004,1,MATCH(COLUMNS($AC$1006:AJ1006),$AC$1006:$AS$1006,0)))),"Fix")))</f>
        <v xml:space="preserve"> </v>
      </c>
      <c r="J959" s="4" t="str">
        <f ca="1">IF(OR(INDEX($W$2:$W$1001,MATCH(ROWS($V$2:V959),$V$2:$V$1001,0),1)&gt;=100000,INDEX($AC$1005:$AS$1005,1,MATCH(COLUMNS($AC$1006:AK1006),$AC$1006:$AS$1006,0))&gt;=100000), " ",IF(INDEX($AC$2:$AS$1001,MATCH(ROWS($V$2:V959),$V$2:$V$1001,0),MATCH(COLUMNS($AC$1006:AK1006),$AC$1006:$AS$1006,0)), HYPERLINK("#",""), HYPERLINK(CONCATENATE("#metadata!", ADDRESS(INDEX($X$2:$X$1001,MATCH(ROWS($V$2:V959),$V$2:$V$1001,0),0), INDEX($AC$1004:$AS$1004,1,MATCH(COLUMNS($AC$1006:AK1006),$AC$1006:$AS$1006,0)))),"Fix")))</f>
        <v xml:space="preserve"> </v>
      </c>
      <c r="K959" s="4" t="str">
        <f ca="1">IF(OR(INDEX($W$2:$W$1001,MATCH(ROWS($V$2:V959),$V$2:$V$1001,0),1)&gt;=100000,INDEX($AC$1005:$AS$1005,1,MATCH(COLUMNS($AC$1006:AL1006),$AC$1006:$AS$1006,0))&gt;=100000), " ",IF(INDEX($AC$2:$AS$1001,MATCH(ROWS($V$2:V959),$V$2:$V$1001,0),MATCH(COLUMNS($AC$1006:AL1006),$AC$1006:$AS$1006,0)), HYPERLINK("#",""), HYPERLINK(CONCATENATE("#metadata!", ADDRESS(INDEX($X$2:$X$1001,MATCH(ROWS($V$2:V959),$V$2:$V$1001,0),0), INDEX($AC$1004:$AS$1004,1,MATCH(COLUMNS($AC$1006:AL1006),$AC$1006:$AS$1006,0)))),"Fix")))</f>
        <v xml:space="preserve"> </v>
      </c>
      <c r="L959" s="4" t="str">
        <f ca="1">IF(OR(INDEX($W$2:$W$1001,MATCH(ROWS($V$2:V959),$V$2:$V$1001,0),1)&gt;=100000,INDEX($AC$1005:$AS$1005,1,MATCH(COLUMNS($AC$1006:AM1006),$AC$1006:$AS$1006,0))&gt;=100000), " ",IF(INDEX($AC$2:$AS$1001,MATCH(ROWS($V$2:V959),$V$2:$V$1001,0),MATCH(COLUMNS($AC$1006:AM1006),$AC$1006:$AS$1006,0)), HYPERLINK("#",""), HYPERLINK(CONCATENATE("#metadata!", ADDRESS(INDEX($X$2:$X$1001,MATCH(ROWS($V$2:V959),$V$2:$V$1001,0),0), INDEX($AC$1004:$AS$1004,1,MATCH(COLUMNS($AC$1006:AM1006),$AC$1006:$AS$1006,0)))),"Fix")))</f>
        <v xml:space="preserve"> </v>
      </c>
      <c r="M959" s="4" t="str">
        <f ca="1">IF(OR(INDEX($W$2:$W$1001,MATCH(ROWS($V$2:V959),$V$2:$V$1001,0),1)&gt;=100000,INDEX($AC$1005:$AS$1005,1,MATCH(COLUMNS($AC$1006:AN1006),$AC$1006:$AS$1006,0))&gt;=100000), " ",IF(INDEX($AC$2:$AS$1001,MATCH(ROWS($V$2:V959),$V$2:$V$1001,0),MATCH(COLUMNS($AC$1006:AN1006),$AC$1006:$AS$1006,0)), HYPERLINK("#",""), HYPERLINK(CONCATENATE("#metadata!", ADDRESS(INDEX($X$2:$X$1001,MATCH(ROWS($V$2:V959),$V$2:$V$1001,0),0), INDEX($AC$1004:$AS$1004,1,MATCH(COLUMNS($AC$1006:AN1006),$AC$1006:$AS$1006,0)))),"Fix")))</f>
        <v xml:space="preserve"> </v>
      </c>
      <c r="N959" s="4" t="str">
        <f ca="1">IF(OR(INDEX($W$2:$W$1001,MATCH(ROWS($V$2:V959),$V$2:$V$1001,0),1)&gt;=100000,INDEX($AC$1005:$AS$1005,1,MATCH(COLUMNS($AC$1006:AO1006),$AC$1006:$AS$1006,0))&gt;=100000), " ",IF(INDEX($AC$2:$AS$1001,MATCH(ROWS($V$2:V959),$V$2:$V$1001,0),MATCH(COLUMNS($AC$1006:AO1006),$AC$1006:$AS$1006,0)), HYPERLINK("#",""), HYPERLINK(CONCATENATE("#metadata!", ADDRESS(INDEX($X$2:$X$1001,MATCH(ROWS($V$2:V959),$V$2:$V$1001,0),0), INDEX($AC$1004:$AS$1004,1,MATCH(COLUMNS($AC$1006:AO1006),$AC$1006:$AS$1006,0)))),"Fix")))</f>
        <v xml:space="preserve"> </v>
      </c>
      <c r="O959" s="4" t="str">
        <f ca="1">IF(OR(INDEX($W$2:$W$1001,MATCH(ROWS($V$2:V959),$V$2:$V$1001,0),1)&gt;=100000,INDEX($AC$1005:$AS$1005,1,MATCH(COLUMNS($AC$1006:AP1006),$AC$1006:$AS$1006,0))&gt;=100000), " ",IF(INDEX($AC$2:$AS$1001,MATCH(ROWS($V$2:V959),$V$2:$V$1001,0),MATCH(COLUMNS($AC$1006:AP1006),$AC$1006:$AS$1006,0)), HYPERLINK("#",""), HYPERLINK(CONCATENATE("#metadata!", ADDRESS(INDEX($X$2:$X$1001,MATCH(ROWS($V$2:V959),$V$2:$V$1001,0),0), INDEX($AC$1004:$AS$1004,1,MATCH(COLUMNS($AC$1006:AP1006),$AC$1006:$AS$1006,0)))),"Fix")))</f>
        <v xml:space="preserve"> </v>
      </c>
      <c r="P959" s="4" t="str">
        <f ca="1">IF(OR(INDEX($W$2:$W$1001,MATCH(ROWS($V$2:V959),$V$2:$V$1001,0),1)&gt;=100000,INDEX($AC$1005:$AS$1005,1,MATCH(COLUMNS($AC$1006:AQ1006),$AC$1006:$AS$1006,0))&gt;=100000), " ",IF(INDEX($AC$2:$AS$1001,MATCH(ROWS($V$2:V959),$V$2:$V$1001,0),MATCH(COLUMNS($AC$1006:AQ1006),$AC$1006:$AS$1006,0)), HYPERLINK("#",""), HYPERLINK(CONCATENATE("#metadata!", ADDRESS(INDEX($X$2:$X$1001,MATCH(ROWS($V$2:V959),$V$2:$V$1001,0),0), INDEX($AC$1004:$AS$1004,1,MATCH(COLUMNS($AC$1006:AQ1006),$AC$1006:$AS$1006,0)))),"Fix")))</f>
        <v xml:space="preserve"> </v>
      </c>
      <c r="Q959" s="4" t="str">
        <f ca="1">IF(OR(INDEX($W$2:$W$1001,MATCH(ROWS($V$2:V959),$V$2:$V$1001,0),1)&gt;=100000,INDEX($AC$1005:$AS$1005,1,MATCH(COLUMNS($AC$1006:AR1006),$AC$1006:$AS$1006,0))&gt;=100000), " ",IF(INDEX($AC$2:$AS$1001,MATCH(ROWS($V$2:V959),$V$2:$V$1001,0),MATCH(COLUMNS($AC$1006:AR1006),$AC$1006:$AS$1006,0)), HYPERLINK("#",""), HYPERLINK(CONCATENATE("#metadata!", ADDRESS(INDEX($X$2:$X$1001,MATCH(ROWS($V$2:V959),$V$2:$V$1001,0),0), INDEX($AC$1004:$AS$1004,1,MATCH(COLUMNS($AC$1006:AR1006),$AC$1006:$AS$1006,0)))),"Fix")))</f>
        <v xml:space="preserve"> </v>
      </c>
      <c r="R959" s="4" t="str">
        <f ca="1">IF(OR(INDEX($W$2:$W$1001,MATCH(ROWS($V$2:V959),$V$2:$V$1001,0),1)&gt;=100000,INDEX($AC$1005:$AS$1005,1,MATCH(COLUMNS($AC$1006:AS1006),$AC$1006:$AS$1006,0))&gt;=100000), " ",IF(INDEX($AC$2:$AS$1001,MATCH(ROWS($V$2:V959),$V$2:$V$1001,0),MATCH(COLUMNS($AC$1006:AS1006),$AC$1006:$AS$1006,0)), HYPERLINK("#",""), HYPERLINK(CONCATENATE("#metadata!", ADDRESS(INDEX($X$2:$X$1001,MATCH(ROWS($V$2:V959),$V$2:$V$1001,0),0), INDEX($AC$1004:$AS$1004,1,MATCH(COLUMNS($AC$1006:AS1006),$AC$1006:$AS$1006,0)))),"Fix")))</f>
        <v xml:space="preserve"> </v>
      </c>
      <c r="V959">
        <v>958</v>
      </c>
      <c r="W959">
        <v>100959</v>
      </c>
      <c r="X959">
        <v>959</v>
      </c>
      <c r="Y959" t="b">
        <f t="shared" si="14"/>
        <v>1</v>
      </c>
      <c r="Z959" t="b">
        <f>COUNTBLANK(metadata!B959:R959)=COLUMNS(metadata!B959:R959)</f>
        <v>1</v>
      </c>
      <c r="AA959" t="str">
        <v/>
      </c>
      <c r="AC959" t="b">
        <f ca="1"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AD959" t="b">
        <f>IF(metadata!C959="",FALSE,ISNUMBER(VALUE(metadata!C959)))</f>
        <v>0</v>
      </c>
      <c r="AE959" t="b">
        <f>AND(IF(metadata!D959="",FALSE,TRUE),EXACT(metadata!D959,"years"))</f>
        <v>0</v>
      </c>
      <c r="AF959" t="b">
        <f>OR(AND(IF(metadata!E959="",FALSE,TRUE),OR(EXACT(metadata!E959,"not applicable"),EXACT(metadata!E959,"missing: not collected"),EXACT(metadata!E959,"missing: not provided"),EXACT(metadata!E959,"missing: restricted access"))),AND(IF(metadata!E959="",FALSE,ISNUMBER(VALUE(metadata!E959))),metadata!E959&gt;0))</f>
        <v>0</v>
      </c>
      <c r="AG959" t="b">
        <f>AND(IF(metadata!F959="",FALSE,TRUE),EXACT(metadata!F959,"Not applicable"))</f>
        <v>0</v>
      </c>
      <c r="AH959" t="b">
        <f>AND(IF(metadata!G959="",FALSE,TRUE),EXACT(metadata!G959,"urban biome"))</f>
        <v>0</v>
      </c>
      <c r="AI959" t="b">
        <f>AND(IF(metadata!H959="",FALSE,TRUE),EXACT(metadata!H959,"human-associated habitat"))</f>
        <v>0</v>
      </c>
      <c r="AJ959" t="b">
        <f>AND(IF(metadata!I959="",FALSE,TRUE),OR(EXACT(metadata!I959,"human-associated"),EXACT(metadata!I959,"human-skin"),EXACT(metadata!I959,"human-oral"),EXACT(metadata!I959,"human-gut"),EXACT(metadata!I959,"human-vaginal")))</f>
        <v>0</v>
      </c>
      <c r="AK959" t="b">
        <f>IF(metadata!J959="",FALSE,ISNUMBER(VALUE(metadata!J959)))</f>
        <v>0</v>
      </c>
      <c r="AL959" t="b">
        <f>AND(IF(metadata!K959="",FALSE,TRUE),EXACT(metadata!K959,"cm"))</f>
        <v>0</v>
      </c>
      <c r="AM959" t="b">
        <f>AND(IF(metadata!L959="",FALSE,TRUE),EXACT(metadata!L959,"human"))</f>
        <v>0</v>
      </c>
      <c r="AN959" t="b">
        <f>AND(IF(metadata!M959="",FALSE,TRUE),EXACT(metadata!M959,"Homo sapiens"))</f>
        <v>0</v>
      </c>
      <c r="AO959" t="b">
        <f>AND(IF(metadata!N959="",FALSE,TRUE),EXACT(metadata!N959,"9606"))</f>
        <v>0</v>
      </c>
      <c r="AP959" t="b">
        <f>IF(metadata!O959="",FALSE,TRUE)</f>
        <v>0</v>
      </c>
      <c r="AQ959" t="b">
        <f>IF(metadata!P959="",FALSE,TRUE)</f>
        <v>0</v>
      </c>
      <c r="AR959" t="b">
        <f>IF(metadata!Q959="",FALSE,ISNUMBER(VALUE(metadata!Q959)))</f>
        <v>0</v>
      </c>
      <c r="AS959" t="b">
        <f>AND(IF(metadata!R959="",FALSE,TRUE),EXACT(metadata!R959,"kg"))</f>
        <v>0</v>
      </c>
    </row>
    <row r="960" spans="1:45" x14ac:dyDescent="0.2">
      <c r="A960" s="5" t="str">
        <f ca="1">IF(B960=" "," ",HYPERLINK(CONCATENATE("#metadata!",ADDRESS(INDEX($X$2:$X$1001,MATCH(ROWS($V$2:V960),$V$2:$V$1001,0),0),1)),INDEX($AA$2:$AA$1001,MATCH(ROWS($V$2:V960),$V$2:$V$1001,0),0)))</f>
        <v xml:space="preserve"> </v>
      </c>
      <c r="B960" s="4" t="str">
        <f ca="1">IF(OR(INDEX($W$2:$W$1001,MATCH(ROWS($V$2:V960),$V$2:$V$1001,0),1)&gt;=100000,INDEX($AC$1005:$AS$1005,1,MATCH(COLUMNS($AC$1006:AC1006),$AC$1006:$AS$1006,0))&gt;=100000), " ",IF(INDEX($AC$2:$AS$1001,MATCH(ROWS($V$2:V960),$V$2:$V$1001,0),MATCH(COLUMNS($AC$1006:AC1006),$AC$1006:$AS$1006,0)), HYPERLINK("#",""), HYPERLINK(CONCATENATE("#metadata!", ADDRESS(INDEX($X$2:$X$1001,MATCH(ROWS($V$2:V960),$V$2:$V$1001,0),0), INDEX($AC$1004:$AS$1004,1,MATCH(COLUMNS($AC$1006:AC1006),$AC$1006:$AS$1006,0)))),"Fix")))</f>
        <v xml:space="preserve"> </v>
      </c>
      <c r="C960" s="4" t="str">
        <f ca="1">IF(OR(INDEX($W$2:$W$1001,MATCH(ROWS($V$2:V960),$V$2:$V$1001,0),1)&gt;=100000,INDEX($AC$1005:$AS$1005,1,MATCH(COLUMNS($AC$1006:AD1006),$AC$1006:$AS$1006,0))&gt;=100000), " ",IF(INDEX($AC$2:$AS$1001,MATCH(ROWS($V$2:V960),$V$2:$V$1001,0),MATCH(COLUMNS($AC$1006:AD1006),$AC$1006:$AS$1006,0)), HYPERLINK("#",""), HYPERLINK(CONCATENATE("#metadata!", ADDRESS(INDEX($X$2:$X$1001,MATCH(ROWS($V$2:V960),$V$2:$V$1001,0),0), INDEX($AC$1004:$AS$1004,1,MATCH(COLUMNS($AC$1006:AD1006),$AC$1006:$AS$1006,0)))),"Fix")))</f>
        <v xml:space="preserve"> </v>
      </c>
      <c r="D960" s="4" t="str">
        <f ca="1">IF(OR(INDEX($W$2:$W$1001,MATCH(ROWS($V$2:V960),$V$2:$V$1001,0),1)&gt;=100000,INDEX($AC$1005:$AS$1005,1,MATCH(COLUMNS($AC$1006:AE1006),$AC$1006:$AS$1006,0))&gt;=100000), " ",IF(INDEX($AC$2:$AS$1001,MATCH(ROWS($V$2:V960),$V$2:$V$1001,0),MATCH(COLUMNS($AC$1006:AE1006),$AC$1006:$AS$1006,0)), HYPERLINK("#",""), HYPERLINK(CONCATENATE("#metadata!", ADDRESS(INDEX($X$2:$X$1001,MATCH(ROWS($V$2:V960),$V$2:$V$1001,0),0), INDEX($AC$1004:$AS$1004,1,MATCH(COLUMNS($AC$1006:AE1006),$AC$1006:$AS$1006,0)))),"Fix")))</f>
        <v xml:space="preserve"> </v>
      </c>
      <c r="E960" s="4" t="str">
        <f ca="1">IF(OR(INDEX($W$2:$W$1001,MATCH(ROWS($V$2:V960),$V$2:$V$1001,0),1)&gt;=100000,INDEX($AC$1005:$AS$1005,1,MATCH(COLUMNS($AC$1006:AF1006),$AC$1006:$AS$1006,0))&gt;=100000), " ",IF(INDEX($AC$2:$AS$1001,MATCH(ROWS($V$2:V960),$V$2:$V$1001,0),MATCH(COLUMNS($AC$1006:AF1006),$AC$1006:$AS$1006,0)), HYPERLINK("#",""), HYPERLINK(CONCATENATE("#metadata!", ADDRESS(INDEX($X$2:$X$1001,MATCH(ROWS($V$2:V960),$V$2:$V$1001,0),0), INDEX($AC$1004:$AS$1004,1,MATCH(COLUMNS($AC$1006:AF1006),$AC$1006:$AS$1006,0)))),"Fix")))</f>
        <v xml:space="preserve"> </v>
      </c>
      <c r="F960" s="4" t="str">
        <f ca="1">IF(OR(INDEX($W$2:$W$1001,MATCH(ROWS($V$2:V960),$V$2:$V$1001,0),1)&gt;=100000,INDEX($AC$1005:$AS$1005,1,MATCH(COLUMNS($AC$1006:AG1006),$AC$1006:$AS$1006,0))&gt;=100000), " ",IF(INDEX($AC$2:$AS$1001,MATCH(ROWS($V$2:V960),$V$2:$V$1001,0),MATCH(COLUMNS($AC$1006:AG1006),$AC$1006:$AS$1006,0)), HYPERLINK("#",""), HYPERLINK(CONCATENATE("#metadata!", ADDRESS(INDEX($X$2:$X$1001,MATCH(ROWS($V$2:V960),$V$2:$V$1001,0),0), INDEX($AC$1004:$AS$1004,1,MATCH(COLUMNS($AC$1006:AG1006),$AC$1006:$AS$1006,0)))),"Fix")))</f>
        <v xml:space="preserve"> </v>
      </c>
      <c r="G960" s="4" t="str">
        <f ca="1">IF(OR(INDEX($W$2:$W$1001,MATCH(ROWS($V$2:V960),$V$2:$V$1001,0),1)&gt;=100000,INDEX($AC$1005:$AS$1005,1,MATCH(COLUMNS($AC$1006:AH1006),$AC$1006:$AS$1006,0))&gt;=100000), " ",IF(INDEX($AC$2:$AS$1001,MATCH(ROWS($V$2:V960),$V$2:$V$1001,0),MATCH(COLUMNS($AC$1006:AH1006),$AC$1006:$AS$1006,0)), HYPERLINK("#",""), HYPERLINK(CONCATENATE("#metadata!", ADDRESS(INDEX($X$2:$X$1001,MATCH(ROWS($V$2:V960),$V$2:$V$1001,0),0), INDEX($AC$1004:$AS$1004,1,MATCH(COLUMNS($AC$1006:AH1006),$AC$1006:$AS$1006,0)))),"Fix")))</f>
        <v xml:space="preserve"> </v>
      </c>
      <c r="H960" s="4" t="str">
        <f ca="1">IF(OR(INDEX($W$2:$W$1001,MATCH(ROWS($V$2:V960),$V$2:$V$1001,0),1)&gt;=100000,INDEX($AC$1005:$AS$1005,1,MATCH(COLUMNS($AC$1006:AI1006),$AC$1006:$AS$1006,0))&gt;=100000), " ",IF(INDEX($AC$2:$AS$1001,MATCH(ROWS($V$2:V960),$V$2:$V$1001,0),MATCH(COLUMNS($AC$1006:AI1006),$AC$1006:$AS$1006,0)), HYPERLINK("#",""), HYPERLINK(CONCATENATE("#metadata!", ADDRESS(INDEX($X$2:$X$1001,MATCH(ROWS($V$2:V960),$V$2:$V$1001,0),0), INDEX($AC$1004:$AS$1004,1,MATCH(COLUMNS($AC$1006:AI1006),$AC$1006:$AS$1006,0)))),"Fix")))</f>
        <v xml:space="preserve"> </v>
      </c>
      <c r="I960" s="4" t="str">
        <f ca="1">IF(OR(INDEX($W$2:$W$1001,MATCH(ROWS($V$2:V960),$V$2:$V$1001,0),1)&gt;=100000,INDEX($AC$1005:$AS$1005,1,MATCH(COLUMNS($AC$1006:AJ1006),$AC$1006:$AS$1006,0))&gt;=100000), " ",IF(INDEX($AC$2:$AS$1001,MATCH(ROWS($V$2:V960),$V$2:$V$1001,0),MATCH(COLUMNS($AC$1006:AJ1006),$AC$1006:$AS$1006,0)), HYPERLINK("#",""), HYPERLINK(CONCATENATE("#metadata!", ADDRESS(INDEX($X$2:$X$1001,MATCH(ROWS($V$2:V960),$V$2:$V$1001,0),0), INDEX($AC$1004:$AS$1004,1,MATCH(COLUMNS($AC$1006:AJ1006),$AC$1006:$AS$1006,0)))),"Fix")))</f>
        <v xml:space="preserve"> </v>
      </c>
      <c r="J960" s="4" t="str">
        <f ca="1">IF(OR(INDEX($W$2:$W$1001,MATCH(ROWS($V$2:V960),$V$2:$V$1001,0),1)&gt;=100000,INDEX($AC$1005:$AS$1005,1,MATCH(COLUMNS($AC$1006:AK1006),$AC$1006:$AS$1006,0))&gt;=100000), " ",IF(INDEX($AC$2:$AS$1001,MATCH(ROWS($V$2:V960),$V$2:$V$1001,0),MATCH(COLUMNS($AC$1006:AK1006),$AC$1006:$AS$1006,0)), HYPERLINK("#",""), HYPERLINK(CONCATENATE("#metadata!", ADDRESS(INDEX($X$2:$X$1001,MATCH(ROWS($V$2:V960),$V$2:$V$1001,0),0), INDEX($AC$1004:$AS$1004,1,MATCH(COLUMNS($AC$1006:AK1006),$AC$1006:$AS$1006,0)))),"Fix")))</f>
        <v xml:space="preserve"> </v>
      </c>
      <c r="K960" s="4" t="str">
        <f ca="1">IF(OR(INDEX($W$2:$W$1001,MATCH(ROWS($V$2:V960),$V$2:$V$1001,0),1)&gt;=100000,INDEX($AC$1005:$AS$1005,1,MATCH(COLUMNS($AC$1006:AL1006),$AC$1006:$AS$1006,0))&gt;=100000), " ",IF(INDEX($AC$2:$AS$1001,MATCH(ROWS($V$2:V960),$V$2:$V$1001,0),MATCH(COLUMNS($AC$1006:AL1006),$AC$1006:$AS$1006,0)), HYPERLINK("#",""), HYPERLINK(CONCATENATE("#metadata!", ADDRESS(INDEX($X$2:$X$1001,MATCH(ROWS($V$2:V960),$V$2:$V$1001,0),0), INDEX($AC$1004:$AS$1004,1,MATCH(COLUMNS($AC$1006:AL1006),$AC$1006:$AS$1006,0)))),"Fix")))</f>
        <v xml:space="preserve"> </v>
      </c>
      <c r="L960" s="4" t="str">
        <f ca="1">IF(OR(INDEX($W$2:$W$1001,MATCH(ROWS($V$2:V960),$V$2:$V$1001,0),1)&gt;=100000,INDEX($AC$1005:$AS$1005,1,MATCH(COLUMNS($AC$1006:AM1006),$AC$1006:$AS$1006,0))&gt;=100000), " ",IF(INDEX($AC$2:$AS$1001,MATCH(ROWS($V$2:V960),$V$2:$V$1001,0),MATCH(COLUMNS($AC$1006:AM1006),$AC$1006:$AS$1006,0)), HYPERLINK("#",""), HYPERLINK(CONCATENATE("#metadata!", ADDRESS(INDEX($X$2:$X$1001,MATCH(ROWS($V$2:V960),$V$2:$V$1001,0),0), INDEX($AC$1004:$AS$1004,1,MATCH(COLUMNS($AC$1006:AM1006),$AC$1006:$AS$1006,0)))),"Fix")))</f>
        <v xml:space="preserve"> </v>
      </c>
      <c r="M960" s="4" t="str">
        <f ca="1">IF(OR(INDEX($W$2:$W$1001,MATCH(ROWS($V$2:V960),$V$2:$V$1001,0),1)&gt;=100000,INDEX($AC$1005:$AS$1005,1,MATCH(COLUMNS($AC$1006:AN1006),$AC$1006:$AS$1006,0))&gt;=100000), " ",IF(INDEX($AC$2:$AS$1001,MATCH(ROWS($V$2:V960),$V$2:$V$1001,0),MATCH(COLUMNS($AC$1006:AN1006),$AC$1006:$AS$1006,0)), HYPERLINK("#",""), HYPERLINK(CONCATENATE("#metadata!", ADDRESS(INDEX($X$2:$X$1001,MATCH(ROWS($V$2:V960),$V$2:$V$1001,0),0), INDEX($AC$1004:$AS$1004,1,MATCH(COLUMNS($AC$1006:AN1006),$AC$1006:$AS$1006,0)))),"Fix")))</f>
        <v xml:space="preserve"> </v>
      </c>
      <c r="N960" s="4" t="str">
        <f ca="1">IF(OR(INDEX($W$2:$W$1001,MATCH(ROWS($V$2:V960),$V$2:$V$1001,0),1)&gt;=100000,INDEX($AC$1005:$AS$1005,1,MATCH(COLUMNS($AC$1006:AO1006),$AC$1006:$AS$1006,0))&gt;=100000), " ",IF(INDEX($AC$2:$AS$1001,MATCH(ROWS($V$2:V960),$V$2:$V$1001,0),MATCH(COLUMNS($AC$1006:AO1006),$AC$1006:$AS$1006,0)), HYPERLINK("#",""), HYPERLINK(CONCATENATE("#metadata!", ADDRESS(INDEX($X$2:$X$1001,MATCH(ROWS($V$2:V960),$V$2:$V$1001,0),0), INDEX($AC$1004:$AS$1004,1,MATCH(COLUMNS($AC$1006:AO1006),$AC$1006:$AS$1006,0)))),"Fix")))</f>
        <v xml:space="preserve"> </v>
      </c>
      <c r="O960" s="4" t="str">
        <f ca="1">IF(OR(INDEX($W$2:$W$1001,MATCH(ROWS($V$2:V960),$V$2:$V$1001,0),1)&gt;=100000,INDEX($AC$1005:$AS$1005,1,MATCH(COLUMNS($AC$1006:AP1006),$AC$1006:$AS$1006,0))&gt;=100000), " ",IF(INDEX($AC$2:$AS$1001,MATCH(ROWS($V$2:V960),$V$2:$V$1001,0),MATCH(COLUMNS($AC$1006:AP1006),$AC$1006:$AS$1006,0)), HYPERLINK("#",""), HYPERLINK(CONCATENATE("#metadata!", ADDRESS(INDEX($X$2:$X$1001,MATCH(ROWS($V$2:V960),$V$2:$V$1001,0),0), INDEX($AC$1004:$AS$1004,1,MATCH(COLUMNS($AC$1006:AP1006),$AC$1006:$AS$1006,0)))),"Fix")))</f>
        <v xml:space="preserve"> </v>
      </c>
      <c r="P960" s="4" t="str">
        <f ca="1">IF(OR(INDEX($W$2:$W$1001,MATCH(ROWS($V$2:V960),$V$2:$V$1001,0),1)&gt;=100000,INDEX($AC$1005:$AS$1005,1,MATCH(COLUMNS($AC$1006:AQ1006),$AC$1006:$AS$1006,0))&gt;=100000), " ",IF(INDEX($AC$2:$AS$1001,MATCH(ROWS($V$2:V960),$V$2:$V$1001,0),MATCH(COLUMNS($AC$1006:AQ1006),$AC$1006:$AS$1006,0)), HYPERLINK("#",""), HYPERLINK(CONCATENATE("#metadata!", ADDRESS(INDEX($X$2:$X$1001,MATCH(ROWS($V$2:V960),$V$2:$V$1001,0),0), INDEX($AC$1004:$AS$1004,1,MATCH(COLUMNS($AC$1006:AQ1006),$AC$1006:$AS$1006,0)))),"Fix")))</f>
        <v xml:space="preserve"> </v>
      </c>
      <c r="Q960" s="4" t="str">
        <f ca="1">IF(OR(INDEX($W$2:$W$1001,MATCH(ROWS($V$2:V960),$V$2:$V$1001,0),1)&gt;=100000,INDEX($AC$1005:$AS$1005,1,MATCH(COLUMNS($AC$1006:AR1006),$AC$1006:$AS$1006,0))&gt;=100000), " ",IF(INDEX($AC$2:$AS$1001,MATCH(ROWS($V$2:V960),$V$2:$V$1001,0),MATCH(COLUMNS($AC$1006:AR1006),$AC$1006:$AS$1006,0)), HYPERLINK("#",""), HYPERLINK(CONCATENATE("#metadata!", ADDRESS(INDEX($X$2:$X$1001,MATCH(ROWS($V$2:V960),$V$2:$V$1001,0),0), INDEX($AC$1004:$AS$1004,1,MATCH(COLUMNS($AC$1006:AR1006),$AC$1006:$AS$1006,0)))),"Fix")))</f>
        <v xml:space="preserve"> </v>
      </c>
      <c r="R960" s="4" t="str">
        <f ca="1">IF(OR(INDEX($W$2:$W$1001,MATCH(ROWS($V$2:V960),$V$2:$V$1001,0),1)&gt;=100000,INDEX($AC$1005:$AS$1005,1,MATCH(COLUMNS($AC$1006:AS1006),$AC$1006:$AS$1006,0))&gt;=100000), " ",IF(INDEX($AC$2:$AS$1001,MATCH(ROWS($V$2:V960),$V$2:$V$1001,0),MATCH(COLUMNS($AC$1006:AS1006),$AC$1006:$AS$1006,0)), HYPERLINK("#",""), HYPERLINK(CONCATENATE("#metadata!", ADDRESS(INDEX($X$2:$X$1001,MATCH(ROWS($V$2:V960),$V$2:$V$1001,0),0), INDEX($AC$1004:$AS$1004,1,MATCH(COLUMNS($AC$1006:AS1006),$AC$1006:$AS$1006,0)))),"Fix")))</f>
        <v xml:space="preserve"> </v>
      </c>
      <c r="V960">
        <v>959</v>
      </c>
      <c r="W960">
        <v>100960</v>
      </c>
      <c r="X960">
        <v>960</v>
      </c>
      <c r="Y960" t="b">
        <f t="shared" si="14"/>
        <v>1</v>
      </c>
      <c r="Z960" t="b">
        <f>COUNTBLANK(metadata!B960:R960)=COLUMNS(metadata!B960:R960)</f>
        <v>1</v>
      </c>
      <c r="AA960" t="str">
        <v/>
      </c>
      <c r="AC960" t="b">
        <f ca="1"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AD960" t="b">
        <f>IF(metadata!C960="",FALSE,ISNUMBER(VALUE(metadata!C960)))</f>
        <v>0</v>
      </c>
      <c r="AE960" t="b">
        <f>AND(IF(metadata!D960="",FALSE,TRUE),EXACT(metadata!D960,"years"))</f>
        <v>0</v>
      </c>
      <c r="AF960" t="b">
        <f>OR(AND(IF(metadata!E960="",FALSE,TRUE),OR(EXACT(metadata!E960,"not applicable"),EXACT(metadata!E960,"missing: not collected"),EXACT(metadata!E960,"missing: not provided"),EXACT(metadata!E960,"missing: restricted access"))),AND(IF(metadata!E960="",FALSE,ISNUMBER(VALUE(metadata!E960))),metadata!E960&gt;0))</f>
        <v>0</v>
      </c>
      <c r="AG960" t="b">
        <f>AND(IF(metadata!F960="",FALSE,TRUE),EXACT(metadata!F960,"Not applicable"))</f>
        <v>0</v>
      </c>
      <c r="AH960" t="b">
        <f>AND(IF(metadata!G960="",FALSE,TRUE),EXACT(metadata!G960,"urban biome"))</f>
        <v>0</v>
      </c>
      <c r="AI960" t="b">
        <f>AND(IF(metadata!H960="",FALSE,TRUE),EXACT(metadata!H960,"human-associated habitat"))</f>
        <v>0</v>
      </c>
      <c r="AJ960" t="b">
        <f>AND(IF(metadata!I960="",FALSE,TRUE),OR(EXACT(metadata!I960,"human-associated"),EXACT(metadata!I960,"human-skin"),EXACT(metadata!I960,"human-oral"),EXACT(metadata!I960,"human-gut"),EXACT(metadata!I960,"human-vaginal")))</f>
        <v>0</v>
      </c>
      <c r="AK960" t="b">
        <f>IF(metadata!J960="",FALSE,ISNUMBER(VALUE(metadata!J960)))</f>
        <v>0</v>
      </c>
      <c r="AL960" t="b">
        <f>AND(IF(metadata!K960="",FALSE,TRUE),EXACT(metadata!K960,"cm"))</f>
        <v>0</v>
      </c>
      <c r="AM960" t="b">
        <f>AND(IF(metadata!L960="",FALSE,TRUE),EXACT(metadata!L960,"human"))</f>
        <v>0</v>
      </c>
      <c r="AN960" t="b">
        <f>AND(IF(metadata!M960="",FALSE,TRUE),EXACT(metadata!M960,"Homo sapiens"))</f>
        <v>0</v>
      </c>
      <c r="AO960" t="b">
        <f>AND(IF(metadata!N960="",FALSE,TRUE),EXACT(metadata!N960,"9606"))</f>
        <v>0</v>
      </c>
      <c r="AP960" t="b">
        <f>IF(metadata!O960="",FALSE,TRUE)</f>
        <v>0</v>
      </c>
      <c r="AQ960" t="b">
        <f>IF(metadata!P960="",FALSE,TRUE)</f>
        <v>0</v>
      </c>
      <c r="AR960" t="b">
        <f>IF(metadata!Q960="",FALSE,ISNUMBER(VALUE(metadata!Q960)))</f>
        <v>0</v>
      </c>
      <c r="AS960" t="b">
        <f>AND(IF(metadata!R960="",FALSE,TRUE),EXACT(metadata!R960,"kg"))</f>
        <v>0</v>
      </c>
    </row>
    <row r="961" spans="1:45" x14ac:dyDescent="0.2">
      <c r="A961" s="5" t="str">
        <f ca="1">IF(B961=" "," ",HYPERLINK(CONCATENATE("#metadata!",ADDRESS(INDEX($X$2:$X$1001,MATCH(ROWS($V$2:V961),$V$2:$V$1001,0),0),1)),INDEX($AA$2:$AA$1001,MATCH(ROWS($V$2:V961),$V$2:$V$1001,0),0)))</f>
        <v xml:space="preserve"> </v>
      </c>
      <c r="B961" s="4" t="str">
        <f ca="1">IF(OR(INDEX($W$2:$W$1001,MATCH(ROWS($V$2:V961),$V$2:$V$1001,0),1)&gt;=100000,INDEX($AC$1005:$AS$1005,1,MATCH(COLUMNS($AC$1006:AC1006),$AC$1006:$AS$1006,0))&gt;=100000), " ",IF(INDEX($AC$2:$AS$1001,MATCH(ROWS($V$2:V961),$V$2:$V$1001,0),MATCH(COLUMNS($AC$1006:AC1006),$AC$1006:$AS$1006,0)), HYPERLINK("#",""), HYPERLINK(CONCATENATE("#metadata!", ADDRESS(INDEX($X$2:$X$1001,MATCH(ROWS($V$2:V961),$V$2:$V$1001,0),0), INDEX($AC$1004:$AS$1004,1,MATCH(COLUMNS($AC$1006:AC1006),$AC$1006:$AS$1006,0)))),"Fix")))</f>
        <v xml:space="preserve"> </v>
      </c>
      <c r="C961" s="4" t="str">
        <f ca="1">IF(OR(INDEX($W$2:$W$1001,MATCH(ROWS($V$2:V961),$V$2:$V$1001,0),1)&gt;=100000,INDEX($AC$1005:$AS$1005,1,MATCH(COLUMNS($AC$1006:AD1006),$AC$1006:$AS$1006,0))&gt;=100000), " ",IF(INDEX($AC$2:$AS$1001,MATCH(ROWS($V$2:V961),$V$2:$V$1001,0),MATCH(COLUMNS($AC$1006:AD1006),$AC$1006:$AS$1006,0)), HYPERLINK("#",""), HYPERLINK(CONCATENATE("#metadata!", ADDRESS(INDEX($X$2:$X$1001,MATCH(ROWS($V$2:V961),$V$2:$V$1001,0),0), INDEX($AC$1004:$AS$1004,1,MATCH(COLUMNS($AC$1006:AD1006),$AC$1006:$AS$1006,0)))),"Fix")))</f>
        <v xml:space="preserve"> </v>
      </c>
      <c r="D961" s="4" t="str">
        <f ca="1">IF(OR(INDEX($W$2:$W$1001,MATCH(ROWS($V$2:V961),$V$2:$V$1001,0),1)&gt;=100000,INDEX($AC$1005:$AS$1005,1,MATCH(COLUMNS($AC$1006:AE1006),$AC$1006:$AS$1006,0))&gt;=100000), " ",IF(INDEX($AC$2:$AS$1001,MATCH(ROWS($V$2:V961),$V$2:$V$1001,0),MATCH(COLUMNS($AC$1006:AE1006),$AC$1006:$AS$1006,0)), HYPERLINK("#",""), HYPERLINK(CONCATENATE("#metadata!", ADDRESS(INDEX($X$2:$X$1001,MATCH(ROWS($V$2:V961),$V$2:$V$1001,0),0), INDEX($AC$1004:$AS$1004,1,MATCH(COLUMNS($AC$1006:AE1006),$AC$1006:$AS$1006,0)))),"Fix")))</f>
        <v xml:space="preserve"> </v>
      </c>
      <c r="E961" s="4" t="str">
        <f ca="1">IF(OR(INDEX($W$2:$W$1001,MATCH(ROWS($V$2:V961),$V$2:$V$1001,0),1)&gt;=100000,INDEX($AC$1005:$AS$1005,1,MATCH(COLUMNS($AC$1006:AF1006),$AC$1006:$AS$1006,0))&gt;=100000), " ",IF(INDEX($AC$2:$AS$1001,MATCH(ROWS($V$2:V961),$V$2:$V$1001,0),MATCH(COLUMNS($AC$1006:AF1006),$AC$1006:$AS$1006,0)), HYPERLINK("#",""), HYPERLINK(CONCATENATE("#metadata!", ADDRESS(INDEX($X$2:$X$1001,MATCH(ROWS($V$2:V961),$V$2:$V$1001,0),0), INDEX($AC$1004:$AS$1004,1,MATCH(COLUMNS($AC$1006:AF1006),$AC$1006:$AS$1006,0)))),"Fix")))</f>
        <v xml:space="preserve"> </v>
      </c>
      <c r="F961" s="4" t="str">
        <f ca="1">IF(OR(INDEX($W$2:$W$1001,MATCH(ROWS($V$2:V961),$V$2:$V$1001,0),1)&gt;=100000,INDEX($AC$1005:$AS$1005,1,MATCH(COLUMNS($AC$1006:AG1006),$AC$1006:$AS$1006,0))&gt;=100000), " ",IF(INDEX($AC$2:$AS$1001,MATCH(ROWS($V$2:V961),$V$2:$V$1001,0),MATCH(COLUMNS($AC$1006:AG1006),$AC$1006:$AS$1006,0)), HYPERLINK("#",""), HYPERLINK(CONCATENATE("#metadata!", ADDRESS(INDEX($X$2:$X$1001,MATCH(ROWS($V$2:V961),$V$2:$V$1001,0),0), INDEX($AC$1004:$AS$1004,1,MATCH(COLUMNS($AC$1006:AG1006),$AC$1006:$AS$1006,0)))),"Fix")))</f>
        <v xml:space="preserve"> </v>
      </c>
      <c r="G961" s="4" t="str">
        <f ca="1">IF(OR(INDEX($W$2:$W$1001,MATCH(ROWS($V$2:V961),$V$2:$V$1001,0),1)&gt;=100000,INDEX($AC$1005:$AS$1005,1,MATCH(COLUMNS($AC$1006:AH1006),$AC$1006:$AS$1006,0))&gt;=100000), " ",IF(INDEX($AC$2:$AS$1001,MATCH(ROWS($V$2:V961),$V$2:$V$1001,0),MATCH(COLUMNS($AC$1006:AH1006),$AC$1006:$AS$1006,0)), HYPERLINK("#",""), HYPERLINK(CONCATENATE("#metadata!", ADDRESS(INDEX($X$2:$X$1001,MATCH(ROWS($V$2:V961),$V$2:$V$1001,0),0), INDEX($AC$1004:$AS$1004,1,MATCH(COLUMNS($AC$1006:AH1006),$AC$1006:$AS$1006,0)))),"Fix")))</f>
        <v xml:space="preserve"> </v>
      </c>
      <c r="H961" s="4" t="str">
        <f ca="1">IF(OR(INDEX($W$2:$W$1001,MATCH(ROWS($V$2:V961),$V$2:$V$1001,0),1)&gt;=100000,INDEX($AC$1005:$AS$1005,1,MATCH(COLUMNS($AC$1006:AI1006),$AC$1006:$AS$1006,0))&gt;=100000), " ",IF(INDEX($AC$2:$AS$1001,MATCH(ROWS($V$2:V961),$V$2:$V$1001,0),MATCH(COLUMNS($AC$1006:AI1006),$AC$1006:$AS$1006,0)), HYPERLINK("#",""), HYPERLINK(CONCATENATE("#metadata!", ADDRESS(INDEX($X$2:$X$1001,MATCH(ROWS($V$2:V961),$V$2:$V$1001,0),0), INDEX($AC$1004:$AS$1004,1,MATCH(COLUMNS($AC$1006:AI1006),$AC$1006:$AS$1006,0)))),"Fix")))</f>
        <v xml:space="preserve"> </v>
      </c>
      <c r="I961" s="4" t="str">
        <f ca="1">IF(OR(INDEX($W$2:$W$1001,MATCH(ROWS($V$2:V961),$V$2:$V$1001,0),1)&gt;=100000,INDEX($AC$1005:$AS$1005,1,MATCH(COLUMNS($AC$1006:AJ1006),$AC$1006:$AS$1006,0))&gt;=100000), " ",IF(INDEX($AC$2:$AS$1001,MATCH(ROWS($V$2:V961),$V$2:$V$1001,0),MATCH(COLUMNS($AC$1006:AJ1006),$AC$1006:$AS$1006,0)), HYPERLINK("#",""), HYPERLINK(CONCATENATE("#metadata!", ADDRESS(INDEX($X$2:$X$1001,MATCH(ROWS($V$2:V961),$V$2:$V$1001,0),0), INDEX($AC$1004:$AS$1004,1,MATCH(COLUMNS($AC$1006:AJ1006),$AC$1006:$AS$1006,0)))),"Fix")))</f>
        <v xml:space="preserve"> </v>
      </c>
      <c r="J961" s="4" t="str">
        <f ca="1">IF(OR(INDEX($W$2:$W$1001,MATCH(ROWS($V$2:V961),$V$2:$V$1001,0),1)&gt;=100000,INDEX($AC$1005:$AS$1005,1,MATCH(COLUMNS($AC$1006:AK1006),$AC$1006:$AS$1006,0))&gt;=100000), " ",IF(INDEX($AC$2:$AS$1001,MATCH(ROWS($V$2:V961),$V$2:$V$1001,0),MATCH(COLUMNS($AC$1006:AK1006),$AC$1006:$AS$1006,0)), HYPERLINK("#",""), HYPERLINK(CONCATENATE("#metadata!", ADDRESS(INDEX($X$2:$X$1001,MATCH(ROWS($V$2:V961),$V$2:$V$1001,0),0), INDEX($AC$1004:$AS$1004,1,MATCH(COLUMNS($AC$1006:AK1006),$AC$1006:$AS$1006,0)))),"Fix")))</f>
        <v xml:space="preserve"> </v>
      </c>
      <c r="K961" s="4" t="str">
        <f ca="1">IF(OR(INDEX($W$2:$W$1001,MATCH(ROWS($V$2:V961),$V$2:$V$1001,0),1)&gt;=100000,INDEX($AC$1005:$AS$1005,1,MATCH(COLUMNS($AC$1006:AL1006),$AC$1006:$AS$1006,0))&gt;=100000), " ",IF(INDEX($AC$2:$AS$1001,MATCH(ROWS($V$2:V961),$V$2:$V$1001,0),MATCH(COLUMNS($AC$1006:AL1006),$AC$1006:$AS$1006,0)), HYPERLINK("#",""), HYPERLINK(CONCATENATE("#metadata!", ADDRESS(INDEX($X$2:$X$1001,MATCH(ROWS($V$2:V961),$V$2:$V$1001,0),0), INDEX($AC$1004:$AS$1004,1,MATCH(COLUMNS($AC$1006:AL1006),$AC$1006:$AS$1006,0)))),"Fix")))</f>
        <v xml:space="preserve"> </v>
      </c>
      <c r="L961" s="4" t="str">
        <f ca="1">IF(OR(INDEX($W$2:$W$1001,MATCH(ROWS($V$2:V961),$V$2:$V$1001,0),1)&gt;=100000,INDEX($AC$1005:$AS$1005,1,MATCH(COLUMNS($AC$1006:AM1006),$AC$1006:$AS$1006,0))&gt;=100000), " ",IF(INDEX($AC$2:$AS$1001,MATCH(ROWS($V$2:V961),$V$2:$V$1001,0),MATCH(COLUMNS($AC$1006:AM1006),$AC$1006:$AS$1006,0)), HYPERLINK("#",""), HYPERLINK(CONCATENATE("#metadata!", ADDRESS(INDEX($X$2:$X$1001,MATCH(ROWS($V$2:V961),$V$2:$V$1001,0),0), INDEX($AC$1004:$AS$1004,1,MATCH(COLUMNS($AC$1006:AM1006),$AC$1006:$AS$1006,0)))),"Fix")))</f>
        <v xml:space="preserve"> </v>
      </c>
      <c r="M961" s="4" t="str">
        <f ca="1">IF(OR(INDEX($W$2:$W$1001,MATCH(ROWS($V$2:V961),$V$2:$V$1001,0),1)&gt;=100000,INDEX($AC$1005:$AS$1005,1,MATCH(COLUMNS($AC$1006:AN1006),$AC$1006:$AS$1006,0))&gt;=100000), " ",IF(INDEX($AC$2:$AS$1001,MATCH(ROWS($V$2:V961),$V$2:$V$1001,0),MATCH(COLUMNS($AC$1006:AN1006),$AC$1006:$AS$1006,0)), HYPERLINK("#",""), HYPERLINK(CONCATENATE("#metadata!", ADDRESS(INDEX($X$2:$X$1001,MATCH(ROWS($V$2:V961),$V$2:$V$1001,0),0), INDEX($AC$1004:$AS$1004,1,MATCH(COLUMNS($AC$1006:AN1006),$AC$1006:$AS$1006,0)))),"Fix")))</f>
        <v xml:space="preserve"> </v>
      </c>
      <c r="N961" s="4" t="str">
        <f ca="1">IF(OR(INDEX($W$2:$W$1001,MATCH(ROWS($V$2:V961),$V$2:$V$1001,0),1)&gt;=100000,INDEX($AC$1005:$AS$1005,1,MATCH(COLUMNS($AC$1006:AO1006),$AC$1006:$AS$1006,0))&gt;=100000), " ",IF(INDEX($AC$2:$AS$1001,MATCH(ROWS($V$2:V961),$V$2:$V$1001,0),MATCH(COLUMNS($AC$1006:AO1006),$AC$1006:$AS$1006,0)), HYPERLINK("#",""), HYPERLINK(CONCATENATE("#metadata!", ADDRESS(INDEX($X$2:$X$1001,MATCH(ROWS($V$2:V961),$V$2:$V$1001,0),0), INDEX($AC$1004:$AS$1004,1,MATCH(COLUMNS($AC$1006:AO1006),$AC$1006:$AS$1006,0)))),"Fix")))</f>
        <v xml:space="preserve"> </v>
      </c>
      <c r="O961" s="4" t="str">
        <f ca="1">IF(OR(INDEX($W$2:$W$1001,MATCH(ROWS($V$2:V961),$V$2:$V$1001,0),1)&gt;=100000,INDEX($AC$1005:$AS$1005,1,MATCH(COLUMNS($AC$1006:AP1006),$AC$1006:$AS$1006,0))&gt;=100000), " ",IF(INDEX($AC$2:$AS$1001,MATCH(ROWS($V$2:V961),$V$2:$V$1001,0),MATCH(COLUMNS($AC$1006:AP1006),$AC$1006:$AS$1006,0)), HYPERLINK("#",""), HYPERLINK(CONCATENATE("#metadata!", ADDRESS(INDEX($X$2:$X$1001,MATCH(ROWS($V$2:V961),$V$2:$V$1001,0),0), INDEX($AC$1004:$AS$1004,1,MATCH(COLUMNS($AC$1006:AP1006),$AC$1006:$AS$1006,0)))),"Fix")))</f>
        <v xml:space="preserve"> </v>
      </c>
      <c r="P961" s="4" t="str">
        <f ca="1">IF(OR(INDEX($W$2:$W$1001,MATCH(ROWS($V$2:V961),$V$2:$V$1001,0),1)&gt;=100000,INDEX($AC$1005:$AS$1005,1,MATCH(COLUMNS($AC$1006:AQ1006),$AC$1006:$AS$1006,0))&gt;=100000), " ",IF(INDEX($AC$2:$AS$1001,MATCH(ROWS($V$2:V961),$V$2:$V$1001,0),MATCH(COLUMNS($AC$1006:AQ1006),$AC$1006:$AS$1006,0)), HYPERLINK("#",""), HYPERLINK(CONCATENATE("#metadata!", ADDRESS(INDEX($X$2:$X$1001,MATCH(ROWS($V$2:V961),$V$2:$V$1001,0),0), INDEX($AC$1004:$AS$1004,1,MATCH(COLUMNS($AC$1006:AQ1006),$AC$1006:$AS$1006,0)))),"Fix")))</f>
        <v xml:space="preserve"> </v>
      </c>
      <c r="Q961" s="4" t="str">
        <f ca="1">IF(OR(INDEX($W$2:$W$1001,MATCH(ROWS($V$2:V961),$V$2:$V$1001,0),1)&gt;=100000,INDEX($AC$1005:$AS$1005,1,MATCH(COLUMNS($AC$1006:AR1006),$AC$1006:$AS$1006,0))&gt;=100000), " ",IF(INDEX($AC$2:$AS$1001,MATCH(ROWS($V$2:V961),$V$2:$V$1001,0),MATCH(COLUMNS($AC$1006:AR1006),$AC$1006:$AS$1006,0)), HYPERLINK("#",""), HYPERLINK(CONCATENATE("#metadata!", ADDRESS(INDEX($X$2:$X$1001,MATCH(ROWS($V$2:V961),$V$2:$V$1001,0),0), INDEX($AC$1004:$AS$1004,1,MATCH(COLUMNS($AC$1006:AR1006),$AC$1006:$AS$1006,0)))),"Fix")))</f>
        <v xml:space="preserve"> </v>
      </c>
      <c r="R961" s="4" t="str">
        <f ca="1">IF(OR(INDEX($W$2:$W$1001,MATCH(ROWS($V$2:V961),$V$2:$V$1001,0),1)&gt;=100000,INDEX($AC$1005:$AS$1005,1,MATCH(COLUMNS($AC$1006:AS1006),$AC$1006:$AS$1006,0))&gt;=100000), " ",IF(INDEX($AC$2:$AS$1001,MATCH(ROWS($V$2:V961),$V$2:$V$1001,0),MATCH(COLUMNS($AC$1006:AS1006),$AC$1006:$AS$1006,0)), HYPERLINK("#",""), HYPERLINK(CONCATENATE("#metadata!", ADDRESS(INDEX($X$2:$X$1001,MATCH(ROWS($V$2:V961),$V$2:$V$1001,0),0), INDEX($AC$1004:$AS$1004,1,MATCH(COLUMNS($AC$1006:AS1006),$AC$1006:$AS$1006,0)))),"Fix")))</f>
        <v xml:space="preserve"> </v>
      </c>
      <c r="V961">
        <v>960</v>
      </c>
      <c r="W961">
        <v>100961</v>
      </c>
      <c r="X961">
        <v>961</v>
      </c>
      <c r="Y961" t="b">
        <f t="shared" si="14"/>
        <v>1</v>
      </c>
      <c r="Z961" t="b">
        <f>COUNTBLANK(metadata!B961:R961)=COLUMNS(metadata!B961:R961)</f>
        <v>1</v>
      </c>
      <c r="AA961" t="str">
        <v/>
      </c>
      <c r="AC961" t="b">
        <f ca="1"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AD961" t="b">
        <f>IF(metadata!C961="",FALSE,ISNUMBER(VALUE(metadata!C961)))</f>
        <v>0</v>
      </c>
      <c r="AE961" t="b">
        <f>AND(IF(metadata!D961="",FALSE,TRUE),EXACT(metadata!D961,"years"))</f>
        <v>0</v>
      </c>
      <c r="AF961" t="b">
        <f>OR(AND(IF(metadata!E961="",FALSE,TRUE),OR(EXACT(metadata!E961,"not applicable"),EXACT(metadata!E961,"missing: not collected"),EXACT(metadata!E961,"missing: not provided"),EXACT(metadata!E961,"missing: restricted access"))),AND(IF(metadata!E961="",FALSE,ISNUMBER(VALUE(metadata!E961))),metadata!E961&gt;0))</f>
        <v>0</v>
      </c>
      <c r="AG961" t="b">
        <f>AND(IF(metadata!F961="",FALSE,TRUE),EXACT(metadata!F961,"Not applicable"))</f>
        <v>0</v>
      </c>
      <c r="AH961" t="b">
        <f>AND(IF(metadata!G961="",FALSE,TRUE),EXACT(metadata!G961,"urban biome"))</f>
        <v>0</v>
      </c>
      <c r="AI961" t="b">
        <f>AND(IF(metadata!H961="",FALSE,TRUE),EXACT(metadata!H961,"human-associated habitat"))</f>
        <v>0</v>
      </c>
      <c r="AJ961" t="b">
        <f>AND(IF(metadata!I961="",FALSE,TRUE),OR(EXACT(metadata!I961,"human-associated"),EXACT(metadata!I961,"human-skin"),EXACT(metadata!I961,"human-oral"),EXACT(metadata!I961,"human-gut"),EXACT(metadata!I961,"human-vaginal")))</f>
        <v>0</v>
      </c>
      <c r="AK961" t="b">
        <f>IF(metadata!J961="",FALSE,ISNUMBER(VALUE(metadata!J961)))</f>
        <v>0</v>
      </c>
      <c r="AL961" t="b">
        <f>AND(IF(metadata!K961="",FALSE,TRUE),EXACT(metadata!K961,"cm"))</f>
        <v>0</v>
      </c>
      <c r="AM961" t="b">
        <f>AND(IF(metadata!L961="",FALSE,TRUE),EXACT(metadata!L961,"human"))</f>
        <v>0</v>
      </c>
      <c r="AN961" t="b">
        <f>AND(IF(metadata!M961="",FALSE,TRUE),EXACT(metadata!M961,"Homo sapiens"))</f>
        <v>0</v>
      </c>
      <c r="AO961" t="b">
        <f>AND(IF(metadata!N961="",FALSE,TRUE),EXACT(metadata!N961,"9606"))</f>
        <v>0</v>
      </c>
      <c r="AP961" t="b">
        <f>IF(metadata!O961="",FALSE,TRUE)</f>
        <v>0</v>
      </c>
      <c r="AQ961" t="b">
        <f>IF(metadata!P961="",FALSE,TRUE)</f>
        <v>0</v>
      </c>
      <c r="AR961" t="b">
        <f>IF(metadata!Q961="",FALSE,ISNUMBER(VALUE(metadata!Q961)))</f>
        <v>0</v>
      </c>
      <c r="AS961" t="b">
        <f>AND(IF(metadata!R961="",FALSE,TRUE),EXACT(metadata!R961,"kg"))</f>
        <v>0</v>
      </c>
    </row>
    <row r="962" spans="1:45" x14ac:dyDescent="0.2">
      <c r="A962" s="5" t="str">
        <f ca="1">IF(B962=" "," ",HYPERLINK(CONCATENATE("#metadata!",ADDRESS(INDEX($X$2:$X$1001,MATCH(ROWS($V$2:V962),$V$2:$V$1001,0),0),1)),INDEX($AA$2:$AA$1001,MATCH(ROWS($V$2:V962),$V$2:$V$1001,0),0)))</f>
        <v xml:space="preserve"> </v>
      </c>
      <c r="B962" s="4" t="str">
        <f ca="1">IF(OR(INDEX($W$2:$W$1001,MATCH(ROWS($V$2:V962),$V$2:$V$1001,0),1)&gt;=100000,INDEX($AC$1005:$AS$1005,1,MATCH(COLUMNS($AC$1006:AC1006),$AC$1006:$AS$1006,0))&gt;=100000), " ",IF(INDEX($AC$2:$AS$1001,MATCH(ROWS($V$2:V962),$V$2:$V$1001,0),MATCH(COLUMNS($AC$1006:AC1006),$AC$1006:$AS$1006,0)), HYPERLINK("#",""), HYPERLINK(CONCATENATE("#metadata!", ADDRESS(INDEX($X$2:$X$1001,MATCH(ROWS($V$2:V962),$V$2:$V$1001,0),0), INDEX($AC$1004:$AS$1004,1,MATCH(COLUMNS($AC$1006:AC1006),$AC$1006:$AS$1006,0)))),"Fix")))</f>
        <v xml:space="preserve"> </v>
      </c>
      <c r="C962" s="4" t="str">
        <f ca="1">IF(OR(INDEX($W$2:$W$1001,MATCH(ROWS($V$2:V962),$V$2:$V$1001,0),1)&gt;=100000,INDEX($AC$1005:$AS$1005,1,MATCH(COLUMNS($AC$1006:AD1006),$AC$1006:$AS$1006,0))&gt;=100000), " ",IF(INDEX($AC$2:$AS$1001,MATCH(ROWS($V$2:V962),$V$2:$V$1001,0),MATCH(COLUMNS($AC$1006:AD1006),$AC$1006:$AS$1006,0)), HYPERLINK("#",""), HYPERLINK(CONCATENATE("#metadata!", ADDRESS(INDEX($X$2:$X$1001,MATCH(ROWS($V$2:V962),$V$2:$V$1001,0),0), INDEX($AC$1004:$AS$1004,1,MATCH(COLUMNS($AC$1006:AD1006),$AC$1006:$AS$1006,0)))),"Fix")))</f>
        <v xml:space="preserve"> </v>
      </c>
      <c r="D962" s="4" t="str">
        <f ca="1">IF(OR(INDEX($W$2:$W$1001,MATCH(ROWS($V$2:V962),$V$2:$V$1001,0),1)&gt;=100000,INDEX($AC$1005:$AS$1005,1,MATCH(COLUMNS($AC$1006:AE1006),$AC$1006:$AS$1006,0))&gt;=100000), " ",IF(INDEX($AC$2:$AS$1001,MATCH(ROWS($V$2:V962),$V$2:$V$1001,0),MATCH(COLUMNS($AC$1006:AE1006),$AC$1006:$AS$1006,0)), HYPERLINK("#",""), HYPERLINK(CONCATENATE("#metadata!", ADDRESS(INDEX($X$2:$X$1001,MATCH(ROWS($V$2:V962),$V$2:$V$1001,0),0), INDEX($AC$1004:$AS$1004,1,MATCH(COLUMNS($AC$1006:AE1006),$AC$1006:$AS$1006,0)))),"Fix")))</f>
        <v xml:space="preserve"> </v>
      </c>
      <c r="E962" s="4" t="str">
        <f ca="1">IF(OR(INDEX($W$2:$W$1001,MATCH(ROWS($V$2:V962),$V$2:$V$1001,0),1)&gt;=100000,INDEX($AC$1005:$AS$1005,1,MATCH(COLUMNS($AC$1006:AF1006),$AC$1006:$AS$1006,0))&gt;=100000), " ",IF(INDEX($AC$2:$AS$1001,MATCH(ROWS($V$2:V962),$V$2:$V$1001,0),MATCH(COLUMNS($AC$1006:AF1006),$AC$1006:$AS$1006,0)), HYPERLINK("#",""), HYPERLINK(CONCATENATE("#metadata!", ADDRESS(INDEX($X$2:$X$1001,MATCH(ROWS($V$2:V962),$V$2:$V$1001,0),0), INDEX($AC$1004:$AS$1004,1,MATCH(COLUMNS($AC$1006:AF1006),$AC$1006:$AS$1006,0)))),"Fix")))</f>
        <v xml:space="preserve"> </v>
      </c>
      <c r="F962" s="4" t="str">
        <f ca="1">IF(OR(INDEX($W$2:$W$1001,MATCH(ROWS($V$2:V962),$V$2:$V$1001,0),1)&gt;=100000,INDEX($AC$1005:$AS$1005,1,MATCH(COLUMNS($AC$1006:AG1006),$AC$1006:$AS$1006,0))&gt;=100000), " ",IF(INDEX($AC$2:$AS$1001,MATCH(ROWS($V$2:V962),$V$2:$V$1001,0),MATCH(COLUMNS($AC$1006:AG1006),$AC$1006:$AS$1006,0)), HYPERLINK("#",""), HYPERLINK(CONCATENATE("#metadata!", ADDRESS(INDEX($X$2:$X$1001,MATCH(ROWS($V$2:V962),$V$2:$V$1001,0),0), INDEX($AC$1004:$AS$1004,1,MATCH(COLUMNS($AC$1006:AG1006),$AC$1006:$AS$1006,0)))),"Fix")))</f>
        <v xml:space="preserve"> </v>
      </c>
      <c r="G962" s="4" t="str">
        <f ca="1">IF(OR(INDEX($W$2:$W$1001,MATCH(ROWS($V$2:V962),$V$2:$V$1001,0),1)&gt;=100000,INDEX($AC$1005:$AS$1005,1,MATCH(COLUMNS($AC$1006:AH1006),$AC$1006:$AS$1006,0))&gt;=100000), " ",IF(INDEX($AC$2:$AS$1001,MATCH(ROWS($V$2:V962),$V$2:$V$1001,0),MATCH(COLUMNS($AC$1006:AH1006),$AC$1006:$AS$1006,0)), HYPERLINK("#",""), HYPERLINK(CONCATENATE("#metadata!", ADDRESS(INDEX($X$2:$X$1001,MATCH(ROWS($V$2:V962),$V$2:$V$1001,0),0), INDEX($AC$1004:$AS$1004,1,MATCH(COLUMNS($AC$1006:AH1006),$AC$1006:$AS$1006,0)))),"Fix")))</f>
        <v xml:space="preserve"> </v>
      </c>
      <c r="H962" s="4" t="str">
        <f ca="1">IF(OR(INDEX($W$2:$W$1001,MATCH(ROWS($V$2:V962),$V$2:$V$1001,0),1)&gt;=100000,INDEX($AC$1005:$AS$1005,1,MATCH(COLUMNS($AC$1006:AI1006),$AC$1006:$AS$1006,0))&gt;=100000), " ",IF(INDEX($AC$2:$AS$1001,MATCH(ROWS($V$2:V962),$V$2:$V$1001,0),MATCH(COLUMNS($AC$1006:AI1006),$AC$1006:$AS$1006,0)), HYPERLINK("#",""), HYPERLINK(CONCATENATE("#metadata!", ADDRESS(INDEX($X$2:$X$1001,MATCH(ROWS($V$2:V962),$V$2:$V$1001,0),0), INDEX($AC$1004:$AS$1004,1,MATCH(COLUMNS($AC$1006:AI1006),$AC$1006:$AS$1006,0)))),"Fix")))</f>
        <v xml:space="preserve"> </v>
      </c>
      <c r="I962" s="4" t="str">
        <f ca="1">IF(OR(INDEX($W$2:$W$1001,MATCH(ROWS($V$2:V962),$V$2:$V$1001,0),1)&gt;=100000,INDEX($AC$1005:$AS$1005,1,MATCH(COLUMNS($AC$1006:AJ1006),$AC$1006:$AS$1006,0))&gt;=100000), " ",IF(INDEX($AC$2:$AS$1001,MATCH(ROWS($V$2:V962),$V$2:$V$1001,0),MATCH(COLUMNS($AC$1006:AJ1006),$AC$1006:$AS$1006,0)), HYPERLINK("#",""), HYPERLINK(CONCATENATE("#metadata!", ADDRESS(INDEX($X$2:$X$1001,MATCH(ROWS($V$2:V962),$V$2:$V$1001,0),0), INDEX($AC$1004:$AS$1004,1,MATCH(COLUMNS($AC$1006:AJ1006),$AC$1006:$AS$1006,0)))),"Fix")))</f>
        <v xml:space="preserve"> </v>
      </c>
      <c r="J962" s="4" t="str">
        <f ca="1">IF(OR(INDEX($W$2:$W$1001,MATCH(ROWS($V$2:V962),$V$2:$V$1001,0),1)&gt;=100000,INDEX($AC$1005:$AS$1005,1,MATCH(COLUMNS($AC$1006:AK1006),$AC$1006:$AS$1006,0))&gt;=100000), " ",IF(INDEX($AC$2:$AS$1001,MATCH(ROWS($V$2:V962),$V$2:$V$1001,0),MATCH(COLUMNS($AC$1006:AK1006),$AC$1006:$AS$1006,0)), HYPERLINK("#",""), HYPERLINK(CONCATENATE("#metadata!", ADDRESS(INDEX($X$2:$X$1001,MATCH(ROWS($V$2:V962),$V$2:$V$1001,0),0), INDEX($AC$1004:$AS$1004,1,MATCH(COLUMNS($AC$1006:AK1006),$AC$1006:$AS$1006,0)))),"Fix")))</f>
        <v xml:space="preserve"> </v>
      </c>
      <c r="K962" s="4" t="str">
        <f ca="1">IF(OR(INDEX($W$2:$W$1001,MATCH(ROWS($V$2:V962),$V$2:$V$1001,0),1)&gt;=100000,INDEX($AC$1005:$AS$1005,1,MATCH(COLUMNS($AC$1006:AL1006),$AC$1006:$AS$1006,0))&gt;=100000), " ",IF(INDEX($AC$2:$AS$1001,MATCH(ROWS($V$2:V962),$V$2:$V$1001,0),MATCH(COLUMNS($AC$1006:AL1006),$AC$1006:$AS$1006,0)), HYPERLINK("#",""), HYPERLINK(CONCATENATE("#metadata!", ADDRESS(INDEX($X$2:$X$1001,MATCH(ROWS($V$2:V962),$V$2:$V$1001,0),0), INDEX($AC$1004:$AS$1004,1,MATCH(COLUMNS($AC$1006:AL1006),$AC$1006:$AS$1006,0)))),"Fix")))</f>
        <v xml:space="preserve"> </v>
      </c>
      <c r="L962" s="4" t="str">
        <f ca="1">IF(OR(INDEX($W$2:$W$1001,MATCH(ROWS($V$2:V962),$V$2:$V$1001,0),1)&gt;=100000,INDEX($AC$1005:$AS$1005,1,MATCH(COLUMNS($AC$1006:AM1006),$AC$1006:$AS$1006,0))&gt;=100000), " ",IF(INDEX($AC$2:$AS$1001,MATCH(ROWS($V$2:V962),$V$2:$V$1001,0),MATCH(COLUMNS($AC$1006:AM1006),$AC$1006:$AS$1006,0)), HYPERLINK("#",""), HYPERLINK(CONCATENATE("#metadata!", ADDRESS(INDEX($X$2:$X$1001,MATCH(ROWS($V$2:V962),$V$2:$V$1001,0),0), INDEX($AC$1004:$AS$1004,1,MATCH(COLUMNS($AC$1006:AM1006),$AC$1006:$AS$1006,0)))),"Fix")))</f>
        <v xml:space="preserve"> </v>
      </c>
      <c r="M962" s="4" t="str">
        <f ca="1">IF(OR(INDEX($W$2:$W$1001,MATCH(ROWS($V$2:V962),$V$2:$V$1001,0),1)&gt;=100000,INDEX($AC$1005:$AS$1005,1,MATCH(COLUMNS($AC$1006:AN1006),$AC$1006:$AS$1006,0))&gt;=100000), " ",IF(INDEX($AC$2:$AS$1001,MATCH(ROWS($V$2:V962),$V$2:$V$1001,0),MATCH(COLUMNS($AC$1006:AN1006),$AC$1006:$AS$1006,0)), HYPERLINK("#",""), HYPERLINK(CONCATENATE("#metadata!", ADDRESS(INDEX($X$2:$X$1001,MATCH(ROWS($V$2:V962),$V$2:$V$1001,0),0), INDEX($AC$1004:$AS$1004,1,MATCH(COLUMNS($AC$1006:AN1006),$AC$1006:$AS$1006,0)))),"Fix")))</f>
        <v xml:space="preserve"> </v>
      </c>
      <c r="N962" s="4" t="str">
        <f ca="1">IF(OR(INDEX($W$2:$W$1001,MATCH(ROWS($V$2:V962),$V$2:$V$1001,0),1)&gt;=100000,INDEX($AC$1005:$AS$1005,1,MATCH(COLUMNS($AC$1006:AO1006),$AC$1006:$AS$1006,0))&gt;=100000), " ",IF(INDEX($AC$2:$AS$1001,MATCH(ROWS($V$2:V962),$V$2:$V$1001,0),MATCH(COLUMNS($AC$1006:AO1006),$AC$1006:$AS$1006,0)), HYPERLINK("#",""), HYPERLINK(CONCATENATE("#metadata!", ADDRESS(INDEX($X$2:$X$1001,MATCH(ROWS($V$2:V962),$V$2:$V$1001,0),0), INDEX($AC$1004:$AS$1004,1,MATCH(COLUMNS($AC$1006:AO1006),$AC$1006:$AS$1006,0)))),"Fix")))</f>
        <v xml:space="preserve"> </v>
      </c>
      <c r="O962" s="4" t="str">
        <f ca="1">IF(OR(INDEX($W$2:$W$1001,MATCH(ROWS($V$2:V962),$V$2:$V$1001,0),1)&gt;=100000,INDEX($AC$1005:$AS$1005,1,MATCH(COLUMNS($AC$1006:AP1006),$AC$1006:$AS$1006,0))&gt;=100000), " ",IF(INDEX($AC$2:$AS$1001,MATCH(ROWS($V$2:V962),$V$2:$V$1001,0),MATCH(COLUMNS($AC$1006:AP1006),$AC$1006:$AS$1006,0)), HYPERLINK("#",""), HYPERLINK(CONCATENATE("#metadata!", ADDRESS(INDEX($X$2:$X$1001,MATCH(ROWS($V$2:V962),$V$2:$V$1001,0),0), INDEX($AC$1004:$AS$1004,1,MATCH(COLUMNS($AC$1006:AP1006),$AC$1006:$AS$1006,0)))),"Fix")))</f>
        <v xml:space="preserve"> </v>
      </c>
      <c r="P962" s="4" t="str">
        <f ca="1">IF(OR(INDEX($W$2:$W$1001,MATCH(ROWS($V$2:V962),$V$2:$V$1001,0),1)&gt;=100000,INDEX($AC$1005:$AS$1005,1,MATCH(COLUMNS($AC$1006:AQ1006),$AC$1006:$AS$1006,0))&gt;=100000), " ",IF(INDEX($AC$2:$AS$1001,MATCH(ROWS($V$2:V962),$V$2:$V$1001,0),MATCH(COLUMNS($AC$1006:AQ1006),$AC$1006:$AS$1006,0)), HYPERLINK("#",""), HYPERLINK(CONCATENATE("#metadata!", ADDRESS(INDEX($X$2:$X$1001,MATCH(ROWS($V$2:V962),$V$2:$V$1001,0),0), INDEX($AC$1004:$AS$1004,1,MATCH(COLUMNS($AC$1006:AQ1006),$AC$1006:$AS$1006,0)))),"Fix")))</f>
        <v xml:space="preserve"> </v>
      </c>
      <c r="Q962" s="4" t="str">
        <f ca="1">IF(OR(INDEX($W$2:$W$1001,MATCH(ROWS($V$2:V962),$V$2:$V$1001,0),1)&gt;=100000,INDEX($AC$1005:$AS$1005,1,MATCH(COLUMNS($AC$1006:AR1006),$AC$1006:$AS$1006,0))&gt;=100000), " ",IF(INDEX($AC$2:$AS$1001,MATCH(ROWS($V$2:V962),$V$2:$V$1001,0),MATCH(COLUMNS($AC$1006:AR1006),$AC$1006:$AS$1006,0)), HYPERLINK("#",""), HYPERLINK(CONCATENATE("#metadata!", ADDRESS(INDEX($X$2:$X$1001,MATCH(ROWS($V$2:V962),$V$2:$V$1001,0),0), INDEX($AC$1004:$AS$1004,1,MATCH(COLUMNS($AC$1006:AR1006),$AC$1006:$AS$1006,0)))),"Fix")))</f>
        <v xml:space="preserve"> </v>
      </c>
      <c r="R962" s="4" t="str">
        <f ca="1">IF(OR(INDEX($W$2:$W$1001,MATCH(ROWS($V$2:V962),$V$2:$V$1001,0),1)&gt;=100000,INDEX($AC$1005:$AS$1005,1,MATCH(COLUMNS($AC$1006:AS1006),$AC$1006:$AS$1006,0))&gt;=100000), " ",IF(INDEX($AC$2:$AS$1001,MATCH(ROWS($V$2:V962),$V$2:$V$1001,0),MATCH(COLUMNS($AC$1006:AS1006),$AC$1006:$AS$1006,0)), HYPERLINK("#",""), HYPERLINK(CONCATENATE("#metadata!", ADDRESS(INDEX($X$2:$X$1001,MATCH(ROWS($V$2:V962),$V$2:$V$1001,0),0), INDEX($AC$1004:$AS$1004,1,MATCH(COLUMNS($AC$1006:AS1006),$AC$1006:$AS$1006,0)))),"Fix")))</f>
        <v xml:space="preserve"> </v>
      </c>
      <c r="V962">
        <v>961</v>
      </c>
      <c r="W962">
        <v>100962</v>
      </c>
      <c r="X962">
        <v>962</v>
      </c>
      <c r="Y962" t="b">
        <f t="shared" ref="Y962:Y1025" si="15">IF(Z962,TRUE,AND(AC962:AS962))</f>
        <v>1</v>
      </c>
      <c r="Z962" t="b">
        <f>COUNTBLANK(metadata!B962:R962)=COLUMNS(metadata!B962:R962)</f>
        <v>1</v>
      </c>
      <c r="AA962" t="str">
        <v/>
      </c>
      <c r="AC962" t="b">
        <f ca="1"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AD962" t="b">
        <f>IF(metadata!C962="",FALSE,ISNUMBER(VALUE(metadata!C962)))</f>
        <v>0</v>
      </c>
      <c r="AE962" t="b">
        <f>AND(IF(metadata!D962="",FALSE,TRUE),EXACT(metadata!D962,"years"))</f>
        <v>0</v>
      </c>
      <c r="AF962" t="b">
        <f>OR(AND(IF(metadata!E962="",FALSE,TRUE),OR(EXACT(metadata!E962,"not applicable"),EXACT(metadata!E962,"missing: not collected"),EXACT(metadata!E962,"missing: not provided"),EXACT(metadata!E962,"missing: restricted access"))),AND(IF(metadata!E962="",FALSE,ISNUMBER(VALUE(metadata!E962))),metadata!E962&gt;0))</f>
        <v>0</v>
      </c>
      <c r="AG962" t="b">
        <f>AND(IF(metadata!F962="",FALSE,TRUE),EXACT(metadata!F962,"Not applicable"))</f>
        <v>0</v>
      </c>
      <c r="AH962" t="b">
        <f>AND(IF(metadata!G962="",FALSE,TRUE),EXACT(metadata!G962,"urban biome"))</f>
        <v>0</v>
      </c>
      <c r="AI962" t="b">
        <f>AND(IF(metadata!H962="",FALSE,TRUE),EXACT(metadata!H962,"human-associated habitat"))</f>
        <v>0</v>
      </c>
      <c r="AJ962" t="b">
        <f>AND(IF(metadata!I962="",FALSE,TRUE),OR(EXACT(metadata!I962,"human-associated"),EXACT(metadata!I962,"human-skin"),EXACT(metadata!I962,"human-oral"),EXACT(metadata!I962,"human-gut"),EXACT(metadata!I962,"human-vaginal")))</f>
        <v>0</v>
      </c>
      <c r="AK962" t="b">
        <f>IF(metadata!J962="",FALSE,ISNUMBER(VALUE(metadata!J962)))</f>
        <v>0</v>
      </c>
      <c r="AL962" t="b">
        <f>AND(IF(metadata!K962="",FALSE,TRUE),EXACT(metadata!K962,"cm"))</f>
        <v>0</v>
      </c>
      <c r="AM962" t="b">
        <f>AND(IF(metadata!L962="",FALSE,TRUE),EXACT(metadata!L962,"human"))</f>
        <v>0</v>
      </c>
      <c r="AN962" t="b">
        <f>AND(IF(metadata!M962="",FALSE,TRUE),EXACT(metadata!M962,"Homo sapiens"))</f>
        <v>0</v>
      </c>
      <c r="AO962" t="b">
        <f>AND(IF(metadata!N962="",FALSE,TRUE),EXACT(metadata!N962,"9606"))</f>
        <v>0</v>
      </c>
      <c r="AP962" t="b">
        <f>IF(metadata!O962="",FALSE,TRUE)</f>
        <v>0</v>
      </c>
      <c r="AQ962" t="b">
        <f>IF(metadata!P962="",FALSE,TRUE)</f>
        <v>0</v>
      </c>
      <c r="AR962" t="b">
        <f>IF(metadata!Q962="",FALSE,ISNUMBER(VALUE(metadata!Q962)))</f>
        <v>0</v>
      </c>
      <c r="AS962" t="b">
        <f>AND(IF(metadata!R962="",FALSE,TRUE),EXACT(metadata!R962,"kg"))</f>
        <v>0</v>
      </c>
    </row>
    <row r="963" spans="1:45" x14ac:dyDescent="0.2">
      <c r="A963" s="5" t="str">
        <f ca="1">IF(B963=" "," ",HYPERLINK(CONCATENATE("#metadata!",ADDRESS(INDEX($X$2:$X$1001,MATCH(ROWS($V$2:V963),$V$2:$V$1001,0),0),1)),INDEX($AA$2:$AA$1001,MATCH(ROWS($V$2:V963),$V$2:$V$1001,0),0)))</f>
        <v xml:space="preserve"> </v>
      </c>
      <c r="B963" s="4" t="str">
        <f ca="1">IF(OR(INDEX($W$2:$W$1001,MATCH(ROWS($V$2:V963),$V$2:$V$1001,0),1)&gt;=100000,INDEX($AC$1005:$AS$1005,1,MATCH(COLUMNS($AC$1006:AC1006),$AC$1006:$AS$1006,0))&gt;=100000), " ",IF(INDEX($AC$2:$AS$1001,MATCH(ROWS($V$2:V963),$V$2:$V$1001,0),MATCH(COLUMNS($AC$1006:AC1006),$AC$1006:$AS$1006,0)), HYPERLINK("#",""), HYPERLINK(CONCATENATE("#metadata!", ADDRESS(INDEX($X$2:$X$1001,MATCH(ROWS($V$2:V963),$V$2:$V$1001,0),0), INDEX($AC$1004:$AS$1004,1,MATCH(COLUMNS($AC$1006:AC1006),$AC$1006:$AS$1006,0)))),"Fix")))</f>
        <v xml:space="preserve"> </v>
      </c>
      <c r="C963" s="4" t="str">
        <f ca="1">IF(OR(INDEX($W$2:$W$1001,MATCH(ROWS($V$2:V963),$V$2:$V$1001,0),1)&gt;=100000,INDEX($AC$1005:$AS$1005,1,MATCH(COLUMNS($AC$1006:AD1006),$AC$1006:$AS$1006,0))&gt;=100000), " ",IF(INDEX($AC$2:$AS$1001,MATCH(ROWS($V$2:V963),$V$2:$V$1001,0),MATCH(COLUMNS($AC$1006:AD1006),$AC$1006:$AS$1006,0)), HYPERLINK("#",""), HYPERLINK(CONCATENATE("#metadata!", ADDRESS(INDEX($X$2:$X$1001,MATCH(ROWS($V$2:V963),$V$2:$V$1001,0),0), INDEX($AC$1004:$AS$1004,1,MATCH(COLUMNS($AC$1006:AD1006),$AC$1006:$AS$1006,0)))),"Fix")))</f>
        <v xml:space="preserve"> </v>
      </c>
      <c r="D963" s="4" t="str">
        <f ca="1">IF(OR(INDEX($W$2:$W$1001,MATCH(ROWS($V$2:V963),$V$2:$V$1001,0),1)&gt;=100000,INDEX($AC$1005:$AS$1005,1,MATCH(COLUMNS($AC$1006:AE1006),$AC$1006:$AS$1006,0))&gt;=100000), " ",IF(INDEX($AC$2:$AS$1001,MATCH(ROWS($V$2:V963),$V$2:$V$1001,0),MATCH(COLUMNS($AC$1006:AE1006),$AC$1006:$AS$1006,0)), HYPERLINK("#",""), HYPERLINK(CONCATENATE("#metadata!", ADDRESS(INDEX($X$2:$X$1001,MATCH(ROWS($V$2:V963),$V$2:$V$1001,0),0), INDEX($AC$1004:$AS$1004,1,MATCH(COLUMNS($AC$1006:AE1006),$AC$1006:$AS$1006,0)))),"Fix")))</f>
        <v xml:space="preserve"> </v>
      </c>
      <c r="E963" s="4" t="str">
        <f ca="1">IF(OR(INDEX($W$2:$W$1001,MATCH(ROWS($V$2:V963),$V$2:$V$1001,0),1)&gt;=100000,INDEX($AC$1005:$AS$1005,1,MATCH(COLUMNS($AC$1006:AF1006),$AC$1006:$AS$1006,0))&gt;=100000), " ",IF(INDEX($AC$2:$AS$1001,MATCH(ROWS($V$2:V963),$V$2:$V$1001,0),MATCH(COLUMNS($AC$1006:AF1006),$AC$1006:$AS$1006,0)), HYPERLINK("#",""), HYPERLINK(CONCATENATE("#metadata!", ADDRESS(INDEX($X$2:$X$1001,MATCH(ROWS($V$2:V963),$V$2:$V$1001,0),0), INDEX($AC$1004:$AS$1004,1,MATCH(COLUMNS($AC$1006:AF1006),$AC$1006:$AS$1006,0)))),"Fix")))</f>
        <v xml:space="preserve"> </v>
      </c>
      <c r="F963" s="4" t="str">
        <f ca="1">IF(OR(INDEX($W$2:$W$1001,MATCH(ROWS($V$2:V963),$V$2:$V$1001,0),1)&gt;=100000,INDEX($AC$1005:$AS$1005,1,MATCH(COLUMNS($AC$1006:AG1006),$AC$1006:$AS$1006,0))&gt;=100000), " ",IF(INDEX($AC$2:$AS$1001,MATCH(ROWS($V$2:V963),$V$2:$V$1001,0),MATCH(COLUMNS($AC$1006:AG1006),$AC$1006:$AS$1006,0)), HYPERLINK("#",""), HYPERLINK(CONCATENATE("#metadata!", ADDRESS(INDEX($X$2:$X$1001,MATCH(ROWS($V$2:V963),$V$2:$V$1001,0),0), INDEX($AC$1004:$AS$1004,1,MATCH(COLUMNS($AC$1006:AG1006),$AC$1006:$AS$1006,0)))),"Fix")))</f>
        <v xml:space="preserve"> </v>
      </c>
      <c r="G963" s="4" t="str">
        <f ca="1">IF(OR(INDEX($W$2:$W$1001,MATCH(ROWS($V$2:V963),$V$2:$V$1001,0),1)&gt;=100000,INDEX($AC$1005:$AS$1005,1,MATCH(COLUMNS($AC$1006:AH1006),$AC$1006:$AS$1006,0))&gt;=100000), " ",IF(INDEX($AC$2:$AS$1001,MATCH(ROWS($V$2:V963),$V$2:$V$1001,0),MATCH(COLUMNS($AC$1006:AH1006),$AC$1006:$AS$1006,0)), HYPERLINK("#",""), HYPERLINK(CONCATENATE("#metadata!", ADDRESS(INDEX($X$2:$X$1001,MATCH(ROWS($V$2:V963),$V$2:$V$1001,0),0), INDEX($AC$1004:$AS$1004,1,MATCH(COLUMNS($AC$1006:AH1006),$AC$1006:$AS$1006,0)))),"Fix")))</f>
        <v xml:space="preserve"> </v>
      </c>
      <c r="H963" s="4" t="str">
        <f ca="1">IF(OR(INDEX($W$2:$W$1001,MATCH(ROWS($V$2:V963),$V$2:$V$1001,0),1)&gt;=100000,INDEX($AC$1005:$AS$1005,1,MATCH(COLUMNS($AC$1006:AI1006),$AC$1006:$AS$1006,0))&gt;=100000), " ",IF(INDEX($AC$2:$AS$1001,MATCH(ROWS($V$2:V963),$V$2:$V$1001,0),MATCH(COLUMNS($AC$1006:AI1006),$AC$1006:$AS$1006,0)), HYPERLINK("#",""), HYPERLINK(CONCATENATE("#metadata!", ADDRESS(INDEX($X$2:$X$1001,MATCH(ROWS($V$2:V963),$V$2:$V$1001,0),0), INDEX($AC$1004:$AS$1004,1,MATCH(COLUMNS($AC$1006:AI1006),$AC$1006:$AS$1006,0)))),"Fix")))</f>
        <v xml:space="preserve"> </v>
      </c>
      <c r="I963" s="4" t="str">
        <f ca="1">IF(OR(INDEX($W$2:$W$1001,MATCH(ROWS($V$2:V963),$V$2:$V$1001,0),1)&gt;=100000,INDEX($AC$1005:$AS$1005,1,MATCH(COLUMNS($AC$1006:AJ1006),$AC$1006:$AS$1006,0))&gt;=100000), " ",IF(INDEX($AC$2:$AS$1001,MATCH(ROWS($V$2:V963),$V$2:$V$1001,0),MATCH(COLUMNS($AC$1006:AJ1006),$AC$1006:$AS$1006,0)), HYPERLINK("#",""), HYPERLINK(CONCATENATE("#metadata!", ADDRESS(INDEX($X$2:$X$1001,MATCH(ROWS($V$2:V963),$V$2:$V$1001,0),0), INDEX($AC$1004:$AS$1004,1,MATCH(COLUMNS($AC$1006:AJ1006),$AC$1006:$AS$1006,0)))),"Fix")))</f>
        <v xml:space="preserve"> </v>
      </c>
      <c r="J963" s="4" t="str">
        <f ca="1">IF(OR(INDEX($W$2:$W$1001,MATCH(ROWS($V$2:V963),$V$2:$V$1001,0),1)&gt;=100000,INDEX($AC$1005:$AS$1005,1,MATCH(COLUMNS($AC$1006:AK1006),$AC$1006:$AS$1006,0))&gt;=100000), " ",IF(INDEX($AC$2:$AS$1001,MATCH(ROWS($V$2:V963),$V$2:$V$1001,0),MATCH(COLUMNS($AC$1006:AK1006),$AC$1006:$AS$1006,0)), HYPERLINK("#",""), HYPERLINK(CONCATENATE("#metadata!", ADDRESS(INDEX($X$2:$X$1001,MATCH(ROWS($V$2:V963),$V$2:$V$1001,0),0), INDEX($AC$1004:$AS$1004,1,MATCH(COLUMNS($AC$1006:AK1006),$AC$1006:$AS$1006,0)))),"Fix")))</f>
        <v xml:space="preserve"> </v>
      </c>
      <c r="K963" s="4" t="str">
        <f ca="1">IF(OR(INDEX($W$2:$W$1001,MATCH(ROWS($V$2:V963),$V$2:$V$1001,0),1)&gt;=100000,INDEX($AC$1005:$AS$1005,1,MATCH(COLUMNS($AC$1006:AL1006),$AC$1006:$AS$1006,0))&gt;=100000), " ",IF(INDEX($AC$2:$AS$1001,MATCH(ROWS($V$2:V963),$V$2:$V$1001,0),MATCH(COLUMNS($AC$1006:AL1006),$AC$1006:$AS$1006,0)), HYPERLINK("#",""), HYPERLINK(CONCATENATE("#metadata!", ADDRESS(INDEX($X$2:$X$1001,MATCH(ROWS($V$2:V963),$V$2:$V$1001,0),0), INDEX($AC$1004:$AS$1004,1,MATCH(COLUMNS($AC$1006:AL1006),$AC$1006:$AS$1006,0)))),"Fix")))</f>
        <v xml:space="preserve"> </v>
      </c>
      <c r="L963" s="4" t="str">
        <f ca="1">IF(OR(INDEX($W$2:$W$1001,MATCH(ROWS($V$2:V963),$V$2:$V$1001,0),1)&gt;=100000,INDEX($AC$1005:$AS$1005,1,MATCH(COLUMNS($AC$1006:AM1006),$AC$1006:$AS$1006,0))&gt;=100000), " ",IF(INDEX($AC$2:$AS$1001,MATCH(ROWS($V$2:V963),$V$2:$V$1001,0),MATCH(COLUMNS($AC$1006:AM1006),$AC$1006:$AS$1006,0)), HYPERLINK("#",""), HYPERLINK(CONCATENATE("#metadata!", ADDRESS(INDEX($X$2:$X$1001,MATCH(ROWS($V$2:V963),$V$2:$V$1001,0),0), INDEX($AC$1004:$AS$1004,1,MATCH(COLUMNS($AC$1006:AM1006),$AC$1006:$AS$1006,0)))),"Fix")))</f>
        <v xml:space="preserve"> </v>
      </c>
      <c r="M963" s="4" t="str">
        <f ca="1">IF(OR(INDEX($W$2:$W$1001,MATCH(ROWS($V$2:V963),$V$2:$V$1001,0),1)&gt;=100000,INDEX($AC$1005:$AS$1005,1,MATCH(COLUMNS($AC$1006:AN1006),$AC$1006:$AS$1006,0))&gt;=100000), " ",IF(INDEX($AC$2:$AS$1001,MATCH(ROWS($V$2:V963),$V$2:$V$1001,0),MATCH(COLUMNS($AC$1006:AN1006),$AC$1006:$AS$1006,0)), HYPERLINK("#",""), HYPERLINK(CONCATENATE("#metadata!", ADDRESS(INDEX($X$2:$X$1001,MATCH(ROWS($V$2:V963),$V$2:$V$1001,0),0), INDEX($AC$1004:$AS$1004,1,MATCH(COLUMNS($AC$1006:AN1006),$AC$1006:$AS$1006,0)))),"Fix")))</f>
        <v xml:space="preserve"> </v>
      </c>
      <c r="N963" s="4" t="str">
        <f ca="1">IF(OR(INDEX($W$2:$W$1001,MATCH(ROWS($V$2:V963),$V$2:$V$1001,0),1)&gt;=100000,INDEX($AC$1005:$AS$1005,1,MATCH(COLUMNS($AC$1006:AO1006),$AC$1006:$AS$1006,0))&gt;=100000), " ",IF(INDEX($AC$2:$AS$1001,MATCH(ROWS($V$2:V963),$V$2:$V$1001,0),MATCH(COLUMNS($AC$1006:AO1006),$AC$1006:$AS$1006,0)), HYPERLINK("#",""), HYPERLINK(CONCATENATE("#metadata!", ADDRESS(INDEX($X$2:$X$1001,MATCH(ROWS($V$2:V963),$V$2:$V$1001,0),0), INDEX($AC$1004:$AS$1004,1,MATCH(COLUMNS($AC$1006:AO1006),$AC$1006:$AS$1006,0)))),"Fix")))</f>
        <v xml:space="preserve"> </v>
      </c>
      <c r="O963" s="4" t="str">
        <f ca="1">IF(OR(INDEX($W$2:$W$1001,MATCH(ROWS($V$2:V963),$V$2:$V$1001,0),1)&gt;=100000,INDEX($AC$1005:$AS$1005,1,MATCH(COLUMNS($AC$1006:AP1006),$AC$1006:$AS$1006,0))&gt;=100000), " ",IF(INDEX($AC$2:$AS$1001,MATCH(ROWS($V$2:V963),$V$2:$V$1001,0),MATCH(COLUMNS($AC$1006:AP1006),$AC$1006:$AS$1006,0)), HYPERLINK("#",""), HYPERLINK(CONCATENATE("#metadata!", ADDRESS(INDEX($X$2:$X$1001,MATCH(ROWS($V$2:V963),$V$2:$V$1001,0),0), INDEX($AC$1004:$AS$1004,1,MATCH(COLUMNS($AC$1006:AP1006),$AC$1006:$AS$1006,0)))),"Fix")))</f>
        <v xml:space="preserve"> </v>
      </c>
      <c r="P963" s="4" t="str">
        <f ca="1">IF(OR(INDEX($W$2:$W$1001,MATCH(ROWS($V$2:V963),$V$2:$V$1001,0),1)&gt;=100000,INDEX($AC$1005:$AS$1005,1,MATCH(COLUMNS($AC$1006:AQ1006),$AC$1006:$AS$1006,0))&gt;=100000), " ",IF(INDEX($AC$2:$AS$1001,MATCH(ROWS($V$2:V963),$V$2:$V$1001,0),MATCH(COLUMNS($AC$1006:AQ1006),$AC$1006:$AS$1006,0)), HYPERLINK("#",""), HYPERLINK(CONCATENATE("#metadata!", ADDRESS(INDEX($X$2:$X$1001,MATCH(ROWS($V$2:V963),$V$2:$V$1001,0),0), INDEX($AC$1004:$AS$1004,1,MATCH(COLUMNS($AC$1006:AQ1006),$AC$1006:$AS$1006,0)))),"Fix")))</f>
        <v xml:space="preserve"> </v>
      </c>
      <c r="Q963" s="4" t="str">
        <f ca="1">IF(OR(INDEX($W$2:$W$1001,MATCH(ROWS($V$2:V963),$V$2:$V$1001,0),1)&gt;=100000,INDEX($AC$1005:$AS$1005,1,MATCH(COLUMNS($AC$1006:AR1006),$AC$1006:$AS$1006,0))&gt;=100000), " ",IF(INDEX($AC$2:$AS$1001,MATCH(ROWS($V$2:V963),$V$2:$V$1001,0),MATCH(COLUMNS($AC$1006:AR1006),$AC$1006:$AS$1006,0)), HYPERLINK("#",""), HYPERLINK(CONCATENATE("#metadata!", ADDRESS(INDEX($X$2:$X$1001,MATCH(ROWS($V$2:V963),$V$2:$V$1001,0),0), INDEX($AC$1004:$AS$1004,1,MATCH(COLUMNS($AC$1006:AR1006),$AC$1006:$AS$1006,0)))),"Fix")))</f>
        <v xml:space="preserve"> </v>
      </c>
      <c r="R963" s="4" t="str">
        <f ca="1">IF(OR(INDEX($W$2:$W$1001,MATCH(ROWS($V$2:V963),$V$2:$V$1001,0),1)&gt;=100000,INDEX($AC$1005:$AS$1005,1,MATCH(COLUMNS($AC$1006:AS1006),$AC$1006:$AS$1006,0))&gt;=100000), " ",IF(INDEX($AC$2:$AS$1001,MATCH(ROWS($V$2:V963),$V$2:$V$1001,0),MATCH(COLUMNS($AC$1006:AS1006),$AC$1006:$AS$1006,0)), HYPERLINK("#",""), HYPERLINK(CONCATENATE("#metadata!", ADDRESS(INDEX($X$2:$X$1001,MATCH(ROWS($V$2:V963),$V$2:$V$1001,0),0), INDEX($AC$1004:$AS$1004,1,MATCH(COLUMNS($AC$1006:AS1006),$AC$1006:$AS$1006,0)))),"Fix")))</f>
        <v xml:space="preserve"> </v>
      </c>
      <c r="V963">
        <v>962</v>
      </c>
      <c r="W963">
        <v>100963</v>
      </c>
      <c r="X963">
        <v>963</v>
      </c>
      <c r="Y963" t="b">
        <f t="shared" si="15"/>
        <v>1</v>
      </c>
      <c r="Z963" t="b">
        <f>COUNTBLANK(metadata!B963:R963)=COLUMNS(metadata!B963:R963)</f>
        <v>1</v>
      </c>
      <c r="AA963" t="str">
        <v/>
      </c>
      <c r="AC963" t="b">
        <f ca="1"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AD963" t="b">
        <f>IF(metadata!C963="",FALSE,ISNUMBER(VALUE(metadata!C963)))</f>
        <v>0</v>
      </c>
      <c r="AE963" t="b">
        <f>AND(IF(metadata!D963="",FALSE,TRUE),EXACT(metadata!D963,"years"))</f>
        <v>0</v>
      </c>
      <c r="AF963" t="b">
        <f>OR(AND(IF(metadata!E963="",FALSE,TRUE),OR(EXACT(metadata!E963,"not applicable"),EXACT(metadata!E963,"missing: not collected"),EXACT(metadata!E963,"missing: not provided"),EXACT(metadata!E963,"missing: restricted access"))),AND(IF(metadata!E963="",FALSE,ISNUMBER(VALUE(metadata!E963))),metadata!E963&gt;0))</f>
        <v>0</v>
      </c>
      <c r="AG963" t="b">
        <f>AND(IF(metadata!F963="",FALSE,TRUE),EXACT(metadata!F963,"Not applicable"))</f>
        <v>0</v>
      </c>
      <c r="AH963" t="b">
        <f>AND(IF(metadata!G963="",FALSE,TRUE),EXACT(metadata!G963,"urban biome"))</f>
        <v>0</v>
      </c>
      <c r="AI963" t="b">
        <f>AND(IF(metadata!H963="",FALSE,TRUE),EXACT(metadata!H963,"human-associated habitat"))</f>
        <v>0</v>
      </c>
      <c r="AJ963" t="b">
        <f>AND(IF(metadata!I963="",FALSE,TRUE),OR(EXACT(metadata!I963,"human-associated"),EXACT(metadata!I963,"human-skin"),EXACT(metadata!I963,"human-oral"),EXACT(metadata!I963,"human-gut"),EXACT(metadata!I963,"human-vaginal")))</f>
        <v>0</v>
      </c>
      <c r="AK963" t="b">
        <f>IF(metadata!J963="",FALSE,ISNUMBER(VALUE(metadata!J963)))</f>
        <v>0</v>
      </c>
      <c r="AL963" t="b">
        <f>AND(IF(metadata!K963="",FALSE,TRUE),EXACT(metadata!K963,"cm"))</f>
        <v>0</v>
      </c>
      <c r="AM963" t="b">
        <f>AND(IF(metadata!L963="",FALSE,TRUE),EXACT(metadata!L963,"human"))</f>
        <v>0</v>
      </c>
      <c r="AN963" t="b">
        <f>AND(IF(metadata!M963="",FALSE,TRUE),EXACT(metadata!M963,"Homo sapiens"))</f>
        <v>0</v>
      </c>
      <c r="AO963" t="b">
        <f>AND(IF(metadata!N963="",FALSE,TRUE),EXACT(metadata!N963,"9606"))</f>
        <v>0</v>
      </c>
      <c r="AP963" t="b">
        <f>IF(metadata!O963="",FALSE,TRUE)</f>
        <v>0</v>
      </c>
      <c r="AQ963" t="b">
        <f>IF(metadata!P963="",FALSE,TRUE)</f>
        <v>0</v>
      </c>
      <c r="AR963" t="b">
        <f>IF(metadata!Q963="",FALSE,ISNUMBER(VALUE(metadata!Q963)))</f>
        <v>0</v>
      </c>
      <c r="AS963" t="b">
        <f>AND(IF(metadata!R963="",FALSE,TRUE),EXACT(metadata!R963,"kg"))</f>
        <v>0</v>
      </c>
    </row>
    <row r="964" spans="1:45" x14ac:dyDescent="0.2">
      <c r="A964" s="5" t="str">
        <f ca="1">IF(B964=" "," ",HYPERLINK(CONCATENATE("#metadata!",ADDRESS(INDEX($X$2:$X$1001,MATCH(ROWS($V$2:V964),$V$2:$V$1001,0),0),1)),INDEX($AA$2:$AA$1001,MATCH(ROWS($V$2:V964),$V$2:$V$1001,0),0)))</f>
        <v xml:space="preserve"> </v>
      </c>
      <c r="B964" s="4" t="str">
        <f ca="1">IF(OR(INDEX($W$2:$W$1001,MATCH(ROWS($V$2:V964),$V$2:$V$1001,0),1)&gt;=100000,INDEX($AC$1005:$AS$1005,1,MATCH(COLUMNS($AC$1006:AC1006),$AC$1006:$AS$1006,0))&gt;=100000), " ",IF(INDEX($AC$2:$AS$1001,MATCH(ROWS($V$2:V964),$V$2:$V$1001,0),MATCH(COLUMNS($AC$1006:AC1006),$AC$1006:$AS$1006,0)), HYPERLINK("#",""), HYPERLINK(CONCATENATE("#metadata!", ADDRESS(INDEX($X$2:$X$1001,MATCH(ROWS($V$2:V964),$V$2:$V$1001,0),0), INDEX($AC$1004:$AS$1004,1,MATCH(COLUMNS($AC$1006:AC1006),$AC$1006:$AS$1006,0)))),"Fix")))</f>
        <v xml:space="preserve"> </v>
      </c>
      <c r="C964" s="4" t="str">
        <f ca="1">IF(OR(INDEX($W$2:$W$1001,MATCH(ROWS($V$2:V964),$V$2:$V$1001,0),1)&gt;=100000,INDEX($AC$1005:$AS$1005,1,MATCH(COLUMNS($AC$1006:AD1006),$AC$1006:$AS$1006,0))&gt;=100000), " ",IF(INDEX($AC$2:$AS$1001,MATCH(ROWS($V$2:V964),$V$2:$V$1001,0),MATCH(COLUMNS($AC$1006:AD1006),$AC$1006:$AS$1006,0)), HYPERLINK("#",""), HYPERLINK(CONCATENATE("#metadata!", ADDRESS(INDEX($X$2:$X$1001,MATCH(ROWS($V$2:V964),$V$2:$V$1001,0),0), INDEX($AC$1004:$AS$1004,1,MATCH(COLUMNS($AC$1006:AD1006),$AC$1006:$AS$1006,0)))),"Fix")))</f>
        <v xml:space="preserve"> </v>
      </c>
      <c r="D964" s="4" t="str">
        <f ca="1">IF(OR(INDEX($W$2:$W$1001,MATCH(ROWS($V$2:V964),$V$2:$V$1001,0),1)&gt;=100000,INDEX($AC$1005:$AS$1005,1,MATCH(COLUMNS($AC$1006:AE1006),$AC$1006:$AS$1006,0))&gt;=100000), " ",IF(INDEX($AC$2:$AS$1001,MATCH(ROWS($V$2:V964),$V$2:$V$1001,0),MATCH(COLUMNS($AC$1006:AE1006),$AC$1006:$AS$1006,0)), HYPERLINK("#",""), HYPERLINK(CONCATENATE("#metadata!", ADDRESS(INDEX($X$2:$X$1001,MATCH(ROWS($V$2:V964),$V$2:$V$1001,0),0), INDEX($AC$1004:$AS$1004,1,MATCH(COLUMNS($AC$1006:AE1006),$AC$1006:$AS$1006,0)))),"Fix")))</f>
        <v xml:space="preserve"> </v>
      </c>
      <c r="E964" s="4" t="str">
        <f ca="1">IF(OR(INDEX($W$2:$W$1001,MATCH(ROWS($V$2:V964),$V$2:$V$1001,0),1)&gt;=100000,INDEX($AC$1005:$AS$1005,1,MATCH(COLUMNS($AC$1006:AF1006),$AC$1006:$AS$1006,0))&gt;=100000), " ",IF(INDEX($AC$2:$AS$1001,MATCH(ROWS($V$2:V964),$V$2:$V$1001,0),MATCH(COLUMNS($AC$1006:AF1006),$AC$1006:$AS$1006,0)), HYPERLINK("#",""), HYPERLINK(CONCATENATE("#metadata!", ADDRESS(INDEX($X$2:$X$1001,MATCH(ROWS($V$2:V964),$V$2:$V$1001,0),0), INDEX($AC$1004:$AS$1004,1,MATCH(COLUMNS($AC$1006:AF1006),$AC$1006:$AS$1006,0)))),"Fix")))</f>
        <v xml:space="preserve"> </v>
      </c>
      <c r="F964" s="4" t="str">
        <f ca="1">IF(OR(INDEX($W$2:$W$1001,MATCH(ROWS($V$2:V964),$V$2:$V$1001,0),1)&gt;=100000,INDEX($AC$1005:$AS$1005,1,MATCH(COLUMNS($AC$1006:AG1006),$AC$1006:$AS$1006,0))&gt;=100000), " ",IF(INDEX($AC$2:$AS$1001,MATCH(ROWS($V$2:V964),$V$2:$V$1001,0),MATCH(COLUMNS($AC$1006:AG1006),$AC$1006:$AS$1006,0)), HYPERLINK("#",""), HYPERLINK(CONCATENATE("#metadata!", ADDRESS(INDEX($X$2:$X$1001,MATCH(ROWS($V$2:V964),$V$2:$V$1001,0),0), INDEX($AC$1004:$AS$1004,1,MATCH(COLUMNS($AC$1006:AG1006),$AC$1006:$AS$1006,0)))),"Fix")))</f>
        <v xml:space="preserve"> </v>
      </c>
      <c r="G964" s="4" t="str">
        <f ca="1">IF(OR(INDEX($W$2:$W$1001,MATCH(ROWS($V$2:V964),$V$2:$V$1001,0),1)&gt;=100000,INDEX($AC$1005:$AS$1005,1,MATCH(COLUMNS($AC$1006:AH1006),$AC$1006:$AS$1006,0))&gt;=100000), " ",IF(INDEX($AC$2:$AS$1001,MATCH(ROWS($V$2:V964),$V$2:$V$1001,0),MATCH(COLUMNS($AC$1006:AH1006),$AC$1006:$AS$1006,0)), HYPERLINK("#",""), HYPERLINK(CONCATENATE("#metadata!", ADDRESS(INDEX($X$2:$X$1001,MATCH(ROWS($V$2:V964),$V$2:$V$1001,0),0), INDEX($AC$1004:$AS$1004,1,MATCH(COLUMNS($AC$1006:AH1006),$AC$1006:$AS$1006,0)))),"Fix")))</f>
        <v xml:space="preserve"> </v>
      </c>
      <c r="H964" s="4" t="str">
        <f ca="1">IF(OR(INDEX($W$2:$W$1001,MATCH(ROWS($V$2:V964),$V$2:$V$1001,0),1)&gt;=100000,INDEX($AC$1005:$AS$1005,1,MATCH(COLUMNS($AC$1006:AI1006),$AC$1006:$AS$1006,0))&gt;=100000), " ",IF(INDEX($AC$2:$AS$1001,MATCH(ROWS($V$2:V964),$V$2:$V$1001,0),MATCH(COLUMNS($AC$1006:AI1006),$AC$1006:$AS$1006,0)), HYPERLINK("#",""), HYPERLINK(CONCATENATE("#metadata!", ADDRESS(INDEX($X$2:$X$1001,MATCH(ROWS($V$2:V964),$V$2:$V$1001,0),0), INDEX($AC$1004:$AS$1004,1,MATCH(COLUMNS($AC$1006:AI1006),$AC$1006:$AS$1006,0)))),"Fix")))</f>
        <v xml:space="preserve"> </v>
      </c>
      <c r="I964" s="4" t="str">
        <f ca="1">IF(OR(INDEX($W$2:$W$1001,MATCH(ROWS($V$2:V964),$V$2:$V$1001,0),1)&gt;=100000,INDEX($AC$1005:$AS$1005,1,MATCH(COLUMNS($AC$1006:AJ1006),$AC$1006:$AS$1006,0))&gt;=100000), " ",IF(INDEX($AC$2:$AS$1001,MATCH(ROWS($V$2:V964),$V$2:$V$1001,0),MATCH(COLUMNS($AC$1006:AJ1006),$AC$1006:$AS$1006,0)), HYPERLINK("#",""), HYPERLINK(CONCATENATE("#metadata!", ADDRESS(INDEX($X$2:$X$1001,MATCH(ROWS($V$2:V964),$V$2:$V$1001,0),0), INDEX($AC$1004:$AS$1004,1,MATCH(COLUMNS($AC$1006:AJ1006),$AC$1006:$AS$1006,0)))),"Fix")))</f>
        <v xml:space="preserve"> </v>
      </c>
      <c r="J964" s="4" t="str">
        <f ca="1">IF(OR(INDEX($W$2:$W$1001,MATCH(ROWS($V$2:V964),$V$2:$V$1001,0),1)&gt;=100000,INDEX($AC$1005:$AS$1005,1,MATCH(COLUMNS($AC$1006:AK1006),$AC$1006:$AS$1006,0))&gt;=100000), " ",IF(INDEX($AC$2:$AS$1001,MATCH(ROWS($V$2:V964),$V$2:$V$1001,0),MATCH(COLUMNS($AC$1006:AK1006),$AC$1006:$AS$1006,0)), HYPERLINK("#",""), HYPERLINK(CONCATENATE("#metadata!", ADDRESS(INDEX($X$2:$X$1001,MATCH(ROWS($V$2:V964),$V$2:$V$1001,0),0), INDEX($AC$1004:$AS$1004,1,MATCH(COLUMNS($AC$1006:AK1006),$AC$1006:$AS$1006,0)))),"Fix")))</f>
        <v xml:space="preserve"> </v>
      </c>
      <c r="K964" s="4" t="str">
        <f ca="1">IF(OR(INDEX($W$2:$W$1001,MATCH(ROWS($V$2:V964),$V$2:$V$1001,0),1)&gt;=100000,INDEX($AC$1005:$AS$1005,1,MATCH(COLUMNS($AC$1006:AL1006),$AC$1006:$AS$1006,0))&gt;=100000), " ",IF(INDEX($AC$2:$AS$1001,MATCH(ROWS($V$2:V964),$V$2:$V$1001,0),MATCH(COLUMNS($AC$1006:AL1006),$AC$1006:$AS$1006,0)), HYPERLINK("#",""), HYPERLINK(CONCATENATE("#metadata!", ADDRESS(INDEX($X$2:$X$1001,MATCH(ROWS($V$2:V964),$V$2:$V$1001,0),0), INDEX($AC$1004:$AS$1004,1,MATCH(COLUMNS($AC$1006:AL1006),$AC$1006:$AS$1006,0)))),"Fix")))</f>
        <v xml:space="preserve"> </v>
      </c>
      <c r="L964" s="4" t="str">
        <f ca="1">IF(OR(INDEX($W$2:$W$1001,MATCH(ROWS($V$2:V964),$V$2:$V$1001,0),1)&gt;=100000,INDEX($AC$1005:$AS$1005,1,MATCH(COLUMNS($AC$1006:AM1006),$AC$1006:$AS$1006,0))&gt;=100000), " ",IF(INDEX($AC$2:$AS$1001,MATCH(ROWS($V$2:V964),$V$2:$V$1001,0),MATCH(COLUMNS($AC$1006:AM1006),$AC$1006:$AS$1006,0)), HYPERLINK("#",""), HYPERLINK(CONCATENATE("#metadata!", ADDRESS(INDEX($X$2:$X$1001,MATCH(ROWS($V$2:V964),$V$2:$V$1001,0),0), INDEX($AC$1004:$AS$1004,1,MATCH(COLUMNS($AC$1006:AM1006),$AC$1006:$AS$1006,0)))),"Fix")))</f>
        <v xml:space="preserve"> </v>
      </c>
      <c r="M964" s="4" t="str">
        <f ca="1">IF(OR(INDEX($W$2:$W$1001,MATCH(ROWS($V$2:V964),$V$2:$V$1001,0),1)&gt;=100000,INDEX($AC$1005:$AS$1005,1,MATCH(COLUMNS($AC$1006:AN1006),$AC$1006:$AS$1006,0))&gt;=100000), " ",IF(INDEX($AC$2:$AS$1001,MATCH(ROWS($V$2:V964),$V$2:$V$1001,0),MATCH(COLUMNS($AC$1006:AN1006),$AC$1006:$AS$1006,0)), HYPERLINK("#",""), HYPERLINK(CONCATENATE("#metadata!", ADDRESS(INDEX($X$2:$X$1001,MATCH(ROWS($V$2:V964),$V$2:$V$1001,0),0), INDEX($AC$1004:$AS$1004,1,MATCH(COLUMNS($AC$1006:AN1006),$AC$1006:$AS$1006,0)))),"Fix")))</f>
        <v xml:space="preserve"> </v>
      </c>
      <c r="N964" s="4" t="str">
        <f ca="1">IF(OR(INDEX($W$2:$W$1001,MATCH(ROWS($V$2:V964),$V$2:$V$1001,0),1)&gt;=100000,INDEX($AC$1005:$AS$1005,1,MATCH(COLUMNS($AC$1006:AO1006),$AC$1006:$AS$1006,0))&gt;=100000), " ",IF(INDEX($AC$2:$AS$1001,MATCH(ROWS($V$2:V964),$V$2:$V$1001,0),MATCH(COLUMNS($AC$1006:AO1006),$AC$1006:$AS$1006,0)), HYPERLINK("#",""), HYPERLINK(CONCATENATE("#metadata!", ADDRESS(INDEX($X$2:$X$1001,MATCH(ROWS($V$2:V964),$V$2:$V$1001,0),0), INDEX($AC$1004:$AS$1004,1,MATCH(COLUMNS($AC$1006:AO1006),$AC$1006:$AS$1006,0)))),"Fix")))</f>
        <v xml:space="preserve"> </v>
      </c>
      <c r="O964" s="4" t="str">
        <f ca="1">IF(OR(INDEX($W$2:$W$1001,MATCH(ROWS($V$2:V964),$V$2:$V$1001,0),1)&gt;=100000,INDEX($AC$1005:$AS$1005,1,MATCH(COLUMNS($AC$1006:AP1006),$AC$1006:$AS$1006,0))&gt;=100000), " ",IF(INDEX($AC$2:$AS$1001,MATCH(ROWS($V$2:V964),$V$2:$V$1001,0),MATCH(COLUMNS($AC$1006:AP1006),$AC$1006:$AS$1006,0)), HYPERLINK("#",""), HYPERLINK(CONCATENATE("#metadata!", ADDRESS(INDEX($X$2:$X$1001,MATCH(ROWS($V$2:V964),$V$2:$V$1001,0),0), INDEX($AC$1004:$AS$1004,1,MATCH(COLUMNS($AC$1006:AP1006),$AC$1006:$AS$1006,0)))),"Fix")))</f>
        <v xml:space="preserve"> </v>
      </c>
      <c r="P964" s="4" t="str">
        <f ca="1">IF(OR(INDEX($W$2:$W$1001,MATCH(ROWS($V$2:V964),$V$2:$V$1001,0),1)&gt;=100000,INDEX($AC$1005:$AS$1005,1,MATCH(COLUMNS($AC$1006:AQ1006),$AC$1006:$AS$1006,0))&gt;=100000), " ",IF(INDEX($AC$2:$AS$1001,MATCH(ROWS($V$2:V964),$V$2:$V$1001,0),MATCH(COLUMNS($AC$1006:AQ1006),$AC$1006:$AS$1006,0)), HYPERLINK("#",""), HYPERLINK(CONCATENATE("#metadata!", ADDRESS(INDEX($X$2:$X$1001,MATCH(ROWS($V$2:V964),$V$2:$V$1001,0),0), INDEX($AC$1004:$AS$1004,1,MATCH(COLUMNS($AC$1006:AQ1006),$AC$1006:$AS$1006,0)))),"Fix")))</f>
        <v xml:space="preserve"> </v>
      </c>
      <c r="Q964" s="4" t="str">
        <f ca="1">IF(OR(INDEX($W$2:$W$1001,MATCH(ROWS($V$2:V964),$V$2:$V$1001,0),1)&gt;=100000,INDEX($AC$1005:$AS$1005,1,MATCH(COLUMNS($AC$1006:AR1006),$AC$1006:$AS$1006,0))&gt;=100000), " ",IF(INDEX($AC$2:$AS$1001,MATCH(ROWS($V$2:V964),$V$2:$V$1001,0),MATCH(COLUMNS($AC$1006:AR1006),$AC$1006:$AS$1006,0)), HYPERLINK("#",""), HYPERLINK(CONCATENATE("#metadata!", ADDRESS(INDEX($X$2:$X$1001,MATCH(ROWS($V$2:V964),$V$2:$V$1001,0),0), INDEX($AC$1004:$AS$1004,1,MATCH(COLUMNS($AC$1006:AR1006),$AC$1006:$AS$1006,0)))),"Fix")))</f>
        <v xml:space="preserve"> </v>
      </c>
      <c r="R964" s="4" t="str">
        <f ca="1">IF(OR(INDEX($W$2:$W$1001,MATCH(ROWS($V$2:V964),$V$2:$V$1001,0),1)&gt;=100000,INDEX($AC$1005:$AS$1005,1,MATCH(COLUMNS($AC$1006:AS1006),$AC$1006:$AS$1006,0))&gt;=100000), " ",IF(INDEX($AC$2:$AS$1001,MATCH(ROWS($V$2:V964),$V$2:$V$1001,0),MATCH(COLUMNS($AC$1006:AS1006),$AC$1006:$AS$1006,0)), HYPERLINK("#",""), HYPERLINK(CONCATENATE("#metadata!", ADDRESS(INDEX($X$2:$X$1001,MATCH(ROWS($V$2:V964),$V$2:$V$1001,0),0), INDEX($AC$1004:$AS$1004,1,MATCH(COLUMNS($AC$1006:AS1006),$AC$1006:$AS$1006,0)))),"Fix")))</f>
        <v xml:space="preserve"> </v>
      </c>
      <c r="V964">
        <v>963</v>
      </c>
      <c r="W964">
        <v>100964</v>
      </c>
      <c r="X964">
        <v>964</v>
      </c>
      <c r="Y964" t="b">
        <f t="shared" si="15"/>
        <v>1</v>
      </c>
      <c r="Z964" t="b">
        <f>COUNTBLANK(metadata!B964:R964)=COLUMNS(metadata!B964:R964)</f>
        <v>1</v>
      </c>
      <c r="AA964" t="str">
        <v/>
      </c>
      <c r="AC964" t="b">
        <f ca="1"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AD964" t="b">
        <f>IF(metadata!C964="",FALSE,ISNUMBER(VALUE(metadata!C964)))</f>
        <v>0</v>
      </c>
      <c r="AE964" t="b">
        <f>AND(IF(metadata!D964="",FALSE,TRUE),EXACT(metadata!D964,"years"))</f>
        <v>0</v>
      </c>
      <c r="AF964" t="b">
        <f>OR(AND(IF(metadata!E964="",FALSE,TRUE),OR(EXACT(metadata!E964,"not applicable"),EXACT(metadata!E964,"missing: not collected"),EXACT(metadata!E964,"missing: not provided"),EXACT(metadata!E964,"missing: restricted access"))),AND(IF(metadata!E964="",FALSE,ISNUMBER(VALUE(metadata!E964))),metadata!E964&gt;0))</f>
        <v>0</v>
      </c>
      <c r="AG964" t="b">
        <f>AND(IF(metadata!F964="",FALSE,TRUE),EXACT(metadata!F964,"Not applicable"))</f>
        <v>0</v>
      </c>
      <c r="AH964" t="b">
        <f>AND(IF(metadata!G964="",FALSE,TRUE),EXACT(metadata!G964,"urban biome"))</f>
        <v>0</v>
      </c>
      <c r="AI964" t="b">
        <f>AND(IF(metadata!H964="",FALSE,TRUE),EXACT(metadata!H964,"human-associated habitat"))</f>
        <v>0</v>
      </c>
      <c r="AJ964" t="b">
        <f>AND(IF(metadata!I964="",FALSE,TRUE),OR(EXACT(metadata!I964,"human-associated"),EXACT(metadata!I964,"human-skin"),EXACT(metadata!I964,"human-oral"),EXACT(metadata!I964,"human-gut"),EXACT(metadata!I964,"human-vaginal")))</f>
        <v>0</v>
      </c>
      <c r="AK964" t="b">
        <f>IF(metadata!J964="",FALSE,ISNUMBER(VALUE(metadata!J964)))</f>
        <v>0</v>
      </c>
      <c r="AL964" t="b">
        <f>AND(IF(metadata!K964="",FALSE,TRUE),EXACT(metadata!K964,"cm"))</f>
        <v>0</v>
      </c>
      <c r="AM964" t="b">
        <f>AND(IF(metadata!L964="",FALSE,TRUE),EXACT(metadata!L964,"human"))</f>
        <v>0</v>
      </c>
      <c r="AN964" t="b">
        <f>AND(IF(metadata!M964="",FALSE,TRUE),EXACT(metadata!M964,"Homo sapiens"))</f>
        <v>0</v>
      </c>
      <c r="AO964" t="b">
        <f>AND(IF(metadata!N964="",FALSE,TRUE),EXACT(metadata!N964,"9606"))</f>
        <v>0</v>
      </c>
      <c r="AP964" t="b">
        <f>IF(metadata!O964="",FALSE,TRUE)</f>
        <v>0</v>
      </c>
      <c r="AQ964" t="b">
        <f>IF(metadata!P964="",FALSE,TRUE)</f>
        <v>0</v>
      </c>
      <c r="AR964" t="b">
        <f>IF(metadata!Q964="",FALSE,ISNUMBER(VALUE(metadata!Q964)))</f>
        <v>0</v>
      </c>
      <c r="AS964" t="b">
        <f>AND(IF(metadata!R964="",FALSE,TRUE),EXACT(metadata!R964,"kg"))</f>
        <v>0</v>
      </c>
    </row>
    <row r="965" spans="1:45" x14ac:dyDescent="0.2">
      <c r="A965" s="5" t="str">
        <f ca="1">IF(B965=" "," ",HYPERLINK(CONCATENATE("#metadata!",ADDRESS(INDEX($X$2:$X$1001,MATCH(ROWS($V$2:V965),$V$2:$V$1001,0),0),1)),INDEX($AA$2:$AA$1001,MATCH(ROWS($V$2:V965),$V$2:$V$1001,0),0)))</f>
        <v xml:space="preserve"> </v>
      </c>
      <c r="B965" s="4" t="str">
        <f ca="1">IF(OR(INDEX($W$2:$W$1001,MATCH(ROWS($V$2:V965),$V$2:$V$1001,0),1)&gt;=100000,INDEX($AC$1005:$AS$1005,1,MATCH(COLUMNS($AC$1006:AC1006),$AC$1006:$AS$1006,0))&gt;=100000), " ",IF(INDEX($AC$2:$AS$1001,MATCH(ROWS($V$2:V965),$V$2:$V$1001,0),MATCH(COLUMNS($AC$1006:AC1006),$AC$1006:$AS$1006,0)), HYPERLINK("#",""), HYPERLINK(CONCATENATE("#metadata!", ADDRESS(INDEX($X$2:$X$1001,MATCH(ROWS($V$2:V965),$V$2:$V$1001,0),0), INDEX($AC$1004:$AS$1004,1,MATCH(COLUMNS($AC$1006:AC1006),$AC$1006:$AS$1006,0)))),"Fix")))</f>
        <v xml:space="preserve"> </v>
      </c>
      <c r="C965" s="4" t="str">
        <f ca="1">IF(OR(INDEX($W$2:$W$1001,MATCH(ROWS($V$2:V965),$V$2:$V$1001,0),1)&gt;=100000,INDEX($AC$1005:$AS$1005,1,MATCH(COLUMNS($AC$1006:AD1006),$AC$1006:$AS$1006,0))&gt;=100000), " ",IF(INDEX($AC$2:$AS$1001,MATCH(ROWS($V$2:V965),$V$2:$V$1001,0),MATCH(COLUMNS($AC$1006:AD1006),$AC$1006:$AS$1006,0)), HYPERLINK("#",""), HYPERLINK(CONCATENATE("#metadata!", ADDRESS(INDEX($X$2:$X$1001,MATCH(ROWS($V$2:V965),$V$2:$V$1001,0),0), INDEX($AC$1004:$AS$1004,1,MATCH(COLUMNS($AC$1006:AD1006),$AC$1006:$AS$1006,0)))),"Fix")))</f>
        <v xml:space="preserve"> </v>
      </c>
      <c r="D965" s="4" t="str">
        <f ca="1">IF(OR(INDEX($W$2:$W$1001,MATCH(ROWS($V$2:V965),$V$2:$V$1001,0),1)&gt;=100000,INDEX($AC$1005:$AS$1005,1,MATCH(COLUMNS($AC$1006:AE1006),$AC$1006:$AS$1006,0))&gt;=100000), " ",IF(INDEX($AC$2:$AS$1001,MATCH(ROWS($V$2:V965),$V$2:$V$1001,0),MATCH(COLUMNS($AC$1006:AE1006),$AC$1006:$AS$1006,0)), HYPERLINK("#",""), HYPERLINK(CONCATENATE("#metadata!", ADDRESS(INDEX($X$2:$X$1001,MATCH(ROWS($V$2:V965),$V$2:$V$1001,0),0), INDEX($AC$1004:$AS$1004,1,MATCH(COLUMNS($AC$1006:AE1006),$AC$1006:$AS$1006,0)))),"Fix")))</f>
        <v xml:space="preserve"> </v>
      </c>
      <c r="E965" s="4" t="str">
        <f ca="1">IF(OR(INDEX($W$2:$W$1001,MATCH(ROWS($V$2:V965),$V$2:$V$1001,0),1)&gt;=100000,INDEX($AC$1005:$AS$1005,1,MATCH(COLUMNS($AC$1006:AF1006),$AC$1006:$AS$1006,0))&gt;=100000), " ",IF(INDEX($AC$2:$AS$1001,MATCH(ROWS($V$2:V965),$V$2:$V$1001,0),MATCH(COLUMNS($AC$1006:AF1006),$AC$1006:$AS$1006,0)), HYPERLINK("#",""), HYPERLINK(CONCATENATE("#metadata!", ADDRESS(INDEX($X$2:$X$1001,MATCH(ROWS($V$2:V965),$V$2:$V$1001,0),0), INDEX($AC$1004:$AS$1004,1,MATCH(COLUMNS($AC$1006:AF1006),$AC$1006:$AS$1006,0)))),"Fix")))</f>
        <v xml:space="preserve"> </v>
      </c>
      <c r="F965" s="4" t="str">
        <f ca="1">IF(OR(INDEX($W$2:$W$1001,MATCH(ROWS($V$2:V965),$V$2:$V$1001,0),1)&gt;=100000,INDEX($AC$1005:$AS$1005,1,MATCH(COLUMNS($AC$1006:AG1006),$AC$1006:$AS$1006,0))&gt;=100000), " ",IF(INDEX($AC$2:$AS$1001,MATCH(ROWS($V$2:V965),$V$2:$V$1001,0),MATCH(COLUMNS($AC$1006:AG1006),$AC$1006:$AS$1006,0)), HYPERLINK("#",""), HYPERLINK(CONCATENATE("#metadata!", ADDRESS(INDEX($X$2:$X$1001,MATCH(ROWS($V$2:V965),$V$2:$V$1001,0),0), INDEX($AC$1004:$AS$1004,1,MATCH(COLUMNS($AC$1006:AG1006),$AC$1006:$AS$1006,0)))),"Fix")))</f>
        <v xml:space="preserve"> </v>
      </c>
      <c r="G965" s="4" t="str">
        <f ca="1">IF(OR(INDEX($W$2:$W$1001,MATCH(ROWS($V$2:V965),$V$2:$V$1001,0),1)&gt;=100000,INDEX($AC$1005:$AS$1005,1,MATCH(COLUMNS($AC$1006:AH1006),$AC$1006:$AS$1006,0))&gt;=100000), " ",IF(INDEX($AC$2:$AS$1001,MATCH(ROWS($V$2:V965),$V$2:$V$1001,0),MATCH(COLUMNS($AC$1006:AH1006),$AC$1006:$AS$1006,0)), HYPERLINK("#",""), HYPERLINK(CONCATENATE("#metadata!", ADDRESS(INDEX($X$2:$X$1001,MATCH(ROWS($V$2:V965),$V$2:$V$1001,0),0), INDEX($AC$1004:$AS$1004,1,MATCH(COLUMNS($AC$1006:AH1006),$AC$1006:$AS$1006,0)))),"Fix")))</f>
        <v xml:space="preserve"> </v>
      </c>
      <c r="H965" s="4" t="str">
        <f ca="1">IF(OR(INDEX($W$2:$W$1001,MATCH(ROWS($V$2:V965),$V$2:$V$1001,0),1)&gt;=100000,INDEX($AC$1005:$AS$1005,1,MATCH(COLUMNS($AC$1006:AI1006),$AC$1006:$AS$1006,0))&gt;=100000), " ",IF(INDEX($AC$2:$AS$1001,MATCH(ROWS($V$2:V965),$V$2:$V$1001,0),MATCH(COLUMNS($AC$1006:AI1006),$AC$1006:$AS$1006,0)), HYPERLINK("#",""), HYPERLINK(CONCATENATE("#metadata!", ADDRESS(INDEX($X$2:$X$1001,MATCH(ROWS($V$2:V965),$V$2:$V$1001,0),0), INDEX($AC$1004:$AS$1004,1,MATCH(COLUMNS($AC$1006:AI1006),$AC$1006:$AS$1006,0)))),"Fix")))</f>
        <v xml:space="preserve"> </v>
      </c>
      <c r="I965" s="4" t="str">
        <f ca="1">IF(OR(INDEX($W$2:$W$1001,MATCH(ROWS($V$2:V965),$V$2:$V$1001,0),1)&gt;=100000,INDEX($AC$1005:$AS$1005,1,MATCH(COLUMNS($AC$1006:AJ1006),$AC$1006:$AS$1006,0))&gt;=100000), " ",IF(INDEX($AC$2:$AS$1001,MATCH(ROWS($V$2:V965),$V$2:$V$1001,0),MATCH(COLUMNS($AC$1006:AJ1006),$AC$1006:$AS$1006,0)), HYPERLINK("#",""), HYPERLINK(CONCATENATE("#metadata!", ADDRESS(INDEX($X$2:$X$1001,MATCH(ROWS($V$2:V965),$V$2:$V$1001,0),0), INDEX($AC$1004:$AS$1004,1,MATCH(COLUMNS($AC$1006:AJ1006),$AC$1006:$AS$1006,0)))),"Fix")))</f>
        <v xml:space="preserve"> </v>
      </c>
      <c r="J965" s="4" t="str">
        <f ca="1">IF(OR(INDEX($W$2:$W$1001,MATCH(ROWS($V$2:V965),$V$2:$V$1001,0),1)&gt;=100000,INDEX($AC$1005:$AS$1005,1,MATCH(COLUMNS($AC$1006:AK1006),$AC$1006:$AS$1006,0))&gt;=100000), " ",IF(INDEX($AC$2:$AS$1001,MATCH(ROWS($V$2:V965),$V$2:$V$1001,0),MATCH(COLUMNS($AC$1006:AK1006),$AC$1006:$AS$1006,0)), HYPERLINK("#",""), HYPERLINK(CONCATENATE("#metadata!", ADDRESS(INDEX($X$2:$X$1001,MATCH(ROWS($V$2:V965),$V$2:$V$1001,0),0), INDEX($AC$1004:$AS$1004,1,MATCH(COLUMNS($AC$1006:AK1006),$AC$1006:$AS$1006,0)))),"Fix")))</f>
        <v xml:space="preserve"> </v>
      </c>
      <c r="K965" s="4" t="str">
        <f ca="1">IF(OR(INDEX($W$2:$W$1001,MATCH(ROWS($V$2:V965),$V$2:$V$1001,0),1)&gt;=100000,INDEX($AC$1005:$AS$1005,1,MATCH(COLUMNS($AC$1006:AL1006),$AC$1006:$AS$1006,0))&gt;=100000), " ",IF(INDEX($AC$2:$AS$1001,MATCH(ROWS($V$2:V965),$V$2:$V$1001,0),MATCH(COLUMNS($AC$1006:AL1006),$AC$1006:$AS$1006,0)), HYPERLINK("#",""), HYPERLINK(CONCATENATE("#metadata!", ADDRESS(INDEX($X$2:$X$1001,MATCH(ROWS($V$2:V965),$V$2:$V$1001,0),0), INDEX($AC$1004:$AS$1004,1,MATCH(COLUMNS($AC$1006:AL1006),$AC$1006:$AS$1006,0)))),"Fix")))</f>
        <v xml:space="preserve"> </v>
      </c>
      <c r="L965" s="4" t="str">
        <f ca="1">IF(OR(INDEX($W$2:$W$1001,MATCH(ROWS($V$2:V965),$V$2:$V$1001,0),1)&gt;=100000,INDEX($AC$1005:$AS$1005,1,MATCH(COLUMNS($AC$1006:AM1006),$AC$1006:$AS$1006,0))&gt;=100000), " ",IF(INDEX($AC$2:$AS$1001,MATCH(ROWS($V$2:V965),$V$2:$V$1001,0),MATCH(COLUMNS($AC$1006:AM1006),$AC$1006:$AS$1006,0)), HYPERLINK("#",""), HYPERLINK(CONCATENATE("#metadata!", ADDRESS(INDEX($X$2:$X$1001,MATCH(ROWS($V$2:V965),$V$2:$V$1001,0),0), INDEX($AC$1004:$AS$1004,1,MATCH(COLUMNS($AC$1006:AM1006),$AC$1006:$AS$1006,0)))),"Fix")))</f>
        <v xml:space="preserve"> </v>
      </c>
      <c r="M965" s="4" t="str">
        <f ca="1">IF(OR(INDEX($W$2:$W$1001,MATCH(ROWS($V$2:V965),$V$2:$V$1001,0),1)&gt;=100000,INDEX($AC$1005:$AS$1005,1,MATCH(COLUMNS($AC$1006:AN1006),$AC$1006:$AS$1006,0))&gt;=100000), " ",IF(INDEX($AC$2:$AS$1001,MATCH(ROWS($V$2:V965),$V$2:$V$1001,0),MATCH(COLUMNS($AC$1006:AN1006),$AC$1006:$AS$1006,0)), HYPERLINK("#",""), HYPERLINK(CONCATENATE("#metadata!", ADDRESS(INDEX($X$2:$X$1001,MATCH(ROWS($V$2:V965),$V$2:$V$1001,0),0), INDEX($AC$1004:$AS$1004,1,MATCH(COLUMNS($AC$1006:AN1006),$AC$1006:$AS$1006,0)))),"Fix")))</f>
        <v xml:space="preserve"> </v>
      </c>
      <c r="N965" s="4" t="str">
        <f ca="1">IF(OR(INDEX($W$2:$W$1001,MATCH(ROWS($V$2:V965),$V$2:$V$1001,0),1)&gt;=100000,INDEX($AC$1005:$AS$1005,1,MATCH(COLUMNS($AC$1006:AO1006),$AC$1006:$AS$1006,0))&gt;=100000), " ",IF(INDEX($AC$2:$AS$1001,MATCH(ROWS($V$2:V965),$V$2:$V$1001,0),MATCH(COLUMNS($AC$1006:AO1006),$AC$1006:$AS$1006,0)), HYPERLINK("#",""), HYPERLINK(CONCATENATE("#metadata!", ADDRESS(INDEX($X$2:$X$1001,MATCH(ROWS($V$2:V965),$V$2:$V$1001,0),0), INDEX($AC$1004:$AS$1004,1,MATCH(COLUMNS($AC$1006:AO1006),$AC$1006:$AS$1006,0)))),"Fix")))</f>
        <v xml:space="preserve"> </v>
      </c>
      <c r="O965" s="4" t="str">
        <f ca="1">IF(OR(INDEX($W$2:$W$1001,MATCH(ROWS($V$2:V965),$V$2:$V$1001,0),1)&gt;=100000,INDEX($AC$1005:$AS$1005,1,MATCH(COLUMNS($AC$1006:AP1006),$AC$1006:$AS$1006,0))&gt;=100000), " ",IF(INDEX($AC$2:$AS$1001,MATCH(ROWS($V$2:V965),$V$2:$V$1001,0),MATCH(COLUMNS($AC$1006:AP1006),$AC$1006:$AS$1006,0)), HYPERLINK("#",""), HYPERLINK(CONCATENATE("#metadata!", ADDRESS(INDEX($X$2:$X$1001,MATCH(ROWS($V$2:V965),$V$2:$V$1001,0),0), INDEX($AC$1004:$AS$1004,1,MATCH(COLUMNS($AC$1006:AP1006),$AC$1006:$AS$1006,0)))),"Fix")))</f>
        <v xml:space="preserve"> </v>
      </c>
      <c r="P965" s="4" t="str">
        <f ca="1">IF(OR(INDEX($W$2:$W$1001,MATCH(ROWS($V$2:V965),$V$2:$V$1001,0),1)&gt;=100000,INDEX($AC$1005:$AS$1005,1,MATCH(COLUMNS($AC$1006:AQ1006),$AC$1006:$AS$1006,0))&gt;=100000), " ",IF(INDEX($AC$2:$AS$1001,MATCH(ROWS($V$2:V965),$V$2:$V$1001,0),MATCH(COLUMNS($AC$1006:AQ1006),$AC$1006:$AS$1006,0)), HYPERLINK("#",""), HYPERLINK(CONCATENATE("#metadata!", ADDRESS(INDEX($X$2:$X$1001,MATCH(ROWS($V$2:V965),$V$2:$V$1001,0),0), INDEX($AC$1004:$AS$1004,1,MATCH(COLUMNS($AC$1006:AQ1006),$AC$1006:$AS$1006,0)))),"Fix")))</f>
        <v xml:space="preserve"> </v>
      </c>
      <c r="Q965" s="4" t="str">
        <f ca="1">IF(OR(INDEX($W$2:$W$1001,MATCH(ROWS($V$2:V965),$V$2:$V$1001,0),1)&gt;=100000,INDEX($AC$1005:$AS$1005,1,MATCH(COLUMNS($AC$1006:AR1006),$AC$1006:$AS$1006,0))&gt;=100000), " ",IF(INDEX($AC$2:$AS$1001,MATCH(ROWS($V$2:V965),$V$2:$V$1001,0),MATCH(COLUMNS($AC$1006:AR1006),$AC$1006:$AS$1006,0)), HYPERLINK("#",""), HYPERLINK(CONCATENATE("#metadata!", ADDRESS(INDEX($X$2:$X$1001,MATCH(ROWS($V$2:V965),$V$2:$V$1001,0),0), INDEX($AC$1004:$AS$1004,1,MATCH(COLUMNS($AC$1006:AR1006),$AC$1006:$AS$1006,0)))),"Fix")))</f>
        <v xml:space="preserve"> </v>
      </c>
      <c r="R965" s="4" t="str">
        <f ca="1">IF(OR(INDEX($W$2:$W$1001,MATCH(ROWS($V$2:V965),$V$2:$V$1001,0),1)&gt;=100000,INDEX($AC$1005:$AS$1005,1,MATCH(COLUMNS($AC$1006:AS1006),$AC$1006:$AS$1006,0))&gt;=100000), " ",IF(INDEX($AC$2:$AS$1001,MATCH(ROWS($V$2:V965),$V$2:$V$1001,0),MATCH(COLUMNS($AC$1006:AS1006),$AC$1006:$AS$1006,0)), HYPERLINK("#",""), HYPERLINK(CONCATENATE("#metadata!", ADDRESS(INDEX($X$2:$X$1001,MATCH(ROWS($V$2:V965),$V$2:$V$1001,0),0), INDEX($AC$1004:$AS$1004,1,MATCH(COLUMNS($AC$1006:AS1006),$AC$1006:$AS$1006,0)))),"Fix")))</f>
        <v xml:space="preserve"> </v>
      </c>
      <c r="V965">
        <v>964</v>
      </c>
      <c r="W965">
        <v>100965</v>
      </c>
      <c r="X965">
        <v>965</v>
      </c>
      <c r="Y965" t="b">
        <f t="shared" si="15"/>
        <v>1</v>
      </c>
      <c r="Z965" t="b">
        <f>COUNTBLANK(metadata!B965:R965)=COLUMNS(metadata!B965:R965)</f>
        <v>1</v>
      </c>
      <c r="AA965" t="str">
        <v/>
      </c>
      <c r="AC965" t="b">
        <f ca="1"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AD965" t="b">
        <f>IF(metadata!C965="",FALSE,ISNUMBER(VALUE(metadata!C965)))</f>
        <v>0</v>
      </c>
      <c r="AE965" t="b">
        <f>AND(IF(metadata!D965="",FALSE,TRUE),EXACT(metadata!D965,"years"))</f>
        <v>0</v>
      </c>
      <c r="AF965" t="b">
        <f>OR(AND(IF(metadata!E965="",FALSE,TRUE),OR(EXACT(metadata!E965,"not applicable"),EXACT(metadata!E965,"missing: not collected"),EXACT(metadata!E965,"missing: not provided"),EXACT(metadata!E965,"missing: restricted access"))),AND(IF(metadata!E965="",FALSE,ISNUMBER(VALUE(metadata!E965))),metadata!E965&gt;0))</f>
        <v>0</v>
      </c>
      <c r="AG965" t="b">
        <f>AND(IF(metadata!F965="",FALSE,TRUE),EXACT(metadata!F965,"Not applicable"))</f>
        <v>0</v>
      </c>
      <c r="AH965" t="b">
        <f>AND(IF(metadata!G965="",FALSE,TRUE),EXACT(metadata!G965,"urban biome"))</f>
        <v>0</v>
      </c>
      <c r="AI965" t="b">
        <f>AND(IF(metadata!H965="",FALSE,TRUE),EXACT(metadata!H965,"human-associated habitat"))</f>
        <v>0</v>
      </c>
      <c r="AJ965" t="b">
        <f>AND(IF(metadata!I965="",FALSE,TRUE),OR(EXACT(metadata!I965,"human-associated"),EXACT(metadata!I965,"human-skin"),EXACT(metadata!I965,"human-oral"),EXACT(metadata!I965,"human-gut"),EXACT(metadata!I965,"human-vaginal")))</f>
        <v>0</v>
      </c>
      <c r="AK965" t="b">
        <f>IF(metadata!J965="",FALSE,ISNUMBER(VALUE(metadata!J965)))</f>
        <v>0</v>
      </c>
      <c r="AL965" t="b">
        <f>AND(IF(metadata!K965="",FALSE,TRUE),EXACT(metadata!K965,"cm"))</f>
        <v>0</v>
      </c>
      <c r="AM965" t="b">
        <f>AND(IF(metadata!L965="",FALSE,TRUE),EXACT(metadata!L965,"human"))</f>
        <v>0</v>
      </c>
      <c r="AN965" t="b">
        <f>AND(IF(metadata!M965="",FALSE,TRUE),EXACT(metadata!M965,"Homo sapiens"))</f>
        <v>0</v>
      </c>
      <c r="AO965" t="b">
        <f>AND(IF(metadata!N965="",FALSE,TRUE),EXACT(metadata!N965,"9606"))</f>
        <v>0</v>
      </c>
      <c r="AP965" t="b">
        <f>IF(metadata!O965="",FALSE,TRUE)</f>
        <v>0</v>
      </c>
      <c r="AQ965" t="b">
        <f>IF(metadata!P965="",FALSE,TRUE)</f>
        <v>0</v>
      </c>
      <c r="AR965" t="b">
        <f>IF(metadata!Q965="",FALSE,ISNUMBER(VALUE(metadata!Q965)))</f>
        <v>0</v>
      </c>
      <c r="AS965" t="b">
        <f>AND(IF(metadata!R965="",FALSE,TRUE),EXACT(metadata!R965,"kg"))</f>
        <v>0</v>
      </c>
    </row>
    <row r="966" spans="1:45" x14ac:dyDescent="0.2">
      <c r="A966" s="5" t="str">
        <f ca="1">IF(B966=" "," ",HYPERLINK(CONCATENATE("#metadata!",ADDRESS(INDEX($X$2:$X$1001,MATCH(ROWS($V$2:V966),$V$2:$V$1001,0),0),1)),INDEX($AA$2:$AA$1001,MATCH(ROWS($V$2:V966),$V$2:$V$1001,0),0)))</f>
        <v xml:space="preserve"> </v>
      </c>
      <c r="B966" s="4" t="str">
        <f ca="1">IF(OR(INDEX($W$2:$W$1001,MATCH(ROWS($V$2:V966),$V$2:$V$1001,0),1)&gt;=100000,INDEX($AC$1005:$AS$1005,1,MATCH(COLUMNS($AC$1006:AC1006),$AC$1006:$AS$1006,0))&gt;=100000), " ",IF(INDEX($AC$2:$AS$1001,MATCH(ROWS($V$2:V966),$V$2:$V$1001,0),MATCH(COLUMNS($AC$1006:AC1006),$AC$1006:$AS$1006,0)), HYPERLINK("#",""), HYPERLINK(CONCATENATE("#metadata!", ADDRESS(INDEX($X$2:$X$1001,MATCH(ROWS($V$2:V966),$V$2:$V$1001,0),0), INDEX($AC$1004:$AS$1004,1,MATCH(COLUMNS($AC$1006:AC1006),$AC$1006:$AS$1006,0)))),"Fix")))</f>
        <v xml:space="preserve"> </v>
      </c>
      <c r="C966" s="4" t="str">
        <f ca="1">IF(OR(INDEX($W$2:$W$1001,MATCH(ROWS($V$2:V966),$V$2:$V$1001,0),1)&gt;=100000,INDEX($AC$1005:$AS$1005,1,MATCH(COLUMNS($AC$1006:AD1006),$AC$1006:$AS$1006,0))&gt;=100000), " ",IF(INDEX($AC$2:$AS$1001,MATCH(ROWS($V$2:V966),$V$2:$V$1001,0),MATCH(COLUMNS($AC$1006:AD1006),$AC$1006:$AS$1006,0)), HYPERLINK("#",""), HYPERLINK(CONCATENATE("#metadata!", ADDRESS(INDEX($X$2:$X$1001,MATCH(ROWS($V$2:V966),$V$2:$V$1001,0),0), INDEX($AC$1004:$AS$1004,1,MATCH(COLUMNS($AC$1006:AD1006),$AC$1006:$AS$1006,0)))),"Fix")))</f>
        <v xml:space="preserve"> </v>
      </c>
      <c r="D966" s="4" t="str">
        <f ca="1">IF(OR(INDEX($W$2:$W$1001,MATCH(ROWS($V$2:V966),$V$2:$V$1001,0),1)&gt;=100000,INDEX($AC$1005:$AS$1005,1,MATCH(COLUMNS($AC$1006:AE1006),$AC$1006:$AS$1006,0))&gt;=100000), " ",IF(INDEX($AC$2:$AS$1001,MATCH(ROWS($V$2:V966),$V$2:$V$1001,0),MATCH(COLUMNS($AC$1006:AE1006),$AC$1006:$AS$1006,0)), HYPERLINK("#",""), HYPERLINK(CONCATENATE("#metadata!", ADDRESS(INDEX($X$2:$X$1001,MATCH(ROWS($V$2:V966),$V$2:$V$1001,0),0), INDEX($AC$1004:$AS$1004,1,MATCH(COLUMNS($AC$1006:AE1006),$AC$1006:$AS$1006,0)))),"Fix")))</f>
        <v xml:space="preserve"> </v>
      </c>
      <c r="E966" s="4" t="str">
        <f ca="1">IF(OR(INDEX($W$2:$W$1001,MATCH(ROWS($V$2:V966),$V$2:$V$1001,0),1)&gt;=100000,INDEX($AC$1005:$AS$1005,1,MATCH(COLUMNS($AC$1006:AF1006),$AC$1006:$AS$1006,0))&gt;=100000), " ",IF(INDEX($AC$2:$AS$1001,MATCH(ROWS($V$2:V966),$V$2:$V$1001,0),MATCH(COLUMNS($AC$1006:AF1006),$AC$1006:$AS$1006,0)), HYPERLINK("#",""), HYPERLINK(CONCATENATE("#metadata!", ADDRESS(INDEX($X$2:$X$1001,MATCH(ROWS($V$2:V966),$V$2:$V$1001,0),0), INDEX($AC$1004:$AS$1004,1,MATCH(COLUMNS($AC$1006:AF1006),$AC$1006:$AS$1006,0)))),"Fix")))</f>
        <v xml:space="preserve"> </v>
      </c>
      <c r="F966" s="4" t="str">
        <f ca="1">IF(OR(INDEX($W$2:$W$1001,MATCH(ROWS($V$2:V966),$V$2:$V$1001,0),1)&gt;=100000,INDEX($AC$1005:$AS$1005,1,MATCH(COLUMNS($AC$1006:AG1006),$AC$1006:$AS$1006,0))&gt;=100000), " ",IF(INDEX($AC$2:$AS$1001,MATCH(ROWS($V$2:V966),$V$2:$V$1001,0),MATCH(COLUMNS($AC$1006:AG1006),$AC$1006:$AS$1006,0)), HYPERLINK("#",""), HYPERLINK(CONCATENATE("#metadata!", ADDRESS(INDEX($X$2:$X$1001,MATCH(ROWS($V$2:V966),$V$2:$V$1001,0),0), INDEX($AC$1004:$AS$1004,1,MATCH(COLUMNS($AC$1006:AG1006),$AC$1006:$AS$1006,0)))),"Fix")))</f>
        <v xml:space="preserve"> </v>
      </c>
      <c r="G966" s="4" t="str">
        <f ca="1">IF(OR(INDEX($W$2:$W$1001,MATCH(ROWS($V$2:V966),$V$2:$V$1001,0),1)&gt;=100000,INDEX($AC$1005:$AS$1005,1,MATCH(COLUMNS($AC$1006:AH1006),$AC$1006:$AS$1006,0))&gt;=100000), " ",IF(INDEX($AC$2:$AS$1001,MATCH(ROWS($V$2:V966),$V$2:$V$1001,0),MATCH(COLUMNS($AC$1006:AH1006),$AC$1006:$AS$1006,0)), HYPERLINK("#",""), HYPERLINK(CONCATENATE("#metadata!", ADDRESS(INDEX($X$2:$X$1001,MATCH(ROWS($V$2:V966),$V$2:$V$1001,0),0), INDEX($AC$1004:$AS$1004,1,MATCH(COLUMNS($AC$1006:AH1006),$AC$1006:$AS$1006,0)))),"Fix")))</f>
        <v xml:space="preserve"> </v>
      </c>
      <c r="H966" s="4" t="str">
        <f ca="1">IF(OR(INDEX($W$2:$W$1001,MATCH(ROWS($V$2:V966),$V$2:$V$1001,0),1)&gt;=100000,INDEX($AC$1005:$AS$1005,1,MATCH(COLUMNS($AC$1006:AI1006),$AC$1006:$AS$1006,0))&gt;=100000), " ",IF(INDEX($AC$2:$AS$1001,MATCH(ROWS($V$2:V966),$V$2:$V$1001,0),MATCH(COLUMNS($AC$1006:AI1006),$AC$1006:$AS$1006,0)), HYPERLINK("#",""), HYPERLINK(CONCATENATE("#metadata!", ADDRESS(INDEX($X$2:$X$1001,MATCH(ROWS($V$2:V966),$V$2:$V$1001,0),0), INDEX($AC$1004:$AS$1004,1,MATCH(COLUMNS($AC$1006:AI1006),$AC$1006:$AS$1006,0)))),"Fix")))</f>
        <v xml:space="preserve"> </v>
      </c>
      <c r="I966" s="4" t="str">
        <f ca="1">IF(OR(INDEX($W$2:$W$1001,MATCH(ROWS($V$2:V966),$V$2:$V$1001,0),1)&gt;=100000,INDEX($AC$1005:$AS$1005,1,MATCH(COLUMNS($AC$1006:AJ1006),$AC$1006:$AS$1006,0))&gt;=100000), " ",IF(INDEX($AC$2:$AS$1001,MATCH(ROWS($V$2:V966),$V$2:$V$1001,0),MATCH(COLUMNS($AC$1006:AJ1006),$AC$1006:$AS$1006,0)), HYPERLINK("#",""), HYPERLINK(CONCATENATE("#metadata!", ADDRESS(INDEX($X$2:$X$1001,MATCH(ROWS($V$2:V966),$V$2:$V$1001,0),0), INDEX($AC$1004:$AS$1004,1,MATCH(COLUMNS($AC$1006:AJ1006),$AC$1006:$AS$1006,0)))),"Fix")))</f>
        <v xml:space="preserve"> </v>
      </c>
      <c r="J966" s="4" t="str">
        <f ca="1">IF(OR(INDEX($W$2:$W$1001,MATCH(ROWS($V$2:V966),$V$2:$V$1001,0),1)&gt;=100000,INDEX($AC$1005:$AS$1005,1,MATCH(COLUMNS($AC$1006:AK1006),$AC$1006:$AS$1006,0))&gt;=100000), " ",IF(INDEX($AC$2:$AS$1001,MATCH(ROWS($V$2:V966),$V$2:$V$1001,0),MATCH(COLUMNS($AC$1006:AK1006),$AC$1006:$AS$1006,0)), HYPERLINK("#",""), HYPERLINK(CONCATENATE("#metadata!", ADDRESS(INDEX($X$2:$X$1001,MATCH(ROWS($V$2:V966),$V$2:$V$1001,0),0), INDEX($AC$1004:$AS$1004,1,MATCH(COLUMNS($AC$1006:AK1006),$AC$1006:$AS$1006,0)))),"Fix")))</f>
        <v xml:space="preserve"> </v>
      </c>
      <c r="K966" s="4" t="str">
        <f ca="1">IF(OR(INDEX($W$2:$W$1001,MATCH(ROWS($V$2:V966),$V$2:$V$1001,0),1)&gt;=100000,INDEX($AC$1005:$AS$1005,1,MATCH(COLUMNS($AC$1006:AL1006),$AC$1006:$AS$1006,0))&gt;=100000), " ",IF(INDEX($AC$2:$AS$1001,MATCH(ROWS($V$2:V966),$V$2:$V$1001,0),MATCH(COLUMNS($AC$1006:AL1006),$AC$1006:$AS$1006,0)), HYPERLINK("#",""), HYPERLINK(CONCATENATE("#metadata!", ADDRESS(INDEX($X$2:$X$1001,MATCH(ROWS($V$2:V966),$V$2:$V$1001,0),0), INDEX($AC$1004:$AS$1004,1,MATCH(COLUMNS($AC$1006:AL1006),$AC$1006:$AS$1006,0)))),"Fix")))</f>
        <v xml:space="preserve"> </v>
      </c>
      <c r="L966" s="4" t="str">
        <f ca="1">IF(OR(INDEX($W$2:$W$1001,MATCH(ROWS($V$2:V966),$V$2:$V$1001,0),1)&gt;=100000,INDEX($AC$1005:$AS$1005,1,MATCH(COLUMNS($AC$1006:AM1006),$AC$1006:$AS$1006,0))&gt;=100000), " ",IF(INDEX($AC$2:$AS$1001,MATCH(ROWS($V$2:V966),$V$2:$V$1001,0),MATCH(COLUMNS($AC$1006:AM1006),$AC$1006:$AS$1006,0)), HYPERLINK("#",""), HYPERLINK(CONCATENATE("#metadata!", ADDRESS(INDEX($X$2:$X$1001,MATCH(ROWS($V$2:V966),$V$2:$V$1001,0),0), INDEX($AC$1004:$AS$1004,1,MATCH(COLUMNS($AC$1006:AM1006),$AC$1006:$AS$1006,0)))),"Fix")))</f>
        <v xml:space="preserve"> </v>
      </c>
      <c r="M966" s="4" t="str">
        <f ca="1">IF(OR(INDEX($W$2:$W$1001,MATCH(ROWS($V$2:V966),$V$2:$V$1001,0),1)&gt;=100000,INDEX($AC$1005:$AS$1005,1,MATCH(COLUMNS($AC$1006:AN1006),$AC$1006:$AS$1006,0))&gt;=100000), " ",IF(INDEX($AC$2:$AS$1001,MATCH(ROWS($V$2:V966),$V$2:$V$1001,0),MATCH(COLUMNS($AC$1006:AN1006),$AC$1006:$AS$1006,0)), HYPERLINK("#",""), HYPERLINK(CONCATENATE("#metadata!", ADDRESS(INDEX($X$2:$X$1001,MATCH(ROWS($V$2:V966),$V$2:$V$1001,0),0), INDEX($AC$1004:$AS$1004,1,MATCH(COLUMNS($AC$1006:AN1006),$AC$1006:$AS$1006,0)))),"Fix")))</f>
        <v xml:space="preserve"> </v>
      </c>
      <c r="N966" s="4" t="str">
        <f ca="1">IF(OR(INDEX($W$2:$W$1001,MATCH(ROWS($V$2:V966),$V$2:$V$1001,0),1)&gt;=100000,INDEX($AC$1005:$AS$1005,1,MATCH(COLUMNS($AC$1006:AO1006),$AC$1006:$AS$1006,0))&gt;=100000), " ",IF(INDEX($AC$2:$AS$1001,MATCH(ROWS($V$2:V966),$V$2:$V$1001,0),MATCH(COLUMNS($AC$1006:AO1006),$AC$1006:$AS$1006,0)), HYPERLINK("#",""), HYPERLINK(CONCATENATE("#metadata!", ADDRESS(INDEX($X$2:$X$1001,MATCH(ROWS($V$2:V966),$V$2:$V$1001,0),0), INDEX($AC$1004:$AS$1004,1,MATCH(COLUMNS($AC$1006:AO1006),$AC$1006:$AS$1006,0)))),"Fix")))</f>
        <v xml:space="preserve"> </v>
      </c>
      <c r="O966" s="4" t="str">
        <f ca="1">IF(OR(INDEX($W$2:$W$1001,MATCH(ROWS($V$2:V966),$V$2:$V$1001,0),1)&gt;=100000,INDEX($AC$1005:$AS$1005,1,MATCH(COLUMNS($AC$1006:AP1006),$AC$1006:$AS$1006,0))&gt;=100000), " ",IF(INDEX($AC$2:$AS$1001,MATCH(ROWS($V$2:V966),$V$2:$V$1001,0),MATCH(COLUMNS($AC$1006:AP1006),$AC$1006:$AS$1006,0)), HYPERLINK("#",""), HYPERLINK(CONCATENATE("#metadata!", ADDRESS(INDEX($X$2:$X$1001,MATCH(ROWS($V$2:V966),$V$2:$V$1001,0),0), INDEX($AC$1004:$AS$1004,1,MATCH(COLUMNS($AC$1006:AP1006),$AC$1006:$AS$1006,0)))),"Fix")))</f>
        <v xml:space="preserve"> </v>
      </c>
      <c r="P966" s="4" t="str">
        <f ca="1">IF(OR(INDEX($W$2:$W$1001,MATCH(ROWS($V$2:V966),$V$2:$V$1001,0),1)&gt;=100000,INDEX($AC$1005:$AS$1005,1,MATCH(COLUMNS($AC$1006:AQ1006),$AC$1006:$AS$1006,0))&gt;=100000), " ",IF(INDEX($AC$2:$AS$1001,MATCH(ROWS($V$2:V966),$V$2:$V$1001,0),MATCH(COLUMNS($AC$1006:AQ1006),$AC$1006:$AS$1006,0)), HYPERLINK("#",""), HYPERLINK(CONCATENATE("#metadata!", ADDRESS(INDEX($X$2:$X$1001,MATCH(ROWS($V$2:V966),$V$2:$V$1001,0),0), INDEX($AC$1004:$AS$1004,1,MATCH(COLUMNS($AC$1006:AQ1006),$AC$1006:$AS$1006,0)))),"Fix")))</f>
        <v xml:space="preserve"> </v>
      </c>
      <c r="Q966" s="4" t="str">
        <f ca="1">IF(OR(INDEX($W$2:$W$1001,MATCH(ROWS($V$2:V966),$V$2:$V$1001,0),1)&gt;=100000,INDEX($AC$1005:$AS$1005,1,MATCH(COLUMNS($AC$1006:AR1006),$AC$1006:$AS$1006,0))&gt;=100000), " ",IF(INDEX($AC$2:$AS$1001,MATCH(ROWS($V$2:V966),$V$2:$V$1001,0),MATCH(COLUMNS($AC$1006:AR1006),$AC$1006:$AS$1006,0)), HYPERLINK("#",""), HYPERLINK(CONCATENATE("#metadata!", ADDRESS(INDEX($X$2:$X$1001,MATCH(ROWS($V$2:V966),$V$2:$V$1001,0),0), INDEX($AC$1004:$AS$1004,1,MATCH(COLUMNS($AC$1006:AR1006),$AC$1006:$AS$1006,0)))),"Fix")))</f>
        <v xml:space="preserve"> </v>
      </c>
      <c r="R966" s="4" t="str">
        <f ca="1">IF(OR(INDEX($W$2:$W$1001,MATCH(ROWS($V$2:V966),$V$2:$V$1001,0),1)&gt;=100000,INDEX($AC$1005:$AS$1005,1,MATCH(COLUMNS($AC$1006:AS1006),$AC$1006:$AS$1006,0))&gt;=100000), " ",IF(INDEX($AC$2:$AS$1001,MATCH(ROWS($V$2:V966),$V$2:$V$1001,0),MATCH(COLUMNS($AC$1006:AS1006),$AC$1006:$AS$1006,0)), HYPERLINK("#",""), HYPERLINK(CONCATENATE("#metadata!", ADDRESS(INDEX($X$2:$X$1001,MATCH(ROWS($V$2:V966),$V$2:$V$1001,0),0), INDEX($AC$1004:$AS$1004,1,MATCH(COLUMNS($AC$1006:AS1006),$AC$1006:$AS$1006,0)))),"Fix")))</f>
        <v xml:space="preserve"> </v>
      </c>
      <c r="V966">
        <v>965</v>
      </c>
      <c r="W966">
        <v>100966</v>
      </c>
      <c r="X966">
        <v>966</v>
      </c>
      <c r="Y966" t="b">
        <f t="shared" si="15"/>
        <v>1</v>
      </c>
      <c r="Z966" t="b">
        <f>COUNTBLANK(metadata!B966:R966)=COLUMNS(metadata!B966:R966)</f>
        <v>1</v>
      </c>
      <c r="AA966" t="str">
        <v/>
      </c>
      <c r="AC966" t="b">
        <f ca="1"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AD966" t="b">
        <f>IF(metadata!C966="",FALSE,ISNUMBER(VALUE(metadata!C966)))</f>
        <v>0</v>
      </c>
      <c r="AE966" t="b">
        <f>AND(IF(metadata!D966="",FALSE,TRUE),EXACT(metadata!D966,"years"))</f>
        <v>0</v>
      </c>
      <c r="AF966" t="b">
        <f>OR(AND(IF(metadata!E966="",FALSE,TRUE),OR(EXACT(metadata!E966,"not applicable"),EXACT(metadata!E966,"missing: not collected"),EXACT(metadata!E966,"missing: not provided"),EXACT(metadata!E966,"missing: restricted access"))),AND(IF(metadata!E966="",FALSE,ISNUMBER(VALUE(metadata!E966))),metadata!E966&gt;0))</f>
        <v>0</v>
      </c>
      <c r="AG966" t="b">
        <f>AND(IF(metadata!F966="",FALSE,TRUE),EXACT(metadata!F966,"Not applicable"))</f>
        <v>0</v>
      </c>
      <c r="AH966" t="b">
        <f>AND(IF(metadata!G966="",FALSE,TRUE),EXACT(metadata!G966,"urban biome"))</f>
        <v>0</v>
      </c>
      <c r="AI966" t="b">
        <f>AND(IF(metadata!H966="",FALSE,TRUE),EXACT(metadata!H966,"human-associated habitat"))</f>
        <v>0</v>
      </c>
      <c r="AJ966" t="b">
        <f>AND(IF(metadata!I966="",FALSE,TRUE),OR(EXACT(metadata!I966,"human-associated"),EXACT(metadata!I966,"human-skin"),EXACT(metadata!I966,"human-oral"),EXACT(metadata!I966,"human-gut"),EXACT(metadata!I966,"human-vaginal")))</f>
        <v>0</v>
      </c>
      <c r="AK966" t="b">
        <f>IF(metadata!J966="",FALSE,ISNUMBER(VALUE(metadata!J966)))</f>
        <v>0</v>
      </c>
      <c r="AL966" t="b">
        <f>AND(IF(metadata!K966="",FALSE,TRUE),EXACT(metadata!K966,"cm"))</f>
        <v>0</v>
      </c>
      <c r="AM966" t="b">
        <f>AND(IF(metadata!L966="",FALSE,TRUE),EXACT(metadata!L966,"human"))</f>
        <v>0</v>
      </c>
      <c r="AN966" t="b">
        <f>AND(IF(metadata!M966="",FALSE,TRUE),EXACT(metadata!M966,"Homo sapiens"))</f>
        <v>0</v>
      </c>
      <c r="AO966" t="b">
        <f>AND(IF(metadata!N966="",FALSE,TRUE),EXACT(metadata!N966,"9606"))</f>
        <v>0</v>
      </c>
      <c r="AP966" t="b">
        <f>IF(metadata!O966="",FALSE,TRUE)</f>
        <v>0</v>
      </c>
      <c r="AQ966" t="b">
        <f>IF(metadata!P966="",FALSE,TRUE)</f>
        <v>0</v>
      </c>
      <c r="AR966" t="b">
        <f>IF(metadata!Q966="",FALSE,ISNUMBER(VALUE(metadata!Q966)))</f>
        <v>0</v>
      </c>
      <c r="AS966" t="b">
        <f>AND(IF(metadata!R966="",FALSE,TRUE),EXACT(metadata!R966,"kg"))</f>
        <v>0</v>
      </c>
    </row>
    <row r="967" spans="1:45" x14ac:dyDescent="0.2">
      <c r="A967" s="5" t="str">
        <f ca="1">IF(B967=" "," ",HYPERLINK(CONCATENATE("#metadata!",ADDRESS(INDEX($X$2:$X$1001,MATCH(ROWS($V$2:V967),$V$2:$V$1001,0),0),1)),INDEX($AA$2:$AA$1001,MATCH(ROWS($V$2:V967),$V$2:$V$1001,0),0)))</f>
        <v xml:space="preserve"> </v>
      </c>
      <c r="B967" s="4" t="str">
        <f ca="1">IF(OR(INDEX($W$2:$W$1001,MATCH(ROWS($V$2:V967),$V$2:$V$1001,0),1)&gt;=100000,INDEX($AC$1005:$AS$1005,1,MATCH(COLUMNS($AC$1006:AC1006),$AC$1006:$AS$1006,0))&gt;=100000), " ",IF(INDEX($AC$2:$AS$1001,MATCH(ROWS($V$2:V967),$V$2:$V$1001,0),MATCH(COLUMNS($AC$1006:AC1006),$AC$1006:$AS$1006,0)), HYPERLINK("#",""), HYPERLINK(CONCATENATE("#metadata!", ADDRESS(INDEX($X$2:$X$1001,MATCH(ROWS($V$2:V967),$V$2:$V$1001,0),0), INDEX($AC$1004:$AS$1004,1,MATCH(COLUMNS($AC$1006:AC1006),$AC$1006:$AS$1006,0)))),"Fix")))</f>
        <v xml:space="preserve"> </v>
      </c>
      <c r="C967" s="4" t="str">
        <f ca="1">IF(OR(INDEX($W$2:$W$1001,MATCH(ROWS($V$2:V967),$V$2:$V$1001,0),1)&gt;=100000,INDEX($AC$1005:$AS$1005,1,MATCH(COLUMNS($AC$1006:AD1006),$AC$1006:$AS$1006,0))&gt;=100000), " ",IF(INDEX($AC$2:$AS$1001,MATCH(ROWS($V$2:V967),$V$2:$V$1001,0),MATCH(COLUMNS($AC$1006:AD1006),$AC$1006:$AS$1006,0)), HYPERLINK("#",""), HYPERLINK(CONCATENATE("#metadata!", ADDRESS(INDEX($X$2:$X$1001,MATCH(ROWS($V$2:V967),$V$2:$V$1001,0),0), INDEX($AC$1004:$AS$1004,1,MATCH(COLUMNS($AC$1006:AD1006),$AC$1006:$AS$1006,0)))),"Fix")))</f>
        <v xml:space="preserve"> </v>
      </c>
      <c r="D967" s="4" t="str">
        <f ca="1">IF(OR(INDEX($W$2:$W$1001,MATCH(ROWS($V$2:V967),$V$2:$V$1001,0),1)&gt;=100000,INDEX($AC$1005:$AS$1005,1,MATCH(COLUMNS($AC$1006:AE1006),$AC$1006:$AS$1006,0))&gt;=100000), " ",IF(INDEX($AC$2:$AS$1001,MATCH(ROWS($V$2:V967),$V$2:$V$1001,0),MATCH(COLUMNS($AC$1006:AE1006),$AC$1006:$AS$1006,0)), HYPERLINK("#",""), HYPERLINK(CONCATENATE("#metadata!", ADDRESS(INDEX($X$2:$X$1001,MATCH(ROWS($V$2:V967),$V$2:$V$1001,0),0), INDEX($AC$1004:$AS$1004,1,MATCH(COLUMNS($AC$1006:AE1006),$AC$1006:$AS$1006,0)))),"Fix")))</f>
        <v xml:space="preserve"> </v>
      </c>
      <c r="E967" s="4" t="str">
        <f ca="1">IF(OR(INDEX($W$2:$W$1001,MATCH(ROWS($V$2:V967),$V$2:$V$1001,0),1)&gt;=100000,INDEX($AC$1005:$AS$1005,1,MATCH(COLUMNS($AC$1006:AF1006),$AC$1006:$AS$1006,0))&gt;=100000), " ",IF(INDEX($AC$2:$AS$1001,MATCH(ROWS($V$2:V967),$V$2:$V$1001,0),MATCH(COLUMNS($AC$1006:AF1006),$AC$1006:$AS$1006,0)), HYPERLINK("#",""), HYPERLINK(CONCATENATE("#metadata!", ADDRESS(INDEX($X$2:$X$1001,MATCH(ROWS($V$2:V967),$V$2:$V$1001,0),0), INDEX($AC$1004:$AS$1004,1,MATCH(COLUMNS($AC$1006:AF1006),$AC$1006:$AS$1006,0)))),"Fix")))</f>
        <v xml:space="preserve"> </v>
      </c>
      <c r="F967" s="4" t="str">
        <f ca="1">IF(OR(INDEX($W$2:$W$1001,MATCH(ROWS($V$2:V967),$V$2:$V$1001,0),1)&gt;=100000,INDEX($AC$1005:$AS$1005,1,MATCH(COLUMNS($AC$1006:AG1006),$AC$1006:$AS$1006,0))&gt;=100000), " ",IF(INDEX($AC$2:$AS$1001,MATCH(ROWS($V$2:V967),$V$2:$V$1001,0),MATCH(COLUMNS($AC$1006:AG1006),$AC$1006:$AS$1006,0)), HYPERLINK("#",""), HYPERLINK(CONCATENATE("#metadata!", ADDRESS(INDEX($X$2:$X$1001,MATCH(ROWS($V$2:V967),$V$2:$V$1001,0),0), INDEX($AC$1004:$AS$1004,1,MATCH(COLUMNS($AC$1006:AG1006),$AC$1006:$AS$1006,0)))),"Fix")))</f>
        <v xml:space="preserve"> </v>
      </c>
      <c r="G967" s="4" t="str">
        <f ca="1">IF(OR(INDEX($W$2:$W$1001,MATCH(ROWS($V$2:V967),$V$2:$V$1001,0),1)&gt;=100000,INDEX($AC$1005:$AS$1005,1,MATCH(COLUMNS($AC$1006:AH1006),$AC$1006:$AS$1006,0))&gt;=100000), " ",IF(INDEX($AC$2:$AS$1001,MATCH(ROWS($V$2:V967),$V$2:$V$1001,0),MATCH(COLUMNS($AC$1006:AH1006),$AC$1006:$AS$1006,0)), HYPERLINK("#",""), HYPERLINK(CONCATENATE("#metadata!", ADDRESS(INDEX($X$2:$X$1001,MATCH(ROWS($V$2:V967),$V$2:$V$1001,0),0), INDEX($AC$1004:$AS$1004,1,MATCH(COLUMNS($AC$1006:AH1006),$AC$1006:$AS$1006,0)))),"Fix")))</f>
        <v xml:space="preserve"> </v>
      </c>
      <c r="H967" s="4" t="str">
        <f ca="1">IF(OR(INDEX($W$2:$W$1001,MATCH(ROWS($V$2:V967),$V$2:$V$1001,0),1)&gt;=100000,INDEX($AC$1005:$AS$1005,1,MATCH(COLUMNS($AC$1006:AI1006),$AC$1006:$AS$1006,0))&gt;=100000), " ",IF(INDEX($AC$2:$AS$1001,MATCH(ROWS($V$2:V967),$V$2:$V$1001,0),MATCH(COLUMNS($AC$1006:AI1006),$AC$1006:$AS$1006,0)), HYPERLINK("#",""), HYPERLINK(CONCATENATE("#metadata!", ADDRESS(INDEX($X$2:$X$1001,MATCH(ROWS($V$2:V967),$V$2:$V$1001,0),0), INDEX($AC$1004:$AS$1004,1,MATCH(COLUMNS($AC$1006:AI1006),$AC$1006:$AS$1006,0)))),"Fix")))</f>
        <v xml:space="preserve"> </v>
      </c>
      <c r="I967" s="4" t="str">
        <f ca="1">IF(OR(INDEX($W$2:$W$1001,MATCH(ROWS($V$2:V967),$V$2:$V$1001,0),1)&gt;=100000,INDEX($AC$1005:$AS$1005,1,MATCH(COLUMNS($AC$1006:AJ1006),$AC$1006:$AS$1006,0))&gt;=100000), " ",IF(INDEX($AC$2:$AS$1001,MATCH(ROWS($V$2:V967),$V$2:$V$1001,0),MATCH(COLUMNS($AC$1006:AJ1006),$AC$1006:$AS$1006,0)), HYPERLINK("#",""), HYPERLINK(CONCATENATE("#metadata!", ADDRESS(INDEX($X$2:$X$1001,MATCH(ROWS($V$2:V967),$V$2:$V$1001,0),0), INDEX($AC$1004:$AS$1004,1,MATCH(COLUMNS($AC$1006:AJ1006),$AC$1006:$AS$1006,0)))),"Fix")))</f>
        <v xml:space="preserve"> </v>
      </c>
      <c r="J967" s="4" t="str">
        <f ca="1">IF(OR(INDEX($W$2:$W$1001,MATCH(ROWS($V$2:V967),$V$2:$V$1001,0),1)&gt;=100000,INDEX($AC$1005:$AS$1005,1,MATCH(COLUMNS($AC$1006:AK1006),$AC$1006:$AS$1006,0))&gt;=100000), " ",IF(INDEX($AC$2:$AS$1001,MATCH(ROWS($V$2:V967),$V$2:$V$1001,0),MATCH(COLUMNS($AC$1006:AK1006),$AC$1006:$AS$1006,0)), HYPERLINK("#",""), HYPERLINK(CONCATENATE("#metadata!", ADDRESS(INDEX($X$2:$X$1001,MATCH(ROWS($V$2:V967),$V$2:$V$1001,0),0), INDEX($AC$1004:$AS$1004,1,MATCH(COLUMNS($AC$1006:AK1006),$AC$1006:$AS$1006,0)))),"Fix")))</f>
        <v xml:space="preserve"> </v>
      </c>
      <c r="K967" s="4" t="str">
        <f ca="1">IF(OR(INDEX($W$2:$W$1001,MATCH(ROWS($V$2:V967),$V$2:$V$1001,0),1)&gt;=100000,INDEX($AC$1005:$AS$1005,1,MATCH(COLUMNS($AC$1006:AL1006),$AC$1006:$AS$1006,0))&gt;=100000), " ",IF(INDEX($AC$2:$AS$1001,MATCH(ROWS($V$2:V967),$V$2:$V$1001,0),MATCH(COLUMNS($AC$1006:AL1006),$AC$1006:$AS$1006,0)), HYPERLINK("#",""), HYPERLINK(CONCATENATE("#metadata!", ADDRESS(INDEX($X$2:$X$1001,MATCH(ROWS($V$2:V967),$V$2:$V$1001,0),0), INDEX($AC$1004:$AS$1004,1,MATCH(COLUMNS($AC$1006:AL1006),$AC$1006:$AS$1006,0)))),"Fix")))</f>
        <v xml:space="preserve"> </v>
      </c>
      <c r="L967" s="4" t="str">
        <f ca="1">IF(OR(INDEX($W$2:$W$1001,MATCH(ROWS($V$2:V967),$V$2:$V$1001,0),1)&gt;=100000,INDEX($AC$1005:$AS$1005,1,MATCH(COLUMNS($AC$1006:AM1006),$AC$1006:$AS$1006,0))&gt;=100000), " ",IF(INDEX($AC$2:$AS$1001,MATCH(ROWS($V$2:V967),$V$2:$V$1001,0),MATCH(COLUMNS($AC$1006:AM1006),$AC$1006:$AS$1006,0)), HYPERLINK("#",""), HYPERLINK(CONCATENATE("#metadata!", ADDRESS(INDEX($X$2:$X$1001,MATCH(ROWS($V$2:V967),$V$2:$V$1001,0),0), INDEX($AC$1004:$AS$1004,1,MATCH(COLUMNS($AC$1006:AM1006),$AC$1006:$AS$1006,0)))),"Fix")))</f>
        <v xml:space="preserve"> </v>
      </c>
      <c r="M967" s="4" t="str">
        <f ca="1">IF(OR(INDEX($W$2:$W$1001,MATCH(ROWS($V$2:V967),$V$2:$V$1001,0),1)&gt;=100000,INDEX($AC$1005:$AS$1005,1,MATCH(COLUMNS($AC$1006:AN1006),$AC$1006:$AS$1006,0))&gt;=100000), " ",IF(INDEX($AC$2:$AS$1001,MATCH(ROWS($V$2:V967),$V$2:$V$1001,0),MATCH(COLUMNS($AC$1006:AN1006),$AC$1006:$AS$1006,0)), HYPERLINK("#",""), HYPERLINK(CONCATENATE("#metadata!", ADDRESS(INDEX($X$2:$X$1001,MATCH(ROWS($V$2:V967),$V$2:$V$1001,0),0), INDEX($AC$1004:$AS$1004,1,MATCH(COLUMNS($AC$1006:AN1006),$AC$1006:$AS$1006,0)))),"Fix")))</f>
        <v xml:space="preserve"> </v>
      </c>
      <c r="N967" s="4" t="str">
        <f ca="1">IF(OR(INDEX($W$2:$W$1001,MATCH(ROWS($V$2:V967),$V$2:$V$1001,0),1)&gt;=100000,INDEX($AC$1005:$AS$1005,1,MATCH(COLUMNS($AC$1006:AO1006),$AC$1006:$AS$1006,0))&gt;=100000), " ",IF(INDEX($AC$2:$AS$1001,MATCH(ROWS($V$2:V967),$V$2:$V$1001,0),MATCH(COLUMNS($AC$1006:AO1006),$AC$1006:$AS$1006,0)), HYPERLINK("#",""), HYPERLINK(CONCATENATE("#metadata!", ADDRESS(INDEX($X$2:$X$1001,MATCH(ROWS($V$2:V967),$V$2:$V$1001,0),0), INDEX($AC$1004:$AS$1004,1,MATCH(COLUMNS($AC$1006:AO1006),$AC$1006:$AS$1006,0)))),"Fix")))</f>
        <v xml:space="preserve"> </v>
      </c>
      <c r="O967" s="4" t="str">
        <f ca="1">IF(OR(INDEX($W$2:$W$1001,MATCH(ROWS($V$2:V967),$V$2:$V$1001,0),1)&gt;=100000,INDEX($AC$1005:$AS$1005,1,MATCH(COLUMNS($AC$1006:AP1006),$AC$1006:$AS$1006,0))&gt;=100000), " ",IF(INDEX($AC$2:$AS$1001,MATCH(ROWS($V$2:V967),$V$2:$V$1001,0),MATCH(COLUMNS($AC$1006:AP1006),$AC$1006:$AS$1006,0)), HYPERLINK("#",""), HYPERLINK(CONCATENATE("#metadata!", ADDRESS(INDEX($X$2:$X$1001,MATCH(ROWS($V$2:V967),$V$2:$V$1001,0),0), INDEX($AC$1004:$AS$1004,1,MATCH(COLUMNS($AC$1006:AP1006),$AC$1006:$AS$1006,0)))),"Fix")))</f>
        <v xml:space="preserve"> </v>
      </c>
      <c r="P967" s="4" t="str">
        <f ca="1">IF(OR(INDEX($W$2:$W$1001,MATCH(ROWS($V$2:V967),$V$2:$V$1001,0),1)&gt;=100000,INDEX($AC$1005:$AS$1005,1,MATCH(COLUMNS($AC$1006:AQ1006),$AC$1006:$AS$1006,0))&gt;=100000), " ",IF(INDEX($AC$2:$AS$1001,MATCH(ROWS($V$2:V967),$V$2:$V$1001,0),MATCH(COLUMNS($AC$1006:AQ1006),$AC$1006:$AS$1006,0)), HYPERLINK("#",""), HYPERLINK(CONCATENATE("#metadata!", ADDRESS(INDEX($X$2:$X$1001,MATCH(ROWS($V$2:V967),$V$2:$V$1001,0),0), INDEX($AC$1004:$AS$1004,1,MATCH(COLUMNS($AC$1006:AQ1006),$AC$1006:$AS$1006,0)))),"Fix")))</f>
        <v xml:space="preserve"> </v>
      </c>
      <c r="Q967" s="4" t="str">
        <f ca="1">IF(OR(INDEX($W$2:$W$1001,MATCH(ROWS($V$2:V967),$V$2:$V$1001,0),1)&gt;=100000,INDEX($AC$1005:$AS$1005,1,MATCH(COLUMNS($AC$1006:AR1006),$AC$1006:$AS$1006,0))&gt;=100000), " ",IF(INDEX($AC$2:$AS$1001,MATCH(ROWS($V$2:V967),$V$2:$V$1001,0),MATCH(COLUMNS($AC$1006:AR1006),$AC$1006:$AS$1006,0)), HYPERLINK("#",""), HYPERLINK(CONCATENATE("#metadata!", ADDRESS(INDEX($X$2:$X$1001,MATCH(ROWS($V$2:V967),$V$2:$V$1001,0),0), INDEX($AC$1004:$AS$1004,1,MATCH(COLUMNS($AC$1006:AR1006),$AC$1006:$AS$1006,0)))),"Fix")))</f>
        <v xml:space="preserve"> </v>
      </c>
      <c r="R967" s="4" t="str">
        <f ca="1">IF(OR(INDEX($W$2:$W$1001,MATCH(ROWS($V$2:V967),$V$2:$V$1001,0),1)&gt;=100000,INDEX($AC$1005:$AS$1005,1,MATCH(COLUMNS($AC$1006:AS1006),$AC$1006:$AS$1006,0))&gt;=100000), " ",IF(INDEX($AC$2:$AS$1001,MATCH(ROWS($V$2:V967),$V$2:$V$1001,0),MATCH(COLUMNS($AC$1006:AS1006),$AC$1006:$AS$1006,0)), HYPERLINK("#",""), HYPERLINK(CONCATENATE("#metadata!", ADDRESS(INDEX($X$2:$X$1001,MATCH(ROWS($V$2:V967),$V$2:$V$1001,0),0), INDEX($AC$1004:$AS$1004,1,MATCH(COLUMNS($AC$1006:AS1006),$AC$1006:$AS$1006,0)))),"Fix")))</f>
        <v xml:space="preserve"> </v>
      </c>
      <c r="V967">
        <v>966</v>
      </c>
      <c r="W967">
        <v>100967</v>
      </c>
      <c r="X967">
        <v>967</v>
      </c>
      <c r="Y967" t="b">
        <f t="shared" si="15"/>
        <v>1</v>
      </c>
      <c r="Z967" t="b">
        <f>COUNTBLANK(metadata!B967:R967)=COLUMNS(metadata!B967:R967)</f>
        <v>1</v>
      </c>
      <c r="AA967" t="str">
        <v/>
      </c>
      <c r="AC967" t="b">
        <f ca="1"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AD967" t="b">
        <f>IF(metadata!C967="",FALSE,ISNUMBER(VALUE(metadata!C967)))</f>
        <v>0</v>
      </c>
      <c r="AE967" t="b">
        <f>AND(IF(metadata!D967="",FALSE,TRUE),EXACT(metadata!D967,"years"))</f>
        <v>0</v>
      </c>
      <c r="AF967" t="b">
        <f>OR(AND(IF(metadata!E967="",FALSE,TRUE),OR(EXACT(metadata!E967,"not applicable"),EXACT(metadata!E967,"missing: not collected"),EXACT(metadata!E967,"missing: not provided"),EXACT(metadata!E967,"missing: restricted access"))),AND(IF(metadata!E967="",FALSE,ISNUMBER(VALUE(metadata!E967))),metadata!E967&gt;0))</f>
        <v>0</v>
      </c>
      <c r="AG967" t="b">
        <f>AND(IF(metadata!F967="",FALSE,TRUE),EXACT(metadata!F967,"Not applicable"))</f>
        <v>0</v>
      </c>
      <c r="AH967" t="b">
        <f>AND(IF(metadata!G967="",FALSE,TRUE),EXACT(metadata!G967,"urban biome"))</f>
        <v>0</v>
      </c>
      <c r="AI967" t="b">
        <f>AND(IF(metadata!H967="",FALSE,TRUE),EXACT(metadata!H967,"human-associated habitat"))</f>
        <v>0</v>
      </c>
      <c r="AJ967" t="b">
        <f>AND(IF(metadata!I967="",FALSE,TRUE),OR(EXACT(metadata!I967,"human-associated"),EXACT(metadata!I967,"human-skin"),EXACT(metadata!I967,"human-oral"),EXACT(metadata!I967,"human-gut"),EXACT(metadata!I967,"human-vaginal")))</f>
        <v>0</v>
      </c>
      <c r="AK967" t="b">
        <f>IF(metadata!J967="",FALSE,ISNUMBER(VALUE(metadata!J967)))</f>
        <v>0</v>
      </c>
      <c r="AL967" t="b">
        <f>AND(IF(metadata!K967="",FALSE,TRUE),EXACT(metadata!K967,"cm"))</f>
        <v>0</v>
      </c>
      <c r="AM967" t="b">
        <f>AND(IF(metadata!L967="",FALSE,TRUE),EXACT(metadata!L967,"human"))</f>
        <v>0</v>
      </c>
      <c r="AN967" t="b">
        <f>AND(IF(metadata!M967="",FALSE,TRUE),EXACT(metadata!M967,"Homo sapiens"))</f>
        <v>0</v>
      </c>
      <c r="AO967" t="b">
        <f>AND(IF(metadata!N967="",FALSE,TRUE),EXACT(metadata!N967,"9606"))</f>
        <v>0</v>
      </c>
      <c r="AP967" t="b">
        <f>IF(metadata!O967="",FALSE,TRUE)</f>
        <v>0</v>
      </c>
      <c r="AQ967" t="b">
        <f>IF(metadata!P967="",FALSE,TRUE)</f>
        <v>0</v>
      </c>
      <c r="AR967" t="b">
        <f>IF(metadata!Q967="",FALSE,ISNUMBER(VALUE(metadata!Q967)))</f>
        <v>0</v>
      </c>
      <c r="AS967" t="b">
        <f>AND(IF(metadata!R967="",FALSE,TRUE),EXACT(metadata!R967,"kg"))</f>
        <v>0</v>
      </c>
    </row>
    <row r="968" spans="1:45" x14ac:dyDescent="0.2">
      <c r="A968" s="5" t="str">
        <f ca="1">IF(B968=" "," ",HYPERLINK(CONCATENATE("#metadata!",ADDRESS(INDEX($X$2:$X$1001,MATCH(ROWS($V$2:V968),$V$2:$V$1001,0),0),1)),INDEX($AA$2:$AA$1001,MATCH(ROWS($V$2:V968),$V$2:$V$1001,0),0)))</f>
        <v xml:space="preserve"> </v>
      </c>
      <c r="B968" s="4" t="str">
        <f ca="1">IF(OR(INDEX($W$2:$W$1001,MATCH(ROWS($V$2:V968),$V$2:$V$1001,0),1)&gt;=100000,INDEX($AC$1005:$AS$1005,1,MATCH(COLUMNS($AC$1006:AC1006),$AC$1006:$AS$1006,0))&gt;=100000), " ",IF(INDEX($AC$2:$AS$1001,MATCH(ROWS($V$2:V968),$V$2:$V$1001,0),MATCH(COLUMNS($AC$1006:AC1006),$AC$1006:$AS$1006,0)), HYPERLINK("#",""), HYPERLINK(CONCATENATE("#metadata!", ADDRESS(INDEX($X$2:$X$1001,MATCH(ROWS($V$2:V968),$V$2:$V$1001,0),0), INDEX($AC$1004:$AS$1004,1,MATCH(COLUMNS($AC$1006:AC1006),$AC$1006:$AS$1006,0)))),"Fix")))</f>
        <v xml:space="preserve"> </v>
      </c>
      <c r="C968" s="4" t="str">
        <f ca="1">IF(OR(INDEX($W$2:$W$1001,MATCH(ROWS($V$2:V968),$V$2:$V$1001,0),1)&gt;=100000,INDEX($AC$1005:$AS$1005,1,MATCH(COLUMNS($AC$1006:AD1006),$AC$1006:$AS$1006,0))&gt;=100000), " ",IF(INDEX($AC$2:$AS$1001,MATCH(ROWS($V$2:V968),$V$2:$V$1001,0),MATCH(COLUMNS($AC$1006:AD1006),$AC$1006:$AS$1006,0)), HYPERLINK("#",""), HYPERLINK(CONCATENATE("#metadata!", ADDRESS(INDEX($X$2:$X$1001,MATCH(ROWS($V$2:V968),$V$2:$V$1001,0),0), INDEX($AC$1004:$AS$1004,1,MATCH(COLUMNS($AC$1006:AD1006),$AC$1006:$AS$1006,0)))),"Fix")))</f>
        <v xml:space="preserve"> </v>
      </c>
      <c r="D968" s="4" t="str">
        <f ca="1">IF(OR(INDEX($W$2:$W$1001,MATCH(ROWS($V$2:V968),$V$2:$V$1001,0),1)&gt;=100000,INDEX($AC$1005:$AS$1005,1,MATCH(COLUMNS($AC$1006:AE1006),$AC$1006:$AS$1006,0))&gt;=100000), " ",IF(INDEX($AC$2:$AS$1001,MATCH(ROWS($V$2:V968),$V$2:$V$1001,0),MATCH(COLUMNS($AC$1006:AE1006),$AC$1006:$AS$1006,0)), HYPERLINK("#",""), HYPERLINK(CONCATENATE("#metadata!", ADDRESS(INDEX($X$2:$X$1001,MATCH(ROWS($V$2:V968),$V$2:$V$1001,0),0), INDEX($AC$1004:$AS$1004,1,MATCH(COLUMNS($AC$1006:AE1006),$AC$1006:$AS$1006,0)))),"Fix")))</f>
        <v xml:space="preserve"> </v>
      </c>
      <c r="E968" s="4" t="str">
        <f ca="1">IF(OR(INDEX($W$2:$W$1001,MATCH(ROWS($V$2:V968),$V$2:$V$1001,0),1)&gt;=100000,INDEX($AC$1005:$AS$1005,1,MATCH(COLUMNS($AC$1006:AF1006),$AC$1006:$AS$1006,0))&gt;=100000), " ",IF(INDEX($AC$2:$AS$1001,MATCH(ROWS($V$2:V968),$V$2:$V$1001,0),MATCH(COLUMNS($AC$1006:AF1006),$AC$1006:$AS$1006,0)), HYPERLINK("#",""), HYPERLINK(CONCATENATE("#metadata!", ADDRESS(INDEX($X$2:$X$1001,MATCH(ROWS($V$2:V968),$V$2:$V$1001,0),0), INDEX($AC$1004:$AS$1004,1,MATCH(COLUMNS($AC$1006:AF1006),$AC$1006:$AS$1006,0)))),"Fix")))</f>
        <v xml:space="preserve"> </v>
      </c>
      <c r="F968" s="4" t="str">
        <f ca="1">IF(OR(INDEX($W$2:$W$1001,MATCH(ROWS($V$2:V968),$V$2:$V$1001,0),1)&gt;=100000,INDEX($AC$1005:$AS$1005,1,MATCH(COLUMNS($AC$1006:AG1006),$AC$1006:$AS$1006,0))&gt;=100000), " ",IF(INDEX($AC$2:$AS$1001,MATCH(ROWS($V$2:V968),$V$2:$V$1001,0),MATCH(COLUMNS($AC$1006:AG1006),$AC$1006:$AS$1006,0)), HYPERLINK("#",""), HYPERLINK(CONCATENATE("#metadata!", ADDRESS(INDEX($X$2:$X$1001,MATCH(ROWS($V$2:V968),$V$2:$V$1001,0),0), INDEX($AC$1004:$AS$1004,1,MATCH(COLUMNS($AC$1006:AG1006),$AC$1006:$AS$1006,0)))),"Fix")))</f>
        <v xml:space="preserve"> </v>
      </c>
      <c r="G968" s="4" t="str">
        <f ca="1">IF(OR(INDEX($W$2:$W$1001,MATCH(ROWS($V$2:V968),$V$2:$V$1001,0),1)&gt;=100000,INDEX($AC$1005:$AS$1005,1,MATCH(COLUMNS($AC$1006:AH1006),$AC$1006:$AS$1006,0))&gt;=100000), " ",IF(INDEX($AC$2:$AS$1001,MATCH(ROWS($V$2:V968),$V$2:$V$1001,0),MATCH(COLUMNS($AC$1006:AH1006),$AC$1006:$AS$1006,0)), HYPERLINK("#",""), HYPERLINK(CONCATENATE("#metadata!", ADDRESS(INDEX($X$2:$X$1001,MATCH(ROWS($V$2:V968),$V$2:$V$1001,0),0), INDEX($AC$1004:$AS$1004,1,MATCH(COLUMNS($AC$1006:AH1006),$AC$1006:$AS$1006,0)))),"Fix")))</f>
        <v xml:space="preserve"> </v>
      </c>
      <c r="H968" s="4" t="str">
        <f ca="1">IF(OR(INDEX($W$2:$W$1001,MATCH(ROWS($V$2:V968),$V$2:$V$1001,0),1)&gt;=100000,INDEX($AC$1005:$AS$1005,1,MATCH(COLUMNS($AC$1006:AI1006),$AC$1006:$AS$1006,0))&gt;=100000), " ",IF(INDEX($AC$2:$AS$1001,MATCH(ROWS($V$2:V968),$V$2:$V$1001,0),MATCH(COLUMNS($AC$1006:AI1006),$AC$1006:$AS$1006,0)), HYPERLINK("#",""), HYPERLINK(CONCATENATE("#metadata!", ADDRESS(INDEX($X$2:$X$1001,MATCH(ROWS($V$2:V968),$V$2:$V$1001,0),0), INDEX($AC$1004:$AS$1004,1,MATCH(COLUMNS($AC$1006:AI1006),$AC$1006:$AS$1006,0)))),"Fix")))</f>
        <v xml:space="preserve"> </v>
      </c>
      <c r="I968" s="4" t="str">
        <f ca="1">IF(OR(INDEX($W$2:$W$1001,MATCH(ROWS($V$2:V968),$V$2:$V$1001,0),1)&gt;=100000,INDEX($AC$1005:$AS$1005,1,MATCH(COLUMNS($AC$1006:AJ1006),$AC$1006:$AS$1006,0))&gt;=100000), " ",IF(INDEX($AC$2:$AS$1001,MATCH(ROWS($V$2:V968),$V$2:$V$1001,0),MATCH(COLUMNS($AC$1006:AJ1006),$AC$1006:$AS$1006,0)), HYPERLINK("#",""), HYPERLINK(CONCATENATE("#metadata!", ADDRESS(INDEX($X$2:$X$1001,MATCH(ROWS($V$2:V968),$V$2:$V$1001,0),0), INDEX($AC$1004:$AS$1004,1,MATCH(COLUMNS($AC$1006:AJ1006),$AC$1006:$AS$1006,0)))),"Fix")))</f>
        <v xml:space="preserve"> </v>
      </c>
      <c r="J968" s="4" t="str">
        <f ca="1">IF(OR(INDEX($W$2:$W$1001,MATCH(ROWS($V$2:V968),$V$2:$V$1001,0),1)&gt;=100000,INDEX($AC$1005:$AS$1005,1,MATCH(COLUMNS($AC$1006:AK1006),$AC$1006:$AS$1006,0))&gt;=100000), " ",IF(INDEX($AC$2:$AS$1001,MATCH(ROWS($V$2:V968),$V$2:$V$1001,0),MATCH(COLUMNS($AC$1006:AK1006),$AC$1006:$AS$1006,0)), HYPERLINK("#",""), HYPERLINK(CONCATENATE("#metadata!", ADDRESS(INDEX($X$2:$X$1001,MATCH(ROWS($V$2:V968),$V$2:$V$1001,0),0), INDEX($AC$1004:$AS$1004,1,MATCH(COLUMNS($AC$1006:AK1006),$AC$1006:$AS$1006,0)))),"Fix")))</f>
        <v xml:space="preserve"> </v>
      </c>
      <c r="K968" s="4" t="str">
        <f ca="1">IF(OR(INDEX($W$2:$W$1001,MATCH(ROWS($V$2:V968),$V$2:$V$1001,0),1)&gt;=100000,INDEX($AC$1005:$AS$1005,1,MATCH(COLUMNS($AC$1006:AL1006),$AC$1006:$AS$1006,0))&gt;=100000), " ",IF(INDEX($AC$2:$AS$1001,MATCH(ROWS($V$2:V968),$V$2:$V$1001,0),MATCH(COLUMNS($AC$1006:AL1006),$AC$1006:$AS$1006,0)), HYPERLINK("#",""), HYPERLINK(CONCATENATE("#metadata!", ADDRESS(INDEX($X$2:$X$1001,MATCH(ROWS($V$2:V968),$V$2:$V$1001,0),0), INDEX($AC$1004:$AS$1004,1,MATCH(COLUMNS($AC$1006:AL1006),$AC$1006:$AS$1006,0)))),"Fix")))</f>
        <v xml:space="preserve"> </v>
      </c>
      <c r="L968" s="4" t="str">
        <f ca="1">IF(OR(INDEX($W$2:$W$1001,MATCH(ROWS($V$2:V968),$V$2:$V$1001,0),1)&gt;=100000,INDEX($AC$1005:$AS$1005,1,MATCH(COLUMNS($AC$1006:AM1006),$AC$1006:$AS$1006,0))&gt;=100000), " ",IF(INDEX($AC$2:$AS$1001,MATCH(ROWS($V$2:V968),$V$2:$V$1001,0),MATCH(COLUMNS($AC$1006:AM1006),$AC$1006:$AS$1006,0)), HYPERLINK("#",""), HYPERLINK(CONCATENATE("#metadata!", ADDRESS(INDEX($X$2:$X$1001,MATCH(ROWS($V$2:V968),$V$2:$V$1001,0),0), INDEX($AC$1004:$AS$1004,1,MATCH(COLUMNS($AC$1006:AM1006),$AC$1006:$AS$1006,0)))),"Fix")))</f>
        <v xml:space="preserve"> </v>
      </c>
      <c r="M968" s="4" t="str">
        <f ca="1">IF(OR(INDEX($W$2:$W$1001,MATCH(ROWS($V$2:V968),$V$2:$V$1001,0),1)&gt;=100000,INDEX($AC$1005:$AS$1005,1,MATCH(COLUMNS($AC$1006:AN1006),$AC$1006:$AS$1006,0))&gt;=100000), " ",IF(INDEX($AC$2:$AS$1001,MATCH(ROWS($V$2:V968),$V$2:$V$1001,0),MATCH(COLUMNS($AC$1006:AN1006),$AC$1006:$AS$1006,0)), HYPERLINK("#",""), HYPERLINK(CONCATENATE("#metadata!", ADDRESS(INDEX($X$2:$X$1001,MATCH(ROWS($V$2:V968),$V$2:$V$1001,0),0), INDEX($AC$1004:$AS$1004,1,MATCH(COLUMNS($AC$1006:AN1006),$AC$1006:$AS$1006,0)))),"Fix")))</f>
        <v xml:space="preserve"> </v>
      </c>
      <c r="N968" s="4" t="str">
        <f ca="1">IF(OR(INDEX($W$2:$W$1001,MATCH(ROWS($V$2:V968),$V$2:$V$1001,0),1)&gt;=100000,INDEX($AC$1005:$AS$1005,1,MATCH(COLUMNS($AC$1006:AO1006),$AC$1006:$AS$1006,0))&gt;=100000), " ",IF(INDEX($AC$2:$AS$1001,MATCH(ROWS($V$2:V968),$V$2:$V$1001,0),MATCH(COLUMNS($AC$1006:AO1006),$AC$1006:$AS$1006,0)), HYPERLINK("#",""), HYPERLINK(CONCATENATE("#metadata!", ADDRESS(INDEX($X$2:$X$1001,MATCH(ROWS($V$2:V968),$V$2:$V$1001,0),0), INDEX($AC$1004:$AS$1004,1,MATCH(COLUMNS($AC$1006:AO1006),$AC$1006:$AS$1006,0)))),"Fix")))</f>
        <v xml:space="preserve"> </v>
      </c>
      <c r="O968" s="4" t="str">
        <f ca="1">IF(OR(INDEX($W$2:$W$1001,MATCH(ROWS($V$2:V968),$V$2:$V$1001,0),1)&gt;=100000,INDEX($AC$1005:$AS$1005,1,MATCH(COLUMNS($AC$1006:AP1006),$AC$1006:$AS$1006,0))&gt;=100000), " ",IF(INDEX($AC$2:$AS$1001,MATCH(ROWS($V$2:V968),$V$2:$V$1001,0),MATCH(COLUMNS($AC$1006:AP1006),$AC$1006:$AS$1006,0)), HYPERLINK("#",""), HYPERLINK(CONCATENATE("#metadata!", ADDRESS(INDEX($X$2:$X$1001,MATCH(ROWS($V$2:V968),$V$2:$V$1001,0),0), INDEX($AC$1004:$AS$1004,1,MATCH(COLUMNS($AC$1006:AP1006),$AC$1006:$AS$1006,0)))),"Fix")))</f>
        <v xml:space="preserve"> </v>
      </c>
      <c r="P968" s="4" t="str">
        <f ca="1">IF(OR(INDEX($W$2:$W$1001,MATCH(ROWS($V$2:V968),$V$2:$V$1001,0),1)&gt;=100000,INDEX($AC$1005:$AS$1005,1,MATCH(COLUMNS($AC$1006:AQ1006),$AC$1006:$AS$1006,0))&gt;=100000), " ",IF(INDEX($AC$2:$AS$1001,MATCH(ROWS($V$2:V968),$V$2:$V$1001,0),MATCH(COLUMNS($AC$1006:AQ1006),$AC$1006:$AS$1006,0)), HYPERLINK("#",""), HYPERLINK(CONCATENATE("#metadata!", ADDRESS(INDEX($X$2:$X$1001,MATCH(ROWS($V$2:V968),$V$2:$V$1001,0),0), INDEX($AC$1004:$AS$1004,1,MATCH(COLUMNS($AC$1006:AQ1006),$AC$1006:$AS$1006,0)))),"Fix")))</f>
        <v xml:space="preserve"> </v>
      </c>
      <c r="Q968" s="4" t="str">
        <f ca="1">IF(OR(INDEX($W$2:$W$1001,MATCH(ROWS($V$2:V968),$V$2:$V$1001,0),1)&gt;=100000,INDEX($AC$1005:$AS$1005,1,MATCH(COLUMNS($AC$1006:AR1006),$AC$1006:$AS$1006,0))&gt;=100000), " ",IF(INDEX($AC$2:$AS$1001,MATCH(ROWS($V$2:V968),$V$2:$V$1001,0),MATCH(COLUMNS($AC$1006:AR1006),$AC$1006:$AS$1006,0)), HYPERLINK("#",""), HYPERLINK(CONCATENATE("#metadata!", ADDRESS(INDEX($X$2:$X$1001,MATCH(ROWS($V$2:V968),$V$2:$V$1001,0),0), INDEX($AC$1004:$AS$1004,1,MATCH(COLUMNS($AC$1006:AR1006),$AC$1006:$AS$1006,0)))),"Fix")))</f>
        <v xml:space="preserve"> </v>
      </c>
      <c r="R968" s="4" t="str">
        <f ca="1">IF(OR(INDEX($W$2:$W$1001,MATCH(ROWS($V$2:V968),$V$2:$V$1001,0),1)&gt;=100000,INDEX($AC$1005:$AS$1005,1,MATCH(COLUMNS($AC$1006:AS1006),$AC$1006:$AS$1006,0))&gt;=100000), " ",IF(INDEX($AC$2:$AS$1001,MATCH(ROWS($V$2:V968),$V$2:$V$1001,0),MATCH(COLUMNS($AC$1006:AS1006),$AC$1006:$AS$1006,0)), HYPERLINK("#",""), HYPERLINK(CONCATENATE("#metadata!", ADDRESS(INDEX($X$2:$X$1001,MATCH(ROWS($V$2:V968),$V$2:$V$1001,0),0), INDEX($AC$1004:$AS$1004,1,MATCH(COLUMNS($AC$1006:AS1006),$AC$1006:$AS$1006,0)))),"Fix")))</f>
        <v xml:space="preserve"> </v>
      </c>
      <c r="V968">
        <v>967</v>
      </c>
      <c r="W968">
        <v>100968</v>
      </c>
      <c r="X968">
        <v>968</v>
      </c>
      <c r="Y968" t="b">
        <f t="shared" si="15"/>
        <v>1</v>
      </c>
      <c r="Z968" t="b">
        <f>COUNTBLANK(metadata!B968:R968)=COLUMNS(metadata!B968:R968)</f>
        <v>1</v>
      </c>
      <c r="AA968" t="str">
        <v/>
      </c>
      <c r="AC968" t="b">
        <f ca="1"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AD968" t="b">
        <f>IF(metadata!C968="",FALSE,ISNUMBER(VALUE(metadata!C968)))</f>
        <v>0</v>
      </c>
      <c r="AE968" t="b">
        <f>AND(IF(metadata!D968="",FALSE,TRUE),EXACT(metadata!D968,"years"))</f>
        <v>0</v>
      </c>
      <c r="AF968" t="b">
        <f>OR(AND(IF(metadata!E968="",FALSE,TRUE),OR(EXACT(metadata!E968,"not applicable"),EXACT(metadata!E968,"missing: not collected"),EXACT(metadata!E968,"missing: not provided"),EXACT(metadata!E968,"missing: restricted access"))),AND(IF(metadata!E968="",FALSE,ISNUMBER(VALUE(metadata!E968))),metadata!E968&gt;0))</f>
        <v>0</v>
      </c>
      <c r="AG968" t="b">
        <f>AND(IF(metadata!F968="",FALSE,TRUE),EXACT(metadata!F968,"Not applicable"))</f>
        <v>0</v>
      </c>
      <c r="AH968" t="b">
        <f>AND(IF(metadata!G968="",FALSE,TRUE),EXACT(metadata!G968,"urban biome"))</f>
        <v>0</v>
      </c>
      <c r="AI968" t="b">
        <f>AND(IF(metadata!H968="",FALSE,TRUE),EXACT(metadata!H968,"human-associated habitat"))</f>
        <v>0</v>
      </c>
      <c r="AJ968" t="b">
        <f>AND(IF(metadata!I968="",FALSE,TRUE),OR(EXACT(metadata!I968,"human-associated"),EXACT(metadata!I968,"human-skin"),EXACT(metadata!I968,"human-oral"),EXACT(metadata!I968,"human-gut"),EXACT(metadata!I968,"human-vaginal")))</f>
        <v>0</v>
      </c>
      <c r="AK968" t="b">
        <f>IF(metadata!J968="",FALSE,ISNUMBER(VALUE(metadata!J968)))</f>
        <v>0</v>
      </c>
      <c r="AL968" t="b">
        <f>AND(IF(metadata!K968="",FALSE,TRUE),EXACT(metadata!K968,"cm"))</f>
        <v>0</v>
      </c>
      <c r="AM968" t="b">
        <f>AND(IF(metadata!L968="",FALSE,TRUE),EXACT(metadata!L968,"human"))</f>
        <v>0</v>
      </c>
      <c r="AN968" t="b">
        <f>AND(IF(metadata!M968="",FALSE,TRUE),EXACT(metadata!M968,"Homo sapiens"))</f>
        <v>0</v>
      </c>
      <c r="AO968" t="b">
        <f>AND(IF(metadata!N968="",FALSE,TRUE),EXACT(metadata!N968,"9606"))</f>
        <v>0</v>
      </c>
      <c r="AP968" t="b">
        <f>IF(metadata!O968="",FALSE,TRUE)</f>
        <v>0</v>
      </c>
      <c r="AQ968" t="b">
        <f>IF(metadata!P968="",FALSE,TRUE)</f>
        <v>0</v>
      </c>
      <c r="AR968" t="b">
        <f>IF(metadata!Q968="",FALSE,ISNUMBER(VALUE(metadata!Q968)))</f>
        <v>0</v>
      </c>
      <c r="AS968" t="b">
        <f>AND(IF(metadata!R968="",FALSE,TRUE),EXACT(metadata!R968,"kg"))</f>
        <v>0</v>
      </c>
    </row>
    <row r="969" spans="1:45" x14ac:dyDescent="0.2">
      <c r="A969" s="5" t="str">
        <f ca="1">IF(B969=" "," ",HYPERLINK(CONCATENATE("#metadata!",ADDRESS(INDEX($X$2:$X$1001,MATCH(ROWS($V$2:V969),$V$2:$V$1001,0),0),1)),INDEX($AA$2:$AA$1001,MATCH(ROWS($V$2:V969),$V$2:$V$1001,0),0)))</f>
        <v xml:space="preserve"> </v>
      </c>
      <c r="B969" s="4" t="str">
        <f ca="1">IF(OR(INDEX($W$2:$W$1001,MATCH(ROWS($V$2:V969),$V$2:$V$1001,0),1)&gt;=100000,INDEX($AC$1005:$AS$1005,1,MATCH(COLUMNS($AC$1006:AC1006),$AC$1006:$AS$1006,0))&gt;=100000), " ",IF(INDEX($AC$2:$AS$1001,MATCH(ROWS($V$2:V969),$V$2:$V$1001,0),MATCH(COLUMNS($AC$1006:AC1006),$AC$1006:$AS$1006,0)), HYPERLINK("#",""), HYPERLINK(CONCATENATE("#metadata!", ADDRESS(INDEX($X$2:$X$1001,MATCH(ROWS($V$2:V969),$V$2:$V$1001,0),0), INDEX($AC$1004:$AS$1004,1,MATCH(COLUMNS($AC$1006:AC1006),$AC$1006:$AS$1006,0)))),"Fix")))</f>
        <v xml:space="preserve"> </v>
      </c>
      <c r="C969" s="4" t="str">
        <f ca="1">IF(OR(INDEX($W$2:$W$1001,MATCH(ROWS($V$2:V969),$V$2:$V$1001,0),1)&gt;=100000,INDEX($AC$1005:$AS$1005,1,MATCH(COLUMNS($AC$1006:AD1006),$AC$1006:$AS$1006,0))&gt;=100000), " ",IF(INDEX($AC$2:$AS$1001,MATCH(ROWS($V$2:V969),$V$2:$V$1001,0),MATCH(COLUMNS($AC$1006:AD1006),$AC$1006:$AS$1006,0)), HYPERLINK("#",""), HYPERLINK(CONCATENATE("#metadata!", ADDRESS(INDEX($X$2:$X$1001,MATCH(ROWS($V$2:V969),$V$2:$V$1001,0),0), INDEX($AC$1004:$AS$1004,1,MATCH(COLUMNS($AC$1006:AD1006),$AC$1006:$AS$1006,0)))),"Fix")))</f>
        <v xml:space="preserve"> </v>
      </c>
      <c r="D969" s="4" t="str">
        <f ca="1">IF(OR(INDEX($W$2:$W$1001,MATCH(ROWS($V$2:V969),$V$2:$V$1001,0),1)&gt;=100000,INDEX($AC$1005:$AS$1005,1,MATCH(COLUMNS($AC$1006:AE1006),$AC$1006:$AS$1006,0))&gt;=100000), " ",IF(INDEX($AC$2:$AS$1001,MATCH(ROWS($V$2:V969),$V$2:$V$1001,0),MATCH(COLUMNS($AC$1006:AE1006),$AC$1006:$AS$1006,0)), HYPERLINK("#",""), HYPERLINK(CONCATENATE("#metadata!", ADDRESS(INDEX($X$2:$X$1001,MATCH(ROWS($V$2:V969),$V$2:$V$1001,0),0), INDEX($AC$1004:$AS$1004,1,MATCH(COLUMNS($AC$1006:AE1006),$AC$1006:$AS$1006,0)))),"Fix")))</f>
        <v xml:space="preserve"> </v>
      </c>
      <c r="E969" s="4" t="str">
        <f ca="1">IF(OR(INDEX($W$2:$W$1001,MATCH(ROWS($V$2:V969),$V$2:$V$1001,0),1)&gt;=100000,INDEX($AC$1005:$AS$1005,1,MATCH(COLUMNS($AC$1006:AF1006),$AC$1006:$AS$1006,0))&gt;=100000), " ",IF(INDEX($AC$2:$AS$1001,MATCH(ROWS($V$2:V969),$V$2:$V$1001,0),MATCH(COLUMNS($AC$1006:AF1006),$AC$1006:$AS$1006,0)), HYPERLINK("#",""), HYPERLINK(CONCATENATE("#metadata!", ADDRESS(INDEX($X$2:$X$1001,MATCH(ROWS($V$2:V969),$V$2:$V$1001,0),0), INDEX($AC$1004:$AS$1004,1,MATCH(COLUMNS($AC$1006:AF1006),$AC$1006:$AS$1006,0)))),"Fix")))</f>
        <v xml:space="preserve"> </v>
      </c>
      <c r="F969" s="4" t="str">
        <f ca="1">IF(OR(INDEX($W$2:$W$1001,MATCH(ROWS($V$2:V969),$V$2:$V$1001,0),1)&gt;=100000,INDEX($AC$1005:$AS$1005,1,MATCH(COLUMNS($AC$1006:AG1006),$AC$1006:$AS$1006,0))&gt;=100000), " ",IF(INDEX($AC$2:$AS$1001,MATCH(ROWS($V$2:V969),$V$2:$V$1001,0),MATCH(COLUMNS($AC$1006:AG1006),$AC$1006:$AS$1006,0)), HYPERLINK("#",""), HYPERLINK(CONCATENATE("#metadata!", ADDRESS(INDEX($X$2:$X$1001,MATCH(ROWS($V$2:V969),$V$2:$V$1001,0),0), INDEX($AC$1004:$AS$1004,1,MATCH(COLUMNS($AC$1006:AG1006),$AC$1006:$AS$1006,0)))),"Fix")))</f>
        <v xml:space="preserve"> </v>
      </c>
      <c r="G969" s="4" t="str">
        <f ca="1">IF(OR(INDEX($W$2:$W$1001,MATCH(ROWS($V$2:V969),$V$2:$V$1001,0),1)&gt;=100000,INDEX($AC$1005:$AS$1005,1,MATCH(COLUMNS($AC$1006:AH1006),$AC$1006:$AS$1006,0))&gt;=100000), " ",IF(INDEX($AC$2:$AS$1001,MATCH(ROWS($V$2:V969),$V$2:$V$1001,0),MATCH(COLUMNS($AC$1006:AH1006),$AC$1006:$AS$1006,0)), HYPERLINK("#",""), HYPERLINK(CONCATENATE("#metadata!", ADDRESS(INDEX($X$2:$X$1001,MATCH(ROWS($V$2:V969),$V$2:$V$1001,0),0), INDEX($AC$1004:$AS$1004,1,MATCH(COLUMNS($AC$1006:AH1006),$AC$1006:$AS$1006,0)))),"Fix")))</f>
        <v xml:space="preserve"> </v>
      </c>
      <c r="H969" s="4" t="str">
        <f ca="1">IF(OR(INDEX($W$2:$W$1001,MATCH(ROWS($V$2:V969),$V$2:$V$1001,0),1)&gt;=100000,INDEX($AC$1005:$AS$1005,1,MATCH(COLUMNS($AC$1006:AI1006),$AC$1006:$AS$1006,0))&gt;=100000), " ",IF(INDEX($AC$2:$AS$1001,MATCH(ROWS($V$2:V969),$V$2:$V$1001,0),MATCH(COLUMNS($AC$1006:AI1006),$AC$1006:$AS$1006,0)), HYPERLINK("#",""), HYPERLINK(CONCATENATE("#metadata!", ADDRESS(INDEX($X$2:$X$1001,MATCH(ROWS($V$2:V969),$V$2:$V$1001,0),0), INDEX($AC$1004:$AS$1004,1,MATCH(COLUMNS($AC$1006:AI1006),$AC$1006:$AS$1006,0)))),"Fix")))</f>
        <v xml:space="preserve"> </v>
      </c>
      <c r="I969" s="4" t="str">
        <f ca="1">IF(OR(INDEX($W$2:$W$1001,MATCH(ROWS($V$2:V969),$V$2:$V$1001,0),1)&gt;=100000,INDEX($AC$1005:$AS$1005,1,MATCH(COLUMNS($AC$1006:AJ1006),$AC$1006:$AS$1006,0))&gt;=100000), " ",IF(INDEX($AC$2:$AS$1001,MATCH(ROWS($V$2:V969),$V$2:$V$1001,0),MATCH(COLUMNS($AC$1006:AJ1006),$AC$1006:$AS$1006,0)), HYPERLINK("#",""), HYPERLINK(CONCATENATE("#metadata!", ADDRESS(INDEX($X$2:$X$1001,MATCH(ROWS($V$2:V969),$V$2:$V$1001,0),0), INDEX($AC$1004:$AS$1004,1,MATCH(COLUMNS($AC$1006:AJ1006),$AC$1006:$AS$1006,0)))),"Fix")))</f>
        <v xml:space="preserve"> </v>
      </c>
      <c r="J969" s="4" t="str">
        <f ca="1">IF(OR(INDEX($W$2:$W$1001,MATCH(ROWS($V$2:V969),$V$2:$V$1001,0),1)&gt;=100000,INDEX($AC$1005:$AS$1005,1,MATCH(COLUMNS($AC$1006:AK1006),$AC$1006:$AS$1006,0))&gt;=100000), " ",IF(INDEX($AC$2:$AS$1001,MATCH(ROWS($V$2:V969),$V$2:$V$1001,0),MATCH(COLUMNS($AC$1006:AK1006),$AC$1006:$AS$1006,0)), HYPERLINK("#",""), HYPERLINK(CONCATENATE("#metadata!", ADDRESS(INDEX($X$2:$X$1001,MATCH(ROWS($V$2:V969),$V$2:$V$1001,0),0), INDEX($AC$1004:$AS$1004,1,MATCH(COLUMNS($AC$1006:AK1006),$AC$1006:$AS$1006,0)))),"Fix")))</f>
        <v xml:space="preserve"> </v>
      </c>
      <c r="K969" s="4" t="str">
        <f ca="1">IF(OR(INDEX($W$2:$W$1001,MATCH(ROWS($V$2:V969),$V$2:$V$1001,0),1)&gt;=100000,INDEX($AC$1005:$AS$1005,1,MATCH(COLUMNS($AC$1006:AL1006),$AC$1006:$AS$1006,0))&gt;=100000), " ",IF(INDEX($AC$2:$AS$1001,MATCH(ROWS($V$2:V969),$V$2:$V$1001,0),MATCH(COLUMNS($AC$1006:AL1006),$AC$1006:$AS$1006,0)), HYPERLINK("#",""), HYPERLINK(CONCATENATE("#metadata!", ADDRESS(INDEX($X$2:$X$1001,MATCH(ROWS($V$2:V969),$V$2:$V$1001,0),0), INDEX($AC$1004:$AS$1004,1,MATCH(COLUMNS($AC$1006:AL1006),$AC$1006:$AS$1006,0)))),"Fix")))</f>
        <v xml:space="preserve"> </v>
      </c>
      <c r="L969" s="4" t="str">
        <f ca="1">IF(OR(INDEX($W$2:$W$1001,MATCH(ROWS($V$2:V969),$V$2:$V$1001,0),1)&gt;=100000,INDEX($AC$1005:$AS$1005,1,MATCH(COLUMNS($AC$1006:AM1006),$AC$1006:$AS$1006,0))&gt;=100000), " ",IF(INDEX($AC$2:$AS$1001,MATCH(ROWS($V$2:V969),$V$2:$V$1001,0),MATCH(COLUMNS($AC$1006:AM1006),$AC$1006:$AS$1006,0)), HYPERLINK("#",""), HYPERLINK(CONCATENATE("#metadata!", ADDRESS(INDEX($X$2:$X$1001,MATCH(ROWS($V$2:V969),$V$2:$V$1001,0),0), INDEX($AC$1004:$AS$1004,1,MATCH(COLUMNS($AC$1006:AM1006),$AC$1006:$AS$1006,0)))),"Fix")))</f>
        <v xml:space="preserve"> </v>
      </c>
      <c r="M969" s="4" t="str">
        <f ca="1">IF(OR(INDEX($W$2:$W$1001,MATCH(ROWS($V$2:V969),$V$2:$V$1001,0),1)&gt;=100000,INDEX($AC$1005:$AS$1005,1,MATCH(COLUMNS($AC$1006:AN1006),$AC$1006:$AS$1006,0))&gt;=100000), " ",IF(INDEX($AC$2:$AS$1001,MATCH(ROWS($V$2:V969),$V$2:$V$1001,0),MATCH(COLUMNS($AC$1006:AN1006),$AC$1006:$AS$1006,0)), HYPERLINK("#",""), HYPERLINK(CONCATENATE("#metadata!", ADDRESS(INDEX($X$2:$X$1001,MATCH(ROWS($V$2:V969),$V$2:$V$1001,0),0), INDEX($AC$1004:$AS$1004,1,MATCH(COLUMNS($AC$1006:AN1006),$AC$1006:$AS$1006,0)))),"Fix")))</f>
        <v xml:space="preserve"> </v>
      </c>
      <c r="N969" s="4" t="str">
        <f ca="1">IF(OR(INDEX($W$2:$W$1001,MATCH(ROWS($V$2:V969),$V$2:$V$1001,0),1)&gt;=100000,INDEX($AC$1005:$AS$1005,1,MATCH(COLUMNS($AC$1006:AO1006),$AC$1006:$AS$1006,0))&gt;=100000), " ",IF(INDEX($AC$2:$AS$1001,MATCH(ROWS($V$2:V969),$V$2:$V$1001,0),MATCH(COLUMNS($AC$1006:AO1006),$AC$1006:$AS$1006,0)), HYPERLINK("#",""), HYPERLINK(CONCATENATE("#metadata!", ADDRESS(INDEX($X$2:$X$1001,MATCH(ROWS($V$2:V969),$V$2:$V$1001,0),0), INDEX($AC$1004:$AS$1004,1,MATCH(COLUMNS($AC$1006:AO1006),$AC$1006:$AS$1006,0)))),"Fix")))</f>
        <v xml:space="preserve"> </v>
      </c>
      <c r="O969" s="4" t="str">
        <f ca="1">IF(OR(INDEX($W$2:$W$1001,MATCH(ROWS($V$2:V969),$V$2:$V$1001,0),1)&gt;=100000,INDEX($AC$1005:$AS$1005,1,MATCH(COLUMNS($AC$1006:AP1006),$AC$1006:$AS$1006,0))&gt;=100000), " ",IF(INDEX($AC$2:$AS$1001,MATCH(ROWS($V$2:V969),$V$2:$V$1001,0),MATCH(COLUMNS($AC$1006:AP1006),$AC$1006:$AS$1006,0)), HYPERLINK("#",""), HYPERLINK(CONCATENATE("#metadata!", ADDRESS(INDEX($X$2:$X$1001,MATCH(ROWS($V$2:V969),$V$2:$V$1001,0),0), INDEX($AC$1004:$AS$1004,1,MATCH(COLUMNS($AC$1006:AP1006),$AC$1006:$AS$1006,0)))),"Fix")))</f>
        <v xml:space="preserve"> </v>
      </c>
      <c r="P969" s="4" t="str">
        <f ca="1">IF(OR(INDEX($W$2:$W$1001,MATCH(ROWS($V$2:V969),$V$2:$V$1001,0),1)&gt;=100000,INDEX($AC$1005:$AS$1005,1,MATCH(COLUMNS($AC$1006:AQ1006),$AC$1006:$AS$1006,0))&gt;=100000), " ",IF(INDEX($AC$2:$AS$1001,MATCH(ROWS($V$2:V969),$V$2:$V$1001,0),MATCH(COLUMNS($AC$1006:AQ1006),$AC$1006:$AS$1006,0)), HYPERLINK("#",""), HYPERLINK(CONCATENATE("#metadata!", ADDRESS(INDEX($X$2:$X$1001,MATCH(ROWS($V$2:V969),$V$2:$V$1001,0),0), INDEX($AC$1004:$AS$1004,1,MATCH(COLUMNS($AC$1006:AQ1006),$AC$1006:$AS$1006,0)))),"Fix")))</f>
        <v xml:space="preserve"> </v>
      </c>
      <c r="Q969" s="4" t="str">
        <f ca="1">IF(OR(INDEX($W$2:$W$1001,MATCH(ROWS($V$2:V969),$V$2:$V$1001,0),1)&gt;=100000,INDEX($AC$1005:$AS$1005,1,MATCH(COLUMNS($AC$1006:AR1006),$AC$1006:$AS$1006,0))&gt;=100000), " ",IF(INDEX($AC$2:$AS$1001,MATCH(ROWS($V$2:V969),$V$2:$V$1001,0),MATCH(COLUMNS($AC$1006:AR1006),$AC$1006:$AS$1006,0)), HYPERLINK("#",""), HYPERLINK(CONCATENATE("#metadata!", ADDRESS(INDEX($X$2:$X$1001,MATCH(ROWS($V$2:V969),$V$2:$V$1001,0),0), INDEX($AC$1004:$AS$1004,1,MATCH(COLUMNS($AC$1006:AR1006),$AC$1006:$AS$1006,0)))),"Fix")))</f>
        <v xml:space="preserve"> </v>
      </c>
      <c r="R969" s="4" t="str">
        <f ca="1">IF(OR(INDEX($W$2:$W$1001,MATCH(ROWS($V$2:V969),$V$2:$V$1001,0),1)&gt;=100000,INDEX($AC$1005:$AS$1005,1,MATCH(COLUMNS($AC$1006:AS1006),$AC$1006:$AS$1006,0))&gt;=100000), " ",IF(INDEX($AC$2:$AS$1001,MATCH(ROWS($V$2:V969),$V$2:$V$1001,0),MATCH(COLUMNS($AC$1006:AS1006),$AC$1006:$AS$1006,0)), HYPERLINK("#",""), HYPERLINK(CONCATENATE("#metadata!", ADDRESS(INDEX($X$2:$X$1001,MATCH(ROWS($V$2:V969),$V$2:$V$1001,0),0), INDEX($AC$1004:$AS$1004,1,MATCH(COLUMNS($AC$1006:AS1006),$AC$1006:$AS$1006,0)))),"Fix")))</f>
        <v xml:space="preserve"> </v>
      </c>
      <c r="V969">
        <v>968</v>
      </c>
      <c r="W969">
        <v>100969</v>
      </c>
      <c r="X969">
        <v>969</v>
      </c>
      <c r="Y969" t="b">
        <f t="shared" si="15"/>
        <v>1</v>
      </c>
      <c r="Z969" t="b">
        <f>COUNTBLANK(metadata!B969:R969)=COLUMNS(metadata!B969:R969)</f>
        <v>1</v>
      </c>
      <c r="AA969" t="str">
        <v/>
      </c>
      <c r="AC969" t="b">
        <f ca="1"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AD969" t="b">
        <f>IF(metadata!C969="",FALSE,ISNUMBER(VALUE(metadata!C969)))</f>
        <v>0</v>
      </c>
      <c r="AE969" t="b">
        <f>AND(IF(metadata!D969="",FALSE,TRUE),EXACT(metadata!D969,"years"))</f>
        <v>0</v>
      </c>
      <c r="AF969" t="b">
        <f>OR(AND(IF(metadata!E969="",FALSE,TRUE),OR(EXACT(metadata!E969,"not applicable"),EXACT(metadata!E969,"missing: not collected"),EXACT(metadata!E969,"missing: not provided"),EXACT(metadata!E969,"missing: restricted access"))),AND(IF(metadata!E969="",FALSE,ISNUMBER(VALUE(metadata!E969))),metadata!E969&gt;0))</f>
        <v>0</v>
      </c>
      <c r="AG969" t="b">
        <f>AND(IF(metadata!F969="",FALSE,TRUE),EXACT(metadata!F969,"Not applicable"))</f>
        <v>0</v>
      </c>
      <c r="AH969" t="b">
        <f>AND(IF(metadata!G969="",FALSE,TRUE),EXACT(metadata!G969,"urban biome"))</f>
        <v>0</v>
      </c>
      <c r="AI969" t="b">
        <f>AND(IF(metadata!H969="",FALSE,TRUE),EXACT(metadata!H969,"human-associated habitat"))</f>
        <v>0</v>
      </c>
      <c r="AJ969" t="b">
        <f>AND(IF(metadata!I969="",FALSE,TRUE),OR(EXACT(metadata!I969,"human-associated"),EXACT(metadata!I969,"human-skin"),EXACT(metadata!I969,"human-oral"),EXACT(metadata!I969,"human-gut"),EXACT(metadata!I969,"human-vaginal")))</f>
        <v>0</v>
      </c>
      <c r="AK969" t="b">
        <f>IF(metadata!J969="",FALSE,ISNUMBER(VALUE(metadata!J969)))</f>
        <v>0</v>
      </c>
      <c r="AL969" t="b">
        <f>AND(IF(metadata!K969="",FALSE,TRUE),EXACT(metadata!K969,"cm"))</f>
        <v>0</v>
      </c>
      <c r="AM969" t="b">
        <f>AND(IF(metadata!L969="",FALSE,TRUE),EXACT(metadata!L969,"human"))</f>
        <v>0</v>
      </c>
      <c r="AN969" t="b">
        <f>AND(IF(metadata!M969="",FALSE,TRUE),EXACT(metadata!M969,"Homo sapiens"))</f>
        <v>0</v>
      </c>
      <c r="AO969" t="b">
        <f>AND(IF(metadata!N969="",FALSE,TRUE),EXACT(metadata!N969,"9606"))</f>
        <v>0</v>
      </c>
      <c r="AP969" t="b">
        <f>IF(metadata!O969="",FALSE,TRUE)</f>
        <v>0</v>
      </c>
      <c r="AQ969" t="b">
        <f>IF(metadata!P969="",FALSE,TRUE)</f>
        <v>0</v>
      </c>
      <c r="AR969" t="b">
        <f>IF(metadata!Q969="",FALSE,ISNUMBER(VALUE(metadata!Q969)))</f>
        <v>0</v>
      </c>
      <c r="AS969" t="b">
        <f>AND(IF(metadata!R969="",FALSE,TRUE),EXACT(metadata!R969,"kg"))</f>
        <v>0</v>
      </c>
    </row>
    <row r="970" spans="1:45" x14ac:dyDescent="0.2">
      <c r="A970" s="5" t="str">
        <f ca="1">IF(B970=" "," ",HYPERLINK(CONCATENATE("#metadata!",ADDRESS(INDEX($X$2:$X$1001,MATCH(ROWS($V$2:V970),$V$2:$V$1001,0),0),1)),INDEX($AA$2:$AA$1001,MATCH(ROWS($V$2:V970),$V$2:$V$1001,0),0)))</f>
        <v xml:space="preserve"> </v>
      </c>
      <c r="B970" s="4" t="str">
        <f ca="1">IF(OR(INDEX($W$2:$W$1001,MATCH(ROWS($V$2:V970),$V$2:$V$1001,0),1)&gt;=100000,INDEX($AC$1005:$AS$1005,1,MATCH(COLUMNS($AC$1006:AC1006),$AC$1006:$AS$1006,0))&gt;=100000), " ",IF(INDEX($AC$2:$AS$1001,MATCH(ROWS($V$2:V970),$V$2:$V$1001,0),MATCH(COLUMNS($AC$1006:AC1006),$AC$1006:$AS$1006,0)), HYPERLINK("#",""), HYPERLINK(CONCATENATE("#metadata!", ADDRESS(INDEX($X$2:$X$1001,MATCH(ROWS($V$2:V970),$V$2:$V$1001,0),0), INDEX($AC$1004:$AS$1004,1,MATCH(COLUMNS($AC$1006:AC1006),$AC$1006:$AS$1006,0)))),"Fix")))</f>
        <v xml:space="preserve"> </v>
      </c>
      <c r="C970" s="4" t="str">
        <f ca="1">IF(OR(INDEX($W$2:$W$1001,MATCH(ROWS($V$2:V970),$V$2:$V$1001,0),1)&gt;=100000,INDEX($AC$1005:$AS$1005,1,MATCH(COLUMNS($AC$1006:AD1006),$AC$1006:$AS$1006,0))&gt;=100000), " ",IF(INDEX($AC$2:$AS$1001,MATCH(ROWS($V$2:V970),$V$2:$V$1001,0),MATCH(COLUMNS($AC$1006:AD1006),$AC$1006:$AS$1006,0)), HYPERLINK("#",""), HYPERLINK(CONCATENATE("#metadata!", ADDRESS(INDEX($X$2:$X$1001,MATCH(ROWS($V$2:V970),$V$2:$V$1001,0),0), INDEX($AC$1004:$AS$1004,1,MATCH(COLUMNS($AC$1006:AD1006),$AC$1006:$AS$1006,0)))),"Fix")))</f>
        <v xml:space="preserve"> </v>
      </c>
      <c r="D970" s="4" t="str">
        <f ca="1">IF(OR(INDEX($W$2:$W$1001,MATCH(ROWS($V$2:V970),$V$2:$V$1001,0),1)&gt;=100000,INDEX($AC$1005:$AS$1005,1,MATCH(COLUMNS($AC$1006:AE1006),$AC$1006:$AS$1006,0))&gt;=100000), " ",IF(INDEX($AC$2:$AS$1001,MATCH(ROWS($V$2:V970),$V$2:$V$1001,0),MATCH(COLUMNS($AC$1006:AE1006),$AC$1006:$AS$1006,0)), HYPERLINK("#",""), HYPERLINK(CONCATENATE("#metadata!", ADDRESS(INDEX($X$2:$X$1001,MATCH(ROWS($V$2:V970),$V$2:$V$1001,0),0), INDEX($AC$1004:$AS$1004,1,MATCH(COLUMNS($AC$1006:AE1006),$AC$1006:$AS$1006,0)))),"Fix")))</f>
        <v xml:space="preserve"> </v>
      </c>
      <c r="E970" s="4" t="str">
        <f ca="1">IF(OR(INDEX($W$2:$W$1001,MATCH(ROWS($V$2:V970),$V$2:$V$1001,0),1)&gt;=100000,INDEX($AC$1005:$AS$1005,1,MATCH(COLUMNS($AC$1006:AF1006),$AC$1006:$AS$1006,0))&gt;=100000), " ",IF(INDEX($AC$2:$AS$1001,MATCH(ROWS($V$2:V970),$V$2:$V$1001,0),MATCH(COLUMNS($AC$1006:AF1006),$AC$1006:$AS$1006,0)), HYPERLINK("#",""), HYPERLINK(CONCATENATE("#metadata!", ADDRESS(INDEX($X$2:$X$1001,MATCH(ROWS($V$2:V970),$V$2:$V$1001,0),0), INDEX($AC$1004:$AS$1004,1,MATCH(COLUMNS($AC$1006:AF1006),$AC$1006:$AS$1006,0)))),"Fix")))</f>
        <v xml:space="preserve"> </v>
      </c>
      <c r="F970" s="4" t="str">
        <f ca="1">IF(OR(INDEX($W$2:$W$1001,MATCH(ROWS($V$2:V970),$V$2:$V$1001,0),1)&gt;=100000,INDEX($AC$1005:$AS$1005,1,MATCH(COLUMNS($AC$1006:AG1006),$AC$1006:$AS$1006,0))&gt;=100000), " ",IF(INDEX($AC$2:$AS$1001,MATCH(ROWS($V$2:V970),$V$2:$V$1001,0),MATCH(COLUMNS($AC$1006:AG1006),$AC$1006:$AS$1006,0)), HYPERLINK("#",""), HYPERLINK(CONCATENATE("#metadata!", ADDRESS(INDEX($X$2:$X$1001,MATCH(ROWS($V$2:V970),$V$2:$V$1001,0),0), INDEX($AC$1004:$AS$1004,1,MATCH(COLUMNS($AC$1006:AG1006),$AC$1006:$AS$1006,0)))),"Fix")))</f>
        <v xml:space="preserve"> </v>
      </c>
      <c r="G970" s="4" t="str">
        <f ca="1">IF(OR(INDEX($W$2:$W$1001,MATCH(ROWS($V$2:V970),$V$2:$V$1001,0),1)&gt;=100000,INDEX($AC$1005:$AS$1005,1,MATCH(COLUMNS($AC$1006:AH1006),$AC$1006:$AS$1006,0))&gt;=100000), " ",IF(INDEX($AC$2:$AS$1001,MATCH(ROWS($V$2:V970),$V$2:$V$1001,0),MATCH(COLUMNS($AC$1006:AH1006),$AC$1006:$AS$1006,0)), HYPERLINK("#",""), HYPERLINK(CONCATENATE("#metadata!", ADDRESS(INDEX($X$2:$X$1001,MATCH(ROWS($V$2:V970),$V$2:$V$1001,0),0), INDEX($AC$1004:$AS$1004,1,MATCH(COLUMNS($AC$1006:AH1006),$AC$1006:$AS$1006,0)))),"Fix")))</f>
        <v xml:space="preserve"> </v>
      </c>
      <c r="H970" s="4" t="str">
        <f ca="1">IF(OR(INDEX($W$2:$W$1001,MATCH(ROWS($V$2:V970),$V$2:$V$1001,0),1)&gt;=100000,INDEX($AC$1005:$AS$1005,1,MATCH(COLUMNS($AC$1006:AI1006),$AC$1006:$AS$1006,0))&gt;=100000), " ",IF(INDEX($AC$2:$AS$1001,MATCH(ROWS($V$2:V970),$V$2:$V$1001,0),MATCH(COLUMNS($AC$1006:AI1006),$AC$1006:$AS$1006,0)), HYPERLINK("#",""), HYPERLINK(CONCATENATE("#metadata!", ADDRESS(INDEX($X$2:$X$1001,MATCH(ROWS($V$2:V970),$V$2:$V$1001,0),0), INDEX($AC$1004:$AS$1004,1,MATCH(COLUMNS($AC$1006:AI1006),$AC$1006:$AS$1006,0)))),"Fix")))</f>
        <v xml:space="preserve"> </v>
      </c>
      <c r="I970" s="4" t="str">
        <f ca="1">IF(OR(INDEX($W$2:$W$1001,MATCH(ROWS($V$2:V970),$V$2:$V$1001,0),1)&gt;=100000,INDEX($AC$1005:$AS$1005,1,MATCH(COLUMNS($AC$1006:AJ1006),$AC$1006:$AS$1006,0))&gt;=100000), " ",IF(INDEX($AC$2:$AS$1001,MATCH(ROWS($V$2:V970),$V$2:$V$1001,0),MATCH(COLUMNS($AC$1006:AJ1006),$AC$1006:$AS$1006,0)), HYPERLINK("#",""), HYPERLINK(CONCATENATE("#metadata!", ADDRESS(INDEX($X$2:$X$1001,MATCH(ROWS($V$2:V970),$V$2:$V$1001,0),0), INDEX($AC$1004:$AS$1004,1,MATCH(COLUMNS($AC$1006:AJ1006),$AC$1006:$AS$1006,0)))),"Fix")))</f>
        <v xml:space="preserve"> </v>
      </c>
      <c r="J970" s="4" t="str">
        <f ca="1">IF(OR(INDEX($W$2:$W$1001,MATCH(ROWS($V$2:V970),$V$2:$V$1001,0),1)&gt;=100000,INDEX($AC$1005:$AS$1005,1,MATCH(COLUMNS($AC$1006:AK1006),$AC$1006:$AS$1006,0))&gt;=100000), " ",IF(INDEX($AC$2:$AS$1001,MATCH(ROWS($V$2:V970),$V$2:$V$1001,0),MATCH(COLUMNS($AC$1006:AK1006),$AC$1006:$AS$1006,0)), HYPERLINK("#",""), HYPERLINK(CONCATENATE("#metadata!", ADDRESS(INDEX($X$2:$X$1001,MATCH(ROWS($V$2:V970),$V$2:$V$1001,0),0), INDEX($AC$1004:$AS$1004,1,MATCH(COLUMNS($AC$1006:AK1006),$AC$1006:$AS$1006,0)))),"Fix")))</f>
        <v xml:space="preserve"> </v>
      </c>
      <c r="K970" s="4" t="str">
        <f ca="1">IF(OR(INDEX($W$2:$W$1001,MATCH(ROWS($V$2:V970),$V$2:$V$1001,0),1)&gt;=100000,INDEX($AC$1005:$AS$1005,1,MATCH(COLUMNS($AC$1006:AL1006),$AC$1006:$AS$1006,0))&gt;=100000), " ",IF(INDEX($AC$2:$AS$1001,MATCH(ROWS($V$2:V970),$V$2:$V$1001,0),MATCH(COLUMNS($AC$1006:AL1006),$AC$1006:$AS$1006,0)), HYPERLINK("#",""), HYPERLINK(CONCATENATE("#metadata!", ADDRESS(INDEX($X$2:$X$1001,MATCH(ROWS($V$2:V970),$V$2:$V$1001,0),0), INDEX($AC$1004:$AS$1004,1,MATCH(COLUMNS($AC$1006:AL1006),$AC$1006:$AS$1006,0)))),"Fix")))</f>
        <v xml:space="preserve"> </v>
      </c>
      <c r="L970" s="4" t="str">
        <f ca="1">IF(OR(INDEX($W$2:$W$1001,MATCH(ROWS($V$2:V970),$V$2:$V$1001,0),1)&gt;=100000,INDEX($AC$1005:$AS$1005,1,MATCH(COLUMNS($AC$1006:AM1006),$AC$1006:$AS$1006,0))&gt;=100000), " ",IF(INDEX($AC$2:$AS$1001,MATCH(ROWS($V$2:V970),$V$2:$V$1001,0),MATCH(COLUMNS($AC$1006:AM1006),$AC$1006:$AS$1006,0)), HYPERLINK("#",""), HYPERLINK(CONCATENATE("#metadata!", ADDRESS(INDEX($X$2:$X$1001,MATCH(ROWS($V$2:V970),$V$2:$V$1001,0),0), INDEX($AC$1004:$AS$1004,1,MATCH(COLUMNS($AC$1006:AM1006),$AC$1006:$AS$1006,0)))),"Fix")))</f>
        <v xml:space="preserve"> </v>
      </c>
      <c r="M970" s="4" t="str">
        <f ca="1">IF(OR(INDEX($W$2:$W$1001,MATCH(ROWS($V$2:V970),$V$2:$V$1001,0),1)&gt;=100000,INDEX($AC$1005:$AS$1005,1,MATCH(COLUMNS($AC$1006:AN1006),$AC$1006:$AS$1006,0))&gt;=100000), " ",IF(INDEX($AC$2:$AS$1001,MATCH(ROWS($V$2:V970),$V$2:$V$1001,0),MATCH(COLUMNS($AC$1006:AN1006),$AC$1006:$AS$1006,0)), HYPERLINK("#",""), HYPERLINK(CONCATENATE("#metadata!", ADDRESS(INDEX($X$2:$X$1001,MATCH(ROWS($V$2:V970),$V$2:$V$1001,0),0), INDEX($AC$1004:$AS$1004,1,MATCH(COLUMNS($AC$1006:AN1006),$AC$1006:$AS$1006,0)))),"Fix")))</f>
        <v xml:space="preserve"> </v>
      </c>
      <c r="N970" s="4" t="str">
        <f ca="1">IF(OR(INDEX($W$2:$W$1001,MATCH(ROWS($V$2:V970),$V$2:$V$1001,0),1)&gt;=100000,INDEX($AC$1005:$AS$1005,1,MATCH(COLUMNS($AC$1006:AO1006),$AC$1006:$AS$1006,0))&gt;=100000), " ",IF(INDEX($AC$2:$AS$1001,MATCH(ROWS($V$2:V970),$V$2:$V$1001,0),MATCH(COLUMNS($AC$1006:AO1006),$AC$1006:$AS$1006,0)), HYPERLINK("#",""), HYPERLINK(CONCATENATE("#metadata!", ADDRESS(INDEX($X$2:$X$1001,MATCH(ROWS($V$2:V970),$V$2:$V$1001,0),0), INDEX($AC$1004:$AS$1004,1,MATCH(COLUMNS($AC$1006:AO1006),$AC$1006:$AS$1006,0)))),"Fix")))</f>
        <v xml:space="preserve"> </v>
      </c>
      <c r="O970" s="4" t="str">
        <f ca="1">IF(OR(INDEX($W$2:$W$1001,MATCH(ROWS($V$2:V970),$V$2:$V$1001,0),1)&gt;=100000,INDEX($AC$1005:$AS$1005,1,MATCH(COLUMNS($AC$1006:AP1006),$AC$1006:$AS$1006,0))&gt;=100000), " ",IF(INDEX($AC$2:$AS$1001,MATCH(ROWS($V$2:V970),$V$2:$V$1001,0),MATCH(COLUMNS($AC$1006:AP1006),$AC$1006:$AS$1006,0)), HYPERLINK("#",""), HYPERLINK(CONCATENATE("#metadata!", ADDRESS(INDEX($X$2:$X$1001,MATCH(ROWS($V$2:V970),$V$2:$V$1001,0),0), INDEX($AC$1004:$AS$1004,1,MATCH(COLUMNS($AC$1006:AP1006),$AC$1006:$AS$1006,0)))),"Fix")))</f>
        <v xml:space="preserve"> </v>
      </c>
      <c r="P970" s="4" t="str">
        <f ca="1">IF(OR(INDEX($W$2:$W$1001,MATCH(ROWS($V$2:V970),$V$2:$V$1001,0),1)&gt;=100000,INDEX($AC$1005:$AS$1005,1,MATCH(COLUMNS($AC$1006:AQ1006),$AC$1006:$AS$1006,0))&gt;=100000), " ",IF(INDEX($AC$2:$AS$1001,MATCH(ROWS($V$2:V970),$V$2:$V$1001,0),MATCH(COLUMNS($AC$1006:AQ1006),$AC$1006:$AS$1006,0)), HYPERLINK("#",""), HYPERLINK(CONCATENATE("#metadata!", ADDRESS(INDEX($X$2:$X$1001,MATCH(ROWS($V$2:V970),$V$2:$V$1001,0),0), INDEX($AC$1004:$AS$1004,1,MATCH(COLUMNS($AC$1006:AQ1006),$AC$1006:$AS$1006,0)))),"Fix")))</f>
        <v xml:space="preserve"> </v>
      </c>
      <c r="Q970" s="4" t="str">
        <f ca="1">IF(OR(INDEX($W$2:$W$1001,MATCH(ROWS($V$2:V970),$V$2:$V$1001,0),1)&gt;=100000,INDEX($AC$1005:$AS$1005,1,MATCH(COLUMNS($AC$1006:AR1006),$AC$1006:$AS$1006,0))&gt;=100000), " ",IF(INDEX($AC$2:$AS$1001,MATCH(ROWS($V$2:V970),$V$2:$V$1001,0),MATCH(COLUMNS($AC$1006:AR1006),$AC$1006:$AS$1006,0)), HYPERLINK("#",""), HYPERLINK(CONCATENATE("#metadata!", ADDRESS(INDEX($X$2:$X$1001,MATCH(ROWS($V$2:V970),$V$2:$V$1001,0),0), INDEX($AC$1004:$AS$1004,1,MATCH(COLUMNS($AC$1006:AR1006),$AC$1006:$AS$1006,0)))),"Fix")))</f>
        <v xml:space="preserve"> </v>
      </c>
      <c r="R970" s="4" t="str">
        <f ca="1">IF(OR(INDEX($W$2:$W$1001,MATCH(ROWS($V$2:V970),$V$2:$V$1001,0),1)&gt;=100000,INDEX($AC$1005:$AS$1005,1,MATCH(COLUMNS($AC$1006:AS1006),$AC$1006:$AS$1006,0))&gt;=100000), " ",IF(INDEX($AC$2:$AS$1001,MATCH(ROWS($V$2:V970),$V$2:$V$1001,0),MATCH(COLUMNS($AC$1006:AS1006),$AC$1006:$AS$1006,0)), HYPERLINK("#",""), HYPERLINK(CONCATENATE("#metadata!", ADDRESS(INDEX($X$2:$X$1001,MATCH(ROWS($V$2:V970),$V$2:$V$1001,0),0), INDEX($AC$1004:$AS$1004,1,MATCH(COLUMNS($AC$1006:AS1006),$AC$1006:$AS$1006,0)))),"Fix")))</f>
        <v xml:space="preserve"> </v>
      </c>
      <c r="V970">
        <v>969</v>
      </c>
      <c r="W970">
        <v>100970</v>
      </c>
      <c r="X970">
        <v>970</v>
      </c>
      <c r="Y970" t="b">
        <f t="shared" si="15"/>
        <v>1</v>
      </c>
      <c r="Z970" t="b">
        <f>COUNTBLANK(metadata!B970:R970)=COLUMNS(metadata!B970:R970)</f>
        <v>1</v>
      </c>
      <c r="AA970" t="str">
        <v/>
      </c>
      <c r="AC970" t="b">
        <f ca="1"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AD970" t="b">
        <f>IF(metadata!C970="",FALSE,ISNUMBER(VALUE(metadata!C970)))</f>
        <v>0</v>
      </c>
      <c r="AE970" t="b">
        <f>AND(IF(metadata!D970="",FALSE,TRUE),EXACT(metadata!D970,"years"))</f>
        <v>0</v>
      </c>
      <c r="AF970" t="b">
        <f>OR(AND(IF(metadata!E970="",FALSE,TRUE),OR(EXACT(metadata!E970,"not applicable"),EXACT(metadata!E970,"missing: not collected"),EXACT(metadata!E970,"missing: not provided"),EXACT(metadata!E970,"missing: restricted access"))),AND(IF(metadata!E970="",FALSE,ISNUMBER(VALUE(metadata!E970))),metadata!E970&gt;0))</f>
        <v>0</v>
      </c>
      <c r="AG970" t="b">
        <f>AND(IF(metadata!F970="",FALSE,TRUE),EXACT(metadata!F970,"Not applicable"))</f>
        <v>0</v>
      </c>
      <c r="AH970" t="b">
        <f>AND(IF(metadata!G970="",FALSE,TRUE),EXACT(metadata!G970,"urban biome"))</f>
        <v>0</v>
      </c>
      <c r="AI970" t="b">
        <f>AND(IF(metadata!H970="",FALSE,TRUE),EXACT(metadata!H970,"human-associated habitat"))</f>
        <v>0</v>
      </c>
      <c r="AJ970" t="b">
        <f>AND(IF(metadata!I970="",FALSE,TRUE),OR(EXACT(metadata!I970,"human-associated"),EXACT(metadata!I970,"human-skin"),EXACT(metadata!I970,"human-oral"),EXACT(metadata!I970,"human-gut"),EXACT(metadata!I970,"human-vaginal")))</f>
        <v>0</v>
      </c>
      <c r="AK970" t="b">
        <f>IF(metadata!J970="",FALSE,ISNUMBER(VALUE(metadata!J970)))</f>
        <v>0</v>
      </c>
      <c r="AL970" t="b">
        <f>AND(IF(metadata!K970="",FALSE,TRUE),EXACT(metadata!K970,"cm"))</f>
        <v>0</v>
      </c>
      <c r="AM970" t="b">
        <f>AND(IF(metadata!L970="",FALSE,TRUE),EXACT(metadata!L970,"human"))</f>
        <v>0</v>
      </c>
      <c r="AN970" t="b">
        <f>AND(IF(metadata!M970="",FALSE,TRUE),EXACT(metadata!M970,"Homo sapiens"))</f>
        <v>0</v>
      </c>
      <c r="AO970" t="b">
        <f>AND(IF(metadata!N970="",FALSE,TRUE),EXACT(metadata!N970,"9606"))</f>
        <v>0</v>
      </c>
      <c r="AP970" t="b">
        <f>IF(metadata!O970="",FALSE,TRUE)</f>
        <v>0</v>
      </c>
      <c r="AQ970" t="b">
        <f>IF(metadata!P970="",FALSE,TRUE)</f>
        <v>0</v>
      </c>
      <c r="AR970" t="b">
        <f>IF(metadata!Q970="",FALSE,ISNUMBER(VALUE(metadata!Q970)))</f>
        <v>0</v>
      </c>
      <c r="AS970" t="b">
        <f>AND(IF(metadata!R970="",FALSE,TRUE),EXACT(metadata!R970,"kg"))</f>
        <v>0</v>
      </c>
    </row>
    <row r="971" spans="1:45" x14ac:dyDescent="0.2">
      <c r="A971" s="5" t="str">
        <f ca="1">IF(B971=" "," ",HYPERLINK(CONCATENATE("#metadata!",ADDRESS(INDEX($X$2:$X$1001,MATCH(ROWS($V$2:V971),$V$2:$V$1001,0),0),1)),INDEX($AA$2:$AA$1001,MATCH(ROWS($V$2:V971),$V$2:$V$1001,0),0)))</f>
        <v xml:space="preserve"> </v>
      </c>
      <c r="B971" s="4" t="str">
        <f ca="1">IF(OR(INDEX($W$2:$W$1001,MATCH(ROWS($V$2:V971),$V$2:$V$1001,0),1)&gt;=100000,INDEX($AC$1005:$AS$1005,1,MATCH(COLUMNS($AC$1006:AC1006),$AC$1006:$AS$1006,0))&gt;=100000), " ",IF(INDEX($AC$2:$AS$1001,MATCH(ROWS($V$2:V971),$V$2:$V$1001,0),MATCH(COLUMNS($AC$1006:AC1006),$AC$1006:$AS$1006,0)), HYPERLINK("#",""), HYPERLINK(CONCATENATE("#metadata!", ADDRESS(INDEX($X$2:$X$1001,MATCH(ROWS($V$2:V971),$V$2:$V$1001,0),0), INDEX($AC$1004:$AS$1004,1,MATCH(COLUMNS($AC$1006:AC1006),$AC$1006:$AS$1006,0)))),"Fix")))</f>
        <v xml:space="preserve"> </v>
      </c>
      <c r="C971" s="4" t="str">
        <f ca="1">IF(OR(INDEX($W$2:$W$1001,MATCH(ROWS($V$2:V971),$V$2:$V$1001,0),1)&gt;=100000,INDEX($AC$1005:$AS$1005,1,MATCH(COLUMNS($AC$1006:AD1006),$AC$1006:$AS$1006,0))&gt;=100000), " ",IF(INDEX($AC$2:$AS$1001,MATCH(ROWS($V$2:V971),$V$2:$V$1001,0),MATCH(COLUMNS($AC$1006:AD1006),$AC$1006:$AS$1006,0)), HYPERLINK("#",""), HYPERLINK(CONCATENATE("#metadata!", ADDRESS(INDEX($X$2:$X$1001,MATCH(ROWS($V$2:V971),$V$2:$V$1001,0),0), INDEX($AC$1004:$AS$1004,1,MATCH(COLUMNS($AC$1006:AD1006),$AC$1006:$AS$1006,0)))),"Fix")))</f>
        <v xml:space="preserve"> </v>
      </c>
      <c r="D971" s="4" t="str">
        <f ca="1">IF(OR(INDEX($W$2:$W$1001,MATCH(ROWS($V$2:V971),$V$2:$V$1001,0),1)&gt;=100000,INDEX($AC$1005:$AS$1005,1,MATCH(COLUMNS($AC$1006:AE1006),$AC$1006:$AS$1006,0))&gt;=100000), " ",IF(INDEX($AC$2:$AS$1001,MATCH(ROWS($V$2:V971),$V$2:$V$1001,0),MATCH(COLUMNS($AC$1006:AE1006),$AC$1006:$AS$1006,0)), HYPERLINK("#",""), HYPERLINK(CONCATENATE("#metadata!", ADDRESS(INDEX($X$2:$X$1001,MATCH(ROWS($V$2:V971),$V$2:$V$1001,0),0), INDEX($AC$1004:$AS$1004,1,MATCH(COLUMNS($AC$1006:AE1006),$AC$1006:$AS$1006,0)))),"Fix")))</f>
        <v xml:space="preserve"> </v>
      </c>
      <c r="E971" s="4" t="str">
        <f ca="1">IF(OR(INDEX($W$2:$W$1001,MATCH(ROWS($V$2:V971),$V$2:$V$1001,0),1)&gt;=100000,INDEX($AC$1005:$AS$1005,1,MATCH(COLUMNS($AC$1006:AF1006),$AC$1006:$AS$1006,0))&gt;=100000), " ",IF(INDEX($AC$2:$AS$1001,MATCH(ROWS($V$2:V971),$V$2:$V$1001,0),MATCH(COLUMNS($AC$1006:AF1006),$AC$1006:$AS$1006,0)), HYPERLINK("#",""), HYPERLINK(CONCATENATE("#metadata!", ADDRESS(INDEX($X$2:$X$1001,MATCH(ROWS($V$2:V971),$V$2:$V$1001,0),0), INDEX($AC$1004:$AS$1004,1,MATCH(COLUMNS($AC$1006:AF1006),$AC$1006:$AS$1006,0)))),"Fix")))</f>
        <v xml:space="preserve"> </v>
      </c>
      <c r="F971" s="4" t="str">
        <f ca="1">IF(OR(INDEX($W$2:$W$1001,MATCH(ROWS($V$2:V971),$V$2:$V$1001,0),1)&gt;=100000,INDEX($AC$1005:$AS$1005,1,MATCH(COLUMNS($AC$1006:AG1006),$AC$1006:$AS$1006,0))&gt;=100000), " ",IF(INDEX($AC$2:$AS$1001,MATCH(ROWS($V$2:V971),$V$2:$V$1001,0),MATCH(COLUMNS($AC$1006:AG1006),$AC$1006:$AS$1006,0)), HYPERLINK("#",""), HYPERLINK(CONCATENATE("#metadata!", ADDRESS(INDEX($X$2:$X$1001,MATCH(ROWS($V$2:V971),$V$2:$V$1001,0),0), INDEX($AC$1004:$AS$1004,1,MATCH(COLUMNS($AC$1006:AG1006),$AC$1006:$AS$1006,0)))),"Fix")))</f>
        <v xml:space="preserve"> </v>
      </c>
      <c r="G971" s="4" t="str">
        <f ca="1">IF(OR(INDEX($W$2:$W$1001,MATCH(ROWS($V$2:V971),$V$2:$V$1001,0),1)&gt;=100000,INDEX($AC$1005:$AS$1005,1,MATCH(COLUMNS($AC$1006:AH1006),$AC$1006:$AS$1006,0))&gt;=100000), " ",IF(INDEX($AC$2:$AS$1001,MATCH(ROWS($V$2:V971),$V$2:$V$1001,0),MATCH(COLUMNS($AC$1006:AH1006),$AC$1006:$AS$1006,0)), HYPERLINK("#",""), HYPERLINK(CONCATENATE("#metadata!", ADDRESS(INDEX($X$2:$X$1001,MATCH(ROWS($V$2:V971),$V$2:$V$1001,0),0), INDEX($AC$1004:$AS$1004,1,MATCH(COLUMNS($AC$1006:AH1006),$AC$1006:$AS$1006,0)))),"Fix")))</f>
        <v xml:space="preserve"> </v>
      </c>
      <c r="H971" s="4" t="str">
        <f ca="1">IF(OR(INDEX($W$2:$W$1001,MATCH(ROWS($V$2:V971),$V$2:$V$1001,0),1)&gt;=100000,INDEX($AC$1005:$AS$1005,1,MATCH(COLUMNS($AC$1006:AI1006),$AC$1006:$AS$1006,0))&gt;=100000), " ",IF(INDEX($AC$2:$AS$1001,MATCH(ROWS($V$2:V971),$V$2:$V$1001,0),MATCH(COLUMNS($AC$1006:AI1006),$AC$1006:$AS$1006,0)), HYPERLINK("#",""), HYPERLINK(CONCATENATE("#metadata!", ADDRESS(INDEX($X$2:$X$1001,MATCH(ROWS($V$2:V971),$V$2:$V$1001,0),0), INDEX($AC$1004:$AS$1004,1,MATCH(COLUMNS($AC$1006:AI1006),$AC$1006:$AS$1006,0)))),"Fix")))</f>
        <v xml:space="preserve"> </v>
      </c>
      <c r="I971" s="4" t="str">
        <f ca="1">IF(OR(INDEX($W$2:$W$1001,MATCH(ROWS($V$2:V971),$V$2:$V$1001,0),1)&gt;=100000,INDEX($AC$1005:$AS$1005,1,MATCH(COLUMNS($AC$1006:AJ1006),$AC$1006:$AS$1006,0))&gt;=100000), " ",IF(INDEX($AC$2:$AS$1001,MATCH(ROWS($V$2:V971),$V$2:$V$1001,0),MATCH(COLUMNS($AC$1006:AJ1006),$AC$1006:$AS$1006,0)), HYPERLINK("#",""), HYPERLINK(CONCATENATE("#metadata!", ADDRESS(INDEX($X$2:$X$1001,MATCH(ROWS($V$2:V971),$V$2:$V$1001,0),0), INDEX($AC$1004:$AS$1004,1,MATCH(COLUMNS($AC$1006:AJ1006),$AC$1006:$AS$1006,0)))),"Fix")))</f>
        <v xml:space="preserve"> </v>
      </c>
      <c r="J971" s="4" t="str">
        <f ca="1">IF(OR(INDEX($W$2:$W$1001,MATCH(ROWS($V$2:V971),$V$2:$V$1001,0),1)&gt;=100000,INDEX($AC$1005:$AS$1005,1,MATCH(COLUMNS($AC$1006:AK1006),$AC$1006:$AS$1006,0))&gt;=100000), " ",IF(INDEX($AC$2:$AS$1001,MATCH(ROWS($V$2:V971),$V$2:$V$1001,0),MATCH(COLUMNS($AC$1006:AK1006),$AC$1006:$AS$1006,0)), HYPERLINK("#",""), HYPERLINK(CONCATENATE("#metadata!", ADDRESS(INDEX($X$2:$X$1001,MATCH(ROWS($V$2:V971),$V$2:$V$1001,0),0), INDEX($AC$1004:$AS$1004,1,MATCH(COLUMNS($AC$1006:AK1006),$AC$1006:$AS$1006,0)))),"Fix")))</f>
        <v xml:space="preserve"> </v>
      </c>
      <c r="K971" s="4" t="str">
        <f ca="1">IF(OR(INDEX($W$2:$W$1001,MATCH(ROWS($V$2:V971),$V$2:$V$1001,0),1)&gt;=100000,INDEX($AC$1005:$AS$1005,1,MATCH(COLUMNS($AC$1006:AL1006),$AC$1006:$AS$1006,0))&gt;=100000), " ",IF(INDEX($AC$2:$AS$1001,MATCH(ROWS($V$2:V971),$V$2:$V$1001,0),MATCH(COLUMNS($AC$1006:AL1006),$AC$1006:$AS$1006,0)), HYPERLINK("#",""), HYPERLINK(CONCATENATE("#metadata!", ADDRESS(INDEX($X$2:$X$1001,MATCH(ROWS($V$2:V971),$V$2:$V$1001,0),0), INDEX($AC$1004:$AS$1004,1,MATCH(COLUMNS($AC$1006:AL1006),$AC$1006:$AS$1006,0)))),"Fix")))</f>
        <v xml:space="preserve"> </v>
      </c>
      <c r="L971" s="4" t="str">
        <f ca="1">IF(OR(INDEX($W$2:$W$1001,MATCH(ROWS($V$2:V971),$V$2:$V$1001,0),1)&gt;=100000,INDEX($AC$1005:$AS$1005,1,MATCH(COLUMNS($AC$1006:AM1006),$AC$1006:$AS$1006,0))&gt;=100000), " ",IF(INDEX($AC$2:$AS$1001,MATCH(ROWS($V$2:V971),$V$2:$V$1001,0),MATCH(COLUMNS($AC$1006:AM1006),$AC$1006:$AS$1006,0)), HYPERLINK("#",""), HYPERLINK(CONCATENATE("#metadata!", ADDRESS(INDEX($X$2:$X$1001,MATCH(ROWS($V$2:V971),$V$2:$V$1001,0),0), INDEX($AC$1004:$AS$1004,1,MATCH(COLUMNS($AC$1006:AM1006),$AC$1006:$AS$1006,0)))),"Fix")))</f>
        <v xml:space="preserve"> </v>
      </c>
      <c r="M971" s="4" t="str">
        <f ca="1">IF(OR(INDEX($W$2:$W$1001,MATCH(ROWS($V$2:V971),$V$2:$V$1001,0),1)&gt;=100000,INDEX($AC$1005:$AS$1005,1,MATCH(COLUMNS($AC$1006:AN1006),$AC$1006:$AS$1006,0))&gt;=100000), " ",IF(INDEX($AC$2:$AS$1001,MATCH(ROWS($V$2:V971),$V$2:$V$1001,0),MATCH(COLUMNS($AC$1006:AN1006),$AC$1006:$AS$1006,0)), HYPERLINK("#",""), HYPERLINK(CONCATENATE("#metadata!", ADDRESS(INDEX($X$2:$X$1001,MATCH(ROWS($V$2:V971),$V$2:$V$1001,0),0), INDEX($AC$1004:$AS$1004,1,MATCH(COLUMNS($AC$1006:AN1006),$AC$1006:$AS$1006,0)))),"Fix")))</f>
        <v xml:space="preserve"> </v>
      </c>
      <c r="N971" s="4" t="str">
        <f ca="1">IF(OR(INDEX($W$2:$W$1001,MATCH(ROWS($V$2:V971),$V$2:$V$1001,0),1)&gt;=100000,INDEX($AC$1005:$AS$1005,1,MATCH(COLUMNS($AC$1006:AO1006),$AC$1006:$AS$1006,0))&gt;=100000), " ",IF(INDEX($AC$2:$AS$1001,MATCH(ROWS($V$2:V971),$V$2:$V$1001,0),MATCH(COLUMNS($AC$1006:AO1006),$AC$1006:$AS$1006,0)), HYPERLINK("#",""), HYPERLINK(CONCATENATE("#metadata!", ADDRESS(INDEX($X$2:$X$1001,MATCH(ROWS($V$2:V971),$V$2:$V$1001,0),0), INDEX($AC$1004:$AS$1004,1,MATCH(COLUMNS($AC$1006:AO1006),$AC$1006:$AS$1006,0)))),"Fix")))</f>
        <v xml:space="preserve"> </v>
      </c>
      <c r="O971" s="4" t="str">
        <f ca="1">IF(OR(INDEX($W$2:$W$1001,MATCH(ROWS($V$2:V971),$V$2:$V$1001,0),1)&gt;=100000,INDEX($AC$1005:$AS$1005,1,MATCH(COLUMNS($AC$1006:AP1006),$AC$1006:$AS$1006,0))&gt;=100000), " ",IF(INDEX($AC$2:$AS$1001,MATCH(ROWS($V$2:V971),$V$2:$V$1001,0),MATCH(COLUMNS($AC$1006:AP1006),$AC$1006:$AS$1006,0)), HYPERLINK("#",""), HYPERLINK(CONCATENATE("#metadata!", ADDRESS(INDEX($X$2:$X$1001,MATCH(ROWS($V$2:V971),$V$2:$V$1001,0),0), INDEX($AC$1004:$AS$1004,1,MATCH(COLUMNS($AC$1006:AP1006),$AC$1006:$AS$1006,0)))),"Fix")))</f>
        <v xml:space="preserve"> </v>
      </c>
      <c r="P971" s="4" t="str">
        <f ca="1">IF(OR(INDEX($W$2:$W$1001,MATCH(ROWS($V$2:V971),$V$2:$V$1001,0),1)&gt;=100000,INDEX($AC$1005:$AS$1005,1,MATCH(COLUMNS($AC$1006:AQ1006),$AC$1006:$AS$1006,0))&gt;=100000), " ",IF(INDEX($AC$2:$AS$1001,MATCH(ROWS($V$2:V971),$V$2:$V$1001,0),MATCH(COLUMNS($AC$1006:AQ1006),$AC$1006:$AS$1006,0)), HYPERLINK("#",""), HYPERLINK(CONCATENATE("#metadata!", ADDRESS(INDEX($X$2:$X$1001,MATCH(ROWS($V$2:V971),$V$2:$V$1001,0),0), INDEX($AC$1004:$AS$1004,1,MATCH(COLUMNS($AC$1006:AQ1006),$AC$1006:$AS$1006,0)))),"Fix")))</f>
        <v xml:space="preserve"> </v>
      </c>
      <c r="Q971" s="4" t="str">
        <f ca="1">IF(OR(INDEX($W$2:$W$1001,MATCH(ROWS($V$2:V971),$V$2:$V$1001,0),1)&gt;=100000,INDEX($AC$1005:$AS$1005,1,MATCH(COLUMNS($AC$1006:AR1006),$AC$1006:$AS$1006,0))&gt;=100000), " ",IF(INDEX($AC$2:$AS$1001,MATCH(ROWS($V$2:V971),$V$2:$V$1001,0),MATCH(COLUMNS($AC$1006:AR1006),$AC$1006:$AS$1006,0)), HYPERLINK("#",""), HYPERLINK(CONCATENATE("#metadata!", ADDRESS(INDEX($X$2:$X$1001,MATCH(ROWS($V$2:V971),$V$2:$V$1001,0),0), INDEX($AC$1004:$AS$1004,1,MATCH(COLUMNS($AC$1006:AR1006),$AC$1006:$AS$1006,0)))),"Fix")))</f>
        <v xml:space="preserve"> </v>
      </c>
      <c r="R971" s="4" t="str">
        <f ca="1">IF(OR(INDEX($W$2:$W$1001,MATCH(ROWS($V$2:V971),$V$2:$V$1001,0),1)&gt;=100000,INDEX($AC$1005:$AS$1005,1,MATCH(COLUMNS($AC$1006:AS1006),$AC$1006:$AS$1006,0))&gt;=100000), " ",IF(INDEX($AC$2:$AS$1001,MATCH(ROWS($V$2:V971),$V$2:$V$1001,0),MATCH(COLUMNS($AC$1006:AS1006),$AC$1006:$AS$1006,0)), HYPERLINK("#",""), HYPERLINK(CONCATENATE("#metadata!", ADDRESS(INDEX($X$2:$X$1001,MATCH(ROWS($V$2:V971),$V$2:$V$1001,0),0), INDEX($AC$1004:$AS$1004,1,MATCH(COLUMNS($AC$1006:AS1006),$AC$1006:$AS$1006,0)))),"Fix")))</f>
        <v xml:space="preserve"> </v>
      </c>
      <c r="V971">
        <v>970</v>
      </c>
      <c r="W971">
        <v>100971</v>
      </c>
      <c r="X971">
        <v>971</v>
      </c>
      <c r="Y971" t="b">
        <f t="shared" si="15"/>
        <v>1</v>
      </c>
      <c r="Z971" t="b">
        <f>COUNTBLANK(metadata!B971:R971)=COLUMNS(metadata!B971:R971)</f>
        <v>1</v>
      </c>
      <c r="AA971" t="str">
        <v/>
      </c>
      <c r="AC971" t="b">
        <f ca="1"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AD971" t="b">
        <f>IF(metadata!C971="",FALSE,ISNUMBER(VALUE(metadata!C971)))</f>
        <v>0</v>
      </c>
      <c r="AE971" t="b">
        <f>AND(IF(metadata!D971="",FALSE,TRUE),EXACT(metadata!D971,"years"))</f>
        <v>0</v>
      </c>
      <c r="AF971" t="b">
        <f>OR(AND(IF(metadata!E971="",FALSE,TRUE),OR(EXACT(metadata!E971,"not applicable"),EXACT(metadata!E971,"missing: not collected"),EXACT(metadata!E971,"missing: not provided"),EXACT(metadata!E971,"missing: restricted access"))),AND(IF(metadata!E971="",FALSE,ISNUMBER(VALUE(metadata!E971))),metadata!E971&gt;0))</f>
        <v>0</v>
      </c>
      <c r="AG971" t="b">
        <f>AND(IF(metadata!F971="",FALSE,TRUE),EXACT(metadata!F971,"Not applicable"))</f>
        <v>0</v>
      </c>
      <c r="AH971" t="b">
        <f>AND(IF(metadata!G971="",FALSE,TRUE),EXACT(metadata!G971,"urban biome"))</f>
        <v>0</v>
      </c>
      <c r="AI971" t="b">
        <f>AND(IF(metadata!H971="",FALSE,TRUE),EXACT(metadata!H971,"human-associated habitat"))</f>
        <v>0</v>
      </c>
      <c r="AJ971" t="b">
        <f>AND(IF(metadata!I971="",FALSE,TRUE),OR(EXACT(metadata!I971,"human-associated"),EXACT(metadata!I971,"human-skin"),EXACT(metadata!I971,"human-oral"),EXACT(metadata!I971,"human-gut"),EXACT(metadata!I971,"human-vaginal")))</f>
        <v>0</v>
      </c>
      <c r="AK971" t="b">
        <f>IF(metadata!J971="",FALSE,ISNUMBER(VALUE(metadata!J971)))</f>
        <v>0</v>
      </c>
      <c r="AL971" t="b">
        <f>AND(IF(metadata!K971="",FALSE,TRUE),EXACT(metadata!K971,"cm"))</f>
        <v>0</v>
      </c>
      <c r="AM971" t="b">
        <f>AND(IF(metadata!L971="",FALSE,TRUE),EXACT(metadata!L971,"human"))</f>
        <v>0</v>
      </c>
      <c r="AN971" t="b">
        <f>AND(IF(metadata!M971="",FALSE,TRUE),EXACT(metadata!M971,"Homo sapiens"))</f>
        <v>0</v>
      </c>
      <c r="AO971" t="b">
        <f>AND(IF(metadata!N971="",FALSE,TRUE),EXACT(metadata!N971,"9606"))</f>
        <v>0</v>
      </c>
      <c r="AP971" t="b">
        <f>IF(metadata!O971="",FALSE,TRUE)</f>
        <v>0</v>
      </c>
      <c r="AQ971" t="b">
        <f>IF(metadata!P971="",FALSE,TRUE)</f>
        <v>0</v>
      </c>
      <c r="AR971" t="b">
        <f>IF(metadata!Q971="",FALSE,ISNUMBER(VALUE(metadata!Q971)))</f>
        <v>0</v>
      </c>
      <c r="AS971" t="b">
        <f>AND(IF(metadata!R971="",FALSE,TRUE),EXACT(metadata!R971,"kg"))</f>
        <v>0</v>
      </c>
    </row>
    <row r="972" spans="1:45" x14ac:dyDescent="0.2">
      <c r="A972" s="5" t="str">
        <f ca="1">IF(B972=" "," ",HYPERLINK(CONCATENATE("#metadata!",ADDRESS(INDEX($X$2:$X$1001,MATCH(ROWS($V$2:V972),$V$2:$V$1001,0),0),1)),INDEX($AA$2:$AA$1001,MATCH(ROWS($V$2:V972),$V$2:$V$1001,0),0)))</f>
        <v xml:space="preserve"> </v>
      </c>
      <c r="B972" s="4" t="str">
        <f ca="1">IF(OR(INDEX($W$2:$W$1001,MATCH(ROWS($V$2:V972),$V$2:$V$1001,0),1)&gt;=100000,INDEX($AC$1005:$AS$1005,1,MATCH(COLUMNS($AC$1006:AC1006),$AC$1006:$AS$1006,0))&gt;=100000), " ",IF(INDEX($AC$2:$AS$1001,MATCH(ROWS($V$2:V972),$V$2:$V$1001,0),MATCH(COLUMNS($AC$1006:AC1006),$AC$1006:$AS$1006,0)), HYPERLINK("#",""), HYPERLINK(CONCATENATE("#metadata!", ADDRESS(INDEX($X$2:$X$1001,MATCH(ROWS($V$2:V972),$V$2:$V$1001,0),0), INDEX($AC$1004:$AS$1004,1,MATCH(COLUMNS($AC$1006:AC1006),$AC$1006:$AS$1006,0)))),"Fix")))</f>
        <v xml:space="preserve"> </v>
      </c>
      <c r="C972" s="4" t="str">
        <f ca="1">IF(OR(INDEX($W$2:$W$1001,MATCH(ROWS($V$2:V972),$V$2:$V$1001,0),1)&gt;=100000,INDEX($AC$1005:$AS$1005,1,MATCH(COLUMNS($AC$1006:AD1006),$AC$1006:$AS$1006,0))&gt;=100000), " ",IF(INDEX($AC$2:$AS$1001,MATCH(ROWS($V$2:V972),$V$2:$V$1001,0),MATCH(COLUMNS($AC$1006:AD1006),$AC$1006:$AS$1006,0)), HYPERLINK("#",""), HYPERLINK(CONCATENATE("#metadata!", ADDRESS(INDEX($X$2:$X$1001,MATCH(ROWS($V$2:V972),$V$2:$V$1001,0),0), INDEX($AC$1004:$AS$1004,1,MATCH(COLUMNS($AC$1006:AD1006),$AC$1006:$AS$1006,0)))),"Fix")))</f>
        <v xml:space="preserve"> </v>
      </c>
      <c r="D972" s="4" t="str">
        <f ca="1">IF(OR(INDEX($W$2:$W$1001,MATCH(ROWS($V$2:V972),$V$2:$V$1001,0),1)&gt;=100000,INDEX($AC$1005:$AS$1005,1,MATCH(COLUMNS($AC$1006:AE1006),$AC$1006:$AS$1006,0))&gt;=100000), " ",IF(INDEX($AC$2:$AS$1001,MATCH(ROWS($V$2:V972),$V$2:$V$1001,0),MATCH(COLUMNS($AC$1006:AE1006),$AC$1006:$AS$1006,0)), HYPERLINK("#",""), HYPERLINK(CONCATENATE("#metadata!", ADDRESS(INDEX($X$2:$X$1001,MATCH(ROWS($V$2:V972),$V$2:$V$1001,0),0), INDEX($AC$1004:$AS$1004,1,MATCH(COLUMNS($AC$1006:AE1006),$AC$1006:$AS$1006,0)))),"Fix")))</f>
        <v xml:space="preserve"> </v>
      </c>
      <c r="E972" s="4" t="str">
        <f ca="1">IF(OR(INDEX($W$2:$W$1001,MATCH(ROWS($V$2:V972),$V$2:$V$1001,0),1)&gt;=100000,INDEX($AC$1005:$AS$1005,1,MATCH(COLUMNS($AC$1006:AF1006),$AC$1006:$AS$1006,0))&gt;=100000), " ",IF(INDEX($AC$2:$AS$1001,MATCH(ROWS($V$2:V972),$V$2:$V$1001,0),MATCH(COLUMNS($AC$1006:AF1006),$AC$1006:$AS$1006,0)), HYPERLINK("#",""), HYPERLINK(CONCATENATE("#metadata!", ADDRESS(INDEX($X$2:$X$1001,MATCH(ROWS($V$2:V972),$V$2:$V$1001,0),0), INDEX($AC$1004:$AS$1004,1,MATCH(COLUMNS($AC$1006:AF1006),$AC$1006:$AS$1006,0)))),"Fix")))</f>
        <v xml:space="preserve"> </v>
      </c>
      <c r="F972" s="4" t="str">
        <f ca="1">IF(OR(INDEX($W$2:$W$1001,MATCH(ROWS($V$2:V972),$V$2:$V$1001,0),1)&gt;=100000,INDEX($AC$1005:$AS$1005,1,MATCH(COLUMNS($AC$1006:AG1006),$AC$1006:$AS$1006,0))&gt;=100000), " ",IF(INDEX($AC$2:$AS$1001,MATCH(ROWS($V$2:V972),$V$2:$V$1001,0),MATCH(COLUMNS($AC$1006:AG1006),$AC$1006:$AS$1006,0)), HYPERLINK("#",""), HYPERLINK(CONCATENATE("#metadata!", ADDRESS(INDEX($X$2:$X$1001,MATCH(ROWS($V$2:V972),$V$2:$V$1001,0),0), INDEX($AC$1004:$AS$1004,1,MATCH(COLUMNS($AC$1006:AG1006),$AC$1006:$AS$1006,0)))),"Fix")))</f>
        <v xml:space="preserve"> </v>
      </c>
      <c r="G972" s="4" t="str">
        <f ca="1">IF(OR(INDEX($W$2:$W$1001,MATCH(ROWS($V$2:V972),$V$2:$V$1001,0),1)&gt;=100000,INDEX($AC$1005:$AS$1005,1,MATCH(COLUMNS($AC$1006:AH1006),$AC$1006:$AS$1006,0))&gt;=100000), " ",IF(INDEX($AC$2:$AS$1001,MATCH(ROWS($V$2:V972),$V$2:$V$1001,0),MATCH(COLUMNS($AC$1006:AH1006),$AC$1006:$AS$1006,0)), HYPERLINK("#",""), HYPERLINK(CONCATENATE("#metadata!", ADDRESS(INDEX($X$2:$X$1001,MATCH(ROWS($V$2:V972),$V$2:$V$1001,0),0), INDEX($AC$1004:$AS$1004,1,MATCH(COLUMNS($AC$1006:AH1006),$AC$1006:$AS$1006,0)))),"Fix")))</f>
        <v xml:space="preserve"> </v>
      </c>
      <c r="H972" s="4" t="str">
        <f ca="1">IF(OR(INDEX($W$2:$W$1001,MATCH(ROWS($V$2:V972),$V$2:$V$1001,0),1)&gt;=100000,INDEX($AC$1005:$AS$1005,1,MATCH(COLUMNS($AC$1006:AI1006),$AC$1006:$AS$1006,0))&gt;=100000), " ",IF(INDEX($AC$2:$AS$1001,MATCH(ROWS($V$2:V972),$V$2:$V$1001,0),MATCH(COLUMNS($AC$1006:AI1006),$AC$1006:$AS$1006,0)), HYPERLINK("#",""), HYPERLINK(CONCATENATE("#metadata!", ADDRESS(INDEX($X$2:$X$1001,MATCH(ROWS($V$2:V972),$V$2:$V$1001,0),0), INDEX($AC$1004:$AS$1004,1,MATCH(COLUMNS($AC$1006:AI1006),$AC$1006:$AS$1006,0)))),"Fix")))</f>
        <v xml:space="preserve"> </v>
      </c>
      <c r="I972" s="4" t="str">
        <f ca="1">IF(OR(INDEX($W$2:$W$1001,MATCH(ROWS($V$2:V972),$V$2:$V$1001,0),1)&gt;=100000,INDEX($AC$1005:$AS$1005,1,MATCH(COLUMNS($AC$1006:AJ1006),$AC$1006:$AS$1006,0))&gt;=100000), " ",IF(INDEX($AC$2:$AS$1001,MATCH(ROWS($V$2:V972),$V$2:$V$1001,0),MATCH(COLUMNS($AC$1006:AJ1006),$AC$1006:$AS$1006,0)), HYPERLINK("#",""), HYPERLINK(CONCATENATE("#metadata!", ADDRESS(INDEX($X$2:$X$1001,MATCH(ROWS($V$2:V972),$V$2:$V$1001,0),0), INDEX($AC$1004:$AS$1004,1,MATCH(COLUMNS($AC$1006:AJ1006),$AC$1006:$AS$1006,0)))),"Fix")))</f>
        <v xml:space="preserve"> </v>
      </c>
      <c r="J972" s="4" t="str">
        <f ca="1">IF(OR(INDEX($W$2:$W$1001,MATCH(ROWS($V$2:V972),$V$2:$V$1001,0),1)&gt;=100000,INDEX($AC$1005:$AS$1005,1,MATCH(COLUMNS($AC$1006:AK1006),$AC$1006:$AS$1006,0))&gt;=100000), " ",IF(INDEX($AC$2:$AS$1001,MATCH(ROWS($V$2:V972),$V$2:$V$1001,0),MATCH(COLUMNS($AC$1006:AK1006),$AC$1006:$AS$1006,0)), HYPERLINK("#",""), HYPERLINK(CONCATENATE("#metadata!", ADDRESS(INDEX($X$2:$X$1001,MATCH(ROWS($V$2:V972),$V$2:$V$1001,0),0), INDEX($AC$1004:$AS$1004,1,MATCH(COLUMNS($AC$1006:AK1006),$AC$1006:$AS$1006,0)))),"Fix")))</f>
        <v xml:space="preserve"> </v>
      </c>
      <c r="K972" s="4" t="str">
        <f ca="1">IF(OR(INDEX($W$2:$W$1001,MATCH(ROWS($V$2:V972),$V$2:$V$1001,0),1)&gt;=100000,INDEX($AC$1005:$AS$1005,1,MATCH(COLUMNS($AC$1006:AL1006),$AC$1006:$AS$1006,0))&gt;=100000), " ",IF(INDEX($AC$2:$AS$1001,MATCH(ROWS($V$2:V972),$V$2:$V$1001,0),MATCH(COLUMNS($AC$1006:AL1006),$AC$1006:$AS$1006,0)), HYPERLINK("#",""), HYPERLINK(CONCATENATE("#metadata!", ADDRESS(INDEX($X$2:$X$1001,MATCH(ROWS($V$2:V972),$V$2:$V$1001,0),0), INDEX($AC$1004:$AS$1004,1,MATCH(COLUMNS($AC$1006:AL1006),$AC$1006:$AS$1006,0)))),"Fix")))</f>
        <v xml:space="preserve"> </v>
      </c>
      <c r="L972" s="4" t="str">
        <f ca="1">IF(OR(INDEX($W$2:$W$1001,MATCH(ROWS($V$2:V972),$V$2:$V$1001,0),1)&gt;=100000,INDEX($AC$1005:$AS$1005,1,MATCH(COLUMNS($AC$1006:AM1006),$AC$1006:$AS$1006,0))&gt;=100000), " ",IF(INDEX($AC$2:$AS$1001,MATCH(ROWS($V$2:V972),$V$2:$V$1001,0),MATCH(COLUMNS($AC$1006:AM1006),$AC$1006:$AS$1006,0)), HYPERLINK("#",""), HYPERLINK(CONCATENATE("#metadata!", ADDRESS(INDEX($X$2:$X$1001,MATCH(ROWS($V$2:V972),$V$2:$V$1001,0),0), INDEX($AC$1004:$AS$1004,1,MATCH(COLUMNS($AC$1006:AM1006),$AC$1006:$AS$1006,0)))),"Fix")))</f>
        <v xml:space="preserve"> </v>
      </c>
      <c r="M972" s="4" t="str">
        <f ca="1">IF(OR(INDEX($W$2:$W$1001,MATCH(ROWS($V$2:V972),$V$2:$V$1001,0),1)&gt;=100000,INDEX($AC$1005:$AS$1005,1,MATCH(COLUMNS($AC$1006:AN1006),$AC$1006:$AS$1006,0))&gt;=100000), " ",IF(INDEX($AC$2:$AS$1001,MATCH(ROWS($V$2:V972),$V$2:$V$1001,0),MATCH(COLUMNS($AC$1006:AN1006),$AC$1006:$AS$1006,0)), HYPERLINK("#",""), HYPERLINK(CONCATENATE("#metadata!", ADDRESS(INDEX($X$2:$X$1001,MATCH(ROWS($V$2:V972),$V$2:$V$1001,0),0), INDEX($AC$1004:$AS$1004,1,MATCH(COLUMNS($AC$1006:AN1006),$AC$1006:$AS$1006,0)))),"Fix")))</f>
        <v xml:space="preserve"> </v>
      </c>
      <c r="N972" s="4" t="str">
        <f ca="1">IF(OR(INDEX($W$2:$W$1001,MATCH(ROWS($V$2:V972),$V$2:$V$1001,0),1)&gt;=100000,INDEX($AC$1005:$AS$1005,1,MATCH(COLUMNS($AC$1006:AO1006),$AC$1006:$AS$1006,0))&gt;=100000), " ",IF(INDEX($AC$2:$AS$1001,MATCH(ROWS($V$2:V972),$V$2:$V$1001,0),MATCH(COLUMNS($AC$1006:AO1006),$AC$1006:$AS$1006,0)), HYPERLINK("#",""), HYPERLINK(CONCATENATE("#metadata!", ADDRESS(INDEX($X$2:$X$1001,MATCH(ROWS($V$2:V972),$V$2:$V$1001,0),0), INDEX($AC$1004:$AS$1004,1,MATCH(COLUMNS($AC$1006:AO1006),$AC$1006:$AS$1006,0)))),"Fix")))</f>
        <v xml:space="preserve"> </v>
      </c>
      <c r="O972" s="4" t="str">
        <f ca="1">IF(OR(INDEX($W$2:$W$1001,MATCH(ROWS($V$2:V972),$V$2:$V$1001,0),1)&gt;=100000,INDEX($AC$1005:$AS$1005,1,MATCH(COLUMNS($AC$1006:AP1006),$AC$1006:$AS$1006,0))&gt;=100000), " ",IF(INDEX($AC$2:$AS$1001,MATCH(ROWS($V$2:V972),$V$2:$V$1001,0),MATCH(COLUMNS($AC$1006:AP1006),$AC$1006:$AS$1006,0)), HYPERLINK("#",""), HYPERLINK(CONCATENATE("#metadata!", ADDRESS(INDEX($X$2:$X$1001,MATCH(ROWS($V$2:V972),$V$2:$V$1001,0),0), INDEX($AC$1004:$AS$1004,1,MATCH(COLUMNS($AC$1006:AP1006),$AC$1006:$AS$1006,0)))),"Fix")))</f>
        <v xml:space="preserve"> </v>
      </c>
      <c r="P972" s="4" t="str">
        <f ca="1">IF(OR(INDEX($W$2:$W$1001,MATCH(ROWS($V$2:V972),$V$2:$V$1001,0),1)&gt;=100000,INDEX($AC$1005:$AS$1005,1,MATCH(COLUMNS($AC$1006:AQ1006),$AC$1006:$AS$1006,0))&gt;=100000), " ",IF(INDEX($AC$2:$AS$1001,MATCH(ROWS($V$2:V972),$V$2:$V$1001,0),MATCH(COLUMNS($AC$1006:AQ1006),$AC$1006:$AS$1006,0)), HYPERLINK("#",""), HYPERLINK(CONCATENATE("#metadata!", ADDRESS(INDEX($X$2:$X$1001,MATCH(ROWS($V$2:V972),$V$2:$V$1001,0),0), INDEX($AC$1004:$AS$1004,1,MATCH(COLUMNS($AC$1006:AQ1006),$AC$1006:$AS$1006,0)))),"Fix")))</f>
        <v xml:space="preserve"> </v>
      </c>
      <c r="Q972" s="4" t="str">
        <f ca="1">IF(OR(INDEX($W$2:$W$1001,MATCH(ROWS($V$2:V972),$V$2:$V$1001,0),1)&gt;=100000,INDEX($AC$1005:$AS$1005,1,MATCH(COLUMNS($AC$1006:AR1006),$AC$1006:$AS$1006,0))&gt;=100000), " ",IF(INDEX($AC$2:$AS$1001,MATCH(ROWS($V$2:V972),$V$2:$V$1001,0),MATCH(COLUMNS($AC$1006:AR1006),$AC$1006:$AS$1006,0)), HYPERLINK("#",""), HYPERLINK(CONCATENATE("#metadata!", ADDRESS(INDEX($X$2:$X$1001,MATCH(ROWS($V$2:V972),$V$2:$V$1001,0),0), INDEX($AC$1004:$AS$1004,1,MATCH(COLUMNS($AC$1006:AR1006),$AC$1006:$AS$1006,0)))),"Fix")))</f>
        <v xml:space="preserve"> </v>
      </c>
      <c r="R972" s="4" t="str">
        <f ca="1">IF(OR(INDEX($W$2:$W$1001,MATCH(ROWS($V$2:V972),$V$2:$V$1001,0),1)&gt;=100000,INDEX($AC$1005:$AS$1005,1,MATCH(COLUMNS($AC$1006:AS1006),$AC$1006:$AS$1006,0))&gt;=100000), " ",IF(INDEX($AC$2:$AS$1001,MATCH(ROWS($V$2:V972),$V$2:$V$1001,0),MATCH(COLUMNS($AC$1006:AS1006),$AC$1006:$AS$1006,0)), HYPERLINK("#",""), HYPERLINK(CONCATENATE("#metadata!", ADDRESS(INDEX($X$2:$X$1001,MATCH(ROWS($V$2:V972),$V$2:$V$1001,0),0), INDEX($AC$1004:$AS$1004,1,MATCH(COLUMNS($AC$1006:AS1006),$AC$1006:$AS$1006,0)))),"Fix")))</f>
        <v xml:space="preserve"> </v>
      </c>
      <c r="V972">
        <v>971</v>
      </c>
      <c r="W972">
        <v>100972</v>
      </c>
      <c r="X972">
        <v>972</v>
      </c>
      <c r="Y972" t="b">
        <f t="shared" si="15"/>
        <v>1</v>
      </c>
      <c r="Z972" t="b">
        <f>COUNTBLANK(metadata!B972:R972)=COLUMNS(metadata!B972:R972)</f>
        <v>1</v>
      </c>
      <c r="AA972" t="str">
        <v/>
      </c>
      <c r="AC972" t="b">
        <f ca="1"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AD972" t="b">
        <f>IF(metadata!C972="",FALSE,ISNUMBER(VALUE(metadata!C972)))</f>
        <v>0</v>
      </c>
      <c r="AE972" t="b">
        <f>AND(IF(metadata!D972="",FALSE,TRUE),EXACT(metadata!D972,"years"))</f>
        <v>0</v>
      </c>
      <c r="AF972" t="b">
        <f>OR(AND(IF(metadata!E972="",FALSE,TRUE),OR(EXACT(metadata!E972,"not applicable"),EXACT(metadata!E972,"missing: not collected"),EXACT(metadata!E972,"missing: not provided"),EXACT(metadata!E972,"missing: restricted access"))),AND(IF(metadata!E972="",FALSE,ISNUMBER(VALUE(metadata!E972))),metadata!E972&gt;0))</f>
        <v>0</v>
      </c>
      <c r="AG972" t="b">
        <f>AND(IF(metadata!F972="",FALSE,TRUE),EXACT(metadata!F972,"Not applicable"))</f>
        <v>0</v>
      </c>
      <c r="AH972" t="b">
        <f>AND(IF(metadata!G972="",FALSE,TRUE),EXACT(metadata!G972,"urban biome"))</f>
        <v>0</v>
      </c>
      <c r="AI972" t="b">
        <f>AND(IF(metadata!H972="",FALSE,TRUE),EXACT(metadata!H972,"human-associated habitat"))</f>
        <v>0</v>
      </c>
      <c r="AJ972" t="b">
        <f>AND(IF(metadata!I972="",FALSE,TRUE),OR(EXACT(metadata!I972,"human-associated"),EXACT(metadata!I972,"human-skin"),EXACT(metadata!I972,"human-oral"),EXACT(metadata!I972,"human-gut"),EXACT(metadata!I972,"human-vaginal")))</f>
        <v>0</v>
      </c>
      <c r="AK972" t="b">
        <f>IF(metadata!J972="",FALSE,ISNUMBER(VALUE(metadata!J972)))</f>
        <v>0</v>
      </c>
      <c r="AL972" t="b">
        <f>AND(IF(metadata!K972="",FALSE,TRUE),EXACT(metadata!K972,"cm"))</f>
        <v>0</v>
      </c>
      <c r="AM972" t="b">
        <f>AND(IF(metadata!L972="",FALSE,TRUE),EXACT(metadata!L972,"human"))</f>
        <v>0</v>
      </c>
      <c r="AN972" t="b">
        <f>AND(IF(metadata!M972="",FALSE,TRUE),EXACT(metadata!M972,"Homo sapiens"))</f>
        <v>0</v>
      </c>
      <c r="AO972" t="b">
        <f>AND(IF(metadata!N972="",FALSE,TRUE),EXACT(metadata!N972,"9606"))</f>
        <v>0</v>
      </c>
      <c r="AP972" t="b">
        <f>IF(metadata!O972="",FALSE,TRUE)</f>
        <v>0</v>
      </c>
      <c r="AQ972" t="b">
        <f>IF(metadata!P972="",FALSE,TRUE)</f>
        <v>0</v>
      </c>
      <c r="AR972" t="b">
        <f>IF(metadata!Q972="",FALSE,ISNUMBER(VALUE(metadata!Q972)))</f>
        <v>0</v>
      </c>
      <c r="AS972" t="b">
        <f>AND(IF(metadata!R972="",FALSE,TRUE),EXACT(metadata!R972,"kg"))</f>
        <v>0</v>
      </c>
    </row>
    <row r="973" spans="1:45" x14ac:dyDescent="0.2">
      <c r="A973" s="5" t="str">
        <f ca="1">IF(B973=" "," ",HYPERLINK(CONCATENATE("#metadata!",ADDRESS(INDEX($X$2:$X$1001,MATCH(ROWS($V$2:V973),$V$2:$V$1001,0),0),1)),INDEX($AA$2:$AA$1001,MATCH(ROWS($V$2:V973),$V$2:$V$1001,0),0)))</f>
        <v xml:space="preserve"> </v>
      </c>
      <c r="B973" s="4" t="str">
        <f ca="1">IF(OR(INDEX($W$2:$W$1001,MATCH(ROWS($V$2:V973),$V$2:$V$1001,0),1)&gt;=100000,INDEX($AC$1005:$AS$1005,1,MATCH(COLUMNS($AC$1006:AC1006),$AC$1006:$AS$1006,0))&gt;=100000), " ",IF(INDEX($AC$2:$AS$1001,MATCH(ROWS($V$2:V973),$V$2:$V$1001,0),MATCH(COLUMNS($AC$1006:AC1006),$AC$1006:$AS$1006,0)), HYPERLINK("#",""), HYPERLINK(CONCATENATE("#metadata!", ADDRESS(INDEX($X$2:$X$1001,MATCH(ROWS($V$2:V973),$V$2:$V$1001,0),0), INDEX($AC$1004:$AS$1004,1,MATCH(COLUMNS($AC$1006:AC1006),$AC$1006:$AS$1006,0)))),"Fix")))</f>
        <v xml:space="preserve"> </v>
      </c>
      <c r="C973" s="4" t="str">
        <f ca="1">IF(OR(INDEX($W$2:$W$1001,MATCH(ROWS($V$2:V973),$V$2:$V$1001,0),1)&gt;=100000,INDEX($AC$1005:$AS$1005,1,MATCH(COLUMNS($AC$1006:AD1006),$AC$1006:$AS$1006,0))&gt;=100000), " ",IF(INDEX($AC$2:$AS$1001,MATCH(ROWS($V$2:V973),$V$2:$V$1001,0),MATCH(COLUMNS($AC$1006:AD1006),$AC$1006:$AS$1006,0)), HYPERLINK("#",""), HYPERLINK(CONCATENATE("#metadata!", ADDRESS(INDEX($X$2:$X$1001,MATCH(ROWS($V$2:V973),$V$2:$V$1001,0),0), INDEX($AC$1004:$AS$1004,1,MATCH(COLUMNS($AC$1006:AD1006),$AC$1006:$AS$1006,0)))),"Fix")))</f>
        <v xml:space="preserve"> </v>
      </c>
      <c r="D973" s="4" t="str">
        <f ca="1">IF(OR(INDEX($W$2:$W$1001,MATCH(ROWS($V$2:V973),$V$2:$V$1001,0),1)&gt;=100000,INDEX($AC$1005:$AS$1005,1,MATCH(COLUMNS($AC$1006:AE1006),$AC$1006:$AS$1006,0))&gt;=100000), " ",IF(INDEX($AC$2:$AS$1001,MATCH(ROWS($V$2:V973),$V$2:$V$1001,0),MATCH(COLUMNS($AC$1006:AE1006),$AC$1006:$AS$1006,0)), HYPERLINK("#",""), HYPERLINK(CONCATENATE("#metadata!", ADDRESS(INDEX($X$2:$X$1001,MATCH(ROWS($V$2:V973),$V$2:$V$1001,0),0), INDEX($AC$1004:$AS$1004,1,MATCH(COLUMNS($AC$1006:AE1006),$AC$1006:$AS$1006,0)))),"Fix")))</f>
        <v xml:space="preserve"> </v>
      </c>
      <c r="E973" s="4" t="str">
        <f ca="1">IF(OR(INDEX($W$2:$W$1001,MATCH(ROWS($V$2:V973),$V$2:$V$1001,0),1)&gt;=100000,INDEX($AC$1005:$AS$1005,1,MATCH(COLUMNS($AC$1006:AF1006),$AC$1006:$AS$1006,0))&gt;=100000), " ",IF(INDEX($AC$2:$AS$1001,MATCH(ROWS($V$2:V973),$V$2:$V$1001,0),MATCH(COLUMNS($AC$1006:AF1006),$AC$1006:$AS$1006,0)), HYPERLINK("#",""), HYPERLINK(CONCATENATE("#metadata!", ADDRESS(INDEX($X$2:$X$1001,MATCH(ROWS($V$2:V973),$V$2:$V$1001,0),0), INDEX($AC$1004:$AS$1004,1,MATCH(COLUMNS($AC$1006:AF1006),$AC$1006:$AS$1006,0)))),"Fix")))</f>
        <v xml:space="preserve"> </v>
      </c>
      <c r="F973" s="4" t="str">
        <f ca="1">IF(OR(INDEX($W$2:$W$1001,MATCH(ROWS($V$2:V973),$V$2:$V$1001,0),1)&gt;=100000,INDEX($AC$1005:$AS$1005,1,MATCH(COLUMNS($AC$1006:AG1006),$AC$1006:$AS$1006,0))&gt;=100000), " ",IF(INDEX($AC$2:$AS$1001,MATCH(ROWS($V$2:V973),$V$2:$V$1001,0),MATCH(COLUMNS($AC$1006:AG1006),$AC$1006:$AS$1006,0)), HYPERLINK("#",""), HYPERLINK(CONCATENATE("#metadata!", ADDRESS(INDEX($X$2:$X$1001,MATCH(ROWS($V$2:V973),$V$2:$V$1001,0),0), INDEX($AC$1004:$AS$1004,1,MATCH(COLUMNS($AC$1006:AG1006),$AC$1006:$AS$1006,0)))),"Fix")))</f>
        <v xml:space="preserve"> </v>
      </c>
      <c r="G973" s="4" t="str">
        <f ca="1">IF(OR(INDEX($W$2:$W$1001,MATCH(ROWS($V$2:V973),$V$2:$V$1001,0),1)&gt;=100000,INDEX($AC$1005:$AS$1005,1,MATCH(COLUMNS($AC$1006:AH1006),$AC$1006:$AS$1006,0))&gt;=100000), " ",IF(INDEX($AC$2:$AS$1001,MATCH(ROWS($V$2:V973),$V$2:$V$1001,0),MATCH(COLUMNS($AC$1006:AH1006),$AC$1006:$AS$1006,0)), HYPERLINK("#",""), HYPERLINK(CONCATENATE("#metadata!", ADDRESS(INDEX($X$2:$X$1001,MATCH(ROWS($V$2:V973),$V$2:$V$1001,0),0), INDEX($AC$1004:$AS$1004,1,MATCH(COLUMNS($AC$1006:AH1006),$AC$1006:$AS$1006,0)))),"Fix")))</f>
        <v xml:space="preserve"> </v>
      </c>
      <c r="H973" s="4" t="str">
        <f ca="1">IF(OR(INDEX($W$2:$W$1001,MATCH(ROWS($V$2:V973),$V$2:$V$1001,0),1)&gt;=100000,INDEX($AC$1005:$AS$1005,1,MATCH(COLUMNS($AC$1006:AI1006),$AC$1006:$AS$1006,0))&gt;=100000), " ",IF(INDEX($AC$2:$AS$1001,MATCH(ROWS($V$2:V973),$V$2:$V$1001,0),MATCH(COLUMNS($AC$1006:AI1006),$AC$1006:$AS$1006,0)), HYPERLINK("#",""), HYPERLINK(CONCATENATE("#metadata!", ADDRESS(INDEX($X$2:$X$1001,MATCH(ROWS($V$2:V973),$V$2:$V$1001,0),0), INDEX($AC$1004:$AS$1004,1,MATCH(COLUMNS($AC$1006:AI1006),$AC$1006:$AS$1006,0)))),"Fix")))</f>
        <v xml:space="preserve"> </v>
      </c>
      <c r="I973" s="4" t="str">
        <f ca="1">IF(OR(INDEX($W$2:$W$1001,MATCH(ROWS($V$2:V973),$V$2:$V$1001,0),1)&gt;=100000,INDEX($AC$1005:$AS$1005,1,MATCH(COLUMNS($AC$1006:AJ1006),$AC$1006:$AS$1006,0))&gt;=100000), " ",IF(INDEX($AC$2:$AS$1001,MATCH(ROWS($V$2:V973),$V$2:$V$1001,0),MATCH(COLUMNS($AC$1006:AJ1006),$AC$1006:$AS$1006,0)), HYPERLINK("#",""), HYPERLINK(CONCATENATE("#metadata!", ADDRESS(INDEX($X$2:$X$1001,MATCH(ROWS($V$2:V973),$V$2:$V$1001,0),0), INDEX($AC$1004:$AS$1004,1,MATCH(COLUMNS($AC$1006:AJ1006),$AC$1006:$AS$1006,0)))),"Fix")))</f>
        <v xml:space="preserve"> </v>
      </c>
      <c r="J973" s="4" t="str">
        <f ca="1">IF(OR(INDEX($W$2:$W$1001,MATCH(ROWS($V$2:V973),$V$2:$V$1001,0),1)&gt;=100000,INDEX($AC$1005:$AS$1005,1,MATCH(COLUMNS($AC$1006:AK1006),$AC$1006:$AS$1006,0))&gt;=100000), " ",IF(INDEX($AC$2:$AS$1001,MATCH(ROWS($V$2:V973),$V$2:$V$1001,0),MATCH(COLUMNS($AC$1006:AK1006),$AC$1006:$AS$1006,0)), HYPERLINK("#",""), HYPERLINK(CONCATENATE("#metadata!", ADDRESS(INDEX($X$2:$X$1001,MATCH(ROWS($V$2:V973),$V$2:$V$1001,0),0), INDEX($AC$1004:$AS$1004,1,MATCH(COLUMNS($AC$1006:AK1006),$AC$1006:$AS$1006,0)))),"Fix")))</f>
        <v xml:space="preserve"> </v>
      </c>
      <c r="K973" s="4" t="str">
        <f ca="1">IF(OR(INDEX($W$2:$W$1001,MATCH(ROWS($V$2:V973),$V$2:$V$1001,0),1)&gt;=100000,INDEX($AC$1005:$AS$1005,1,MATCH(COLUMNS($AC$1006:AL1006),$AC$1006:$AS$1006,0))&gt;=100000), " ",IF(INDEX($AC$2:$AS$1001,MATCH(ROWS($V$2:V973),$V$2:$V$1001,0),MATCH(COLUMNS($AC$1006:AL1006),$AC$1006:$AS$1006,0)), HYPERLINK("#",""), HYPERLINK(CONCATENATE("#metadata!", ADDRESS(INDEX($X$2:$X$1001,MATCH(ROWS($V$2:V973),$V$2:$V$1001,0),0), INDEX($AC$1004:$AS$1004,1,MATCH(COLUMNS($AC$1006:AL1006),$AC$1006:$AS$1006,0)))),"Fix")))</f>
        <v xml:space="preserve"> </v>
      </c>
      <c r="L973" s="4" t="str">
        <f ca="1">IF(OR(INDEX($W$2:$W$1001,MATCH(ROWS($V$2:V973),$V$2:$V$1001,0),1)&gt;=100000,INDEX($AC$1005:$AS$1005,1,MATCH(COLUMNS($AC$1006:AM1006),$AC$1006:$AS$1006,0))&gt;=100000), " ",IF(INDEX($AC$2:$AS$1001,MATCH(ROWS($V$2:V973),$V$2:$V$1001,0),MATCH(COLUMNS($AC$1006:AM1006),$AC$1006:$AS$1006,0)), HYPERLINK("#",""), HYPERLINK(CONCATENATE("#metadata!", ADDRESS(INDEX($X$2:$X$1001,MATCH(ROWS($V$2:V973),$V$2:$V$1001,0),0), INDEX($AC$1004:$AS$1004,1,MATCH(COLUMNS($AC$1006:AM1006),$AC$1006:$AS$1006,0)))),"Fix")))</f>
        <v xml:space="preserve"> </v>
      </c>
      <c r="M973" s="4" t="str">
        <f ca="1">IF(OR(INDEX($W$2:$W$1001,MATCH(ROWS($V$2:V973),$V$2:$V$1001,0),1)&gt;=100000,INDEX($AC$1005:$AS$1005,1,MATCH(COLUMNS($AC$1006:AN1006),$AC$1006:$AS$1006,0))&gt;=100000), " ",IF(INDEX($AC$2:$AS$1001,MATCH(ROWS($V$2:V973),$V$2:$V$1001,0),MATCH(COLUMNS($AC$1006:AN1006),$AC$1006:$AS$1006,0)), HYPERLINK("#",""), HYPERLINK(CONCATENATE("#metadata!", ADDRESS(INDEX($X$2:$X$1001,MATCH(ROWS($V$2:V973),$V$2:$V$1001,0),0), INDEX($AC$1004:$AS$1004,1,MATCH(COLUMNS($AC$1006:AN1006),$AC$1006:$AS$1006,0)))),"Fix")))</f>
        <v xml:space="preserve"> </v>
      </c>
      <c r="N973" s="4" t="str">
        <f ca="1">IF(OR(INDEX($W$2:$W$1001,MATCH(ROWS($V$2:V973),$V$2:$V$1001,0),1)&gt;=100000,INDEX($AC$1005:$AS$1005,1,MATCH(COLUMNS($AC$1006:AO1006),$AC$1006:$AS$1006,0))&gt;=100000), " ",IF(INDEX($AC$2:$AS$1001,MATCH(ROWS($V$2:V973),$V$2:$V$1001,0),MATCH(COLUMNS($AC$1006:AO1006),$AC$1006:$AS$1006,0)), HYPERLINK("#",""), HYPERLINK(CONCATENATE("#metadata!", ADDRESS(INDEX($X$2:$X$1001,MATCH(ROWS($V$2:V973),$V$2:$V$1001,0),0), INDEX($AC$1004:$AS$1004,1,MATCH(COLUMNS($AC$1006:AO1006),$AC$1006:$AS$1006,0)))),"Fix")))</f>
        <v xml:space="preserve"> </v>
      </c>
      <c r="O973" s="4" t="str">
        <f ca="1">IF(OR(INDEX($W$2:$W$1001,MATCH(ROWS($V$2:V973),$V$2:$V$1001,0),1)&gt;=100000,INDEX($AC$1005:$AS$1005,1,MATCH(COLUMNS($AC$1006:AP1006),$AC$1006:$AS$1006,0))&gt;=100000), " ",IF(INDEX($AC$2:$AS$1001,MATCH(ROWS($V$2:V973),$V$2:$V$1001,0),MATCH(COLUMNS($AC$1006:AP1006),$AC$1006:$AS$1006,0)), HYPERLINK("#",""), HYPERLINK(CONCATENATE("#metadata!", ADDRESS(INDEX($X$2:$X$1001,MATCH(ROWS($V$2:V973),$V$2:$V$1001,0),0), INDEX($AC$1004:$AS$1004,1,MATCH(COLUMNS($AC$1006:AP1006),$AC$1006:$AS$1006,0)))),"Fix")))</f>
        <v xml:space="preserve"> </v>
      </c>
      <c r="P973" s="4" t="str">
        <f ca="1">IF(OR(INDEX($W$2:$W$1001,MATCH(ROWS($V$2:V973),$V$2:$V$1001,0),1)&gt;=100000,INDEX($AC$1005:$AS$1005,1,MATCH(COLUMNS($AC$1006:AQ1006),$AC$1006:$AS$1006,0))&gt;=100000), " ",IF(INDEX($AC$2:$AS$1001,MATCH(ROWS($V$2:V973),$V$2:$V$1001,0),MATCH(COLUMNS($AC$1006:AQ1006),$AC$1006:$AS$1006,0)), HYPERLINK("#",""), HYPERLINK(CONCATENATE("#metadata!", ADDRESS(INDEX($X$2:$X$1001,MATCH(ROWS($V$2:V973),$V$2:$V$1001,0),0), INDEX($AC$1004:$AS$1004,1,MATCH(COLUMNS($AC$1006:AQ1006),$AC$1006:$AS$1006,0)))),"Fix")))</f>
        <v xml:space="preserve"> </v>
      </c>
      <c r="Q973" s="4" t="str">
        <f ca="1">IF(OR(INDEX($W$2:$W$1001,MATCH(ROWS($V$2:V973),$V$2:$V$1001,0),1)&gt;=100000,INDEX($AC$1005:$AS$1005,1,MATCH(COLUMNS($AC$1006:AR1006),$AC$1006:$AS$1006,0))&gt;=100000), " ",IF(INDEX($AC$2:$AS$1001,MATCH(ROWS($V$2:V973),$V$2:$V$1001,0),MATCH(COLUMNS($AC$1006:AR1006),$AC$1006:$AS$1006,0)), HYPERLINK("#",""), HYPERLINK(CONCATENATE("#metadata!", ADDRESS(INDEX($X$2:$X$1001,MATCH(ROWS($V$2:V973),$V$2:$V$1001,0),0), INDEX($AC$1004:$AS$1004,1,MATCH(COLUMNS($AC$1006:AR1006),$AC$1006:$AS$1006,0)))),"Fix")))</f>
        <v xml:space="preserve"> </v>
      </c>
      <c r="R973" s="4" t="str">
        <f ca="1">IF(OR(INDEX($W$2:$W$1001,MATCH(ROWS($V$2:V973),$V$2:$V$1001,0),1)&gt;=100000,INDEX($AC$1005:$AS$1005,1,MATCH(COLUMNS($AC$1006:AS1006),$AC$1006:$AS$1006,0))&gt;=100000), " ",IF(INDEX($AC$2:$AS$1001,MATCH(ROWS($V$2:V973),$V$2:$V$1001,0),MATCH(COLUMNS($AC$1006:AS1006),$AC$1006:$AS$1006,0)), HYPERLINK("#",""), HYPERLINK(CONCATENATE("#metadata!", ADDRESS(INDEX($X$2:$X$1001,MATCH(ROWS($V$2:V973),$V$2:$V$1001,0),0), INDEX($AC$1004:$AS$1004,1,MATCH(COLUMNS($AC$1006:AS1006),$AC$1006:$AS$1006,0)))),"Fix")))</f>
        <v xml:space="preserve"> </v>
      </c>
      <c r="V973">
        <v>972</v>
      </c>
      <c r="W973">
        <v>100973</v>
      </c>
      <c r="X973">
        <v>973</v>
      </c>
      <c r="Y973" t="b">
        <f t="shared" si="15"/>
        <v>1</v>
      </c>
      <c r="Z973" t="b">
        <f>COUNTBLANK(metadata!B973:R973)=COLUMNS(metadata!B973:R973)</f>
        <v>1</v>
      </c>
      <c r="AA973" t="str">
        <v/>
      </c>
      <c r="AC973" t="b">
        <f ca="1"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AD973" t="b">
        <f>IF(metadata!C973="",FALSE,ISNUMBER(VALUE(metadata!C973)))</f>
        <v>0</v>
      </c>
      <c r="AE973" t="b">
        <f>AND(IF(metadata!D973="",FALSE,TRUE),EXACT(metadata!D973,"years"))</f>
        <v>0</v>
      </c>
      <c r="AF973" t="b">
        <f>OR(AND(IF(metadata!E973="",FALSE,TRUE),OR(EXACT(metadata!E973,"not applicable"),EXACT(metadata!E973,"missing: not collected"),EXACT(metadata!E973,"missing: not provided"),EXACT(metadata!E973,"missing: restricted access"))),AND(IF(metadata!E973="",FALSE,ISNUMBER(VALUE(metadata!E973))),metadata!E973&gt;0))</f>
        <v>0</v>
      </c>
      <c r="AG973" t="b">
        <f>AND(IF(metadata!F973="",FALSE,TRUE),EXACT(metadata!F973,"Not applicable"))</f>
        <v>0</v>
      </c>
      <c r="AH973" t="b">
        <f>AND(IF(metadata!G973="",FALSE,TRUE),EXACT(metadata!G973,"urban biome"))</f>
        <v>0</v>
      </c>
      <c r="AI973" t="b">
        <f>AND(IF(metadata!H973="",FALSE,TRUE),EXACT(metadata!H973,"human-associated habitat"))</f>
        <v>0</v>
      </c>
      <c r="AJ973" t="b">
        <f>AND(IF(metadata!I973="",FALSE,TRUE),OR(EXACT(metadata!I973,"human-associated"),EXACT(metadata!I973,"human-skin"),EXACT(metadata!I973,"human-oral"),EXACT(metadata!I973,"human-gut"),EXACT(metadata!I973,"human-vaginal")))</f>
        <v>0</v>
      </c>
      <c r="AK973" t="b">
        <f>IF(metadata!J973="",FALSE,ISNUMBER(VALUE(metadata!J973)))</f>
        <v>0</v>
      </c>
      <c r="AL973" t="b">
        <f>AND(IF(metadata!K973="",FALSE,TRUE),EXACT(metadata!K973,"cm"))</f>
        <v>0</v>
      </c>
      <c r="AM973" t="b">
        <f>AND(IF(metadata!L973="",FALSE,TRUE),EXACT(metadata!L973,"human"))</f>
        <v>0</v>
      </c>
      <c r="AN973" t="b">
        <f>AND(IF(metadata!M973="",FALSE,TRUE),EXACT(metadata!M973,"Homo sapiens"))</f>
        <v>0</v>
      </c>
      <c r="AO973" t="b">
        <f>AND(IF(metadata!N973="",FALSE,TRUE),EXACT(metadata!N973,"9606"))</f>
        <v>0</v>
      </c>
      <c r="AP973" t="b">
        <f>IF(metadata!O973="",FALSE,TRUE)</f>
        <v>0</v>
      </c>
      <c r="AQ973" t="b">
        <f>IF(metadata!P973="",FALSE,TRUE)</f>
        <v>0</v>
      </c>
      <c r="AR973" t="b">
        <f>IF(metadata!Q973="",FALSE,ISNUMBER(VALUE(metadata!Q973)))</f>
        <v>0</v>
      </c>
      <c r="AS973" t="b">
        <f>AND(IF(metadata!R973="",FALSE,TRUE),EXACT(metadata!R973,"kg"))</f>
        <v>0</v>
      </c>
    </row>
    <row r="974" spans="1:45" x14ac:dyDescent="0.2">
      <c r="A974" s="5" t="str">
        <f ca="1">IF(B974=" "," ",HYPERLINK(CONCATENATE("#metadata!",ADDRESS(INDEX($X$2:$X$1001,MATCH(ROWS($V$2:V974),$V$2:$V$1001,0),0),1)),INDEX($AA$2:$AA$1001,MATCH(ROWS($V$2:V974),$V$2:$V$1001,0),0)))</f>
        <v xml:space="preserve"> </v>
      </c>
      <c r="B974" s="4" t="str">
        <f ca="1">IF(OR(INDEX($W$2:$W$1001,MATCH(ROWS($V$2:V974),$V$2:$V$1001,0),1)&gt;=100000,INDEX($AC$1005:$AS$1005,1,MATCH(COLUMNS($AC$1006:AC1006),$AC$1006:$AS$1006,0))&gt;=100000), " ",IF(INDEX($AC$2:$AS$1001,MATCH(ROWS($V$2:V974),$V$2:$V$1001,0),MATCH(COLUMNS($AC$1006:AC1006),$AC$1006:$AS$1006,0)), HYPERLINK("#",""), HYPERLINK(CONCATENATE("#metadata!", ADDRESS(INDEX($X$2:$X$1001,MATCH(ROWS($V$2:V974),$V$2:$V$1001,0),0), INDEX($AC$1004:$AS$1004,1,MATCH(COLUMNS($AC$1006:AC1006),$AC$1006:$AS$1006,0)))),"Fix")))</f>
        <v xml:space="preserve"> </v>
      </c>
      <c r="C974" s="4" t="str">
        <f ca="1">IF(OR(INDEX($W$2:$W$1001,MATCH(ROWS($V$2:V974),$V$2:$V$1001,0),1)&gt;=100000,INDEX($AC$1005:$AS$1005,1,MATCH(COLUMNS($AC$1006:AD1006),$AC$1006:$AS$1006,0))&gt;=100000), " ",IF(INDEX($AC$2:$AS$1001,MATCH(ROWS($V$2:V974),$V$2:$V$1001,0),MATCH(COLUMNS($AC$1006:AD1006),$AC$1006:$AS$1006,0)), HYPERLINK("#",""), HYPERLINK(CONCATENATE("#metadata!", ADDRESS(INDEX($X$2:$X$1001,MATCH(ROWS($V$2:V974),$V$2:$V$1001,0),0), INDEX($AC$1004:$AS$1004,1,MATCH(COLUMNS($AC$1006:AD1006),$AC$1006:$AS$1006,0)))),"Fix")))</f>
        <v xml:space="preserve"> </v>
      </c>
      <c r="D974" s="4" t="str">
        <f ca="1">IF(OR(INDEX($W$2:$W$1001,MATCH(ROWS($V$2:V974),$V$2:$V$1001,0),1)&gt;=100000,INDEX($AC$1005:$AS$1005,1,MATCH(COLUMNS($AC$1006:AE1006),$AC$1006:$AS$1006,0))&gt;=100000), " ",IF(INDEX($AC$2:$AS$1001,MATCH(ROWS($V$2:V974),$V$2:$V$1001,0),MATCH(COLUMNS($AC$1006:AE1006),$AC$1006:$AS$1006,0)), HYPERLINK("#",""), HYPERLINK(CONCATENATE("#metadata!", ADDRESS(INDEX($X$2:$X$1001,MATCH(ROWS($V$2:V974),$V$2:$V$1001,0),0), INDEX($AC$1004:$AS$1004,1,MATCH(COLUMNS($AC$1006:AE1006),$AC$1006:$AS$1006,0)))),"Fix")))</f>
        <v xml:space="preserve"> </v>
      </c>
      <c r="E974" s="4" t="str">
        <f ca="1">IF(OR(INDEX($W$2:$W$1001,MATCH(ROWS($V$2:V974),$V$2:$V$1001,0),1)&gt;=100000,INDEX($AC$1005:$AS$1005,1,MATCH(COLUMNS($AC$1006:AF1006),$AC$1006:$AS$1006,0))&gt;=100000), " ",IF(INDEX($AC$2:$AS$1001,MATCH(ROWS($V$2:V974),$V$2:$V$1001,0),MATCH(COLUMNS($AC$1006:AF1006),$AC$1006:$AS$1006,0)), HYPERLINK("#",""), HYPERLINK(CONCATENATE("#metadata!", ADDRESS(INDEX($X$2:$X$1001,MATCH(ROWS($V$2:V974),$V$2:$V$1001,0),0), INDEX($AC$1004:$AS$1004,1,MATCH(COLUMNS($AC$1006:AF1006),$AC$1006:$AS$1006,0)))),"Fix")))</f>
        <v xml:space="preserve"> </v>
      </c>
      <c r="F974" s="4" t="str">
        <f ca="1">IF(OR(INDEX($W$2:$W$1001,MATCH(ROWS($V$2:V974),$V$2:$V$1001,0),1)&gt;=100000,INDEX($AC$1005:$AS$1005,1,MATCH(COLUMNS($AC$1006:AG1006),$AC$1006:$AS$1006,0))&gt;=100000), " ",IF(INDEX($AC$2:$AS$1001,MATCH(ROWS($V$2:V974),$V$2:$V$1001,0),MATCH(COLUMNS($AC$1006:AG1006),$AC$1006:$AS$1006,0)), HYPERLINK("#",""), HYPERLINK(CONCATENATE("#metadata!", ADDRESS(INDEX($X$2:$X$1001,MATCH(ROWS($V$2:V974),$V$2:$V$1001,0),0), INDEX($AC$1004:$AS$1004,1,MATCH(COLUMNS($AC$1006:AG1006),$AC$1006:$AS$1006,0)))),"Fix")))</f>
        <v xml:space="preserve"> </v>
      </c>
      <c r="G974" s="4" t="str">
        <f ca="1">IF(OR(INDEX($W$2:$W$1001,MATCH(ROWS($V$2:V974),$V$2:$V$1001,0),1)&gt;=100000,INDEX($AC$1005:$AS$1005,1,MATCH(COLUMNS($AC$1006:AH1006),$AC$1006:$AS$1006,0))&gt;=100000), " ",IF(INDEX($AC$2:$AS$1001,MATCH(ROWS($V$2:V974),$V$2:$V$1001,0),MATCH(COLUMNS($AC$1006:AH1006),$AC$1006:$AS$1006,0)), HYPERLINK("#",""), HYPERLINK(CONCATENATE("#metadata!", ADDRESS(INDEX($X$2:$X$1001,MATCH(ROWS($V$2:V974),$V$2:$V$1001,0),0), INDEX($AC$1004:$AS$1004,1,MATCH(COLUMNS($AC$1006:AH1006),$AC$1006:$AS$1006,0)))),"Fix")))</f>
        <v xml:space="preserve"> </v>
      </c>
      <c r="H974" s="4" t="str">
        <f ca="1">IF(OR(INDEX($W$2:$W$1001,MATCH(ROWS($V$2:V974),$V$2:$V$1001,0),1)&gt;=100000,INDEX($AC$1005:$AS$1005,1,MATCH(COLUMNS($AC$1006:AI1006),$AC$1006:$AS$1006,0))&gt;=100000), " ",IF(INDEX($AC$2:$AS$1001,MATCH(ROWS($V$2:V974),$V$2:$V$1001,0),MATCH(COLUMNS($AC$1006:AI1006),$AC$1006:$AS$1006,0)), HYPERLINK("#",""), HYPERLINK(CONCATENATE("#metadata!", ADDRESS(INDEX($X$2:$X$1001,MATCH(ROWS($V$2:V974),$V$2:$V$1001,0),0), INDEX($AC$1004:$AS$1004,1,MATCH(COLUMNS($AC$1006:AI1006),$AC$1006:$AS$1006,0)))),"Fix")))</f>
        <v xml:space="preserve"> </v>
      </c>
      <c r="I974" s="4" t="str">
        <f ca="1">IF(OR(INDEX($W$2:$W$1001,MATCH(ROWS($V$2:V974),$V$2:$V$1001,0),1)&gt;=100000,INDEX($AC$1005:$AS$1005,1,MATCH(COLUMNS($AC$1006:AJ1006),$AC$1006:$AS$1006,0))&gt;=100000), " ",IF(INDEX($AC$2:$AS$1001,MATCH(ROWS($V$2:V974),$V$2:$V$1001,0),MATCH(COLUMNS($AC$1006:AJ1006),$AC$1006:$AS$1006,0)), HYPERLINK("#",""), HYPERLINK(CONCATENATE("#metadata!", ADDRESS(INDEX($X$2:$X$1001,MATCH(ROWS($V$2:V974),$V$2:$V$1001,0),0), INDEX($AC$1004:$AS$1004,1,MATCH(COLUMNS($AC$1006:AJ1006),$AC$1006:$AS$1006,0)))),"Fix")))</f>
        <v xml:space="preserve"> </v>
      </c>
      <c r="J974" s="4" t="str">
        <f ca="1">IF(OR(INDEX($W$2:$W$1001,MATCH(ROWS($V$2:V974),$V$2:$V$1001,0),1)&gt;=100000,INDEX($AC$1005:$AS$1005,1,MATCH(COLUMNS($AC$1006:AK1006),$AC$1006:$AS$1006,0))&gt;=100000), " ",IF(INDEX($AC$2:$AS$1001,MATCH(ROWS($V$2:V974),$V$2:$V$1001,0),MATCH(COLUMNS($AC$1006:AK1006),$AC$1006:$AS$1006,0)), HYPERLINK("#",""), HYPERLINK(CONCATENATE("#metadata!", ADDRESS(INDEX($X$2:$X$1001,MATCH(ROWS($V$2:V974),$V$2:$V$1001,0),0), INDEX($AC$1004:$AS$1004,1,MATCH(COLUMNS($AC$1006:AK1006),$AC$1006:$AS$1006,0)))),"Fix")))</f>
        <v xml:space="preserve"> </v>
      </c>
      <c r="K974" s="4" t="str">
        <f ca="1">IF(OR(INDEX($W$2:$W$1001,MATCH(ROWS($V$2:V974),$V$2:$V$1001,0),1)&gt;=100000,INDEX($AC$1005:$AS$1005,1,MATCH(COLUMNS($AC$1006:AL1006),$AC$1006:$AS$1006,0))&gt;=100000), " ",IF(INDEX($AC$2:$AS$1001,MATCH(ROWS($V$2:V974),$V$2:$V$1001,0),MATCH(COLUMNS($AC$1006:AL1006),$AC$1006:$AS$1006,0)), HYPERLINK("#",""), HYPERLINK(CONCATENATE("#metadata!", ADDRESS(INDEX($X$2:$X$1001,MATCH(ROWS($V$2:V974),$V$2:$V$1001,0),0), INDEX($AC$1004:$AS$1004,1,MATCH(COLUMNS($AC$1006:AL1006),$AC$1006:$AS$1006,0)))),"Fix")))</f>
        <v xml:space="preserve"> </v>
      </c>
      <c r="L974" s="4" t="str">
        <f ca="1">IF(OR(INDEX($W$2:$W$1001,MATCH(ROWS($V$2:V974),$V$2:$V$1001,0),1)&gt;=100000,INDEX($AC$1005:$AS$1005,1,MATCH(COLUMNS($AC$1006:AM1006),$AC$1006:$AS$1006,0))&gt;=100000), " ",IF(INDEX($AC$2:$AS$1001,MATCH(ROWS($V$2:V974),$V$2:$V$1001,0),MATCH(COLUMNS($AC$1006:AM1006),$AC$1006:$AS$1006,0)), HYPERLINK("#",""), HYPERLINK(CONCATENATE("#metadata!", ADDRESS(INDEX($X$2:$X$1001,MATCH(ROWS($V$2:V974),$V$2:$V$1001,0),0), INDEX($AC$1004:$AS$1004,1,MATCH(COLUMNS($AC$1006:AM1006),$AC$1006:$AS$1006,0)))),"Fix")))</f>
        <v xml:space="preserve"> </v>
      </c>
      <c r="M974" s="4" t="str">
        <f ca="1">IF(OR(INDEX($W$2:$W$1001,MATCH(ROWS($V$2:V974),$V$2:$V$1001,0),1)&gt;=100000,INDEX($AC$1005:$AS$1005,1,MATCH(COLUMNS($AC$1006:AN1006),$AC$1006:$AS$1006,0))&gt;=100000), " ",IF(INDEX($AC$2:$AS$1001,MATCH(ROWS($V$2:V974),$V$2:$V$1001,0),MATCH(COLUMNS($AC$1006:AN1006),$AC$1006:$AS$1006,0)), HYPERLINK("#",""), HYPERLINK(CONCATENATE("#metadata!", ADDRESS(INDEX($X$2:$X$1001,MATCH(ROWS($V$2:V974),$V$2:$V$1001,0),0), INDEX($AC$1004:$AS$1004,1,MATCH(COLUMNS($AC$1006:AN1006),$AC$1006:$AS$1006,0)))),"Fix")))</f>
        <v xml:space="preserve"> </v>
      </c>
      <c r="N974" s="4" t="str">
        <f ca="1">IF(OR(INDEX($W$2:$W$1001,MATCH(ROWS($V$2:V974),$V$2:$V$1001,0),1)&gt;=100000,INDEX($AC$1005:$AS$1005,1,MATCH(COLUMNS($AC$1006:AO1006),$AC$1006:$AS$1006,0))&gt;=100000), " ",IF(INDEX($AC$2:$AS$1001,MATCH(ROWS($V$2:V974),$V$2:$V$1001,0),MATCH(COLUMNS($AC$1006:AO1006),$AC$1006:$AS$1006,0)), HYPERLINK("#",""), HYPERLINK(CONCATENATE("#metadata!", ADDRESS(INDEX($X$2:$X$1001,MATCH(ROWS($V$2:V974),$V$2:$V$1001,0),0), INDEX($AC$1004:$AS$1004,1,MATCH(COLUMNS($AC$1006:AO1006),$AC$1006:$AS$1006,0)))),"Fix")))</f>
        <v xml:space="preserve"> </v>
      </c>
      <c r="O974" s="4" t="str">
        <f ca="1">IF(OR(INDEX($W$2:$W$1001,MATCH(ROWS($V$2:V974),$V$2:$V$1001,0),1)&gt;=100000,INDEX($AC$1005:$AS$1005,1,MATCH(COLUMNS($AC$1006:AP1006),$AC$1006:$AS$1006,0))&gt;=100000), " ",IF(INDEX($AC$2:$AS$1001,MATCH(ROWS($V$2:V974),$V$2:$V$1001,0),MATCH(COLUMNS($AC$1006:AP1006),$AC$1006:$AS$1006,0)), HYPERLINK("#",""), HYPERLINK(CONCATENATE("#metadata!", ADDRESS(INDEX($X$2:$X$1001,MATCH(ROWS($V$2:V974),$V$2:$V$1001,0),0), INDEX($AC$1004:$AS$1004,1,MATCH(COLUMNS($AC$1006:AP1006),$AC$1006:$AS$1006,0)))),"Fix")))</f>
        <v xml:space="preserve"> </v>
      </c>
      <c r="P974" s="4" t="str">
        <f ca="1">IF(OR(INDEX($W$2:$W$1001,MATCH(ROWS($V$2:V974),$V$2:$V$1001,0),1)&gt;=100000,INDEX($AC$1005:$AS$1005,1,MATCH(COLUMNS($AC$1006:AQ1006),$AC$1006:$AS$1006,0))&gt;=100000), " ",IF(INDEX($AC$2:$AS$1001,MATCH(ROWS($V$2:V974),$V$2:$V$1001,0),MATCH(COLUMNS($AC$1006:AQ1006),$AC$1006:$AS$1006,0)), HYPERLINK("#",""), HYPERLINK(CONCATENATE("#metadata!", ADDRESS(INDEX($X$2:$X$1001,MATCH(ROWS($V$2:V974),$V$2:$V$1001,0),0), INDEX($AC$1004:$AS$1004,1,MATCH(COLUMNS($AC$1006:AQ1006),$AC$1006:$AS$1006,0)))),"Fix")))</f>
        <v xml:space="preserve"> </v>
      </c>
      <c r="Q974" s="4" t="str">
        <f ca="1">IF(OR(INDEX($W$2:$W$1001,MATCH(ROWS($V$2:V974),$V$2:$V$1001,0),1)&gt;=100000,INDEX($AC$1005:$AS$1005,1,MATCH(COLUMNS($AC$1006:AR1006),$AC$1006:$AS$1006,0))&gt;=100000), " ",IF(INDEX($AC$2:$AS$1001,MATCH(ROWS($V$2:V974),$V$2:$V$1001,0),MATCH(COLUMNS($AC$1006:AR1006),$AC$1006:$AS$1006,0)), HYPERLINK("#",""), HYPERLINK(CONCATENATE("#metadata!", ADDRESS(INDEX($X$2:$X$1001,MATCH(ROWS($V$2:V974),$V$2:$V$1001,0),0), INDEX($AC$1004:$AS$1004,1,MATCH(COLUMNS($AC$1006:AR1006),$AC$1006:$AS$1006,0)))),"Fix")))</f>
        <v xml:space="preserve"> </v>
      </c>
      <c r="R974" s="4" t="str">
        <f ca="1">IF(OR(INDEX($W$2:$W$1001,MATCH(ROWS($V$2:V974),$V$2:$V$1001,0),1)&gt;=100000,INDEX($AC$1005:$AS$1005,1,MATCH(COLUMNS($AC$1006:AS1006),$AC$1006:$AS$1006,0))&gt;=100000), " ",IF(INDEX($AC$2:$AS$1001,MATCH(ROWS($V$2:V974),$V$2:$V$1001,0),MATCH(COLUMNS($AC$1006:AS1006),$AC$1006:$AS$1006,0)), HYPERLINK("#",""), HYPERLINK(CONCATENATE("#metadata!", ADDRESS(INDEX($X$2:$X$1001,MATCH(ROWS($V$2:V974),$V$2:$V$1001,0),0), INDEX($AC$1004:$AS$1004,1,MATCH(COLUMNS($AC$1006:AS1006),$AC$1006:$AS$1006,0)))),"Fix")))</f>
        <v xml:space="preserve"> </v>
      </c>
      <c r="V974">
        <v>973</v>
      </c>
      <c r="W974">
        <v>100974</v>
      </c>
      <c r="X974">
        <v>974</v>
      </c>
      <c r="Y974" t="b">
        <f t="shared" si="15"/>
        <v>1</v>
      </c>
      <c r="Z974" t="b">
        <f>COUNTBLANK(metadata!B974:R974)=COLUMNS(metadata!B974:R974)</f>
        <v>1</v>
      </c>
      <c r="AA974" t="str">
        <v/>
      </c>
      <c r="AC974" t="b">
        <f ca="1"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AD974" t="b">
        <f>IF(metadata!C974="",FALSE,ISNUMBER(VALUE(metadata!C974)))</f>
        <v>0</v>
      </c>
      <c r="AE974" t="b">
        <f>AND(IF(metadata!D974="",FALSE,TRUE),EXACT(metadata!D974,"years"))</f>
        <v>0</v>
      </c>
      <c r="AF974" t="b">
        <f>OR(AND(IF(metadata!E974="",FALSE,TRUE),OR(EXACT(metadata!E974,"not applicable"),EXACT(metadata!E974,"missing: not collected"),EXACT(metadata!E974,"missing: not provided"),EXACT(metadata!E974,"missing: restricted access"))),AND(IF(metadata!E974="",FALSE,ISNUMBER(VALUE(metadata!E974))),metadata!E974&gt;0))</f>
        <v>0</v>
      </c>
      <c r="AG974" t="b">
        <f>AND(IF(metadata!F974="",FALSE,TRUE),EXACT(metadata!F974,"Not applicable"))</f>
        <v>0</v>
      </c>
      <c r="AH974" t="b">
        <f>AND(IF(metadata!G974="",FALSE,TRUE),EXACT(metadata!G974,"urban biome"))</f>
        <v>0</v>
      </c>
      <c r="AI974" t="b">
        <f>AND(IF(metadata!H974="",FALSE,TRUE),EXACT(metadata!H974,"human-associated habitat"))</f>
        <v>0</v>
      </c>
      <c r="AJ974" t="b">
        <f>AND(IF(metadata!I974="",FALSE,TRUE),OR(EXACT(metadata!I974,"human-associated"),EXACT(metadata!I974,"human-skin"),EXACT(metadata!I974,"human-oral"),EXACT(metadata!I974,"human-gut"),EXACT(metadata!I974,"human-vaginal")))</f>
        <v>0</v>
      </c>
      <c r="AK974" t="b">
        <f>IF(metadata!J974="",FALSE,ISNUMBER(VALUE(metadata!J974)))</f>
        <v>0</v>
      </c>
      <c r="AL974" t="b">
        <f>AND(IF(metadata!K974="",FALSE,TRUE),EXACT(metadata!K974,"cm"))</f>
        <v>0</v>
      </c>
      <c r="AM974" t="b">
        <f>AND(IF(metadata!L974="",FALSE,TRUE),EXACT(metadata!L974,"human"))</f>
        <v>0</v>
      </c>
      <c r="AN974" t="b">
        <f>AND(IF(metadata!M974="",FALSE,TRUE),EXACT(metadata!M974,"Homo sapiens"))</f>
        <v>0</v>
      </c>
      <c r="AO974" t="b">
        <f>AND(IF(metadata!N974="",FALSE,TRUE),EXACT(metadata!N974,"9606"))</f>
        <v>0</v>
      </c>
      <c r="AP974" t="b">
        <f>IF(metadata!O974="",FALSE,TRUE)</f>
        <v>0</v>
      </c>
      <c r="AQ974" t="b">
        <f>IF(metadata!P974="",FALSE,TRUE)</f>
        <v>0</v>
      </c>
      <c r="AR974" t="b">
        <f>IF(metadata!Q974="",FALSE,ISNUMBER(VALUE(metadata!Q974)))</f>
        <v>0</v>
      </c>
      <c r="AS974" t="b">
        <f>AND(IF(metadata!R974="",FALSE,TRUE),EXACT(metadata!R974,"kg"))</f>
        <v>0</v>
      </c>
    </row>
    <row r="975" spans="1:45" x14ac:dyDescent="0.2">
      <c r="A975" s="5" t="str">
        <f ca="1">IF(B975=" "," ",HYPERLINK(CONCATENATE("#metadata!",ADDRESS(INDEX($X$2:$X$1001,MATCH(ROWS($V$2:V975),$V$2:$V$1001,0),0),1)),INDEX($AA$2:$AA$1001,MATCH(ROWS($V$2:V975),$V$2:$V$1001,0),0)))</f>
        <v xml:space="preserve"> </v>
      </c>
      <c r="B975" s="4" t="str">
        <f ca="1">IF(OR(INDEX($W$2:$W$1001,MATCH(ROWS($V$2:V975),$V$2:$V$1001,0),1)&gt;=100000,INDEX($AC$1005:$AS$1005,1,MATCH(COLUMNS($AC$1006:AC1006),$AC$1006:$AS$1006,0))&gt;=100000), " ",IF(INDEX($AC$2:$AS$1001,MATCH(ROWS($V$2:V975),$V$2:$V$1001,0),MATCH(COLUMNS($AC$1006:AC1006),$AC$1006:$AS$1006,0)), HYPERLINK("#",""), HYPERLINK(CONCATENATE("#metadata!", ADDRESS(INDEX($X$2:$X$1001,MATCH(ROWS($V$2:V975),$V$2:$V$1001,0),0), INDEX($AC$1004:$AS$1004,1,MATCH(COLUMNS($AC$1006:AC1006),$AC$1006:$AS$1006,0)))),"Fix")))</f>
        <v xml:space="preserve"> </v>
      </c>
      <c r="C975" s="4" t="str">
        <f ca="1">IF(OR(INDEX($W$2:$W$1001,MATCH(ROWS($V$2:V975),$V$2:$V$1001,0),1)&gt;=100000,INDEX($AC$1005:$AS$1005,1,MATCH(COLUMNS($AC$1006:AD1006),$AC$1006:$AS$1006,0))&gt;=100000), " ",IF(INDEX($AC$2:$AS$1001,MATCH(ROWS($V$2:V975),$V$2:$V$1001,0),MATCH(COLUMNS($AC$1006:AD1006),$AC$1006:$AS$1006,0)), HYPERLINK("#",""), HYPERLINK(CONCATENATE("#metadata!", ADDRESS(INDEX($X$2:$X$1001,MATCH(ROWS($V$2:V975),$V$2:$V$1001,0),0), INDEX($AC$1004:$AS$1004,1,MATCH(COLUMNS($AC$1006:AD1006),$AC$1006:$AS$1006,0)))),"Fix")))</f>
        <v xml:space="preserve"> </v>
      </c>
      <c r="D975" s="4" t="str">
        <f ca="1">IF(OR(INDEX($W$2:$W$1001,MATCH(ROWS($V$2:V975),$V$2:$V$1001,0),1)&gt;=100000,INDEX($AC$1005:$AS$1005,1,MATCH(COLUMNS($AC$1006:AE1006),$AC$1006:$AS$1006,0))&gt;=100000), " ",IF(INDEX($AC$2:$AS$1001,MATCH(ROWS($V$2:V975),$V$2:$V$1001,0),MATCH(COLUMNS($AC$1006:AE1006),$AC$1006:$AS$1006,0)), HYPERLINK("#",""), HYPERLINK(CONCATENATE("#metadata!", ADDRESS(INDEX($X$2:$X$1001,MATCH(ROWS($V$2:V975),$V$2:$V$1001,0),0), INDEX($AC$1004:$AS$1004,1,MATCH(COLUMNS($AC$1006:AE1006),$AC$1006:$AS$1006,0)))),"Fix")))</f>
        <v xml:space="preserve"> </v>
      </c>
      <c r="E975" s="4" t="str">
        <f ca="1">IF(OR(INDEX($W$2:$W$1001,MATCH(ROWS($V$2:V975),$V$2:$V$1001,0),1)&gt;=100000,INDEX($AC$1005:$AS$1005,1,MATCH(COLUMNS($AC$1006:AF1006),$AC$1006:$AS$1006,0))&gt;=100000), " ",IF(INDEX($AC$2:$AS$1001,MATCH(ROWS($V$2:V975),$V$2:$V$1001,0),MATCH(COLUMNS($AC$1006:AF1006),$AC$1006:$AS$1006,0)), HYPERLINK("#",""), HYPERLINK(CONCATENATE("#metadata!", ADDRESS(INDEX($X$2:$X$1001,MATCH(ROWS($V$2:V975),$V$2:$V$1001,0),0), INDEX($AC$1004:$AS$1004,1,MATCH(COLUMNS($AC$1006:AF1006),$AC$1006:$AS$1006,0)))),"Fix")))</f>
        <v xml:space="preserve"> </v>
      </c>
      <c r="F975" s="4" t="str">
        <f ca="1">IF(OR(INDEX($W$2:$W$1001,MATCH(ROWS($V$2:V975),$V$2:$V$1001,0),1)&gt;=100000,INDEX($AC$1005:$AS$1005,1,MATCH(COLUMNS($AC$1006:AG1006),$AC$1006:$AS$1006,0))&gt;=100000), " ",IF(INDEX($AC$2:$AS$1001,MATCH(ROWS($V$2:V975),$V$2:$V$1001,0),MATCH(COLUMNS($AC$1006:AG1006),$AC$1006:$AS$1006,0)), HYPERLINK("#",""), HYPERLINK(CONCATENATE("#metadata!", ADDRESS(INDEX($X$2:$X$1001,MATCH(ROWS($V$2:V975),$V$2:$V$1001,0),0), INDEX($AC$1004:$AS$1004,1,MATCH(COLUMNS($AC$1006:AG1006),$AC$1006:$AS$1006,0)))),"Fix")))</f>
        <v xml:space="preserve"> </v>
      </c>
      <c r="G975" s="4" t="str">
        <f ca="1">IF(OR(INDEX($W$2:$W$1001,MATCH(ROWS($V$2:V975),$V$2:$V$1001,0),1)&gt;=100000,INDEX($AC$1005:$AS$1005,1,MATCH(COLUMNS($AC$1006:AH1006),$AC$1006:$AS$1006,0))&gt;=100000), " ",IF(INDEX($AC$2:$AS$1001,MATCH(ROWS($V$2:V975),$V$2:$V$1001,0),MATCH(COLUMNS($AC$1006:AH1006),$AC$1006:$AS$1006,0)), HYPERLINK("#",""), HYPERLINK(CONCATENATE("#metadata!", ADDRESS(INDEX($X$2:$X$1001,MATCH(ROWS($V$2:V975),$V$2:$V$1001,0),0), INDEX($AC$1004:$AS$1004,1,MATCH(COLUMNS($AC$1006:AH1006),$AC$1006:$AS$1006,0)))),"Fix")))</f>
        <v xml:space="preserve"> </v>
      </c>
      <c r="H975" s="4" t="str">
        <f ca="1">IF(OR(INDEX($W$2:$W$1001,MATCH(ROWS($V$2:V975),$V$2:$V$1001,0),1)&gt;=100000,INDEX($AC$1005:$AS$1005,1,MATCH(COLUMNS($AC$1006:AI1006),$AC$1006:$AS$1006,0))&gt;=100000), " ",IF(INDEX($AC$2:$AS$1001,MATCH(ROWS($V$2:V975),$V$2:$V$1001,0),MATCH(COLUMNS($AC$1006:AI1006),$AC$1006:$AS$1006,0)), HYPERLINK("#",""), HYPERLINK(CONCATENATE("#metadata!", ADDRESS(INDEX($X$2:$X$1001,MATCH(ROWS($V$2:V975),$V$2:$V$1001,0),0), INDEX($AC$1004:$AS$1004,1,MATCH(COLUMNS($AC$1006:AI1006),$AC$1006:$AS$1006,0)))),"Fix")))</f>
        <v xml:space="preserve"> </v>
      </c>
      <c r="I975" s="4" t="str">
        <f ca="1">IF(OR(INDEX($W$2:$W$1001,MATCH(ROWS($V$2:V975),$V$2:$V$1001,0),1)&gt;=100000,INDEX($AC$1005:$AS$1005,1,MATCH(COLUMNS($AC$1006:AJ1006),$AC$1006:$AS$1006,0))&gt;=100000), " ",IF(INDEX($AC$2:$AS$1001,MATCH(ROWS($V$2:V975),$V$2:$V$1001,0),MATCH(COLUMNS($AC$1006:AJ1006),$AC$1006:$AS$1006,0)), HYPERLINK("#",""), HYPERLINK(CONCATENATE("#metadata!", ADDRESS(INDEX($X$2:$X$1001,MATCH(ROWS($V$2:V975),$V$2:$V$1001,0),0), INDEX($AC$1004:$AS$1004,1,MATCH(COLUMNS($AC$1006:AJ1006),$AC$1006:$AS$1006,0)))),"Fix")))</f>
        <v xml:space="preserve"> </v>
      </c>
      <c r="J975" s="4" t="str">
        <f ca="1">IF(OR(INDEX($W$2:$W$1001,MATCH(ROWS($V$2:V975),$V$2:$V$1001,0),1)&gt;=100000,INDEX($AC$1005:$AS$1005,1,MATCH(COLUMNS($AC$1006:AK1006),$AC$1006:$AS$1006,0))&gt;=100000), " ",IF(INDEX($AC$2:$AS$1001,MATCH(ROWS($V$2:V975),$V$2:$V$1001,0),MATCH(COLUMNS($AC$1006:AK1006),$AC$1006:$AS$1006,0)), HYPERLINK("#",""), HYPERLINK(CONCATENATE("#metadata!", ADDRESS(INDEX($X$2:$X$1001,MATCH(ROWS($V$2:V975),$V$2:$V$1001,0),0), INDEX($AC$1004:$AS$1004,1,MATCH(COLUMNS($AC$1006:AK1006),$AC$1006:$AS$1006,0)))),"Fix")))</f>
        <v xml:space="preserve"> </v>
      </c>
      <c r="K975" s="4" t="str">
        <f ca="1">IF(OR(INDEX($W$2:$W$1001,MATCH(ROWS($V$2:V975),$V$2:$V$1001,0),1)&gt;=100000,INDEX($AC$1005:$AS$1005,1,MATCH(COLUMNS($AC$1006:AL1006),$AC$1006:$AS$1006,0))&gt;=100000), " ",IF(INDEX($AC$2:$AS$1001,MATCH(ROWS($V$2:V975),$V$2:$V$1001,0),MATCH(COLUMNS($AC$1006:AL1006),$AC$1006:$AS$1006,0)), HYPERLINK("#",""), HYPERLINK(CONCATENATE("#metadata!", ADDRESS(INDEX($X$2:$X$1001,MATCH(ROWS($V$2:V975),$V$2:$V$1001,0),0), INDEX($AC$1004:$AS$1004,1,MATCH(COLUMNS($AC$1006:AL1006),$AC$1006:$AS$1006,0)))),"Fix")))</f>
        <v xml:space="preserve"> </v>
      </c>
      <c r="L975" s="4" t="str">
        <f ca="1">IF(OR(INDEX($W$2:$W$1001,MATCH(ROWS($V$2:V975),$V$2:$V$1001,0),1)&gt;=100000,INDEX($AC$1005:$AS$1005,1,MATCH(COLUMNS($AC$1006:AM1006),$AC$1006:$AS$1006,0))&gt;=100000), " ",IF(INDEX($AC$2:$AS$1001,MATCH(ROWS($V$2:V975),$V$2:$V$1001,0),MATCH(COLUMNS($AC$1006:AM1006),$AC$1006:$AS$1006,0)), HYPERLINK("#",""), HYPERLINK(CONCATENATE("#metadata!", ADDRESS(INDEX($X$2:$X$1001,MATCH(ROWS($V$2:V975),$V$2:$V$1001,0),0), INDEX($AC$1004:$AS$1004,1,MATCH(COLUMNS($AC$1006:AM1006),$AC$1006:$AS$1006,0)))),"Fix")))</f>
        <v xml:space="preserve"> </v>
      </c>
      <c r="M975" s="4" t="str">
        <f ca="1">IF(OR(INDEX($W$2:$W$1001,MATCH(ROWS($V$2:V975),$V$2:$V$1001,0),1)&gt;=100000,INDEX($AC$1005:$AS$1005,1,MATCH(COLUMNS($AC$1006:AN1006),$AC$1006:$AS$1006,0))&gt;=100000), " ",IF(INDEX($AC$2:$AS$1001,MATCH(ROWS($V$2:V975),$V$2:$V$1001,0),MATCH(COLUMNS($AC$1006:AN1006),$AC$1006:$AS$1006,0)), HYPERLINK("#",""), HYPERLINK(CONCATENATE("#metadata!", ADDRESS(INDEX($X$2:$X$1001,MATCH(ROWS($V$2:V975),$V$2:$V$1001,0),0), INDEX($AC$1004:$AS$1004,1,MATCH(COLUMNS($AC$1006:AN1006),$AC$1006:$AS$1006,0)))),"Fix")))</f>
        <v xml:space="preserve"> </v>
      </c>
      <c r="N975" s="4" t="str">
        <f ca="1">IF(OR(INDEX($W$2:$W$1001,MATCH(ROWS($V$2:V975),$V$2:$V$1001,0),1)&gt;=100000,INDEX($AC$1005:$AS$1005,1,MATCH(COLUMNS($AC$1006:AO1006),$AC$1006:$AS$1006,0))&gt;=100000), " ",IF(INDEX($AC$2:$AS$1001,MATCH(ROWS($V$2:V975),$V$2:$V$1001,0),MATCH(COLUMNS($AC$1006:AO1006),$AC$1006:$AS$1006,0)), HYPERLINK("#",""), HYPERLINK(CONCATENATE("#metadata!", ADDRESS(INDEX($X$2:$X$1001,MATCH(ROWS($V$2:V975),$V$2:$V$1001,0),0), INDEX($AC$1004:$AS$1004,1,MATCH(COLUMNS($AC$1006:AO1006),$AC$1006:$AS$1006,0)))),"Fix")))</f>
        <v xml:space="preserve"> </v>
      </c>
      <c r="O975" s="4" t="str">
        <f ca="1">IF(OR(INDEX($W$2:$W$1001,MATCH(ROWS($V$2:V975),$V$2:$V$1001,0),1)&gt;=100000,INDEX($AC$1005:$AS$1005,1,MATCH(COLUMNS($AC$1006:AP1006),$AC$1006:$AS$1006,0))&gt;=100000), " ",IF(INDEX($AC$2:$AS$1001,MATCH(ROWS($V$2:V975),$V$2:$V$1001,0),MATCH(COLUMNS($AC$1006:AP1006),$AC$1006:$AS$1006,0)), HYPERLINK("#",""), HYPERLINK(CONCATENATE("#metadata!", ADDRESS(INDEX($X$2:$X$1001,MATCH(ROWS($V$2:V975),$V$2:$V$1001,0),0), INDEX($AC$1004:$AS$1004,1,MATCH(COLUMNS($AC$1006:AP1006),$AC$1006:$AS$1006,0)))),"Fix")))</f>
        <v xml:space="preserve"> </v>
      </c>
      <c r="P975" s="4" t="str">
        <f ca="1">IF(OR(INDEX($W$2:$W$1001,MATCH(ROWS($V$2:V975),$V$2:$V$1001,0),1)&gt;=100000,INDEX($AC$1005:$AS$1005,1,MATCH(COLUMNS($AC$1006:AQ1006),$AC$1006:$AS$1006,0))&gt;=100000), " ",IF(INDEX($AC$2:$AS$1001,MATCH(ROWS($V$2:V975),$V$2:$V$1001,0),MATCH(COLUMNS($AC$1006:AQ1006),$AC$1006:$AS$1006,0)), HYPERLINK("#",""), HYPERLINK(CONCATENATE("#metadata!", ADDRESS(INDEX($X$2:$X$1001,MATCH(ROWS($V$2:V975),$V$2:$V$1001,0),0), INDEX($AC$1004:$AS$1004,1,MATCH(COLUMNS($AC$1006:AQ1006),$AC$1006:$AS$1006,0)))),"Fix")))</f>
        <v xml:space="preserve"> </v>
      </c>
      <c r="Q975" s="4" t="str">
        <f ca="1">IF(OR(INDEX($W$2:$W$1001,MATCH(ROWS($V$2:V975),$V$2:$V$1001,0),1)&gt;=100000,INDEX($AC$1005:$AS$1005,1,MATCH(COLUMNS($AC$1006:AR1006),$AC$1006:$AS$1006,0))&gt;=100000), " ",IF(INDEX($AC$2:$AS$1001,MATCH(ROWS($V$2:V975),$V$2:$V$1001,0),MATCH(COLUMNS($AC$1006:AR1006),$AC$1006:$AS$1006,0)), HYPERLINK("#",""), HYPERLINK(CONCATENATE("#metadata!", ADDRESS(INDEX($X$2:$X$1001,MATCH(ROWS($V$2:V975),$V$2:$V$1001,0),0), INDEX($AC$1004:$AS$1004,1,MATCH(COLUMNS($AC$1006:AR1006),$AC$1006:$AS$1006,0)))),"Fix")))</f>
        <v xml:space="preserve"> </v>
      </c>
      <c r="R975" s="4" t="str">
        <f ca="1">IF(OR(INDEX($W$2:$W$1001,MATCH(ROWS($V$2:V975),$V$2:$V$1001,0),1)&gt;=100000,INDEX($AC$1005:$AS$1005,1,MATCH(COLUMNS($AC$1006:AS1006),$AC$1006:$AS$1006,0))&gt;=100000), " ",IF(INDEX($AC$2:$AS$1001,MATCH(ROWS($V$2:V975),$V$2:$V$1001,0),MATCH(COLUMNS($AC$1006:AS1006),$AC$1006:$AS$1006,0)), HYPERLINK("#",""), HYPERLINK(CONCATENATE("#metadata!", ADDRESS(INDEX($X$2:$X$1001,MATCH(ROWS($V$2:V975),$V$2:$V$1001,0),0), INDEX($AC$1004:$AS$1004,1,MATCH(COLUMNS($AC$1006:AS1006),$AC$1006:$AS$1006,0)))),"Fix")))</f>
        <v xml:space="preserve"> </v>
      </c>
      <c r="V975">
        <v>974</v>
      </c>
      <c r="W975">
        <v>100975</v>
      </c>
      <c r="X975">
        <v>975</v>
      </c>
      <c r="Y975" t="b">
        <f t="shared" si="15"/>
        <v>1</v>
      </c>
      <c r="Z975" t="b">
        <f>COUNTBLANK(metadata!B975:R975)=COLUMNS(metadata!B975:R975)</f>
        <v>1</v>
      </c>
      <c r="AA975" t="str">
        <v/>
      </c>
      <c r="AC975" t="b">
        <f ca="1"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AD975" t="b">
        <f>IF(metadata!C975="",FALSE,ISNUMBER(VALUE(metadata!C975)))</f>
        <v>0</v>
      </c>
      <c r="AE975" t="b">
        <f>AND(IF(metadata!D975="",FALSE,TRUE),EXACT(metadata!D975,"years"))</f>
        <v>0</v>
      </c>
      <c r="AF975" t="b">
        <f>OR(AND(IF(metadata!E975="",FALSE,TRUE),OR(EXACT(metadata!E975,"not applicable"),EXACT(metadata!E975,"missing: not collected"),EXACT(metadata!E975,"missing: not provided"),EXACT(metadata!E975,"missing: restricted access"))),AND(IF(metadata!E975="",FALSE,ISNUMBER(VALUE(metadata!E975))),metadata!E975&gt;0))</f>
        <v>0</v>
      </c>
      <c r="AG975" t="b">
        <f>AND(IF(metadata!F975="",FALSE,TRUE),EXACT(metadata!F975,"Not applicable"))</f>
        <v>0</v>
      </c>
      <c r="AH975" t="b">
        <f>AND(IF(metadata!G975="",FALSE,TRUE),EXACT(metadata!G975,"urban biome"))</f>
        <v>0</v>
      </c>
      <c r="AI975" t="b">
        <f>AND(IF(metadata!H975="",FALSE,TRUE),EXACT(metadata!H975,"human-associated habitat"))</f>
        <v>0</v>
      </c>
      <c r="AJ975" t="b">
        <f>AND(IF(metadata!I975="",FALSE,TRUE),OR(EXACT(metadata!I975,"human-associated"),EXACT(metadata!I975,"human-skin"),EXACT(metadata!I975,"human-oral"),EXACT(metadata!I975,"human-gut"),EXACT(metadata!I975,"human-vaginal")))</f>
        <v>0</v>
      </c>
      <c r="AK975" t="b">
        <f>IF(metadata!J975="",FALSE,ISNUMBER(VALUE(metadata!J975)))</f>
        <v>0</v>
      </c>
      <c r="AL975" t="b">
        <f>AND(IF(metadata!K975="",FALSE,TRUE),EXACT(metadata!K975,"cm"))</f>
        <v>0</v>
      </c>
      <c r="AM975" t="b">
        <f>AND(IF(metadata!L975="",FALSE,TRUE),EXACT(metadata!L975,"human"))</f>
        <v>0</v>
      </c>
      <c r="AN975" t="b">
        <f>AND(IF(metadata!M975="",FALSE,TRUE),EXACT(metadata!M975,"Homo sapiens"))</f>
        <v>0</v>
      </c>
      <c r="AO975" t="b">
        <f>AND(IF(metadata!N975="",FALSE,TRUE),EXACT(metadata!N975,"9606"))</f>
        <v>0</v>
      </c>
      <c r="AP975" t="b">
        <f>IF(metadata!O975="",FALSE,TRUE)</f>
        <v>0</v>
      </c>
      <c r="AQ975" t="b">
        <f>IF(metadata!P975="",FALSE,TRUE)</f>
        <v>0</v>
      </c>
      <c r="AR975" t="b">
        <f>IF(metadata!Q975="",FALSE,ISNUMBER(VALUE(metadata!Q975)))</f>
        <v>0</v>
      </c>
      <c r="AS975" t="b">
        <f>AND(IF(metadata!R975="",FALSE,TRUE),EXACT(metadata!R975,"kg"))</f>
        <v>0</v>
      </c>
    </row>
    <row r="976" spans="1:45" x14ac:dyDescent="0.2">
      <c r="A976" s="5" t="str">
        <f ca="1">IF(B976=" "," ",HYPERLINK(CONCATENATE("#metadata!",ADDRESS(INDEX($X$2:$X$1001,MATCH(ROWS($V$2:V976),$V$2:$V$1001,0),0),1)),INDEX($AA$2:$AA$1001,MATCH(ROWS($V$2:V976),$V$2:$V$1001,0),0)))</f>
        <v xml:space="preserve"> </v>
      </c>
      <c r="B976" s="4" t="str">
        <f ca="1">IF(OR(INDEX($W$2:$W$1001,MATCH(ROWS($V$2:V976),$V$2:$V$1001,0),1)&gt;=100000,INDEX($AC$1005:$AS$1005,1,MATCH(COLUMNS($AC$1006:AC1006),$AC$1006:$AS$1006,0))&gt;=100000), " ",IF(INDEX($AC$2:$AS$1001,MATCH(ROWS($V$2:V976),$V$2:$V$1001,0),MATCH(COLUMNS($AC$1006:AC1006),$AC$1006:$AS$1006,0)), HYPERLINK("#",""), HYPERLINK(CONCATENATE("#metadata!", ADDRESS(INDEX($X$2:$X$1001,MATCH(ROWS($V$2:V976),$V$2:$V$1001,0),0), INDEX($AC$1004:$AS$1004,1,MATCH(COLUMNS($AC$1006:AC1006),$AC$1006:$AS$1006,0)))),"Fix")))</f>
        <v xml:space="preserve"> </v>
      </c>
      <c r="C976" s="4" t="str">
        <f ca="1">IF(OR(INDEX($W$2:$W$1001,MATCH(ROWS($V$2:V976),$V$2:$V$1001,0),1)&gt;=100000,INDEX($AC$1005:$AS$1005,1,MATCH(COLUMNS($AC$1006:AD1006),$AC$1006:$AS$1006,0))&gt;=100000), " ",IF(INDEX($AC$2:$AS$1001,MATCH(ROWS($V$2:V976),$V$2:$V$1001,0),MATCH(COLUMNS($AC$1006:AD1006),$AC$1006:$AS$1006,0)), HYPERLINK("#",""), HYPERLINK(CONCATENATE("#metadata!", ADDRESS(INDEX($X$2:$X$1001,MATCH(ROWS($V$2:V976),$V$2:$V$1001,0),0), INDEX($AC$1004:$AS$1004,1,MATCH(COLUMNS($AC$1006:AD1006),$AC$1006:$AS$1006,0)))),"Fix")))</f>
        <v xml:space="preserve"> </v>
      </c>
      <c r="D976" s="4" t="str">
        <f ca="1">IF(OR(INDEX($W$2:$W$1001,MATCH(ROWS($V$2:V976),$V$2:$V$1001,0),1)&gt;=100000,INDEX($AC$1005:$AS$1005,1,MATCH(COLUMNS($AC$1006:AE1006),$AC$1006:$AS$1006,0))&gt;=100000), " ",IF(INDEX($AC$2:$AS$1001,MATCH(ROWS($V$2:V976),$V$2:$V$1001,0),MATCH(COLUMNS($AC$1006:AE1006),$AC$1006:$AS$1006,0)), HYPERLINK("#",""), HYPERLINK(CONCATENATE("#metadata!", ADDRESS(INDEX($X$2:$X$1001,MATCH(ROWS($V$2:V976),$V$2:$V$1001,0),0), INDEX($AC$1004:$AS$1004,1,MATCH(COLUMNS($AC$1006:AE1006),$AC$1006:$AS$1006,0)))),"Fix")))</f>
        <v xml:space="preserve"> </v>
      </c>
      <c r="E976" s="4" t="str">
        <f ca="1">IF(OR(INDEX($W$2:$W$1001,MATCH(ROWS($V$2:V976),$V$2:$V$1001,0),1)&gt;=100000,INDEX($AC$1005:$AS$1005,1,MATCH(COLUMNS($AC$1006:AF1006),$AC$1006:$AS$1006,0))&gt;=100000), " ",IF(INDEX($AC$2:$AS$1001,MATCH(ROWS($V$2:V976),$V$2:$V$1001,0),MATCH(COLUMNS($AC$1006:AF1006),$AC$1006:$AS$1006,0)), HYPERLINK("#",""), HYPERLINK(CONCATENATE("#metadata!", ADDRESS(INDEX($X$2:$X$1001,MATCH(ROWS($V$2:V976),$V$2:$V$1001,0),0), INDEX($AC$1004:$AS$1004,1,MATCH(COLUMNS($AC$1006:AF1006),$AC$1006:$AS$1006,0)))),"Fix")))</f>
        <v xml:space="preserve"> </v>
      </c>
      <c r="F976" s="4" t="str">
        <f ca="1">IF(OR(INDEX($W$2:$W$1001,MATCH(ROWS($V$2:V976),$V$2:$V$1001,0),1)&gt;=100000,INDEX($AC$1005:$AS$1005,1,MATCH(COLUMNS($AC$1006:AG1006),$AC$1006:$AS$1006,0))&gt;=100000), " ",IF(INDEX($AC$2:$AS$1001,MATCH(ROWS($V$2:V976),$V$2:$V$1001,0),MATCH(COLUMNS($AC$1006:AG1006),$AC$1006:$AS$1006,0)), HYPERLINK("#",""), HYPERLINK(CONCATENATE("#metadata!", ADDRESS(INDEX($X$2:$X$1001,MATCH(ROWS($V$2:V976),$V$2:$V$1001,0),0), INDEX($AC$1004:$AS$1004,1,MATCH(COLUMNS($AC$1006:AG1006),$AC$1006:$AS$1006,0)))),"Fix")))</f>
        <v xml:space="preserve"> </v>
      </c>
      <c r="G976" s="4" t="str">
        <f ca="1">IF(OR(INDEX($W$2:$W$1001,MATCH(ROWS($V$2:V976),$V$2:$V$1001,0),1)&gt;=100000,INDEX($AC$1005:$AS$1005,1,MATCH(COLUMNS($AC$1006:AH1006),$AC$1006:$AS$1006,0))&gt;=100000), " ",IF(INDEX($AC$2:$AS$1001,MATCH(ROWS($V$2:V976),$V$2:$V$1001,0),MATCH(COLUMNS($AC$1006:AH1006),$AC$1006:$AS$1006,0)), HYPERLINK("#",""), HYPERLINK(CONCATENATE("#metadata!", ADDRESS(INDEX($X$2:$X$1001,MATCH(ROWS($V$2:V976),$V$2:$V$1001,0),0), INDEX($AC$1004:$AS$1004,1,MATCH(COLUMNS($AC$1006:AH1006),$AC$1006:$AS$1006,0)))),"Fix")))</f>
        <v xml:space="preserve"> </v>
      </c>
      <c r="H976" s="4" t="str">
        <f ca="1">IF(OR(INDEX($W$2:$W$1001,MATCH(ROWS($V$2:V976),$V$2:$V$1001,0),1)&gt;=100000,INDEX($AC$1005:$AS$1005,1,MATCH(COLUMNS($AC$1006:AI1006),$AC$1006:$AS$1006,0))&gt;=100000), " ",IF(INDEX($AC$2:$AS$1001,MATCH(ROWS($V$2:V976),$V$2:$V$1001,0),MATCH(COLUMNS($AC$1006:AI1006),$AC$1006:$AS$1006,0)), HYPERLINK("#",""), HYPERLINK(CONCATENATE("#metadata!", ADDRESS(INDEX($X$2:$X$1001,MATCH(ROWS($V$2:V976),$V$2:$V$1001,0),0), INDEX($AC$1004:$AS$1004,1,MATCH(COLUMNS($AC$1006:AI1006),$AC$1006:$AS$1006,0)))),"Fix")))</f>
        <v xml:space="preserve"> </v>
      </c>
      <c r="I976" s="4" t="str">
        <f ca="1">IF(OR(INDEX($W$2:$W$1001,MATCH(ROWS($V$2:V976),$V$2:$V$1001,0),1)&gt;=100000,INDEX($AC$1005:$AS$1005,1,MATCH(COLUMNS($AC$1006:AJ1006),$AC$1006:$AS$1006,0))&gt;=100000), " ",IF(INDEX($AC$2:$AS$1001,MATCH(ROWS($V$2:V976),$V$2:$V$1001,0),MATCH(COLUMNS($AC$1006:AJ1006),$AC$1006:$AS$1006,0)), HYPERLINK("#",""), HYPERLINK(CONCATENATE("#metadata!", ADDRESS(INDEX($X$2:$X$1001,MATCH(ROWS($V$2:V976),$V$2:$V$1001,0),0), INDEX($AC$1004:$AS$1004,1,MATCH(COLUMNS($AC$1006:AJ1006),$AC$1006:$AS$1006,0)))),"Fix")))</f>
        <v xml:space="preserve"> </v>
      </c>
      <c r="J976" s="4" t="str">
        <f ca="1">IF(OR(INDEX($W$2:$W$1001,MATCH(ROWS($V$2:V976),$V$2:$V$1001,0),1)&gt;=100000,INDEX($AC$1005:$AS$1005,1,MATCH(COLUMNS($AC$1006:AK1006),$AC$1006:$AS$1006,0))&gt;=100000), " ",IF(INDEX($AC$2:$AS$1001,MATCH(ROWS($V$2:V976),$V$2:$V$1001,0),MATCH(COLUMNS($AC$1006:AK1006),$AC$1006:$AS$1006,0)), HYPERLINK("#",""), HYPERLINK(CONCATENATE("#metadata!", ADDRESS(INDEX($X$2:$X$1001,MATCH(ROWS($V$2:V976),$V$2:$V$1001,0),0), INDEX($AC$1004:$AS$1004,1,MATCH(COLUMNS($AC$1006:AK1006),$AC$1006:$AS$1006,0)))),"Fix")))</f>
        <v xml:space="preserve"> </v>
      </c>
      <c r="K976" s="4" t="str">
        <f ca="1">IF(OR(INDEX($W$2:$W$1001,MATCH(ROWS($V$2:V976),$V$2:$V$1001,0),1)&gt;=100000,INDEX($AC$1005:$AS$1005,1,MATCH(COLUMNS($AC$1006:AL1006),$AC$1006:$AS$1006,0))&gt;=100000), " ",IF(INDEX($AC$2:$AS$1001,MATCH(ROWS($V$2:V976),$V$2:$V$1001,0),MATCH(COLUMNS($AC$1006:AL1006),$AC$1006:$AS$1006,0)), HYPERLINK("#",""), HYPERLINK(CONCATENATE("#metadata!", ADDRESS(INDEX($X$2:$X$1001,MATCH(ROWS($V$2:V976),$V$2:$V$1001,0),0), INDEX($AC$1004:$AS$1004,1,MATCH(COLUMNS($AC$1006:AL1006),$AC$1006:$AS$1006,0)))),"Fix")))</f>
        <v xml:space="preserve"> </v>
      </c>
      <c r="L976" s="4" t="str">
        <f ca="1">IF(OR(INDEX($W$2:$W$1001,MATCH(ROWS($V$2:V976),$V$2:$V$1001,0),1)&gt;=100000,INDEX($AC$1005:$AS$1005,1,MATCH(COLUMNS($AC$1006:AM1006),$AC$1006:$AS$1006,0))&gt;=100000), " ",IF(INDEX($AC$2:$AS$1001,MATCH(ROWS($V$2:V976),$V$2:$V$1001,0),MATCH(COLUMNS($AC$1006:AM1006),$AC$1006:$AS$1006,0)), HYPERLINK("#",""), HYPERLINK(CONCATENATE("#metadata!", ADDRESS(INDEX($X$2:$X$1001,MATCH(ROWS($V$2:V976),$V$2:$V$1001,0),0), INDEX($AC$1004:$AS$1004,1,MATCH(COLUMNS($AC$1006:AM1006),$AC$1006:$AS$1006,0)))),"Fix")))</f>
        <v xml:space="preserve"> </v>
      </c>
      <c r="M976" s="4" t="str">
        <f ca="1">IF(OR(INDEX($W$2:$W$1001,MATCH(ROWS($V$2:V976),$V$2:$V$1001,0),1)&gt;=100000,INDEX($AC$1005:$AS$1005,1,MATCH(COLUMNS($AC$1006:AN1006),$AC$1006:$AS$1006,0))&gt;=100000), " ",IF(INDEX($AC$2:$AS$1001,MATCH(ROWS($V$2:V976),$V$2:$V$1001,0),MATCH(COLUMNS($AC$1006:AN1006),$AC$1006:$AS$1006,0)), HYPERLINK("#",""), HYPERLINK(CONCATENATE("#metadata!", ADDRESS(INDEX($X$2:$X$1001,MATCH(ROWS($V$2:V976),$V$2:$V$1001,0),0), INDEX($AC$1004:$AS$1004,1,MATCH(COLUMNS($AC$1006:AN1006),$AC$1006:$AS$1006,0)))),"Fix")))</f>
        <v xml:space="preserve"> </v>
      </c>
      <c r="N976" s="4" t="str">
        <f ca="1">IF(OR(INDEX($W$2:$W$1001,MATCH(ROWS($V$2:V976),$V$2:$V$1001,0),1)&gt;=100000,INDEX($AC$1005:$AS$1005,1,MATCH(COLUMNS($AC$1006:AO1006),$AC$1006:$AS$1006,0))&gt;=100000), " ",IF(INDEX($AC$2:$AS$1001,MATCH(ROWS($V$2:V976),$V$2:$V$1001,0),MATCH(COLUMNS($AC$1006:AO1006),$AC$1006:$AS$1006,0)), HYPERLINK("#",""), HYPERLINK(CONCATENATE("#metadata!", ADDRESS(INDEX($X$2:$X$1001,MATCH(ROWS($V$2:V976),$V$2:$V$1001,0),0), INDEX($AC$1004:$AS$1004,1,MATCH(COLUMNS($AC$1006:AO1006),$AC$1006:$AS$1006,0)))),"Fix")))</f>
        <v xml:space="preserve"> </v>
      </c>
      <c r="O976" s="4" t="str">
        <f ca="1">IF(OR(INDEX($W$2:$W$1001,MATCH(ROWS($V$2:V976),$V$2:$V$1001,0),1)&gt;=100000,INDEX($AC$1005:$AS$1005,1,MATCH(COLUMNS($AC$1006:AP1006),$AC$1006:$AS$1006,0))&gt;=100000), " ",IF(INDEX($AC$2:$AS$1001,MATCH(ROWS($V$2:V976),$V$2:$V$1001,0),MATCH(COLUMNS($AC$1006:AP1006),$AC$1006:$AS$1006,0)), HYPERLINK("#",""), HYPERLINK(CONCATENATE("#metadata!", ADDRESS(INDEX($X$2:$X$1001,MATCH(ROWS($V$2:V976),$V$2:$V$1001,0),0), INDEX($AC$1004:$AS$1004,1,MATCH(COLUMNS($AC$1006:AP1006),$AC$1006:$AS$1006,0)))),"Fix")))</f>
        <v xml:space="preserve"> </v>
      </c>
      <c r="P976" s="4" t="str">
        <f ca="1">IF(OR(INDEX($W$2:$W$1001,MATCH(ROWS($V$2:V976),$V$2:$V$1001,0),1)&gt;=100000,INDEX($AC$1005:$AS$1005,1,MATCH(COLUMNS($AC$1006:AQ1006),$AC$1006:$AS$1006,0))&gt;=100000), " ",IF(INDEX($AC$2:$AS$1001,MATCH(ROWS($V$2:V976),$V$2:$V$1001,0),MATCH(COLUMNS($AC$1006:AQ1006),$AC$1006:$AS$1006,0)), HYPERLINK("#",""), HYPERLINK(CONCATENATE("#metadata!", ADDRESS(INDEX($X$2:$X$1001,MATCH(ROWS($V$2:V976),$V$2:$V$1001,0),0), INDEX($AC$1004:$AS$1004,1,MATCH(COLUMNS($AC$1006:AQ1006),$AC$1006:$AS$1006,0)))),"Fix")))</f>
        <v xml:space="preserve"> </v>
      </c>
      <c r="Q976" s="4" t="str">
        <f ca="1">IF(OR(INDEX($W$2:$W$1001,MATCH(ROWS($V$2:V976),$V$2:$V$1001,0),1)&gt;=100000,INDEX($AC$1005:$AS$1005,1,MATCH(COLUMNS($AC$1006:AR1006),$AC$1006:$AS$1006,0))&gt;=100000), " ",IF(INDEX($AC$2:$AS$1001,MATCH(ROWS($V$2:V976),$V$2:$V$1001,0),MATCH(COLUMNS($AC$1006:AR1006),$AC$1006:$AS$1006,0)), HYPERLINK("#",""), HYPERLINK(CONCATENATE("#metadata!", ADDRESS(INDEX($X$2:$X$1001,MATCH(ROWS($V$2:V976),$V$2:$V$1001,0),0), INDEX($AC$1004:$AS$1004,1,MATCH(COLUMNS($AC$1006:AR1006),$AC$1006:$AS$1006,0)))),"Fix")))</f>
        <v xml:space="preserve"> </v>
      </c>
      <c r="R976" s="4" t="str">
        <f ca="1">IF(OR(INDEX($W$2:$W$1001,MATCH(ROWS($V$2:V976),$V$2:$V$1001,0),1)&gt;=100000,INDEX($AC$1005:$AS$1005,1,MATCH(COLUMNS($AC$1006:AS1006),$AC$1006:$AS$1006,0))&gt;=100000), " ",IF(INDEX($AC$2:$AS$1001,MATCH(ROWS($V$2:V976),$V$2:$V$1001,0),MATCH(COLUMNS($AC$1006:AS1006),$AC$1006:$AS$1006,0)), HYPERLINK("#",""), HYPERLINK(CONCATENATE("#metadata!", ADDRESS(INDEX($X$2:$X$1001,MATCH(ROWS($V$2:V976),$V$2:$V$1001,0),0), INDEX($AC$1004:$AS$1004,1,MATCH(COLUMNS($AC$1006:AS1006),$AC$1006:$AS$1006,0)))),"Fix")))</f>
        <v xml:space="preserve"> </v>
      </c>
      <c r="V976">
        <v>975</v>
      </c>
      <c r="W976">
        <v>100976</v>
      </c>
      <c r="X976">
        <v>976</v>
      </c>
      <c r="Y976" t="b">
        <f t="shared" si="15"/>
        <v>1</v>
      </c>
      <c r="Z976" t="b">
        <f>COUNTBLANK(metadata!B976:R976)=COLUMNS(metadata!B976:R976)</f>
        <v>1</v>
      </c>
      <c r="AA976" t="str">
        <v/>
      </c>
      <c r="AC976" t="b">
        <f ca="1"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AD976" t="b">
        <f>IF(metadata!C976="",FALSE,ISNUMBER(VALUE(metadata!C976)))</f>
        <v>0</v>
      </c>
      <c r="AE976" t="b">
        <f>AND(IF(metadata!D976="",FALSE,TRUE),EXACT(metadata!D976,"years"))</f>
        <v>0</v>
      </c>
      <c r="AF976" t="b">
        <f>OR(AND(IF(metadata!E976="",FALSE,TRUE),OR(EXACT(metadata!E976,"not applicable"),EXACT(metadata!E976,"missing: not collected"),EXACT(metadata!E976,"missing: not provided"),EXACT(metadata!E976,"missing: restricted access"))),AND(IF(metadata!E976="",FALSE,ISNUMBER(VALUE(metadata!E976))),metadata!E976&gt;0))</f>
        <v>0</v>
      </c>
      <c r="AG976" t="b">
        <f>AND(IF(metadata!F976="",FALSE,TRUE),EXACT(metadata!F976,"Not applicable"))</f>
        <v>0</v>
      </c>
      <c r="AH976" t="b">
        <f>AND(IF(metadata!G976="",FALSE,TRUE),EXACT(metadata!G976,"urban biome"))</f>
        <v>0</v>
      </c>
      <c r="AI976" t="b">
        <f>AND(IF(metadata!H976="",FALSE,TRUE),EXACT(metadata!H976,"human-associated habitat"))</f>
        <v>0</v>
      </c>
      <c r="AJ976" t="b">
        <f>AND(IF(metadata!I976="",FALSE,TRUE),OR(EXACT(metadata!I976,"human-associated"),EXACT(metadata!I976,"human-skin"),EXACT(metadata!I976,"human-oral"),EXACT(metadata!I976,"human-gut"),EXACT(metadata!I976,"human-vaginal")))</f>
        <v>0</v>
      </c>
      <c r="AK976" t="b">
        <f>IF(metadata!J976="",FALSE,ISNUMBER(VALUE(metadata!J976)))</f>
        <v>0</v>
      </c>
      <c r="AL976" t="b">
        <f>AND(IF(metadata!K976="",FALSE,TRUE),EXACT(metadata!K976,"cm"))</f>
        <v>0</v>
      </c>
      <c r="AM976" t="b">
        <f>AND(IF(metadata!L976="",FALSE,TRUE),EXACT(metadata!L976,"human"))</f>
        <v>0</v>
      </c>
      <c r="AN976" t="b">
        <f>AND(IF(metadata!M976="",FALSE,TRUE),EXACT(metadata!M976,"Homo sapiens"))</f>
        <v>0</v>
      </c>
      <c r="AO976" t="b">
        <f>AND(IF(metadata!N976="",FALSE,TRUE),EXACT(metadata!N976,"9606"))</f>
        <v>0</v>
      </c>
      <c r="AP976" t="b">
        <f>IF(metadata!O976="",FALSE,TRUE)</f>
        <v>0</v>
      </c>
      <c r="AQ976" t="b">
        <f>IF(metadata!P976="",FALSE,TRUE)</f>
        <v>0</v>
      </c>
      <c r="AR976" t="b">
        <f>IF(metadata!Q976="",FALSE,ISNUMBER(VALUE(metadata!Q976)))</f>
        <v>0</v>
      </c>
      <c r="AS976" t="b">
        <f>AND(IF(metadata!R976="",FALSE,TRUE),EXACT(metadata!R976,"kg"))</f>
        <v>0</v>
      </c>
    </row>
    <row r="977" spans="1:45" x14ac:dyDescent="0.2">
      <c r="A977" s="5" t="str">
        <f ca="1">IF(B977=" "," ",HYPERLINK(CONCATENATE("#metadata!",ADDRESS(INDEX($X$2:$X$1001,MATCH(ROWS($V$2:V977),$V$2:$V$1001,0),0),1)),INDEX($AA$2:$AA$1001,MATCH(ROWS($V$2:V977),$V$2:$V$1001,0),0)))</f>
        <v xml:space="preserve"> </v>
      </c>
      <c r="B977" s="4" t="str">
        <f ca="1">IF(OR(INDEX($W$2:$W$1001,MATCH(ROWS($V$2:V977),$V$2:$V$1001,0),1)&gt;=100000,INDEX($AC$1005:$AS$1005,1,MATCH(COLUMNS($AC$1006:AC1006),$AC$1006:$AS$1006,0))&gt;=100000), " ",IF(INDEX($AC$2:$AS$1001,MATCH(ROWS($V$2:V977),$V$2:$V$1001,0),MATCH(COLUMNS($AC$1006:AC1006),$AC$1006:$AS$1006,0)), HYPERLINK("#",""), HYPERLINK(CONCATENATE("#metadata!", ADDRESS(INDEX($X$2:$X$1001,MATCH(ROWS($V$2:V977),$V$2:$V$1001,0),0), INDEX($AC$1004:$AS$1004,1,MATCH(COLUMNS($AC$1006:AC1006),$AC$1006:$AS$1006,0)))),"Fix")))</f>
        <v xml:space="preserve"> </v>
      </c>
      <c r="C977" s="4" t="str">
        <f ca="1">IF(OR(INDEX($W$2:$W$1001,MATCH(ROWS($V$2:V977),$V$2:$V$1001,0),1)&gt;=100000,INDEX($AC$1005:$AS$1005,1,MATCH(COLUMNS($AC$1006:AD1006),$AC$1006:$AS$1006,0))&gt;=100000), " ",IF(INDEX($AC$2:$AS$1001,MATCH(ROWS($V$2:V977),$V$2:$V$1001,0),MATCH(COLUMNS($AC$1006:AD1006),$AC$1006:$AS$1006,0)), HYPERLINK("#",""), HYPERLINK(CONCATENATE("#metadata!", ADDRESS(INDEX($X$2:$X$1001,MATCH(ROWS($V$2:V977),$V$2:$V$1001,0),0), INDEX($AC$1004:$AS$1004,1,MATCH(COLUMNS($AC$1006:AD1006),$AC$1006:$AS$1006,0)))),"Fix")))</f>
        <v xml:space="preserve"> </v>
      </c>
      <c r="D977" s="4" t="str">
        <f ca="1">IF(OR(INDEX($W$2:$W$1001,MATCH(ROWS($V$2:V977),$V$2:$V$1001,0),1)&gt;=100000,INDEX($AC$1005:$AS$1005,1,MATCH(COLUMNS($AC$1006:AE1006),$AC$1006:$AS$1006,0))&gt;=100000), " ",IF(INDEX($AC$2:$AS$1001,MATCH(ROWS($V$2:V977),$V$2:$V$1001,0),MATCH(COLUMNS($AC$1006:AE1006),$AC$1006:$AS$1006,0)), HYPERLINK("#",""), HYPERLINK(CONCATENATE("#metadata!", ADDRESS(INDEX($X$2:$X$1001,MATCH(ROWS($V$2:V977),$V$2:$V$1001,0),0), INDEX($AC$1004:$AS$1004,1,MATCH(COLUMNS($AC$1006:AE1006),$AC$1006:$AS$1006,0)))),"Fix")))</f>
        <v xml:space="preserve"> </v>
      </c>
      <c r="E977" s="4" t="str">
        <f ca="1">IF(OR(INDEX($W$2:$W$1001,MATCH(ROWS($V$2:V977),$V$2:$V$1001,0),1)&gt;=100000,INDEX($AC$1005:$AS$1005,1,MATCH(COLUMNS($AC$1006:AF1006),$AC$1006:$AS$1006,0))&gt;=100000), " ",IF(INDEX($AC$2:$AS$1001,MATCH(ROWS($V$2:V977),$V$2:$V$1001,0),MATCH(COLUMNS($AC$1006:AF1006),$AC$1006:$AS$1006,0)), HYPERLINK("#",""), HYPERLINK(CONCATENATE("#metadata!", ADDRESS(INDEX($X$2:$X$1001,MATCH(ROWS($V$2:V977),$V$2:$V$1001,0),0), INDEX($AC$1004:$AS$1004,1,MATCH(COLUMNS($AC$1006:AF1006),$AC$1006:$AS$1006,0)))),"Fix")))</f>
        <v xml:space="preserve"> </v>
      </c>
      <c r="F977" s="4" t="str">
        <f ca="1">IF(OR(INDEX($W$2:$W$1001,MATCH(ROWS($V$2:V977),$V$2:$V$1001,0),1)&gt;=100000,INDEX($AC$1005:$AS$1005,1,MATCH(COLUMNS($AC$1006:AG1006),$AC$1006:$AS$1006,0))&gt;=100000), " ",IF(INDEX($AC$2:$AS$1001,MATCH(ROWS($V$2:V977),$V$2:$V$1001,0),MATCH(COLUMNS($AC$1006:AG1006),$AC$1006:$AS$1006,0)), HYPERLINK("#",""), HYPERLINK(CONCATENATE("#metadata!", ADDRESS(INDEX($X$2:$X$1001,MATCH(ROWS($V$2:V977),$V$2:$V$1001,0),0), INDEX($AC$1004:$AS$1004,1,MATCH(COLUMNS($AC$1006:AG1006),$AC$1006:$AS$1006,0)))),"Fix")))</f>
        <v xml:space="preserve"> </v>
      </c>
      <c r="G977" s="4" t="str">
        <f ca="1">IF(OR(INDEX($W$2:$W$1001,MATCH(ROWS($V$2:V977),$V$2:$V$1001,0),1)&gt;=100000,INDEX($AC$1005:$AS$1005,1,MATCH(COLUMNS($AC$1006:AH1006),$AC$1006:$AS$1006,0))&gt;=100000), " ",IF(INDEX($AC$2:$AS$1001,MATCH(ROWS($V$2:V977),$V$2:$V$1001,0),MATCH(COLUMNS($AC$1006:AH1006),$AC$1006:$AS$1006,0)), HYPERLINK("#",""), HYPERLINK(CONCATENATE("#metadata!", ADDRESS(INDEX($X$2:$X$1001,MATCH(ROWS($V$2:V977),$V$2:$V$1001,0),0), INDEX($AC$1004:$AS$1004,1,MATCH(COLUMNS($AC$1006:AH1006),$AC$1006:$AS$1006,0)))),"Fix")))</f>
        <v xml:space="preserve"> </v>
      </c>
      <c r="H977" s="4" t="str">
        <f ca="1">IF(OR(INDEX($W$2:$W$1001,MATCH(ROWS($V$2:V977),$V$2:$V$1001,0),1)&gt;=100000,INDEX($AC$1005:$AS$1005,1,MATCH(COLUMNS($AC$1006:AI1006),$AC$1006:$AS$1006,0))&gt;=100000), " ",IF(INDEX($AC$2:$AS$1001,MATCH(ROWS($V$2:V977),$V$2:$V$1001,0),MATCH(COLUMNS($AC$1006:AI1006),$AC$1006:$AS$1006,0)), HYPERLINK("#",""), HYPERLINK(CONCATENATE("#metadata!", ADDRESS(INDEX($X$2:$X$1001,MATCH(ROWS($V$2:V977),$V$2:$V$1001,0),0), INDEX($AC$1004:$AS$1004,1,MATCH(COLUMNS($AC$1006:AI1006),$AC$1006:$AS$1006,0)))),"Fix")))</f>
        <v xml:space="preserve"> </v>
      </c>
      <c r="I977" s="4" t="str">
        <f ca="1">IF(OR(INDEX($W$2:$W$1001,MATCH(ROWS($V$2:V977),$V$2:$V$1001,0),1)&gt;=100000,INDEX($AC$1005:$AS$1005,1,MATCH(COLUMNS($AC$1006:AJ1006),$AC$1006:$AS$1006,0))&gt;=100000), " ",IF(INDEX($AC$2:$AS$1001,MATCH(ROWS($V$2:V977),$V$2:$V$1001,0),MATCH(COLUMNS($AC$1006:AJ1006),$AC$1006:$AS$1006,0)), HYPERLINK("#",""), HYPERLINK(CONCATENATE("#metadata!", ADDRESS(INDEX($X$2:$X$1001,MATCH(ROWS($V$2:V977),$V$2:$V$1001,0),0), INDEX($AC$1004:$AS$1004,1,MATCH(COLUMNS($AC$1006:AJ1006),$AC$1006:$AS$1006,0)))),"Fix")))</f>
        <v xml:space="preserve"> </v>
      </c>
      <c r="J977" s="4" t="str">
        <f ca="1">IF(OR(INDEX($W$2:$W$1001,MATCH(ROWS($V$2:V977),$V$2:$V$1001,0),1)&gt;=100000,INDEX($AC$1005:$AS$1005,1,MATCH(COLUMNS($AC$1006:AK1006),$AC$1006:$AS$1006,0))&gt;=100000), " ",IF(INDEX($AC$2:$AS$1001,MATCH(ROWS($V$2:V977),$V$2:$V$1001,0),MATCH(COLUMNS($AC$1006:AK1006),$AC$1006:$AS$1006,0)), HYPERLINK("#",""), HYPERLINK(CONCATENATE("#metadata!", ADDRESS(INDEX($X$2:$X$1001,MATCH(ROWS($V$2:V977),$V$2:$V$1001,0),0), INDEX($AC$1004:$AS$1004,1,MATCH(COLUMNS($AC$1006:AK1006),$AC$1006:$AS$1006,0)))),"Fix")))</f>
        <v xml:space="preserve"> </v>
      </c>
      <c r="K977" s="4" t="str">
        <f ca="1">IF(OR(INDEX($W$2:$W$1001,MATCH(ROWS($V$2:V977),$V$2:$V$1001,0),1)&gt;=100000,INDEX($AC$1005:$AS$1005,1,MATCH(COLUMNS($AC$1006:AL1006),$AC$1006:$AS$1006,0))&gt;=100000), " ",IF(INDEX($AC$2:$AS$1001,MATCH(ROWS($V$2:V977),$V$2:$V$1001,0),MATCH(COLUMNS($AC$1006:AL1006),$AC$1006:$AS$1006,0)), HYPERLINK("#",""), HYPERLINK(CONCATENATE("#metadata!", ADDRESS(INDEX($X$2:$X$1001,MATCH(ROWS($V$2:V977),$V$2:$V$1001,0),0), INDEX($AC$1004:$AS$1004,1,MATCH(COLUMNS($AC$1006:AL1006),$AC$1006:$AS$1006,0)))),"Fix")))</f>
        <v xml:space="preserve"> </v>
      </c>
      <c r="L977" s="4" t="str">
        <f ca="1">IF(OR(INDEX($W$2:$W$1001,MATCH(ROWS($V$2:V977),$V$2:$V$1001,0),1)&gt;=100000,INDEX($AC$1005:$AS$1005,1,MATCH(COLUMNS($AC$1006:AM1006),$AC$1006:$AS$1006,0))&gt;=100000), " ",IF(INDEX($AC$2:$AS$1001,MATCH(ROWS($V$2:V977),$V$2:$V$1001,0),MATCH(COLUMNS($AC$1006:AM1006),$AC$1006:$AS$1006,0)), HYPERLINK("#",""), HYPERLINK(CONCATENATE("#metadata!", ADDRESS(INDEX($X$2:$X$1001,MATCH(ROWS($V$2:V977),$V$2:$V$1001,0),0), INDEX($AC$1004:$AS$1004,1,MATCH(COLUMNS($AC$1006:AM1006),$AC$1006:$AS$1006,0)))),"Fix")))</f>
        <v xml:space="preserve"> </v>
      </c>
      <c r="M977" s="4" t="str">
        <f ca="1">IF(OR(INDEX($W$2:$W$1001,MATCH(ROWS($V$2:V977),$V$2:$V$1001,0),1)&gt;=100000,INDEX($AC$1005:$AS$1005,1,MATCH(COLUMNS($AC$1006:AN1006),$AC$1006:$AS$1006,0))&gt;=100000), " ",IF(INDEX($AC$2:$AS$1001,MATCH(ROWS($V$2:V977),$V$2:$V$1001,0),MATCH(COLUMNS($AC$1006:AN1006),$AC$1006:$AS$1006,0)), HYPERLINK("#",""), HYPERLINK(CONCATENATE("#metadata!", ADDRESS(INDEX($X$2:$X$1001,MATCH(ROWS($V$2:V977),$V$2:$V$1001,0),0), INDEX($AC$1004:$AS$1004,1,MATCH(COLUMNS($AC$1006:AN1006),$AC$1006:$AS$1006,0)))),"Fix")))</f>
        <v xml:space="preserve"> </v>
      </c>
      <c r="N977" s="4" t="str">
        <f ca="1">IF(OR(INDEX($W$2:$W$1001,MATCH(ROWS($V$2:V977),$V$2:$V$1001,0),1)&gt;=100000,INDEX($AC$1005:$AS$1005,1,MATCH(COLUMNS($AC$1006:AO1006),$AC$1006:$AS$1006,0))&gt;=100000), " ",IF(INDEX($AC$2:$AS$1001,MATCH(ROWS($V$2:V977),$V$2:$V$1001,0),MATCH(COLUMNS($AC$1006:AO1006),$AC$1006:$AS$1006,0)), HYPERLINK("#",""), HYPERLINK(CONCATENATE("#metadata!", ADDRESS(INDEX($X$2:$X$1001,MATCH(ROWS($V$2:V977),$V$2:$V$1001,0),0), INDEX($AC$1004:$AS$1004,1,MATCH(COLUMNS($AC$1006:AO1006),$AC$1006:$AS$1006,0)))),"Fix")))</f>
        <v xml:space="preserve"> </v>
      </c>
      <c r="O977" s="4" t="str">
        <f ca="1">IF(OR(INDEX($W$2:$W$1001,MATCH(ROWS($V$2:V977),$V$2:$V$1001,0),1)&gt;=100000,INDEX($AC$1005:$AS$1005,1,MATCH(COLUMNS($AC$1006:AP1006),$AC$1006:$AS$1006,0))&gt;=100000), " ",IF(INDEX($AC$2:$AS$1001,MATCH(ROWS($V$2:V977),$V$2:$V$1001,0),MATCH(COLUMNS($AC$1006:AP1006),$AC$1006:$AS$1006,0)), HYPERLINK("#",""), HYPERLINK(CONCATENATE("#metadata!", ADDRESS(INDEX($X$2:$X$1001,MATCH(ROWS($V$2:V977),$V$2:$V$1001,0),0), INDEX($AC$1004:$AS$1004,1,MATCH(COLUMNS($AC$1006:AP1006),$AC$1006:$AS$1006,0)))),"Fix")))</f>
        <v xml:space="preserve"> </v>
      </c>
      <c r="P977" s="4" t="str">
        <f ca="1">IF(OR(INDEX($W$2:$W$1001,MATCH(ROWS($V$2:V977),$V$2:$V$1001,0),1)&gt;=100000,INDEX($AC$1005:$AS$1005,1,MATCH(COLUMNS($AC$1006:AQ1006),$AC$1006:$AS$1006,0))&gt;=100000), " ",IF(INDEX($AC$2:$AS$1001,MATCH(ROWS($V$2:V977),$V$2:$V$1001,0),MATCH(COLUMNS($AC$1006:AQ1006),$AC$1006:$AS$1006,0)), HYPERLINK("#",""), HYPERLINK(CONCATENATE("#metadata!", ADDRESS(INDEX($X$2:$X$1001,MATCH(ROWS($V$2:V977),$V$2:$V$1001,0),0), INDEX($AC$1004:$AS$1004,1,MATCH(COLUMNS($AC$1006:AQ1006),$AC$1006:$AS$1006,0)))),"Fix")))</f>
        <v xml:space="preserve"> </v>
      </c>
      <c r="Q977" s="4" t="str">
        <f ca="1">IF(OR(INDEX($W$2:$W$1001,MATCH(ROWS($V$2:V977),$V$2:$V$1001,0),1)&gt;=100000,INDEX($AC$1005:$AS$1005,1,MATCH(COLUMNS($AC$1006:AR1006),$AC$1006:$AS$1006,0))&gt;=100000), " ",IF(INDEX($AC$2:$AS$1001,MATCH(ROWS($V$2:V977),$V$2:$V$1001,0),MATCH(COLUMNS($AC$1006:AR1006),$AC$1006:$AS$1006,0)), HYPERLINK("#",""), HYPERLINK(CONCATENATE("#metadata!", ADDRESS(INDEX($X$2:$X$1001,MATCH(ROWS($V$2:V977),$V$2:$V$1001,0),0), INDEX($AC$1004:$AS$1004,1,MATCH(COLUMNS($AC$1006:AR1006),$AC$1006:$AS$1006,0)))),"Fix")))</f>
        <v xml:space="preserve"> </v>
      </c>
      <c r="R977" s="4" t="str">
        <f ca="1">IF(OR(INDEX($W$2:$W$1001,MATCH(ROWS($V$2:V977),$V$2:$V$1001,0),1)&gt;=100000,INDEX($AC$1005:$AS$1005,1,MATCH(COLUMNS($AC$1006:AS1006),$AC$1006:$AS$1006,0))&gt;=100000), " ",IF(INDEX($AC$2:$AS$1001,MATCH(ROWS($V$2:V977),$V$2:$V$1001,0),MATCH(COLUMNS($AC$1006:AS1006),$AC$1006:$AS$1006,0)), HYPERLINK("#",""), HYPERLINK(CONCATENATE("#metadata!", ADDRESS(INDEX($X$2:$X$1001,MATCH(ROWS($V$2:V977),$V$2:$V$1001,0),0), INDEX($AC$1004:$AS$1004,1,MATCH(COLUMNS($AC$1006:AS1006),$AC$1006:$AS$1006,0)))),"Fix")))</f>
        <v xml:space="preserve"> </v>
      </c>
      <c r="V977">
        <v>976</v>
      </c>
      <c r="W977">
        <v>100977</v>
      </c>
      <c r="X977">
        <v>977</v>
      </c>
      <c r="Y977" t="b">
        <f t="shared" si="15"/>
        <v>1</v>
      </c>
      <c r="Z977" t="b">
        <f>COUNTBLANK(metadata!B977:R977)=COLUMNS(metadata!B977:R977)</f>
        <v>1</v>
      </c>
      <c r="AA977" t="str">
        <v/>
      </c>
      <c r="AC977" t="b">
        <f ca="1"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AD977" t="b">
        <f>IF(metadata!C977="",FALSE,ISNUMBER(VALUE(metadata!C977)))</f>
        <v>0</v>
      </c>
      <c r="AE977" t="b">
        <f>AND(IF(metadata!D977="",FALSE,TRUE),EXACT(metadata!D977,"years"))</f>
        <v>0</v>
      </c>
      <c r="AF977" t="b">
        <f>OR(AND(IF(metadata!E977="",FALSE,TRUE),OR(EXACT(metadata!E977,"not applicable"),EXACT(metadata!E977,"missing: not collected"),EXACT(metadata!E977,"missing: not provided"),EXACT(metadata!E977,"missing: restricted access"))),AND(IF(metadata!E977="",FALSE,ISNUMBER(VALUE(metadata!E977))),metadata!E977&gt;0))</f>
        <v>0</v>
      </c>
      <c r="AG977" t="b">
        <f>AND(IF(metadata!F977="",FALSE,TRUE),EXACT(metadata!F977,"Not applicable"))</f>
        <v>0</v>
      </c>
      <c r="AH977" t="b">
        <f>AND(IF(metadata!G977="",FALSE,TRUE),EXACT(metadata!G977,"urban biome"))</f>
        <v>0</v>
      </c>
      <c r="AI977" t="b">
        <f>AND(IF(metadata!H977="",FALSE,TRUE),EXACT(metadata!H977,"human-associated habitat"))</f>
        <v>0</v>
      </c>
      <c r="AJ977" t="b">
        <f>AND(IF(metadata!I977="",FALSE,TRUE),OR(EXACT(metadata!I977,"human-associated"),EXACT(metadata!I977,"human-skin"),EXACT(metadata!I977,"human-oral"),EXACT(metadata!I977,"human-gut"),EXACT(metadata!I977,"human-vaginal")))</f>
        <v>0</v>
      </c>
      <c r="AK977" t="b">
        <f>IF(metadata!J977="",FALSE,ISNUMBER(VALUE(metadata!J977)))</f>
        <v>0</v>
      </c>
      <c r="AL977" t="b">
        <f>AND(IF(metadata!K977="",FALSE,TRUE),EXACT(metadata!K977,"cm"))</f>
        <v>0</v>
      </c>
      <c r="AM977" t="b">
        <f>AND(IF(metadata!L977="",FALSE,TRUE),EXACT(metadata!L977,"human"))</f>
        <v>0</v>
      </c>
      <c r="AN977" t="b">
        <f>AND(IF(metadata!M977="",FALSE,TRUE),EXACT(metadata!M977,"Homo sapiens"))</f>
        <v>0</v>
      </c>
      <c r="AO977" t="b">
        <f>AND(IF(metadata!N977="",FALSE,TRUE),EXACT(metadata!N977,"9606"))</f>
        <v>0</v>
      </c>
      <c r="AP977" t="b">
        <f>IF(metadata!O977="",FALSE,TRUE)</f>
        <v>0</v>
      </c>
      <c r="AQ977" t="b">
        <f>IF(metadata!P977="",FALSE,TRUE)</f>
        <v>0</v>
      </c>
      <c r="AR977" t="b">
        <f>IF(metadata!Q977="",FALSE,ISNUMBER(VALUE(metadata!Q977)))</f>
        <v>0</v>
      </c>
      <c r="AS977" t="b">
        <f>AND(IF(metadata!R977="",FALSE,TRUE),EXACT(metadata!R977,"kg"))</f>
        <v>0</v>
      </c>
    </row>
    <row r="978" spans="1:45" x14ac:dyDescent="0.2">
      <c r="A978" s="5" t="str">
        <f ca="1">IF(B978=" "," ",HYPERLINK(CONCATENATE("#metadata!",ADDRESS(INDEX($X$2:$X$1001,MATCH(ROWS($V$2:V978),$V$2:$V$1001,0),0),1)),INDEX($AA$2:$AA$1001,MATCH(ROWS($V$2:V978),$V$2:$V$1001,0),0)))</f>
        <v xml:space="preserve"> </v>
      </c>
      <c r="B978" s="4" t="str">
        <f ca="1">IF(OR(INDEX($W$2:$W$1001,MATCH(ROWS($V$2:V978),$V$2:$V$1001,0),1)&gt;=100000,INDEX($AC$1005:$AS$1005,1,MATCH(COLUMNS($AC$1006:AC1006),$AC$1006:$AS$1006,0))&gt;=100000), " ",IF(INDEX($AC$2:$AS$1001,MATCH(ROWS($V$2:V978),$V$2:$V$1001,0),MATCH(COLUMNS($AC$1006:AC1006),$AC$1006:$AS$1006,0)), HYPERLINK("#",""), HYPERLINK(CONCATENATE("#metadata!", ADDRESS(INDEX($X$2:$X$1001,MATCH(ROWS($V$2:V978),$V$2:$V$1001,0),0), INDEX($AC$1004:$AS$1004,1,MATCH(COLUMNS($AC$1006:AC1006),$AC$1006:$AS$1006,0)))),"Fix")))</f>
        <v xml:space="preserve"> </v>
      </c>
      <c r="C978" s="4" t="str">
        <f ca="1">IF(OR(INDEX($W$2:$W$1001,MATCH(ROWS($V$2:V978),$V$2:$V$1001,0),1)&gt;=100000,INDEX($AC$1005:$AS$1005,1,MATCH(COLUMNS($AC$1006:AD1006),$AC$1006:$AS$1006,0))&gt;=100000), " ",IF(INDEX($AC$2:$AS$1001,MATCH(ROWS($V$2:V978),$V$2:$V$1001,0),MATCH(COLUMNS($AC$1006:AD1006),$AC$1006:$AS$1006,0)), HYPERLINK("#",""), HYPERLINK(CONCATENATE("#metadata!", ADDRESS(INDEX($X$2:$X$1001,MATCH(ROWS($V$2:V978),$V$2:$V$1001,0),0), INDEX($AC$1004:$AS$1004,1,MATCH(COLUMNS($AC$1006:AD1006),$AC$1006:$AS$1006,0)))),"Fix")))</f>
        <v xml:space="preserve"> </v>
      </c>
      <c r="D978" s="4" t="str">
        <f ca="1">IF(OR(INDEX($W$2:$W$1001,MATCH(ROWS($V$2:V978),$V$2:$V$1001,0),1)&gt;=100000,INDEX($AC$1005:$AS$1005,1,MATCH(COLUMNS($AC$1006:AE1006),$AC$1006:$AS$1006,0))&gt;=100000), " ",IF(INDEX($AC$2:$AS$1001,MATCH(ROWS($V$2:V978),$V$2:$V$1001,0),MATCH(COLUMNS($AC$1006:AE1006),$AC$1006:$AS$1006,0)), HYPERLINK("#",""), HYPERLINK(CONCATENATE("#metadata!", ADDRESS(INDEX($X$2:$X$1001,MATCH(ROWS($V$2:V978),$V$2:$V$1001,0),0), INDEX($AC$1004:$AS$1004,1,MATCH(COLUMNS($AC$1006:AE1006),$AC$1006:$AS$1006,0)))),"Fix")))</f>
        <v xml:space="preserve"> </v>
      </c>
      <c r="E978" s="4" t="str">
        <f ca="1">IF(OR(INDEX($W$2:$W$1001,MATCH(ROWS($V$2:V978),$V$2:$V$1001,0),1)&gt;=100000,INDEX($AC$1005:$AS$1005,1,MATCH(COLUMNS($AC$1006:AF1006),$AC$1006:$AS$1006,0))&gt;=100000), " ",IF(INDEX($AC$2:$AS$1001,MATCH(ROWS($V$2:V978),$V$2:$V$1001,0),MATCH(COLUMNS($AC$1006:AF1006),$AC$1006:$AS$1006,0)), HYPERLINK("#",""), HYPERLINK(CONCATENATE("#metadata!", ADDRESS(INDEX($X$2:$X$1001,MATCH(ROWS($V$2:V978),$V$2:$V$1001,0),0), INDEX($AC$1004:$AS$1004,1,MATCH(COLUMNS($AC$1006:AF1006),$AC$1006:$AS$1006,0)))),"Fix")))</f>
        <v xml:space="preserve"> </v>
      </c>
      <c r="F978" s="4" t="str">
        <f ca="1">IF(OR(INDEX($W$2:$W$1001,MATCH(ROWS($V$2:V978),$V$2:$V$1001,0),1)&gt;=100000,INDEX($AC$1005:$AS$1005,1,MATCH(COLUMNS($AC$1006:AG1006),$AC$1006:$AS$1006,0))&gt;=100000), " ",IF(INDEX($AC$2:$AS$1001,MATCH(ROWS($V$2:V978),$V$2:$V$1001,0),MATCH(COLUMNS($AC$1006:AG1006),$AC$1006:$AS$1006,0)), HYPERLINK("#",""), HYPERLINK(CONCATENATE("#metadata!", ADDRESS(INDEX($X$2:$X$1001,MATCH(ROWS($V$2:V978),$V$2:$V$1001,0),0), INDEX($AC$1004:$AS$1004,1,MATCH(COLUMNS($AC$1006:AG1006),$AC$1006:$AS$1006,0)))),"Fix")))</f>
        <v xml:space="preserve"> </v>
      </c>
      <c r="G978" s="4" t="str">
        <f ca="1">IF(OR(INDEX($W$2:$W$1001,MATCH(ROWS($V$2:V978),$V$2:$V$1001,0),1)&gt;=100000,INDEX($AC$1005:$AS$1005,1,MATCH(COLUMNS($AC$1006:AH1006),$AC$1006:$AS$1006,0))&gt;=100000), " ",IF(INDEX($AC$2:$AS$1001,MATCH(ROWS($V$2:V978),$V$2:$V$1001,0),MATCH(COLUMNS($AC$1006:AH1006),$AC$1006:$AS$1006,0)), HYPERLINK("#",""), HYPERLINK(CONCATENATE("#metadata!", ADDRESS(INDEX($X$2:$X$1001,MATCH(ROWS($V$2:V978),$V$2:$V$1001,0),0), INDEX($AC$1004:$AS$1004,1,MATCH(COLUMNS($AC$1006:AH1006),$AC$1006:$AS$1006,0)))),"Fix")))</f>
        <v xml:space="preserve"> </v>
      </c>
      <c r="H978" s="4" t="str">
        <f ca="1">IF(OR(INDEX($W$2:$W$1001,MATCH(ROWS($V$2:V978),$V$2:$V$1001,0),1)&gt;=100000,INDEX($AC$1005:$AS$1005,1,MATCH(COLUMNS($AC$1006:AI1006),$AC$1006:$AS$1006,0))&gt;=100000), " ",IF(INDEX($AC$2:$AS$1001,MATCH(ROWS($V$2:V978),$V$2:$V$1001,0),MATCH(COLUMNS($AC$1006:AI1006),$AC$1006:$AS$1006,0)), HYPERLINK("#",""), HYPERLINK(CONCATENATE("#metadata!", ADDRESS(INDEX($X$2:$X$1001,MATCH(ROWS($V$2:V978),$V$2:$V$1001,0),0), INDEX($AC$1004:$AS$1004,1,MATCH(COLUMNS($AC$1006:AI1006),$AC$1006:$AS$1006,0)))),"Fix")))</f>
        <v xml:space="preserve"> </v>
      </c>
      <c r="I978" s="4" t="str">
        <f ca="1">IF(OR(INDEX($W$2:$W$1001,MATCH(ROWS($V$2:V978),$V$2:$V$1001,0),1)&gt;=100000,INDEX($AC$1005:$AS$1005,1,MATCH(COLUMNS($AC$1006:AJ1006),$AC$1006:$AS$1006,0))&gt;=100000), " ",IF(INDEX($AC$2:$AS$1001,MATCH(ROWS($V$2:V978),$V$2:$V$1001,0),MATCH(COLUMNS($AC$1006:AJ1006),$AC$1006:$AS$1006,0)), HYPERLINK("#",""), HYPERLINK(CONCATENATE("#metadata!", ADDRESS(INDEX($X$2:$X$1001,MATCH(ROWS($V$2:V978),$V$2:$V$1001,0),0), INDEX($AC$1004:$AS$1004,1,MATCH(COLUMNS($AC$1006:AJ1006),$AC$1006:$AS$1006,0)))),"Fix")))</f>
        <v xml:space="preserve"> </v>
      </c>
      <c r="J978" s="4" t="str">
        <f ca="1">IF(OR(INDEX($W$2:$W$1001,MATCH(ROWS($V$2:V978),$V$2:$V$1001,0),1)&gt;=100000,INDEX($AC$1005:$AS$1005,1,MATCH(COLUMNS($AC$1006:AK1006),$AC$1006:$AS$1006,0))&gt;=100000), " ",IF(INDEX($AC$2:$AS$1001,MATCH(ROWS($V$2:V978),$V$2:$V$1001,0),MATCH(COLUMNS($AC$1006:AK1006),$AC$1006:$AS$1006,0)), HYPERLINK("#",""), HYPERLINK(CONCATENATE("#metadata!", ADDRESS(INDEX($X$2:$X$1001,MATCH(ROWS($V$2:V978),$V$2:$V$1001,0),0), INDEX($AC$1004:$AS$1004,1,MATCH(COLUMNS($AC$1006:AK1006),$AC$1006:$AS$1006,0)))),"Fix")))</f>
        <v xml:space="preserve"> </v>
      </c>
      <c r="K978" s="4" t="str">
        <f ca="1">IF(OR(INDEX($W$2:$W$1001,MATCH(ROWS($V$2:V978),$V$2:$V$1001,0),1)&gt;=100000,INDEX($AC$1005:$AS$1005,1,MATCH(COLUMNS($AC$1006:AL1006),$AC$1006:$AS$1006,0))&gt;=100000), " ",IF(INDEX($AC$2:$AS$1001,MATCH(ROWS($V$2:V978),$V$2:$V$1001,0),MATCH(COLUMNS($AC$1006:AL1006),$AC$1006:$AS$1006,0)), HYPERLINK("#",""), HYPERLINK(CONCATENATE("#metadata!", ADDRESS(INDEX($X$2:$X$1001,MATCH(ROWS($V$2:V978),$V$2:$V$1001,0),0), INDEX($AC$1004:$AS$1004,1,MATCH(COLUMNS($AC$1006:AL1006),$AC$1006:$AS$1006,0)))),"Fix")))</f>
        <v xml:space="preserve"> </v>
      </c>
      <c r="L978" s="4" t="str">
        <f ca="1">IF(OR(INDEX($W$2:$W$1001,MATCH(ROWS($V$2:V978),$V$2:$V$1001,0),1)&gt;=100000,INDEX($AC$1005:$AS$1005,1,MATCH(COLUMNS($AC$1006:AM1006),$AC$1006:$AS$1006,0))&gt;=100000), " ",IF(INDEX($AC$2:$AS$1001,MATCH(ROWS($V$2:V978),$V$2:$V$1001,0),MATCH(COLUMNS($AC$1006:AM1006),$AC$1006:$AS$1006,0)), HYPERLINK("#",""), HYPERLINK(CONCATENATE("#metadata!", ADDRESS(INDEX($X$2:$X$1001,MATCH(ROWS($V$2:V978),$V$2:$V$1001,0),0), INDEX($AC$1004:$AS$1004,1,MATCH(COLUMNS($AC$1006:AM1006),$AC$1006:$AS$1006,0)))),"Fix")))</f>
        <v xml:space="preserve"> </v>
      </c>
      <c r="M978" s="4" t="str">
        <f ca="1">IF(OR(INDEX($W$2:$W$1001,MATCH(ROWS($V$2:V978),$V$2:$V$1001,0),1)&gt;=100000,INDEX($AC$1005:$AS$1005,1,MATCH(COLUMNS($AC$1006:AN1006),$AC$1006:$AS$1006,0))&gt;=100000), " ",IF(INDEX($AC$2:$AS$1001,MATCH(ROWS($V$2:V978),$V$2:$V$1001,0),MATCH(COLUMNS($AC$1006:AN1006),$AC$1006:$AS$1006,0)), HYPERLINK("#",""), HYPERLINK(CONCATENATE("#metadata!", ADDRESS(INDEX($X$2:$X$1001,MATCH(ROWS($V$2:V978),$V$2:$V$1001,0),0), INDEX($AC$1004:$AS$1004,1,MATCH(COLUMNS($AC$1006:AN1006),$AC$1006:$AS$1006,0)))),"Fix")))</f>
        <v xml:space="preserve"> </v>
      </c>
      <c r="N978" s="4" t="str">
        <f ca="1">IF(OR(INDEX($W$2:$W$1001,MATCH(ROWS($V$2:V978),$V$2:$V$1001,0),1)&gt;=100000,INDEX($AC$1005:$AS$1005,1,MATCH(COLUMNS($AC$1006:AO1006),$AC$1006:$AS$1006,0))&gt;=100000), " ",IF(INDEX($AC$2:$AS$1001,MATCH(ROWS($V$2:V978),$V$2:$V$1001,0),MATCH(COLUMNS($AC$1006:AO1006),$AC$1006:$AS$1006,0)), HYPERLINK("#",""), HYPERLINK(CONCATENATE("#metadata!", ADDRESS(INDEX($X$2:$X$1001,MATCH(ROWS($V$2:V978),$V$2:$V$1001,0),0), INDEX($AC$1004:$AS$1004,1,MATCH(COLUMNS($AC$1006:AO1006),$AC$1006:$AS$1006,0)))),"Fix")))</f>
        <v xml:space="preserve"> </v>
      </c>
      <c r="O978" s="4" t="str">
        <f ca="1">IF(OR(INDEX($W$2:$W$1001,MATCH(ROWS($V$2:V978),$V$2:$V$1001,0),1)&gt;=100000,INDEX($AC$1005:$AS$1005,1,MATCH(COLUMNS($AC$1006:AP1006),$AC$1006:$AS$1006,0))&gt;=100000), " ",IF(INDEX($AC$2:$AS$1001,MATCH(ROWS($V$2:V978),$V$2:$V$1001,0),MATCH(COLUMNS($AC$1006:AP1006),$AC$1006:$AS$1006,0)), HYPERLINK("#",""), HYPERLINK(CONCATENATE("#metadata!", ADDRESS(INDEX($X$2:$X$1001,MATCH(ROWS($V$2:V978),$V$2:$V$1001,0),0), INDEX($AC$1004:$AS$1004,1,MATCH(COLUMNS($AC$1006:AP1006),$AC$1006:$AS$1006,0)))),"Fix")))</f>
        <v xml:space="preserve"> </v>
      </c>
      <c r="P978" s="4" t="str">
        <f ca="1">IF(OR(INDEX($W$2:$W$1001,MATCH(ROWS($V$2:V978),$V$2:$V$1001,0),1)&gt;=100000,INDEX($AC$1005:$AS$1005,1,MATCH(COLUMNS($AC$1006:AQ1006),$AC$1006:$AS$1006,0))&gt;=100000), " ",IF(INDEX($AC$2:$AS$1001,MATCH(ROWS($V$2:V978),$V$2:$V$1001,0),MATCH(COLUMNS($AC$1006:AQ1006),$AC$1006:$AS$1006,0)), HYPERLINK("#",""), HYPERLINK(CONCATENATE("#metadata!", ADDRESS(INDEX($X$2:$X$1001,MATCH(ROWS($V$2:V978),$V$2:$V$1001,0),0), INDEX($AC$1004:$AS$1004,1,MATCH(COLUMNS($AC$1006:AQ1006),$AC$1006:$AS$1006,0)))),"Fix")))</f>
        <v xml:space="preserve"> </v>
      </c>
      <c r="Q978" s="4" t="str">
        <f ca="1">IF(OR(INDEX($W$2:$W$1001,MATCH(ROWS($V$2:V978),$V$2:$V$1001,0),1)&gt;=100000,INDEX($AC$1005:$AS$1005,1,MATCH(COLUMNS($AC$1006:AR1006),$AC$1006:$AS$1006,0))&gt;=100000), " ",IF(INDEX($AC$2:$AS$1001,MATCH(ROWS($V$2:V978),$V$2:$V$1001,0),MATCH(COLUMNS($AC$1006:AR1006),$AC$1006:$AS$1006,0)), HYPERLINK("#",""), HYPERLINK(CONCATENATE("#metadata!", ADDRESS(INDEX($X$2:$X$1001,MATCH(ROWS($V$2:V978),$V$2:$V$1001,0),0), INDEX($AC$1004:$AS$1004,1,MATCH(COLUMNS($AC$1006:AR1006),$AC$1006:$AS$1006,0)))),"Fix")))</f>
        <v xml:space="preserve"> </v>
      </c>
      <c r="R978" s="4" t="str">
        <f ca="1">IF(OR(INDEX($W$2:$W$1001,MATCH(ROWS($V$2:V978),$V$2:$V$1001,0),1)&gt;=100000,INDEX($AC$1005:$AS$1005,1,MATCH(COLUMNS($AC$1006:AS1006),$AC$1006:$AS$1006,0))&gt;=100000), " ",IF(INDEX($AC$2:$AS$1001,MATCH(ROWS($V$2:V978),$V$2:$V$1001,0),MATCH(COLUMNS($AC$1006:AS1006),$AC$1006:$AS$1006,0)), HYPERLINK("#",""), HYPERLINK(CONCATENATE("#metadata!", ADDRESS(INDEX($X$2:$X$1001,MATCH(ROWS($V$2:V978),$V$2:$V$1001,0),0), INDEX($AC$1004:$AS$1004,1,MATCH(COLUMNS($AC$1006:AS1006),$AC$1006:$AS$1006,0)))),"Fix")))</f>
        <v xml:space="preserve"> </v>
      </c>
      <c r="V978">
        <v>977</v>
      </c>
      <c r="W978">
        <v>100978</v>
      </c>
      <c r="X978">
        <v>978</v>
      </c>
      <c r="Y978" t="b">
        <f t="shared" si="15"/>
        <v>1</v>
      </c>
      <c r="Z978" t="b">
        <f>COUNTBLANK(metadata!B978:R978)=COLUMNS(metadata!B978:R978)</f>
        <v>1</v>
      </c>
      <c r="AA978" t="str">
        <v/>
      </c>
      <c r="AC978" t="b">
        <f ca="1"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AD978" t="b">
        <f>IF(metadata!C978="",FALSE,ISNUMBER(VALUE(metadata!C978)))</f>
        <v>0</v>
      </c>
      <c r="AE978" t="b">
        <f>AND(IF(metadata!D978="",FALSE,TRUE),EXACT(metadata!D978,"years"))</f>
        <v>0</v>
      </c>
      <c r="AF978" t="b">
        <f>OR(AND(IF(metadata!E978="",FALSE,TRUE),OR(EXACT(metadata!E978,"not applicable"),EXACT(metadata!E978,"missing: not collected"),EXACT(metadata!E978,"missing: not provided"),EXACT(metadata!E978,"missing: restricted access"))),AND(IF(metadata!E978="",FALSE,ISNUMBER(VALUE(metadata!E978))),metadata!E978&gt;0))</f>
        <v>0</v>
      </c>
      <c r="AG978" t="b">
        <f>AND(IF(metadata!F978="",FALSE,TRUE),EXACT(metadata!F978,"Not applicable"))</f>
        <v>0</v>
      </c>
      <c r="AH978" t="b">
        <f>AND(IF(metadata!G978="",FALSE,TRUE),EXACT(metadata!G978,"urban biome"))</f>
        <v>0</v>
      </c>
      <c r="AI978" t="b">
        <f>AND(IF(metadata!H978="",FALSE,TRUE),EXACT(metadata!H978,"human-associated habitat"))</f>
        <v>0</v>
      </c>
      <c r="AJ978" t="b">
        <f>AND(IF(metadata!I978="",FALSE,TRUE),OR(EXACT(metadata!I978,"human-associated"),EXACT(metadata!I978,"human-skin"),EXACT(metadata!I978,"human-oral"),EXACT(metadata!I978,"human-gut"),EXACT(metadata!I978,"human-vaginal")))</f>
        <v>0</v>
      </c>
      <c r="AK978" t="b">
        <f>IF(metadata!J978="",FALSE,ISNUMBER(VALUE(metadata!J978)))</f>
        <v>0</v>
      </c>
      <c r="AL978" t="b">
        <f>AND(IF(metadata!K978="",FALSE,TRUE),EXACT(metadata!K978,"cm"))</f>
        <v>0</v>
      </c>
      <c r="AM978" t="b">
        <f>AND(IF(metadata!L978="",FALSE,TRUE),EXACT(metadata!L978,"human"))</f>
        <v>0</v>
      </c>
      <c r="AN978" t="b">
        <f>AND(IF(metadata!M978="",FALSE,TRUE),EXACT(metadata!M978,"Homo sapiens"))</f>
        <v>0</v>
      </c>
      <c r="AO978" t="b">
        <f>AND(IF(metadata!N978="",FALSE,TRUE),EXACT(metadata!N978,"9606"))</f>
        <v>0</v>
      </c>
      <c r="AP978" t="b">
        <f>IF(metadata!O978="",FALSE,TRUE)</f>
        <v>0</v>
      </c>
      <c r="AQ978" t="b">
        <f>IF(metadata!P978="",FALSE,TRUE)</f>
        <v>0</v>
      </c>
      <c r="AR978" t="b">
        <f>IF(metadata!Q978="",FALSE,ISNUMBER(VALUE(metadata!Q978)))</f>
        <v>0</v>
      </c>
      <c r="AS978" t="b">
        <f>AND(IF(metadata!R978="",FALSE,TRUE),EXACT(metadata!R978,"kg"))</f>
        <v>0</v>
      </c>
    </row>
    <row r="979" spans="1:45" x14ac:dyDescent="0.2">
      <c r="A979" s="5" t="str">
        <f ca="1">IF(B979=" "," ",HYPERLINK(CONCATENATE("#metadata!",ADDRESS(INDEX($X$2:$X$1001,MATCH(ROWS($V$2:V979),$V$2:$V$1001,0),0),1)),INDEX($AA$2:$AA$1001,MATCH(ROWS($V$2:V979),$V$2:$V$1001,0),0)))</f>
        <v xml:space="preserve"> </v>
      </c>
      <c r="B979" s="4" t="str">
        <f ca="1">IF(OR(INDEX($W$2:$W$1001,MATCH(ROWS($V$2:V979),$V$2:$V$1001,0),1)&gt;=100000,INDEX($AC$1005:$AS$1005,1,MATCH(COLUMNS($AC$1006:AC1006),$AC$1006:$AS$1006,0))&gt;=100000), " ",IF(INDEX($AC$2:$AS$1001,MATCH(ROWS($V$2:V979),$V$2:$V$1001,0),MATCH(COLUMNS($AC$1006:AC1006),$AC$1006:$AS$1006,0)), HYPERLINK("#",""), HYPERLINK(CONCATENATE("#metadata!", ADDRESS(INDEX($X$2:$X$1001,MATCH(ROWS($V$2:V979),$V$2:$V$1001,0),0), INDEX($AC$1004:$AS$1004,1,MATCH(COLUMNS($AC$1006:AC1006),$AC$1006:$AS$1006,0)))),"Fix")))</f>
        <v xml:space="preserve"> </v>
      </c>
      <c r="C979" s="4" t="str">
        <f ca="1">IF(OR(INDEX($W$2:$W$1001,MATCH(ROWS($V$2:V979),$V$2:$V$1001,0),1)&gt;=100000,INDEX($AC$1005:$AS$1005,1,MATCH(COLUMNS($AC$1006:AD1006),$AC$1006:$AS$1006,0))&gt;=100000), " ",IF(INDEX($AC$2:$AS$1001,MATCH(ROWS($V$2:V979),$V$2:$V$1001,0),MATCH(COLUMNS($AC$1006:AD1006),$AC$1006:$AS$1006,0)), HYPERLINK("#",""), HYPERLINK(CONCATENATE("#metadata!", ADDRESS(INDEX($X$2:$X$1001,MATCH(ROWS($V$2:V979),$V$2:$V$1001,0),0), INDEX($AC$1004:$AS$1004,1,MATCH(COLUMNS($AC$1006:AD1006),$AC$1006:$AS$1006,0)))),"Fix")))</f>
        <v xml:space="preserve"> </v>
      </c>
      <c r="D979" s="4" t="str">
        <f ca="1">IF(OR(INDEX($W$2:$W$1001,MATCH(ROWS($V$2:V979),$V$2:$V$1001,0),1)&gt;=100000,INDEX($AC$1005:$AS$1005,1,MATCH(COLUMNS($AC$1006:AE1006),$AC$1006:$AS$1006,0))&gt;=100000), " ",IF(INDEX($AC$2:$AS$1001,MATCH(ROWS($V$2:V979),$V$2:$V$1001,0),MATCH(COLUMNS($AC$1006:AE1006),$AC$1006:$AS$1006,0)), HYPERLINK("#",""), HYPERLINK(CONCATENATE("#metadata!", ADDRESS(INDEX($X$2:$X$1001,MATCH(ROWS($V$2:V979),$V$2:$V$1001,0),0), INDEX($AC$1004:$AS$1004,1,MATCH(COLUMNS($AC$1006:AE1006),$AC$1006:$AS$1006,0)))),"Fix")))</f>
        <v xml:space="preserve"> </v>
      </c>
      <c r="E979" s="4" t="str">
        <f ca="1">IF(OR(INDEX($W$2:$W$1001,MATCH(ROWS($V$2:V979),$V$2:$V$1001,0),1)&gt;=100000,INDEX($AC$1005:$AS$1005,1,MATCH(COLUMNS($AC$1006:AF1006),$AC$1006:$AS$1006,0))&gt;=100000), " ",IF(INDEX($AC$2:$AS$1001,MATCH(ROWS($V$2:V979),$V$2:$V$1001,0),MATCH(COLUMNS($AC$1006:AF1006),$AC$1006:$AS$1006,0)), HYPERLINK("#",""), HYPERLINK(CONCATENATE("#metadata!", ADDRESS(INDEX($X$2:$X$1001,MATCH(ROWS($V$2:V979),$V$2:$V$1001,0),0), INDEX($AC$1004:$AS$1004,1,MATCH(COLUMNS($AC$1006:AF1006),$AC$1006:$AS$1006,0)))),"Fix")))</f>
        <v xml:space="preserve"> </v>
      </c>
      <c r="F979" s="4" t="str">
        <f ca="1">IF(OR(INDEX($W$2:$W$1001,MATCH(ROWS($V$2:V979),$V$2:$V$1001,0),1)&gt;=100000,INDEX($AC$1005:$AS$1005,1,MATCH(COLUMNS($AC$1006:AG1006),$AC$1006:$AS$1006,0))&gt;=100000), " ",IF(INDEX($AC$2:$AS$1001,MATCH(ROWS($V$2:V979),$V$2:$V$1001,0),MATCH(COLUMNS($AC$1006:AG1006),$AC$1006:$AS$1006,0)), HYPERLINK("#",""), HYPERLINK(CONCATENATE("#metadata!", ADDRESS(INDEX($X$2:$X$1001,MATCH(ROWS($V$2:V979),$V$2:$V$1001,0),0), INDEX($AC$1004:$AS$1004,1,MATCH(COLUMNS($AC$1006:AG1006),$AC$1006:$AS$1006,0)))),"Fix")))</f>
        <v xml:space="preserve"> </v>
      </c>
      <c r="G979" s="4" t="str">
        <f ca="1">IF(OR(INDEX($W$2:$W$1001,MATCH(ROWS($V$2:V979),$V$2:$V$1001,0),1)&gt;=100000,INDEX($AC$1005:$AS$1005,1,MATCH(COLUMNS($AC$1006:AH1006),$AC$1006:$AS$1006,0))&gt;=100000), " ",IF(INDEX($AC$2:$AS$1001,MATCH(ROWS($V$2:V979),$V$2:$V$1001,0),MATCH(COLUMNS($AC$1006:AH1006),$AC$1006:$AS$1006,0)), HYPERLINK("#",""), HYPERLINK(CONCATENATE("#metadata!", ADDRESS(INDEX($X$2:$X$1001,MATCH(ROWS($V$2:V979),$V$2:$V$1001,0),0), INDEX($AC$1004:$AS$1004,1,MATCH(COLUMNS($AC$1006:AH1006),$AC$1006:$AS$1006,0)))),"Fix")))</f>
        <v xml:space="preserve"> </v>
      </c>
      <c r="H979" s="4" t="str">
        <f ca="1">IF(OR(INDEX($W$2:$W$1001,MATCH(ROWS($V$2:V979),$V$2:$V$1001,0),1)&gt;=100000,INDEX($AC$1005:$AS$1005,1,MATCH(COLUMNS($AC$1006:AI1006),$AC$1006:$AS$1006,0))&gt;=100000), " ",IF(INDEX($AC$2:$AS$1001,MATCH(ROWS($V$2:V979),$V$2:$V$1001,0),MATCH(COLUMNS($AC$1006:AI1006),$AC$1006:$AS$1006,0)), HYPERLINK("#",""), HYPERLINK(CONCATENATE("#metadata!", ADDRESS(INDEX($X$2:$X$1001,MATCH(ROWS($V$2:V979),$V$2:$V$1001,0),0), INDEX($AC$1004:$AS$1004,1,MATCH(COLUMNS($AC$1006:AI1006),$AC$1006:$AS$1006,0)))),"Fix")))</f>
        <v xml:space="preserve"> </v>
      </c>
      <c r="I979" s="4" t="str">
        <f ca="1">IF(OR(INDEX($W$2:$W$1001,MATCH(ROWS($V$2:V979),$V$2:$V$1001,0),1)&gt;=100000,INDEX($AC$1005:$AS$1005,1,MATCH(COLUMNS($AC$1006:AJ1006),$AC$1006:$AS$1006,0))&gt;=100000), " ",IF(INDEX($AC$2:$AS$1001,MATCH(ROWS($V$2:V979),$V$2:$V$1001,0),MATCH(COLUMNS($AC$1006:AJ1006),$AC$1006:$AS$1006,0)), HYPERLINK("#",""), HYPERLINK(CONCATENATE("#metadata!", ADDRESS(INDEX($X$2:$X$1001,MATCH(ROWS($V$2:V979),$V$2:$V$1001,0),0), INDEX($AC$1004:$AS$1004,1,MATCH(COLUMNS($AC$1006:AJ1006),$AC$1006:$AS$1006,0)))),"Fix")))</f>
        <v xml:space="preserve"> </v>
      </c>
      <c r="J979" s="4" t="str">
        <f ca="1">IF(OR(INDEX($W$2:$W$1001,MATCH(ROWS($V$2:V979),$V$2:$V$1001,0),1)&gt;=100000,INDEX($AC$1005:$AS$1005,1,MATCH(COLUMNS($AC$1006:AK1006),$AC$1006:$AS$1006,0))&gt;=100000), " ",IF(INDEX($AC$2:$AS$1001,MATCH(ROWS($V$2:V979),$V$2:$V$1001,0),MATCH(COLUMNS($AC$1006:AK1006),$AC$1006:$AS$1006,0)), HYPERLINK("#",""), HYPERLINK(CONCATENATE("#metadata!", ADDRESS(INDEX($X$2:$X$1001,MATCH(ROWS($V$2:V979),$V$2:$V$1001,0),0), INDEX($AC$1004:$AS$1004,1,MATCH(COLUMNS($AC$1006:AK1006),$AC$1006:$AS$1006,0)))),"Fix")))</f>
        <v xml:space="preserve"> </v>
      </c>
      <c r="K979" s="4" t="str">
        <f ca="1">IF(OR(INDEX($W$2:$W$1001,MATCH(ROWS($V$2:V979),$V$2:$V$1001,0),1)&gt;=100000,INDEX($AC$1005:$AS$1005,1,MATCH(COLUMNS($AC$1006:AL1006),$AC$1006:$AS$1006,0))&gt;=100000), " ",IF(INDEX($AC$2:$AS$1001,MATCH(ROWS($V$2:V979),$V$2:$V$1001,0),MATCH(COLUMNS($AC$1006:AL1006),$AC$1006:$AS$1006,0)), HYPERLINK("#",""), HYPERLINK(CONCATENATE("#metadata!", ADDRESS(INDEX($X$2:$X$1001,MATCH(ROWS($V$2:V979),$V$2:$V$1001,0),0), INDEX($AC$1004:$AS$1004,1,MATCH(COLUMNS($AC$1006:AL1006),$AC$1006:$AS$1006,0)))),"Fix")))</f>
        <v xml:space="preserve"> </v>
      </c>
      <c r="L979" s="4" t="str">
        <f ca="1">IF(OR(INDEX($W$2:$W$1001,MATCH(ROWS($V$2:V979),$V$2:$V$1001,0),1)&gt;=100000,INDEX($AC$1005:$AS$1005,1,MATCH(COLUMNS($AC$1006:AM1006),$AC$1006:$AS$1006,0))&gt;=100000), " ",IF(INDEX($AC$2:$AS$1001,MATCH(ROWS($V$2:V979),$V$2:$V$1001,0),MATCH(COLUMNS($AC$1006:AM1006),$AC$1006:$AS$1006,0)), HYPERLINK("#",""), HYPERLINK(CONCATENATE("#metadata!", ADDRESS(INDEX($X$2:$X$1001,MATCH(ROWS($V$2:V979),$V$2:$V$1001,0),0), INDEX($AC$1004:$AS$1004,1,MATCH(COLUMNS($AC$1006:AM1006),$AC$1006:$AS$1006,0)))),"Fix")))</f>
        <v xml:space="preserve"> </v>
      </c>
      <c r="M979" s="4" t="str">
        <f ca="1">IF(OR(INDEX($W$2:$W$1001,MATCH(ROWS($V$2:V979),$V$2:$V$1001,0),1)&gt;=100000,INDEX($AC$1005:$AS$1005,1,MATCH(COLUMNS($AC$1006:AN1006),$AC$1006:$AS$1006,0))&gt;=100000), " ",IF(INDEX($AC$2:$AS$1001,MATCH(ROWS($V$2:V979),$V$2:$V$1001,0),MATCH(COLUMNS($AC$1006:AN1006),$AC$1006:$AS$1006,0)), HYPERLINK("#",""), HYPERLINK(CONCATENATE("#metadata!", ADDRESS(INDEX($X$2:$X$1001,MATCH(ROWS($V$2:V979),$V$2:$V$1001,0),0), INDEX($AC$1004:$AS$1004,1,MATCH(COLUMNS($AC$1006:AN1006),$AC$1006:$AS$1006,0)))),"Fix")))</f>
        <v xml:space="preserve"> </v>
      </c>
      <c r="N979" s="4" t="str">
        <f ca="1">IF(OR(INDEX($W$2:$W$1001,MATCH(ROWS($V$2:V979),$V$2:$V$1001,0),1)&gt;=100000,INDEX($AC$1005:$AS$1005,1,MATCH(COLUMNS($AC$1006:AO1006),$AC$1006:$AS$1006,0))&gt;=100000), " ",IF(INDEX($AC$2:$AS$1001,MATCH(ROWS($V$2:V979),$V$2:$V$1001,0),MATCH(COLUMNS($AC$1006:AO1006),$AC$1006:$AS$1006,0)), HYPERLINK("#",""), HYPERLINK(CONCATENATE("#metadata!", ADDRESS(INDEX($X$2:$X$1001,MATCH(ROWS($V$2:V979),$V$2:$V$1001,0),0), INDEX($AC$1004:$AS$1004,1,MATCH(COLUMNS($AC$1006:AO1006),$AC$1006:$AS$1006,0)))),"Fix")))</f>
        <v xml:space="preserve"> </v>
      </c>
      <c r="O979" s="4" t="str">
        <f ca="1">IF(OR(INDEX($W$2:$W$1001,MATCH(ROWS($V$2:V979),$V$2:$V$1001,0),1)&gt;=100000,INDEX($AC$1005:$AS$1005,1,MATCH(COLUMNS($AC$1006:AP1006),$AC$1006:$AS$1006,0))&gt;=100000), " ",IF(INDEX($AC$2:$AS$1001,MATCH(ROWS($V$2:V979),$V$2:$V$1001,0),MATCH(COLUMNS($AC$1006:AP1006),$AC$1006:$AS$1006,0)), HYPERLINK("#",""), HYPERLINK(CONCATENATE("#metadata!", ADDRESS(INDEX($X$2:$X$1001,MATCH(ROWS($V$2:V979),$V$2:$V$1001,0),0), INDEX($AC$1004:$AS$1004,1,MATCH(COLUMNS($AC$1006:AP1006),$AC$1006:$AS$1006,0)))),"Fix")))</f>
        <v xml:space="preserve"> </v>
      </c>
      <c r="P979" s="4" t="str">
        <f ca="1">IF(OR(INDEX($W$2:$W$1001,MATCH(ROWS($V$2:V979),$V$2:$V$1001,0),1)&gt;=100000,INDEX($AC$1005:$AS$1005,1,MATCH(COLUMNS($AC$1006:AQ1006),$AC$1006:$AS$1006,0))&gt;=100000), " ",IF(INDEX($AC$2:$AS$1001,MATCH(ROWS($V$2:V979),$V$2:$V$1001,0),MATCH(COLUMNS($AC$1006:AQ1006),$AC$1006:$AS$1006,0)), HYPERLINK("#",""), HYPERLINK(CONCATENATE("#metadata!", ADDRESS(INDEX($X$2:$X$1001,MATCH(ROWS($V$2:V979),$V$2:$V$1001,0),0), INDEX($AC$1004:$AS$1004,1,MATCH(COLUMNS($AC$1006:AQ1006),$AC$1006:$AS$1006,0)))),"Fix")))</f>
        <v xml:space="preserve"> </v>
      </c>
      <c r="Q979" s="4" t="str">
        <f ca="1">IF(OR(INDEX($W$2:$W$1001,MATCH(ROWS($V$2:V979),$V$2:$V$1001,0),1)&gt;=100000,INDEX($AC$1005:$AS$1005,1,MATCH(COLUMNS($AC$1006:AR1006),$AC$1006:$AS$1006,0))&gt;=100000), " ",IF(INDEX($AC$2:$AS$1001,MATCH(ROWS($V$2:V979),$V$2:$V$1001,0),MATCH(COLUMNS($AC$1006:AR1006),$AC$1006:$AS$1006,0)), HYPERLINK("#",""), HYPERLINK(CONCATENATE("#metadata!", ADDRESS(INDEX($X$2:$X$1001,MATCH(ROWS($V$2:V979),$V$2:$V$1001,0),0), INDEX($AC$1004:$AS$1004,1,MATCH(COLUMNS($AC$1006:AR1006),$AC$1006:$AS$1006,0)))),"Fix")))</f>
        <v xml:space="preserve"> </v>
      </c>
      <c r="R979" s="4" t="str">
        <f ca="1">IF(OR(INDEX($W$2:$W$1001,MATCH(ROWS($V$2:V979),$V$2:$V$1001,0),1)&gt;=100000,INDEX($AC$1005:$AS$1005,1,MATCH(COLUMNS($AC$1006:AS1006),$AC$1006:$AS$1006,0))&gt;=100000), " ",IF(INDEX($AC$2:$AS$1001,MATCH(ROWS($V$2:V979),$V$2:$V$1001,0),MATCH(COLUMNS($AC$1006:AS1006),$AC$1006:$AS$1006,0)), HYPERLINK("#",""), HYPERLINK(CONCATENATE("#metadata!", ADDRESS(INDEX($X$2:$X$1001,MATCH(ROWS($V$2:V979),$V$2:$V$1001,0),0), INDEX($AC$1004:$AS$1004,1,MATCH(COLUMNS($AC$1006:AS1006),$AC$1006:$AS$1006,0)))),"Fix")))</f>
        <v xml:space="preserve"> </v>
      </c>
      <c r="V979">
        <v>978</v>
      </c>
      <c r="W979">
        <v>100979</v>
      </c>
      <c r="X979">
        <v>979</v>
      </c>
      <c r="Y979" t="b">
        <f t="shared" si="15"/>
        <v>1</v>
      </c>
      <c r="Z979" t="b">
        <f>COUNTBLANK(metadata!B979:R979)=COLUMNS(metadata!B979:R979)</f>
        <v>1</v>
      </c>
      <c r="AA979" t="str">
        <v/>
      </c>
      <c r="AC979" t="b">
        <f ca="1"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AD979" t="b">
        <f>IF(metadata!C979="",FALSE,ISNUMBER(VALUE(metadata!C979)))</f>
        <v>0</v>
      </c>
      <c r="AE979" t="b">
        <f>AND(IF(metadata!D979="",FALSE,TRUE),EXACT(metadata!D979,"years"))</f>
        <v>0</v>
      </c>
      <c r="AF979" t="b">
        <f>OR(AND(IF(metadata!E979="",FALSE,TRUE),OR(EXACT(metadata!E979,"not applicable"),EXACT(metadata!E979,"missing: not collected"),EXACT(metadata!E979,"missing: not provided"),EXACT(metadata!E979,"missing: restricted access"))),AND(IF(metadata!E979="",FALSE,ISNUMBER(VALUE(metadata!E979))),metadata!E979&gt;0))</f>
        <v>0</v>
      </c>
      <c r="AG979" t="b">
        <f>AND(IF(metadata!F979="",FALSE,TRUE),EXACT(metadata!F979,"Not applicable"))</f>
        <v>0</v>
      </c>
      <c r="AH979" t="b">
        <f>AND(IF(metadata!G979="",FALSE,TRUE),EXACT(metadata!G979,"urban biome"))</f>
        <v>0</v>
      </c>
      <c r="AI979" t="b">
        <f>AND(IF(metadata!H979="",FALSE,TRUE),EXACT(metadata!H979,"human-associated habitat"))</f>
        <v>0</v>
      </c>
      <c r="AJ979" t="b">
        <f>AND(IF(metadata!I979="",FALSE,TRUE),OR(EXACT(metadata!I979,"human-associated"),EXACT(metadata!I979,"human-skin"),EXACT(metadata!I979,"human-oral"),EXACT(metadata!I979,"human-gut"),EXACT(metadata!I979,"human-vaginal")))</f>
        <v>0</v>
      </c>
      <c r="AK979" t="b">
        <f>IF(metadata!J979="",FALSE,ISNUMBER(VALUE(metadata!J979)))</f>
        <v>0</v>
      </c>
      <c r="AL979" t="b">
        <f>AND(IF(metadata!K979="",FALSE,TRUE),EXACT(metadata!K979,"cm"))</f>
        <v>0</v>
      </c>
      <c r="AM979" t="b">
        <f>AND(IF(metadata!L979="",FALSE,TRUE),EXACT(metadata!L979,"human"))</f>
        <v>0</v>
      </c>
      <c r="AN979" t="b">
        <f>AND(IF(metadata!M979="",FALSE,TRUE),EXACT(metadata!M979,"Homo sapiens"))</f>
        <v>0</v>
      </c>
      <c r="AO979" t="b">
        <f>AND(IF(metadata!N979="",FALSE,TRUE),EXACT(metadata!N979,"9606"))</f>
        <v>0</v>
      </c>
      <c r="AP979" t="b">
        <f>IF(metadata!O979="",FALSE,TRUE)</f>
        <v>0</v>
      </c>
      <c r="AQ979" t="b">
        <f>IF(metadata!P979="",FALSE,TRUE)</f>
        <v>0</v>
      </c>
      <c r="AR979" t="b">
        <f>IF(metadata!Q979="",FALSE,ISNUMBER(VALUE(metadata!Q979)))</f>
        <v>0</v>
      </c>
      <c r="AS979" t="b">
        <f>AND(IF(metadata!R979="",FALSE,TRUE),EXACT(metadata!R979,"kg"))</f>
        <v>0</v>
      </c>
    </row>
    <row r="980" spans="1:45" x14ac:dyDescent="0.2">
      <c r="A980" s="5" t="str">
        <f ca="1">IF(B980=" "," ",HYPERLINK(CONCATENATE("#metadata!",ADDRESS(INDEX($X$2:$X$1001,MATCH(ROWS($V$2:V980),$V$2:$V$1001,0),0),1)),INDEX($AA$2:$AA$1001,MATCH(ROWS($V$2:V980),$V$2:$V$1001,0),0)))</f>
        <v xml:space="preserve"> </v>
      </c>
      <c r="B980" s="4" t="str">
        <f ca="1">IF(OR(INDEX($W$2:$W$1001,MATCH(ROWS($V$2:V980),$V$2:$V$1001,0),1)&gt;=100000,INDEX($AC$1005:$AS$1005,1,MATCH(COLUMNS($AC$1006:AC1006),$AC$1006:$AS$1006,0))&gt;=100000), " ",IF(INDEX($AC$2:$AS$1001,MATCH(ROWS($V$2:V980),$V$2:$V$1001,0),MATCH(COLUMNS($AC$1006:AC1006),$AC$1006:$AS$1006,0)), HYPERLINK("#",""), HYPERLINK(CONCATENATE("#metadata!", ADDRESS(INDEX($X$2:$X$1001,MATCH(ROWS($V$2:V980),$V$2:$V$1001,0),0), INDEX($AC$1004:$AS$1004,1,MATCH(COLUMNS($AC$1006:AC1006),$AC$1006:$AS$1006,0)))),"Fix")))</f>
        <v xml:space="preserve"> </v>
      </c>
      <c r="C980" s="4" t="str">
        <f ca="1">IF(OR(INDEX($W$2:$W$1001,MATCH(ROWS($V$2:V980),$V$2:$V$1001,0),1)&gt;=100000,INDEX($AC$1005:$AS$1005,1,MATCH(COLUMNS($AC$1006:AD1006),$AC$1006:$AS$1006,0))&gt;=100000), " ",IF(INDEX($AC$2:$AS$1001,MATCH(ROWS($V$2:V980),$V$2:$V$1001,0),MATCH(COLUMNS($AC$1006:AD1006),$AC$1006:$AS$1006,0)), HYPERLINK("#",""), HYPERLINK(CONCATENATE("#metadata!", ADDRESS(INDEX($X$2:$X$1001,MATCH(ROWS($V$2:V980),$V$2:$V$1001,0),0), INDEX($AC$1004:$AS$1004,1,MATCH(COLUMNS($AC$1006:AD1006),$AC$1006:$AS$1006,0)))),"Fix")))</f>
        <v xml:space="preserve"> </v>
      </c>
      <c r="D980" s="4" t="str">
        <f ca="1">IF(OR(INDEX($W$2:$W$1001,MATCH(ROWS($V$2:V980),$V$2:$V$1001,0),1)&gt;=100000,INDEX($AC$1005:$AS$1005,1,MATCH(COLUMNS($AC$1006:AE1006),$AC$1006:$AS$1006,0))&gt;=100000), " ",IF(INDEX($AC$2:$AS$1001,MATCH(ROWS($V$2:V980),$V$2:$V$1001,0),MATCH(COLUMNS($AC$1006:AE1006),$AC$1006:$AS$1006,0)), HYPERLINK("#",""), HYPERLINK(CONCATENATE("#metadata!", ADDRESS(INDEX($X$2:$X$1001,MATCH(ROWS($V$2:V980),$V$2:$V$1001,0),0), INDEX($AC$1004:$AS$1004,1,MATCH(COLUMNS($AC$1006:AE1006),$AC$1006:$AS$1006,0)))),"Fix")))</f>
        <v xml:space="preserve"> </v>
      </c>
      <c r="E980" s="4" t="str">
        <f ca="1">IF(OR(INDEX($W$2:$W$1001,MATCH(ROWS($V$2:V980),$V$2:$V$1001,0),1)&gt;=100000,INDEX($AC$1005:$AS$1005,1,MATCH(COLUMNS($AC$1006:AF1006),$AC$1006:$AS$1006,0))&gt;=100000), " ",IF(INDEX($AC$2:$AS$1001,MATCH(ROWS($V$2:V980),$V$2:$V$1001,0),MATCH(COLUMNS($AC$1006:AF1006),$AC$1006:$AS$1006,0)), HYPERLINK("#",""), HYPERLINK(CONCATENATE("#metadata!", ADDRESS(INDEX($X$2:$X$1001,MATCH(ROWS($V$2:V980),$V$2:$V$1001,0),0), INDEX($AC$1004:$AS$1004,1,MATCH(COLUMNS($AC$1006:AF1006),$AC$1006:$AS$1006,0)))),"Fix")))</f>
        <v xml:space="preserve"> </v>
      </c>
      <c r="F980" s="4" t="str">
        <f ca="1">IF(OR(INDEX($W$2:$W$1001,MATCH(ROWS($V$2:V980),$V$2:$V$1001,0),1)&gt;=100000,INDEX($AC$1005:$AS$1005,1,MATCH(COLUMNS($AC$1006:AG1006),$AC$1006:$AS$1006,0))&gt;=100000), " ",IF(INDEX($AC$2:$AS$1001,MATCH(ROWS($V$2:V980),$V$2:$V$1001,0),MATCH(COLUMNS($AC$1006:AG1006),$AC$1006:$AS$1006,0)), HYPERLINK("#",""), HYPERLINK(CONCATENATE("#metadata!", ADDRESS(INDEX($X$2:$X$1001,MATCH(ROWS($V$2:V980),$V$2:$V$1001,0),0), INDEX($AC$1004:$AS$1004,1,MATCH(COLUMNS($AC$1006:AG1006),$AC$1006:$AS$1006,0)))),"Fix")))</f>
        <v xml:space="preserve"> </v>
      </c>
      <c r="G980" s="4" t="str">
        <f ca="1">IF(OR(INDEX($W$2:$W$1001,MATCH(ROWS($V$2:V980),$V$2:$V$1001,0),1)&gt;=100000,INDEX($AC$1005:$AS$1005,1,MATCH(COLUMNS($AC$1006:AH1006),$AC$1006:$AS$1006,0))&gt;=100000), " ",IF(INDEX($AC$2:$AS$1001,MATCH(ROWS($V$2:V980),$V$2:$V$1001,0),MATCH(COLUMNS($AC$1006:AH1006),$AC$1006:$AS$1006,0)), HYPERLINK("#",""), HYPERLINK(CONCATENATE("#metadata!", ADDRESS(INDEX($X$2:$X$1001,MATCH(ROWS($V$2:V980),$V$2:$V$1001,0),0), INDEX($AC$1004:$AS$1004,1,MATCH(COLUMNS($AC$1006:AH1006),$AC$1006:$AS$1006,0)))),"Fix")))</f>
        <v xml:space="preserve"> </v>
      </c>
      <c r="H980" s="4" t="str">
        <f ca="1">IF(OR(INDEX($W$2:$W$1001,MATCH(ROWS($V$2:V980),$V$2:$V$1001,0),1)&gt;=100000,INDEX($AC$1005:$AS$1005,1,MATCH(COLUMNS($AC$1006:AI1006),$AC$1006:$AS$1006,0))&gt;=100000), " ",IF(INDEX($AC$2:$AS$1001,MATCH(ROWS($V$2:V980),$V$2:$V$1001,0),MATCH(COLUMNS($AC$1006:AI1006),$AC$1006:$AS$1006,0)), HYPERLINK("#",""), HYPERLINK(CONCATENATE("#metadata!", ADDRESS(INDEX($X$2:$X$1001,MATCH(ROWS($V$2:V980),$V$2:$V$1001,0),0), INDEX($AC$1004:$AS$1004,1,MATCH(COLUMNS($AC$1006:AI1006),$AC$1006:$AS$1006,0)))),"Fix")))</f>
        <v xml:space="preserve"> </v>
      </c>
      <c r="I980" s="4" t="str">
        <f ca="1">IF(OR(INDEX($W$2:$W$1001,MATCH(ROWS($V$2:V980),$V$2:$V$1001,0),1)&gt;=100000,INDEX($AC$1005:$AS$1005,1,MATCH(COLUMNS($AC$1006:AJ1006),$AC$1006:$AS$1006,0))&gt;=100000), " ",IF(INDEX($AC$2:$AS$1001,MATCH(ROWS($V$2:V980),$V$2:$V$1001,0),MATCH(COLUMNS($AC$1006:AJ1006),$AC$1006:$AS$1006,0)), HYPERLINK("#",""), HYPERLINK(CONCATENATE("#metadata!", ADDRESS(INDEX($X$2:$X$1001,MATCH(ROWS($V$2:V980),$V$2:$V$1001,0),0), INDEX($AC$1004:$AS$1004,1,MATCH(COLUMNS($AC$1006:AJ1006),$AC$1006:$AS$1006,0)))),"Fix")))</f>
        <v xml:space="preserve"> </v>
      </c>
      <c r="J980" s="4" t="str">
        <f ca="1">IF(OR(INDEX($W$2:$W$1001,MATCH(ROWS($V$2:V980),$V$2:$V$1001,0),1)&gt;=100000,INDEX($AC$1005:$AS$1005,1,MATCH(COLUMNS($AC$1006:AK1006),$AC$1006:$AS$1006,0))&gt;=100000), " ",IF(INDEX($AC$2:$AS$1001,MATCH(ROWS($V$2:V980),$V$2:$V$1001,0),MATCH(COLUMNS($AC$1006:AK1006),$AC$1006:$AS$1006,0)), HYPERLINK("#",""), HYPERLINK(CONCATENATE("#metadata!", ADDRESS(INDEX($X$2:$X$1001,MATCH(ROWS($V$2:V980),$V$2:$V$1001,0),0), INDEX($AC$1004:$AS$1004,1,MATCH(COLUMNS($AC$1006:AK1006),$AC$1006:$AS$1006,0)))),"Fix")))</f>
        <v xml:space="preserve"> </v>
      </c>
      <c r="K980" s="4" t="str">
        <f ca="1">IF(OR(INDEX($W$2:$W$1001,MATCH(ROWS($V$2:V980),$V$2:$V$1001,0),1)&gt;=100000,INDEX($AC$1005:$AS$1005,1,MATCH(COLUMNS($AC$1006:AL1006),$AC$1006:$AS$1006,0))&gt;=100000), " ",IF(INDEX($AC$2:$AS$1001,MATCH(ROWS($V$2:V980),$V$2:$V$1001,0),MATCH(COLUMNS($AC$1006:AL1006),$AC$1006:$AS$1006,0)), HYPERLINK("#",""), HYPERLINK(CONCATENATE("#metadata!", ADDRESS(INDEX($X$2:$X$1001,MATCH(ROWS($V$2:V980),$V$2:$V$1001,0),0), INDEX($AC$1004:$AS$1004,1,MATCH(COLUMNS($AC$1006:AL1006),$AC$1006:$AS$1006,0)))),"Fix")))</f>
        <v xml:space="preserve"> </v>
      </c>
      <c r="L980" s="4" t="str">
        <f ca="1">IF(OR(INDEX($W$2:$W$1001,MATCH(ROWS($V$2:V980),$V$2:$V$1001,0),1)&gt;=100000,INDEX($AC$1005:$AS$1005,1,MATCH(COLUMNS($AC$1006:AM1006),$AC$1006:$AS$1006,0))&gt;=100000), " ",IF(INDEX($AC$2:$AS$1001,MATCH(ROWS($V$2:V980),$V$2:$V$1001,0),MATCH(COLUMNS($AC$1006:AM1006),$AC$1006:$AS$1006,0)), HYPERLINK("#",""), HYPERLINK(CONCATENATE("#metadata!", ADDRESS(INDEX($X$2:$X$1001,MATCH(ROWS($V$2:V980),$V$2:$V$1001,0),0), INDEX($AC$1004:$AS$1004,1,MATCH(COLUMNS($AC$1006:AM1006),$AC$1006:$AS$1006,0)))),"Fix")))</f>
        <v xml:space="preserve"> </v>
      </c>
      <c r="M980" s="4" t="str">
        <f ca="1">IF(OR(INDEX($W$2:$W$1001,MATCH(ROWS($V$2:V980),$V$2:$V$1001,0),1)&gt;=100000,INDEX($AC$1005:$AS$1005,1,MATCH(COLUMNS($AC$1006:AN1006),$AC$1006:$AS$1006,0))&gt;=100000), " ",IF(INDEX($AC$2:$AS$1001,MATCH(ROWS($V$2:V980),$V$2:$V$1001,0),MATCH(COLUMNS($AC$1006:AN1006),$AC$1006:$AS$1006,0)), HYPERLINK("#",""), HYPERLINK(CONCATENATE("#metadata!", ADDRESS(INDEX($X$2:$X$1001,MATCH(ROWS($V$2:V980),$V$2:$V$1001,0),0), INDEX($AC$1004:$AS$1004,1,MATCH(COLUMNS($AC$1006:AN1006),$AC$1006:$AS$1006,0)))),"Fix")))</f>
        <v xml:space="preserve"> </v>
      </c>
      <c r="N980" s="4" t="str">
        <f ca="1">IF(OR(INDEX($W$2:$W$1001,MATCH(ROWS($V$2:V980),$V$2:$V$1001,0),1)&gt;=100000,INDEX($AC$1005:$AS$1005,1,MATCH(COLUMNS($AC$1006:AO1006),$AC$1006:$AS$1006,0))&gt;=100000), " ",IF(INDEX($AC$2:$AS$1001,MATCH(ROWS($V$2:V980),$V$2:$V$1001,0),MATCH(COLUMNS($AC$1006:AO1006),$AC$1006:$AS$1006,0)), HYPERLINK("#",""), HYPERLINK(CONCATENATE("#metadata!", ADDRESS(INDEX($X$2:$X$1001,MATCH(ROWS($V$2:V980),$V$2:$V$1001,0),0), INDEX($AC$1004:$AS$1004,1,MATCH(COLUMNS($AC$1006:AO1006),$AC$1006:$AS$1006,0)))),"Fix")))</f>
        <v xml:space="preserve"> </v>
      </c>
      <c r="O980" s="4" t="str">
        <f ca="1">IF(OR(INDEX($W$2:$W$1001,MATCH(ROWS($V$2:V980),$V$2:$V$1001,0),1)&gt;=100000,INDEX($AC$1005:$AS$1005,1,MATCH(COLUMNS($AC$1006:AP1006),$AC$1006:$AS$1006,0))&gt;=100000), " ",IF(INDEX($AC$2:$AS$1001,MATCH(ROWS($V$2:V980),$V$2:$V$1001,0),MATCH(COLUMNS($AC$1006:AP1006),$AC$1006:$AS$1006,0)), HYPERLINK("#",""), HYPERLINK(CONCATENATE("#metadata!", ADDRESS(INDEX($X$2:$X$1001,MATCH(ROWS($V$2:V980),$V$2:$V$1001,0),0), INDEX($AC$1004:$AS$1004,1,MATCH(COLUMNS($AC$1006:AP1006),$AC$1006:$AS$1006,0)))),"Fix")))</f>
        <v xml:space="preserve"> </v>
      </c>
      <c r="P980" s="4" t="str">
        <f ca="1">IF(OR(INDEX($W$2:$W$1001,MATCH(ROWS($V$2:V980),$V$2:$V$1001,0),1)&gt;=100000,INDEX($AC$1005:$AS$1005,1,MATCH(COLUMNS($AC$1006:AQ1006),$AC$1006:$AS$1006,0))&gt;=100000), " ",IF(INDEX($AC$2:$AS$1001,MATCH(ROWS($V$2:V980),$V$2:$V$1001,0),MATCH(COLUMNS($AC$1006:AQ1006),$AC$1006:$AS$1006,0)), HYPERLINK("#",""), HYPERLINK(CONCATENATE("#metadata!", ADDRESS(INDEX($X$2:$X$1001,MATCH(ROWS($V$2:V980),$V$2:$V$1001,0),0), INDEX($AC$1004:$AS$1004,1,MATCH(COLUMNS($AC$1006:AQ1006),$AC$1006:$AS$1006,0)))),"Fix")))</f>
        <v xml:space="preserve"> </v>
      </c>
      <c r="Q980" s="4" t="str">
        <f ca="1">IF(OR(INDEX($W$2:$W$1001,MATCH(ROWS($V$2:V980),$V$2:$V$1001,0),1)&gt;=100000,INDEX($AC$1005:$AS$1005,1,MATCH(COLUMNS($AC$1006:AR1006),$AC$1006:$AS$1006,0))&gt;=100000), " ",IF(INDEX($AC$2:$AS$1001,MATCH(ROWS($V$2:V980),$V$2:$V$1001,0),MATCH(COLUMNS($AC$1006:AR1006),$AC$1006:$AS$1006,0)), HYPERLINK("#",""), HYPERLINK(CONCATENATE("#metadata!", ADDRESS(INDEX($X$2:$X$1001,MATCH(ROWS($V$2:V980),$V$2:$V$1001,0),0), INDEX($AC$1004:$AS$1004,1,MATCH(COLUMNS($AC$1006:AR1006),$AC$1006:$AS$1006,0)))),"Fix")))</f>
        <v xml:space="preserve"> </v>
      </c>
      <c r="R980" s="4" t="str">
        <f ca="1">IF(OR(INDEX($W$2:$W$1001,MATCH(ROWS($V$2:V980),$V$2:$V$1001,0),1)&gt;=100000,INDEX($AC$1005:$AS$1005,1,MATCH(COLUMNS($AC$1006:AS1006),$AC$1006:$AS$1006,0))&gt;=100000), " ",IF(INDEX($AC$2:$AS$1001,MATCH(ROWS($V$2:V980),$V$2:$V$1001,0),MATCH(COLUMNS($AC$1006:AS1006),$AC$1006:$AS$1006,0)), HYPERLINK("#",""), HYPERLINK(CONCATENATE("#metadata!", ADDRESS(INDEX($X$2:$X$1001,MATCH(ROWS($V$2:V980),$V$2:$V$1001,0),0), INDEX($AC$1004:$AS$1004,1,MATCH(COLUMNS($AC$1006:AS1006),$AC$1006:$AS$1006,0)))),"Fix")))</f>
        <v xml:space="preserve"> </v>
      </c>
      <c r="V980">
        <v>979</v>
      </c>
      <c r="W980">
        <v>100980</v>
      </c>
      <c r="X980">
        <v>980</v>
      </c>
      <c r="Y980" t="b">
        <f t="shared" si="15"/>
        <v>1</v>
      </c>
      <c r="Z980" t="b">
        <f>COUNTBLANK(metadata!B980:R980)=COLUMNS(metadata!B980:R980)</f>
        <v>1</v>
      </c>
      <c r="AA980" t="str">
        <v/>
      </c>
      <c r="AC980" t="b">
        <f ca="1"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AD980" t="b">
        <f>IF(metadata!C980="",FALSE,ISNUMBER(VALUE(metadata!C980)))</f>
        <v>0</v>
      </c>
      <c r="AE980" t="b">
        <f>AND(IF(metadata!D980="",FALSE,TRUE),EXACT(metadata!D980,"years"))</f>
        <v>0</v>
      </c>
      <c r="AF980" t="b">
        <f>OR(AND(IF(metadata!E980="",FALSE,TRUE),OR(EXACT(metadata!E980,"not applicable"),EXACT(metadata!E980,"missing: not collected"),EXACT(metadata!E980,"missing: not provided"),EXACT(metadata!E980,"missing: restricted access"))),AND(IF(metadata!E980="",FALSE,ISNUMBER(VALUE(metadata!E980))),metadata!E980&gt;0))</f>
        <v>0</v>
      </c>
      <c r="AG980" t="b">
        <f>AND(IF(metadata!F980="",FALSE,TRUE),EXACT(metadata!F980,"Not applicable"))</f>
        <v>0</v>
      </c>
      <c r="AH980" t="b">
        <f>AND(IF(metadata!G980="",FALSE,TRUE),EXACT(metadata!G980,"urban biome"))</f>
        <v>0</v>
      </c>
      <c r="AI980" t="b">
        <f>AND(IF(metadata!H980="",FALSE,TRUE),EXACT(metadata!H980,"human-associated habitat"))</f>
        <v>0</v>
      </c>
      <c r="AJ980" t="b">
        <f>AND(IF(metadata!I980="",FALSE,TRUE),OR(EXACT(metadata!I980,"human-associated"),EXACT(metadata!I980,"human-skin"),EXACT(metadata!I980,"human-oral"),EXACT(metadata!I980,"human-gut"),EXACT(metadata!I980,"human-vaginal")))</f>
        <v>0</v>
      </c>
      <c r="AK980" t="b">
        <f>IF(metadata!J980="",FALSE,ISNUMBER(VALUE(metadata!J980)))</f>
        <v>0</v>
      </c>
      <c r="AL980" t="b">
        <f>AND(IF(metadata!K980="",FALSE,TRUE),EXACT(metadata!K980,"cm"))</f>
        <v>0</v>
      </c>
      <c r="AM980" t="b">
        <f>AND(IF(metadata!L980="",FALSE,TRUE),EXACT(metadata!L980,"human"))</f>
        <v>0</v>
      </c>
      <c r="AN980" t="b">
        <f>AND(IF(metadata!M980="",FALSE,TRUE),EXACT(metadata!M980,"Homo sapiens"))</f>
        <v>0</v>
      </c>
      <c r="AO980" t="b">
        <f>AND(IF(metadata!N980="",FALSE,TRUE),EXACT(metadata!N980,"9606"))</f>
        <v>0</v>
      </c>
      <c r="AP980" t="b">
        <f>IF(metadata!O980="",FALSE,TRUE)</f>
        <v>0</v>
      </c>
      <c r="AQ980" t="b">
        <f>IF(metadata!P980="",FALSE,TRUE)</f>
        <v>0</v>
      </c>
      <c r="AR980" t="b">
        <f>IF(metadata!Q980="",FALSE,ISNUMBER(VALUE(metadata!Q980)))</f>
        <v>0</v>
      </c>
      <c r="AS980" t="b">
        <f>AND(IF(metadata!R980="",FALSE,TRUE),EXACT(metadata!R980,"kg"))</f>
        <v>0</v>
      </c>
    </row>
    <row r="981" spans="1:45" x14ac:dyDescent="0.2">
      <c r="A981" s="5" t="str">
        <f ca="1">IF(B981=" "," ",HYPERLINK(CONCATENATE("#metadata!",ADDRESS(INDEX($X$2:$X$1001,MATCH(ROWS($V$2:V981),$V$2:$V$1001,0),0),1)),INDEX($AA$2:$AA$1001,MATCH(ROWS($V$2:V981),$V$2:$V$1001,0),0)))</f>
        <v xml:space="preserve"> </v>
      </c>
      <c r="B981" s="4" t="str">
        <f ca="1">IF(OR(INDEX($W$2:$W$1001,MATCH(ROWS($V$2:V981),$V$2:$V$1001,0),1)&gt;=100000,INDEX($AC$1005:$AS$1005,1,MATCH(COLUMNS($AC$1006:AC1006),$AC$1006:$AS$1006,0))&gt;=100000), " ",IF(INDEX($AC$2:$AS$1001,MATCH(ROWS($V$2:V981),$V$2:$V$1001,0),MATCH(COLUMNS($AC$1006:AC1006),$AC$1006:$AS$1006,0)), HYPERLINK("#",""), HYPERLINK(CONCATENATE("#metadata!", ADDRESS(INDEX($X$2:$X$1001,MATCH(ROWS($V$2:V981),$V$2:$V$1001,0),0), INDEX($AC$1004:$AS$1004,1,MATCH(COLUMNS($AC$1006:AC1006),$AC$1006:$AS$1006,0)))),"Fix")))</f>
        <v xml:space="preserve"> </v>
      </c>
      <c r="C981" s="4" t="str">
        <f ca="1">IF(OR(INDEX($W$2:$W$1001,MATCH(ROWS($V$2:V981),$V$2:$V$1001,0),1)&gt;=100000,INDEX($AC$1005:$AS$1005,1,MATCH(COLUMNS($AC$1006:AD1006),$AC$1006:$AS$1006,0))&gt;=100000), " ",IF(INDEX($AC$2:$AS$1001,MATCH(ROWS($V$2:V981),$V$2:$V$1001,0),MATCH(COLUMNS($AC$1006:AD1006),$AC$1006:$AS$1006,0)), HYPERLINK("#",""), HYPERLINK(CONCATENATE("#metadata!", ADDRESS(INDEX($X$2:$X$1001,MATCH(ROWS($V$2:V981),$V$2:$V$1001,0),0), INDEX($AC$1004:$AS$1004,1,MATCH(COLUMNS($AC$1006:AD1006),$AC$1006:$AS$1006,0)))),"Fix")))</f>
        <v xml:space="preserve"> </v>
      </c>
      <c r="D981" s="4" t="str">
        <f ca="1">IF(OR(INDEX($W$2:$W$1001,MATCH(ROWS($V$2:V981),$V$2:$V$1001,0),1)&gt;=100000,INDEX($AC$1005:$AS$1005,1,MATCH(COLUMNS($AC$1006:AE1006),$AC$1006:$AS$1006,0))&gt;=100000), " ",IF(INDEX($AC$2:$AS$1001,MATCH(ROWS($V$2:V981),$V$2:$V$1001,0),MATCH(COLUMNS($AC$1006:AE1006),$AC$1006:$AS$1006,0)), HYPERLINK("#",""), HYPERLINK(CONCATENATE("#metadata!", ADDRESS(INDEX($X$2:$X$1001,MATCH(ROWS($V$2:V981),$V$2:$V$1001,0),0), INDEX($AC$1004:$AS$1004,1,MATCH(COLUMNS($AC$1006:AE1006),$AC$1006:$AS$1006,0)))),"Fix")))</f>
        <v xml:space="preserve"> </v>
      </c>
      <c r="E981" s="4" t="str">
        <f ca="1">IF(OR(INDEX($W$2:$W$1001,MATCH(ROWS($V$2:V981),$V$2:$V$1001,0),1)&gt;=100000,INDEX($AC$1005:$AS$1005,1,MATCH(COLUMNS($AC$1006:AF1006),$AC$1006:$AS$1006,0))&gt;=100000), " ",IF(INDEX($AC$2:$AS$1001,MATCH(ROWS($V$2:V981),$V$2:$V$1001,0),MATCH(COLUMNS($AC$1006:AF1006),$AC$1006:$AS$1006,0)), HYPERLINK("#",""), HYPERLINK(CONCATENATE("#metadata!", ADDRESS(INDEX($X$2:$X$1001,MATCH(ROWS($V$2:V981),$V$2:$V$1001,0),0), INDEX($AC$1004:$AS$1004,1,MATCH(COLUMNS($AC$1006:AF1006),$AC$1006:$AS$1006,0)))),"Fix")))</f>
        <v xml:space="preserve"> </v>
      </c>
      <c r="F981" s="4" t="str">
        <f ca="1">IF(OR(INDEX($W$2:$W$1001,MATCH(ROWS($V$2:V981),$V$2:$V$1001,0),1)&gt;=100000,INDEX($AC$1005:$AS$1005,1,MATCH(COLUMNS($AC$1006:AG1006),$AC$1006:$AS$1006,0))&gt;=100000), " ",IF(INDEX($AC$2:$AS$1001,MATCH(ROWS($V$2:V981),$V$2:$V$1001,0),MATCH(COLUMNS($AC$1006:AG1006),$AC$1006:$AS$1006,0)), HYPERLINK("#",""), HYPERLINK(CONCATENATE("#metadata!", ADDRESS(INDEX($X$2:$X$1001,MATCH(ROWS($V$2:V981),$V$2:$V$1001,0),0), INDEX($AC$1004:$AS$1004,1,MATCH(COLUMNS($AC$1006:AG1006),$AC$1006:$AS$1006,0)))),"Fix")))</f>
        <v xml:space="preserve"> </v>
      </c>
      <c r="G981" s="4" t="str">
        <f ca="1">IF(OR(INDEX($W$2:$W$1001,MATCH(ROWS($V$2:V981),$V$2:$V$1001,0),1)&gt;=100000,INDEX($AC$1005:$AS$1005,1,MATCH(COLUMNS($AC$1006:AH1006),$AC$1006:$AS$1006,0))&gt;=100000), " ",IF(INDEX($AC$2:$AS$1001,MATCH(ROWS($V$2:V981),$V$2:$V$1001,0),MATCH(COLUMNS($AC$1006:AH1006),$AC$1006:$AS$1006,0)), HYPERLINK("#",""), HYPERLINK(CONCATENATE("#metadata!", ADDRESS(INDEX($X$2:$X$1001,MATCH(ROWS($V$2:V981),$V$2:$V$1001,0),0), INDEX($AC$1004:$AS$1004,1,MATCH(COLUMNS($AC$1006:AH1006),$AC$1006:$AS$1006,0)))),"Fix")))</f>
        <v xml:space="preserve"> </v>
      </c>
      <c r="H981" s="4" t="str">
        <f ca="1">IF(OR(INDEX($W$2:$W$1001,MATCH(ROWS($V$2:V981),$V$2:$V$1001,0),1)&gt;=100000,INDEX($AC$1005:$AS$1005,1,MATCH(COLUMNS($AC$1006:AI1006),$AC$1006:$AS$1006,0))&gt;=100000), " ",IF(INDEX($AC$2:$AS$1001,MATCH(ROWS($V$2:V981),$V$2:$V$1001,0),MATCH(COLUMNS($AC$1006:AI1006),$AC$1006:$AS$1006,0)), HYPERLINK("#",""), HYPERLINK(CONCATENATE("#metadata!", ADDRESS(INDEX($X$2:$X$1001,MATCH(ROWS($V$2:V981),$V$2:$V$1001,0),0), INDEX($AC$1004:$AS$1004,1,MATCH(COLUMNS($AC$1006:AI1006),$AC$1006:$AS$1006,0)))),"Fix")))</f>
        <v xml:space="preserve"> </v>
      </c>
      <c r="I981" s="4" t="str">
        <f ca="1">IF(OR(INDEX($W$2:$W$1001,MATCH(ROWS($V$2:V981),$V$2:$V$1001,0),1)&gt;=100000,INDEX($AC$1005:$AS$1005,1,MATCH(COLUMNS($AC$1006:AJ1006),$AC$1006:$AS$1006,0))&gt;=100000), " ",IF(INDEX($AC$2:$AS$1001,MATCH(ROWS($V$2:V981),$V$2:$V$1001,0),MATCH(COLUMNS($AC$1006:AJ1006),$AC$1006:$AS$1006,0)), HYPERLINK("#",""), HYPERLINK(CONCATENATE("#metadata!", ADDRESS(INDEX($X$2:$X$1001,MATCH(ROWS($V$2:V981),$V$2:$V$1001,0),0), INDEX($AC$1004:$AS$1004,1,MATCH(COLUMNS($AC$1006:AJ1006),$AC$1006:$AS$1006,0)))),"Fix")))</f>
        <v xml:space="preserve"> </v>
      </c>
      <c r="J981" s="4" t="str">
        <f ca="1">IF(OR(INDEX($W$2:$W$1001,MATCH(ROWS($V$2:V981),$V$2:$V$1001,0),1)&gt;=100000,INDEX($AC$1005:$AS$1005,1,MATCH(COLUMNS($AC$1006:AK1006),$AC$1006:$AS$1006,0))&gt;=100000), " ",IF(INDEX($AC$2:$AS$1001,MATCH(ROWS($V$2:V981),$V$2:$V$1001,0),MATCH(COLUMNS($AC$1006:AK1006),$AC$1006:$AS$1006,0)), HYPERLINK("#",""), HYPERLINK(CONCATENATE("#metadata!", ADDRESS(INDEX($X$2:$X$1001,MATCH(ROWS($V$2:V981),$V$2:$V$1001,0),0), INDEX($AC$1004:$AS$1004,1,MATCH(COLUMNS($AC$1006:AK1006),$AC$1006:$AS$1006,0)))),"Fix")))</f>
        <v xml:space="preserve"> </v>
      </c>
      <c r="K981" s="4" t="str">
        <f ca="1">IF(OR(INDEX($W$2:$W$1001,MATCH(ROWS($V$2:V981),$V$2:$V$1001,0),1)&gt;=100000,INDEX($AC$1005:$AS$1005,1,MATCH(COLUMNS($AC$1006:AL1006),$AC$1006:$AS$1006,0))&gt;=100000), " ",IF(INDEX($AC$2:$AS$1001,MATCH(ROWS($V$2:V981),$V$2:$V$1001,0),MATCH(COLUMNS($AC$1006:AL1006),$AC$1006:$AS$1006,0)), HYPERLINK("#",""), HYPERLINK(CONCATENATE("#metadata!", ADDRESS(INDEX($X$2:$X$1001,MATCH(ROWS($V$2:V981),$V$2:$V$1001,0),0), INDEX($AC$1004:$AS$1004,1,MATCH(COLUMNS($AC$1006:AL1006),$AC$1006:$AS$1006,0)))),"Fix")))</f>
        <v xml:space="preserve"> </v>
      </c>
      <c r="L981" s="4" t="str">
        <f ca="1">IF(OR(INDEX($W$2:$W$1001,MATCH(ROWS($V$2:V981),$V$2:$V$1001,0),1)&gt;=100000,INDEX($AC$1005:$AS$1005,1,MATCH(COLUMNS($AC$1006:AM1006),$AC$1006:$AS$1006,0))&gt;=100000), " ",IF(INDEX($AC$2:$AS$1001,MATCH(ROWS($V$2:V981),$V$2:$V$1001,0),MATCH(COLUMNS($AC$1006:AM1006),$AC$1006:$AS$1006,0)), HYPERLINK("#",""), HYPERLINK(CONCATENATE("#metadata!", ADDRESS(INDEX($X$2:$X$1001,MATCH(ROWS($V$2:V981),$V$2:$V$1001,0),0), INDEX($AC$1004:$AS$1004,1,MATCH(COLUMNS($AC$1006:AM1006),$AC$1006:$AS$1006,0)))),"Fix")))</f>
        <v xml:space="preserve"> </v>
      </c>
      <c r="M981" s="4" t="str">
        <f ca="1">IF(OR(INDEX($W$2:$W$1001,MATCH(ROWS($V$2:V981),$V$2:$V$1001,0),1)&gt;=100000,INDEX($AC$1005:$AS$1005,1,MATCH(COLUMNS($AC$1006:AN1006),$AC$1006:$AS$1006,0))&gt;=100000), " ",IF(INDEX($AC$2:$AS$1001,MATCH(ROWS($V$2:V981),$V$2:$V$1001,0),MATCH(COLUMNS($AC$1006:AN1006),$AC$1006:$AS$1006,0)), HYPERLINK("#",""), HYPERLINK(CONCATENATE("#metadata!", ADDRESS(INDEX($X$2:$X$1001,MATCH(ROWS($V$2:V981),$V$2:$V$1001,0),0), INDEX($AC$1004:$AS$1004,1,MATCH(COLUMNS($AC$1006:AN1006),$AC$1006:$AS$1006,0)))),"Fix")))</f>
        <v xml:space="preserve"> </v>
      </c>
      <c r="N981" s="4" t="str">
        <f ca="1">IF(OR(INDEX($W$2:$W$1001,MATCH(ROWS($V$2:V981),$V$2:$V$1001,0),1)&gt;=100000,INDEX($AC$1005:$AS$1005,1,MATCH(COLUMNS($AC$1006:AO1006),$AC$1006:$AS$1006,0))&gt;=100000), " ",IF(INDEX($AC$2:$AS$1001,MATCH(ROWS($V$2:V981),$V$2:$V$1001,0),MATCH(COLUMNS($AC$1006:AO1006),$AC$1006:$AS$1006,0)), HYPERLINK("#",""), HYPERLINK(CONCATENATE("#metadata!", ADDRESS(INDEX($X$2:$X$1001,MATCH(ROWS($V$2:V981),$V$2:$V$1001,0),0), INDEX($AC$1004:$AS$1004,1,MATCH(COLUMNS($AC$1006:AO1006),$AC$1006:$AS$1006,0)))),"Fix")))</f>
        <v xml:space="preserve"> </v>
      </c>
      <c r="O981" s="4" t="str">
        <f ca="1">IF(OR(INDEX($W$2:$W$1001,MATCH(ROWS($V$2:V981),$V$2:$V$1001,0),1)&gt;=100000,INDEX($AC$1005:$AS$1005,1,MATCH(COLUMNS($AC$1006:AP1006),$AC$1006:$AS$1006,0))&gt;=100000), " ",IF(INDEX($AC$2:$AS$1001,MATCH(ROWS($V$2:V981),$V$2:$V$1001,0),MATCH(COLUMNS($AC$1006:AP1006),$AC$1006:$AS$1006,0)), HYPERLINK("#",""), HYPERLINK(CONCATENATE("#metadata!", ADDRESS(INDEX($X$2:$X$1001,MATCH(ROWS($V$2:V981),$V$2:$V$1001,0),0), INDEX($AC$1004:$AS$1004,1,MATCH(COLUMNS($AC$1006:AP1006),$AC$1006:$AS$1006,0)))),"Fix")))</f>
        <v xml:space="preserve"> </v>
      </c>
      <c r="P981" s="4" t="str">
        <f ca="1">IF(OR(INDEX($W$2:$W$1001,MATCH(ROWS($V$2:V981),$V$2:$V$1001,0),1)&gt;=100000,INDEX($AC$1005:$AS$1005,1,MATCH(COLUMNS($AC$1006:AQ1006),$AC$1006:$AS$1006,0))&gt;=100000), " ",IF(INDEX($AC$2:$AS$1001,MATCH(ROWS($V$2:V981),$V$2:$V$1001,0),MATCH(COLUMNS($AC$1006:AQ1006),$AC$1006:$AS$1006,0)), HYPERLINK("#",""), HYPERLINK(CONCATENATE("#metadata!", ADDRESS(INDEX($X$2:$X$1001,MATCH(ROWS($V$2:V981),$V$2:$V$1001,0),0), INDEX($AC$1004:$AS$1004,1,MATCH(COLUMNS($AC$1006:AQ1006),$AC$1006:$AS$1006,0)))),"Fix")))</f>
        <v xml:space="preserve"> </v>
      </c>
      <c r="Q981" s="4" t="str">
        <f ca="1">IF(OR(INDEX($W$2:$W$1001,MATCH(ROWS($V$2:V981),$V$2:$V$1001,0),1)&gt;=100000,INDEX($AC$1005:$AS$1005,1,MATCH(COLUMNS($AC$1006:AR1006),$AC$1006:$AS$1006,0))&gt;=100000), " ",IF(INDEX($AC$2:$AS$1001,MATCH(ROWS($V$2:V981),$V$2:$V$1001,0),MATCH(COLUMNS($AC$1006:AR1006),$AC$1006:$AS$1006,0)), HYPERLINK("#",""), HYPERLINK(CONCATENATE("#metadata!", ADDRESS(INDEX($X$2:$X$1001,MATCH(ROWS($V$2:V981),$V$2:$V$1001,0),0), INDEX($AC$1004:$AS$1004,1,MATCH(COLUMNS($AC$1006:AR1006),$AC$1006:$AS$1006,0)))),"Fix")))</f>
        <v xml:space="preserve"> </v>
      </c>
      <c r="R981" s="4" t="str">
        <f ca="1">IF(OR(INDEX($W$2:$W$1001,MATCH(ROWS($V$2:V981),$V$2:$V$1001,0),1)&gt;=100000,INDEX($AC$1005:$AS$1005,1,MATCH(COLUMNS($AC$1006:AS1006),$AC$1006:$AS$1006,0))&gt;=100000), " ",IF(INDEX($AC$2:$AS$1001,MATCH(ROWS($V$2:V981),$V$2:$V$1001,0),MATCH(COLUMNS($AC$1006:AS1006),$AC$1006:$AS$1006,0)), HYPERLINK("#",""), HYPERLINK(CONCATENATE("#metadata!", ADDRESS(INDEX($X$2:$X$1001,MATCH(ROWS($V$2:V981),$V$2:$V$1001,0),0), INDEX($AC$1004:$AS$1004,1,MATCH(COLUMNS($AC$1006:AS1006),$AC$1006:$AS$1006,0)))),"Fix")))</f>
        <v xml:space="preserve"> </v>
      </c>
      <c r="V981">
        <v>980</v>
      </c>
      <c r="W981">
        <v>100981</v>
      </c>
      <c r="X981">
        <v>981</v>
      </c>
      <c r="Y981" t="b">
        <f t="shared" si="15"/>
        <v>1</v>
      </c>
      <c r="Z981" t="b">
        <f>COUNTBLANK(metadata!B981:R981)=COLUMNS(metadata!B981:R981)</f>
        <v>1</v>
      </c>
      <c r="AA981" t="str">
        <v/>
      </c>
      <c r="AC981" t="b">
        <f ca="1"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AD981" t="b">
        <f>IF(metadata!C981="",FALSE,ISNUMBER(VALUE(metadata!C981)))</f>
        <v>0</v>
      </c>
      <c r="AE981" t="b">
        <f>AND(IF(metadata!D981="",FALSE,TRUE),EXACT(metadata!D981,"years"))</f>
        <v>0</v>
      </c>
      <c r="AF981" t="b">
        <f>OR(AND(IF(metadata!E981="",FALSE,TRUE),OR(EXACT(metadata!E981,"not applicable"),EXACT(metadata!E981,"missing: not collected"),EXACT(metadata!E981,"missing: not provided"),EXACT(metadata!E981,"missing: restricted access"))),AND(IF(metadata!E981="",FALSE,ISNUMBER(VALUE(metadata!E981))),metadata!E981&gt;0))</f>
        <v>0</v>
      </c>
      <c r="AG981" t="b">
        <f>AND(IF(metadata!F981="",FALSE,TRUE),EXACT(metadata!F981,"Not applicable"))</f>
        <v>0</v>
      </c>
      <c r="AH981" t="b">
        <f>AND(IF(metadata!G981="",FALSE,TRUE),EXACT(metadata!G981,"urban biome"))</f>
        <v>0</v>
      </c>
      <c r="AI981" t="b">
        <f>AND(IF(metadata!H981="",FALSE,TRUE),EXACT(metadata!H981,"human-associated habitat"))</f>
        <v>0</v>
      </c>
      <c r="AJ981" t="b">
        <f>AND(IF(metadata!I981="",FALSE,TRUE),OR(EXACT(metadata!I981,"human-associated"),EXACT(metadata!I981,"human-skin"),EXACT(metadata!I981,"human-oral"),EXACT(metadata!I981,"human-gut"),EXACT(metadata!I981,"human-vaginal")))</f>
        <v>0</v>
      </c>
      <c r="AK981" t="b">
        <f>IF(metadata!J981="",FALSE,ISNUMBER(VALUE(metadata!J981)))</f>
        <v>0</v>
      </c>
      <c r="AL981" t="b">
        <f>AND(IF(metadata!K981="",FALSE,TRUE),EXACT(metadata!K981,"cm"))</f>
        <v>0</v>
      </c>
      <c r="AM981" t="b">
        <f>AND(IF(metadata!L981="",FALSE,TRUE),EXACT(metadata!L981,"human"))</f>
        <v>0</v>
      </c>
      <c r="AN981" t="b">
        <f>AND(IF(metadata!M981="",FALSE,TRUE),EXACT(metadata!M981,"Homo sapiens"))</f>
        <v>0</v>
      </c>
      <c r="AO981" t="b">
        <f>AND(IF(metadata!N981="",FALSE,TRUE),EXACT(metadata!N981,"9606"))</f>
        <v>0</v>
      </c>
      <c r="AP981" t="b">
        <f>IF(metadata!O981="",FALSE,TRUE)</f>
        <v>0</v>
      </c>
      <c r="AQ981" t="b">
        <f>IF(metadata!P981="",FALSE,TRUE)</f>
        <v>0</v>
      </c>
      <c r="AR981" t="b">
        <f>IF(metadata!Q981="",FALSE,ISNUMBER(VALUE(metadata!Q981)))</f>
        <v>0</v>
      </c>
      <c r="AS981" t="b">
        <f>AND(IF(metadata!R981="",FALSE,TRUE),EXACT(metadata!R981,"kg"))</f>
        <v>0</v>
      </c>
    </row>
    <row r="982" spans="1:45" x14ac:dyDescent="0.2">
      <c r="A982" s="5" t="str">
        <f ca="1">IF(B982=" "," ",HYPERLINK(CONCATENATE("#metadata!",ADDRESS(INDEX($X$2:$X$1001,MATCH(ROWS($V$2:V982),$V$2:$V$1001,0),0),1)),INDEX($AA$2:$AA$1001,MATCH(ROWS($V$2:V982),$V$2:$V$1001,0),0)))</f>
        <v xml:space="preserve"> </v>
      </c>
      <c r="B982" s="4" t="str">
        <f ca="1">IF(OR(INDEX($W$2:$W$1001,MATCH(ROWS($V$2:V982),$V$2:$V$1001,0),1)&gt;=100000,INDEX($AC$1005:$AS$1005,1,MATCH(COLUMNS($AC$1006:AC1006),$AC$1006:$AS$1006,0))&gt;=100000), " ",IF(INDEX($AC$2:$AS$1001,MATCH(ROWS($V$2:V982),$V$2:$V$1001,0),MATCH(COLUMNS($AC$1006:AC1006),$AC$1006:$AS$1006,0)), HYPERLINK("#",""), HYPERLINK(CONCATENATE("#metadata!", ADDRESS(INDEX($X$2:$X$1001,MATCH(ROWS($V$2:V982),$V$2:$V$1001,0),0), INDEX($AC$1004:$AS$1004,1,MATCH(COLUMNS($AC$1006:AC1006),$AC$1006:$AS$1006,0)))),"Fix")))</f>
        <v xml:space="preserve"> </v>
      </c>
      <c r="C982" s="4" t="str">
        <f ca="1">IF(OR(INDEX($W$2:$W$1001,MATCH(ROWS($V$2:V982),$V$2:$V$1001,0),1)&gt;=100000,INDEX($AC$1005:$AS$1005,1,MATCH(COLUMNS($AC$1006:AD1006),$AC$1006:$AS$1006,0))&gt;=100000), " ",IF(INDEX($AC$2:$AS$1001,MATCH(ROWS($V$2:V982),$V$2:$V$1001,0),MATCH(COLUMNS($AC$1006:AD1006),$AC$1006:$AS$1006,0)), HYPERLINK("#",""), HYPERLINK(CONCATENATE("#metadata!", ADDRESS(INDEX($X$2:$X$1001,MATCH(ROWS($V$2:V982),$V$2:$V$1001,0),0), INDEX($AC$1004:$AS$1004,1,MATCH(COLUMNS($AC$1006:AD1006),$AC$1006:$AS$1006,0)))),"Fix")))</f>
        <v xml:space="preserve"> </v>
      </c>
      <c r="D982" s="4" t="str">
        <f ca="1">IF(OR(INDEX($W$2:$W$1001,MATCH(ROWS($V$2:V982),$V$2:$V$1001,0),1)&gt;=100000,INDEX($AC$1005:$AS$1005,1,MATCH(COLUMNS($AC$1006:AE1006),$AC$1006:$AS$1006,0))&gt;=100000), " ",IF(INDEX($AC$2:$AS$1001,MATCH(ROWS($V$2:V982),$V$2:$V$1001,0),MATCH(COLUMNS($AC$1006:AE1006),$AC$1006:$AS$1006,0)), HYPERLINK("#",""), HYPERLINK(CONCATENATE("#metadata!", ADDRESS(INDEX($X$2:$X$1001,MATCH(ROWS($V$2:V982),$V$2:$V$1001,0),0), INDEX($AC$1004:$AS$1004,1,MATCH(COLUMNS($AC$1006:AE1006),$AC$1006:$AS$1006,0)))),"Fix")))</f>
        <v xml:space="preserve"> </v>
      </c>
      <c r="E982" s="4" t="str">
        <f ca="1">IF(OR(INDEX($W$2:$W$1001,MATCH(ROWS($V$2:V982),$V$2:$V$1001,0),1)&gt;=100000,INDEX($AC$1005:$AS$1005,1,MATCH(COLUMNS($AC$1006:AF1006),$AC$1006:$AS$1006,0))&gt;=100000), " ",IF(INDEX($AC$2:$AS$1001,MATCH(ROWS($V$2:V982),$V$2:$V$1001,0),MATCH(COLUMNS($AC$1006:AF1006),$AC$1006:$AS$1006,0)), HYPERLINK("#",""), HYPERLINK(CONCATENATE("#metadata!", ADDRESS(INDEX($X$2:$X$1001,MATCH(ROWS($V$2:V982),$V$2:$V$1001,0),0), INDEX($AC$1004:$AS$1004,1,MATCH(COLUMNS($AC$1006:AF1006),$AC$1006:$AS$1006,0)))),"Fix")))</f>
        <v xml:space="preserve"> </v>
      </c>
      <c r="F982" s="4" t="str">
        <f ca="1">IF(OR(INDEX($W$2:$W$1001,MATCH(ROWS($V$2:V982),$V$2:$V$1001,0),1)&gt;=100000,INDEX($AC$1005:$AS$1005,1,MATCH(COLUMNS($AC$1006:AG1006),$AC$1006:$AS$1006,0))&gt;=100000), " ",IF(INDEX($AC$2:$AS$1001,MATCH(ROWS($V$2:V982),$V$2:$V$1001,0),MATCH(COLUMNS($AC$1006:AG1006),$AC$1006:$AS$1006,0)), HYPERLINK("#",""), HYPERLINK(CONCATENATE("#metadata!", ADDRESS(INDEX($X$2:$X$1001,MATCH(ROWS($V$2:V982),$V$2:$V$1001,0),0), INDEX($AC$1004:$AS$1004,1,MATCH(COLUMNS($AC$1006:AG1006),$AC$1006:$AS$1006,0)))),"Fix")))</f>
        <v xml:space="preserve"> </v>
      </c>
      <c r="G982" s="4" t="str">
        <f ca="1">IF(OR(INDEX($W$2:$W$1001,MATCH(ROWS($V$2:V982),$V$2:$V$1001,0),1)&gt;=100000,INDEX($AC$1005:$AS$1005,1,MATCH(COLUMNS($AC$1006:AH1006),$AC$1006:$AS$1006,0))&gt;=100000), " ",IF(INDEX($AC$2:$AS$1001,MATCH(ROWS($V$2:V982),$V$2:$V$1001,0),MATCH(COLUMNS($AC$1006:AH1006),$AC$1006:$AS$1006,0)), HYPERLINK("#",""), HYPERLINK(CONCATENATE("#metadata!", ADDRESS(INDEX($X$2:$X$1001,MATCH(ROWS($V$2:V982),$V$2:$V$1001,0),0), INDEX($AC$1004:$AS$1004,1,MATCH(COLUMNS($AC$1006:AH1006),$AC$1006:$AS$1006,0)))),"Fix")))</f>
        <v xml:space="preserve"> </v>
      </c>
      <c r="H982" s="4" t="str">
        <f ca="1">IF(OR(INDEX($W$2:$W$1001,MATCH(ROWS($V$2:V982),$V$2:$V$1001,0),1)&gt;=100000,INDEX($AC$1005:$AS$1005,1,MATCH(COLUMNS($AC$1006:AI1006),$AC$1006:$AS$1006,0))&gt;=100000), " ",IF(INDEX($AC$2:$AS$1001,MATCH(ROWS($V$2:V982),$V$2:$V$1001,0),MATCH(COLUMNS($AC$1006:AI1006),$AC$1006:$AS$1006,0)), HYPERLINK("#",""), HYPERLINK(CONCATENATE("#metadata!", ADDRESS(INDEX($X$2:$X$1001,MATCH(ROWS($V$2:V982),$V$2:$V$1001,0),0), INDEX($AC$1004:$AS$1004,1,MATCH(COLUMNS($AC$1006:AI1006),$AC$1006:$AS$1006,0)))),"Fix")))</f>
        <v xml:space="preserve"> </v>
      </c>
      <c r="I982" s="4" t="str">
        <f ca="1">IF(OR(INDEX($W$2:$W$1001,MATCH(ROWS($V$2:V982),$V$2:$V$1001,0),1)&gt;=100000,INDEX($AC$1005:$AS$1005,1,MATCH(COLUMNS($AC$1006:AJ1006),$AC$1006:$AS$1006,0))&gt;=100000), " ",IF(INDEX($AC$2:$AS$1001,MATCH(ROWS($V$2:V982),$V$2:$V$1001,0),MATCH(COLUMNS($AC$1006:AJ1006),$AC$1006:$AS$1006,0)), HYPERLINK("#",""), HYPERLINK(CONCATENATE("#metadata!", ADDRESS(INDEX($X$2:$X$1001,MATCH(ROWS($V$2:V982),$V$2:$V$1001,0),0), INDEX($AC$1004:$AS$1004,1,MATCH(COLUMNS($AC$1006:AJ1006),$AC$1006:$AS$1006,0)))),"Fix")))</f>
        <v xml:space="preserve"> </v>
      </c>
      <c r="J982" s="4" t="str">
        <f ca="1">IF(OR(INDEX($W$2:$W$1001,MATCH(ROWS($V$2:V982),$V$2:$V$1001,0),1)&gt;=100000,INDEX($AC$1005:$AS$1005,1,MATCH(COLUMNS($AC$1006:AK1006),$AC$1006:$AS$1006,0))&gt;=100000), " ",IF(INDEX($AC$2:$AS$1001,MATCH(ROWS($V$2:V982),$V$2:$V$1001,0),MATCH(COLUMNS($AC$1006:AK1006),$AC$1006:$AS$1006,0)), HYPERLINK("#",""), HYPERLINK(CONCATENATE("#metadata!", ADDRESS(INDEX($X$2:$X$1001,MATCH(ROWS($V$2:V982),$V$2:$V$1001,0),0), INDEX($AC$1004:$AS$1004,1,MATCH(COLUMNS($AC$1006:AK1006),$AC$1006:$AS$1006,0)))),"Fix")))</f>
        <v xml:space="preserve"> </v>
      </c>
      <c r="K982" s="4" t="str">
        <f ca="1">IF(OR(INDEX($W$2:$W$1001,MATCH(ROWS($V$2:V982),$V$2:$V$1001,0),1)&gt;=100000,INDEX($AC$1005:$AS$1005,1,MATCH(COLUMNS($AC$1006:AL1006),$AC$1006:$AS$1006,0))&gt;=100000), " ",IF(INDEX($AC$2:$AS$1001,MATCH(ROWS($V$2:V982),$V$2:$V$1001,0),MATCH(COLUMNS($AC$1006:AL1006),$AC$1006:$AS$1006,0)), HYPERLINK("#",""), HYPERLINK(CONCATENATE("#metadata!", ADDRESS(INDEX($X$2:$X$1001,MATCH(ROWS($V$2:V982),$V$2:$V$1001,0),0), INDEX($AC$1004:$AS$1004,1,MATCH(COLUMNS($AC$1006:AL1006),$AC$1006:$AS$1006,0)))),"Fix")))</f>
        <v xml:space="preserve"> </v>
      </c>
      <c r="L982" s="4" t="str">
        <f ca="1">IF(OR(INDEX($W$2:$W$1001,MATCH(ROWS($V$2:V982),$V$2:$V$1001,0),1)&gt;=100000,INDEX($AC$1005:$AS$1005,1,MATCH(COLUMNS($AC$1006:AM1006),$AC$1006:$AS$1006,0))&gt;=100000), " ",IF(INDEX($AC$2:$AS$1001,MATCH(ROWS($V$2:V982),$V$2:$V$1001,0),MATCH(COLUMNS($AC$1006:AM1006),$AC$1006:$AS$1006,0)), HYPERLINK("#",""), HYPERLINK(CONCATENATE("#metadata!", ADDRESS(INDEX($X$2:$X$1001,MATCH(ROWS($V$2:V982),$V$2:$V$1001,0),0), INDEX($AC$1004:$AS$1004,1,MATCH(COLUMNS($AC$1006:AM1006),$AC$1006:$AS$1006,0)))),"Fix")))</f>
        <v xml:space="preserve"> </v>
      </c>
      <c r="M982" s="4" t="str">
        <f ca="1">IF(OR(INDEX($W$2:$W$1001,MATCH(ROWS($V$2:V982),$V$2:$V$1001,0),1)&gt;=100000,INDEX($AC$1005:$AS$1005,1,MATCH(COLUMNS($AC$1006:AN1006),$AC$1006:$AS$1006,0))&gt;=100000), " ",IF(INDEX($AC$2:$AS$1001,MATCH(ROWS($V$2:V982),$V$2:$V$1001,0),MATCH(COLUMNS($AC$1006:AN1006),$AC$1006:$AS$1006,0)), HYPERLINK("#",""), HYPERLINK(CONCATENATE("#metadata!", ADDRESS(INDEX($X$2:$X$1001,MATCH(ROWS($V$2:V982),$V$2:$V$1001,0),0), INDEX($AC$1004:$AS$1004,1,MATCH(COLUMNS($AC$1006:AN1006),$AC$1006:$AS$1006,0)))),"Fix")))</f>
        <v xml:space="preserve"> </v>
      </c>
      <c r="N982" s="4" t="str">
        <f ca="1">IF(OR(INDEX($W$2:$W$1001,MATCH(ROWS($V$2:V982),$V$2:$V$1001,0),1)&gt;=100000,INDEX($AC$1005:$AS$1005,1,MATCH(COLUMNS($AC$1006:AO1006),$AC$1006:$AS$1006,0))&gt;=100000), " ",IF(INDEX($AC$2:$AS$1001,MATCH(ROWS($V$2:V982),$V$2:$V$1001,0),MATCH(COLUMNS($AC$1006:AO1006),$AC$1006:$AS$1006,0)), HYPERLINK("#",""), HYPERLINK(CONCATENATE("#metadata!", ADDRESS(INDEX($X$2:$X$1001,MATCH(ROWS($V$2:V982),$V$2:$V$1001,0),0), INDEX($AC$1004:$AS$1004,1,MATCH(COLUMNS($AC$1006:AO1006),$AC$1006:$AS$1006,0)))),"Fix")))</f>
        <v xml:space="preserve"> </v>
      </c>
      <c r="O982" s="4" t="str">
        <f ca="1">IF(OR(INDEX($W$2:$W$1001,MATCH(ROWS($V$2:V982),$V$2:$V$1001,0),1)&gt;=100000,INDEX($AC$1005:$AS$1005,1,MATCH(COLUMNS($AC$1006:AP1006),$AC$1006:$AS$1006,0))&gt;=100000), " ",IF(INDEX($AC$2:$AS$1001,MATCH(ROWS($V$2:V982),$V$2:$V$1001,0),MATCH(COLUMNS($AC$1006:AP1006),$AC$1006:$AS$1006,0)), HYPERLINK("#",""), HYPERLINK(CONCATENATE("#metadata!", ADDRESS(INDEX($X$2:$X$1001,MATCH(ROWS($V$2:V982),$V$2:$V$1001,0),0), INDEX($AC$1004:$AS$1004,1,MATCH(COLUMNS($AC$1006:AP1006),$AC$1006:$AS$1006,0)))),"Fix")))</f>
        <v xml:space="preserve"> </v>
      </c>
      <c r="P982" s="4" t="str">
        <f ca="1">IF(OR(INDEX($W$2:$W$1001,MATCH(ROWS($V$2:V982),$V$2:$V$1001,0),1)&gt;=100000,INDEX($AC$1005:$AS$1005,1,MATCH(COLUMNS($AC$1006:AQ1006),$AC$1006:$AS$1006,0))&gt;=100000), " ",IF(INDEX($AC$2:$AS$1001,MATCH(ROWS($V$2:V982),$V$2:$V$1001,0),MATCH(COLUMNS($AC$1006:AQ1006),$AC$1006:$AS$1006,0)), HYPERLINK("#",""), HYPERLINK(CONCATENATE("#metadata!", ADDRESS(INDEX($X$2:$X$1001,MATCH(ROWS($V$2:V982),$V$2:$V$1001,0),0), INDEX($AC$1004:$AS$1004,1,MATCH(COLUMNS($AC$1006:AQ1006),$AC$1006:$AS$1006,0)))),"Fix")))</f>
        <v xml:space="preserve"> </v>
      </c>
      <c r="Q982" s="4" t="str">
        <f ca="1">IF(OR(INDEX($W$2:$W$1001,MATCH(ROWS($V$2:V982),$V$2:$V$1001,0),1)&gt;=100000,INDEX($AC$1005:$AS$1005,1,MATCH(COLUMNS($AC$1006:AR1006),$AC$1006:$AS$1006,0))&gt;=100000), " ",IF(INDEX($AC$2:$AS$1001,MATCH(ROWS($V$2:V982),$V$2:$V$1001,0),MATCH(COLUMNS($AC$1006:AR1006),$AC$1006:$AS$1006,0)), HYPERLINK("#",""), HYPERLINK(CONCATENATE("#metadata!", ADDRESS(INDEX($X$2:$X$1001,MATCH(ROWS($V$2:V982),$V$2:$V$1001,0),0), INDEX($AC$1004:$AS$1004,1,MATCH(COLUMNS($AC$1006:AR1006),$AC$1006:$AS$1006,0)))),"Fix")))</f>
        <v xml:space="preserve"> </v>
      </c>
      <c r="R982" s="4" t="str">
        <f ca="1">IF(OR(INDEX($W$2:$W$1001,MATCH(ROWS($V$2:V982),$V$2:$V$1001,0),1)&gt;=100000,INDEX($AC$1005:$AS$1005,1,MATCH(COLUMNS($AC$1006:AS1006),$AC$1006:$AS$1006,0))&gt;=100000), " ",IF(INDEX($AC$2:$AS$1001,MATCH(ROWS($V$2:V982),$V$2:$V$1001,0),MATCH(COLUMNS($AC$1006:AS1006),$AC$1006:$AS$1006,0)), HYPERLINK("#",""), HYPERLINK(CONCATENATE("#metadata!", ADDRESS(INDEX($X$2:$X$1001,MATCH(ROWS($V$2:V982),$V$2:$V$1001,0),0), INDEX($AC$1004:$AS$1004,1,MATCH(COLUMNS($AC$1006:AS1006),$AC$1006:$AS$1006,0)))),"Fix")))</f>
        <v xml:space="preserve"> </v>
      </c>
      <c r="V982">
        <v>981</v>
      </c>
      <c r="W982">
        <v>100982</v>
      </c>
      <c r="X982">
        <v>982</v>
      </c>
      <c r="Y982" t="b">
        <f t="shared" si="15"/>
        <v>1</v>
      </c>
      <c r="Z982" t="b">
        <f>COUNTBLANK(metadata!B982:R982)=COLUMNS(metadata!B982:R982)</f>
        <v>1</v>
      </c>
      <c r="AA982" t="str">
        <v/>
      </c>
      <c r="AC982" t="b">
        <f ca="1"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AD982" t="b">
        <f>IF(metadata!C982="",FALSE,ISNUMBER(VALUE(metadata!C982)))</f>
        <v>0</v>
      </c>
      <c r="AE982" t="b">
        <f>AND(IF(metadata!D982="",FALSE,TRUE),EXACT(metadata!D982,"years"))</f>
        <v>0</v>
      </c>
      <c r="AF982" t="b">
        <f>OR(AND(IF(metadata!E982="",FALSE,TRUE),OR(EXACT(metadata!E982,"not applicable"),EXACT(metadata!E982,"missing: not collected"),EXACT(metadata!E982,"missing: not provided"),EXACT(metadata!E982,"missing: restricted access"))),AND(IF(metadata!E982="",FALSE,ISNUMBER(VALUE(metadata!E982))),metadata!E982&gt;0))</f>
        <v>0</v>
      </c>
      <c r="AG982" t="b">
        <f>AND(IF(metadata!F982="",FALSE,TRUE),EXACT(metadata!F982,"Not applicable"))</f>
        <v>0</v>
      </c>
      <c r="AH982" t="b">
        <f>AND(IF(metadata!G982="",FALSE,TRUE),EXACT(metadata!G982,"urban biome"))</f>
        <v>0</v>
      </c>
      <c r="AI982" t="b">
        <f>AND(IF(metadata!H982="",FALSE,TRUE),EXACT(metadata!H982,"human-associated habitat"))</f>
        <v>0</v>
      </c>
      <c r="AJ982" t="b">
        <f>AND(IF(metadata!I982="",FALSE,TRUE),OR(EXACT(metadata!I982,"human-associated"),EXACT(metadata!I982,"human-skin"),EXACT(metadata!I982,"human-oral"),EXACT(metadata!I982,"human-gut"),EXACT(metadata!I982,"human-vaginal")))</f>
        <v>0</v>
      </c>
      <c r="AK982" t="b">
        <f>IF(metadata!J982="",FALSE,ISNUMBER(VALUE(metadata!J982)))</f>
        <v>0</v>
      </c>
      <c r="AL982" t="b">
        <f>AND(IF(metadata!K982="",FALSE,TRUE),EXACT(metadata!K982,"cm"))</f>
        <v>0</v>
      </c>
      <c r="AM982" t="b">
        <f>AND(IF(metadata!L982="",FALSE,TRUE),EXACT(metadata!L982,"human"))</f>
        <v>0</v>
      </c>
      <c r="AN982" t="b">
        <f>AND(IF(metadata!M982="",FALSE,TRUE),EXACT(metadata!M982,"Homo sapiens"))</f>
        <v>0</v>
      </c>
      <c r="AO982" t="b">
        <f>AND(IF(metadata!N982="",FALSE,TRUE),EXACT(metadata!N982,"9606"))</f>
        <v>0</v>
      </c>
      <c r="AP982" t="b">
        <f>IF(metadata!O982="",FALSE,TRUE)</f>
        <v>0</v>
      </c>
      <c r="AQ982" t="b">
        <f>IF(metadata!P982="",FALSE,TRUE)</f>
        <v>0</v>
      </c>
      <c r="AR982" t="b">
        <f>IF(metadata!Q982="",FALSE,ISNUMBER(VALUE(metadata!Q982)))</f>
        <v>0</v>
      </c>
      <c r="AS982" t="b">
        <f>AND(IF(metadata!R982="",FALSE,TRUE),EXACT(metadata!R982,"kg"))</f>
        <v>0</v>
      </c>
    </row>
    <row r="983" spans="1:45" x14ac:dyDescent="0.2">
      <c r="A983" s="5" t="str">
        <f ca="1">IF(B983=" "," ",HYPERLINK(CONCATENATE("#metadata!",ADDRESS(INDEX($X$2:$X$1001,MATCH(ROWS($V$2:V983),$V$2:$V$1001,0),0),1)),INDEX($AA$2:$AA$1001,MATCH(ROWS($V$2:V983),$V$2:$V$1001,0),0)))</f>
        <v xml:space="preserve"> </v>
      </c>
      <c r="B983" s="4" t="str">
        <f ca="1">IF(OR(INDEX($W$2:$W$1001,MATCH(ROWS($V$2:V983),$V$2:$V$1001,0),1)&gt;=100000,INDEX($AC$1005:$AS$1005,1,MATCH(COLUMNS($AC$1006:AC1006),$AC$1006:$AS$1006,0))&gt;=100000), " ",IF(INDEX($AC$2:$AS$1001,MATCH(ROWS($V$2:V983),$V$2:$V$1001,0),MATCH(COLUMNS($AC$1006:AC1006),$AC$1006:$AS$1006,0)), HYPERLINK("#",""), HYPERLINK(CONCATENATE("#metadata!", ADDRESS(INDEX($X$2:$X$1001,MATCH(ROWS($V$2:V983),$V$2:$V$1001,0),0), INDEX($AC$1004:$AS$1004,1,MATCH(COLUMNS($AC$1006:AC1006),$AC$1006:$AS$1006,0)))),"Fix")))</f>
        <v xml:space="preserve"> </v>
      </c>
      <c r="C983" s="4" t="str">
        <f ca="1">IF(OR(INDEX($W$2:$W$1001,MATCH(ROWS($V$2:V983),$V$2:$V$1001,0),1)&gt;=100000,INDEX($AC$1005:$AS$1005,1,MATCH(COLUMNS($AC$1006:AD1006),$AC$1006:$AS$1006,0))&gt;=100000), " ",IF(INDEX($AC$2:$AS$1001,MATCH(ROWS($V$2:V983),$V$2:$V$1001,0),MATCH(COLUMNS($AC$1006:AD1006),$AC$1006:$AS$1006,0)), HYPERLINK("#",""), HYPERLINK(CONCATENATE("#metadata!", ADDRESS(INDEX($X$2:$X$1001,MATCH(ROWS($V$2:V983),$V$2:$V$1001,0),0), INDEX($AC$1004:$AS$1004,1,MATCH(COLUMNS($AC$1006:AD1006),$AC$1006:$AS$1006,0)))),"Fix")))</f>
        <v xml:space="preserve"> </v>
      </c>
      <c r="D983" s="4" t="str">
        <f ca="1">IF(OR(INDEX($W$2:$W$1001,MATCH(ROWS($V$2:V983),$V$2:$V$1001,0),1)&gt;=100000,INDEX($AC$1005:$AS$1005,1,MATCH(COLUMNS($AC$1006:AE1006),$AC$1006:$AS$1006,0))&gt;=100000), " ",IF(INDEX($AC$2:$AS$1001,MATCH(ROWS($V$2:V983),$V$2:$V$1001,0),MATCH(COLUMNS($AC$1006:AE1006),$AC$1006:$AS$1006,0)), HYPERLINK("#",""), HYPERLINK(CONCATENATE("#metadata!", ADDRESS(INDEX($X$2:$X$1001,MATCH(ROWS($V$2:V983),$V$2:$V$1001,0),0), INDEX($AC$1004:$AS$1004,1,MATCH(COLUMNS($AC$1006:AE1006),$AC$1006:$AS$1006,0)))),"Fix")))</f>
        <v xml:space="preserve"> </v>
      </c>
      <c r="E983" s="4" t="str">
        <f ca="1">IF(OR(INDEX($W$2:$W$1001,MATCH(ROWS($V$2:V983),$V$2:$V$1001,0),1)&gt;=100000,INDEX($AC$1005:$AS$1005,1,MATCH(COLUMNS($AC$1006:AF1006),$AC$1006:$AS$1006,0))&gt;=100000), " ",IF(INDEX($AC$2:$AS$1001,MATCH(ROWS($V$2:V983),$V$2:$V$1001,0),MATCH(COLUMNS($AC$1006:AF1006),$AC$1006:$AS$1006,0)), HYPERLINK("#",""), HYPERLINK(CONCATENATE("#metadata!", ADDRESS(INDEX($X$2:$X$1001,MATCH(ROWS($V$2:V983),$V$2:$V$1001,0),0), INDEX($AC$1004:$AS$1004,1,MATCH(COLUMNS($AC$1006:AF1006),$AC$1006:$AS$1006,0)))),"Fix")))</f>
        <v xml:space="preserve"> </v>
      </c>
      <c r="F983" s="4" t="str">
        <f ca="1">IF(OR(INDEX($W$2:$W$1001,MATCH(ROWS($V$2:V983),$V$2:$V$1001,0),1)&gt;=100000,INDEX($AC$1005:$AS$1005,1,MATCH(COLUMNS($AC$1006:AG1006),$AC$1006:$AS$1006,0))&gt;=100000), " ",IF(INDEX($AC$2:$AS$1001,MATCH(ROWS($V$2:V983),$V$2:$V$1001,0),MATCH(COLUMNS($AC$1006:AG1006),$AC$1006:$AS$1006,0)), HYPERLINK("#",""), HYPERLINK(CONCATENATE("#metadata!", ADDRESS(INDEX($X$2:$X$1001,MATCH(ROWS($V$2:V983),$V$2:$V$1001,0),0), INDEX($AC$1004:$AS$1004,1,MATCH(COLUMNS($AC$1006:AG1006),$AC$1006:$AS$1006,0)))),"Fix")))</f>
        <v xml:space="preserve"> </v>
      </c>
      <c r="G983" s="4" t="str">
        <f ca="1">IF(OR(INDEX($W$2:$W$1001,MATCH(ROWS($V$2:V983),$V$2:$V$1001,0),1)&gt;=100000,INDEX($AC$1005:$AS$1005,1,MATCH(COLUMNS($AC$1006:AH1006),$AC$1006:$AS$1006,0))&gt;=100000), " ",IF(INDEX($AC$2:$AS$1001,MATCH(ROWS($V$2:V983),$V$2:$V$1001,0),MATCH(COLUMNS($AC$1006:AH1006),$AC$1006:$AS$1006,0)), HYPERLINK("#",""), HYPERLINK(CONCATENATE("#metadata!", ADDRESS(INDEX($X$2:$X$1001,MATCH(ROWS($V$2:V983),$V$2:$V$1001,0),0), INDEX($AC$1004:$AS$1004,1,MATCH(COLUMNS($AC$1006:AH1006),$AC$1006:$AS$1006,0)))),"Fix")))</f>
        <v xml:space="preserve"> </v>
      </c>
      <c r="H983" s="4" t="str">
        <f ca="1">IF(OR(INDEX($W$2:$W$1001,MATCH(ROWS($V$2:V983),$V$2:$V$1001,0),1)&gt;=100000,INDEX($AC$1005:$AS$1005,1,MATCH(COLUMNS($AC$1006:AI1006),$AC$1006:$AS$1006,0))&gt;=100000), " ",IF(INDEX($AC$2:$AS$1001,MATCH(ROWS($V$2:V983),$V$2:$V$1001,0),MATCH(COLUMNS($AC$1006:AI1006),$AC$1006:$AS$1006,0)), HYPERLINK("#",""), HYPERLINK(CONCATENATE("#metadata!", ADDRESS(INDEX($X$2:$X$1001,MATCH(ROWS($V$2:V983),$V$2:$V$1001,0),0), INDEX($AC$1004:$AS$1004,1,MATCH(COLUMNS($AC$1006:AI1006),$AC$1006:$AS$1006,0)))),"Fix")))</f>
        <v xml:space="preserve"> </v>
      </c>
      <c r="I983" s="4" t="str">
        <f ca="1">IF(OR(INDEX($W$2:$W$1001,MATCH(ROWS($V$2:V983),$V$2:$V$1001,0),1)&gt;=100000,INDEX($AC$1005:$AS$1005,1,MATCH(COLUMNS($AC$1006:AJ1006),$AC$1006:$AS$1006,0))&gt;=100000), " ",IF(INDEX($AC$2:$AS$1001,MATCH(ROWS($V$2:V983),$V$2:$V$1001,0),MATCH(COLUMNS($AC$1006:AJ1006),$AC$1006:$AS$1006,0)), HYPERLINK("#",""), HYPERLINK(CONCATENATE("#metadata!", ADDRESS(INDEX($X$2:$X$1001,MATCH(ROWS($V$2:V983),$V$2:$V$1001,0),0), INDEX($AC$1004:$AS$1004,1,MATCH(COLUMNS($AC$1006:AJ1006),$AC$1006:$AS$1006,0)))),"Fix")))</f>
        <v xml:space="preserve"> </v>
      </c>
      <c r="J983" s="4" t="str">
        <f ca="1">IF(OR(INDEX($W$2:$W$1001,MATCH(ROWS($V$2:V983),$V$2:$V$1001,0),1)&gt;=100000,INDEX($AC$1005:$AS$1005,1,MATCH(COLUMNS($AC$1006:AK1006),$AC$1006:$AS$1006,0))&gt;=100000), " ",IF(INDEX($AC$2:$AS$1001,MATCH(ROWS($V$2:V983),$V$2:$V$1001,0),MATCH(COLUMNS($AC$1006:AK1006),$AC$1006:$AS$1006,0)), HYPERLINK("#",""), HYPERLINK(CONCATENATE("#metadata!", ADDRESS(INDEX($X$2:$X$1001,MATCH(ROWS($V$2:V983),$V$2:$V$1001,0),0), INDEX($AC$1004:$AS$1004,1,MATCH(COLUMNS($AC$1006:AK1006),$AC$1006:$AS$1006,0)))),"Fix")))</f>
        <v xml:space="preserve"> </v>
      </c>
      <c r="K983" s="4" t="str">
        <f ca="1">IF(OR(INDEX($W$2:$W$1001,MATCH(ROWS($V$2:V983),$V$2:$V$1001,0),1)&gt;=100000,INDEX($AC$1005:$AS$1005,1,MATCH(COLUMNS($AC$1006:AL1006),$AC$1006:$AS$1006,0))&gt;=100000), " ",IF(INDEX($AC$2:$AS$1001,MATCH(ROWS($V$2:V983),$V$2:$V$1001,0),MATCH(COLUMNS($AC$1006:AL1006),$AC$1006:$AS$1006,0)), HYPERLINK("#",""), HYPERLINK(CONCATENATE("#metadata!", ADDRESS(INDEX($X$2:$X$1001,MATCH(ROWS($V$2:V983),$V$2:$V$1001,0),0), INDEX($AC$1004:$AS$1004,1,MATCH(COLUMNS($AC$1006:AL1006),$AC$1006:$AS$1006,0)))),"Fix")))</f>
        <v xml:space="preserve"> </v>
      </c>
      <c r="L983" s="4" t="str">
        <f ca="1">IF(OR(INDEX($W$2:$W$1001,MATCH(ROWS($V$2:V983),$V$2:$V$1001,0),1)&gt;=100000,INDEX($AC$1005:$AS$1005,1,MATCH(COLUMNS($AC$1006:AM1006),$AC$1006:$AS$1006,0))&gt;=100000), " ",IF(INDEX($AC$2:$AS$1001,MATCH(ROWS($V$2:V983),$V$2:$V$1001,0),MATCH(COLUMNS($AC$1006:AM1006),$AC$1006:$AS$1006,0)), HYPERLINK("#",""), HYPERLINK(CONCATENATE("#metadata!", ADDRESS(INDEX($X$2:$X$1001,MATCH(ROWS($V$2:V983),$V$2:$V$1001,0),0), INDEX($AC$1004:$AS$1004,1,MATCH(COLUMNS($AC$1006:AM1006),$AC$1006:$AS$1006,0)))),"Fix")))</f>
        <v xml:space="preserve"> </v>
      </c>
      <c r="M983" s="4" t="str">
        <f ca="1">IF(OR(INDEX($W$2:$W$1001,MATCH(ROWS($V$2:V983),$V$2:$V$1001,0),1)&gt;=100000,INDEX($AC$1005:$AS$1005,1,MATCH(COLUMNS($AC$1006:AN1006),$AC$1006:$AS$1006,0))&gt;=100000), " ",IF(INDEX($AC$2:$AS$1001,MATCH(ROWS($V$2:V983),$V$2:$V$1001,0),MATCH(COLUMNS($AC$1006:AN1006),$AC$1006:$AS$1006,0)), HYPERLINK("#",""), HYPERLINK(CONCATENATE("#metadata!", ADDRESS(INDEX($X$2:$X$1001,MATCH(ROWS($V$2:V983),$V$2:$V$1001,0),0), INDEX($AC$1004:$AS$1004,1,MATCH(COLUMNS($AC$1006:AN1006),$AC$1006:$AS$1006,0)))),"Fix")))</f>
        <v xml:space="preserve"> </v>
      </c>
      <c r="N983" s="4" t="str">
        <f ca="1">IF(OR(INDEX($W$2:$W$1001,MATCH(ROWS($V$2:V983),$V$2:$V$1001,0),1)&gt;=100000,INDEX($AC$1005:$AS$1005,1,MATCH(COLUMNS($AC$1006:AO1006),$AC$1006:$AS$1006,0))&gt;=100000), " ",IF(INDEX($AC$2:$AS$1001,MATCH(ROWS($V$2:V983),$V$2:$V$1001,0),MATCH(COLUMNS($AC$1006:AO1006),$AC$1006:$AS$1006,0)), HYPERLINK("#",""), HYPERLINK(CONCATENATE("#metadata!", ADDRESS(INDEX($X$2:$X$1001,MATCH(ROWS($V$2:V983),$V$2:$V$1001,0),0), INDEX($AC$1004:$AS$1004,1,MATCH(COLUMNS($AC$1006:AO1006),$AC$1006:$AS$1006,0)))),"Fix")))</f>
        <v xml:space="preserve"> </v>
      </c>
      <c r="O983" s="4" t="str">
        <f ca="1">IF(OR(INDEX($W$2:$W$1001,MATCH(ROWS($V$2:V983),$V$2:$V$1001,0),1)&gt;=100000,INDEX($AC$1005:$AS$1005,1,MATCH(COLUMNS($AC$1006:AP1006),$AC$1006:$AS$1006,0))&gt;=100000), " ",IF(INDEX($AC$2:$AS$1001,MATCH(ROWS($V$2:V983),$V$2:$V$1001,0),MATCH(COLUMNS($AC$1006:AP1006),$AC$1006:$AS$1006,0)), HYPERLINK("#",""), HYPERLINK(CONCATENATE("#metadata!", ADDRESS(INDEX($X$2:$X$1001,MATCH(ROWS($V$2:V983),$V$2:$V$1001,0),0), INDEX($AC$1004:$AS$1004,1,MATCH(COLUMNS($AC$1006:AP1006),$AC$1006:$AS$1006,0)))),"Fix")))</f>
        <v xml:space="preserve"> </v>
      </c>
      <c r="P983" s="4" t="str">
        <f ca="1">IF(OR(INDEX($W$2:$W$1001,MATCH(ROWS($V$2:V983),$V$2:$V$1001,0),1)&gt;=100000,INDEX($AC$1005:$AS$1005,1,MATCH(COLUMNS($AC$1006:AQ1006),$AC$1006:$AS$1006,0))&gt;=100000), " ",IF(INDEX($AC$2:$AS$1001,MATCH(ROWS($V$2:V983),$V$2:$V$1001,0),MATCH(COLUMNS($AC$1006:AQ1006),$AC$1006:$AS$1006,0)), HYPERLINK("#",""), HYPERLINK(CONCATENATE("#metadata!", ADDRESS(INDEX($X$2:$X$1001,MATCH(ROWS($V$2:V983),$V$2:$V$1001,0),0), INDEX($AC$1004:$AS$1004,1,MATCH(COLUMNS($AC$1006:AQ1006),$AC$1006:$AS$1006,0)))),"Fix")))</f>
        <v xml:space="preserve"> </v>
      </c>
      <c r="Q983" s="4" t="str">
        <f ca="1">IF(OR(INDEX($W$2:$W$1001,MATCH(ROWS($V$2:V983),$V$2:$V$1001,0),1)&gt;=100000,INDEX($AC$1005:$AS$1005,1,MATCH(COLUMNS($AC$1006:AR1006),$AC$1006:$AS$1006,0))&gt;=100000), " ",IF(INDEX($AC$2:$AS$1001,MATCH(ROWS($V$2:V983),$V$2:$V$1001,0),MATCH(COLUMNS($AC$1006:AR1006),$AC$1006:$AS$1006,0)), HYPERLINK("#",""), HYPERLINK(CONCATENATE("#metadata!", ADDRESS(INDEX($X$2:$X$1001,MATCH(ROWS($V$2:V983),$V$2:$V$1001,0),0), INDEX($AC$1004:$AS$1004,1,MATCH(COLUMNS($AC$1006:AR1006),$AC$1006:$AS$1006,0)))),"Fix")))</f>
        <v xml:space="preserve"> </v>
      </c>
      <c r="R983" s="4" t="str">
        <f ca="1">IF(OR(INDEX($W$2:$W$1001,MATCH(ROWS($V$2:V983),$V$2:$V$1001,0),1)&gt;=100000,INDEX($AC$1005:$AS$1005,1,MATCH(COLUMNS($AC$1006:AS1006),$AC$1006:$AS$1006,0))&gt;=100000), " ",IF(INDEX($AC$2:$AS$1001,MATCH(ROWS($V$2:V983),$V$2:$V$1001,0),MATCH(COLUMNS($AC$1006:AS1006),$AC$1006:$AS$1006,0)), HYPERLINK("#",""), HYPERLINK(CONCATENATE("#metadata!", ADDRESS(INDEX($X$2:$X$1001,MATCH(ROWS($V$2:V983),$V$2:$V$1001,0),0), INDEX($AC$1004:$AS$1004,1,MATCH(COLUMNS($AC$1006:AS1006),$AC$1006:$AS$1006,0)))),"Fix")))</f>
        <v xml:space="preserve"> </v>
      </c>
      <c r="V983">
        <v>982</v>
      </c>
      <c r="W983">
        <v>100983</v>
      </c>
      <c r="X983">
        <v>983</v>
      </c>
      <c r="Y983" t="b">
        <f t="shared" si="15"/>
        <v>1</v>
      </c>
      <c r="Z983" t="b">
        <f>COUNTBLANK(metadata!B983:R983)=COLUMNS(metadata!B983:R983)</f>
        <v>1</v>
      </c>
      <c r="AA983" t="str">
        <v/>
      </c>
      <c r="AC983" t="b">
        <f ca="1"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AD983" t="b">
        <f>IF(metadata!C983="",FALSE,ISNUMBER(VALUE(metadata!C983)))</f>
        <v>0</v>
      </c>
      <c r="AE983" t="b">
        <f>AND(IF(metadata!D983="",FALSE,TRUE),EXACT(metadata!D983,"years"))</f>
        <v>0</v>
      </c>
      <c r="AF983" t="b">
        <f>OR(AND(IF(metadata!E983="",FALSE,TRUE),OR(EXACT(metadata!E983,"not applicable"),EXACT(metadata!E983,"missing: not collected"),EXACT(metadata!E983,"missing: not provided"),EXACT(metadata!E983,"missing: restricted access"))),AND(IF(metadata!E983="",FALSE,ISNUMBER(VALUE(metadata!E983))),metadata!E983&gt;0))</f>
        <v>0</v>
      </c>
      <c r="AG983" t="b">
        <f>AND(IF(metadata!F983="",FALSE,TRUE),EXACT(metadata!F983,"Not applicable"))</f>
        <v>0</v>
      </c>
      <c r="AH983" t="b">
        <f>AND(IF(metadata!G983="",FALSE,TRUE),EXACT(metadata!G983,"urban biome"))</f>
        <v>0</v>
      </c>
      <c r="AI983" t="b">
        <f>AND(IF(metadata!H983="",FALSE,TRUE),EXACT(metadata!H983,"human-associated habitat"))</f>
        <v>0</v>
      </c>
      <c r="AJ983" t="b">
        <f>AND(IF(metadata!I983="",FALSE,TRUE),OR(EXACT(metadata!I983,"human-associated"),EXACT(metadata!I983,"human-skin"),EXACT(metadata!I983,"human-oral"),EXACT(metadata!I983,"human-gut"),EXACT(metadata!I983,"human-vaginal")))</f>
        <v>0</v>
      </c>
      <c r="AK983" t="b">
        <f>IF(metadata!J983="",FALSE,ISNUMBER(VALUE(metadata!J983)))</f>
        <v>0</v>
      </c>
      <c r="AL983" t="b">
        <f>AND(IF(metadata!K983="",FALSE,TRUE),EXACT(metadata!K983,"cm"))</f>
        <v>0</v>
      </c>
      <c r="AM983" t="b">
        <f>AND(IF(metadata!L983="",FALSE,TRUE),EXACT(metadata!L983,"human"))</f>
        <v>0</v>
      </c>
      <c r="AN983" t="b">
        <f>AND(IF(metadata!M983="",FALSE,TRUE),EXACT(metadata!M983,"Homo sapiens"))</f>
        <v>0</v>
      </c>
      <c r="AO983" t="b">
        <f>AND(IF(metadata!N983="",FALSE,TRUE),EXACT(metadata!N983,"9606"))</f>
        <v>0</v>
      </c>
      <c r="AP983" t="b">
        <f>IF(metadata!O983="",FALSE,TRUE)</f>
        <v>0</v>
      </c>
      <c r="AQ983" t="b">
        <f>IF(metadata!P983="",FALSE,TRUE)</f>
        <v>0</v>
      </c>
      <c r="AR983" t="b">
        <f>IF(metadata!Q983="",FALSE,ISNUMBER(VALUE(metadata!Q983)))</f>
        <v>0</v>
      </c>
      <c r="AS983" t="b">
        <f>AND(IF(metadata!R983="",FALSE,TRUE),EXACT(metadata!R983,"kg"))</f>
        <v>0</v>
      </c>
    </row>
    <row r="984" spans="1:45" x14ac:dyDescent="0.2">
      <c r="A984" s="5" t="str">
        <f ca="1">IF(B984=" "," ",HYPERLINK(CONCATENATE("#metadata!",ADDRESS(INDEX($X$2:$X$1001,MATCH(ROWS($V$2:V984),$V$2:$V$1001,0),0),1)),INDEX($AA$2:$AA$1001,MATCH(ROWS($V$2:V984),$V$2:$V$1001,0),0)))</f>
        <v xml:space="preserve"> </v>
      </c>
      <c r="B984" s="4" t="str">
        <f ca="1">IF(OR(INDEX($W$2:$W$1001,MATCH(ROWS($V$2:V984),$V$2:$V$1001,0),1)&gt;=100000,INDEX($AC$1005:$AS$1005,1,MATCH(COLUMNS($AC$1006:AC1006),$AC$1006:$AS$1006,0))&gt;=100000), " ",IF(INDEX($AC$2:$AS$1001,MATCH(ROWS($V$2:V984),$V$2:$V$1001,0),MATCH(COLUMNS($AC$1006:AC1006),$AC$1006:$AS$1006,0)), HYPERLINK("#",""), HYPERLINK(CONCATENATE("#metadata!", ADDRESS(INDEX($X$2:$X$1001,MATCH(ROWS($V$2:V984),$V$2:$V$1001,0),0), INDEX($AC$1004:$AS$1004,1,MATCH(COLUMNS($AC$1006:AC1006),$AC$1006:$AS$1006,0)))),"Fix")))</f>
        <v xml:space="preserve"> </v>
      </c>
      <c r="C984" s="4" t="str">
        <f ca="1">IF(OR(INDEX($W$2:$W$1001,MATCH(ROWS($V$2:V984),$V$2:$V$1001,0),1)&gt;=100000,INDEX($AC$1005:$AS$1005,1,MATCH(COLUMNS($AC$1006:AD1006),$AC$1006:$AS$1006,0))&gt;=100000), " ",IF(INDEX($AC$2:$AS$1001,MATCH(ROWS($V$2:V984),$V$2:$V$1001,0),MATCH(COLUMNS($AC$1006:AD1006),$AC$1006:$AS$1006,0)), HYPERLINK("#",""), HYPERLINK(CONCATENATE("#metadata!", ADDRESS(INDEX($X$2:$X$1001,MATCH(ROWS($V$2:V984),$V$2:$V$1001,0),0), INDEX($AC$1004:$AS$1004,1,MATCH(COLUMNS($AC$1006:AD1006),$AC$1006:$AS$1006,0)))),"Fix")))</f>
        <v xml:space="preserve"> </v>
      </c>
      <c r="D984" s="4" t="str">
        <f ca="1">IF(OR(INDEX($W$2:$W$1001,MATCH(ROWS($V$2:V984),$V$2:$V$1001,0),1)&gt;=100000,INDEX($AC$1005:$AS$1005,1,MATCH(COLUMNS($AC$1006:AE1006),$AC$1006:$AS$1006,0))&gt;=100000), " ",IF(INDEX($AC$2:$AS$1001,MATCH(ROWS($V$2:V984),$V$2:$V$1001,0),MATCH(COLUMNS($AC$1006:AE1006),$AC$1006:$AS$1006,0)), HYPERLINK("#",""), HYPERLINK(CONCATENATE("#metadata!", ADDRESS(INDEX($X$2:$X$1001,MATCH(ROWS($V$2:V984),$V$2:$V$1001,0),0), INDEX($AC$1004:$AS$1004,1,MATCH(COLUMNS($AC$1006:AE1006),$AC$1006:$AS$1006,0)))),"Fix")))</f>
        <v xml:space="preserve"> </v>
      </c>
      <c r="E984" s="4" t="str">
        <f ca="1">IF(OR(INDEX($W$2:$W$1001,MATCH(ROWS($V$2:V984),$V$2:$V$1001,0),1)&gt;=100000,INDEX($AC$1005:$AS$1005,1,MATCH(COLUMNS($AC$1006:AF1006),$AC$1006:$AS$1006,0))&gt;=100000), " ",IF(INDEX($AC$2:$AS$1001,MATCH(ROWS($V$2:V984),$V$2:$V$1001,0),MATCH(COLUMNS($AC$1006:AF1006),$AC$1006:$AS$1006,0)), HYPERLINK("#",""), HYPERLINK(CONCATENATE("#metadata!", ADDRESS(INDEX($X$2:$X$1001,MATCH(ROWS($V$2:V984),$V$2:$V$1001,0),0), INDEX($AC$1004:$AS$1004,1,MATCH(COLUMNS($AC$1006:AF1006),$AC$1006:$AS$1006,0)))),"Fix")))</f>
        <v xml:space="preserve"> </v>
      </c>
      <c r="F984" s="4" t="str">
        <f ca="1">IF(OR(INDEX($W$2:$W$1001,MATCH(ROWS($V$2:V984),$V$2:$V$1001,0),1)&gt;=100000,INDEX($AC$1005:$AS$1005,1,MATCH(COLUMNS($AC$1006:AG1006),$AC$1006:$AS$1006,0))&gt;=100000), " ",IF(INDEX($AC$2:$AS$1001,MATCH(ROWS($V$2:V984),$V$2:$V$1001,0),MATCH(COLUMNS($AC$1006:AG1006),$AC$1006:$AS$1006,0)), HYPERLINK("#",""), HYPERLINK(CONCATENATE("#metadata!", ADDRESS(INDEX($X$2:$X$1001,MATCH(ROWS($V$2:V984),$V$2:$V$1001,0),0), INDEX($AC$1004:$AS$1004,1,MATCH(COLUMNS($AC$1006:AG1006),$AC$1006:$AS$1006,0)))),"Fix")))</f>
        <v xml:space="preserve"> </v>
      </c>
      <c r="G984" s="4" t="str">
        <f ca="1">IF(OR(INDEX($W$2:$W$1001,MATCH(ROWS($V$2:V984),$V$2:$V$1001,0),1)&gt;=100000,INDEX($AC$1005:$AS$1005,1,MATCH(COLUMNS($AC$1006:AH1006),$AC$1006:$AS$1006,0))&gt;=100000), " ",IF(INDEX($AC$2:$AS$1001,MATCH(ROWS($V$2:V984),$V$2:$V$1001,0),MATCH(COLUMNS($AC$1006:AH1006),$AC$1006:$AS$1006,0)), HYPERLINK("#",""), HYPERLINK(CONCATENATE("#metadata!", ADDRESS(INDEX($X$2:$X$1001,MATCH(ROWS($V$2:V984),$V$2:$V$1001,0),0), INDEX($AC$1004:$AS$1004,1,MATCH(COLUMNS($AC$1006:AH1006),$AC$1006:$AS$1006,0)))),"Fix")))</f>
        <v xml:space="preserve"> </v>
      </c>
      <c r="H984" s="4" t="str">
        <f ca="1">IF(OR(INDEX($W$2:$W$1001,MATCH(ROWS($V$2:V984),$V$2:$V$1001,0),1)&gt;=100000,INDEX($AC$1005:$AS$1005,1,MATCH(COLUMNS($AC$1006:AI1006),$AC$1006:$AS$1006,0))&gt;=100000), " ",IF(INDEX($AC$2:$AS$1001,MATCH(ROWS($V$2:V984),$V$2:$V$1001,0),MATCH(COLUMNS($AC$1006:AI1006),$AC$1006:$AS$1006,0)), HYPERLINK("#",""), HYPERLINK(CONCATENATE("#metadata!", ADDRESS(INDEX($X$2:$X$1001,MATCH(ROWS($V$2:V984),$V$2:$V$1001,0),0), INDEX($AC$1004:$AS$1004,1,MATCH(COLUMNS($AC$1006:AI1006),$AC$1006:$AS$1006,0)))),"Fix")))</f>
        <v xml:space="preserve"> </v>
      </c>
      <c r="I984" s="4" t="str">
        <f ca="1">IF(OR(INDEX($W$2:$W$1001,MATCH(ROWS($V$2:V984),$V$2:$V$1001,0),1)&gt;=100000,INDEX($AC$1005:$AS$1005,1,MATCH(COLUMNS($AC$1006:AJ1006),$AC$1006:$AS$1006,0))&gt;=100000), " ",IF(INDEX($AC$2:$AS$1001,MATCH(ROWS($V$2:V984),$V$2:$V$1001,0),MATCH(COLUMNS($AC$1006:AJ1006),$AC$1006:$AS$1006,0)), HYPERLINK("#",""), HYPERLINK(CONCATENATE("#metadata!", ADDRESS(INDEX($X$2:$X$1001,MATCH(ROWS($V$2:V984),$V$2:$V$1001,0),0), INDEX($AC$1004:$AS$1004,1,MATCH(COLUMNS($AC$1006:AJ1006),$AC$1006:$AS$1006,0)))),"Fix")))</f>
        <v xml:space="preserve"> </v>
      </c>
      <c r="J984" s="4" t="str">
        <f ca="1">IF(OR(INDEX($W$2:$W$1001,MATCH(ROWS($V$2:V984),$V$2:$V$1001,0),1)&gt;=100000,INDEX($AC$1005:$AS$1005,1,MATCH(COLUMNS($AC$1006:AK1006),$AC$1006:$AS$1006,0))&gt;=100000), " ",IF(INDEX($AC$2:$AS$1001,MATCH(ROWS($V$2:V984),$V$2:$V$1001,0),MATCH(COLUMNS($AC$1006:AK1006),$AC$1006:$AS$1006,0)), HYPERLINK("#",""), HYPERLINK(CONCATENATE("#metadata!", ADDRESS(INDEX($X$2:$X$1001,MATCH(ROWS($V$2:V984),$V$2:$V$1001,0),0), INDEX($AC$1004:$AS$1004,1,MATCH(COLUMNS($AC$1006:AK1006),$AC$1006:$AS$1006,0)))),"Fix")))</f>
        <v xml:space="preserve"> </v>
      </c>
      <c r="K984" s="4" t="str">
        <f ca="1">IF(OR(INDEX($W$2:$W$1001,MATCH(ROWS($V$2:V984),$V$2:$V$1001,0),1)&gt;=100000,INDEX($AC$1005:$AS$1005,1,MATCH(COLUMNS($AC$1006:AL1006),$AC$1006:$AS$1006,0))&gt;=100000), " ",IF(INDEX($AC$2:$AS$1001,MATCH(ROWS($V$2:V984),$V$2:$V$1001,0),MATCH(COLUMNS($AC$1006:AL1006),$AC$1006:$AS$1006,0)), HYPERLINK("#",""), HYPERLINK(CONCATENATE("#metadata!", ADDRESS(INDEX($X$2:$X$1001,MATCH(ROWS($V$2:V984),$V$2:$V$1001,0),0), INDEX($AC$1004:$AS$1004,1,MATCH(COLUMNS($AC$1006:AL1006),$AC$1006:$AS$1006,0)))),"Fix")))</f>
        <v xml:space="preserve"> </v>
      </c>
      <c r="L984" s="4" t="str">
        <f ca="1">IF(OR(INDEX($W$2:$W$1001,MATCH(ROWS($V$2:V984),$V$2:$V$1001,0),1)&gt;=100000,INDEX($AC$1005:$AS$1005,1,MATCH(COLUMNS($AC$1006:AM1006),$AC$1006:$AS$1006,0))&gt;=100000), " ",IF(INDEX($AC$2:$AS$1001,MATCH(ROWS($V$2:V984),$V$2:$V$1001,0),MATCH(COLUMNS($AC$1006:AM1006),$AC$1006:$AS$1006,0)), HYPERLINK("#",""), HYPERLINK(CONCATENATE("#metadata!", ADDRESS(INDEX($X$2:$X$1001,MATCH(ROWS($V$2:V984),$V$2:$V$1001,0),0), INDEX($AC$1004:$AS$1004,1,MATCH(COLUMNS($AC$1006:AM1006),$AC$1006:$AS$1006,0)))),"Fix")))</f>
        <v xml:space="preserve"> </v>
      </c>
      <c r="M984" s="4" t="str">
        <f ca="1">IF(OR(INDEX($W$2:$W$1001,MATCH(ROWS($V$2:V984),$V$2:$V$1001,0),1)&gt;=100000,INDEX($AC$1005:$AS$1005,1,MATCH(COLUMNS($AC$1006:AN1006),$AC$1006:$AS$1006,0))&gt;=100000), " ",IF(INDEX($AC$2:$AS$1001,MATCH(ROWS($V$2:V984),$V$2:$V$1001,0),MATCH(COLUMNS($AC$1006:AN1006),$AC$1006:$AS$1006,0)), HYPERLINK("#",""), HYPERLINK(CONCATENATE("#metadata!", ADDRESS(INDEX($X$2:$X$1001,MATCH(ROWS($V$2:V984),$V$2:$V$1001,0),0), INDEX($AC$1004:$AS$1004,1,MATCH(COLUMNS($AC$1006:AN1006),$AC$1006:$AS$1006,0)))),"Fix")))</f>
        <v xml:space="preserve"> </v>
      </c>
      <c r="N984" s="4" t="str">
        <f ca="1">IF(OR(INDEX($W$2:$W$1001,MATCH(ROWS($V$2:V984),$V$2:$V$1001,0),1)&gt;=100000,INDEX($AC$1005:$AS$1005,1,MATCH(COLUMNS($AC$1006:AO1006),$AC$1006:$AS$1006,0))&gt;=100000), " ",IF(INDEX($AC$2:$AS$1001,MATCH(ROWS($V$2:V984),$V$2:$V$1001,0),MATCH(COLUMNS($AC$1006:AO1006),$AC$1006:$AS$1006,0)), HYPERLINK("#",""), HYPERLINK(CONCATENATE("#metadata!", ADDRESS(INDEX($X$2:$X$1001,MATCH(ROWS($V$2:V984),$V$2:$V$1001,0),0), INDEX($AC$1004:$AS$1004,1,MATCH(COLUMNS($AC$1006:AO1006),$AC$1006:$AS$1006,0)))),"Fix")))</f>
        <v xml:space="preserve"> </v>
      </c>
      <c r="O984" s="4" t="str">
        <f ca="1">IF(OR(INDEX($W$2:$W$1001,MATCH(ROWS($V$2:V984),$V$2:$V$1001,0),1)&gt;=100000,INDEX($AC$1005:$AS$1005,1,MATCH(COLUMNS($AC$1006:AP1006),$AC$1006:$AS$1006,0))&gt;=100000), " ",IF(INDEX($AC$2:$AS$1001,MATCH(ROWS($V$2:V984),$V$2:$V$1001,0),MATCH(COLUMNS($AC$1006:AP1006),$AC$1006:$AS$1006,0)), HYPERLINK("#",""), HYPERLINK(CONCATENATE("#metadata!", ADDRESS(INDEX($X$2:$X$1001,MATCH(ROWS($V$2:V984),$V$2:$V$1001,0),0), INDEX($AC$1004:$AS$1004,1,MATCH(COLUMNS($AC$1006:AP1006),$AC$1006:$AS$1006,0)))),"Fix")))</f>
        <v xml:space="preserve"> </v>
      </c>
      <c r="P984" s="4" t="str">
        <f ca="1">IF(OR(INDEX($W$2:$W$1001,MATCH(ROWS($V$2:V984),$V$2:$V$1001,0),1)&gt;=100000,INDEX($AC$1005:$AS$1005,1,MATCH(COLUMNS($AC$1006:AQ1006),$AC$1006:$AS$1006,0))&gt;=100000), " ",IF(INDEX($AC$2:$AS$1001,MATCH(ROWS($V$2:V984),$V$2:$V$1001,0),MATCH(COLUMNS($AC$1006:AQ1006),$AC$1006:$AS$1006,0)), HYPERLINK("#",""), HYPERLINK(CONCATENATE("#metadata!", ADDRESS(INDEX($X$2:$X$1001,MATCH(ROWS($V$2:V984),$V$2:$V$1001,0),0), INDEX($AC$1004:$AS$1004,1,MATCH(COLUMNS($AC$1006:AQ1006),$AC$1006:$AS$1006,0)))),"Fix")))</f>
        <v xml:space="preserve"> </v>
      </c>
      <c r="Q984" s="4" t="str">
        <f ca="1">IF(OR(INDEX($W$2:$W$1001,MATCH(ROWS($V$2:V984),$V$2:$V$1001,0),1)&gt;=100000,INDEX($AC$1005:$AS$1005,1,MATCH(COLUMNS($AC$1006:AR1006),$AC$1006:$AS$1006,0))&gt;=100000), " ",IF(INDEX($AC$2:$AS$1001,MATCH(ROWS($V$2:V984),$V$2:$V$1001,0),MATCH(COLUMNS($AC$1006:AR1006),$AC$1006:$AS$1006,0)), HYPERLINK("#",""), HYPERLINK(CONCATENATE("#metadata!", ADDRESS(INDEX($X$2:$X$1001,MATCH(ROWS($V$2:V984),$V$2:$V$1001,0),0), INDEX($AC$1004:$AS$1004,1,MATCH(COLUMNS($AC$1006:AR1006),$AC$1006:$AS$1006,0)))),"Fix")))</f>
        <v xml:space="preserve"> </v>
      </c>
      <c r="R984" s="4" t="str">
        <f ca="1">IF(OR(INDEX($W$2:$W$1001,MATCH(ROWS($V$2:V984),$V$2:$V$1001,0),1)&gt;=100000,INDEX($AC$1005:$AS$1005,1,MATCH(COLUMNS($AC$1006:AS1006),$AC$1006:$AS$1006,0))&gt;=100000), " ",IF(INDEX($AC$2:$AS$1001,MATCH(ROWS($V$2:V984),$V$2:$V$1001,0),MATCH(COLUMNS($AC$1006:AS1006),$AC$1006:$AS$1006,0)), HYPERLINK("#",""), HYPERLINK(CONCATENATE("#metadata!", ADDRESS(INDEX($X$2:$X$1001,MATCH(ROWS($V$2:V984),$V$2:$V$1001,0),0), INDEX($AC$1004:$AS$1004,1,MATCH(COLUMNS($AC$1006:AS1006),$AC$1006:$AS$1006,0)))),"Fix")))</f>
        <v xml:space="preserve"> </v>
      </c>
      <c r="V984">
        <v>983</v>
      </c>
      <c r="W984">
        <v>100984</v>
      </c>
      <c r="X984">
        <v>984</v>
      </c>
      <c r="Y984" t="b">
        <f t="shared" si="15"/>
        <v>1</v>
      </c>
      <c r="Z984" t="b">
        <f>COUNTBLANK(metadata!B984:R984)=COLUMNS(metadata!B984:R984)</f>
        <v>1</v>
      </c>
      <c r="AA984" t="str">
        <v/>
      </c>
      <c r="AC984" t="b">
        <f ca="1"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AD984" t="b">
        <f>IF(metadata!C984="",FALSE,ISNUMBER(VALUE(metadata!C984)))</f>
        <v>0</v>
      </c>
      <c r="AE984" t="b">
        <f>AND(IF(metadata!D984="",FALSE,TRUE),EXACT(metadata!D984,"years"))</f>
        <v>0</v>
      </c>
      <c r="AF984" t="b">
        <f>OR(AND(IF(metadata!E984="",FALSE,TRUE),OR(EXACT(metadata!E984,"not applicable"),EXACT(metadata!E984,"missing: not collected"),EXACT(metadata!E984,"missing: not provided"),EXACT(metadata!E984,"missing: restricted access"))),AND(IF(metadata!E984="",FALSE,ISNUMBER(VALUE(metadata!E984))),metadata!E984&gt;0))</f>
        <v>0</v>
      </c>
      <c r="AG984" t="b">
        <f>AND(IF(metadata!F984="",FALSE,TRUE),EXACT(metadata!F984,"Not applicable"))</f>
        <v>0</v>
      </c>
      <c r="AH984" t="b">
        <f>AND(IF(metadata!G984="",FALSE,TRUE),EXACT(metadata!G984,"urban biome"))</f>
        <v>0</v>
      </c>
      <c r="AI984" t="b">
        <f>AND(IF(metadata!H984="",FALSE,TRUE),EXACT(metadata!H984,"human-associated habitat"))</f>
        <v>0</v>
      </c>
      <c r="AJ984" t="b">
        <f>AND(IF(metadata!I984="",FALSE,TRUE),OR(EXACT(metadata!I984,"human-associated"),EXACT(metadata!I984,"human-skin"),EXACT(metadata!I984,"human-oral"),EXACT(metadata!I984,"human-gut"),EXACT(metadata!I984,"human-vaginal")))</f>
        <v>0</v>
      </c>
      <c r="AK984" t="b">
        <f>IF(metadata!J984="",FALSE,ISNUMBER(VALUE(metadata!J984)))</f>
        <v>0</v>
      </c>
      <c r="AL984" t="b">
        <f>AND(IF(metadata!K984="",FALSE,TRUE),EXACT(metadata!K984,"cm"))</f>
        <v>0</v>
      </c>
      <c r="AM984" t="b">
        <f>AND(IF(metadata!L984="",FALSE,TRUE),EXACT(metadata!L984,"human"))</f>
        <v>0</v>
      </c>
      <c r="AN984" t="b">
        <f>AND(IF(metadata!M984="",FALSE,TRUE),EXACT(metadata!M984,"Homo sapiens"))</f>
        <v>0</v>
      </c>
      <c r="AO984" t="b">
        <f>AND(IF(metadata!N984="",FALSE,TRUE),EXACT(metadata!N984,"9606"))</f>
        <v>0</v>
      </c>
      <c r="AP984" t="b">
        <f>IF(metadata!O984="",FALSE,TRUE)</f>
        <v>0</v>
      </c>
      <c r="AQ984" t="b">
        <f>IF(metadata!P984="",FALSE,TRUE)</f>
        <v>0</v>
      </c>
      <c r="AR984" t="b">
        <f>IF(metadata!Q984="",FALSE,ISNUMBER(VALUE(metadata!Q984)))</f>
        <v>0</v>
      </c>
      <c r="AS984" t="b">
        <f>AND(IF(metadata!R984="",FALSE,TRUE),EXACT(metadata!R984,"kg"))</f>
        <v>0</v>
      </c>
    </row>
    <row r="985" spans="1:45" x14ac:dyDescent="0.2">
      <c r="A985" s="5" t="str">
        <f ca="1">IF(B985=" "," ",HYPERLINK(CONCATENATE("#metadata!",ADDRESS(INDEX($X$2:$X$1001,MATCH(ROWS($V$2:V985),$V$2:$V$1001,0),0),1)),INDEX($AA$2:$AA$1001,MATCH(ROWS($V$2:V985),$V$2:$V$1001,0),0)))</f>
        <v xml:space="preserve"> </v>
      </c>
      <c r="B985" s="4" t="str">
        <f ca="1">IF(OR(INDEX($W$2:$W$1001,MATCH(ROWS($V$2:V985),$V$2:$V$1001,0),1)&gt;=100000,INDEX($AC$1005:$AS$1005,1,MATCH(COLUMNS($AC$1006:AC1006),$AC$1006:$AS$1006,0))&gt;=100000), " ",IF(INDEX($AC$2:$AS$1001,MATCH(ROWS($V$2:V985),$V$2:$V$1001,0),MATCH(COLUMNS($AC$1006:AC1006),$AC$1006:$AS$1006,0)), HYPERLINK("#",""), HYPERLINK(CONCATENATE("#metadata!", ADDRESS(INDEX($X$2:$X$1001,MATCH(ROWS($V$2:V985),$V$2:$V$1001,0),0), INDEX($AC$1004:$AS$1004,1,MATCH(COLUMNS($AC$1006:AC1006),$AC$1006:$AS$1006,0)))),"Fix")))</f>
        <v xml:space="preserve"> </v>
      </c>
      <c r="C985" s="4" t="str">
        <f ca="1">IF(OR(INDEX($W$2:$W$1001,MATCH(ROWS($V$2:V985),$V$2:$V$1001,0),1)&gt;=100000,INDEX($AC$1005:$AS$1005,1,MATCH(COLUMNS($AC$1006:AD1006),$AC$1006:$AS$1006,0))&gt;=100000), " ",IF(INDEX($AC$2:$AS$1001,MATCH(ROWS($V$2:V985),$V$2:$V$1001,0),MATCH(COLUMNS($AC$1006:AD1006),$AC$1006:$AS$1006,0)), HYPERLINK("#",""), HYPERLINK(CONCATENATE("#metadata!", ADDRESS(INDEX($X$2:$X$1001,MATCH(ROWS($V$2:V985),$V$2:$V$1001,0),0), INDEX($AC$1004:$AS$1004,1,MATCH(COLUMNS($AC$1006:AD1006),$AC$1006:$AS$1006,0)))),"Fix")))</f>
        <v xml:space="preserve"> </v>
      </c>
      <c r="D985" s="4" t="str">
        <f ca="1">IF(OR(INDEX($W$2:$W$1001,MATCH(ROWS($V$2:V985),$V$2:$V$1001,0),1)&gt;=100000,INDEX($AC$1005:$AS$1005,1,MATCH(COLUMNS($AC$1006:AE1006),$AC$1006:$AS$1006,0))&gt;=100000), " ",IF(INDEX($AC$2:$AS$1001,MATCH(ROWS($V$2:V985),$V$2:$V$1001,0),MATCH(COLUMNS($AC$1006:AE1006),$AC$1006:$AS$1006,0)), HYPERLINK("#",""), HYPERLINK(CONCATENATE("#metadata!", ADDRESS(INDEX($X$2:$X$1001,MATCH(ROWS($V$2:V985),$V$2:$V$1001,0),0), INDEX($AC$1004:$AS$1004,1,MATCH(COLUMNS($AC$1006:AE1006),$AC$1006:$AS$1006,0)))),"Fix")))</f>
        <v xml:space="preserve"> </v>
      </c>
      <c r="E985" s="4" t="str">
        <f ca="1">IF(OR(INDEX($W$2:$W$1001,MATCH(ROWS($V$2:V985),$V$2:$V$1001,0),1)&gt;=100000,INDEX($AC$1005:$AS$1005,1,MATCH(COLUMNS($AC$1006:AF1006),$AC$1006:$AS$1006,0))&gt;=100000), " ",IF(INDEX($AC$2:$AS$1001,MATCH(ROWS($V$2:V985),$V$2:$V$1001,0),MATCH(COLUMNS($AC$1006:AF1006),$AC$1006:$AS$1006,0)), HYPERLINK("#",""), HYPERLINK(CONCATENATE("#metadata!", ADDRESS(INDEX($X$2:$X$1001,MATCH(ROWS($V$2:V985),$V$2:$V$1001,0),0), INDEX($AC$1004:$AS$1004,1,MATCH(COLUMNS($AC$1006:AF1006),$AC$1006:$AS$1006,0)))),"Fix")))</f>
        <v xml:space="preserve"> </v>
      </c>
      <c r="F985" s="4" t="str">
        <f ca="1">IF(OR(INDEX($W$2:$W$1001,MATCH(ROWS($V$2:V985),$V$2:$V$1001,0),1)&gt;=100000,INDEX($AC$1005:$AS$1005,1,MATCH(COLUMNS($AC$1006:AG1006),$AC$1006:$AS$1006,0))&gt;=100000), " ",IF(INDEX($AC$2:$AS$1001,MATCH(ROWS($V$2:V985),$V$2:$V$1001,0),MATCH(COLUMNS($AC$1006:AG1006),$AC$1006:$AS$1006,0)), HYPERLINK("#",""), HYPERLINK(CONCATENATE("#metadata!", ADDRESS(INDEX($X$2:$X$1001,MATCH(ROWS($V$2:V985),$V$2:$V$1001,0),0), INDEX($AC$1004:$AS$1004,1,MATCH(COLUMNS($AC$1006:AG1006),$AC$1006:$AS$1006,0)))),"Fix")))</f>
        <v xml:space="preserve"> </v>
      </c>
      <c r="G985" s="4" t="str">
        <f ca="1">IF(OR(INDEX($W$2:$W$1001,MATCH(ROWS($V$2:V985),$V$2:$V$1001,0),1)&gt;=100000,INDEX($AC$1005:$AS$1005,1,MATCH(COLUMNS($AC$1006:AH1006),$AC$1006:$AS$1006,0))&gt;=100000), " ",IF(INDEX($AC$2:$AS$1001,MATCH(ROWS($V$2:V985),$V$2:$V$1001,0),MATCH(COLUMNS($AC$1006:AH1006),$AC$1006:$AS$1006,0)), HYPERLINK("#",""), HYPERLINK(CONCATENATE("#metadata!", ADDRESS(INDEX($X$2:$X$1001,MATCH(ROWS($V$2:V985),$V$2:$V$1001,0),0), INDEX($AC$1004:$AS$1004,1,MATCH(COLUMNS($AC$1006:AH1006),$AC$1006:$AS$1006,0)))),"Fix")))</f>
        <v xml:space="preserve"> </v>
      </c>
      <c r="H985" s="4" t="str">
        <f ca="1">IF(OR(INDEX($W$2:$W$1001,MATCH(ROWS($V$2:V985),$V$2:$V$1001,0),1)&gt;=100000,INDEX($AC$1005:$AS$1005,1,MATCH(COLUMNS($AC$1006:AI1006),$AC$1006:$AS$1006,0))&gt;=100000), " ",IF(INDEX($AC$2:$AS$1001,MATCH(ROWS($V$2:V985),$V$2:$V$1001,0),MATCH(COLUMNS($AC$1006:AI1006),$AC$1006:$AS$1006,0)), HYPERLINK("#",""), HYPERLINK(CONCATENATE("#metadata!", ADDRESS(INDEX($X$2:$X$1001,MATCH(ROWS($V$2:V985),$V$2:$V$1001,0),0), INDEX($AC$1004:$AS$1004,1,MATCH(COLUMNS($AC$1006:AI1006),$AC$1006:$AS$1006,0)))),"Fix")))</f>
        <v xml:space="preserve"> </v>
      </c>
      <c r="I985" s="4" t="str">
        <f ca="1">IF(OR(INDEX($W$2:$W$1001,MATCH(ROWS($V$2:V985),$V$2:$V$1001,0),1)&gt;=100000,INDEX($AC$1005:$AS$1005,1,MATCH(COLUMNS($AC$1006:AJ1006),$AC$1006:$AS$1006,0))&gt;=100000), " ",IF(INDEX($AC$2:$AS$1001,MATCH(ROWS($V$2:V985),$V$2:$V$1001,0),MATCH(COLUMNS($AC$1006:AJ1006),$AC$1006:$AS$1006,0)), HYPERLINK("#",""), HYPERLINK(CONCATENATE("#metadata!", ADDRESS(INDEX($X$2:$X$1001,MATCH(ROWS($V$2:V985),$V$2:$V$1001,0),0), INDEX($AC$1004:$AS$1004,1,MATCH(COLUMNS($AC$1006:AJ1006),$AC$1006:$AS$1006,0)))),"Fix")))</f>
        <v xml:space="preserve"> </v>
      </c>
      <c r="J985" s="4" t="str">
        <f ca="1">IF(OR(INDEX($W$2:$W$1001,MATCH(ROWS($V$2:V985),$V$2:$V$1001,0),1)&gt;=100000,INDEX($AC$1005:$AS$1005,1,MATCH(COLUMNS($AC$1006:AK1006),$AC$1006:$AS$1006,0))&gt;=100000), " ",IF(INDEX($AC$2:$AS$1001,MATCH(ROWS($V$2:V985),$V$2:$V$1001,0),MATCH(COLUMNS($AC$1006:AK1006),$AC$1006:$AS$1006,0)), HYPERLINK("#",""), HYPERLINK(CONCATENATE("#metadata!", ADDRESS(INDEX($X$2:$X$1001,MATCH(ROWS($V$2:V985),$V$2:$V$1001,0),0), INDEX($AC$1004:$AS$1004,1,MATCH(COLUMNS($AC$1006:AK1006),$AC$1006:$AS$1006,0)))),"Fix")))</f>
        <v xml:space="preserve"> </v>
      </c>
      <c r="K985" s="4" t="str">
        <f ca="1">IF(OR(INDEX($W$2:$W$1001,MATCH(ROWS($V$2:V985),$V$2:$V$1001,0),1)&gt;=100000,INDEX($AC$1005:$AS$1005,1,MATCH(COLUMNS($AC$1006:AL1006),$AC$1006:$AS$1006,0))&gt;=100000), " ",IF(INDEX($AC$2:$AS$1001,MATCH(ROWS($V$2:V985),$V$2:$V$1001,0),MATCH(COLUMNS($AC$1006:AL1006),$AC$1006:$AS$1006,0)), HYPERLINK("#",""), HYPERLINK(CONCATENATE("#metadata!", ADDRESS(INDEX($X$2:$X$1001,MATCH(ROWS($V$2:V985),$V$2:$V$1001,0),0), INDEX($AC$1004:$AS$1004,1,MATCH(COLUMNS($AC$1006:AL1006),$AC$1006:$AS$1006,0)))),"Fix")))</f>
        <v xml:space="preserve"> </v>
      </c>
      <c r="L985" s="4" t="str">
        <f ca="1">IF(OR(INDEX($W$2:$W$1001,MATCH(ROWS($V$2:V985),$V$2:$V$1001,0),1)&gt;=100000,INDEX($AC$1005:$AS$1005,1,MATCH(COLUMNS($AC$1006:AM1006),$AC$1006:$AS$1006,0))&gt;=100000), " ",IF(INDEX($AC$2:$AS$1001,MATCH(ROWS($V$2:V985),$V$2:$V$1001,0),MATCH(COLUMNS($AC$1006:AM1006),$AC$1006:$AS$1006,0)), HYPERLINK("#",""), HYPERLINK(CONCATENATE("#metadata!", ADDRESS(INDEX($X$2:$X$1001,MATCH(ROWS($V$2:V985),$V$2:$V$1001,0),0), INDEX($AC$1004:$AS$1004,1,MATCH(COLUMNS($AC$1006:AM1006),$AC$1006:$AS$1006,0)))),"Fix")))</f>
        <v xml:space="preserve"> </v>
      </c>
      <c r="M985" s="4" t="str">
        <f ca="1">IF(OR(INDEX($W$2:$W$1001,MATCH(ROWS($V$2:V985),$V$2:$V$1001,0),1)&gt;=100000,INDEX($AC$1005:$AS$1005,1,MATCH(COLUMNS($AC$1006:AN1006),$AC$1006:$AS$1006,0))&gt;=100000), " ",IF(INDEX($AC$2:$AS$1001,MATCH(ROWS($V$2:V985),$V$2:$V$1001,0),MATCH(COLUMNS($AC$1006:AN1006),$AC$1006:$AS$1006,0)), HYPERLINK("#",""), HYPERLINK(CONCATENATE("#metadata!", ADDRESS(INDEX($X$2:$X$1001,MATCH(ROWS($V$2:V985),$V$2:$V$1001,0),0), INDEX($AC$1004:$AS$1004,1,MATCH(COLUMNS($AC$1006:AN1006),$AC$1006:$AS$1006,0)))),"Fix")))</f>
        <v xml:space="preserve"> </v>
      </c>
      <c r="N985" s="4" t="str">
        <f ca="1">IF(OR(INDEX($W$2:$W$1001,MATCH(ROWS($V$2:V985),$V$2:$V$1001,0),1)&gt;=100000,INDEX($AC$1005:$AS$1005,1,MATCH(COLUMNS($AC$1006:AO1006),$AC$1006:$AS$1006,0))&gt;=100000), " ",IF(INDEX($AC$2:$AS$1001,MATCH(ROWS($V$2:V985),$V$2:$V$1001,0),MATCH(COLUMNS($AC$1006:AO1006),$AC$1006:$AS$1006,0)), HYPERLINK("#",""), HYPERLINK(CONCATENATE("#metadata!", ADDRESS(INDEX($X$2:$X$1001,MATCH(ROWS($V$2:V985),$V$2:$V$1001,0),0), INDEX($AC$1004:$AS$1004,1,MATCH(COLUMNS($AC$1006:AO1006),$AC$1006:$AS$1006,0)))),"Fix")))</f>
        <v xml:space="preserve"> </v>
      </c>
      <c r="O985" s="4" t="str">
        <f ca="1">IF(OR(INDEX($W$2:$W$1001,MATCH(ROWS($V$2:V985),$V$2:$V$1001,0),1)&gt;=100000,INDEX($AC$1005:$AS$1005,1,MATCH(COLUMNS($AC$1006:AP1006),$AC$1006:$AS$1006,0))&gt;=100000), " ",IF(INDEX($AC$2:$AS$1001,MATCH(ROWS($V$2:V985),$V$2:$V$1001,0),MATCH(COLUMNS($AC$1006:AP1006),$AC$1006:$AS$1006,0)), HYPERLINK("#",""), HYPERLINK(CONCATENATE("#metadata!", ADDRESS(INDEX($X$2:$X$1001,MATCH(ROWS($V$2:V985),$V$2:$V$1001,0),0), INDEX($AC$1004:$AS$1004,1,MATCH(COLUMNS($AC$1006:AP1006),$AC$1006:$AS$1006,0)))),"Fix")))</f>
        <v xml:space="preserve"> </v>
      </c>
      <c r="P985" s="4" t="str">
        <f ca="1">IF(OR(INDEX($W$2:$W$1001,MATCH(ROWS($V$2:V985),$V$2:$V$1001,0),1)&gt;=100000,INDEX($AC$1005:$AS$1005,1,MATCH(COLUMNS($AC$1006:AQ1006),$AC$1006:$AS$1006,0))&gt;=100000), " ",IF(INDEX($AC$2:$AS$1001,MATCH(ROWS($V$2:V985),$V$2:$V$1001,0),MATCH(COLUMNS($AC$1006:AQ1006),$AC$1006:$AS$1006,0)), HYPERLINK("#",""), HYPERLINK(CONCATENATE("#metadata!", ADDRESS(INDEX($X$2:$X$1001,MATCH(ROWS($V$2:V985),$V$2:$V$1001,0),0), INDEX($AC$1004:$AS$1004,1,MATCH(COLUMNS($AC$1006:AQ1006),$AC$1006:$AS$1006,0)))),"Fix")))</f>
        <v xml:space="preserve"> </v>
      </c>
      <c r="Q985" s="4" t="str">
        <f ca="1">IF(OR(INDEX($W$2:$W$1001,MATCH(ROWS($V$2:V985),$V$2:$V$1001,0),1)&gt;=100000,INDEX($AC$1005:$AS$1005,1,MATCH(COLUMNS($AC$1006:AR1006),$AC$1006:$AS$1006,0))&gt;=100000), " ",IF(INDEX($AC$2:$AS$1001,MATCH(ROWS($V$2:V985),$V$2:$V$1001,0),MATCH(COLUMNS($AC$1006:AR1006),$AC$1006:$AS$1006,0)), HYPERLINK("#",""), HYPERLINK(CONCATENATE("#metadata!", ADDRESS(INDEX($X$2:$X$1001,MATCH(ROWS($V$2:V985),$V$2:$V$1001,0),0), INDEX($AC$1004:$AS$1004,1,MATCH(COLUMNS($AC$1006:AR1006),$AC$1006:$AS$1006,0)))),"Fix")))</f>
        <v xml:space="preserve"> </v>
      </c>
      <c r="R985" s="4" t="str">
        <f ca="1">IF(OR(INDEX($W$2:$W$1001,MATCH(ROWS($V$2:V985),$V$2:$V$1001,0),1)&gt;=100000,INDEX($AC$1005:$AS$1005,1,MATCH(COLUMNS($AC$1006:AS1006),$AC$1006:$AS$1006,0))&gt;=100000), " ",IF(INDEX($AC$2:$AS$1001,MATCH(ROWS($V$2:V985),$V$2:$V$1001,0),MATCH(COLUMNS($AC$1006:AS1006),$AC$1006:$AS$1006,0)), HYPERLINK("#",""), HYPERLINK(CONCATENATE("#metadata!", ADDRESS(INDEX($X$2:$X$1001,MATCH(ROWS($V$2:V985),$V$2:$V$1001,0),0), INDEX($AC$1004:$AS$1004,1,MATCH(COLUMNS($AC$1006:AS1006),$AC$1006:$AS$1006,0)))),"Fix")))</f>
        <v xml:space="preserve"> </v>
      </c>
      <c r="V985">
        <v>984</v>
      </c>
      <c r="W985">
        <v>100985</v>
      </c>
      <c r="X985">
        <v>985</v>
      </c>
      <c r="Y985" t="b">
        <f t="shared" si="15"/>
        <v>1</v>
      </c>
      <c r="Z985" t="b">
        <f>COUNTBLANK(metadata!B985:R985)=COLUMNS(metadata!B985:R985)</f>
        <v>1</v>
      </c>
      <c r="AA985" t="str">
        <v/>
      </c>
      <c r="AC985" t="b">
        <f ca="1"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AD985" t="b">
        <f>IF(metadata!C985="",FALSE,ISNUMBER(VALUE(metadata!C985)))</f>
        <v>0</v>
      </c>
      <c r="AE985" t="b">
        <f>AND(IF(metadata!D985="",FALSE,TRUE),EXACT(metadata!D985,"years"))</f>
        <v>0</v>
      </c>
      <c r="AF985" t="b">
        <f>OR(AND(IF(metadata!E985="",FALSE,TRUE),OR(EXACT(metadata!E985,"not applicable"),EXACT(metadata!E985,"missing: not collected"),EXACT(metadata!E985,"missing: not provided"),EXACT(metadata!E985,"missing: restricted access"))),AND(IF(metadata!E985="",FALSE,ISNUMBER(VALUE(metadata!E985))),metadata!E985&gt;0))</f>
        <v>0</v>
      </c>
      <c r="AG985" t="b">
        <f>AND(IF(metadata!F985="",FALSE,TRUE),EXACT(metadata!F985,"Not applicable"))</f>
        <v>0</v>
      </c>
      <c r="AH985" t="b">
        <f>AND(IF(metadata!G985="",FALSE,TRUE),EXACT(metadata!G985,"urban biome"))</f>
        <v>0</v>
      </c>
      <c r="AI985" t="b">
        <f>AND(IF(metadata!H985="",FALSE,TRUE),EXACT(metadata!H985,"human-associated habitat"))</f>
        <v>0</v>
      </c>
      <c r="AJ985" t="b">
        <f>AND(IF(metadata!I985="",FALSE,TRUE),OR(EXACT(metadata!I985,"human-associated"),EXACT(metadata!I985,"human-skin"),EXACT(metadata!I985,"human-oral"),EXACT(metadata!I985,"human-gut"),EXACT(metadata!I985,"human-vaginal")))</f>
        <v>0</v>
      </c>
      <c r="AK985" t="b">
        <f>IF(metadata!J985="",FALSE,ISNUMBER(VALUE(metadata!J985)))</f>
        <v>0</v>
      </c>
      <c r="AL985" t="b">
        <f>AND(IF(metadata!K985="",FALSE,TRUE),EXACT(metadata!K985,"cm"))</f>
        <v>0</v>
      </c>
      <c r="AM985" t="b">
        <f>AND(IF(metadata!L985="",FALSE,TRUE),EXACT(metadata!L985,"human"))</f>
        <v>0</v>
      </c>
      <c r="AN985" t="b">
        <f>AND(IF(metadata!M985="",FALSE,TRUE),EXACT(metadata!M985,"Homo sapiens"))</f>
        <v>0</v>
      </c>
      <c r="AO985" t="b">
        <f>AND(IF(metadata!N985="",FALSE,TRUE),EXACT(metadata!N985,"9606"))</f>
        <v>0</v>
      </c>
      <c r="AP985" t="b">
        <f>IF(metadata!O985="",FALSE,TRUE)</f>
        <v>0</v>
      </c>
      <c r="AQ985" t="b">
        <f>IF(metadata!P985="",FALSE,TRUE)</f>
        <v>0</v>
      </c>
      <c r="AR985" t="b">
        <f>IF(metadata!Q985="",FALSE,ISNUMBER(VALUE(metadata!Q985)))</f>
        <v>0</v>
      </c>
      <c r="AS985" t="b">
        <f>AND(IF(metadata!R985="",FALSE,TRUE),EXACT(metadata!R985,"kg"))</f>
        <v>0</v>
      </c>
    </row>
    <row r="986" spans="1:45" x14ac:dyDescent="0.2">
      <c r="A986" s="5" t="str">
        <f ca="1">IF(B986=" "," ",HYPERLINK(CONCATENATE("#metadata!",ADDRESS(INDEX($X$2:$X$1001,MATCH(ROWS($V$2:V986),$V$2:$V$1001,0),0),1)),INDEX($AA$2:$AA$1001,MATCH(ROWS($V$2:V986),$V$2:$V$1001,0),0)))</f>
        <v xml:space="preserve"> </v>
      </c>
      <c r="B986" s="4" t="str">
        <f ca="1">IF(OR(INDEX($W$2:$W$1001,MATCH(ROWS($V$2:V986),$V$2:$V$1001,0),1)&gt;=100000,INDEX($AC$1005:$AS$1005,1,MATCH(COLUMNS($AC$1006:AC1006),$AC$1006:$AS$1006,0))&gt;=100000), " ",IF(INDEX($AC$2:$AS$1001,MATCH(ROWS($V$2:V986),$V$2:$V$1001,0),MATCH(COLUMNS($AC$1006:AC1006),$AC$1006:$AS$1006,0)), HYPERLINK("#",""), HYPERLINK(CONCATENATE("#metadata!", ADDRESS(INDEX($X$2:$X$1001,MATCH(ROWS($V$2:V986),$V$2:$V$1001,0),0), INDEX($AC$1004:$AS$1004,1,MATCH(COLUMNS($AC$1006:AC1006),$AC$1006:$AS$1006,0)))),"Fix")))</f>
        <v xml:space="preserve"> </v>
      </c>
      <c r="C986" s="4" t="str">
        <f ca="1">IF(OR(INDEX($W$2:$W$1001,MATCH(ROWS($V$2:V986),$V$2:$V$1001,0),1)&gt;=100000,INDEX($AC$1005:$AS$1005,1,MATCH(COLUMNS($AC$1006:AD1006),$AC$1006:$AS$1006,0))&gt;=100000), " ",IF(INDEX($AC$2:$AS$1001,MATCH(ROWS($V$2:V986),$V$2:$V$1001,0),MATCH(COLUMNS($AC$1006:AD1006),$AC$1006:$AS$1006,0)), HYPERLINK("#",""), HYPERLINK(CONCATENATE("#metadata!", ADDRESS(INDEX($X$2:$X$1001,MATCH(ROWS($V$2:V986),$V$2:$V$1001,0),0), INDEX($AC$1004:$AS$1004,1,MATCH(COLUMNS($AC$1006:AD1006),$AC$1006:$AS$1006,0)))),"Fix")))</f>
        <v xml:space="preserve"> </v>
      </c>
      <c r="D986" s="4" t="str">
        <f ca="1">IF(OR(INDEX($W$2:$W$1001,MATCH(ROWS($V$2:V986),$V$2:$V$1001,0),1)&gt;=100000,INDEX($AC$1005:$AS$1005,1,MATCH(COLUMNS($AC$1006:AE1006),$AC$1006:$AS$1006,0))&gt;=100000), " ",IF(INDEX($AC$2:$AS$1001,MATCH(ROWS($V$2:V986),$V$2:$V$1001,0),MATCH(COLUMNS($AC$1006:AE1006),$AC$1006:$AS$1006,0)), HYPERLINK("#",""), HYPERLINK(CONCATENATE("#metadata!", ADDRESS(INDEX($X$2:$X$1001,MATCH(ROWS($V$2:V986),$V$2:$V$1001,0),0), INDEX($AC$1004:$AS$1004,1,MATCH(COLUMNS($AC$1006:AE1006),$AC$1006:$AS$1006,0)))),"Fix")))</f>
        <v xml:space="preserve"> </v>
      </c>
      <c r="E986" s="4" t="str">
        <f ca="1">IF(OR(INDEX($W$2:$W$1001,MATCH(ROWS($V$2:V986),$V$2:$V$1001,0),1)&gt;=100000,INDEX($AC$1005:$AS$1005,1,MATCH(COLUMNS($AC$1006:AF1006),$AC$1006:$AS$1006,0))&gt;=100000), " ",IF(INDEX($AC$2:$AS$1001,MATCH(ROWS($V$2:V986),$V$2:$V$1001,0),MATCH(COLUMNS($AC$1006:AF1006),$AC$1006:$AS$1006,0)), HYPERLINK("#",""), HYPERLINK(CONCATENATE("#metadata!", ADDRESS(INDEX($X$2:$X$1001,MATCH(ROWS($V$2:V986),$V$2:$V$1001,0),0), INDEX($AC$1004:$AS$1004,1,MATCH(COLUMNS($AC$1006:AF1006),$AC$1006:$AS$1006,0)))),"Fix")))</f>
        <v xml:space="preserve"> </v>
      </c>
      <c r="F986" s="4" t="str">
        <f ca="1">IF(OR(INDEX($W$2:$W$1001,MATCH(ROWS($V$2:V986),$V$2:$V$1001,0),1)&gt;=100000,INDEX($AC$1005:$AS$1005,1,MATCH(COLUMNS($AC$1006:AG1006),$AC$1006:$AS$1006,0))&gt;=100000), " ",IF(INDEX($AC$2:$AS$1001,MATCH(ROWS($V$2:V986),$V$2:$V$1001,0),MATCH(COLUMNS($AC$1006:AG1006),$AC$1006:$AS$1006,0)), HYPERLINK("#",""), HYPERLINK(CONCATENATE("#metadata!", ADDRESS(INDEX($X$2:$X$1001,MATCH(ROWS($V$2:V986),$V$2:$V$1001,0),0), INDEX($AC$1004:$AS$1004,1,MATCH(COLUMNS($AC$1006:AG1006),$AC$1006:$AS$1006,0)))),"Fix")))</f>
        <v xml:space="preserve"> </v>
      </c>
      <c r="G986" s="4" t="str">
        <f ca="1">IF(OR(INDEX($W$2:$W$1001,MATCH(ROWS($V$2:V986),$V$2:$V$1001,0),1)&gt;=100000,INDEX($AC$1005:$AS$1005,1,MATCH(COLUMNS($AC$1006:AH1006),$AC$1006:$AS$1006,0))&gt;=100000), " ",IF(INDEX($AC$2:$AS$1001,MATCH(ROWS($V$2:V986),$V$2:$V$1001,0),MATCH(COLUMNS($AC$1006:AH1006),$AC$1006:$AS$1006,0)), HYPERLINK("#",""), HYPERLINK(CONCATENATE("#metadata!", ADDRESS(INDEX($X$2:$X$1001,MATCH(ROWS($V$2:V986),$V$2:$V$1001,0),0), INDEX($AC$1004:$AS$1004,1,MATCH(COLUMNS($AC$1006:AH1006),$AC$1006:$AS$1006,0)))),"Fix")))</f>
        <v xml:space="preserve"> </v>
      </c>
      <c r="H986" s="4" t="str">
        <f ca="1">IF(OR(INDEX($W$2:$W$1001,MATCH(ROWS($V$2:V986),$V$2:$V$1001,0),1)&gt;=100000,INDEX($AC$1005:$AS$1005,1,MATCH(COLUMNS($AC$1006:AI1006),$AC$1006:$AS$1006,0))&gt;=100000), " ",IF(INDEX($AC$2:$AS$1001,MATCH(ROWS($V$2:V986),$V$2:$V$1001,0),MATCH(COLUMNS($AC$1006:AI1006),$AC$1006:$AS$1006,0)), HYPERLINK("#",""), HYPERLINK(CONCATENATE("#metadata!", ADDRESS(INDEX($X$2:$X$1001,MATCH(ROWS($V$2:V986),$V$2:$V$1001,0),0), INDEX($AC$1004:$AS$1004,1,MATCH(COLUMNS($AC$1006:AI1006),$AC$1006:$AS$1006,0)))),"Fix")))</f>
        <v xml:space="preserve"> </v>
      </c>
      <c r="I986" s="4" t="str">
        <f ca="1">IF(OR(INDEX($W$2:$W$1001,MATCH(ROWS($V$2:V986),$V$2:$V$1001,0),1)&gt;=100000,INDEX($AC$1005:$AS$1005,1,MATCH(COLUMNS($AC$1006:AJ1006),$AC$1006:$AS$1006,0))&gt;=100000), " ",IF(INDEX($AC$2:$AS$1001,MATCH(ROWS($V$2:V986),$V$2:$V$1001,0),MATCH(COLUMNS($AC$1006:AJ1006),$AC$1006:$AS$1006,0)), HYPERLINK("#",""), HYPERLINK(CONCATENATE("#metadata!", ADDRESS(INDEX($X$2:$X$1001,MATCH(ROWS($V$2:V986),$V$2:$V$1001,0),0), INDEX($AC$1004:$AS$1004,1,MATCH(COLUMNS($AC$1006:AJ1006),$AC$1006:$AS$1006,0)))),"Fix")))</f>
        <v xml:space="preserve"> </v>
      </c>
      <c r="J986" s="4" t="str">
        <f ca="1">IF(OR(INDEX($W$2:$W$1001,MATCH(ROWS($V$2:V986),$V$2:$V$1001,0),1)&gt;=100000,INDEX($AC$1005:$AS$1005,1,MATCH(COLUMNS($AC$1006:AK1006),$AC$1006:$AS$1006,0))&gt;=100000), " ",IF(INDEX($AC$2:$AS$1001,MATCH(ROWS($V$2:V986),$V$2:$V$1001,0),MATCH(COLUMNS($AC$1006:AK1006),$AC$1006:$AS$1006,0)), HYPERLINK("#",""), HYPERLINK(CONCATENATE("#metadata!", ADDRESS(INDEX($X$2:$X$1001,MATCH(ROWS($V$2:V986),$V$2:$V$1001,0),0), INDEX($AC$1004:$AS$1004,1,MATCH(COLUMNS($AC$1006:AK1006),$AC$1006:$AS$1006,0)))),"Fix")))</f>
        <v xml:space="preserve"> </v>
      </c>
      <c r="K986" s="4" t="str">
        <f ca="1">IF(OR(INDEX($W$2:$W$1001,MATCH(ROWS($V$2:V986),$V$2:$V$1001,0),1)&gt;=100000,INDEX($AC$1005:$AS$1005,1,MATCH(COLUMNS($AC$1006:AL1006),$AC$1006:$AS$1006,0))&gt;=100000), " ",IF(INDEX($AC$2:$AS$1001,MATCH(ROWS($V$2:V986),$V$2:$V$1001,0),MATCH(COLUMNS($AC$1006:AL1006),$AC$1006:$AS$1006,0)), HYPERLINK("#",""), HYPERLINK(CONCATENATE("#metadata!", ADDRESS(INDEX($X$2:$X$1001,MATCH(ROWS($V$2:V986),$V$2:$V$1001,0),0), INDEX($AC$1004:$AS$1004,1,MATCH(COLUMNS($AC$1006:AL1006),$AC$1006:$AS$1006,0)))),"Fix")))</f>
        <v xml:space="preserve"> </v>
      </c>
      <c r="L986" s="4" t="str">
        <f ca="1">IF(OR(INDEX($W$2:$W$1001,MATCH(ROWS($V$2:V986),$V$2:$V$1001,0),1)&gt;=100000,INDEX($AC$1005:$AS$1005,1,MATCH(COLUMNS($AC$1006:AM1006),$AC$1006:$AS$1006,0))&gt;=100000), " ",IF(INDEX($AC$2:$AS$1001,MATCH(ROWS($V$2:V986),$V$2:$V$1001,0),MATCH(COLUMNS($AC$1006:AM1006),$AC$1006:$AS$1006,0)), HYPERLINK("#",""), HYPERLINK(CONCATENATE("#metadata!", ADDRESS(INDEX($X$2:$X$1001,MATCH(ROWS($V$2:V986),$V$2:$V$1001,0),0), INDEX($AC$1004:$AS$1004,1,MATCH(COLUMNS($AC$1006:AM1006),$AC$1006:$AS$1006,0)))),"Fix")))</f>
        <v xml:space="preserve"> </v>
      </c>
      <c r="M986" s="4" t="str">
        <f ca="1">IF(OR(INDEX($W$2:$W$1001,MATCH(ROWS($V$2:V986),$V$2:$V$1001,0),1)&gt;=100000,INDEX($AC$1005:$AS$1005,1,MATCH(COLUMNS($AC$1006:AN1006),$AC$1006:$AS$1006,0))&gt;=100000), " ",IF(INDEX($AC$2:$AS$1001,MATCH(ROWS($V$2:V986),$V$2:$V$1001,0),MATCH(COLUMNS($AC$1006:AN1006),$AC$1006:$AS$1006,0)), HYPERLINK("#",""), HYPERLINK(CONCATENATE("#metadata!", ADDRESS(INDEX($X$2:$X$1001,MATCH(ROWS($V$2:V986),$V$2:$V$1001,0),0), INDEX($AC$1004:$AS$1004,1,MATCH(COLUMNS($AC$1006:AN1006),$AC$1006:$AS$1006,0)))),"Fix")))</f>
        <v xml:space="preserve"> </v>
      </c>
      <c r="N986" s="4" t="str">
        <f ca="1">IF(OR(INDEX($W$2:$W$1001,MATCH(ROWS($V$2:V986),$V$2:$V$1001,0),1)&gt;=100000,INDEX($AC$1005:$AS$1005,1,MATCH(COLUMNS($AC$1006:AO1006),$AC$1006:$AS$1006,0))&gt;=100000), " ",IF(INDEX($AC$2:$AS$1001,MATCH(ROWS($V$2:V986),$V$2:$V$1001,0),MATCH(COLUMNS($AC$1006:AO1006),$AC$1006:$AS$1006,0)), HYPERLINK("#",""), HYPERLINK(CONCATENATE("#metadata!", ADDRESS(INDEX($X$2:$X$1001,MATCH(ROWS($V$2:V986),$V$2:$V$1001,0),0), INDEX($AC$1004:$AS$1004,1,MATCH(COLUMNS($AC$1006:AO1006),$AC$1006:$AS$1006,0)))),"Fix")))</f>
        <v xml:space="preserve"> </v>
      </c>
      <c r="O986" s="4" t="str">
        <f ca="1">IF(OR(INDEX($W$2:$W$1001,MATCH(ROWS($V$2:V986),$V$2:$V$1001,0),1)&gt;=100000,INDEX($AC$1005:$AS$1005,1,MATCH(COLUMNS($AC$1006:AP1006),$AC$1006:$AS$1006,0))&gt;=100000), " ",IF(INDEX($AC$2:$AS$1001,MATCH(ROWS($V$2:V986),$V$2:$V$1001,0),MATCH(COLUMNS($AC$1006:AP1006),$AC$1006:$AS$1006,0)), HYPERLINK("#",""), HYPERLINK(CONCATENATE("#metadata!", ADDRESS(INDEX($X$2:$X$1001,MATCH(ROWS($V$2:V986),$V$2:$V$1001,0),0), INDEX($AC$1004:$AS$1004,1,MATCH(COLUMNS($AC$1006:AP1006),$AC$1006:$AS$1006,0)))),"Fix")))</f>
        <v xml:space="preserve"> </v>
      </c>
      <c r="P986" s="4" t="str">
        <f ca="1">IF(OR(INDEX($W$2:$W$1001,MATCH(ROWS($V$2:V986),$V$2:$V$1001,0),1)&gt;=100000,INDEX($AC$1005:$AS$1005,1,MATCH(COLUMNS($AC$1006:AQ1006),$AC$1006:$AS$1006,0))&gt;=100000), " ",IF(INDEX($AC$2:$AS$1001,MATCH(ROWS($V$2:V986),$V$2:$V$1001,0),MATCH(COLUMNS($AC$1006:AQ1006),$AC$1006:$AS$1006,0)), HYPERLINK("#",""), HYPERLINK(CONCATENATE("#metadata!", ADDRESS(INDEX($X$2:$X$1001,MATCH(ROWS($V$2:V986),$V$2:$V$1001,0),0), INDEX($AC$1004:$AS$1004,1,MATCH(COLUMNS($AC$1006:AQ1006),$AC$1006:$AS$1006,0)))),"Fix")))</f>
        <v xml:space="preserve"> </v>
      </c>
      <c r="Q986" s="4" t="str">
        <f ca="1">IF(OR(INDEX($W$2:$W$1001,MATCH(ROWS($V$2:V986),$V$2:$V$1001,0),1)&gt;=100000,INDEX($AC$1005:$AS$1005,1,MATCH(COLUMNS($AC$1006:AR1006),$AC$1006:$AS$1006,0))&gt;=100000), " ",IF(INDEX($AC$2:$AS$1001,MATCH(ROWS($V$2:V986),$V$2:$V$1001,0),MATCH(COLUMNS($AC$1006:AR1006),$AC$1006:$AS$1006,0)), HYPERLINK("#",""), HYPERLINK(CONCATENATE("#metadata!", ADDRESS(INDEX($X$2:$X$1001,MATCH(ROWS($V$2:V986),$V$2:$V$1001,0),0), INDEX($AC$1004:$AS$1004,1,MATCH(COLUMNS($AC$1006:AR1006),$AC$1006:$AS$1006,0)))),"Fix")))</f>
        <v xml:space="preserve"> </v>
      </c>
      <c r="R986" s="4" t="str">
        <f ca="1">IF(OR(INDEX($W$2:$W$1001,MATCH(ROWS($V$2:V986),$V$2:$V$1001,0),1)&gt;=100000,INDEX($AC$1005:$AS$1005,1,MATCH(COLUMNS($AC$1006:AS1006),$AC$1006:$AS$1006,0))&gt;=100000), " ",IF(INDEX($AC$2:$AS$1001,MATCH(ROWS($V$2:V986),$V$2:$V$1001,0),MATCH(COLUMNS($AC$1006:AS1006),$AC$1006:$AS$1006,0)), HYPERLINK("#",""), HYPERLINK(CONCATENATE("#metadata!", ADDRESS(INDEX($X$2:$X$1001,MATCH(ROWS($V$2:V986),$V$2:$V$1001,0),0), INDEX($AC$1004:$AS$1004,1,MATCH(COLUMNS($AC$1006:AS1006),$AC$1006:$AS$1006,0)))),"Fix")))</f>
        <v xml:space="preserve"> </v>
      </c>
      <c r="V986">
        <v>985</v>
      </c>
      <c r="W986">
        <v>100986</v>
      </c>
      <c r="X986">
        <v>986</v>
      </c>
      <c r="Y986" t="b">
        <f t="shared" si="15"/>
        <v>1</v>
      </c>
      <c r="Z986" t="b">
        <f>COUNTBLANK(metadata!B986:R986)=COLUMNS(metadata!B986:R986)</f>
        <v>1</v>
      </c>
      <c r="AA986" t="str">
        <v/>
      </c>
      <c r="AC986" t="b">
        <f ca="1"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AD986" t="b">
        <f>IF(metadata!C986="",FALSE,ISNUMBER(VALUE(metadata!C986)))</f>
        <v>0</v>
      </c>
      <c r="AE986" t="b">
        <f>AND(IF(metadata!D986="",FALSE,TRUE),EXACT(metadata!D986,"years"))</f>
        <v>0</v>
      </c>
      <c r="AF986" t="b">
        <f>OR(AND(IF(metadata!E986="",FALSE,TRUE),OR(EXACT(metadata!E986,"not applicable"),EXACT(metadata!E986,"missing: not collected"),EXACT(metadata!E986,"missing: not provided"),EXACT(metadata!E986,"missing: restricted access"))),AND(IF(metadata!E986="",FALSE,ISNUMBER(VALUE(metadata!E986))),metadata!E986&gt;0))</f>
        <v>0</v>
      </c>
      <c r="AG986" t="b">
        <f>AND(IF(metadata!F986="",FALSE,TRUE),EXACT(metadata!F986,"Not applicable"))</f>
        <v>0</v>
      </c>
      <c r="AH986" t="b">
        <f>AND(IF(metadata!G986="",FALSE,TRUE),EXACT(metadata!G986,"urban biome"))</f>
        <v>0</v>
      </c>
      <c r="AI986" t="b">
        <f>AND(IF(metadata!H986="",FALSE,TRUE),EXACT(metadata!H986,"human-associated habitat"))</f>
        <v>0</v>
      </c>
      <c r="AJ986" t="b">
        <f>AND(IF(metadata!I986="",FALSE,TRUE),OR(EXACT(metadata!I986,"human-associated"),EXACT(metadata!I986,"human-skin"),EXACT(metadata!I986,"human-oral"),EXACT(metadata!I986,"human-gut"),EXACT(metadata!I986,"human-vaginal")))</f>
        <v>0</v>
      </c>
      <c r="AK986" t="b">
        <f>IF(metadata!J986="",FALSE,ISNUMBER(VALUE(metadata!J986)))</f>
        <v>0</v>
      </c>
      <c r="AL986" t="b">
        <f>AND(IF(metadata!K986="",FALSE,TRUE),EXACT(metadata!K986,"cm"))</f>
        <v>0</v>
      </c>
      <c r="AM986" t="b">
        <f>AND(IF(metadata!L986="",FALSE,TRUE),EXACT(metadata!L986,"human"))</f>
        <v>0</v>
      </c>
      <c r="AN986" t="b">
        <f>AND(IF(metadata!M986="",FALSE,TRUE),EXACT(metadata!M986,"Homo sapiens"))</f>
        <v>0</v>
      </c>
      <c r="AO986" t="b">
        <f>AND(IF(metadata!N986="",FALSE,TRUE),EXACT(metadata!N986,"9606"))</f>
        <v>0</v>
      </c>
      <c r="AP986" t="b">
        <f>IF(metadata!O986="",FALSE,TRUE)</f>
        <v>0</v>
      </c>
      <c r="AQ986" t="b">
        <f>IF(metadata!P986="",FALSE,TRUE)</f>
        <v>0</v>
      </c>
      <c r="AR986" t="b">
        <f>IF(metadata!Q986="",FALSE,ISNUMBER(VALUE(metadata!Q986)))</f>
        <v>0</v>
      </c>
      <c r="AS986" t="b">
        <f>AND(IF(metadata!R986="",FALSE,TRUE),EXACT(metadata!R986,"kg"))</f>
        <v>0</v>
      </c>
    </row>
    <row r="987" spans="1:45" x14ac:dyDescent="0.2">
      <c r="A987" s="5" t="str">
        <f ca="1">IF(B987=" "," ",HYPERLINK(CONCATENATE("#metadata!",ADDRESS(INDEX($X$2:$X$1001,MATCH(ROWS($V$2:V987),$V$2:$V$1001,0),0),1)),INDEX($AA$2:$AA$1001,MATCH(ROWS($V$2:V987),$V$2:$V$1001,0),0)))</f>
        <v xml:space="preserve"> </v>
      </c>
      <c r="B987" s="4" t="str">
        <f ca="1">IF(OR(INDEX($W$2:$W$1001,MATCH(ROWS($V$2:V987),$V$2:$V$1001,0),1)&gt;=100000,INDEX($AC$1005:$AS$1005,1,MATCH(COLUMNS($AC$1006:AC1006),$AC$1006:$AS$1006,0))&gt;=100000), " ",IF(INDEX($AC$2:$AS$1001,MATCH(ROWS($V$2:V987),$V$2:$V$1001,0),MATCH(COLUMNS($AC$1006:AC1006),$AC$1006:$AS$1006,0)), HYPERLINK("#",""), HYPERLINK(CONCATENATE("#metadata!", ADDRESS(INDEX($X$2:$X$1001,MATCH(ROWS($V$2:V987),$V$2:$V$1001,0),0), INDEX($AC$1004:$AS$1004,1,MATCH(COLUMNS($AC$1006:AC1006),$AC$1006:$AS$1006,0)))),"Fix")))</f>
        <v xml:space="preserve"> </v>
      </c>
      <c r="C987" s="4" t="str">
        <f ca="1">IF(OR(INDEX($W$2:$W$1001,MATCH(ROWS($V$2:V987),$V$2:$V$1001,0),1)&gt;=100000,INDEX($AC$1005:$AS$1005,1,MATCH(COLUMNS($AC$1006:AD1006),$AC$1006:$AS$1006,0))&gt;=100000), " ",IF(INDEX($AC$2:$AS$1001,MATCH(ROWS($V$2:V987),$V$2:$V$1001,0),MATCH(COLUMNS($AC$1006:AD1006),$AC$1006:$AS$1006,0)), HYPERLINK("#",""), HYPERLINK(CONCATENATE("#metadata!", ADDRESS(INDEX($X$2:$X$1001,MATCH(ROWS($V$2:V987),$V$2:$V$1001,0),0), INDEX($AC$1004:$AS$1004,1,MATCH(COLUMNS($AC$1006:AD1006),$AC$1006:$AS$1006,0)))),"Fix")))</f>
        <v xml:space="preserve"> </v>
      </c>
      <c r="D987" s="4" t="str">
        <f ca="1">IF(OR(INDEX($W$2:$W$1001,MATCH(ROWS($V$2:V987),$V$2:$V$1001,0),1)&gt;=100000,INDEX($AC$1005:$AS$1005,1,MATCH(COLUMNS($AC$1006:AE1006),$AC$1006:$AS$1006,0))&gt;=100000), " ",IF(INDEX($AC$2:$AS$1001,MATCH(ROWS($V$2:V987),$V$2:$V$1001,0),MATCH(COLUMNS($AC$1006:AE1006),$AC$1006:$AS$1006,0)), HYPERLINK("#",""), HYPERLINK(CONCATENATE("#metadata!", ADDRESS(INDEX($X$2:$X$1001,MATCH(ROWS($V$2:V987),$V$2:$V$1001,0),0), INDEX($AC$1004:$AS$1004,1,MATCH(COLUMNS($AC$1006:AE1006),$AC$1006:$AS$1006,0)))),"Fix")))</f>
        <v xml:space="preserve"> </v>
      </c>
      <c r="E987" s="4" t="str">
        <f ca="1">IF(OR(INDEX($W$2:$W$1001,MATCH(ROWS($V$2:V987),$V$2:$V$1001,0),1)&gt;=100000,INDEX($AC$1005:$AS$1005,1,MATCH(COLUMNS($AC$1006:AF1006),$AC$1006:$AS$1006,0))&gt;=100000), " ",IF(INDEX($AC$2:$AS$1001,MATCH(ROWS($V$2:V987),$V$2:$V$1001,0),MATCH(COLUMNS($AC$1006:AF1006),$AC$1006:$AS$1006,0)), HYPERLINK("#",""), HYPERLINK(CONCATENATE("#metadata!", ADDRESS(INDEX($X$2:$X$1001,MATCH(ROWS($V$2:V987),$V$2:$V$1001,0),0), INDEX($AC$1004:$AS$1004,1,MATCH(COLUMNS($AC$1006:AF1006),$AC$1006:$AS$1006,0)))),"Fix")))</f>
        <v xml:space="preserve"> </v>
      </c>
      <c r="F987" s="4" t="str">
        <f ca="1">IF(OR(INDEX($W$2:$W$1001,MATCH(ROWS($V$2:V987),$V$2:$V$1001,0),1)&gt;=100000,INDEX($AC$1005:$AS$1005,1,MATCH(COLUMNS($AC$1006:AG1006),$AC$1006:$AS$1006,0))&gt;=100000), " ",IF(INDEX($AC$2:$AS$1001,MATCH(ROWS($V$2:V987),$V$2:$V$1001,0),MATCH(COLUMNS($AC$1006:AG1006),$AC$1006:$AS$1006,0)), HYPERLINK("#",""), HYPERLINK(CONCATENATE("#metadata!", ADDRESS(INDEX($X$2:$X$1001,MATCH(ROWS($V$2:V987),$V$2:$V$1001,0),0), INDEX($AC$1004:$AS$1004,1,MATCH(COLUMNS($AC$1006:AG1006),$AC$1006:$AS$1006,0)))),"Fix")))</f>
        <v xml:space="preserve"> </v>
      </c>
      <c r="G987" s="4" t="str">
        <f ca="1">IF(OR(INDEX($W$2:$W$1001,MATCH(ROWS($V$2:V987),$V$2:$V$1001,0),1)&gt;=100000,INDEX($AC$1005:$AS$1005,1,MATCH(COLUMNS($AC$1006:AH1006),$AC$1006:$AS$1006,0))&gt;=100000), " ",IF(INDEX($AC$2:$AS$1001,MATCH(ROWS($V$2:V987),$V$2:$V$1001,0),MATCH(COLUMNS($AC$1006:AH1006),$AC$1006:$AS$1006,0)), HYPERLINK("#",""), HYPERLINK(CONCATENATE("#metadata!", ADDRESS(INDEX($X$2:$X$1001,MATCH(ROWS($V$2:V987),$V$2:$V$1001,0),0), INDEX($AC$1004:$AS$1004,1,MATCH(COLUMNS($AC$1006:AH1006),$AC$1006:$AS$1006,0)))),"Fix")))</f>
        <v xml:space="preserve"> </v>
      </c>
      <c r="H987" s="4" t="str">
        <f ca="1">IF(OR(INDEX($W$2:$W$1001,MATCH(ROWS($V$2:V987),$V$2:$V$1001,0),1)&gt;=100000,INDEX($AC$1005:$AS$1005,1,MATCH(COLUMNS($AC$1006:AI1006),$AC$1006:$AS$1006,0))&gt;=100000), " ",IF(INDEX($AC$2:$AS$1001,MATCH(ROWS($V$2:V987),$V$2:$V$1001,0),MATCH(COLUMNS($AC$1006:AI1006),$AC$1006:$AS$1006,0)), HYPERLINK("#",""), HYPERLINK(CONCATENATE("#metadata!", ADDRESS(INDEX($X$2:$X$1001,MATCH(ROWS($V$2:V987),$V$2:$V$1001,0),0), INDEX($AC$1004:$AS$1004,1,MATCH(COLUMNS($AC$1006:AI1006),$AC$1006:$AS$1006,0)))),"Fix")))</f>
        <v xml:space="preserve"> </v>
      </c>
      <c r="I987" s="4" t="str">
        <f ca="1">IF(OR(INDEX($W$2:$W$1001,MATCH(ROWS($V$2:V987),$V$2:$V$1001,0),1)&gt;=100000,INDEX($AC$1005:$AS$1005,1,MATCH(COLUMNS($AC$1006:AJ1006),$AC$1006:$AS$1006,0))&gt;=100000), " ",IF(INDEX($AC$2:$AS$1001,MATCH(ROWS($V$2:V987),$V$2:$V$1001,0),MATCH(COLUMNS($AC$1006:AJ1006),$AC$1006:$AS$1006,0)), HYPERLINK("#",""), HYPERLINK(CONCATENATE("#metadata!", ADDRESS(INDEX($X$2:$X$1001,MATCH(ROWS($V$2:V987),$V$2:$V$1001,0),0), INDEX($AC$1004:$AS$1004,1,MATCH(COLUMNS($AC$1006:AJ1006),$AC$1006:$AS$1006,0)))),"Fix")))</f>
        <v xml:space="preserve"> </v>
      </c>
      <c r="J987" s="4" t="str">
        <f ca="1">IF(OR(INDEX($W$2:$W$1001,MATCH(ROWS($V$2:V987),$V$2:$V$1001,0),1)&gt;=100000,INDEX($AC$1005:$AS$1005,1,MATCH(COLUMNS($AC$1006:AK1006),$AC$1006:$AS$1006,0))&gt;=100000), " ",IF(INDEX($AC$2:$AS$1001,MATCH(ROWS($V$2:V987),$V$2:$V$1001,0),MATCH(COLUMNS($AC$1006:AK1006),$AC$1006:$AS$1006,0)), HYPERLINK("#",""), HYPERLINK(CONCATENATE("#metadata!", ADDRESS(INDEX($X$2:$X$1001,MATCH(ROWS($V$2:V987),$V$2:$V$1001,0),0), INDEX($AC$1004:$AS$1004,1,MATCH(COLUMNS($AC$1006:AK1006),$AC$1006:$AS$1006,0)))),"Fix")))</f>
        <v xml:space="preserve"> </v>
      </c>
      <c r="K987" s="4" t="str">
        <f ca="1">IF(OR(INDEX($W$2:$W$1001,MATCH(ROWS($V$2:V987),$V$2:$V$1001,0),1)&gt;=100000,INDEX($AC$1005:$AS$1005,1,MATCH(COLUMNS($AC$1006:AL1006),$AC$1006:$AS$1006,0))&gt;=100000), " ",IF(INDEX($AC$2:$AS$1001,MATCH(ROWS($V$2:V987),$V$2:$V$1001,0),MATCH(COLUMNS($AC$1006:AL1006),$AC$1006:$AS$1006,0)), HYPERLINK("#",""), HYPERLINK(CONCATENATE("#metadata!", ADDRESS(INDEX($X$2:$X$1001,MATCH(ROWS($V$2:V987),$V$2:$V$1001,0),0), INDEX($AC$1004:$AS$1004,1,MATCH(COLUMNS($AC$1006:AL1006),$AC$1006:$AS$1006,0)))),"Fix")))</f>
        <v xml:space="preserve"> </v>
      </c>
      <c r="L987" s="4" t="str">
        <f ca="1">IF(OR(INDEX($W$2:$W$1001,MATCH(ROWS($V$2:V987),$V$2:$V$1001,0),1)&gt;=100000,INDEX($AC$1005:$AS$1005,1,MATCH(COLUMNS($AC$1006:AM1006),$AC$1006:$AS$1006,0))&gt;=100000), " ",IF(INDEX($AC$2:$AS$1001,MATCH(ROWS($V$2:V987),$V$2:$V$1001,0),MATCH(COLUMNS($AC$1006:AM1006),$AC$1006:$AS$1006,0)), HYPERLINK("#",""), HYPERLINK(CONCATENATE("#metadata!", ADDRESS(INDEX($X$2:$X$1001,MATCH(ROWS($V$2:V987),$V$2:$V$1001,0),0), INDEX($AC$1004:$AS$1004,1,MATCH(COLUMNS($AC$1006:AM1006),$AC$1006:$AS$1006,0)))),"Fix")))</f>
        <v xml:space="preserve"> </v>
      </c>
      <c r="M987" s="4" t="str">
        <f ca="1">IF(OR(INDEX($W$2:$W$1001,MATCH(ROWS($V$2:V987),$V$2:$V$1001,0),1)&gt;=100000,INDEX($AC$1005:$AS$1005,1,MATCH(COLUMNS($AC$1006:AN1006),$AC$1006:$AS$1006,0))&gt;=100000), " ",IF(INDEX($AC$2:$AS$1001,MATCH(ROWS($V$2:V987),$V$2:$V$1001,0),MATCH(COLUMNS($AC$1006:AN1006),$AC$1006:$AS$1006,0)), HYPERLINK("#",""), HYPERLINK(CONCATENATE("#metadata!", ADDRESS(INDEX($X$2:$X$1001,MATCH(ROWS($V$2:V987),$V$2:$V$1001,0),0), INDEX($AC$1004:$AS$1004,1,MATCH(COLUMNS($AC$1006:AN1006),$AC$1006:$AS$1006,0)))),"Fix")))</f>
        <v xml:space="preserve"> </v>
      </c>
      <c r="N987" s="4" t="str">
        <f ca="1">IF(OR(INDEX($W$2:$W$1001,MATCH(ROWS($V$2:V987),$V$2:$V$1001,0),1)&gt;=100000,INDEX($AC$1005:$AS$1005,1,MATCH(COLUMNS($AC$1006:AO1006),$AC$1006:$AS$1006,0))&gt;=100000), " ",IF(INDEX($AC$2:$AS$1001,MATCH(ROWS($V$2:V987),$V$2:$V$1001,0),MATCH(COLUMNS($AC$1006:AO1006),$AC$1006:$AS$1006,0)), HYPERLINK("#",""), HYPERLINK(CONCATENATE("#metadata!", ADDRESS(INDEX($X$2:$X$1001,MATCH(ROWS($V$2:V987),$V$2:$V$1001,0),0), INDEX($AC$1004:$AS$1004,1,MATCH(COLUMNS($AC$1006:AO1006),$AC$1006:$AS$1006,0)))),"Fix")))</f>
        <v xml:space="preserve"> </v>
      </c>
      <c r="O987" s="4" t="str">
        <f ca="1">IF(OR(INDEX($W$2:$W$1001,MATCH(ROWS($V$2:V987),$V$2:$V$1001,0),1)&gt;=100000,INDEX($AC$1005:$AS$1005,1,MATCH(COLUMNS($AC$1006:AP1006),$AC$1006:$AS$1006,0))&gt;=100000), " ",IF(INDEX($AC$2:$AS$1001,MATCH(ROWS($V$2:V987),$V$2:$V$1001,0),MATCH(COLUMNS($AC$1006:AP1006),$AC$1006:$AS$1006,0)), HYPERLINK("#",""), HYPERLINK(CONCATENATE("#metadata!", ADDRESS(INDEX($X$2:$X$1001,MATCH(ROWS($V$2:V987),$V$2:$V$1001,0),0), INDEX($AC$1004:$AS$1004,1,MATCH(COLUMNS($AC$1006:AP1006),$AC$1006:$AS$1006,0)))),"Fix")))</f>
        <v xml:space="preserve"> </v>
      </c>
      <c r="P987" s="4" t="str">
        <f ca="1">IF(OR(INDEX($W$2:$W$1001,MATCH(ROWS($V$2:V987),$V$2:$V$1001,0),1)&gt;=100000,INDEX($AC$1005:$AS$1005,1,MATCH(COLUMNS($AC$1006:AQ1006),$AC$1006:$AS$1006,0))&gt;=100000), " ",IF(INDEX($AC$2:$AS$1001,MATCH(ROWS($V$2:V987),$V$2:$V$1001,0),MATCH(COLUMNS($AC$1006:AQ1006),$AC$1006:$AS$1006,0)), HYPERLINK("#",""), HYPERLINK(CONCATENATE("#metadata!", ADDRESS(INDEX($X$2:$X$1001,MATCH(ROWS($V$2:V987),$V$2:$V$1001,0),0), INDEX($AC$1004:$AS$1004,1,MATCH(COLUMNS($AC$1006:AQ1006),$AC$1006:$AS$1006,0)))),"Fix")))</f>
        <v xml:space="preserve"> </v>
      </c>
      <c r="Q987" s="4" t="str">
        <f ca="1">IF(OR(INDEX($W$2:$W$1001,MATCH(ROWS($V$2:V987),$V$2:$V$1001,0),1)&gt;=100000,INDEX($AC$1005:$AS$1005,1,MATCH(COLUMNS($AC$1006:AR1006),$AC$1006:$AS$1006,0))&gt;=100000), " ",IF(INDEX($AC$2:$AS$1001,MATCH(ROWS($V$2:V987),$V$2:$V$1001,0),MATCH(COLUMNS($AC$1006:AR1006),$AC$1006:$AS$1006,0)), HYPERLINK("#",""), HYPERLINK(CONCATENATE("#metadata!", ADDRESS(INDEX($X$2:$X$1001,MATCH(ROWS($V$2:V987),$V$2:$V$1001,0),0), INDEX($AC$1004:$AS$1004,1,MATCH(COLUMNS($AC$1006:AR1006),$AC$1006:$AS$1006,0)))),"Fix")))</f>
        <v xml:space="preserve"> </v>
      </c>
      <c r="R987" s="4" t="str">
        <f ca="1">IF(OR(INDEX($W$2:$W$1001,MATCH(ROWS($V$2:V987),$V$2:$V$1001,0),1)&gt;=100000,INDEX($AC$1005:$AS$1005,1,MATCH(COLUMNS($AC$1006:AS1006),$AC$1006:$AS$1006,0))&gt;=100000), " ",IF(INDEX($AC$2:$AS$1001,MATCH(ROWS($V$2:V987),$V$2:$V$1001,0),MATCH(COLUMNS($AC$1006:AS1006),$AC$1006:$AS$1006,0)), HYPERLINK("#",""), HYPERLINK(CONCATENATE("#metadata!", ADDRESS(INDEX($X$2:$X$1001,MATCH(ROWS($V$2:V987),$V$2:$V$1001,0),0), INDEX($AC$1004:$AS$1004,1,MATCH(COLUMNS($AC$1006:AS1006),$AC$1006:$AS$1006,0)))),"Fix")))</f>
        <v xml:space="preserve"> </v>
      </c>
      <c r="V987">
        <v>986</v>
      </c>
      <c r="W987">
        <v>100987</v>
      </c>
      <c r="X987">
        <v>987</v>
      </c>
      <c r="Y987" t="b">
        <f t="shared" si="15"/>
        <v>1</v>
      </c>
      <c r="Z987" t="b">
        <f>COUNTBLANK(metadata!B987:R987)=COLUMNS(metadata!B987:R987)</f>
        <v>1</v>
      </c>
      <c r="AA987" t="str">
        <v/>
      </c>
      <c r="AC987" t="b">
        <f ca="1"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AD987" t="b">
        <f>IF(metadata!C987="",FALSE,ISNUMBER(VALUE(metadata!C987)))</f>
        <v>0</v>
      </c>
      <c r="AE987" t="b">
        <f>AND(IF(metadata!D987="",FALSE,TRUE),EXACT(metadata!D987,"years"))</f>
        <v>0</v>
      </c>
      <c r="AF987" t="b">
        <f>OR(AND(IF(metadata!E987="",FALSE,TRUE),OR(EXACT(metadata!E987,"not applicable"),EXACT(metadata!E987,"missing: not collected"),EXACT(metadata!E987,"missing: not provided"),EXACT(metadata!E987,"missing: restricted access"))),AND(IF(metadata!E987="",FALSE,ISNUMBER(VALUE(metadata!E987))),metadata!E987&gt;0))</f>
        <v>0</v>
      </c>
      <c r="AG987" t="b">
        <f>AND(IF(metadata!F987="",FALSE,TRUE),EXACT(metadata!F987,"Not applicable"))</f>
        <v>0</v>
      </c>
      <c r="AH987" t="b">
        <f>AND(IF(metadata!G987="",FALSE,TRUE),EXACT(metadata!G987,"urban biome"))</f>
        <v>0</v>
      </c>
      <c r="AI987" t="b">
        <f>AND(IF(metadata!H987="",FALSE,TRUE),EXACT(metadata!H987,"human-associated habitat"))</f>
        <v>0</v>
      </c>
      <c r="AJ987" t="b">
        <f>AND(IF(metadata!I987="",FALSE,TRUE),OR(EXACT(metadata!I987,"human-associated"),EXACT(metadata!I987,"human-skin"),EXACT(metadata!I987,"human-oral"),EXACT(metadata!I987,"human-gut"),EXACT(metadata!I987,"human-vaginal")))</f>
        <v>0</v>
      </c>
      <c r="AK987" t="b">
        <f>IF(metadata!J987="",FALSE,ISNUMBER(VALUE(metadata!J987)))</f>
        <v>0</v>
      </c>
      <c r="AL987" t="b">
        <f>AND(IF(metadata!K987="",FALSE,TRUE),EXACT(metadata!K987,"cm"))</f>
        <v>0</v>
      </c>
      <c r="AM987" t="b">
        <f>AND(IF(metadata!L987="",FALSE,TRUE),EXACT(metadata!L987,"human"))</f>
        <v>0</v>
      </c>
      <c r="AN987" t="b">
        <f>AND(IF(metadata!M987="",FALSE,TRUE),EXACT(metadata!M987,"Homo sapiens"))</f>
        <v>0</v>
      </c>
      <c r="AO987" t="b">
        <f>AND(IF(metadata!N987="",FALSE,TRUE),EXACT(metadata!N987,"9606"))</f>
        <v>0</v>
      </c>
      <c r="AP987" t="b">
        <f>IF(metadata!O987="",FALSE,TRUE)</f>
        <v>0</v>
      </c>
      <c r="AQ987" t="b">
        <f>IF(metadata!P987="",FALSE,TRUE)</f>
        <v>0</v>
      </c>
      <c r="AR987" t="b">
        <f>IF(metadata!Q987="",FALSE,ISNUMBER(VALUE(metadata!Q987)))</f>
        <v>0</v>
      </c>
      <c r="AS987" t="b">
        <f>AND(IF(metadata!R987="",FALSE,TRUE),EXACT(metadata!R987,"kg"))</f>
        <v>0</v>
      </c>
    </row>
    <row r="988" spans="1:45" x14ac:dyDescent="0.2">
      <c r="A988" s="5" t="str">
        <f ca="1">IF(B988=" "," ",HYPERLINK(CONCATENATE("#metadata!",ADDRESS(INDEX($X$2:$X$1001,MATCH(ROWS($V$2:V988),$V$2:$V$1001,0),0),1)),INDEX($AA$2:$AA$1001,MATCH(ROWS($V$2:V988),$V$2:$V$1001,0),0)))</f>
        <v xml:space="preserve"> </v>
      </c>
      <c r="B988" s="4" t="str">
        <f ca="1">IF(OR(INDEX($W$2:$W$1001,MATCH(ROWS($V$2:V988),$V$2:$V$1001,0),1)&gt;=100000,INDEX($AC$1005:$AS$1005,1,MATCH(COLUMNS($AC$1006:AC1006),$AC$1006:$AS$1006,0))&gt;=100000), " ",IF(INDEX($AC$2:$AS$1001,MATCH(ROWS($V$2:V988),$V$2:$V$1001,0),MATCH(COLUMNS($AC$1006:AC1006),$AC$1006:$AS$1006,0)), HYPERLINK("#",""), HYPERLINK(CONCATENATE("#metadata!", ADDRESS(INDEX($X$2:$X$1001,MATCH(ROWS($V$2:V988),$V$2:$V$1001,0),0), INDEX($AC$1004:$AS$1004,1,MATCH(COLUMNS($AC$1006:AC1006),$AC$1006:$AS$1006,0)))),"Fix")))</f>
        <v xml:space="preserve"> </v>
      </c>
      <c r="C988" s="4" t="str">
        <f ca="1">IF(OR(INDEX($W$2:$W$1001,MATCH(ROWS($V$2:V988),$V$2:$V$1001,0),1)&gt;=100000,INDEX($AC$1005:$AS$1005,1,MATCH(COLUMNS($AC$1006:AD1006),$AC$1006:$AS$1006,0))&gt;=100000), " ",IF(INDEX($AC$2:$AS$1001,MATCH(ROWS($V$2:V988),$V$2:$V$1001,0),MATCH(COLUMNS($AC$1006:AD1006),$AC$1006:$AS$1006,0)), HYPERLINK("#",""), HYPERLINK(CONCATENATE("#metadata!", ADDRESS(INDEX($X$2:$X$1001,MATCH(ROWS($V$2:V988),$V$2:$V$1001,0),0), INDEX($AC$1004:$AS$1004,1,MATCH(COLUMNS($AC$1006:AD1006),$AC$1006:$AS$1006,0)))),"Fix")))</f>
        <v xml:space="preserve"> </v>
      </c>
      <c r="D988" s="4" t="str">
        <f ca="1">IF(OR(INDEX($W$2:$W$1001,MATCH(ROWS($V$2:V988),$V$2:$V$1001,0),1)&gt;=100000,INDEX($AC$1005:$AS$1005,1,MATCH(COLUMNS($AC$1006:AE1006),$AC$1006:$AS$1006,0))&gt;=100000), " ",IF(INDEX($AC$2:$AS$1001,MATCH(ROWS($V$2:V988),$V$2:$V$1001,0),MATCH(COLUMNS($AC$1006:AE1006),$AC$1006:$AS$1006,0)), HYPERLINK("#",""), HYPERLINK(CONCATENATE("#metadata!", ADDRESS(INDEX($X$2:$X$1001,MATCH(ROWS($V$2:V988),$V$2:$V$1001,0),0), INDEX($AC$1004:$AS$1004,1,MATCH(COLUMNS($AC$1006:AE1006),$AC$1006:$AS$1006,0)))),"Fix")))</f>
        <v xml:space="preserve"> </v>
      </c>
      <c r="E988" s="4" t="str">
        <f ca="1">IF(OR(INDEX($W$2:$W$1001,MATCH(ROWS($V$2:V988),$V$2:$V$1001,0),1)&gt;=100000,INDEX($AC$1005:$AS$1005,1,MATCH(COLUMNS($AC$1006:AF1006),$AC$1006:$AS$1006,0))&gt;=100000), " ",IF(INDEX($AC$2:$AS$1001,MATCH(ROWS($V$2:V988),$V$2:$V$1001,0),MATCH(COLUMNS($AC$1006:AF1006),$AC$1006:$AS$1006,0)), HYPERLINK("#",""), HYPERLINK(CONCATENATE("#metadata!", ADDRESS(INDEX($X$2:$X$1001,MATCH(ROWS($V$2:V988),$V$2:$V$1001,0),0), INDEX($AC$1004:$AS$1004,1,MATCH(COLUMNS($AC$1006:AF1006),$AC$1006:$AS$1006,0)))),"Fix")))</f>
        <v xml:space="preserve"> </v>
      </c>
      <c r="F988" s="4" t="str">
        <f ca="1">IF(OR(INDEX($W$2:$W$1001,MATCH(ROWS($V$2:V988),$V$2:$V$1001,0),1)&gt;=100000,INDEX($AC$1005:$AS$1005,1,MATCH(COLUMNS($AC$1006:AG1006),$AC$1006:$AS$1006,0))&gt;=100000), " ",IF(INDEX($AC$2:$AS$1001,MATCH(ROWS($V$2:V988),$V$2:$V$1001,0),MATCH(COLUMNS($AC$1006:AG1006),$AC$1006:$AS$1006,0)), HYPERLINK("#",""), HYPERLINK(CONCATENATE("#metadata!", ADDRESS(INDEX($X$2:$X$1001,MATCH(ROWS($V$2:V988),$V$2:$V$1001,0),0), INDEX($AC$1004:$AS$1004,1,MATCH(COLUMNS($AC$1006:AG1006),$AC$1006:$AS$1006,0)))),"Fix")))</f>
        <v xml:space="preserve"> </v>
      </c>
      <c r="G988" s="4" t="str">
        <f ca="1">IF(OR(INDEX($W$2:$W$1001,MATCH(ROWS($V$2:V988),$V$2:$V$1001,0),1)&gt;=100000,INDEX($AC$1005:$AS$1005,1,MATCH(COLUMNS($AC$1006:AH1006),$AC$1006:$AS$1006,0))&gt;=100000), " ",IF(INDEX($AC$2:$AS$1001,MATCH(ROWS($V$2:V988),$V$2:$V$1001,0),MATCH(COLUMNS($AC$1006:AH1006),$AC$1006:$AS$1006,0)), HYPERLINK("#",""), HYPERLINK(CONCATENATE("#metadata!", ADDRESS(INDEX($X$2:$X$1001,MATCH(ROWS($V$2:V988),$V$2:$V$1001,0),0), INDEX($AC$1004:$AS$1004,1,MATCH(COLUMNS($AC$1006:AH1006),$AC$1006:$AS$1006,0)))),"Fix")))</f>
        <v xml:space="preserve"> </v>
      </c>
      <c r="H988" s="4" t="str">
        <f ca="1">IF(OR(INDEX($W$2:$W$1001,MATCH(ROWS($V$2:V988),$V$2:$V$1001,0),1)&gt;=100000,INDEX($AC$1005:$AS$1005,1,MATCH(COLUMNS($AC$1006:AI1006),$AC$1006:$AS$1006,0))&gt;=100000), " ",IF(INDEX($AC$2:$AS$1001,MATCH(ROWS($V$2:V988),$V$2:$V$1001,0),MATCH(COLUMNS($AC$1006:AI1006),$AC$1006:$AS$1006,0)), HYPERLINK("#",""), HYPERLINK(CONCATENATE("#metadata!", ADDRESS(INDEX($X$2:$X$1001,MATCH(ROWS($V$2:V988),$V$2:$V$1001,0),0), INDEX($AC$1004:$AS$1004,1,MATCH(COLUMNS($AC$1006:AI1006),$AC$1006:$AS$1006,0)))),"Fix")))</f>
        <v xml:space="preserve"> </v>
      </c>
      <c r="I988" s="4" t="str">
        <f ca="1">IF(OR(INDEX($W$2:$W$1001,MATCH(ROWS($V$2:V988),$V$2:$V$1001,0),1)&gt;=100000,INDEX($AC$1005:$AS$1005,1,MATCH(COLUMNS($AC$1006:AJ1006),$AC$1006:$AS$1006,0))&gt;=100000), " ",IF(INDEX($AC$2:$AS$1001,MATCH(ROWS($V$2:V988),$V$2:$V$1001,0),MATCH(COLUMNS($AC$1006:AJ1006),$AC$1006:$AS$1006,0)), HYPERLINK("#",""), HYPERLINK(CONCATENATE("#metadata!", ADDRESS(INDEX($X$2:$X$1001,MATCH(ROWS($V$2:V988),$V$2:$V$1001,0),0), INDEX($AC$1004:$AS$1004,1,MATCH(COLUMNS($AC$1006:AJ1006),$AC$1006:$AS$1006,0)))),"Fix")))</f>
        <v xml:space="preserve"> </v>
      </c>
      <c r="J988" s="4" t="str">
        <f ca="1">IF(OR(INDEX($W$2:$W$1001,MATCH(ROWS($V$2:V988),$V$2:$V$1001,0),1)&gt;=100000,INDEX($AC$1005:$AS$1005,1,MATCH(COLUMNS($AC$1006:AK1006),$AC$1006:$AS$1006,0))&gt;=100000), " ",IF(INDEX($AC$2:$AS$1001,MATCH(ROWS($V$2:V988),$V$2:$V$1001,0),MATCH(COLUMNS($AC$1006:AK1006),$AC$1006:$AS$1006,0)), HYPERLINK("#",""), HYPERLINK(CONCATENATE("#metadata!", ADDRESS(INDEX($X$2:$X$1001,MATCH(ROWS($V$2:V988),$V$2:$V$1001,0),0), INDEX($AC$1004:$AS$1004,1,MATCH(COLUMNS($AC$1006:AK1006),$AC$1006:$AS$1006,0)))),"Fix")))</f>
        <v xml:space="preserve"> </v>
      </c>
      <c r="K988" s="4" t="str">
        <f ca="1">IF(OR(INDEX($W$2:$W$1001,MATCH(ROWS($V$2:V988),$V$2:$V$1001,0),1)&gt;=100000,INDEX($AC$1005:$AS$1005,1,MATCH(COLUMNS($AC$1006:AL1006),$AC$1006:$AS$1006,0))&gt;=100000), " ",IF(INDEX($AC$2:$AS$1001,MATCH(ROWS($V$2:V988),$V$2:$V$1001,0),MATCH(COLUMNS($AC$1006:AL1006),$AC$1006:$AS$1006,0)), HYPERLINK("#",""), HYPERLINK(CONCATENATE("#metadata!", ADDRESS(INDEX($X$2:$X$1001,MATCH(ROWS($V$2:V988),$V$2:$V$1001,0),0), INDEX($AC$1004:$AS$1004,1,MATCH(COLUMNS($AC$1006:AL1006),$AC$1006:$AS$1006,0)))),"Fix")))</f>
        <v xml:space="preserve"> </v>
      </c>
      <c r="L988" s="4" t="str">
        <f ca="1">IF(OR(INDEX($W$2:$W$1001,MATCH(ROWS($V$2:V988),$V$2:$V$1001,0),1)&gt;=100000,INDEX($AC$1005:$AS$1005,1,MATCH(COLUMNS($AC$1006:AM1006),$AC$1006:$AS$1006,0))&gt;=100000), " ",IF(INDEX($AC$2:$AS$1001,MATCH(ROWS($V$2:V988),$V$2:$V$1001,0),MATCH(COLUMNS($AC$1006:AM1006),$AC$1006:$AS$1006,0)), HYPERLINK("#",""), HYPERLINK(CONCATENATE("#metadata!", ADDRESS(INDEX($X$2:$X$1001,MATCH(ROWS($V$2:V988),$V$2:$V$1001,0),0), INDEX($AC$1004:$AS$1004,1,MATCH(COLUMNS($AC$1006:AM1006),$AC$1006:$AS$1006,0)))),"Fix")))</f>
        <v xml:space="preserve"> </v>
      </c>
      <c r="M988" s="4" t="str">
        <f ca="1">IF(OR(INDEX($W$2:$W$1001,MATCH(ROWS($V$2:V988),$V$2:$V$1001,0),1)&gt;=100000,INDEX($AC$1005:$AS$1005,1,MATCH(COLUMNS($AC$1006:AN1006),$AC$1006:$AS$1006,0))&gt;=100000), " ",IF(INDEX($AC$2:$AS$1001,MATCH(ROWS($V$2:V988),$V$2:$V$1001,0),MATCH(COLUMNS($AC$1006:AN1006),$AC$1006:$AS$1006,0)), HYPERLINK("#",""), HYPERLINK(CONCATENATE("#metadata!", ADDRESS(INDEX($X$2:$X$1001,MATCH(ROWS($V$2:V988),$V$2:$V$1001,0),0), INDEX($AC$1004:$AS$1004,1,MATCH(COLUMNS($AC$1006:AN1006),$AC$1006:$AS$1006,0)))),"Fix")))</f>
        <v xml:space="preserve"> </v>
      </c>
      <c r="N988" s="4" t="str">
        <f ca="1">IF(OR(INDEX($W$2:$W$1001,MATCH(ROWS($V$2:V988),$V$2:$V$1001,0),1)&gt;=100000,INDEX($AC$1005:$AS$1005,1,MATCH(COLUMNS($AC$1006:AO1006),$AC$1006:$AS$1006,0))&gt;=100000), " ",IF(INDEX($AC$2:$AS$1001,MATCH(ROWS($V$2:V988),$V$2:$V$1001,0),MATCH(COLUMNS($AC$1006:AO1006),$AC$1006:$AS$1006,0)), HYPERLINK("#",""), HYPERLINK(CONCATENATE("#metadata!", ADDRESS(INDEX($X$2:$X$1001,MATCH(ROWS($V$2:V988),$V$2:$V$1001,0),0), INDEX($AC$1004:$AS$1004,1,MATCH(COLUMNS($AC$1006:AO1006),$AC$1006:$AS$1006,0)))),"Fix")))</f>
        <v xml:space="preserve"> </v>
      </c>
      <c r="O988" s="4" t="str">
        <f ca="1">IF(OR(INDEX($W$2:$W$1001,MATCH(ROWS($V$2:V988),$V$2:$V$1001,0),1)&gt;=100000,INDEX($AC$1005:$AS$1005,1,MATCH(COLUMNS($AC$1006:AP1006),$AC$1006:$AS$1006,0))&gt;=100000), " ",IF(INDEX($AC$2:$AS$1001,MATCH(ROWS($V$2:V988),$V$2:$V$1001,0),MATCH(COLUMNS($AC$1006:AP1006),$AC$1006:$AS$1006,0)), HYPERLINK("#",""), HYPERLINK(CONCATENATE("#metadata!", ADDRESS(INDEX($X$2:$X$1001,MATCH(ROWS($V$2:V988),$V$2:$V$1001,0),0), INDEX($AC$1004:$AS$1004,1,MATCH(COLUMNS($AC$1006:AP1006),$AC$1006:$AS$1006,0)))),"Fix")))</f>
        <v xml:space="preserve"> </v>
      </c>
      <c r="P988" s="4" t="str">
        <f ca="1">IF(OR(INDEX($W$2:$W$1001,MATCH(ROWS($V$2:V988),$V$2:$V$1001,0),1)&gt;=100000,INDEX($AC$1005:$AS$1005,1,MATCH(COLUMNS($AC$1006:AQ1006),$AC$1006:$AS$1006,0))&gt;=100000), " ",IF(INDEX($AC$2:$AS$1001,MATCH(ROWS($V$2:V988),$V$2:$V$1001,0),MATCH(COLUMNS($AC$1006:AQ1006),$AC$1006:$AS$1006,0)), HYPERLINK("#",""), HYPERLINK(CONCATENATE("#metadata!", ADDRESS(INDEX($X$2:$X$1001,MATCH(ROWS($V$2:V988),$V$2:$V$1001,0),0), INDEX($AC$1004:$AS$1004,1,MATCH(COLUMNS($AC$1006:AQ1006),$AC$1006:$AS$1006,0)))),"Fix")))</f>
        <v xml:space="preserve"> </v>
      </c>
      <c r="Q988" s="4" t="str">
        <f ca="1">IF(OR(INDEX($W$2:$W$1001,MATCH(ROWS($V$2:V988),$V$2:$V$1001,0),1)&gt;=100000,INDEX($AC$1005:$AS$1005,1,MATCH(COLUMNS($AC$1006:AR1006),$AC$1006:$AS$1006,0))&gt;=100000), " ",IF(INDEX($AC$2:$AS$1001,MATCH(ROWS($V$2:V988),$V$2:$V$1001,0),MATCH(COLUMNS($AC$1006:AR1006),$AC$1006:$AS$1006,0)), HYPERLINK("#",""), HYPERLINK(CONCATENATE("#metadata!", ADDRESS(INDEX($X$2:$X$1001,MATCH(ROWS($V$2:V988),$V$2:$V$1001,0),0), INDEX($AC$1004:$AS$1004,1,MATCH(COLUMNS($AC$1006:AR1006),$AC$1006:$AS$1006,0)))),"Fix")))</f>
        <v xml:space="preserve"> </v>
      </c>
      <c r="R988" s="4" t="str">
        <f ca="1">IF(OR(INDEX($W$2:$W$1001,MATCH(ROWS($V$2:V988),$V$2:$V$1001,0),1)&gt;=100000,INDEX($AC$1005:$AS$1005,1,MATCH(COLUMNS($AC$1006:AS1006),$AC$1006:$AS$1006,0))&gt;=100000), " ",IF(INDEX($AC$2:$AS$1001,MATCH(ROWS($V$2:V988),$V$2:$V$1001,0),MATCH(COLUMNS($AC$1006:AS1006),$AC$1006:$AS$1006,0)), HYPERLINK("#",""), HYPERLINK(CONCATENATE("#metadata!", ADDRESS(INDEX($X$2:$X$1001,MATCH(ROWS($V$2:V988),$V$2:$V$1001,0),0), INDEX($AC$1004:$AS$1004,1,MATCH(COLUMNS($AC$1006:AS1006),$AC$1006:$AS$1006,0)))),"Fix")))</f>
        <v xml:space="preserve"> </v>
      </c>
      <c r="V988">
        <v>987</v>
      </c>
      <c r="W988">
        <v>100988</v>
      </c>
      <c r="X988">
        <v>988</v>
      </c>
      <c r="Y988" t="b">
        <f t="shared" si="15"/>
        <v>1</v>
      </c>
      <c r="Z988" t="b">
        <f>COUNTBLANK(metadata!B988:R988)=COLUMNS(metadata!B988:R988)</f>
        <v>1</v>
      </c>
      <c r="AA988" t="str">
        <v/>
      </c>
      <c r="AC988" t="b">
        <f ca="1"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AD988" t="b">
        <f>IF(metadata!C988="",FALSE,ISNUMBER(VALUE(metadata!C988)))</f>
        <v>0</v>
      </c>
      <c r="AE988" t="b">
        <f>AND(IF(metadata!D988="",FALSE,TRUE),EXACT(metadata!D988,"years"))</f>
        <v>0</v>
      </c>
      <c r="AF988" t="b">
        <f>OR(AND(IF(metadata!E988="",FALSE,TRUE),OR(EXACT(metadata!E988,"not applicable"),EXACT(metadata!E988,"missing: not collected"),EXACT(metadata!E988,"missing: not provided"),EXACT(metadata!E988,"missing: restricted access"))),AND(IF(metadata!E988="",FALSE,ISNUMBER(VALUE(metadata!E988))),metadata!E988&gt;0))</f>
        <v>0</v>
      </c>
      <c r="AG988" t="b">
        <f>AND(IF(metadata!F988="",FALSE,TRUE),EXACT(metadata!F988,"Not applicable"))</f>
        <v>0</v>
      </c>
      <c r="AH988" t="b">
        <f>AND(IF(metadata!G988="",FALSE,TRUE),EXACT(metadata!G988,"urban biome"))</f>
        <v>0</v>
      </c>
      <c r="AI988" t="b">
        <f>AND(IF(metadata!H988="",FALSE,TRUE),EXACT(metadata!H988,"human-associated habitat"))</f>
        <v>0</v>
      </c>
      <c r="AJ988" t="b">
        <f>AND(IF(metadata!I988="",FALSE,TRUE),OR(EXACT(metadata!I988,"human-associated"),EXACT(metadata!I988,"human-skin"),EXACT(metadata!I988,"human-oral"),EXACT(metadata!I988,"human-gut"),EXACT(metadata!I988,"human-vaginal")))</f>
        <v>0</v>
      </c>
      <c r="AK988" t="b">
        <f>IF(metadata!J988="",FALSE,ISNUMBER(VALUE(metadata!J988)))</f>
        <v>0</v>
      </c>
      <c r="AL988" t="b">
        <f>AND(IF(metadata!K988="",FALSE,TRUE),EXACT(metadata!K988,"cm"))</f>
        <v>0</v>
      </c>
      <c r="AM988" t="b">
        <f>AND(IF(metadata!L988="",FALSE,TRUE),EXACT(metadata!L988,"human"))</f>
        <v>0</v>
      </c>
      <c r="AN988" t="b">
        <f>AND(IF(metadata!M988="",FALSE,TRUE),EXACT(metadata!M988,"Homo sapiens"))</f>
        <v>0</v>
      </c>
      <c r="AO988" t="b">
        <f>AND(IF(metadata!N988="",FALSE,TRUE),EXACT(metadata!N988,"9606"))</f>
        <v>0</v>
      </c>
      <c r="AP988" t="b">
        <f>IF(metadata!O988="",FALSE,TRUE)</f>
        <v>0</v>
      </c>
      <c r="AQ988" t="b">
        <f>IF(metadata!P988="",FALSE,TRUE)</f>
        <v>0</v>
      </c>
      <c r="AR988" t="b">
        <f>IF(metadata!Q988="",FALSE,ISNUMBER(VALUE(metadata!Q988)))</f>
        <v>0</v>
      </c>
      <c r="AS988" t="b">
        <f>AND(IF(metadata!R988="",FALSE,TRUE),EXACT(metadata!R988,"kg"))</f>
        <v>0</v>
      </c>
    </row>
    <row r="989" spans="1:45" x14ac:dyDescent="0.2">
      <c r="A989" s="5" t="str">
        <f ca="1">IF(B989=" "," ",HYPERLINK(CONCATENATE("#metadata!",ADDRESS(INDEX($X$2:$X$1001,MATCH(ROWS($V$2:V989),$V$2:$V$1001,0),0),1)),INDEX($AA$2:$AA$1001,MATCH(ROWS($V$2:V989),$V$2:$V$1001,0),0)))</f>
        <v xml:space="preserve"> </v>
      </c>
      <c r="B989" s="4" t="str">
        <f ca="1">IF(OR(INDEX($W$2:$W$1001,MATCH(ROWS($V$2:V989),$V$2:$V$1001,0),1)&gt;=100000,INDEX($AC$1005:$AS$1005,1,MATCH(COLUMNS($AC$1006:AC1006),$AC$1006:$AS$1006,0))&gt;=100000), " ",IF(INDEX($AC$2:$AS$1001,MATCH(ROWS($V$2:V989),$V$2:$V$1001,0),MATCH(COLUMNS($AC$1006:AC1006),$AC$1006:$AS$1006,0)), HYPERLINK("#",""), HYPERLINK(CONCATENATE("#metadata!", ADDRESS(INDEX($X$2:$X$1001,MATCH(ROWS($V$2:V989),$V$2:$V$1001,0),0), INDEX($AC$1004:$AS$1004,1,MATCH(COLUMNS($AC$1006:AC1006),$AC$1006:$AS$1006,0)))),"Fix")))</f>
        <v xml:space="preserve"> </v>
      </c>
      <c r="C989" s="4" t="str">
        <f ca="1">IF(OR(INDEX($W$2:$W$1001,MATCH(ROWS($V$2:V989),$V$2:$V$1001,0),1)&gt;=100000,INDEX($AC$1005:$AS$1005,1,MATCH(COLUMNS($AC$1006:AD1006),$AC$1006:$AS$1006,0))&gt;=100000), " ",IF(INDEX($AC$2:$AS$1001,MATCH(ROWS($V$2:V989),$V$2:$V$1001,0),MATCH(COLUMNS($AC$1006:AD1006),$AC$1006:$AS$1006,0)), HYPERLINK("#",""), HYPERLINK(CONCATENATE("#metadata!", ADDRESS(INDEX($X$2:$X$1001,MATCH(ROWS($V$2:V989),$V$2:$V$1001,0),0), INDEX($AC$1004:$AS$1004,1,MATCH(COLUMNS($AC$1006:AD1006),$AC$1006:$AS$1006,0)))),"Fix")))</f>
        <v xml:space="preserve"> </v>
      </c>
      <c r="D989" s="4" t="str">
        <f ca="1">IF(OR(INDEX($W$2:$W$1001,MATCH(ROWS($V$2:V989),$V$2:$V$1001,0),1)&gt;=100000,INDEX($AC$1005:$AS$1005,1,MATCH(COLUMNS($AC$1006:AE1006),$AC$1006:$AS$1006,0))&gt;=100000), " ",IF(INDEX($AC$2:$AS$1001,MATCH(ROWS($V$2:V989),$V$2:$V$1001,0),MATCH(COLUMNS($AC$1006:AE1006),$AC$1006:$AS$1006,0)), HYPERLINK("#",""), HYPERLINK(CONCATENATE("#metadata!", ADDRESS(INDEX($X$2:$X$1001,MATCH(ROWS($V$2:V989),$V$2:$V$1001,0),0), INDEX($AC$1004:$AS$1004,1,MATCH(COLUMNS($AC$1006:AE1006),$AC$1006:$AS$1006,0)))),"Fix")))</f>
        <v xml:space="preserve"> </v>
      </c>
      <c r="E989" s="4" t="str">
        <f ca="1">IF(OR(INDEX($W$2:$W$1001,MATCH(ROWS($V$2:V989),$V$2:$V$1001,0),1)&gt;=100000,INDEX($AC$1005:$AS$1005,1,MATCH(COLUMNS($AC$1006:AF1006),$AC$1006:$AS$1006,0))&gt;=100000), " ",IF(INDEX($AC$2:$AS$1001,MATCH(ROWS($V$2:V989),$V$2:$V$1001,0),MATCH(COLUMNS($AC$1006:AF1006),$AC$1006:$AS$1006,0)), HYPERLINK("#",""), HYPERLINK(CONCATENATE("#metadata!", ADDRESS(INDEX($X$2:$X$1001,MATCH(ROWS($V$2:V989),$V$2:$V$1001,0),0), INDEX($AC$1004:$AS$1004,1,MATCH(COLUMNS($AC$1006:AF1006),$AC$1006:$AS$1006,0)))),"Fix")))</f>
        <v xml:space="preserve"> </v>
      </c>
      <c r="F989" s="4" t="str">
        <f ca="1">IF(OR(INDEX($W$2:$W$1001,MATCH(ROWS($V$2:V989),$V$2:$V$1001,0),1)&gt;=100000,INDEX($AC$1005:$AS$1005,1,MATCH(COLUMNS($AC$1006:AG1006),$AC$1006:$AS$1006,0))&gt;=100000), " ",IF(INDEX($AC$2:$AS$1001,MATCH(ROWS($V$2:V989),$V$2:$V$1001,0),MATCH(COLUMNS($AC$1006:AG1006),$AC$1006:$AS$1006,0)), HYPERLINK("#",""), HYPERLINK(CONCATENATE("#metadata!", ADDRESS(INDEX($X$2:$X$1001,MATCH(ROWS($V$2:V989),$V$2:$V$1001,0),0), INDEX($AC$1004:$AS$1004,1,MATCH(COLUMNS($AC$1006:AG1006),$AC$1006:$AS$1006,0)))),"Fix")))</f>
        <v xml:space="preserve"> </v>
      </c>
      <c r="G989" s="4" t="str">
        <f ca="1">IF(OR(INDEX($W$2:$W$1001,MATCH(ROWS($V$2:V989),$V$2:$V$1001,0),1)&gt;=100000,INDEX($AC$1005:$AS$1005,1,MATCH(COLUMNS($AC$1006:AH1006),$AC$1006:$AS$1006,0))&gt;=100000), " ",IF(INDEX($AC$2:$AS$1001,MATCH(ROWS($V$2:V989),$V$2:$V$1001,0),MATCH(COLUMNS($AC$1006:AH1006),$AC$1006:$AS$1006,0)), HYPERLINK("#",""), HYPERLINK(CONCATENATE("#metadata!", ADDRESS(INDEX($X$2:$X$1001,MATCH(ROWS($V$2:V989),$V$2:$V$1001,0),0), INDEX($AC$1004:$AS$1004,1,MATCH(COLUMNS($AC$1006:AH1006),$AC$1006:$AS$1006,0)))),"Fix")))</f>
        <v xml:space="preserve"> </v>
      </c>
      <c r="H989" s="4" t="str">
        <f ca="1">IF(OR(INDEX($W$2:$W$1001,MATCH(ROWS($V$2:V989),$V$2:$V$1001,0),1)&gt;=100000,INDEX($AC$1005:$AS$1005,1,MATCH(COLUMNS($AC$1006:AI1006),$AC$1006:$AS$1006,0))&gt;=100000), " ",IF(INDEX($AC$2:$AS$1001,MATCH(ROWS($V$2:V989),$V$2:$V$1001,0),MATCH(COLUMNS($AC$1006:AI1006),$AC$1006:$AS$1006,0)), HYPERLINK("#",""), HYPERLINK(CONCATENATE("#metadata!", ADDRESS(INDEX($X$2:$X$1001,MATCH(ROWS($V$2:V989),$V$2:$V$1001,0),0), INDEX($AC$1004:$AS$1004,1,MATCH(COLUMNS($AC$1006:AI1006),$AC$1006:$AS$1006,0)))),"Fix")))</f>
        <v xml:space="preserve"> </v>
      </c>
      <c r="I989" s="4" t="str">
        <f ca="1">IF(OR(INDEX($W$2:$W$1001,MATCH(ROWS($V$2:V989),$V$2:$V$1001,0),1)&gt;=100000,INDEX($AC$1005:$AS$1005,1,MATCH(COLUMNS($AC$1006:AJ1006),$AC$1006:$AS$1006,0))&gt;=100000), " ",IF(INDEX($AC$2:$AS$1001,MATCH(ROWS($V$2:V989),$V$2:$V$1001,0),MATCH(COLUMNS($AC$1006:AJ1006),$AC$1006:$AS$1006,0)), HYPERLINK("#",""), HYPERLINK(CONCATENATE("#metadata!", ADDRESS(INDEX($X$2:$X$1001,MATCH(ROWS($V$2:V989),$V$2:$V$1001,0),0), INDEX($AC$1004:$AS$1004,1,MATCH(COLUMNS($AC$1006:AJ1006),$AC$1006:$AS$1006,0)))),"Fix")))</f>
        <v xml:space="preserve"> </v>
      </c>
      <c r="J989" s="4" t="str">
        <f ca="1">IF(OR(INDEX($W$2:$W$1001,MATCH(ROWS($V$2:V989),$V$2:$V$1001,0),1)&gt;=100000,INDEX($AC$1005:$AS$1005,1,MATCH(COLUMNS($AC$1006:AK1006),$AC$1006:$AS$1006,0))&gt;=100000), " ",IF(INDEX($AC$2:$AS$1001,MATCH(ROWS($V$2:V989),$V$2:$V$1001,0),MATCH(COLUMNS($AC$1006:AK1006),$AC$1006:$AS$1006,0)), HYPERLINK("#",""), HYPERLINK(CONCATENATE("#metadata!", ADDRESS(INDEX($X$2:$X$1001,MATCH(ROWS($V$2:V989),$V$2:$V$1001,0),0), INDEX($AC$1004:$AS$1004,1,MATCH(COLUMNS($AC$1006:AK1006),$AC$1006:$AS$1006,0)))),"Fix")))</f>
        <v xml:space="preserve"> </v>
      </c>
      <c r="K989" s="4" t="str">
        <f ca="1">IF(OR(INDEX($W$2:$W$1001,MATCH(ROWS($V$2:V989),$V$2:$V$1001,0),1)&gt;=100000,INDEX($AC$1005:$AS$1005,1,MATCH(COLUMNS($AC$1006:AL1006),$AC$1006:$AS$1006,0))&gt;=100000), " ",IF(INDEX($AC$2:$AS$1001,MATCH(ROWS($V$2:V989),$V$2:$V$1001,0),MATCH(COLUMNS($AC$1006:AL1006),$AC$1006:$AS$1006,0)), HYPERLINK("#",""), HYPERLINK(CONCATENATE("#metadata!", ADDRESS(INDEX($X$2:$X$1001,MATCH(ROWS($V$2:V989),$V$2:$V$1001,0),0), INDEX($AC$1004:$AS$1004,1,MATCH(COLUMNS($AC$1006:AL1006),$AC$1006:$AS$1006,0)))),"Fix")))</f>
        <v xml:space="preserve"> </v>
      </c>
      <c r="L989" s="4" t="str">
        <f ca="1">IF(OR(INDEX($W$2:$W$1001,MATCH(ROWS($V$2:V989),$V$2:$V$1001,0),1)&gt;=100000,INDEX($AC$1005:$AS$1005,1,MATCH(COLUMNS($AC$1006:AM1006),$AC$1006:$AS$1006,0))&gt;=100000), " ",IF(INDEX($AC$2:$AS$1001,MATCH(ROWS($V$2:V989),$V$2:$V$1001,0),MATCH(COLUMNS($AC$1006:AM1006),$AC$1006:$AS$1006,0)), HYPERLINK("#",""), HYPERLINK(CONCATENATE("#metadata!", ADDRESS(INDEX($X$2:$X$1001,MATCH(ROWS($V$2:V989),$V$2:$V$1001,0),0), INDEX($AC$1004:$AS$1004,1,MATCH(COLUMNS($AC$1006:AM1006),$AC$1006:$AS$1006,0)))),"Fix")))</f>
        <v xml:space="preserve"> </v>
      </c>
      <c r="M989" s="4" t="str">
        <f ca="1">IF(OR(INDEX($W$2:$W$1001,MATCH(ROWS($V$2:V989),$V$2:$V$1001,0),1)&gt;=100000,INDEX($AC$1005:$AS$1005,1,MATCH(COLUMNS($AC$1006:AN1006),$AC$1006:$AS$1006,0))&gt;=100000), " ",IF(INDEX($AC$2:$AS$1001,MATCH(ROWS($V$2:V989),$V$2:$V$1001,0),MATCH(COLUMNS($AC$1006:AN1006),$AC$1006:$AS$1006,0)), HYPERLINK("#",""), HYPERLINK(CONCATENATE("#metadata!", ADDRESS(INDEX($X$2:$X$1001,MATCH(ROWS($V$2:V989),$V$2:$V$1001,0),0), INDEX($AC$1004:$AS$1004,1,MATCH(COLUMNS($AC$1006:AN1006),$AC$1006:$AS$1006,0)))),"Fix")))</f>
        <v xml:space="preserve"> </v>
      </c>
      <c r="N989" s="4" t="str">
        <f ca="1">IF(OR(INDEX($W$2:$W$1001,MATCH(ROWS($V$2:V989),$V$2:$V$1001,0),1)&gt;=100000,INDEX($AC$1005:$AS$1005,1,MATCH(COLUMNS($AC$1006:AO1006),$AC$1006:$AS$1006,0))&gt;=100000), " ",IF(INDEX($AC$2:$AS$1001,MATCH(ROWS($V$2:V989),$V$2:$V$1001,0),MATCH(COLUMNS($AC$1006:AO1006),$AC$1006:$AS$1006,0)), HYPERLINK("#",""), HYPERLINK(CONCATENATE("#metadata!", ADDRESS(INDEX($X$2:$X$1001,MATCH(ROWS($V$2:V989),$V$2:$V$1001,0),0), INDEX($AC$1004:$AS$1004,1,MATCH(COLUMNS($AC$1006:AO1006),$AC$1006:$AS$1006,0)))),"Fix")))</f>
        <v xml:space="preserve"> </v>
      </c>
      <c r="O989" s="4" t="str">
        <f ca="1">IF(OR(INDEX($W$2:$W$1001,MATCH(ROWS($V$2:V989),$V$2:$V$1001,0),1)&gt;=100000,INDEX($AC$1005:$AS$1005,1,MATCH(COLUMNS($AC$1006:AP1006),$AC$1006:$AS$1006,0))&gt;=100000), " ",IF(INDEX($AC$2:$AS$1001,MATCH(ROWS($V$2:V989),$V$2:$V$1001,0),MATCH(COLUMNS($AC$1006:AP1006),$AC$1006:$AS$1006,0)), HYPERLINK("#",""), HYPERLINK(CONCATENATE("#metadata!", ADDRESS(INDEX($X$2:$X$1001,MATCH(ROWS($V$2:V989),$V$2:$V$1001,0),0), INDEX($AC$1004:$AS$1004,1,MATCH(COLUMNS($AC$1006:AP1006),$AC$1006:$AS$1006,0)))),"Fix")))</f>
        <v xml:space="preserve"> </v>
      </c>
      <c r="P989" s="4" t="str">
        <f ca="1">IF(OR(INDEX($W$2:$W$1001,MATCH(ROWS($V$2:V989),$V$2:$V$1001,0),1)&gt;=100000,INDEX($AC$1005:$AS$1005,1,MATCH(COLUMNS($AC$1006:AQ1006),$AC$1006:$AS$1006,0))&gt;=100000), " ",IF(INDEX($AC$2:$AS$1001,MATCH(ROWS($V$2:V989),$V$2:$V$1001,0),MATCH(COLUMNS($AC$1006:AQ1006),$AC$1006:$AS$1006,0)), HYPERLINK("#",""), HYPERLINK(CONCATENATE("#metadata!", ADDRESS(INDEX($X$2:$X$1001,MATCH(ROWS($V$2:V989),$V$2:$V$1001,0),0), INDEX($AC$1004:$AS$1004,1,MATCH(COLUMNS($AC$1006:AQ1006),$AC$1006:$AS$1006,0)))),"Fix")))</f>
        <v xml:space="preserve"> </v>
      </c>
      <c r="Q989" s="4" t="str">
        <f ca="1">IF(OR(INDEX($W$2:$W$1001,MATCH(ROWS($V$2:V989),$V$2:$V$1001,0),1)&gt;=100000,INDEX($AC$1005:$AS$1005,1,MATCH(COLUMNS($AC$1006:AR1006),$AC$1006:$AS$1006,0))&gt;=100000), " ",IF(INDEX($AC$2:$AS$1001,MATCH(ROWS($V$2:V989),$V$2:$V$1001,0),MATCH(COLUMNS($AC$1006:AR1006),$AC$1006:$AS$1006,0)), HYPERLINK("#",""), HYPERLINK(CONCATENATE("#metadata!", ADDRESS(INDEX($X$2:$X$1001,MATCH(ROWS($V$2:V989),$V$2:$V$1001,0),0), INDEX($AC$1004:$AS$1004,1,MATCH(COLUMNS($AC$1006:AR1006),$AC$1006:$AS$1006,0)))),"Fix")))</f>
        <v xml:space="preserve"> </v>
      </c>
      <c r="R989" s="4" t="str">
        <f ca="1">IF(OR(INDEX($W$2:$W$1001,MATCH(ROWS($V$2:V989),$V$2:$V$1001,0),1)&gt;=100000,INDEX($AC$1005:$AS$1005,1,MATCH(COLUMNS($AC$1006:AS1006),$AC$1006:$AS$1006,0))&gt;=100000), " ",IF(INDEX($AC$2:$AS$1001,MATCH(ROWS($V$2:V989),$V$2:$V$1001,0),MATCH(COLUMNS($AC$1006:AS1006),$AC$1006:$AS$1006,0)), HYPERLINK("#",""), HYPERLINK(CONCATENATE("#metadata!", ADDRESS(INDEX($X$2:$X$1001,MATCH(ROWS($V$2:V989),$V$2:$V$1001,0),0), INDEX($AC$1004:$AS$1004,1,MATCH(COLUMNS($AC$1006:AS1006),$AC$1006:$AS$1006,0)))),"Fix")))</f>
        <v xml:space="preserve"> </v>
      </c>
      <c r="V989">
        <v>988</v>
      </c>
      <c r="W989">
        <v>100989</v>
      </c>
      <c r="X989">
        <v>989</v>
      </c>
      <c r="Y989" t="b">
        <f t="shared" si="15"/>
        <v>1</v>
      </c>
      <c r="Z989" t="b">
        <f>COUNTBLANK(metadata!B989:R989)=COLUMNS(metadata!B989:R989)</f>
        <v>1</v>
      </c>
      <c r="AA989" t="str">
        <v/>
      </c>
      <c r="AC989" t="b">
        <f ca="1"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AD989" t="b">
        <f>IF(metadata!C989="",FALSE,ISNUMBER(VALUE(metadata!C989)))</f>
        <v>0</v>
      </c>
      <c r="AE989" t="b">
        <f>AND(IF(metadata!D989="",FALSE,TRUE),EXACT(metadata!D989,"years"))</f>
        <v>0</v>
      </c>
      <c r="AF989" t="b">
        <f>OR(AND(IF(metadata!E989="",FALSE,TRUE),OR(EXACT(metadata!E989,"not applicable"),EXACT(metadata!E989,"missing: not collected"),EXACT(metadata!E989,"missing: not provided"),EXACT(metadata!E989,"missing: restricted access"))),AND(IF(metadata!E989="",FALSE,ISNUMBER(VALUE(metadata!E989))),metadata!E989&gt;0))</f>
        <v>0</v>
      </c>
      <c r="AG989" t="b">
        <f>AND(IF(metadata!F989="",FALSE,TRUE),EXACT(metadata!F989,"Not applicable"))</f>
        <v>0</v>
      </c>
      <c r="AH989" t="b">
        <f>AND(IF(metadata!G989="",FALSE,TRUE),EXACT(metadata!G989,"urban biome"))</f>
        <v>0</v>
      </c>
      <c r="AI989" t="b">
        <f>AND(IF(metadata!H989="",FALSE,TRUE),EXACT(metadata!H989,"human-associated habitat"))</f>
        <v>0</v>
      </c>
      <c r="AJ989" t="b">
        <f>AND(IF(metadata!I989="",FALSE,TRUE),OR(EXACT(metadata!I989,"human-associated"),EXACT(metadata!I989,"human-skin"),EXACT(metadata!I989,"human-oral"),EXACT(metadata!I989,"human-gut"),EXACT(metadata!I989,"human-vaginal")))</f>
        <v>0</v>
      </c>
      <c r="AK989" t="b">
        <f>IF(metadata!J989="",FALSE,ISNUMBER(VALUE(metadata!J989)))</f>
        <v>0</v>
      </c>
      <c r="AL989" t="b">
        <f>AND(IF(metadata!K989="",FALSE,TRUE),EXACT(metadata!K989,"cm"))</f>
        <v>0</v>
      </c>
      <c r="AM989" t="b">
        <f>AND(IF(metadata!L989="",FALSE,TRUE),EXACT(metadata!L989,"human"))</f>
        <v>0</v>
      </c>
      <c r="AN989" t="b">
        <f>AND(IF(metadata!M989="",FALSE,TRUE),EXACT(metadata!M989,"Homo sapiens"))</f>
        <v>0</v>
      </c>
      <c r="AO989" t="b">
        <f>AND(IF(metadata!N989="",FALSE,TRUE),EXACT(metadata!N989,"9606"))</f>
        <v>0</v>
      </c>
      <c r="AP989" t="b">
        <f>IF(metadata!O989="",FALSE,TRUE)</f>
        <v>0</v>
      </c>
      <c r="AQ989" t="b">
        <f>IF(metadata!P989="",FALSE,TRUE)</f>
        <v>0</v>
      </c>
      <c r="AR989" t="b">
        <f>IF(metadata!Q989="",FALSE,ISNUMBER(VALUE(metadata!Q989)))</f>
        <v>0</v>
      </c>
      <c r="AS989" t="b">
        <f>AND(IF(metadata!R989="",FALSE,TRUE),EXACT(metadata!R989,"kg"))</f>
        <v>0</v>
      </c>
    </row>
    <row r="990" spans="1:45" x14ac:dyDescent="0.2">
      <c r="A990" s="5" t="str">
        <f ca="1">IF(B990=" "," ",HYPERLINK(CONCATENATE("#metadata!",ADDRESS(INDEX($X$2:$X$1001,MATCH(ROWS($V$2:V990),$V$2:$V$1001,0),0),1)),INDEX($AA$2:$AA$1001,MATCH(ROWS($V$2:V990),$V$2:$V$1001,0),0)))</f>
        <v xml:space="preserve"> </v>
      </c>
      <c r="B990" s="4" t="str">
        <f ca="1">IF(OR(INDEX($W$2:$W$1001,MATCH(ROWS($V$2:V990),$V$2:$V$1001,0),1)&gt;=100000,INDEX($AC$1005:$AS$1005,1,MATCH(COLUMNS($AC$1006:AC1006),$AC$1006:$AS$1006,0))&gt;=100000), " ",IF(INDEX($AC$2:$AS$1001,MATCH(ROWS($V$2:V990),$V$2:$V$1001,0),MATCH(COLUMNS($AC$1006:AC1006),$AC$1006:$AS$1006,0)), HYPERLINK("#",""), HYPERLINK(CONCATENATE("#metadata!", ADDRESS(INDEX($X$2:$X$1001,MATCH(ROWS($V$2:V990),$V$2:$V$1001,0),0), INDEX($AC$1004:$AS$1004,1,MATCH(COLUMNS($AC$1006:AC1006),$AC$1006:$AS$1006,0)))),"Fix")))</f>
        <v xml:space="preserve"> </v>
      </c>
      <c r="C990" s="4" t="str">
        <f ca="1">IF(OR(INDEX($W$2:$W$1001,MATCH(ROWS($V$2:V990),$V$2:$V$1001,0),1)&gt;=100000,INDEX($AC$1005:$AS$1005,1,MATCH(COLUMNS($AC$1006:AD1006),$AC$1006:$AS$1006,0))&gt;=100000), " ",IF(INDEX($AC$2:$AS$1001,MATCH(ROWS($V$2:V990),$V$2:$V$1001,0),MATCH(COLUMNS($AC$1006:AD1006),$AC$1006:$AS$1006,0)), HYPERLINK("#",""), HYPERLINK(CONCATENATE("#metadata!", ADDRESS(INDEX($X$2:$X$1001,MATCH(ROWS($V$2:V990),$V$2:$V$1001,0),0), INDEX($AC$1004:$AS$1004,1,MATCH(COLUMNS($AC$1006:AD1006),$AC$1006:$AS$1006,0)))),"Fix")))</f>
        <v xml:space="preserve"> </v>
      </c>
      <c r="D990" s="4" t="str">
        <f ca="1">IF(OR(INDEX($W$2:$W$1001,MATCH(ROWS($V$2:V990),$V$2:$V$1001,0),1)&gt;=100000,INDEX($AC$1005:$AS$1005,1,MATCH(COLUMNS($AC$1006:AE1006),$AC$1006:$AS$1006,0))&gt;=100000), " ",IF(INDEX($AC$2:$AS$1001,MATCH(ROWS($V$2:V990),$V$2:$V$1001,0),MATCH(COLUMNS($AC$1006:AE1006),$AC$1006:$AS$1006,0)), HYPERLINK("#",""), HYPERLINK(CONCATENATE("#metadata!", ADDRESS(INDEX($X$2:$X$1001,MATCH(ROWS($V$2:V990),$V$2:$V$1001,0),0), INDEX($AC$1004:$AS$1004,1,MATCH(COLUMNS($AC$1006:AE1006),$AC$1006:$AS$1006,0)))),"Fix")))</f>
        <v xml:space="preserve"> </v>
      </c>
      <c r="E990" s="4" t="str">
        <f ca="1">IF(OR(INDEX($W$2:$W$1001,MATCH(ROWS($V$2:V990),$V$2:$V$1001,0),1)&gt;=100000,INDEX($AC$1005:$AS$1005,1,MATCH(COLUMNS($AC$1006:AF1006),$AC$1006:$AS$1006,0))&gt;=100000), " ",IF(INDEX($AC$2:$AS$1001,MATCH(ROWS($V$2:V990),$V$2:$V$1001,0),MATCH(COLUMNS($AC$1006:AF1006),$AC$1006:$AS$1006,0)), HYPERLINK("#",""), HYPERLINK(CONCATENATE("#metadata!", ADDRESS(INDEX($X$2:$X$1001,MATCH(ROWS($V$2:V990),$V$2:$V$1001,0),0), INDEX($AC$1004:$AS$1004,1,MATCH(COLUMNS($AC$1006:AF1006),$AC$1006:$AS$1006,0)))),"Fix")))</f>
        <v xml:space="preserve"> </v>
      </c>
      <c r="F990" s="4" t="str">
        <f ca="1">IF(OR(INDEX($W$2:$W$1001,MATCH(ROWS($V$2:V990),$V$2:$V$1001,0),1)&gt;=100000,INDEX($AC$1005:$AS$1005,1,MATCH(COLUMNS($AC$1006:AG1006),$AC$1006:$AS$1006,0))&gt;=100000), " ",IF(INDEX($AC$2:$AS$1001,MATCH(ROWS($V$2:V990),$V$2:$V$1001,0),MATCH(COLUMNS($AC$1006:AG1006),$AC$1006:$AS$1006,0)), HYPERLINK("#",""), HYPERLINK(CONCATENATE("#metadata!", ADDRESS(INDEX($X$2:$X$1001,MATCH(ROWS($V$2:V990),$V$2:$V$1001,0),0), INDEX($AC$1004:$AS$1004,1,MATCH(COLUMNS($AC$1006:AG1006),$AC$1006:$AS$1006,0)))),"Fix")))</f>
        <v xml:space="preserve"> </v>
      </c>
      <c r="G990" s="4" t="str">
        <f ca="1">IF(OR(INDEX($W$2:$W$1001,MATCH(ROWS($V$2:V990),$V$2:$V$1001,0),1)&gt;=100000,INDEX($AC$1005:$AS$1005,1,MATCH(COLUMNS($AC$1006:AH1006),$AC$1006:$AS$1006,0))&gt;=100000), " ",IF(INDEX($AC$2:$AS$1001,MATCH(ROWS($V$2:V990),$V$2:$V$1001,0),MATCH(COLUMNS($AC$1006:AH1006),$AC$1006:$AS$1006,0)), HYPERLINK("#",""), HYPERLINK(CONCATENATE("#metadata!", ADDRESS(INDEX($X$2:$X$1001,MATCH(ROWS($V$2:V990),$V$2:$V$1001,0),0), INDEX($AC$1004:$AS$1004,1,MATCH(COLUMNS($AC$1006:AH1006),$AC$1006:$AS$1006,0)))),"Fix")))</f>
        <v xml:space="preserve"> </v>
      </c>
      <c r="H990" s="4" t="str">
        <f ca="1">IF(OR(INDEX($W$2:$W$1001,MATCH(ROWS($V$2:V990),$V$2:$V$1001,0),1)&gt;=100000,INDEX($AC$1005:$AS$1005,1,MATCH(COLUMNS($AC$1006:AI1006),$AC$1006:$AS$1006,0))&gt;=100000), " ",IF(INDEX($AC$2:$AS$1001,MATCH(ROWS($V$2:V990),$V$2:$V$1001,0),MATCH(COLUMNS($AC$1006:AI1006),$AC$1006:$AS$1006,0)), HYPERLINK("#",""), HYPERLINK(CONCATENATE("#metadata!", ADDRESS(INDEX($X$2:$X$1001,MATCH(ROWS($V$2:V990),$V$2:$V$1001,0),0), INDEX($AC$1004:$AS$1004,1,MATCH(COLUMNS($AC$1006:AI1006),$AC$1006:$AS$1006,0)))),"Fix")))</f>
        <v xml:space="preserve"> </v>
      </c>
      <c r="I990" s="4" t="str">
        <f ca="1">IF(OR(INDEX($W$2:$W$1001,MATCH(ROWS($V$2:V990),$V$2:$V$1001,0),1)&gt;=100000,INDEX($AC$1005:$AS$1005,1,MATCH(COLUMNS($AC$1006:AJ1006),$AC$1006:$AS$1006,0))&gt;=100000), " ",IF(INDEX($AC$2:$AS$1001,MATCH(ROWS($V$2:V990),$V$2:$V$1001,0),MATCH(COLUMNS($AC$1006:AJ1006),$AC$1006:$AS$1006,0)), HYPERLINK("#",""), HYPERLINK(CONCATENATE("#metadata!", ADDRESS(INDEX($X$2:$X$1001,MATCH(ROWS($V$2:V990),$V$2:$V$1001,0),0), INDEX($AC$1004:$AS$1004,1,MATCH(COLUMNS($AC$1006:AJ1006),$AC$1006:$AS$1006,0)))),"Fix")))</f>
        <v xml:space="preserve"> </v>
      </c>
      <c r="J990" s="4" t="str">
        <f ca="1">IF(OR(INDEX($W$2:$W$1001,MATCH(ROWS($V$2:V990),$V$2:$V$1001,0),1)&gt;=100000,INDEX($AC$1005:$AS$1005,1,MATCH(COLUMNS($AC$1006:AK1006),$AC$1006:$AS$1006,0))&gt;=100000), " ",IF(INDEX($AC$2:$AS$1001,MATCH(ROWS($V$2:V990),$V$2:$V$1001,0),MATCH(COLUMNS($AC$1006:AK1006),$AC$1006:$AS$1006,0)), HYPERLINK("#",""), HYPERLINK(CONCATENATE("#metadata!", ADDRESS(INDEX($X$2:$X$1001,MATCH(ROWS($V$2:V990),$V$2:$V$1001,0),0), INDEX($AC$1004:$AS$1004,1,MATCH(COLUMNS($AC$1006:AK1006),$AC$1006:$AS$1006,0)))),"Fix")))</f>
        <v xml:space="preserve"> </v>
      </c>
      <c r="K990" s="4" t="str">
        <f ca="1">IF(OR(INDEX($W$2:$W$1001,MATCH(ROWS($V$2:V990),$V$2:$V$1001,0),1)&gt;=100000,INDEX($AC$1005:$AS$1005,1,MATCH(COLUMNS($AC$1006:AL1006),$AC$1006:$AS$1006,0))&gt;=100000), " ",IF(INDEX($AC$2:$AS$1001,MATCH(ROWS($V$2:V990),$V$2:$V$1001,0),MATCH(COLUMNS($AC$1006:AL1006),$AC$1006:$AS$1006,0)), HYPERLINK("#",""), HYPERLINK(CONCATENATE("#metadata!", ADDRESS(INDEX($X$2:$X$1001,MATCH(ROWS($V$2:V990),$V$2:$V$1001,0),0), INDEX($AC$1004:$AS$1004,1,MATCH(COLUMNS($AC$1006:AL1006),$AC$1006:$AS$1006,0)))),"Fix")))</f>
        <v xml:space="preserve"> </v>
      </c>
      <c r="L990" s="4" t="str">
        <f ca="1">IF(OR(INDEX($W$2:$W$1001,MATCH(ROWS($V$2:V990),$V$2:$V$1001,0),1)&gt;=100000,INDEX($AC$1005:$AS$1005,1,MATCH(COLUMNS($AC$1006:AM1006),$AC$1006:$AS$1006,0))&gt;=100000), " ",IF(INDEX($AC$2:$AS$1001,MATCH(ROWS($V$2:V990),$V$2:$V$1001,0),MATCH(COLUMNS($AC$1006:AM1006),$AC$1006:$AS$1006,0)), HYPERLINK("#",""), HYPERLINK(CONCATENATE("#metadata!", ADDRESS(INDEX($X$2:$X$1001,MATCH(ROWS($V$2:V990),$V$2:$V$1001,0),0), INDEX($AC$1004:$AS$1004,1,MATCH(COLUMNS($AC$1006:AM1006),$AC$1006:$AS$1006,0)))),"Fix")))</f>
        <v xml:space="preserve"> </v>
      </c>
      <c r="M990" s="4" t="str">
        <f ca="1">IF(OR(INDEX($W$2:$W$1001,MATCH(ROWS($V$2:V990),$V$2:$V$1001,0),1)&gt;=100000,INDEX($AC$1005:$AS$1005,1,MATCH(COLUMNS($AC$1006:AN1006),$AC$1006:$AS$1006,0))&gt;=100000), " ",IF(INDEX($AC$2:$AS$1001,MATCH(ROWS($V$2:V990),$V$2:$V$1001,0),MATCH(COLUMNS($AC$1006:AN1006),$AC$1006:$AS$1006,0)), HYPERLINK("#",""), HYPERLINK(CONCATENATE("#metadata!", ADDRESS(INDEX($X$2:$X$1001,MATCH(ROWS($V$2:V990),$V$2:$V$1001,0),0), INDEX($AC$1004:$AS$1004,1,MATCH(COLUMNS($AC$1006:AN1006),$AC$1006:$AS$1006,0)))),"Fix")))</f>
        <v xml:space="preserve"> </v>
      </c>
      <c r="N990" s="4" t="str">
        <f ca="1">IF(OR(INDEX($W$2:$W$1001,MATCH(ROWS($V$2:V990),$V$2:$V$1001,0),1)&gt;=100000,INDEX($AC$1005:$AS$1005,1,MATCH(COLUMNS($AC$1006:AO1006),$AC$1006:$AS$1006,0))&gt;=100000), " ",IF(INDEX($AC$2:$AS$1001,MATCH(ROWS($V$2:V990),$V$2:$V$1001,0),MATCH(COLUMNS($AC$1006:AO1006),$AC$1006:$AS$1006,0)), HYPERLINK("#",""), HYPERLINK(CONCATENATE("#metadata!", ADDRESS(INDEX($X$2:$X$1001,MATCH(ROWS($V$2:V990),$V$2:$V$1001,0),0), INDEX($AC$1004:$AS$1004,1,MATCH(COLUMNS($AC$1006:AO1006),$AC$1006:$AS$1006,0)))),"Fix")))</f>
        <v xml:space="preserve"> </v>
      </c>
      <c r="O990" s="4" t="str">
        <f ca="1">IF(OR(INDEX($W$2:$W$1001,MATCH(ROWS($V$2:V990),$V$2:$V$1001,0),1)&gt;=100000,INDEX($AC$1005:$AS$1005,1,MATCH(COLUMNS($AC$1006:AP1006),$AC$1006:$AS$1006,0))&gt;=100000), " ",IF(INDEX($AC$2:$AS$1001,MATCH(ROWS($V$2:V990),$V$2:$V$1001,0),MATCH(COLUMNS($AC$1006:AP1006),$AC$1006:$AS$1006,0)), HYPERLINK("#",""), HYPERLINK(CONCATENATE("#metadata!", ADDRESS(INDEX($X$2:$X$1001,MATCH(ROWS($V$2:V990),$V$2:$V$1001,0),0), INDEX($AC$1004:$AS$1004,1,MATCH(COLUMNS($AC$1006:AP1006),$AC$1006:$AS$1006,0)))),"Fix")))</f>
        <v xml:space="preserve"> </v>
      </c>
      <c r="P990" s="4" t="str">
        <f ca="1">IF(OR(INDEX($W$2:$W$1001,MATCH(ROWS($V$2:V990),$V$2:$V$1001,0),1)&gt;=100000,INDEX($AC$1005:$AS$1005,1,MATCH(COLUMNS($AC$1006:AQ1006),$AC$1006:$AS$1006,0))&gt;=100000), " ",IF(INDEX($AC$2:$AS$1001,MATCH(ROWS($V$2:V990),$V$2:$V$1001,0),MATCH(COLUMNS($AC$1006:AQ1006),$AC$1006:$AS$1006,0)), HYPERLINK("#",""), HYPERLINK(CONCATENATE("#metadata!", ADDRESS(INDEX($X$2:$X$1001,MATCH(ROWS($V$2:V990),$V$2:$V$1001,0),0), INDEX($AC$1004:$AS$1004,1,MATCH(COLUMNS($AC$1006:AQ1006),$AC$1006:$AS$1006,0)))),"Fix")))</f>
        <v xml:space="preserve"> </v>
      </c>
      <c r="Q990" s="4" t="str">
        <f ca="1">IF(OR(INDEX($W$2:$W$1001,MATCH(ROWS($V$2:V990),$V$2:$V$1001,0),1)&gt;=100000,INDEX($AC$1005:$AS$1005,1,MATCH(COLUMNS($AC$1006:AR1006),$AC$1006:$AS$1006,0))&gt;=100000), " ",IF(INDEX($AC$2:$AS$1001,MATCH(ROWS($V$2:V990),$V$2:$V$1001,0),MATCH(COLUMNS($AC$1006:AR1006),$AC$1006:$AS$1006,0)), HYPERLINK("#",""), HYPERLINK(CONCATENATE("#metadata!", ADDRESS(INDEX($X$2:$X$1001,MATCH(ROWS($V$2:V990),$V$2:$V$1001,0),0), INDEX($AC$1004:$AS$1004,1,MATCH(COLUMNS($AC$1006:AR1006),$AC$1006:$AS$1006,0)))),"Fix")))</f>
        <v xml:space="preserve"> </v>
      </c>
      <c r="R990" s="4" t="str">
        <f ca="1">IF(OR(INDEX($W$2:$W$1001,MATCH(ROWS($V$2:V990),$V$2:$V$1001,0),1)&gt;=100000,INDEX($AC$1005:$AS$1005,1,MATCH(COLUMNS($AC$1006:AS1006),$AC$1006:$AS$1006,0))&gt;=100000), " ",IF(INDEX($AC$2:$AS$1001,MATCH(ROWS($V$2:V990),$V$2:$V$1001,0),MATCH(COLUMNS($AC$1006:AS1006),$AC$1006:$AS$1006,0)), HYPERLINK("#",""), HYPERLINK(CONCATENATE("#metadata!", ADDRESS(INDEX($X$2:$X$1001,MATCH(ROWS($V$2:V990),$V$2:$V$1001,0),0), INDEX($AC$1004:$AS$1004,1,MATCH(COLUMNS($AC$1006:AS1006),$AC$1006:$AS$1006,0)))),"Fix")))</f>
        <v xml:space="preserve"> </v>
      </c>
      <c r="V990">
        <v>989</v>
      </c>
      <c r="W990">
        <v>100990</v>
      </c>
      <c r="X990">
        <v>990</v>
      </c>
      <c r="Y990" t="b">
        <f t="shared" si="15"/>
        <v>1</v>
      </c>
      <c r="Z990" t="b">
        <f>COUNTBLANK(metadata!B990:R990)=COLUMNS(metadata!B990:R990)</f>
        <v>1</v>
      </c>
      <c r="AA990" t="str">
        <v/>
      </c>
      <c r="AC990" t="b">
        <f ca="1"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AD990" t="b">
        <f>IF(metadata!C990="",FALSE,ISNUMBER(VALUE(metadata!C990)))</f>
        <v>0</v>
      </c>
      <c r="AE990" t="b">
        <f>AND(IF(metadata!D990="",FALSE,TRUE),EXACT(metadata!D990,"years"))</f>
        <v>0</v>
      </c>
      <c r="AF990" t="b">
        <f>OR(AND(IF(metadata!E990="",FALSE,TRUE),OR(EXACT(metadata!E990,"not applicable"),EXACT(metadata!E990,"missing: not collected"),EXACT(metadata!E990,"missing: not provided"),EXACT(metadata!E990,"missing: restricted access"))),AND(IF(metadata!E990="",FALSE,ISNUMBER(VALUE(metadata!E990))),metadata!E990&gt;0))</f>
        <v>0</v>
      </c>
      <c r="AG990" t="b">
        <f>AND(IF(metadata!F990="",FALSE,TRUE),EXACT(metadata!F990,"Not applicable"))</f>
        <v>0</v>
      </c>
      <c r="AH990" t="b">
        <f>AND(IF(metadata!G990="",FALSE,TRUE),EXACT(metadata!G990,"urban biome"))</f>
        <v>0</v>
      </c>
      <c r="AI990" t="b">
        <f>AND(IF(metadata!H990="",FALSE,TRUE),EXACT(metadata!H990,"human-associated habitat"))</f>
        <v>0</v>
      </c>
      <c r="AJ990" t="b">
        <f>AND(IF(metadata!I990="",FALSE,TRUE),OR(EXACT(metadata!I990,"human-associated"),EXACT(metadata!I990,"human-skin"),EXACT(metadata!I990,"human-oral"),EXACT(metadata!I990,"human-gut"),EXACT(metadata!I990,"human-vaginal")))</f>
        <v>0</v>
      </c>
      <c r="AK990" t="b">
        <f>IF(metadata!J990="",FALSE,ISNUMBER(VALUE(metadata!J990)))</f>
        <v>0</v>
      </c>
      <c r="AL990" t="b">
        <f>AND(IF(metadata!K990="",FALSE,TRUE),EXACT(metadata!K990,"cm"))</f>
        <v>0</v>
      </c>
      <c r="AM990" t="b">
        <f>AND(IF(metadata!L990="",FALSE,TRUE),EXACT(metadata!L990,"human"))</f>
        <v>0</v>
      </c>
      <c r="AN990" t="b">
        <f>AND(IF(metadata!M990="",FALSE,TRUE),EXACT(metadata!M990,"Homo sapiens"))</f>
        <v>0</v>
      </c>
      <c r="AO990" t="b">
        <f>AND(IF(metadata!N990="",FALSE,TRUE),EXACT(metadata!N990,"9606"))</f>
        <v>0</v>
      </c>
      <c r="AP990" t="b">
        <f>IF(metadata!O990="",FALSE,TRUE)</f>
        <v>0</v>
      </c>
      <c r="AQ990" t="b">
        <f>IF(metadata!P990="",FALSE,TRUE)</f>
        <v>0</v>
      </c>
      <c r="AR990" t="b">
        <f>IF(metadata!Q990="",FALSE,ISNUMBER(VALUE(metadata!Q990)))</f>
        <v>0</v>
      </c>
      <c r="AS990" t="b">
        <f>AND(IF(metadata!R990="",FALSE,TRUE),EXACT(metadata!R990,"kg"))</f>
        <v>0</v>
      </c>
    </row>
    <row r="991" spans="1:45" x14ac:dyDescent="0.2">
      <c r="A991" s="5" t="str">
        <f ca="1">IF(B991=" "," ",HYPERLINK(CONCATENATE("#metadata!",ADDRESS(INDEX($X$2:$X$1001,MATCH(ROWS($V$2:V991),$V$2:$V$1001,0),0),1)),INDEX($AA$2:$AA$1001,MATCH(ROWS($V$2:V991),$V$2:$V$1001,0),0)))</f>
        <v xml:space="preserve"> </v>
      </c>
      <c r="B991" s="4" t="str">
        <f ca="1">IF(OR(INDEX($W$2:$W$1001,MATCH(ROWS($V$2:V991),$V$2:$V$1001,0),1)&gt;=100000,INDEX($AC$1005:$AS$1005,1,MATCH(COLUMNS($AC$1006:AC1006),$AC$1006:$AS$1006,0))&gt;=100000), " ",IF(INDEX($AC$2:$AS$1001,MATCH(ROWS($V$2:V991),$V$2:$V$1001,0),MATCH(COLUMNS($AC$1006:AC1006),$AC$1006:$AS$1006,0)), HYPERLINK("#",""), HYPERLINK(CONCATENATE("#metadata!", ADDRESS(INDEX($X$2:$X$1001,MATCH(ROWS($V$2:V991),$V$2:$V$1001,0),0), INDEX($AC$1004:$AS$1004,1,MATCH(COLUMNS($AC$1006:AC1006),$AC$1006:$AS$1006,0)))),"Fix")))</f>
        <v xml:space="preserve"> </v>
      </c>
      <c r="C991" s="4" t="str">
        <f ca="1">IF(OR(INDEX($W$2:$W$1001,MATCH(ROWS($V$2:V991),$V$2:$V$1001,0),1)&gt;=100000,INDEX($AC$1005:$AS$1005,1,MATCH(COLUMNS($AC$1006:AD1006),$AC$1006:$AS$1006,0))&gt;=100000), " ",IF(INDEX($AC$2:$AS$1001,MATCH(ROWS($V$2:V991),$V$2:$V$1001,0),MATCH(COLUMNS($AC$1006:AD1006),$AC$1006:$AS$1006,0)), HYPERLINK("#",""), HYPERLINK(CONCATENATE("#metadata!", ADDRESS(INDEX($X$2:$X$1001,MATCH(ROWS($V$2:V991),$V$2:$V$1001,0),0), INDEX($AC$1004:$AS$1004,1,MATCH(COLUMNS($AC$1006:AD1006),$AC$1006:$AS$1006,0)))),"Fix")))</f>
        <v xml:space="preserve"> </v>
      </c>
      <c r="D991" s="4" t="str">
        <f ca="1">IF(OR(INDEX($W$2:$W$1001,MATCH(ROWS($V$2:V991),$V$2:$V$1001,0),1)&gt;=100000,INDEX($AC$1005:$AS$1005,1,MATCH(COLUMNS($AC$1006:AE1006),$AC$1006:$AS$1006,0))&gt;=100000), " ",IF(INDEX($AC$2:$AS$1001,MATCH(ROWS($V$2:V991),$V$2:$V$1001,0),MATCH(COLUMNS($AC$1006:AE1006),$AC$1006:$AS$1006,0)), HYPERLINK("#",""), HYPERLINK(CONCATENATE("#metadata!", ADDRESS(INDEX($X$2:$X$1001,MATCH(ROWS($V$2:V991),$V$2:$V$1001,0),0), INDEX($AC$1004:$AS$1004,1,MATCH(COLUMNS($AC$1006:AE1006),$AC$1006:$AS$1006,0)))),"Fix")))</f>
        <v xml:space="preserve"> </v>
      </c>
      <c r="E991" s="4" t="str">
        <f ca="1">IF(OR(INDEX($W$2:$W$1001,MATCH(ROWS($V$2:V991),$V$2:$V$1001,0),1)&gt;=100000,INDEX($AC$1005:$AS$1005,1,MATCH(COLUMNS($AC$1006:AF1006),$AC$1006:$AS$1006,0))&gt;=100000), " ",IF(INDEX($AC$2:$AS$1001,MATCH(ROWS($V$2:V991),$V$2:$V$1001,0),MATCH(COLUMNS($AC$1006:AF1006),$AC$1006:$AS$1006,0)), HYPERLINK("#",""), HYPERLINK(CONCATENATE("#metadata!", ADDRESS(INDEX($X$2:$X$1001,MATCH(ROWS($V$2:V991),$V$2:$V$1001,0),0), INDEX($AC$1004:$AS$1004,1,MATCH(COLUMNS($AC$1006:AF1006),$AC$1006:$AS$1006,0)))),"Fix")))</f>
        <v xml:space="preserve"> </v>
      </c>
      <c r="F991" s="4" t="str">
        <f ca="1">IF(OR(INDEX($W$2:$W$1001,MATCH(ROWS($V$2:V991),$V$2:$V$1001,0),1)&gt;=100000,INDEX($AC$1005:$AS$1005,1,MATCH(COLUMNS($AC$1006:AG1006),$AC$1006:$AS$1006,0))&gt;=100000), " ",IF(INDEX($AC$2:$AS$1001,MATCH(ROWS($V$2:V991),$V$2:$V$1001,0),MATCH(COLUMNS($AC$1006:AG1006),$AC$1006:$AS$1006,0)), HYPERLINK("#",""), HYPERLINK(CONCATENATE("#metadata!", ADDRESS(INDEX($X$2:$X$1001,MATCH(ROWS($V$2:V991),$V$2:$V$1001,0),0), INDEX($AC$1004:$AS$1004,1,MATCH(COLUMNS($AC$1006:AG1006),$AC$1006:$AS$1006,0)))),"Fix")))</f>
        <v xml:space="preserve"> </v>
      </c>
      <c r="G991" s="4" t="str">
        <f ca="1">IF(OR(INDEX($W$2:$W$1001,MATCH(ROWS($V$2:V991),$V$2:$V$1001,0),1)&gt;=100000,INDEX($AC$1005:$AS$1005,1,MATCH(COLUMNS($AC$1006:AH1006),$AC$1006:$AS$1006,0))&gt;=100000), " ",IF(INDEX($AC$2:$AS$1001,MATCH(ROWS($V$2:V991),$V$2:$V$1001,0),MATCH(COLUMNS($AC$1006:AH1006),$AC$1006:$AS$1006,0)), HYPERLINK("#",""), HYPERLINK(CONCATENATE("#metadata!", ADDRESS(INDEX($X$2:$X$1001,MATCH(ROWS($V$2:V991),$V$2:$V$1001,0),0), INDEX($AC$1004:$AS$1004,1,MATCH(COLUMNS($AC$1006:AH1006),$AC$1006:$AS$1006,0)))),"Fix")))</f>
        <v xml:space="preserve"> </v>
      </c>
      <c r="H991" s="4" t="str">
        <f ca="1">IF(OR(INDEX($W$2:$W$1001,MATCH(ROWS($V$2:V991),$V$2:$V$1001,0),1)&gt;=100000,INDEX($AC$1005:$AS$1005,1,MATCH(COLUMNS($AC$1006:AI1006),$AC$1006:$AS$1006,0))&gt;=100000), " ",IF(INDEX($AC$2:$AS$1001,MATCH(ROWS($V$2:V991),$V$2:$V$1001,0),MATCH(COLUMNS($AC$1006:AI1006),$AC$1006:$AS$1006,0)), HYPERLINK("#",""), HYPERLINK(CONCATENATE("#metadata!", ADDRESS(INDEX($X$2:$X$1001,MATCH(ROWS($V$2:V991),$V$2:$V$1001,0),0), INDEX($AC$1004:$AS$1004,1,MATCH(COLUMNS($AC$1006:AI1006),$AC$1006:$AS$1006,0)))),"Fix")))</f>
        <v xml:space="preserve"> </v>
      </c>
      <c r="I991" s="4" t="str">
        <f ca="1">IF(OR(INDEX($W$2:$W$1001,MATCH(ROWS($V$2:V991),$V$2:$V$1001,0),1)&gt;=100000,INDEX($AC$1005:$AS$1005,1,MATCH(COLUMNS($AC$1006:AJ1006),$AC$1006:$AS$1006,0))&gt;=100000), " ",IF(INDEX($AC$2:$AS$1001,MATCH(ROWS($V$2:V991),$V$2:$V$1001,0),MATCH(COLUMNS($AC$1006:AJ1006),$AC$1006:$AS$1006,0)), HYPERLINK("#",""), HYPERLINK(CONCATENATE("#metadata!", ADDRESS(INDEX($X$2:$X$1001,MATCH(ROWS($V$2:V991),$V$2:$V$1001,0),0), INDEX($AC$1004:$AS$1004,1,MATCH(COLUMNS($AC$1006:AJ1006),$AC$1006:$AS$1006,0)))),"Fix")))</f>
        <v xml:space="preserve"> </v>
      </c>
      <c r="J991" s="4" t="str">
        <f ca="1">IF(OR(INDEX($W$2:$W$1001,MATCH(ROWS($V$2:V991),$V$2:$V$1001,0),1)&gt;=100000,INDEX($AC$1005:$AS$1005,1,MATCH(COLUMNS($AC$1006:AK1006),$AC$1006:$AS$1006,0))&gt;=100000), " ",IF(INDEX($AC$2:$AS$1001,MATCH(ROWS($V$2:V991),$V$2:$V$1001,0),MATCH(COLUMNS($AC$1006:AK1006),$AC$1006:$AS$1006,0)), HYPERLINK("#",""), HYPERLINK(CONCATENATE("#metadata!", ADDRESS(INDEX($X$2:$X$1001,MATCH(ROWS($V$2:V991),$V$2:$V$1001,0),0), INDEX($AC$1004:$AS$1004,1,MATCH(COLUMNS($AC$1006:AK1006),$AC$1006:$AS$1006,0)))),"Fix")))</f>
        <v xml:space="preserve"> </v>
      </c>
      <c r="K991" s="4" t="str">
        <f ca="1">IF(OR(INDEX($W$2:$W$1001,MATCH(ROWS($V$2:V991),$V$2:$V$1001,0),1)&gt;=100000,INDEX($AC$1005:$AS$1005,1,MATCH(COLUMNS($AC$1006:AL1006),$AC$1006:$AS$1006,0))&gt;=100000), " ",IF(INDEX($AC$2:$AS$1001,MATCH(ROWS($V$2:V991),$V$2:$V$1001,0),MATCH(COLUMNS($AC$1006:AL1006),$AC$1006:$AS$1006,0)), HYPERLINK("#",""), HYPERLINK(CONCATENATE("#metadata!", ADDRESS(INDEX($X$2:$X$1001,MATCH(ROWS($V$2:V991),$V$2:$V$1001,0),0), INDEX($AC$1004:$AS$1004,1,MATCH(COLUMNS($AC$1006:AL1006),$AC$1006:$AS$1006,0)))),"Fix")))</f>
        <v xml:space="preserve"> </v>
      </c>
      <c r="L991" s="4" t="str">
        <f ca="1">IF(OR(INDEX($W$2:$W$1001,MATCH(ROWS($V$2:V991),$V$2:$V$1001,0),1)&gt;=100000,INDEX($AC$1005:$AS$1005,1,MATCH(COLUMNS($AC$1006:AM1006),$AC$1006:$AS$1006,0))&gt;=100000), " ",IF(INDEX($AC$2:$AS$1001,MATCH(ROWS($V$2:V991),$V$2:$V$1001,0),MATCH(COLUMNS($AC$1006:AM1006),$AC$1006:$AS$1006,0)), HYPERLINK("#",""), HYPERLINK(CONCATENATE("#metadata!", ADDRESS(INDEX($X$2:$X$1001,MATCH(ROWS($V$2:V991),$V$2:$V$1001,0),0), INDEX($AC$1004:$AS$1004,1,MATCH(COLUMNS($AC$1006:AM1006),$AC$1006:$AS$1006,0)))),"Fix")))</f>
        <v xml:space="preserve"> </v>
      </c>
      <c r="M991" s="4" t="str">
        <f ca="1">IF(OR(INDEX($W$2:$W$1001,MATCH(ROWS($V$2:V991),$V$2:$V$1001,0),1)&gt;=100000,INDEX($AC$1005:$AS$1005,1,MATCH(COLUMNS($AC$1006:AN1006),$AC$1006:$AS$1006,0))&gt;=100000), " ",IF(INDEX($AC$2:$AS$1001,MATCH(ROWS($V$2:V991),$V$2:$V$1001,0),MATCH(COLUMNS($AC$1006:AN1006),$AC$1006:$AS$1006,0)), HYPERLINK("#",""), HYPERLINK(CONCATENATE("#metadata!", ADDRESS(INDEX($X$2:$X$1001,MATCH(ROWS($V$2:V991),$V$2:$V$1001,0),0), INDEX($AC$1004:$AS$1004,1,MATCH(COLUMNS($AC$1006:AN1006),$AC$1006:$AS$1006,0)))),"Fix")))</f>
        <v xml:space="preserve"> </v>
      </c>
      <c r="N991" s="4" t="str">
        <f ca="1">IF(OR(INDEX($W$2:$W$1001,MATCH(ROWS($V$2:V991),$V$2:$V$1001,0),1)&gt;=100000,INDEX($AC$1005:$AS$1005,1,MATCH(COLUMNS($AC$1006:AO1006),$AC$1006:$AS$1006,0))&gt;=100000), " ",IF(INDEX($AC$2:$AS$1001,MATCH(ROWS($V$2:V991),$V$2:$V$1001,0),MATCH(COLUMNS($AC$1006:AO1006),$AC$1006:$AS$1006,0)), HYPERLINK("#",""), HYPERLINK(CONCATENATE("#metadata!", ADDRESS(INDEX($X$2:$X$1001,MATCH(ROWS($V$2:V991),$V$2:$V$1001,0),0), INDEX($AC$1004:$AS$1004,1,MATCH(COLUMNS($AC$1006:AO1006),$AC$1006:$AS$1006,0)))),"Fix")))</f>
        <v xml:space="preserve"> </v>
      </c>
      <c r="O991" s="4" t="str">
        <f ca="1">IF(OR(INDEX($W$2:$W$1001,MATCH(ROWS($V$2:V991),$V$2:$V$1001,0),1)&gt;=100000,INDEX($AC$1005:$AS$1005,1,MATCH(COLUMNS($AC$1006:AP1006),$AC$1006:$AS$1006,0))&gt;=100000), " ",IF(INDEX($AC$2:$AS$1001,MATCH(ROWS($V$2:V991),$V$2:$V$1001,0),MATCH(COLUMNS($AC$1006:AP1006),$AC$1006:$AS$1006,0)), HYPERLINK("#",""), HYPERLINK(CONCATENATE("#metadata!", ADDRESS(INDEX($X$2:$X$1001,MATCH(ROWS($V$2:V991),$V$2:$V$1001,0),0), INDEX($AC$1004:$AS$1004,1,MATCH(COLUMNS($AC$1006:AP1006),$AC$1006:$AS$1006,0)))),"Fix")))</f>
        <v xml:space="preserve"> </v>
      </c>
      <c r="P991" s="4" t="str">
        <f ca="1">IF(OR(INDEX($W$2:$W$1001,MATCH(ROWS($V$2:V991),$V$2:$V$1001,0),1)&gt;=100000,INDEX($AC$1005:$AS$1005,1,MATCH(COLUMNS($AC$1006:AQ1006),$AC$1006:$AS$1006,0))&gt;=100000), " ",IF(INDEX($AC$2:$AS$1001,MATCH(ROWS($V$2:V991),$V$2:$V$1001,0),MATCH(COLUMNS($AC$1006:AQ1006),$AC$1006:$AS$1006,0)), HYPERLINK("#",""), HYPERLINK(CONCATENATE("#metadata!", ADDRESS(INDEX($X$2:$X$1001,MATCH(ROWS($V$2:V991),$V$2:$V$1001,0),0), INDEX($AC$1004:$AS$1004,1,MATCH(COLUMNS($AC$1006:AQ1006),$AC$1006:$AS$1006,0)))),"Fix")))</f>
        <v xml:space="preserve"> </v>
      </c>
      <c r="Q991" s="4" t="str">
        <f ca="1">IF(OR(INDEX($W$2:$W$1001,MATCH(ROWS($V$2:V991),$V$2:$V$1001,0),1)&gt;=100000,INDEX($AC$1005:$AS$1005,1,MATCH(COLUMNS($AC$1006:AR1006),$AC$1006:$AS$1006,0))&gt;=100000), " ",IF(INDEX($AC$2:$AS$1001,MATCH(ROWS($V$2:V991),$V$2:$V$1001,0),MATCH(COLUMNS($AC$1006:AR1006),$AC$1006:$AS$1006,0)), HYPERLINK("#",""), HYPERLINK(CONCATENATE("#metadata!", ADDRESS(INDEX($X$2:$X$1001,MATCH(ROWS($V$2:V991),$V$2:$V$1001,0),0), INDEX($AC$1004:$AS$1004,1,MATCH(COLUMNS($AC$1006:AR1006),$AC$1006:$AS$1006,0)))),"Fix")))</f>
        <v xml:space="preserve"> </v>
      </c>
      <c r="R991" s="4" t="str">
        <f ca="1">IF(OR(INDEX($W$2:$W$1001,MATCH(ROWS($V$2:V991),$V$2:$V$1001,0),1)&gt;=100000,INDEX($AC$1005:$AS$1005,1,MATCH(COLUMNS($AC$1006:AS1006),$AC$1006:$AS$1006,0))&gt;=100000), " ",IF(INDEX($AC$2:$AS$1001,MATCH(ROWS($V$2:V991),$V$2:$V$1001,0),MATCH(COLUMNS($AC$1006:AS1006),$AC$1006:$AS$1006,0)), HYPERLINK("#",""), HYPERLINK(CONCATENATE("#metadata!", ADDRESS(INDEX($X$2:$X$1001,MATCH(ROWS($V$2:V991),$V$2:$V$1001,0),0), INDEX($AC$1004:$AS$1004,1,MATCH(COLUMNS($AC$1006:AS1006),$AC$1006:$AS$1006,0)))),"Fix")))</f>
        <v xml:space="preserve"> </v>
      </c>
      <c r="V991">
        <v>990</v>
      </c>
      <c r="W991">
        <v>100991</v>
      </c>
      <c r="X991">
        <v>991</v>
      </c>
      <c r="Y991" t="b">
        <f t="shared" si="15"/>
        <v>1</v>
      </c>
      <c r="Z991" t="b">
        <f>COUNTBLANK(metadata!B991:R991)=COLUMNS(metadata!B991:R991)</f>
        <v>1</v>
      </c>
      <c r="AA991" t="str">
        <v/>
      </c>
      <c r="AC991" t="b">
        <f ca="1"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AD991" t="b">
        <f>IF(metadata!C991="",FALSE,ISNUMBER(VALUE(metadata!C991)))</f>
        <v>0</v>
      </c>
      <c r="AE991" t="b">
        <f>AND(IF(metadata!D991="",FALSE,TRUE),EXACT(metadata!D991,"years"))</f>
        <v>0</v>
      </c>
      <c r="AF991" t="b">
        <f>OR(AND(IF(metadata!E991="",FALSE,TRUE),OR(EXACT(metadata!E991,"not applicable"),EXACT(metadata!E991,"missing: not collected"),EXACT(metadata!E991,"missing: not provided"),EXACT(metadata!E991,"missing: restricted access"))),AND(IF(metadata!E991="",FALSE,ISNUMBER(VALUE(metadata!E991))),metadata!E991&gt;0))</f>
        <v>0</v>
      </c>
      <c r="AG991" t="b">
        <f>AND(IF(metadata!F991="",FALSE,TRUE),EXACT(metadata!F991,"Not applicable"))</f>
        <v>0</v>
      </c>
      <c r="AH991" t="b">
        <f>AND(IF(metadata!G991="",FALSE,TRUE),EXACT(metadata!G991,"urban biome"))</f>
        <v>0</v>
      </c>
      <c r="AI991" t="b">
        <f>AND(IF(metadata!H991="",FALSE,TRUE),EXACT(metadata!H991,"human-associated habitat"))</f>
        <v>0</v>
      </c>
      <c r="AJ991" t="b">
        <f>AND(IF(metadata!I991="",FALSE,TRUE),OR(EXACT(metadata!I991,"human-associated"),EXACT(metadata!I991,"human-skin"),EXACT(metadata!I991,"human-oral"),EXACT(metadata!I991,"human-gut"),EXACT(metadata!I991,"human-vaginal")))</f>
        <v>0</v>
      </c>
      <c r="AK991" t="b">
        <f>IF(metadata!J991="",FALSE,ISNUMBER(VALUE(metadata!J991)))</f>
        <v>0</v>
      </c>
      <c r="AL991" t="b">
        <f>AND(IF(metadata!K991="",FALSE,TRUE),EXACT(metadata!K991,"cm"))</f>
        <v>0</v>
      </c>
      <c r="AM991" t="b">
        <f>AND(IF(metadata!L991="",FALSE,TRUE),EXACT(metadata!L991,"human"))</f>
        <v>0</v>
      </c>
      <c r="AN991" t="b">
        <f>AND(IF(metadata!M991="",FALSE,TRUE),EXACT(metadata!M991,"Homo sapiens"))</f>
        <v>0</v>
      </c>
      <c r="AO991" t="b">
        <f>AND(IF(metadata!N991="",FALSE,TRUE),EXACT(metadata!N991,"9606"))</f>
        <v>0</v>
      </c>
      <c r="AP991" t="b">
        <f>IF(metadata!O991="",FALSE,TRUE)</f>
        <v>0</v>
      </c>
      <c r="AQ991" t="b">
        <f>IF(metadata!P991="",FALSE,TRUE)</f>
        <v>0</v>
      </c>
      <c r="AR991" t="b">
        <f>IF(metadata!Q991="",FALSE,ISNUMBER(VALUE(metadata!Q991)))</f>
        <v>0</v>
      </c>
      <c r="AS991" t="b">
        <f>AND(IF(metadata!R991="",FALSE,TRUE),EXACT(metadata!R991,"kg"))</f>
        <v>0</v>
      </c>
    </row>
    <row r="992" spans="1:45" x14ac:dyDescent="0.2">
      <c r="A992" s="5" t="str">
        <f ca="1">IF(B992=" "," ",HYPERLINK(CONCATENATE("#metadata!",ADDRESS(INDEX($X$2:$X$1001,MATCH(ROWS($V$2:V992),$V$2:$V$1001,0),0),1)),INDEX($AA$2:$AA$1001,MATCH(ROWS($V$2:V992),$V$2:$V$1001,0),0)))</f>
        <v xml:space="preserve"> </v>
      </c>
      <c r="B992" s="4" t="str">
        <f ca="1">IF(OR(INDEX($W$2:$W$1001,MATCH(ROWS($V$2:V992),$V$2:$V$1001,0),1)&gt;=100000,INDEX($AC$1005:$AS$1005,1,MATCH(COLUMNS($AC$1006:AC1006),$AC$1006:$AS$1006,0))&gt;=100000), " ",IF(INDEX($AC$2:$AS$1001,MATCH(ROWS($V$2:V992),$V$2:$V$1001,0),MATCH(COLUMNS($AC$1006:AC1006),$AC$1006:$AS$1006,0)), HYPERLINK("#",""), HYPERLINK(CONCATENATE("#metadata!", ADDRESS(INDEX($X$2:$X$1001,MATCH(ROWS($V$2:V992),$V$2:$V$1001,0),0), INDEX($AC$1004:$AS$1004,1,MATCH(COLUMNS($AC$1006:AC1006),$AC$1006:$AS$1006,0)))),"Fix")))</f>
        <v xml:space="preserve"> </v>
      </c>
      <c r="C992" s="4" t="str">
        <f ca="1">IF(OR(INDEX($W$2:$W$1001,MATCH(ROWS($V$2:V992),$V$2:$V$1001,0),1)&gt;=100000,INDEX($AC$1005:$AS$1005,1,MATCH(COLUMNS($AC$1006:AD1006),$AC$1006:$AS$1006,0))&gt;=100000), " ",IF(INDEX($AC$2:$AS$1001,MATCH(ROWS($V$2:V992),$V$2:$V$1001,0),MATCH(COLUMNS($AC$1006:AD1006),$AC$1006:$AS$1006,0)), HYPERLINK("#",""), HYPERLINK(CONCATENATE("#metadata!", ADDRESS(INDEX($X$2:$X$1001,MATCH(ROWS($V$2:V992),$V$2:$V$1001,0),0), INDEX($AC$1004:$AS$1004,1,MATCH(COLUMNS($AC$1006:AD1006),$AC$1006:$AS$1006,0)))),"Fix")))</f>
        <v xml:space="preserve"> </v>
      </c>
      <c r="D992" s="4" t="str">
        <f ca="1">IF(OR(INDEX($W$2:$W$1001,MATCH(ROWS($V$2:V992),$V$2:$V$1001,0),1)&gt;=100000,INDEX($AC$1005:$AS$1005,1,MATCH(COLUMNS($AC$1006:AE1006),$AC$1006:$AS$1006,0))&gt;=100000), " ",IF(INDEX($AC$2:$AS$1001,MATCH(ROWS($V$2:V992),$V$2:$V$1001,0),MATCH(COLUMNS($AC$1006:AE1006),$AC$1006:$AS$1006,0)), HYPERLINK("#",""), HYPERLINK(CONCATENATE("#metadata!", ADDRESS(INDEX($X$2:$X$1001,MATCH(ROWS($V$2:V992),$V$2:$V$1001,0),0), INDEX($AC$1004:$AS$1004,1,MATCH(COLUMNS($AC$1006:AE1006),$AC$1006:$AS$1006,0)))),"Fix")))</f>
        <v xml:space="preserve"> </v>
      </c>
      <c r="E992" s="4" t="str">
        <f ca="1">IF(OR(INDEX($W$2:$W$1001,MATCH(ROWS($V$2:V992),$V$2:$V$1001,0),1)&gt;=100000,INDEX($AC$1005:$AS$1005,1,MATCH(COLUMNS($AC$1006:AF1006),$AC$1006:$AS$1006,0))&gt;=100000), " ",IF(INDEX($AC$2:$AS$1001,MATCH(ROWS($V$2:V992),$V$2:$V$1001,0),MATCH(COLUMNS($AC$1006:AF1006),$AC$1006:$AS$1006,0)), HYPERLINK("#",""), HYPERLINK(CONCATENATE("#metadata!", ADDRESS(INDEX($X$2:$X$1001,MATCH(ROWS($V$2:V992),$V$2:$V$1001,0),0), INDEX($AC$1004:$AS$1004,1,MATCH(COLUMNS($AC$1006:AF1006),$AC$1006:$AS$1006,0)))),"Fix")))</f>
        <v xml:space="preserve"> </v>
      </c>
      <c r="F992" s="4" t="str">
        <f ca="1">IF(OR(INDEX($W$2:$W$1001,MATCH(ROWS($V$2:V992),$V$2:$V$1001,0),1)&gt;=100000,INDEX($AC$1005:$AS$1005,1,MATCH(COLUMNS($AC$1006:AG1006),$AC$1006:$AS$1006,0))&gt;=100000), " ",IF(INDEX($AC$2:$AS$1001,MATCH(ROWS($V$2:V992),$V$2:$V$1001,0),MATCH(COLUMNS($AC$1006:AG1006),$AC$1006:$AS$1006,0)), HYPERLINK("#",""), HYPERLINK(CONCATENATE("#metadata!", ADDRESS(INDEX($X$2:$X$1001,MATCH(ROWS($V$2:V992),$V$2:$V$1001,0),0), INDEX($AC$1004:$AS$1004,1,MATCH(COLUMNS($AC$1006:AG1006),$AC$1006:$AS$1006,0)))),"Fix")))</f>
        <v xml:space="preserve"> </v>
      </c>
      <c r="G992" s="4" t="str">
        <f ca="1">IF(OR(INDEX($W$2:$W$1001,MATCH(ROWS($V$2:V992),$V$2:$V$1001,0),1)&gt;=100000,INDEX($AC$1005:$AS$1005,1,MATCH(COLUMNS($AC$1006:AH1006),$AC$1006:$AS$1006,0))&gt;=100000), " ",IF(INDEX($AC$2:$AS$1001,MATCH(ROWS($V$2:V992),$V$2:$V$1001,0),MATCH(COLUMNS($AC$1006:AH1006),$AC$1006:$AS$1006,0)), HYPERLINK("#",""), HYPERLINK(CONCATENATE("#metadata!", ADDRESS(INDEX($X$2:$X$1001,MATCH(ROWS($V$2:V992),$V$2:$V$1001,0),0), INDEX($AC$1004:$AS$1004,1,MATCH(COLUMNS($AC$1006:AH1006),$AC$1006:$AS$1006,0)))),"Fix")))</f>
        <v xml:space="preserve"> </v>
      </c>
      <c r="H992" s="4" t="str">
        <f ca="1">IF(OR(INDEX($W$2:$W$1001,MATCH(ROWS($V$2:V992),$V$2:$V$1001,0),1)&gt;=100000,INDEX($AC$1005:$AS$1005,1,MATCH(COLUMNS($AC$1006:AI1006),$AC$1006:$AS$1006,0))&gt;=100000), " ",IF(INDEX($AC$2:$AS$1001,MATCH(ROWS($V$2:V992),$V$2:$V$1001,0),MATCH(COLUMNS($AC$1006:AI1006),$AC$1006:$AS$1006,0)), HYPERLINK("#",""), HYPERLINK(CONCATENATE("#metadata!", ADDRESS(INDEX($X$2:$X$1001,MATCH(ROWS($V$2:V992),$V$2:$V$1001,0),0), INDEX($AC$1004:$AS$1004,1,MATCH(COLUMNS($AC$1006:AI1006),$AC$1006:$AS$1006,0)))),"Fix")))</f>
        <v xml:space="preserve"> </v>
      </c>
      <c r="I992" s="4" t="str">
        <f ca="1">IF(OR(INDEX($W$2:$W$1001,MATCH(ROWS($V$2:V992),$V$2:$V$1001,0),1)&gt;=100000,INDEX($AC$1005:$AS$1005,1,MATCH(COLUMNS($AC$1006:AJ1006),$AC$1006:$AS$1006,0))&gt;=100000), " ",IF(INDEX($AC$2:$AS$1001,MATCH(ROWS($V$2:V992),$V$2:$V$1001,0),MATCH(COLUMNS($AC$1006:AJ1006),$AC$1006:$AS$1006,0)), HYPERLINK("#",""), HYPERLINK(CONCATENATE("#metadata!", ADDRESS(INDEX($X$2:$X$1001,MATCH(ROWS($V$2:V992),$V$2:$V$1001,0),0), INDEX($AC$1004:$AS$1004,1,MATCH(COLUMNS($AC$1006:AJ1006),$AC$1006:$AS$1006,0)))),"Fix")))</f>
        <v xml:space="preserve"> </v>
      </c>
      <c r="J992" s="4" t="str">
        <f ca="1">IF(OR(INDEX($W$2:$W$1001,MATCH(ROWS($V$2:V992),$V$2:$V$1001,0),1)&gt;=100000,INDEX($AC$1005:$AS$1005,1,MATCH(COLUMNS($AC$1006:AK1006),$AC$1006:$AS$1006,0))&gt;=100000), " ",IF(INDEX($AC$2:$AS$1001,MATCH(ROWS($V$2:V992),$V$2:$V$1001,0),MATCH(COLUMNS($AC$1006:AK1006),$AC$1006:$AS$1006,0)), HYPERLINK("#",""), HYPERLINK(CONCATENATE("#metadata!", ADDRESS(INDEX($X$2:$X$1001,MATCH(ROWS($V$2:V992),$V$2:$V$1001,0),0), INDEX($AC$1004:$AS$1004,1,MATCH(COLUMNS($AC$1006:AK1006),$AC$1006:$AS$1006,0)))),"Fix")))</f>
        <v xml:space="preserve"> </v>
      </c>
      <c r="K992" s="4" t="str">
        <f ca="1">IF(OR(INDEX($W$2:$W$1001,MATCH(ROWS($V$2:V992),$V$2:$V$1001,0),1)&gt;=100000,INDEX($AC$1005:$AS$1005,1,MATCH(COLUMNS($AC$1006:AL1006),$AC$1006:$AS$1006,0))&gt;=100000), " ",IF(INDEX($AC$2:$AS$1001,MATCH(ROWS($V$2:V992),$V$2:$V$1001,0),MATCH(COLUMNS($AC$1006:AL1006),$AC$1006:$AS$1006,0)), HYPERLINK("#",""), HYPERLINK(CONCATENATE("#metadata!", ADDRESS(INDEX($X$2:$X$1001,MATCH(ROWS($V$2:V992),$V$2:$V$1001,0),0), INDEX($AC$1004:$AS$1004,1,MATCH(COLUMNS($AC$1006:AL1006),$AC$1006:$AS$1006,0)))),"Fix")))</f>
        <v xml:space="preserve"> </v>
      </c>
      <c r="L992" s="4" t="str">
        <f ca="1">IF(OR(INDEX($W$2:$W$1001,MATCH(ROWS($V$2:V992),$V$2:$V$1001,0),1)&gt;=100000,INDEX($AC$1005:$AS$1005,1,MATCH(COLUMNS($AC$1006:AM1006),$AC$1006:$AS$1006,0))&gt;=100000), " ",IF(INDEX($AC$2:$AS$1001,MATCH(ROWS($V$2:V992),$V$2:$V$1001,0),MATCH(COLUMNS($AC$1006:AM1006),$AC$1006:$AS$1006,0)), HYPERLINK("#",""), HYPERLINK(CONCATENATE("#metadata!", ADDRESS(INDEX($X$2:$X$1001,MATCH(ROWS($V$2:V992),$V$2:$V$1001,0),0), INDEX($AC$1004:$AS$1004,1,MATCH(COLUMNS($AC$1006:AM1006),$AC$1006:$AS$1006,0)))),"Fix")))</f>
        <v xml:space="preserve"> </v>
      </c>
      <c r="M992" s="4" t="str">
        <f ca="1">IF(OR(INDEX($W$2:$W$1001,MATCH(ROWS($V$2:V992),$V$2:$V$1001,0),1)&gt;=100000,INDEX($AC$1005:$AS$1005,1,MATCH(COLUMNS($AC$1006:AN1006),$AC$1006:$AS$1006,0))&gt;=100000), " ",IF(INDEX($AC$2:$AS$1001,MATCH(ROWS($V$2:V992),$V$2:$V$1001,0),MATCH(COLUMNS($AC$1006:AN1006),$AC$1006:$AS$1006,0)), HYPERLINK("#",""), HYPERLINK(CONCATENATE("#metadata!", ADDRESS(INDEX($X$2:$X$1001,MATCH(ROWS($V$2:V992),$V$2:$V$1001,0),0), INDEX($AC$1004:$AS$1004,1,MATCH(COLUMNS($AC$1006:AN1006),$AC$1006:$AS$1006,0)))),"Fix")))</f>
        <v xml:space="preserve"> </v>
      </c>
      <c r="N992" s="4" t="str">
        <f ca="1">IF(OR(INDEX($W$2:$W$1001,MATCH(ROWS($V$2:V992),$V$2:$V$1001,0),1)&gt;=100000,INDEX($AC$1005:$AS$1005,1,MATCH(COLUMNS($AC$1006:AO1006),$AC$1006:$AS$1006,0))&gt;=100000), " ",IF(INDEX($AC$2:$AS$1001,MATCH(ROWS($V$2:V992),$V$2:$V$1001,0),MATCH(COLUMNS($AC$1006:AO1006),$AC$1006:$AS$1006,0)), HYPERLINK("#",""), HYPERLINK(CONCATENATE("#metadata!", ADDRESS(INDEX($X$2:$X$1001,MATCH(ROWS($V$2:V992),$V$2:$V$1001,0),0), INDEX($AC$1004:$AS$1004,1,MATCH(COLUMNS($AC$1006:AO1006),$AC$1006:$AS$1006,0)))),"Fix")))</f>
        <v xml:space="preserve"> </v>
      </c>
      <c r="O992" s="4" t="str">
        <f ca="1">IF(OR(INDEX($W$2:$W$1001,MATCH(ROWS($V$2:V992),$V$2:$V$1001,0),1)&gt;=100000,INDEX($AC$1005:$AS$1005,1,MATCH(COLUMNS($AC$1006:AP1006),$AC$1006:$AS$1006,0))&gt;=100000), " ",IF(INDEX($AC$2:$AS$1001,MATCH(ROWS($V$2:V992),$V$2:$V$1001,0),MATCH(COLUMNS($AC$1006:AP1006),$AC$1006:$AS$1006,0)), HYPERLINK("#",""), HYPERLINK(CONCATENATE("#metadata!", ADDRESS(INDEX($X$2:$X$1001,MATCH(ROWS($V$2:V992),$V$2:$V$1001,0),0), INDEX($AC$1004:$AS$1004,1,MATCH(COLUMNS($AC$1006:AP1006),$AC$1006:$AS$1006,0)))),"Fix")))</f>
        <v xml:space="preserve"> </v>
      </c>
      <c r="P992" s="4" t="str">
        <f ca="1">IF(OR(INDEX($W$2:$W$1001,MATCH(ROWS($V$2:V992),$V$2:$V$1001,0),1)&gt;=100000,INDEX($AC$1005:$AS$1005,1,MATCH(COLUMNS($AC$1006:AQ1006),$AC$1006:$AS$1006,0))&gt;=100000), " ",IF(INDEX($AC$2:$AS$1001,MATCH(ROWS($V$2:V992),$V$2:$V$1001,0),MATCH(COLUMNS($AC$1006:AQ1006),$AC$1006:$AS$1006,0)), HYPERLINK("#",""), HYPERLINK(CONCATENATE("#metadata!", ADDRESS(INDEX($X$2:$X$1001,MATCH(ROWS($V$2:V992),$V$2:$V$1001,0),0), INDEX($AC$1004:$AS$1004,1,MATCH(COLUMNS($AC$1006:AQ1006),$AC$1006:$AS$1006,0)))),"Fix")))</f>
        <v xml:space="preserve"> </v>
      </c>
      <c r="Q992" s="4" t="str">
        <f ca="1">IF(OR(INDEX($W$2:$W$1001,MATCH(ROWS($V$2:V992),$V$2:$V$1001,0),1)&gt;=100000,INDEX($AC$1005:$AS$1005,1,MATCH(COLUMNS($AC$1006:AR1006),$AC$1006:$AS$1006,0))&gt;=100000), " ",IF(INDEX($AC$2:$AS$1001,MATCH(ROWS($V$2:V992),$V$2:$V$1001,0),MATCH(COLUMNS($AC$1006:AR1006),$AC$1006:$AS$1006,0)), HYPERLINK("#",""), HYPERLINK(CONCATENATE("#metadata!", ADDRESS(INDEX($X$2:$X$1001,MATCH(ROWS($V$2:V992),$V$2:$V$1001,0),0), INDEX($AC$1004:$AS$1004,1,MATCH(COLUMNS($AC$1006:AR1006),$AC$1006:$AS$1006,0)))),"Fix")))</f>
        <v xml:space="preserve"> </v>
      </c>
      <c r="R992" s="4" t="str">
        <f ca="1">IF(OR(INDEX($W$2:$W$1001,MATCH(ROWS($V$2:V992),$V$2:$V$1001,0),1)&gt;=100000,INDEX($AC$1005:$AS$1005,1,MATCH(COLUMNS($AC$1006:AS1006),$AC$1006:$AS$1006,0))&gt;=100000), " ",IF(INDEX($AC$2:$AS$1001,MATCH(ROWS($V$2:V992),$V$2:$V$1001,0),MATCH(COLUMNS($AC$1006:AS1006),$AC$1006:$AS$1006,0)), HYPERLINK("#",""), HYPERLINK(CONCATENATE("#metadata!", ADDRESS(INDEX($X$2:$X$1001,MATCH(ROWS($V$2:V992),$V$2:$V$1001,0),0), INDEX($AC$1004:$AS$1004,1,MATCH(COLUMNS($AC$1006:AS1006),$AC$1006:$AS$1006,0)))),"Fix")))</f>
        <v xml:space="preserve"> </v>
      </c>
      <c r="V992">
        <v>991</v>
      </c>
      <c r="W992">
        <v>100992</v>
      </c>
      <c r="X992">
        <v>992</v>
      </c>
      <c r="Y992" t="b">
        <f t="shared" si="15"/>
        <v>1</v>
      </c>
      <c r="Z992" t="b">
        <f>COUNTBLANK(metadata!B992:R992)=COLUMNS(metadata!B992:R992)</f>
        <v>1</v>
      </c>
      <c r="AA992" t="str">
        <v/>
      </c>
      <c r="AC992" t="b">
        <f ca="1"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AD992" t="b">
        <f>IF(metadata!C992="",FALSE,ISNUMBER(VALUE(metadata!C992)))</f>
        <v>0</v>
      </c>
      <c r="AE992" t="b">
        <f>AND(IF(metadata!D992="",FALSE,TRUE),EXACT(metadata!D992,"years"))</f>
        <v>0</v>
      </c>
      <c r="AF992" t="b">
        <f>OR(AND(IF(metadata!E992="",FALSE,TRUE),OR(EXACT(metadata!E992,"not applicable"),EXACT(metadata!E992,"missing: not collected"),EXACT(metadata!E992,"missing: not provided"),EXACT(metadata!E992,"missing: restricted access"))),AND(IF(metadata!E992="",FALSE,ISNUMBER(VALUE(metadata!E992))),metadata!E992&gt;0))</f>
        <v>0</v>
      </c>
      <c r="AG992" t="b">
        <f>AND(IF(metadata!F992="",FALSE,TRUE),EXACT(metadata!F992,"Not applicable"))</f>
        <v>0</v>
      </c>
      <c r="AH992" t="b">
        <f>AND(IF(metadata!G992="",FALSE,TRUE),EXACT(metadata!G992,"urban biome"))</f>
        <v>0</v>
      </c>
      <c r="AI992" t="b">
        <f>AND(IF(metadata!H992="",FALSE,TRUE),EXACT(metadata!H992,"human-associated habitat"))</f>
        <v>0</v>
      </c>
      <c r="AJ992" t="b">
        <f>AND(IF(metadata!I992="",FALSE,TRUE),OR(EXACT(metadata!I992,"human-associated"),EXACT(metadata!I992,"human-skin"),EXACT(metadata!I992,"human-oral"),EXACT(metadata!I992,"human-gut"),EXACT(metadata!I992,"human-vaginal")))</f>
        <v>0</v>
      </c>
      <c r="AK992" t="b">
        <f>IF(metadata!J992="",FALSE,ISNUMBER(VALUE(metadata!J992)))</f>
        <v>0</v>
      </c>
      <c r="AL992" t="b">
        <f>AND(IF(metadata!K992="",FALSE,TRUE),EXACT(metadata!K992,"cm"))</f>
        <v>0</v>
      </c>
      <c r="AM992" t="b">
        <f>AND(IF(metadata!L992="",FALSE,TRUE),EXACT(metadata!L992,"human"))</f>
        <v>0</v>
      </c>
      <c r="AN992" t="b">
        <f>AND(IF(metadata!M992="",FALSE,TRUE),EXACT(metadata!M992,"Homo sapiens"))</f>
        <v>0</v>
      </c>
      <c r="AO992" t="b">
        <f>AND(IF(metadata!N992="",FALSE,TRUE),EXACT(metadata!N992,"9606"))</f>
        <v>0</v>
      </c>
      <c r="AP992" t="b">
        <f>IF(metadata!O992="",FALSE,TRUE)</f>
        <v>0</v>
      </c>
      <c r="AQ992" t="b">
        <f>IF(metadata!P992="",FALSE,TRUE)</f>
        <v>0</v>
      </c>
      <c r="AR992" t="b">
        <f>IF(metadata!Q992="",FALSE,ISNUMBER(VALUE(metadata!Q992)))</f>
        <v>0</v>
      </c>
      <c r="AS992" t="b">
        <f>AND(IF(metadata!R992="",FALSE,TRUE),EXACT(metadata!R992,"kg"))</f>
        <v>0</v>
      </c>
    </row>
    <row r="993" spans="1:45" x14ac:dyDescent="0.2">
      <c r="A993" s="5" t="str">
        <f ca="1">IF(B993=" "," ",HYPERLINK(CONCATENATE("#metadata!",ADDRESS(INDEX($X$2:$X$1001,MATCH(ROWS($V$2:V993),$V$2:$V$1001,0),0),1)),INDEX($AA$2:$AA$1001,MATCH(ROWS($V$2:V993),$V$2:$V$1001,0),0)))</f>
        <v xml:space="preserve"> </v>
      </c>
      <c r="B993" s="4" t="str">
        <f ca="1">IF(OR(INDEX($W$2:$W$1001,MATCH(ROWS($V$2:V993),$V$2:$V$1001,0),1)&gt;=100000,INDEX($AC$1005:$AS$1005,1,MATCH(COLUMNS($AC$1006:AC1006),$AC$1006:$AS$1006,0))&gt;=100000), " ",IF(INDEX($AC$2:$AS$1001,MATCH(ROWS($V$2:V993),$V$2:$V$1001,0),MATCH(COLUMNS($AC$1006:AC1006),$AC$1006:$AS$1006,0)), HYPERLINK("#",""), HYPERLINK(CONCATENATE("#metadata!", ADDRESS(INDEX($X$2:$X$1001,MATCH(ROWS($V$2:V993),$V$2:$V$1001,0),0), INDEX($AC$1004:$AS$1004,1,MATCH(COLUMNS($AC$1006:AC1006),$AC$1006:$AS$1006,0)))),"Fix")))</f>
        <v xml:space="preserve"> </v>
      </c>
      <c r="C993" s="4" t="str">
        <f ca="1">IF(OR(INDEX($W$2:$W$1001,MATCH(ROWS($V$2:V993),$V$2:$V$1001,0),1)&gt;=100000,INDEX($AC$1005:$AS$1005,1,MATCH(COLUMNS($AC$1006:AD1006),$AC$1006:$AS$1006,0))&gt;=100000), " ",IF(INDEX($AC$2:$AS$1001,MATCH(ROWS($V$2:V993),$V$2:$V$1001,0),MATCH(COLUMNS($AC$1006:AD1006),$AC$1006:$AS$1006,0)), HYPERLINK("#",""), HYPERLINK(CONCATENATE("#metadata!", ADDRESS(INDEX($X$2:$X$1001,MATCH(ROWS($V$2:V993),$V$2:$V$1001,0),0), INDEX($AC$1004:$AS$1004,1,MATCH(COLUMNS($AC$1006:AD1006),$AC$1006:$AS$1006,0)))),"Fix")))</f>
        <v xml:space="preserve"> </v>
      </c>
      <c r="D993" s="4" t="str">
        <f ca="1">IF(OR(INDEX($W$2:$W$1001,MATCH(ROWS($V$2:V993),$V$2:$V$1001,0),1)&gt;=100000,INDEX($AC$1005:$AS$1005,1,MATCH(COLUMNS($AC$1006:AE1006),$AC$1006:$AS$1006,0))&gt;=100000), " ",IF(INDEX($AC$2:$AS$1001,MATCH(ROWS($V$2:V993),$V$2:$V$1001,0),MATCH(COLUMNS($AC$1006:AE1006),$AC$1006:$AS$1006,0)), HYPERLINK("#",""), HYPERLINK(CONCATENATE("#metadata!", ADDRESS(INDEX($X$2:$X$1001,MATCH(ROWS($V$2:V993),$V$2:$V$1001,0),0), INDEX($AC$1004:$AS$1004,1,MATCH(COLUMNS($AC$1006:AE1006),$AC$1006:$AS$1006,0)))),"Fix")))</f>
        <v xml:space="preserve"> </v>
      </c>
      <c r="E993" s="4" t="str">
        <f ca="1">IF(OR(INDEX($W$2:$W$1001,MATCH(ROWS($V$2:V993),$V$2:$V$1001,0),1)&gt;=100000,INDEX($AC$1005:$AS$1005,1,MATCH(COLUMNS($AC$1006:AF1006),$AC$1006:$AS$1006,0))&gt;=100000), " ",IF(INDEX($AC$2:$AS$1001,MATCH(ROWS($V$2:V993),$V$2:$V$1001,0),MATCH(COLUMNS($AC$1006:AF1006),$AC$1006:$AS$1006,0)), HYPERLINK("#",""), HYPERLINK(CONCATENATE("#metadata!", ADDRESS(INDEX($X$2:$X$1001,MATCH(ROWS($V$2:V993),$V$2:$V$1001,0),0), INDEX($AC$1004:$AS$1004,1,MATCH(COLUMNS($AC$1006:AF1006),$AC$1006:$AS$1006,0)))),"Fix")))</f>
        <v xml:space="preserve"> </v>
      </c>
      <c r="F993" s="4" t="str">
        <f ca="1">IF(OR(INDEX($W$2:$W$1001,MATCH(ROWS($V$2:V993),$V$2:$V$1001,0),1)&gt;=100000,INDEX($AC$1005:$AS$1005,1,MATCH(COLUMNS($AC$1006:AG1006),$AC$1006:$AS$1006,0))&gt;=100000), " ",IF(INDEX($AC$2:$AS$1001,MATCH(ROWS($V$2:V993),$V$2:$V$1001,0),MATCH(COLUMNS($AC$1006:AG1006),$AC$1006:$AS$1006,0)), HYPERLINK("#",""), HYPERLINK(CONCATENATE("#metadata!", ADDRESS(INDEX($X$2:$X$1001,MATCH(ROWS($V$2:V993),$V$2:$V$1001,0),0), INDEX($AC$1004:$AS$1004,1,MATCH(COLUMNS($AC$1006:AG1006),$AC$1006:$AS$1006,0)))),"Fix")))</f>
        <v xml:space="preserve"> </v>
      </c>
      <c r="G993" s="4" t="str">
        <f ca="1">IF(OR(INDEX($W$2:$W$1001,MATCH(ROWS($V$2:V993),$V$2:$V$1001,0),1)&gt;=100000,INDEX($AC$1005:$AS$1005,1,MATCH(COLUMNS($AC$1006:AH1006),$AC$1006:$AS$1006,0))&gt;=100000), " ",IF(INDEX($AC$2:$AS$1001,MATCH(ROWS($V$2:V993),$V$2:$V$1001,0),MATCH(COLUMNS($AC$1006:AH1006),$AC$1006:$AS$1006,0)), HYPERLINK("#",""), HYPERLINK(CONCATENATE("#metadata!", ADDRESS(INDEX($X$2:$X$1001,MATCH(ROWS($V$2:V993),$V$2:$V$1001,0),0), INDEX($AC$1004:$AS$1004,1,MATCH(COLUMNS($AC$1006:AH1006),$AC$1006:$AS$1006,0)))),"Fix")))</f>
        <v xml:space="preserve"> </v>
      </c>
      <c r="H993" s="4" t="str">
        <f ca="1">IF(OR(INDEX($W$2:$W$1001,MATCH(ROWS($V$2:V993),$V$2:$V$1001,0),1)&gt;=100000,INDEX($AC$1005:$AS$1005,1,MATCH(COLUMNS($AC$1006:AI1006),$AC$1006:$AS$1006,0))&gt;=100000), " ",IF(INDEX($AC$2:$AS$1001,MATCH(ROWS($V$2:V993),$V$2:$V$1001,0),MATCH(COLUMNS($AC$1006:AI1006),$AC$1006:$AS$1006,0)), HYPERLINK("#",""), HYPERLINK(CONCATENATE("#metadata!", ADDRESS(INDEX($X$2:$X$1001,MATCH(ROWS($V$2:V993),$V$2:$V$1001,0),0), INDEX($AC$1004:$AS$1004,1,MATCH(COLUMNS($AC$1006:AI1006),$AC$1006:$AS$1006,0)))),"Fix")))</f>
        <v xml:space="preserve"> </v>
      </c>
      <c r="I993" s="4" t="str">
        <f ca="1">IF(OR(INDEX($W$2:$W$1001,MATCH(ROWS($V$2:V993),$V$2:$V$1001,0),1)&gt;=100000,INDEX($AC$1005:$AS$1005,1,MATCH(COLUMNS($AC$1006:AJ1006),$AC$1006:$AS$1006,0))&gt;=100000), " ",IF(INDEX($AC$2:$AS$1001,MATCH(ROWS($V$2:V993),$V$2:$V$1001,0),MATCH(COLUMNS($AC$1006:AJ1006),$AC$1006:$AS$1006,0)), HYPERLINK("#",""), HYPERLINK(CONCATENATE("#metadata!", ADDRESS(INDEX($X$2:$X$1001,MATCH(ROWS($V$2:V993),$V$2:$V$1001,0),0), INDEX($AC$1004:$AS$1004,1,MATCH(COLUMNS($AC$1006:AJ1006),$AC$1006:$AS$1006,0)))),"Fix")))</f>
        <v xml:space="preserve"> </v>
      </c>
      <c r="J993" s="4" t="str">
        <f ca="1">IF(OR(INDEX($W$2:$W$1001,MATCH(ROWS($V$2:V993),$V$2:$V$1001,0),1)&gt;=100000,INDEX($AC$1005:$AS$1005,1,MATCH(COLUMNS($AC$1006:AK1006),$AC$1006:$AS$1006,0))&gt;=100000), " ",IF(INDEX($AC$2:$AS$1001,MATCH(ROWS($V$2:V993),$V$2:$V$1001,0),MATCH(COLUMNS($AC$1006:AK1006),$AC$1006:$AS$1006,0)), HYPERLINK("#",""), HYPERLINK(CONCATENATE("#metadata!", ADDRESS(INDEX($X$2:$X$1001,MATCH(ROWS($V$2:V993),$V$2:$V$1001,0),0), INDEX($AC$1004:$AS$1004,1,MATCH(COLUMNS($AC$1006:AK1006),$AC$1006:$AS$1006,0)))),"Fix")))</f>
        <v xml:space="preserve"> </v>
      </c>
      <c r="K993" s="4" t="str">
        <f ca="1">IF(OR(INDEX($W$2:$W$1001,MATCH(ROWS($V$2:V993),$V$2:$V$1001,0),1)&gt;=100000,INDEX($AC$1005:$AS$1005,1,MATCH(COLUMNS($AC$1006:AL1006),$AC$1006:$AS$1006,0))&gt;=100000), " ",IF(INDEX($AC$2:$AS$1001,MATCH(ROWS($V$2:V993),$V$2:$V$1001,0),MATCH(COLUMNS($AC$1006:AL1006),$AC$1006:$AS$1006,0)), HYPERLINK("#",""), HYPERLINK(CONCATENATE("#metadata!", ADDRESS(INDEX($X$2:$X$1001,MATCH(ROWS($V$2:V993),$V$2:$V$1001,0),0), INDEX($AC$1004:$AS$1004,1,MATCH(COLUMNS($AC$1006:AL1006),$AC$1006:$AS$1006,0)))),"Fix")))</f>
        <v xml:space="preserve"> </v>
      </c>
      <c r="L993" s="4" t="str">
        <f ca="1">IF(OR(INDEX($W$2:$W$1001,MATCH(ROWS($V$2:V993),$V$2:$V$1001,0),1)&gt;=100000,INDEX($AC$1005:$AS$1005,1,MATCH(COLUMNS($AC$1006:AM1006),$AC$1006:$AS$1006,0))&gt;=100000), " ",IF(INDEX($AC$2:$AS$1001,MATCH(ROWS($V$2:V993),$V$2:$V$1001,0),MATCH(COLUMNS($AC$1006:AM1006),$AC$1006:$AS$1006,0)), HYPERLINK("#",""), HYPERLINK(CONCATENATE("#metadata!", ADDRESS(INDEX($X$2:$X$1001,MATCH(ROWS($V$2:V993),$V$2:$V$1001,0),0), INDEX($AC$1004:$AS$1004,1,MATCH(COLUMNS($AC$1006:AM1006),$AC$1006:$AS$1006,0)))),"Fix")))</f>
        <v xml:space="preserve"> </v>
      </c>
      <c r="M993" s="4" t="str">
        <f ca="1">IF(OR(INDEX($W$2:$W$1001,MATCH(ROWS($V$2:V993),$V$2:$V$1001,0),1)&gt;=100000,INDEX($AC$1005:$AS$1005,1,MATCH(COLUMNS($AC$1006:AN1006),$AC$1006:$AS$1006,0))&gt;=100000), " ",IF(INDEX($AC$2:$AS$1001,MATCH(ROWS($V$2:V993),$V$2:$V$1001,0),MATCH(COLUMNS($AC$1006:AN1006),$AC$1006:$AS$1006,0)), HYPERLINK("#",""), HYPERLINK(CONCATENATE("#metadata!", ADDRESS(INDEX($X$2:$X$1001,MATCH(ROWS($V$2:V993),$V$2:$V$1001,0),0), INDEX($AC$1004:$AS$1004,1,MATCH(COLUMNS($AC$1006:AN1006),$AC$1006:$AS$1006,0)))),"Fix")))</f>
        <v xml:space="preserve"> </v>
      </c>
      <c r="N993" s="4" t="str">
        <f ca="1">IF(OR(INDEX($W$2:$W$1001,MATCH(ROWS($V$2:V993),$V$2:$V$1001,0),1)&gt;=100000,INDEX($AC$1005:$AS$1005,1,MATCH(COLUMNS($AC$1006:AO1006),$AC$1006:$AS$1006,0))&gt;=100000), " ",IF(INDEX($AC$2:$AS$1001,MATCH(ROWS($V$2:V993),$V$2:$V$1001,0),MATCH(COLUMNS($AC$1006:AO1006),$AC$1006:$AS$1006,0)), HYPERLINK("#",""), HYPERLINK(CONCATENATE("#metadata!", ADDRESS(INDEX($X$2:$X$1001,MATCH(ROWS($V$2:V993),$V$2:$V$1001,0),0), INDEX($AC$1004:$AS$1004,1,MATCH(COLUMNS($AC$1006:AO1006),$AC$1006:$AS$1006,0)))),"Fix")))</f>
        <v xml:space="preserve"> </v>
      </c>
      <c r="O993" s="4" t="str">
        <f ca="1">IF(OR(INDEX($W$2:$W$1001,MATCH(ROWS($V$2:V993),$V$2:$V$1001,0),1)&gt;=100000,INDEX($AC$1005:$AS$1005,1,MATCH(COLUMNS($AC$1006:AP1006),$AC$1006:$AS$1006,0))&gt;=100000), " ",IF(INDEX($AC$2:$AS$1001,MATCH(ROWS($V$2:V993),$V$2:$V$1001,0),MATCH(COLUMNS($AC$1006:AP1006),$AC$1006:$AS$1006,0)), HYPERLINK("#",""), HYPERLINK(CONCATENATE("#metadata!", ADDRESS(INDEX($X$2:$X$1001,MATCH(ROWS($V$2:V993),$V$2:$V$1001,0),0), INDEX($AC$1004:$AS$1004,1,MATCH(COLUMNS($AC$1006:AP1006),$AC$1006:$AS$1006,0)))),"Fix")))</f>
        <v xml:space="preserve"> </v>
      </c>
      <c r="P993" s="4" t="str">
        <f ca="1">IF(OR(INDEX($W$2:$W$1001,MATCH(ROWS($V$2:V993),$V$2:$V$1001,0),1)&gt;=100000,INDEX($AC$1005:$AS$1005,1,MATCH(COLUMNS($AC$1006:AQ1006),$AC$1006:$AS$1006,0))&gt;=100000), " ",IF(INDEX($AC$2:$AS$1001,MATCH(ROWS($V$2:V993),$V$2:$V$1001,0),MATCH(COLUMNS($AC$1006:AQ1006),$AC$1006:$AS$1006,0)), HYPERLINK("#",""), HYPERLINK(CONCATENATE("#metadata!", ADDRESS(INDEX($X$2:$X$1001,MATCH(ROWS($V$2:V993),$V$2:$V$1001,0),0), INDEX($AC$1004:$AS$1004,1,MATCH(COLUMNS($AC$1006:AQ1006),$AC$1006:$AS$1006,0)))),"Fix")))</f>
        <v xml:space="preserve"> </v>
      </c>
      <c r="Q993" s="4" t="str">
        <f ca="1">IF(OR(INDEX($W$2:$W$1001,MATCH(ROWS($V$2:V993),$V$2:$V$1001,0),1)&gt;=100000,INDEX($AC$1005:$AS$1005,1,MATCH(COLUMNS($AC$1006:AR1006),$AC$1006:$AS$1006,0))&gt;=100000), " ",IF(INDEX($AC$2:$AS$1001,MATCH(ROWS($V$2:V993),$V$2:$V$1001,0),MATCH(COLUMNS($AC$1006:AR1006),$AC$1006:$AS$1006,0)), HYPERLINK("#",""), HYPERLINK(CONCATENATE("#metadata!", ADDRESS(INDEX($X$2:$X$1001,MATCH(ROWS($V$2:V993),$V$2:$V$1001,0),0), INDEX($AC$1004:$AS$1004,1,MATCH(COLUMNS($AC$1006:AR1006),$AC$1006:$AS$1006,0)))),"Fix")))</f>
        <v xml:space="preserve"> </v>
      </c>
      <c r="R993" s="4" t="str">
        <f ca="1">IF(OR(INDEX($W$2:$W$1001,MATCH(ROWS($V$2:V993),$V$2:$V$1001,0),1)&gt;=100000,INDEX($AC$1005:$AS$1005,1,MATCH(COLUMNS($AC$1006:AS1006),$AC$1006:$AS$1006,0))&gt;=100000), " ",IF(INDEX($AC$2:$AS$1001,MATCH(ROWS($V$2:V993),$V$2:$V$1001,0),MATCH(COLUMNS($AC$1006:AS1006),$AC$1006:$AS$1006,0)), HYPERLINK("#",""), HYPERLINK(CONCATENATE("#metadata!", ADDRESS(INDEX($X$2:$X$1001,MATCH(ROWS($V$2:V993),$V$2:$V$1001,0),0), INDEX($AC$1004:$AS$1004,1,MATCH(COLUMNS($AC$1006:AS1006),$AC$1006:$AS$1006,0)))),"Fix")))</f>
        <v xml:space="preserve"> </v>
      </c>
      <c r="V993">
        <v>992</v>
      </c>
      <c r="W993">
        <v>100993</v>
      </c>
      <c r="X993">
        <v>993</v>
      </c>
      <c r="Y993" t="b">
        <f t="shared" si="15"/>
        <v>1</v>
      </c>
      <c r="Z993" t="b">
        <f>COUNTBLANK(metadata!B993:R993)=COLUMNS(metadata!B993:R993)</f>
        <v>1</v>
      </c>
      <c r="AA993" t="str">
        <v/>
      </c>
      <c r="AC993" t="b">
        <f ca="1"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AD993" t="b">
        <f>IF(metadata!C993="",FALSE,ISNUMBER(VALUE(metadata!C993)))</f>
        <v>0</v>
      </c>
      <c r="AE993" t="b">
        <f>AND(IF(metadata!D993="",FALSE,TRUE),EXACT(metadata!D993,"years"))</f>
        <v>0</v>
      </c>
      <c r="AF993" t="b">
        <f>OR(AND(IF(metadata!E993="",FALSE,TRUE),OR(EXACT(metadata!E993,"not applicable"),EXACT(metadata!E993,"missing: not collected"),EXACT(metadata!E993,"missing: not provided"),EXACT(metadata!E993,"missing: restricted access"))),AND(IF(metadata!E993="",FALSE,ISNUMBER(VALUE(metadata!E993))),metadata!E993&gt;0))</f>
        <v>0</v>
      </c>
      <c r="AG993" t="b">
        <f>AND(IF(metadata!F993="",FALSE,TRUE),EXACT(metadata!F993,"Not applicable"))</f>
        <v>0</v>
      </c>
      <c r="AH993" t="b">
        <f>AND(IF(metadata!G993="",FALSE,TRUE),EXACT(metadata!G993,"urban biome"))</f>
        <v>0</v>
      </c>
      <c r="AI993" t="b">
        <f>AND(IF(metadata!H993="",FALSE,TRUE),EXACT(metadata!H993,"human-associated habitat"))</f>
        <v>0</v>
      </c>
      <c r="AJ993" t="b">
        <f>AND(IF(metadata!I993="",FALSE,TRUE),OR(EXACT(metadata!I993,"human-associated"),EXACT(metadata!I993,"human-skin"),EXACT(metadata!I993,"human-oral"),EXACT(metadata!I993,"human-gut"),EXACT(metadata!I993,"human-vaginal")))</f>
        <v>0</v>
      </c>
      <c r="AK993" t="b">
        <f>IF(metadata!J993="",FALSE,ISNUMBER(VALUE(metadata!J993)))</f>
        <v>0</v>
      </c>
      <c r="AL993" t="b">
        <f>AND(IF(metadata!K993="",FALSE,TRUE),EXACT(metadata!K993,"cm"))</f>
        <v>0</v>
      </c>
      <c r="AM993" t="b">
        <f>AND(IF(metadata!L993="",FALSE,TRUE),EXACT(metadata!L993,"human"))</f>
        <v>0</v>
      </c>
      <c r="AN993" t="b">
        <f>AND(IF(metadata!M993="",FALSE,TRUE),EXACT(metadata!M993,"Homo sapiens"))</f>
        <v>0</v>
      </c>
      <c r="AO993" t="b">
        <f>AND(IF(metadata!N993="",FALSE,TRUE),EXACT(metadata!N993,"9606"))</f>
        <v>0</v>
      </c>
      <c r="AP993" t="b">
        <f>IF(metadata!O993="",FALSE,TRUE)</f>
        <v>0</v>
      </c>
      <c r="AQ993" t="b">
        <f>IF(metadata!P993="",FALSE,TRUE)</f>
        <v>0</v>
      </c>
      <c r="AR993" t="b">
        <f>IF(metadata!Q993="",FALSE,ISNUMBER(VALUE(metadata!Q993)))</f>
        <v>0</v>
      </c>
      <c r="AS993" t="b">
        <f>AND(IF(metadata!R993="",FALSE,TRUE),EXACT(metadata!R993,"kg"))</f>
        <v>0</v>
      </c>
    </row>
    <row r="994" spans="1:45" x14ac:dyDescent="0.2">
      <c r="A994" s="5" t="str">
        <f ca="1">IF(B994=" "," ",HYPERLINK(CONCATENATE("#metadata!",ADDRESS(INDEX($X$2:$X$1001,MATCH(ROWS($V$2:V994),$V$2:$V$1001,0),0),1)),INDEX($AA$2:$AA$1001,MATCH(ROWS($V$2:V994),$V$2:$V$1001,0),0)))</f>
        <v xml:space="preserve"> </v>
      </c>
      <c r="B994" s="4" t="str">
        <f ca="1">IF(OR(INDEX($W$2:$W$1001,MATCH(ROWS($V$2:V994),$V$2:$V$1001,0),1)&gt;=100000,INDEX($AC$1005:$AS$1005,1,MATCH(COLUMNS($AC$1006:AC1006),$AC$1006:$AS$1006,0))&gt;=100000), " ",IF(INDEX($AC$2:$AS$1001,MATCH(ROWS($V$2:V994),$V$2:$V$1001,0),MATCH(COLUMNS($AC$1006:AC1006),$AC$1006:$AS$1006,0)), HYPERLINK("#",""), HYPERLINK(CONCATENATE("#metadata!", ADDRESS(INDEX($X$2:$X$1001,MATCH(ROWS($V$2:V994),$V$2:$V$1001,0),0), INDEX($AC$1004:$AS$1004,1,MATCH(COLUMNS($AC$1006:AC1006),$AC$1006:$AS$1006,0)))),"Fix")))</f>
        <v xml:space="preserve"> </v>
      </c>
      <c r="C994" s="4" t="str">
        <f ca="1">IF(OR(INDEX($W$2:$W$1001,MATCH(ROWS($V$2:V994),$V$2:$V$1001,0),1)&gt;=100000,INDEX($AC$1005:$AS$1005,1,MATCH(COLUMNS($AC$1006:AD1006),$AC$1006:$AS$1006,0))&gt;=100000), " ",IF(INDEX($AC$2:$AS$1001,MATCH(ROWS($V$2:V994),$V$2:$V$1001,0),MATCH(COLUMNS($AC$1006:AD1006),$AC$1006:$AS$1006,0)), HYPERLINK("#",""), HYPERLINK(CONCATENATE("#metadata!", ADDRESS(INDEX($X$2:$X$1001,MATCH(ROWS($V$2:V994),$V$2:$V$1001,0),0), INDEX($AC$1004:$AS$1004,1,MATCH(COLUMNS($AC$1006:AD1006),$AC$1006:$AS$1006,0)))),"Fix")))</f>
        <v xml:space="preserve"> </v>
      </c>
      <c r="D994" s="4" t="str">
        <f ca="1">IF(OR(INDEX($W$2:$W$1001,MATCH(ROWS($V$2:V994),$V$2:$V$1001,0),1)&gt;=100000,INDEX($AC$1005:$AS$1005,1,MATCH(COLUMNS($AC$1006:AE1006),$AC$1006:$AS$1006,0))&gt;=100000), " ",IF(INDEX($AC$2:$AS$1001,MATCH(ROWS($V$2:V994),$V$2:$V$1001,0),MATCH(COLUMNS($AC$1006:AE1006),$AC$1006:$AS$1006,0)), HYPERLINK("#",""), HYPERLINK(CONCATENATE("#metadata!", ADDRESS(INDEX($X$2:$X$1001,MATCH(ROWS($V$2:V994),$V$2:$V$1001,0),0), INDEX($AC$1004:$AS$1004,1,MATCH(COLUMNS($AC$1006:AE1006),$AC$1006:$AS$1006,0)))),"Fix")))</f>
        <v xml:space="preserve"> </v>
      </c>
      <c r="E994" s="4" t="str">
        <f ca="1">IF(OR(INDEX($W$2:$W$1001,MATCH(ROWS($V$2:V994),$V$2:$V$1001,0),1)&gt;=100000,INDEX($AC$1005:$AS$1005,1,MATCH(COLUMNS($AC$1006:AF1006),$AC$1006:$AS$1006,0))&gt;=100000), " ",IF(INDEX($AC$2:$AS$1001,MATCH(ROWS($V$2:V994),$V$2:$V$1001,0),MATCH(COLUMNS($AC$1006:AF1006),$AC$1006:$AS$1006,0)), HYPERLINK("#",""), HYPERLINK(CONCATENATE("#metadata!", ADDRESS(INDEX($X$2:$X$1001,MATCH(ROWS($V$2:V994),$V$2:$V$1001,0),0), INDEX($AC$1004:$AS$1004,1,MATCH(COLUMNS($AC$1006:AF1006),$AC$1006:$AS$1006,0)))),"Fix")))</f>
        <v xml:space="preserve"> </v>
      </c>
      <c r="F994" s="4" t="str">
        <f ca="1">IF(OR(INDEX($W$2:$W$1001,MATCH(ROWS($V$2:V994),$V$2:$V$1001,0),1)&gt;=100000,INDEX($AC$1005:$AS$1005,1,MATCH(COLUMNS($AC$1006:AG1006),$AC$1006:$AS$1006,0))&gt;=100000), " ",IF(INDEX($AC$2:$AS$1001,MATCH(ROWS($V$2:V994),$V$2:$V$1001,0),MATCH(COLUMNS($AC$1006:AG1006),$AC$1006:$AS$1006,0)), HYPERLINK("#",""), HYPERLINK(CONCATENATE("#metadata!", ADDRESS(INDEX($X$2:$X$1001,MATCH(ROWS($V$2:V994),$V$2:$V$1001,0),0), INDEX($AC$1004:$AS$1004,1,MATCH(COLUMNS($AC$1006:AG1006),$AC$1006:$AS$1006,0)))),"Fix")))</f>
        <v xml:space="preserve"> </v>
      </c>
      <c r="G994" s="4" t="str">
        <f ca="1">IF(OR(INDEX($W$2:$W$1001,MATCH(ROWS($V$2:V994),$V$2:$V$1001,0),1)&gt;=100000,INDEX($AC$1005:$AS$1005,1,MATCH(COLUMNS($AC$1006:AH1006),$AC$1006:$AS$1006,0))&gt;=100000), " ",IF(INDEX($AC$2:$AS$1001,MATCH(ROWS($V$2:V994),$V$2:$V$1001,0),MATCH(COLUMNS($AC$1006:AH1006),$AC$1006:$AS$1006,0)), HYPERLINK("#",""), HYPERLINK(CONCATENATE("#metadata!", ADDRESS(INDEX($X$2:$X$1001,MATCH(ROWS($V$2:V994),$V$2:$V$1001,0),0), INDEX($AC$1004:$AS$1004,1,MATCH(COLUMNS($AC$1006:AH1006),$AC$1006:$AS$1006,0)))),"Fix")))</f>
        <v xml:space="preserve"> </v>
      </c>
      <c r="H994" s="4" t="str">
        <f ca="1">IF(OR(INDEX($W$2:$W$1001,MATCH(ROWS($V$2:V994),$V$2:$V$1001,0),1)&gt;=100000,INDEX($AC$1005:$AS$1005,1,MATCH(COLUMNS($AC$1006:AI1006),$AC$1006:$AS$1006,0))&gt;=100000), " ",IF(INDEX($AC$2:$AS$1001,MATCH(ROWS($V$2:V994),$V$2:$V$1001,0),MATCH(COLUMNS($AC$1006:AI1006),$AC$1006:$AS$1006,0)), HYPERLINK("#",""), HYPERLINK(CONCATENATE("#metadata!", ADDRESS(INDEX($X$2:$X$1001,MATCH(ROWS($V$2:V994),$V$2:$V$1001,0),0), INDEX($AC$1004:$AS$1004,1,MATCH(COLUMNS($AC$1006:AI1006),$AC$1006:$AS$1006,0)))),"Fix")))</f>
        <v xml:space="preserve"> </v>
      </c>
      <c r="I994" s="4" t="str">
        <f ca="1">IF(OR(INDEX($W$2:$W$1001,MATCH(ROWS($V$2:V994),$V$2:$V$1001,0),1)&gt;=100000,INDEX($AC$1005:$AS$1005,1,MATCH(COLUMNS($AC$1006:AJ1006),$AC$1006:$AS$1006,0))&gt;=100000), " ",IF(INDEX($AC$2:$AS$1001,MATCH(ROWS($V$2:V994),$V$2:$V$1001,0),MATCH(COLUMNS($AC$1006:AJ1006),$AC$1006:$AS$1006,0)), HYPERLINK("#",""), HYPERLINK(CONCATENATE("#metadata!", ADDRESS(INDEX($X$2:$X$1001,MATCH(ROWS($V$2:V994),$V$2:$V$1001,0),0), INDEX($AC$1004:$AS$1004,1,MATCH(COLUMNS($AC$1006:AJ1006),$AC$1006:$AS$1006,0)))),"Fix")))</f>
        <v xml:space="preserve"> </v>
      </c>
      <c r="J994" s="4" t="str">
        <f ca="1">IF(OR(INDEX($W$2:$W$1001,MATCH(ROWS($V$2:V994),$V$2:$V$1001,0),1)&gt;=100000,INDEX($AC$1005:$AS$1005,1,MATCH(COLUMNS($AC$1006:AK1006),$AC$1006:$AS$1006,0))&gt;=100000), " ",IF(INDEX($AC$2:$AS$1001,MATCH(ROWS($V$2:V994),$V$2:$V$1001,0),MATCH(COLUMNS($AC$1006:AK1006),$AC$1006:$AS$1006,0)), HYPERLINK("#",""), HYPERLINK(CONCATENATE("#metadata!", ADDRESS(INDEX($X$2:$X$1001,MATCH(ROWS($V$2:V994),$V$2:$V$1001,0),0), INDEX($AC$1004:$AS$1004,1,MATCH(COLUMNS($AC$1006:AK1006),$AC$1006:$AS$1006,0)))),"Fix")))</f>
        <v xml:space="preserve"> </v>
      </c>
      <c r="K994" s="4" t="str">
        <f ca="1">IF(OR(INDEX($W$2:$W$1001,MATCH(ROWS($V$2:V994),$V$2:$V$1001,0),1)&gt;=100000,INDEX($AC$1005:$AS$1005,1,MATCH(COLUMNS($AC$1006:AL1006),$AC$1006:$AS$1006,0))&gt;=100000), " ",IF(INDEX($AC$2:$AS$1001,MATCH(ROWS($V$2:V994),$V$2:$V$1001,0),MATCH(COLUMNS($AC$1006:AL1006),$AC$1006:$AS$1006,0)), HYPERLINK("#",""), HYPERLINK(CONCATENATE("#metadata!", ADDRESS(INDEX($X$2:$X$1001,MATCH(ROWS($V$2:V994),$V$2:$V$1001,0),0), INDEX($AC$1004:$AS$1004,1,MATCH(COLUMNS($AC$1006:AL1006),$AC$1006:$AS$1006,0)))),"Fix")))</f>
        <v xml:space="preserve"> </v>
      </c>
      <c r="L994" s="4" t="str">
        <f ca="1">IF(OR(INDEX($W$2:$W$1001,MATCH(ROWS($V$2:V994),$V$2:$V$1001,0),1)&gt;=100000,INDEX($AC$1005:$AS$1005,1,MATCH(COLUMNS($AC$1006:AM1006),$AC$1006:$AS$1006,0))&gt;=100000), " ",IF(INDEX($AC$2:$AS$1001,MATCH(ROWS($V$2:V994),$V$2:$V$1001,0),MATCH(COLUMNS($AC$1006:AM1006),$AC$1006:$AS$1006,0)), HYPERLINK("#",""), HYPERLINK(CONCATENATE("#metadata!", ADDRESS(INDEX($X$2:$X$1001,MATCH(ROWS($V$2:V994),$V$2:$V$1001,0),0), INDEX($AC$1004:$AS$1004,1,MATCH(COLUMNS($AC$1006:AM1006),$AC$1006:$AS$1006,0)))),"Fix")))</f>
        <v xml:space="preserve"> </v>
      </c>
      <c r="M994" s="4" t="str">
        <f ca="1">IF(OR(INDEX($W$2:$W$1001,MATCH(ROWS($V$2:V994),$V$2:$V$1001,0),1)&gt;=100000,INDEX($AC$1005:$AS$1005,1,MATCH(COLUMNS($AC$1006:AN1006),$AC$1006:$AS$1006,0))&gt;=100000), " ",IF(INDEX($AC$2:$AS$1001,MATCH(ROWS($V$2:V994),$V$2:$V$1001,0),MATCH(COLUMNS($AC$1006:AN1006),$AC$1006:$AS$1006,0)), HYPERLINK("#",""), HYPERLINK(CONCATENATE("#metadata!", ADDRESS(INDEX($X$2:$X$1001,MATCH(ROWS($V$2:V994),$V$2:$V$1001,0),0), INDEX($AC$1004:$AS$1004,1,MATCH(COLUMNS($AC$1006:AN1006),$AC$1006:$AS$1006,0)))),"Fix")))</f>
        <v xml:space="preserve"> </v>
      </c>
      <c r="N994" s="4" t="str">
        <f ca="1">IF(OR(INDEX($W$2:$W$1001,MATCH(ROWS($V$2:V994),$V$2:$V$1001,0),1)&gt;=100000,INDEX($AC$1005:$AS$1005,1,MATCH(COLUMNS($AC$1006:AO1006),$AC$1006:$AS$1006,0))&gt;=100000), " ",IF(INDEX($AC$2:$AS$1001,MATCH(ROWS($V$2:V994),$V$2:$V$1001,0),MATCH(COLUMNS($AC$1006:AO1006),$AC$1006:$AS$1006,0)), HYPERLINK("#",""), HYPERLINK(CONCATENATE("#metadata!", ADDRESS(INDEX($X$2:$X$1001,MATCH(ROWS($V$2:V994),$V$2:$V$1001,0),0), INDEX($AC$1004:$AS$1004,1,MATCH(COLUMNS($AC$1006:AO1006),$AC$1006:$AS$1006,0)))),"Fix")))</f>
        <v xml:space="preserve"> </v>
      </c>
      <c r="O994" s="4" t="str">
        <f ca="1">IF(OR(INDEX($W$2:$W$1001,MATCH(ROWS($V$2:V994),$V$2:$V$1001,0),1)&gt;=100000,INDEX($AC$1005:$AS$1005,1,MATCH(COLUMNS($AC$1006:AP1006),$AC$1006:$AS$1006,0))&gt;=100000), " ",IF(INDEX($AC$2:$AS$1001,MATCH(ROWS($V$2:V994),$V$2:$V$1001,0),MATCH(COLUMNS($AC$1006:AP1006),$AC$1006:$AS$1006,0)), HYPERLINK("#",""), HYPERLINK(CONCATENATE("#metadata!", ADDRESS(INDEX($X$2:$X$1001,MATCH(ROWS($V$2:V994),$V$2:$V$1001,0),0), INDEX($AC$1004:$AS$1004,1,MATCH(COLUMNS($AC$1006:AP1006),$AC$1006:$AS$1006,0)))),"Fix")))</f>
        <v xml:space="preserve"> </v>
      </c>
      <c r="P994" s="4" t="str">
        <f ca="1">IF(OR(INDEX($W$2:$W$1001,MATCH(ROWS($V$2:V994),$V$2:$V$1001,0),1)&gt;=100000,INDEX($AC$1005:$AS$1005,1,MATCH(COLUMNS($AC$1006:AQ1006),$AC$1006:$AS$1006,0))&gt;=100000), " ",IF(INDEX($AC$2:$AS$1001,MATCH(ROWS($V$2:V994),$V$2:$V$1001,0),MATCH(COLUMNS($AC$1006:AQ1006),$AC$1006:$AS$1006,0)), HYPERLINK("#",""), HYPERLINK(CONCATENATE("#metadata!", ADDRESS(INDEX($X$2:$X$1001,MATCH(ROWS($V$2:V994),$V$2:$V$1001,0),0), INDEX($AC$1004:$AS$1004,1,MATCH(COLUMNS($AC$1006:AQ1006),$AC$1006:$AS$1006,0)))),"Fix")))</f>
        <v xml:space="preserve"> </v>
      </c>
      <c r="Q994" s="4" t="str">
        <f ca="1">IF(OR(INDEX($W$2:$W$1001,MATCH(ROWS($V$2:V994),$V$2:$V$1001,0),1)&gt;=100000,INDEX($AC$1005:$AS$1005,1,MATCH(COLUMNS($AC$1006:AR1006),$AC$1006:$AS$1006,0))&gt;=100000), " ",IF(INDEX($AC$2:$AS$1001,MATCH(ROWS($V$2:V994),$V$2:$V$1001,0),MATCH(COLUMNS($AC$1006:AR1006),$AC$1006:$AS$1006,0)), HYPERLINK("#",""), HYPERLINK(CONCATENATE("#metadata!", ADDRESS(INDEX($X$2:$X$1001,MATCH(ROWS($V$2:V994),$V$2:$V$1001,0),0), INDEX($AC$1004:$AS$1004,1,MATCH(COLUMNS($AC$1006:AR1006),$AC$1006:$AS$1006,0)))),"Fix")))</f>
        <v xml:space="preserve"> </v>
      </c>
      <c r="R994" s="4" t="str">
        <f ca="1">IF(OR(INDEX($W$2:$W$1001,MATCH(ROWS($V$2:V994),$V$2:$V$1001,0),1)&gt;=100000,INDEX($AC$1005:$AS$1005,1,MATCH(COLUMNS($AC$1006:AS1006),$AC$1006:$AS$1006,0))&gt;=100000), " ",IF(INDEX($AC$2:$AS$1001,MATCH(ROWS($V$2:V994),$V$2:$V$1001,0),MATCH(COLUMNS($AC$1006:AS1006),$AC$1006:$AS$1006,0)), HYPERLINK("#",""), HYPERLINK(CONCATENATE("#metadata!", ADDRESS(INDEX($X$2:$X$1001,MATCH(ROWS($V$2:V994),$V$2:$V$1001,0),0), INDEX($AC$1004:$AS$1004,1,MATCH(COLUMNS($AC$1006:AS1006),$AC$1006:$AS$1006,0)))),"Fix")))</f>
        <v xml:space="preserve"> </v>
      </c>
      <c r="V994">
        <v>993</v>
      </c>
      <c r="W994">
        <v>100994</v>
      </c>
      <c r="X994">
        <v>994</v>
      </c>
      <c r="Y994" t="b">
        <f t="shared" si="15"/>
        <v>1</v>
      </c>
      <c r="Z994" t="b">
        <f>COUNTBLANK(metadata!B994:R994)=COLUMNS(metadata!B994:R994)</f>
        <v>1</v>
      </c>
      <c r="AA994" t="str">
        <v/>
      </c>
      <c r="AC994" t="b">
        <f ca="1"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AD994" t="b">
        <f>IF(metadata!C994="",FALSE,ISNUMBER(VALUE(metadata!C994)))</f>
        <v>0</v>
      </c>
      <c r="AE994" t="b">
        <f>AND(IF(metadata!D994="",FALSE,TRUE),EXACT(metadata!D994,"years"))</f>
        <v>0</v>
      </c>
      <c r="AF994" t="b">
        <f>OR(AND(IF(metadata!E994="",FALSE,TRUE),OR(EXACT(metadata!E994,"not applicable"),EXACT(metadata!E994,"missing: not collected"),EXACT(metadata!E994,"missing: not provided"),EXACT(metadata!E994,"missing: restricted access"))),AND(IF(metadata!E994="",FALSE,ISNUMBER(VALUE(metadata!E994))),metadata!E994&gt;0))</f>
        <v>0</v>
      </c>
      <c r="AG994" t="b">
        <f>AND(IF(metadata!F994="",FALSE,TRUE),EXACT(metadata!F994,"Not applicable"))</f>
        <v>0</v>
      </c>
      <c r="AH994" t="b">
        <f>AND(IF(metadata!G994="",FALSE,TRUE),EXACT(metadata!G994,"urban biome"))</f>
        <v>0</v>
      </c>
      <c r="AI994" t="b">
        <f>AND(IF(metadata!H994="",FALSE,TRUE),EXACT(metadata!H994,"human-associated habitat"))</f>
        <v>0</v>
      </c>
      <c r="AJ994" t="b">
        <f>AND(IF(metadata!I994="",FALSE,TRUE),OR(EXACT(metadata!I994,"human-associated"),EXACT(metadata!I994,"human-skin"),EXACT(metadata!I994,"human-oral"),EXACT(metadata!I994,"human-gut"),EXACT(metadata!I994,"human-vaginal")))</f>
        <v>0</v>
      </c>
      <c r="AK994" t="b">
        <f>IF(metadata!J994="",FALSE,ISNUMBER(VALUE(metadata!J994)))</f>
        <v>0</v>
      </c>
      <c r="AL994" t="b">
        <f>AND(IF(metadata!K994="",FALSE,TRUE),EXACT(metadata!K994,"cm"))</f>
        <v>0</v>
      </c>
      <c r="AM994" t="b">
        <f>AND(IF(metadata!L994="",FALSE,TRUE),EXACT(metadata!L994,"human"))</f>
        <v>0</v>
      </c>
      <c r="AN994" t="b">
        <f>AND(IF(metadata!M994="",FALSE,TRUE),EXACT(metadata!M994,"Homo sapiens"))</f>
        <v>0</v>
      </c>
      <c r="AO994" t="b">
        <f>AND(IF(metadata!N994="",FALSE,TRUE),EXACT(metadata!N994,"9606"))</f>
        <v>0</v>
      </c>
      <c r="AP994" t="b">
        <f>IF(metadata!O994="",FALSE,TRUE)</f>
        <v>0</v>
      </c>
      <c r="AQ994" t="b">
        <f>IF(metadata!P994="",FALSE,TRUE)</f>
        <v>0</v>
      </c>
      <c r="AR994" t="b">
        <f>IF(metadata!Q994="",FALSE,ISNUMBER(VALUE(metadata!Q994)))</f>
        <v>0</v>
      </c>
      <c r="AS994" t="b">
        <f>AND(IF(metadata!R994="",FALSE,TRUE),EXACT(metadata!R994,"kg"))</f>
        <v>0</v>
      </c>
    </row>
    <row r="995" spans="1:45" x14ac:dyDescent="0.2">
      <c r="A995" s="5" t="str">
        <f ca="1">IF(B995=" "," ",HYPERLINK(CONCATENATE("#metadata!",ADDRESS(INDEX($X$2:$X$1001,MATCH(ROWS($V$2:V995),$V$2:$V$1001,0),0),1)),INDEX($AA$2:$AA$1001,MATCH(ROWS($V$2:V995),$V$2:$V$1001,0),0)))</f>
        <v xml:space="preserve"> </v>
      </c>
      <c r="B995" s="4" t="str">
        <f ca="1">IF(OR(INDEX($W$2:$W$1001,MATCH(ROWS($V$2:V995),$V$2:$V$1001,0),1)&gt;=100000,INDEX($AC$1005:$AS$1005,1,MATCH(COLUMNS($AC$1006:AC1006),$AC$1006:$AS$1006,0))&gt;=100000), " ",IF(INDEX($AC$2:$AS$1001,MATCH(ROWS($V$2:V995),$V$2:$V$1001,0),MATCH(COLUMNS($AC$1006:AC1006),$AC$1006:$AS$1006,0)), HYPERLINK("#",""), HYPERLINK(CONCATENATE("#metadata!", ADDRESS(INDEX($X$2:$X$1001,MATCH(ROWS($V$2:V995),$V$2:$V$1001,0),0), INDEX($AC$1004:$AS$1004,1,MATCH(COLUMNS($AC$1006:AC1006),$AC$1006:$AS$1006,0)))),"Fix")))</f>
        <v xml:space="preserve"> </v>
      </c>
      <c r="C995" s="4" t="str">
        <f ca="1">IF(OR(INDEX($W$2:$W$1001,MATCH(ROWS($V$2:V995),$V$2:$V$1001,0),1)&gt;=100000,INDEX($AC$1005:$AS$1005,1,MATCH(COLUMNS($AC$1006:AD1006),$AC$1006:$AS$1006,0))&gt;=100000), " ",IF(INDEX($AC$2:$AS$1001,MATCH(ROWS($V$2:V995),$V$2:$V$1001,0),MATCH(COLUMNS($AC$1006:AD1006),$AC$1006:$AS$1006,0)), HYPERLINK("#",""), HYPERLINK(CONCATENATE("#metadata!", ADDRESS(INDEX($X$2:$X$1001,MATCH(ROWS($V$2:V995),$V$2:$V$1001,0),0), INDEX($AC$1004:$AS$1004,1,MATCH(COLUMNS($AC$1006:AD1006),$AC$1006:$AS$1006,0)))),"Fix")))</f>
        <v xml:space="preserve"> </v>
      </c>
      <c r="D995" s="4" t="str">
        <f ca="1">IF(OR(INDEX($W$2:$W$1001,MATCH(ROWS($V$2:V995),$V$2:$V$1001,0),1)&gt;=100000,INDEX($AC$1005:$AS$1005,1,MATCH(COLUMNS($AC$1006:AE1006),$AC$1006:$AS$1006,0))&gt;=100000), " ",IF(INDEX($AC$2:$AS$1001,MATCH(ROWS($V$2:V995),$V$2:$V$1001,0),MATCH(COLUMNS($AC$1006:AE1006),$AC$1006:$AS$1006,0)), HYPERLINK("#",""), HYPERLINK(CONCATENATE("#metadata!", ADDRESS(INDEX($X$2:$X$1001,MATCH(ROWS($V$2:V995),$V$2:$V$1001,0),0), INDEX($AC$1004:$AS$1004,1,MATCH(COLUMNS($AC$1006:AE1006),$AC$1006:$AS$1006,0)))),"Fix")))</f>
        <v xml:space="preserve"> </v>
      </c>
      <c r="E995" s="4" t="str">
        <f ca="1">IF(OR(INDEX($W$2:$W$1001,MATCH(ROWS($V$2:V995),$V$2:$V$1001,0),1)&gt;=100000,INDEX($AC$1005:$AS$1005,1,MATCH(COLUMNS($AC$1006:AF1006),$AC$1006:$AS$1006,0))&gt;=100000), " ",IF(INDEX($AC$2:$AS$1001,MATCH(ROWS($V$2:V995),$V$2:$V$1001,0),MATCH(COLUMNS($AC$1006:AF1006),$AC$1006:$AS$1006,0)), HYPERLINK("#",""), HYPERLINK(CONCATENATE("#metadata!", ADDRESS(INDEX($X$2:$X$1001,MATCH(ROWS($V$2:V995),$V$2:$V$1001,0),0), INDEX($AC$1004:$AS$1004,1,MATCH(COLUMNS($AC$1006:AF1006),$AC$1006:$AS$1006,0)))),"Fix")))</f>
        <v xml:space="preserve"> </v>
      </c>
      <c r="F995" s="4" t="str">
        <f ca="1">IF(OR(INDEX($W$2:$W$1001,MATCH(ROWS($V$2:V995),$V$2:$V$1001,0),1)&gt;=100000,INDEX($AC$1005:$AS$1005,1,MATCH(COLUMNS($AC$1006:AG1006),$AC$1006:$AS$1006,0))&gt;=100000), " ",IF(INDEX($AC$2:$AS$1001,MATCH(ROWS($V$2:V995),$V$2:$V$1001,0),MATCH(COLUMNS($AC$1006:AG1006),$AC$1006:$AS$1006,0)), HYPERLINK("#",""), HYPERLINK(CONCATENATE("#metadata!", ADDRESS(INDEX($X$2:$X$1001,MATCH(ROWS($V$2:V995),$V$2:$V$1001,0),0), INDEX($AC$1004:$AS$1004,1,MATCH(COLUMNS($AC$1006:AG1006),$AC$1006:$AS$1006,0)))),"Fix")))</f>
        <v xml:space="preserve"> </v>
      </c>
      <c r="G995" s="4" t="str">
        <f ca="1">IF(OR(INDEX($W$2:$W$1001,MATCH(ROWS($V$2:V995),$V$2:$V$1001,0),1)&gt;=100000,INDEX($AC$1005:$AS$1005,1,MATCH(COLUMNS($AC$1006:AH1006),$AC$1006:$AS$1006,0))&gt;=100000), " ",IF(INDEX($AC$2:$AS$1001,MATCH(ROWS($V$2:V995),$V$2:$V$1001,0),MATCH(COLUMNS($AC$1006:AH1006),$AC$1006:$AS$1006,0)), HYPERLINK("#",""), HYPERLINK(CONCATENATE("#metadata!", ADDRESS(INDEX($X$2:$X$1001,MATCH(ROWS($V$2:V995),$V$2:$V$1001,0),0), INDEX($AC$1004:$AS$1004,1,MATCH(COLUMNS($AC$1006:AH1006),$AC$1006:$AS$1006,0)))),"Fix")))</f>
        <v xml:space="preserve"> </v>
      </c>
      <c r="H995" s="4" t="str">
        <f ca="1">IF(OR(INDEX($W$2:$W$1001,MATCH(ROWS($V$2:V995),$V$2:$V$1001,0),1)&gt;=100000,INDEX($AC$1005:$AS$1005,1,MATCH(COLUMNS($AC$1006:AI1006),$AC$1006:$AS$1006,0))&gt;=100000), " ",IF(INDEX($AC$2:$AS$1001,MATCH(ROWS($V$2:V995),$V$2:$V$1001,0),MATCH(COLUMNS($AC$1006:AI1006),$AC$1006:$AS$1006,0)), HYPERLINK("#",""), HYPERLINK(CONCATENATE("#metadata!", ADDRESS(INDEX($X$2:$X$1001,MATCH(ROWS($V$2:V995),$V$2:$V$1001,0),0), INDEX($AC$1004:$AS$1004,1,MATCH(COLUMNS($AC$1006:AI1006),$AC$1006:$AS$1006,0)))),"Fix")))</f>
        <v xml:space="preserve"> </v>
      </c>
      <c r="I995" s="4" t="str">
        <f ca="1">IF(OR(INDEX($W$2:$W$1001,MATCH(ROWS($V$2:V995),$V$2:$V$1001,0),1)&gt;=100000,INDEX($AC$1005:$AS$1005,1,MATCH(COLUMNS($AC$1006:AJ1006),$AC$1006:$AS$1006,0))&gt;=100000), " ",IF(INDEX($AC$2:$AS$1001,MATCH(ROWS($V$2:V995),$V$2:$V$1001,0),MATCH(COLUMNS($AC$1006:AJ1006),$AC$1006:$AS$1006,0)), HYPERLINK("#",""), HYPERLINK(CONCATENATE("#metadata!", ADDRESS(INDEX($X$2:$X$1001,MATCH(ROWS($V$2:V995),$V$2:$V$1001,0),0), INDEX($AC$1004:$AS$1004,1,MATCH(COLUMNS($AC$1006:AJ1006),$AC$1006:$AS$1006,0)))),"Fix")))</f>
        <v xml:space="preserve"> </v>
      </c>
      <c r="J995" s="4" t="str">
        <f ca="1">IF(OR(INDEX($W$2:$W$1001,MATCH(ROWS($V$2:V995),$V$2:$V$1001,0),1)&gt;=100000,INDEX($AC$1005:$AS$1005,1,MATCH(COLUMNS($AC$1006:AK1006),$AC$1006:$AS$1006,0))&gt;=100000), " ",IF(INDEX($AC$2:$AS$1001,MATCH(ROWS($V$2:V995),$V$2:$V$1001,0),MATCH(COLUMNS($AC$1006:AK1006),$AC$1006:$AS$1006,0)), HYPERLINK("#",""), HYPERLINK(CONCATENATE("#metadata!", ADDRESS(INDEX($X$2:$X$1001,MATCH(ROWS($V$2:V995),$V$2:$V$1001,0),0), INDEX($AC$1004:$AS$1004,1,MATCH(COLUMNS($AC$1006:AK1006),$AC$1006:$AS$1006,0)))),"Fix")))</f>
        <v xml:space="preserve"> </v>
      </c>
      <c r="K995" s="4" t="str">
        <f ca="1">IF(OR(INDEX($W$2:$W$1001,MATCH(ROWS($V$2:V995),$V$2:$V$1001,0),1)&gt;=100000,INDEX($AC$1005:$AS$1005,1,MATCH(COLUMNS($AC$1006:AL1006),$AC$1006:$AS$1006,0))&gt;=100000), " ",IF(INDEX($AC$2:$AS$1001,MATCH(ROWS($V$2:V995),$V$2:$V$1001,0),MATCH(COLUMNS($AC$1006:AL1006),$AC$1006:$AS$1006,0)), HYPERLINK("#",""), HYPERLINK(CONCATENATE("#metadata!", ADDRESS(INDEX($X$2:$X$1001,MATCH(ROWS($V$2:V995),$V$2:$V$1001,0),0), INDEX($AC$1004:$AS$1004,1,MATCH(COLUMNS($AC$1006:AL1006),$AC$1006:$AS$1006,0)))),"Fix")))</f>
        <v xml:space="preserve"> </v>
      </c>
      <c r="L995" s="4" t="str">
        <f ca="1">IF(OR(INDEX($W$2:$W$1001,MATCH(ROWS($V$2:V995),$V$2:$V$1001,0),1)&gt;=100000,INDEX($AC$1005:$AS$1005,1,MATCH(COLUMNS($AC$1006:AM1006),$AC$1006:$AS$1006,0))&gt;=100000), " ",IF(INDEX($AC$2:$AS$1001,MATCH(ROWS($V$2:V995),$V$2:$V$1001,0),MATCH(COLUMNS($AC$1006:AM1006),$AC$1006:$AS$1006,0)), HYPERLINK("#",""), HYPERLINK(CONCATENATE("#metadata!", ADDRESS(INDEX($X$2:$X$1001,MATCH(ROWS($V$2:V995),$V$2:$V$1001,0),0), INDEX($AC$1004:$AS$1004,1,MATCH(COLUMNS($AC$1006:AM1006),$AC$1006:$AS$1006,0)))),"Fix")))</f>
        <v xml:space="preserve"> </v>
      </c>
      <c r="M995" s="4" t="str">
        <f ca="1">IF(OR(INDEX($W$2:$W$1001,MATCH(ROWS($V$2:V995),$V$2:$V$1001,0),1)&gt;=100000,INDEX($AC$1005:$AS$1005,1,MATCH(COLUMNS($AC$1006:AN1006),$AC$1006:$AS$1006,0))&gt;=100000), " ",IF(INDEX($AC$2:$AS$1001,MATCH(ROWS($V$2:V995),$V$2:$V$1001,0),MATCH(COLUMNS($AC$1006:AN1006),$AC$1006:$AS$1006,0)), HYPERLINK("#",""), HYPERLINK(CONCATENATE("#metadata!", ADDRESS(INDEX($X$2:$X$1001,MATCH(ROWS($V$2:V995),$V$2:$V$1001,0),0), INDEX($AC$1004:$AS$1004,1,MATCH(COLUMNS($AC$1006:AN1006),$AC$1006:$AS$1006,0)))),"Fix")))</f>
        <v xml:space="preserve"> </v>
      </c>
      <c r="N995" s="4" t="str">
        <f ca="1">IF(OR(INDEX($W$2:$W$1001,MATCH(ROWS($V$2:V995),$V$2:$V$1001,0),1)&gt;=100000,INDEX($AC$1005:$AS$1005,1,MATCH(COLUMNS($AC$1006:AO1006),$AC$1006:$AS$1006,0))&gt;=100000), " ",IF(INDEX($AC$2:$AS$1001,MATCH(ROWS($V$2:V995),$V$2:$V$1001,0),MATCH(COLUMNS($AC$1006:AO1006),$AC$1006:$AS$1006,0)), HYPERLINK("#",""), HYPERLINK(CONCATENATE("#metadata!", ADDRESS(INDEX($X$2:$X$1001,MATCH(ROWS($V$2:V995),$V$2:$V$1001,0),0), INDEX($AC$1004:$AS$1004,1,MATCH(COLUMNS($AC$1006:AO1006),$AC$1006:$AS$1006,0)))),"Fix")))</f>
        <v xml:space="preserve"> </v>
      </c>
      <c r="O995" s="4" t="str">
        <f ca="1">IF(OR(INDEX($W$2:$W$1001,MATCH(ROWS($V$2:V995),$V$2:$V$1001,0),1)&gt;=100000,INDEX($AC$1005:$AS$1005,1,MATCH(COLUMNS($AC$1006:AP1006),$AC$1006:$AS$1006,0))&gt;=100000), " ",IF(INDEX($AC$2:$AS$1001,MATCH(ROWS($V$2:V995),$V$2:$V$1001,0),MATCH(COLUMNS($AC$1006:AP1006),$AC$1006:$AS$1006,0)), HYPERLINK("#",""), HYPERLINK(CONCATENATE("#metadata!", ADDRESS(INDEX($X$2:$X$1001,MATCH(ROWS($V$2:V995),$V$2:$V$1001,0),0), INDEX($AC$1004:$AS$1004,1,MATCH(COLUMNS($AC$1006:AP1006),$AC$1006:$AS$1006,0)))),"Fix")))</f>
        <v xml:space="preserve"> </v>
      </c>
      <c r="P995" s="4" t="str">
        <f ca="1">IF(OR(INDEX($W$2:$W$1001,MATCH(ROWS($V$2:V995),$V$2:$V$1001,0),1)&gt;=100000,INDEX($AC$1005:$AS$1005,1,MATCH(COLUMNS($AC$1006:AQ1006),$AC$1006:$AS$1006,0))&gt;=100000), " ",IF(INDEX($AC$2:$AS$1001,MATCH(ROWS($V$2:V995),$V$2:$V$1001,0),MATCH(COLUMNS($AC$1006:AQ1006),$AC$1006:$AS$1006,0)), HYPERLINK("#",""), HYPERLINK(CONCATENATE("#metadata!", ADDRESS(INDEX($X$2:$X$1001,MATCH(ROWS($V$2:V995),$V$2:$V$1001,0),0), INDEX($AC$1004:$AS$1004,1,MATCH(COLUMNS($AC$1006:AQ1006),$AC$1006:$AS$1006,0)))),"Fix")))</f>
        <v xml:space="preserve"> </v>
      </c>
      <c r="Q995" s="4" t="str">
        <f ca="1">IF(OR(INDEX($W$2:$W$1001,MATCH(ROWS($V$2:V995),$V$2:$V$1001,0),1)&gt;=100000,INDEX($AC$1005:$AS$1005,1,MATCH(COLUMNS($AC$1006:AR1006),$AC$1006:$AS$1006,0))&gt;=100000), " ",IF(INDEX($AC$2:$AS$1001,MATCH(ROWS($V$2:V995),$V$2:$V$1001,0),MATCH(COLUMNS($AC$1006:AR1006),$AC$1006:$AS$1006,0)), HYPERLINK("#",""), HYPERLINK(CONCATENATE("#metadata!", ADDRESS(INDEX($X$2:$X$1001,MATCH(ROWS($V$2:V995),$V$2:$V$1001,0),0), INDEX($AC$1004:$AS$1004,1,MATCH(COLUMNS($AC$1006:AR1006),$AC$1006:$AS$1006,0)))),"Fix")))</f>
        <v xml:space="preserve"> </v>
      </c>
      <c r="R995" s="4" t="str">
        <f ca="1">IF(OR(INDEX($W$2:$W$1001,MATCH(ROWS($V$2:V995),$V$2:$V$1001,0),1)&gt;=100000,INDEX($AC$1005:$AS$1005,1,MATCH(COLUMNS($AC$1006:AS1006),$AC$1006:$AS$1006,0))&gt;=100000), " ",IF(INDEX($AC$2:$AS$1001,MATCH(ROWS($V$2:V995),$V$2:$V$1001,0),MATCH(COLUMNS($AC$1006:AS1006),$AC$1006:$AS$1006,0)), HYPERLINK("#",""), HYPERLINK(CONCATENATE("#metadata!", ADDRESS(INDEX($X$2:$X$1001,MATCH(ROWS($V$2:V995),$V$2:$V$1001,0),0), INDEX($AC$1004:$AS$1004,1,MATCH(COLUMNS($AC$1006:AS1006),$AC$1006:$AS$1006,0)))),"Fix")))</f>
        <v xml:space="preserve"> </v>
      </c>
      <c r="V995">
        <v>994</v>
      </c>
      <c r="W995">
        <v>100995</v>
      </c>
      <c r="X995">
        <v>995</v>
      </c>
      <c r="Y995" t="b">
        <f t="shared" si="15"/>
        <v>1</v>
      </c>
      <c r="Z995" t="b">
        <f>COUNTBLANK(metadata!B995:R995)=COLUMNS(metadata!B995:R995)</f>
        <v>1</v>
      </c>
      <c r="AA995" t="str">
        <v/>
      </c>
      <c r="AC995" t="b">
        <f ca="1"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AD995" t="b">
        <f>IF(metadata!C995="",FALSE,ISNUMBER(VALUE(metadata!C995)))</f>
        <v>0</v>
      </c>
      <c r="AE995" t="b">
        <f>AND(IF(metadata!D995="",FALSE,TRUE),EXACT(metadata!D995,"years"))</f>
        <v>0</v>
      </c>
      <c r="AF995" t="b">
        <f>OR(AND(IF(metadata!E995="",FALSE,TRUE),OR(EXACT(metadata!E995,"not applicable"),EXACT(metadata!E995,"missing: not collected"),EXACT(metadata!E995,"missing: not provided"),EXACT(metadata!E995,"missing: restricted access"))),AND(IF(metadata!E995="",FALSE,ISNUMBER(VALUE(metadata!E995))),metadata!E995&gt;0))</f>
        <v>0</v>
      </c>
      <c r="AG995" t="b">
        <f>AND(IF(metadata!F995="",FALSE,TRUE),EXACT(metadata!F995,"Not applicable"))</f>
        <v>0</v>
      </c>
      <c r="AH995" t="b">
        <f>AND(IF(metadata!G995="",FALSE,TRUE),EXACT(metadata!G995,"urban biome"))</f>
        <v>0</v>
      </c>
      <c r="AI995" t="b">
        <f>AND(IF(metadata!H995="",FALSE,TRUE),EXACT(metadata!H995,"human-associated habitat"))</f>
        <v>0</v>
      </c>
      <c r="AJ995" t="b">
        <f>AND(IF(metadata!I995="",FALSE,TRUE),OR(EXACT(metadata!I995,"human-associated"),EXACT(metadata!I995,"human-skin"),EXACT(metadata!I995,"human-oral"),EXACT(metadata!I995,"human-gut"),EXACT(metadata!I995,"human-vaginal")))</f>
        <v>0</v>
      </c>
      <c r="AK995" t="b">
        <f>IF(metadata!J995="",FALSE,ISNUMBER(VALUE(metadata!J995)))</f>
        <v>0</v>
      </c>
      <c r="AL995" t="b">
        <f>AND(IF(metadata!K995="",FALSE,TRUE),EXACT(metadata!K995,"cm"))</f>
        <v>0</v>
      </c>
      <c r="AM995" t="b">
        <f>AND(IF(metadata!L995="",FALSE,TRUE),EXACT(metadata!L995,"human"))</f>
        <v>0</v>
      </c>
      <c r="AN995" t="b">
        <f>AND(IF(metadata!M995="",FALSE,TRUE),EXACT(metadata!M995,"Homo sapiens"))</f>
        <v>0</v>
      </c>
      <c r="AO995" t="b">
        <f>AND(IF(metadata!N995="",FALSE,TRUE),EXACT(metadata!N995,"9606"))</f>
        <v>0</v>
      </c>
      <c r="AP995" t="b">
        <f>IF(metadata!O995="",FALSE,TRUE)</f>
        <v>0</v>
      </c>
      <c r="AQ995" t="b">
        <f>IF(metadata!P995="",FALSE,TRUE)</f>
        <v>0</v>
      </c>
      <c r="AR995" t="b">
        <f>IF(metadata!Q995="",FALSE,ISNUMBER(VALUE(metadata!Q995)))</f>
        <v>0</v>
      </c>
      <c r="AS995" t="b">
        <f>AND(IF(metadata!R995="",FALSE,TRUE),EXACT(metadata!R995,"kg"))</f>
        <v>0</v>
      </c>
    </row>
    <row r="996" spans="1:45" x14ac:dyDescent="0.2">
      <c r="A996" s="5" t="str">
        <f ca="1">IF(B996=" "," ",HYPERLINK(CONCATENATE("#metadata!",ADDRESS(INDEX($X$2:$X$1001,MATCH(ROWS($V$2:V996),$V$2:$V$1001,0),0),1)),INDEX($AA$2:$AA$1001,MATCH(ROWS($V$2:V996),$V$2:$V$1001,0),0)))</f>
        <v xml:space="preserve"> </v>
      </c>
      <c r="B996" s="4" t="str">
        <f ca="1">IF(OR(INDEX($W$2:$W$1001,MATCH(ROWS($V$2:V996),$V$2:$V$1001,0),1)&gt;=100000,INDEX($AC$1005:$AS$1005,1,MATCH(COLUMNS($AC$1006:AC1006),$AC$1006:$AS$1006,0))&gt;=100000), " ",IF(INDEX($AC$2:$AS$1001,MATCH(ROWS($V$2:V996),$V$2:$V$1001,0),MATCH(COLUMNS($AC$1006:AC1006),$AC$1006:$AS$1006,0)), HYPERLINK("#",""), HYPERLINK(CONCATENATE("#metadata!", ADDRESS(INDEX($X$2:$X$1001,MATCH(ROWS($V$2:V996),$V$2:$V$1001,0),0), INDEX($AC$1004:$AS$1004,1,MATCH(COLUMNS($AC$1006:AC1006),$AC$1006:$AS$1006,0)))),"Fix")))</f>
        <v xml:space="preserve"> </v>
      </c>
      <c r="C996" s="4" t="str">
        <f ca="1">IF(OR(INDEX($W$2:$W$1001,MATCH(ROWS($V$2:V996),$V$2:$V$1001,0),1)&gt;=100000,INDEX($AC$1005:$AS$1005,1,MATCH(COLUMNS($AC$1006:AD1006),$AC$1006:$AS$1006,0))&gt;=100000), " ",IF(INDEX($AC$2:$AS$1001,MATCH(ROWS($V$2:V996),$V$2:$V$1001,0),MATCH(COLUMNS($AC$1006:AD1006),$AC$1006:$AS$1006,0)), HYPERLINK("#",""), HYPERLINK(CONCATENATE("#metadata!", ADDRESS(INDEX($X$2:$X$1001,MATCH(ROWS($V$2:V996),$V$2:$V$1001,0),0), INDEX($AC$1004:$AS$1004,1,MATCH(COLUMNS($AC$1006:AD1006),$AC$1006:$AS$1006,0)))),"Fix")))</f>
        <v xml:space="preserve"> </v>
      </c>
      <c r="D996" s="4" t="str">
        <f ca="1">IF(OR(INDEX($W$2:$W$1001,MATCH(ROWS($V$2:V996),$V$2:$V$1001,0),1)&gt;=100000,INDEX($AC$1005:$AS$1005,1,MATCH(COLUMNS($AC$1006:AE1006),$AC$1006:$AS$1006,0))&gt;=100000), " ",IF(INDEX($AC$2:$AS$1001,MATCH(ROWS($V$2:V996),$V$2:$V$1001,0),MATCH(COLUMNS($AC$1006:AE1006),$AC$1006:$AS$1006,0)), HYPERLINK("#",""), HYPERLINK(CONCATENATE("#metadata!", ADDRESS(INDEX($X$2:$X$1001,MATCH(ROWS($V$2:V996),$V$2:$V$1001,0),0), INDEX($AC$1004:$AS$1004,1,MATCH(COLUMNS($AC$1006:AE1006),$AC$1006:$AS$1006,0)))),"Fix")))</f>
        <v xml:space="preserve"> </v>
      </c>
      <c r="E996" s="4" t="str">
        <f ca="1">IF(OR(INDEX($W$2:$W$1001,MATCH(ROWS($V$2:V996),$V$2:$V$1001,0),1)&gt;=100000,INDEX($AC$1005:$AS$1005,1,MATCH(COLUMNS($AC$1006:AF1006),$AC$1006:$AS$1006,0))&gt;=100000), " ",IF(INDEX($AC$2:$AS$1001,MATCH(ROWS($V$2:V996),$V$2:$V$1001,0),MATCH(COLUMNS($AC$1006:AF1006),$AC$1006:$AS$1006,0)), HYPERLINK("#",""), HYPERLINK(CONCATENATE("#metadata!", ADDRESS(INDEX($X$2:$X$1001,MATCH(ROWS($V$2:V996),$V$2:$V$1001,0),0), INDEX($AC$1004:$AS$1004,1,MATCH(COLUMNS($AC$1006:AF1006),$AC$1006:$AS$1006,0)))),"Fix")))</f>
        <v xml:space="preserve"> </v>
      </c>
      <c r="F996" s="4" t="str">
        <f ca="1">IF(OR(INDEX($W$2:$W$1001,MATCH(ROWS($V$2:V996),$V$2:$V$1001,0),1)&gt;=100000,INDEX($AC$1005:$AS$1005,1,MATCH(COLUMNS($AC$1006:AG1006),$AC$1006:$AS$1006,0))&gt;=100000), " ",IF(INDEX($AC$2:$AS$1001,MATCH(ROWS($V$2:V996),$V$2:$V$1001,0),MATCH(COLUMNS($AC$1006:AG1006),$AC$1006:$AS$1006,0)), HYPERLINK("#",""), HYPERLINK(CONCATENATE("#metadata!", ADDRESS(INDEX($X$2:$X$1001,MATCH(ROWS($V$2:V996),$V$2:$V$1001,0),0), INDEX($AC$1004:$AS$1004,1,MATCH(COLUMNS($AC$1006:AG1006),$AC$1006:$AS$1006,0)))),"Fix")))</f>
        <v xml:space="preserve"> </v>
      </c>
      <c r="G996" s="4" t="str">
        <f ca="1">IF(OR(INDEX($W$2:$W$1001,MATCH(ROWS($V$2:V996),$V$2:$V$1001,0),1)&gt;=100000,INDEX($AC$1005:$AS$1005,1,MATCH(COLUMNS($AC$1006:AH1006),$AC$1006:$AS$1006,0))&gt;=100000), " ",IF(INDEX($AC$2:$AS$1001,MATCH(ROWS($V$2:V996),$V$2:$V$1001,0),MATCH(COLUMNS($AC$1006:AH1006),$AC$1006:$AS$1006,0)), HYPERLINK("#",""), HYPERLINK(CONCATENATE("#metadata!", ADDRESS(INDEX($X$2:$X$1001,MATCH(ROWS($V$2:V996),$V$2:$V$1001,0),0), INDEX($AC$1004:$AS$1004,1,MATCH(COLUMNS($AC$1006:AH1006),$AC$1006:$AS$1006,0)))),"Fix")))</f>
        <v xml:space="preserve"> </v>
      </c>
      <c r="H996" s="4" t="str">
        <f ca="1">IF(OR(INDEX($W$2:$W$1001,MATCH(ROWS($V$2:V996),$V$2:$V$1001,0),1)&gt;=100000,INDEX($AC$1005:$AS$1005,1,MATCH(COLUMNS($AC$1006:AI1006),$AC$1006:$AS$1006,0))&gt;=100000), " ",IF(INDEX($AC$2:$AS$1001,MATCH(ROWS($V$2:V996),$V$2:$V$1001,0),MATCH(COLUMNS($AC$1006:AI1006),$AC$1006:$AS$1006,0)), HYPERLINK("#",""), HYPERLINK(CONCATENATE("#metadata!", ADDRESS(INDEX($X$2:$X$1001,MATCH(ROWS($V$2:V996),$V$2:$V$1001,0),0), INDEX($AC$1004:$AS$1004,1,MATCH(COLUMNS($AC$1006:AI1006),$AC$1006:$AS$1006,0)))),"Fix")))</f>
        <v xml:space="preserve"> </v>
      </c>
      <c r="I996" s="4" t="str">
        <f ca="1">IF(OR(INDEX($W$2:$W$1001,MATCH(ROWS($V$2:V996),$V$2:$V$1001,0),1)&gt;=100000,INDEX($AC$1005:$AS$1005,1,MATCH(COLUMNS($AC$1006:AJ1006),$AC$1006:$AS$1006,0))&gt;=100000), " ",IF(INDEX($AC$2:$AS$1001,MATCH(ROWS($V$2:V996),$V$2:$V$1001,0),MATCH(COLUMNS($AC$1006:AJ1006),$AC$1006:$AS$1006,0)), HYPERLINK("#",""), HYPERLINK(CONCATENATE("#metadata!", ADDRESS(INDEX($X$2:$X$1001,MATCH(ROWS($V$2:V996),$V$2:$V$1001,0),0), INDEX($AC$1004:$AS$1004,1,MATCH(COLUMNS($AC$1006:AJ1006),$AC$1006:$AS$1006,0)))),"Fix")))</f>
        <v xml:space="preserve"> </v>
      </c>
      <c r="J996" s="4" t="str">
        <f ca="1">IF(OR(INDEX($W$2:$W$1001,MATCH(ROWS($V$2:V996),$V$2:$V$1001,0),1)&gt;=100000,INDEX($AC$1005:$AS$1005,1,MATCH(COLUMNS($AC$1006:AK1006),$AC$1006:$AS$1006,0))&gt;=100000), " ",IF(INDEX($AC$2:$AS$1001,MATCH(ROWS($V$2:V996),$V$2:$V$1001,0),MATCH(COLUMNS($AC$1006:AK1006),$AC$1006:$AS$1006,0)), HYPERLINK("#",""), HYPERLINK(CONCATENATE("#metadata!", ADDRESS(INDEX($X$2:$X$1001,MATCH(ROWS($V$2:V996),$V$2:$V$1001,0),0), INDEX($AC$1004:$AS$1004,1,MATCH(COLUMNS($AC$1006:AK1006),$AC$1006:$AS$1006,0)))),"Fix")))</f>
        <v xml:space="preserve"> </v>
      </c>
      <c r="K996" s="4" t="str">
        <f ca="1">IF(OR(INDEX($W$2:$W$1001,MATCH(ROWS($V$2:V996),$V$2:$V$1001,0),1)&gt;=100000,INDEX($AC$1005:$AS$1005,1,MATCH(COLUMNS($AC$1006:AL1006),$AC$1006:$AS$1006,0))&gt;=100000), " ",IF(INDEX($AC$2:$AS$1001,MATCH(ROWS($V$2:V996),$V$2:$V$1001,0),MATCH(COLUMNS($AC$1006:AL1006),$AC$1006:$AS$1006,0)), HYPERLINK("#",""), HYPERLINK(CONCATENATE("#metadata!", ADDRESS(INDEX($X$2:$X$1001,MATCH(ROWS($V$2:V996),$V$2:$V$1001,0),0), INDEX($AC$1004:$AS$1004,1,MATCH(COLUMNS($AC$1006:AL1006),$AC$1006:$AS$1006,0)))),"Fix")))</f>
        <v xml:space="preserve"> </v>
      </c>
      <c r="L996" s="4" t="str">
        <f ca="1">IF(OR(INDEX($W$2:$W$1001,MATCH(ROWS($V$2:V996),$V$2:$V$1001,0),1)&gt;=100000,INDEX($AC$1005:$AS$1005,1,MATCH(COLUMNS($AC$1006:AM1006),$AC$1006:$AS$1006,0))&gt;=100000), " ",IF(INDEX($AC$2:$AS$1001,MATCH(ROWS($V$2:V996),$V$2:$V$1001,0),MATCH(COLUMNS($AC$1006:AM1006),$AC$1006:$AS$1006,0)), HYPERLINK("#",""), HYPERLINK(CONCATENATE("#metadata!", ADDRESS(INDEX($X$2:$X$1001,MATCH(ROWS($V$2:V996),$V$2:$V$1001,0),0), INDEX($AC$1004:$AS$1004,1,MATCH(COLUMNS($AC$1006:AM1006),$AC$1006:$AS$1006,0)))),"Fix")))</f>
        <v xml:space="preserve"> </v>
      </c>
      <c r="M996" s="4" t="str">
        <f ca="1">IF(OR(INDEX($W$2:$W$1001,MATCH(ROWS($V$2:V996),$V$2:$V$1001,0),1)&gt;=100000,INDEX($AC$1005:$AS$1005,1,MATCH(COLUMNS($AC$1006:AN1006),$AC$1006:$AS$1006,0))&gt;=100000), " ",IF(INDEX($AC$2:$AS$1001,MATCH(ROWS($V$2:V996),$V$2:$V$1001,0),MATCH(COLUMNS($AC$1006:AN1006),$AC$1006:$AS$1006,0)), HYPERLINK("#",""), HYPERLINK(CONCATENATE("#metadata!", ADDRESS(INDEX($X$2:$X$1001,MATCH(ROWS($V$2:V996),$V$2:$V$1001,0),0), INDEX($AC$1004:$AS$1004,1,MATCH(COLUMNS($AC$1006:AN1006),$AC$1006:$AS$1006,0)))),"Fix")))</f>
        <v xml:space="preserve"> </v>
      </c>
      <c r="N996" s="4" t="str">
        <f ca="1">IF(OR(INDEX($W$2:$W$1001,MATCH(ROWS($V$2:V996),$V$2:$V$1001,0),1)&gt;=100000,INDEX($AC$1005:$AS$1005,1,MATCH(COLUMNS($AC$1006:AO1006),$AC$1006:$AS$1006,0))&gt;=100000), " ",IF(INDEX($AC$2:$AS$1001,MATCH(ROWS($V$2:V996),$V$2:$V$1001,0),MATCH(COLUMNS($AC$1006:AO1006),$AC$1006:$AS$1006,0)), HYPERLINK("#",""), HYPERLINK(CONCATENATE("#metadata!", ADDRESS(INDEX($X$2:$X$1001,MATCH(ROWS($V$2:V996),$V$2:$V$1001,0),0), INDEX($AC$1004:$AS$1004,1,MATCH(COLUMNS($AC$1006:AO1006),$AC$1006:$AS$1006,0)))),"Fix")))</f>
        <v xml:space="preserve"> </v>
      </c>
      <c r="O996" s="4" t="str">
        <f ca="1">IF(OR(INDEX($W$2:$W$1001,MATCH(ROWS($V$2:V996),$V$2:$V$1001,0),1)&gt;=100000,INDEX($AC$1005:$AS$1005,1,MATCH(COLUMNS($AC$1006:AP1006),$AC$1006:$AS$1006,0))&gt;=100000), " ",IF(INDEX($AC$2:$AS$1001,MATCH(ROWS($V$2:V996),$V$2:$V$1001,0),MATCH(COLUMNS($AC$1006:AP1006),$AC$1006:$AS$1006,0)), HYPERLINK("#",""), HYPERLINK(CONCATENATE("#metadata!", ADDRESS(INDEX($X$2:$X$1001,MATCH(ROWS($V$2:V996),$V$2:$V$1001,0),0), INDEX($AC$1004:$AS$1004,1,MATCH(COLUMNS($AC$1006:AP1006),$AC$1006:$AS$1006,0)))),"Fix")))</f>
        <v xml:space="preserve"> </v>
      </c>
      <c r="P996" s="4" t="str">
        <f ca="1">IF(OR(INDEX($W$2:$W$1001,MATCH(ROWS($V$2:V996),$V$2:$V$1001,0),1)&gt;=100000,INDEX($AC$1005:$AS$1005,1,MATCH(COLUMNS($AC$1006:AQ1006),$AC$1006:$AS$1006,0))&gt;=100000), " ",IF(INDEX($AC$2:$AS$1001,MATCH(ROWS($V$2:V996),$V$2:$V$1001,0),MATCH(COLUMNS($AC$1006:AQ1006),$AC$1006:$AS$1006,0)), HYPERLINK("#",""), HYPERLINK(CONCATENATE("#metadata!", ADDRESS(INDEX($X$2:$X$1001,MATCH(ROWS($V$2:V996),$V$2:$V$1001,0),0), INDEX($AC$1004:$AS$1004,1,MATCH(COLUMNS($AC$1006:AQ1006),$AC$1006:$AS$1006,0)))),"Fix")))</f>
        <v xml:space="preserve"> </v>
      </c>
      <c r="Q996" s="4" t="str">
        <f ca="1">IF(OR(INDEX($W$2:$W$1001,MATCH(ROWS($V$2:V996),$V$2:$V$1001,0),1)&gt;=100000,INDEX($AC$1005:$AS$1005,1,MATCH(COLUMNS($AC$1006:AR1006),$AC$1006:$AS$1006,0))&gt;=100000), " ",IF(INDEX($AC$2:$AS$1001,MATCH(ROWS($V$2:V996),$V$2:$V$1001,0),MATCH(COLUMNS($AC$1006:AR1006),$AC$1006:$AS$1006,0)), HYPERLINK("#",""), HYPERLINK(CONCATENATE("#metadata!", ADDRESS(INDEX($X$2:$X$1001,MATCH(ROWS($V$2:V996),$V$2:$V$1001,0),0), INDEX($AC$1004:$AS$1004,1,MATCH(COLUMNS($AC$1006:AR1006),$AC$1006:$AS$1006,0)))),"Fix")))</f>
        <v xml:space="preserve"> </v>
      </c>
      <c r="R996" s="4" t="str">
        <f ca="1">IF(OR(INDEX($W$2:$W$1001,MATCH(ROWS($V$2:V996),$V$2:$V$1001,0),1)&gt;=100000,INDEX($AC$1005:$AS$1005,1,MATCH(COLUMNS($AC$1006:AS1006),$AC$1006:$AS$1006,0))&gt;=100000), " ",IF(INDEX($AC$2:$AS$1001,MATCH(ROWS($V$2:V996),$V$2:$V$1001,0),MATCH(COLUMNS($AC$1006:AS1006),$AC$1006:$AS$1006,0)), HYPERLINK("#",""), HYPERLINK(CONCATENATE("#metadata!", ADDRESS(INDEX($X$2:$X$1001,MATCH(ROWS($V$2:V996),$V$2:$V$1001,0),0), INDEX($AC$1004:$AS$1004,1,MATCH(COLUMNS($AC$1006:AS1006),$AC$1006:$AS$1006,0)))),"Fix")))</f>
        <v xml:space="preserve"> </v>
      </c>
      <c r="V996">
        <v>995</v>
      </c>
      <c r="W996">
        <v>100996</v>
      </c>
      <c r="X996">
        <v>996</v>
      </c>
      <c r="Y996" t="b">
        <f t="shared" si="15"/>
        <v>1</v>
      </c>
      <c r="Z996" t="b">
        <f>COUNTBLANK(metadata!B996:R996)=COLUMNS(metadata!B996:R996)</f>
        <v>1</v>
      </c>
      <c r="AA996" t="str">
        <v/>
      </c>
      <c r="AC996" t="b">
        <f ca="1"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AD996" t="b">
        <f>IF(metadata!C996="",FALSE,ISNUMBER(VALUE(metadata!C996)))</f>
        <v>0</v>
      </c>
      <c r="AE996" t="b">
        <f>AND(IF(metadata!D996="",FALSE,TRUE),EXACT(metadata!D996,"years"))</f>
        <v>0</v>
      </c>
      <c r="AF996" t="b">
        <f>OR(AND(IF(metadata!E996="",FALSE,TRUE),OR(EXACT(metadata!E996,"not applicable"),EXACT(metadata!E996,"missing: not collected"),EXACT(metadata!E996,"missing: not provided"),EXACT(metadata!E996,"missing: restricted access"))),AND(IF(metadata!E996="",FALSE,ISNUMBER(VALUE(metadata!E996))),metadata!E996&gt;0))</f>
        <v>0</v>
      </c>
      <c r="AG996" t="b">
        <f>AND(IF(metadata!F996="",FALSE,TRUE),EXACT(metadata!F996,"Not applicable"))</f>
        <v>0</v>
      </c>
      <c r="AH996" t="b">
        <f>AND(IF(metadata!G996="",FALSE,TRUE),EXACT(metadata!G996,"urban biome"))</f>
        <v>0</v>
      </c>
      <c r="AI996" t="b">
        <f>AND(IF(metadata!H996="",FALSE,TRUE),EXACT(metadata!H996,"human-associated habitat"))</f>
        <v>0</v>
      </c>
      <c r="AJ996" t="b">
        <f>AND(IF(metadata!I996="",FALSE,TRUE),OR(EXACT(metadata!I996,"human-associated"),EXACT(metadata!I996,"human-skin"),EXACT(metadata!I996,"human-oral"),EXACT(metadata!I996,"human-gut"),EXACT(metadata!I996,"human-vaginal")))</f>
        <v>0</v>
      </c>
      <c r="AK996" t="b">
        <f>IF(metadata!J996="",FALSE,ISNUMBER(VALUE(metadata!J996)))</f>
        <v>0</v>
      </c>
      <c r="AL996" t="b">
        <f>AND(IF(metadata!K996="",FALSE,TRUE),EXACT(metadata!K996,"cm"))</f>
        <v>0</v>
      </c>
      <c r="AM996" t="b">
        <f>AND(IF(metadata!L996="",FALSE,TRUE),EXACT(metadata!L996,"human"))</f>
        <v>0</v>
      </c>
      <c r="AN996" t="b">
        <f>AND(IF(metadata!M996="",FALSE,TRUE),EXACT(metadata!M996,"Homo sapiens"))</f>
        <v>0</v>
      </c>
      <c r="AO996" t="b">
        <f>AND(IF(metadata!N996="",FALSE,TRUE),EXACT(metadata!N996,"9606"))</f>
        <v>0</v>
      </c>
      <c r="AP996" t="b">
        <f>IF(metadata!O996="",FALSE,TRUE)</f>
        <v>0</v>
      </c>
      <c r="AQ996" t="b">
        <f>IF(metadata!P996="",FALSE,TRUE)</f>
        <v>0</v>
      </c>
      <c r="AR996" t="b">
        <f>IF(metadata!Q996="",FALSE,ISNUMBER(VALUE(metadata!Q996)))</f>
        <v>0</v>
      </c>
      <c r="AS996" t="b">
        <f>AND(IF(metadata!R996="",FALSE,TRUE),EXACT(metadata!R996,"kg"))</f>
        <v>0</v>
      </c>
    </row>
    <row r="997" spans="1:45" x14ac:dyDescent="0.2">
      <c r="A997" s="5" t="str">
        <f ca="1">IF(B997=" "," ",HYPERLINK(CONCATENATE("#metadata!",ADDRESS(INDEX($X$2:$X$1001,MATCH(ROWS($V$2:V997),$V$2:$V$1001,0),0),1)),INDEX($AA$2:$AA$1001,MATCH(ROWS($V$2:V997),$V$2:$V$1001,0),0)))</f>
        <v xml:space="preserve"> </v>
      </c>
      <c r="B997" s="4" t="str">
        <f ca="1">IF(OR(INDEX($W$2:$W$1001,MATCH(ROWS($V$2:V997),$V$2:$V$1001,0),1)&gt;=100000,INDEX($AC$1005:$AS$1005,1,MATCH(COLUMNS($AC$1006:AC1006),$AC$1006:$AS$1006,0))&gt;=100000), " ",IF(INDEX($AC$2:$AS$1001,MATCH(ROWS($V$2:V997),$V$2:$V$1001,0),MATCH(COLUMNS($AC$1006:AC1006),$AC$1006:$AS$1006,0)), HYPERLINK("#",""), HYPERLINK(CONCATENATE("#metadata!", ADDRESS(INDEX($X$2:$X$1001,MATCH(ROWS($V$2:V997),$V$2:$V$1001,0),0), INDEX($AC$1004:$AS$1004,1,MATCH(COLUMNS($AC$1006:AC1006),$AC$1006:$AS$1006,0)))),"Fix")))</f>
        <v xml:space="preserve"> </v>
      </c>
      <c r="C997" s="4" t="str">
        <f ca="1">IF(OR(INDEX($W$2:$W$1001,MATCH(ROWS($V$2:V997),$V$2:$V$1001,0),1)&gt;=100000,INDEX($AC$1005:$AS$1005,1,MATCH(COLUMNS($AC$1006:AD1006),$AC$1006:$AS$1006,0))&gt;=100000), " ",IF(INDEX($AC$2:$AS$1001,MATCH(ROWS($V$2:V997),$V$2:$V$1001,0),MATCH(COLUMNS($AC$1006:AD1006),$AC$1006:$AS$1006,0)), HYPERLINK("#",""), HYPERLINK(CONCATENATE("#metadata!", ADDRESS(INDEX($X$2:$X$1001,MATCH(ROWS($V$2:V997),$V$2:$V$1001,0),0), INDEX($AC$1004:$AS$1004,1,MATCH(COLUMNS($AC$1006:AD1006),$AC$1006:$AS$1006,0)))),"Fix")))</f>
        <v xml:space="preserve"> </v>
      </c>
      <c r="D997" s="4" t="str">
        <f ca="1">IF(OR(INDEX($W$2:$W$1001,MATCH(ROWS($V$2:V997),$V$2:$V$1001,0),1)&gt;=100000,INDEX($AC$1005:$AS$1005,1,MATCH(COLUMNS($AC$1006:AE1006),$AC$1006:$AS$1006,0))&gt;=100000), " ",IF(INDEX($AC$2:$AS$1001,MATCH(ROWS($V$2:V997),$V$2:$V$1001,0),MATCH(COLUMNS($AC$1006:AE1006),$AC$1006:$AS$1006,0)), HYPERLINK("#",""), HYPERLINK(CONCATENATE("#metadata!", ADDRESS(INDEX($X$2:$X$1001,MATCH(ROWS($V$2:V997),$V$2:$V$1001,0),0), INDEX($AC$1004:$AS$1004,1,MATCH(COLUMNS($AC$1006:AE1006),$AC$1006:$AS$1006,0)))),"Fix")))</f>
        <v xml:space="preserve"> </v>
      </c>
      <c r="E997" s="4" t="str">
        <f ca="1">IF(OR(INDEX($W$2:$W$1001,MATCH(ROWS($V$2:V997),$V$2:$V$1001,0),1)&gt;=100000,INDEX($AC$1005:$AS$1005,1,MATCH(COLUMNS($AC$1006:AF1006),$AC$1006:$AS$1006,0))&gt;=100000), " ",IF(INDEX($AC$2:$AS$1001,MATCH(ROWS($V$2:V997),$V$2:$V$1001,0),MATCH(COLUMNS($AC$1006:AF1006),$AC$1006:$AS$1006,0)), HYPERLINK("#",""), HYPERLINK(CONCATENATE("#metadata!", ADDRESS(INDEX($X$2:$X$1001,MATCH(ROWS($V$2:V997),$V$2:$V$1001,0),0), INDEX($AC$1004:$AS$1004,1,MATCH(COLUMNS($AC$1006:AF1006),$AC$1006:$AS$1006,0)))),"Fix")))</f>
        <v xml:space="preserve"> </v>
      </c>
      <c r="F997" s="4" t="str">
        <f ca="1">IF(OR(INDEX($W$2:$W$1001,MATCH(ROWS($V$2:V997),$V$2:$V$1001,0),1)&gt;=100000,INDEX($AC$1005:$AS$1005,1,MATCH(COLUMNS($AC$1006:AG1006),$AC$1006:$AS$1006,0))&gt;=100000), " ",IF(INDEX($AC$2:$AS$1001,MATCH(ROWS($V$2:V997),$V$2:$V$1001,0),MATCH(COLUMNS($AC$1006:AG1006),$AC$1006:$AS$1006,0)), HYPERLINK("#",""), HYPERLINK(CONCATENATE("#metadata!", ADDRESS(INDEX($X$2:$X$1001,MATCH(ROWS($V$2:V997),$V$2:$V$1001,0),0), INDEX($AC$1004:$AS$1004,1,MATCH(COLUMNS($AC$1006:AG1006),$AC$1006:$AS$1006,0)))),"Fix")))</f>
        <v xml:space="preserve"> </v>
      </c>
      <c r="G997" s="4" t="str">
        <f ca="1">IF(OR(INDEX($W$2:$W$1001,MATCH(ROWS($V$2:V997),$V$2:$V$1001,0),1)&gt;=100000,INDEX($AC$1005:$AS$1005,1,MATCH(COLUMNS($AC$1006:AH1006),$AC$1006:$AS$1006,0))&gt;=100000), " ",IF(INDEX($AC$2:$AS$1001,MATCH(ROWS($V$2:V997),$V$2:$V$1001,0),MATCH(COLUMNS($AC$1006:AH1006),$AC$1006:$AS$1006,0)), HYPERLINK("#",""), HYPERLINK(CONCATENATE("#metadata!", ADDRESS(INDEX($X$2:$X$1001,MATCH(ROWS($V$2:V997),$V$2:$V$1001,0),0), INDEX($AC$1004:$AS$1004,1,MATCH(COLUMNS($AC$1006:AH1006),$AC$1006:$AS$1006,0)))),"Fix")))</f>
        <v xml:space="preserve"> </v>
      </c>
      <c r="H997" s="4" t="str">
        <f ca="1">IF(OR(INDEX($W$2:$W$1001,MATCH(ROWS($V$2:V997),$V$2:$V$1001,0),1)&gt;=100000,INDEX($AC$1005:$AS$1005,1,MATCH(COLUMNS($AC$1006:AI1006),$AC$1006:$AS$1006,0))&gt;=100000), " ",IF(INDEX($AC$2:$AS$1001,MATCH(ROWS($V$2:V997),$V$2:$V$1001,0),MATCH(COLUMNS($AC$1006:AI1006),$AC$1006:$AS$1006,0)), HYPERLINK("#",""), HYPERLINK(CONCATENATE("#metadata!", ADDRESS(INDEX($X$2:$X$1001,MATCH(ROWS($V$2:V997),$V$2:$V$1001,0),0), INDEX($AC$1004:$AS$1004,1,MATCH(COLUMNS($AC$1006:AI1006),$AC$1006:$AS$1006,0)))),"Fix")))</f>
        <v xml:space="preserve"> </v>
      </c>
      <c r="I997" s="4" t="str">
        <f ca="1">IF(OR(INDEX($W$2:$W$1001,MATCH(ROWS($V$2:V997),$V$2:$V$1001,0),1)&gt;=100000,INDEX($AC$1005:$AS$1005,1,MATCH(COLUMNS($AC$1006:AJ1006),$AC$1006:$AS$1006,0))&gt;=100000), " ",IF(INDEX($AC$2:$AS$1001,MATCH(ROWS($V$2:V997),$V$2:$V$1001,0),MATCH(COLUMNS($AC$1006:AJ1006),$AC$1006:$AS$1006,0)), HYPERLINK("#",""), HYPERLINK(CONCATENATE("#metadata!", ADDRESS(INDEX($X$2:$X$1001,MATCH(ROWS($V$2:V997),$V$2:$V$1001,0),0), INDEX($AC$1004:$AS$1004,1,MATCH(COLUMNS($AC$1006:AJ1006),$AC$1006:$AS$1006,0)))),"Fix")))</f>
        <v xml:space="preserve"> </v>
      </c>
      <c r="J997" s="4" t="str">
        <f ca="1">IF(OR(INDEX($W$2:$W$1001,MATCH(ROWS($V$2:V997),$V$2:$V$1001,0),1)&gt;=100000,INDEX($AC$1005:$AS$1005,1,MATCH(COLUMNS($AC$1006:AK1006),$AC$1006:$AS$1006,0))&gt;=100000), " ",IF(INDEX($AC$2:$AS$1001,MATCH(ROWS($V$2:V997),$V$2:$V$1001,0),MATCH(COLUMNS($AC$1006:AK1006),$AC$1006:$AS$1006,0)), HYPERLINK("#",""), HYPERLINK(CONCATENATE("#metadata!", ADDRESS(INDEX($X$2:$X$1001,MATCH(ROWS($V$2:V997),$V$2:$V$1001,0),0), INDEX($AC$1004:$AS$1004,1,MATCH(COLUMNS($AC$1006:AK1006),$AC$1006:$AS$1006,0)))),"Fix")))</f>
        <v xml:space="preserve"> </v>
      </c>
      <c r="K997" s="4" t="str">
        <f ca="1">IF(OR(INDEX($W$2:$W$1001,MATCH(ROWS($V$2:V997),$V$2:$V$1001,0),1)&gt;=100000,INDEX($AC$1005:$AS$1005,1,MATCH(COLUMNS($AC$1006:AL1006),$AC$1006:$AS$1006,0))&gt;=100000), " ",IF(INDEX($AC$2:$AS$1001,MATCH(ROWS($V$2:V997),$V$2:$V$1001,0),MATCH(COLUMNS($AC$1006:AL1006),$AC$1006:$AS$1006,0)), HYPERLINK("#",""), HYPERLINK(CONCATENATE("#metadata!", ADDRESS(INDEX($X$2:$X$1001,MATCH(ROWS($V$2:V997),$V$2:$V$1001,0),0), INDEX($AC$1004:$AS$1004,1,MATCH(COLUMNS($AC$1006:AL1006),$AC$1006:$AS$1006,0)))),"Fix")))</f>
        <v xml:space="preserve"> </v>
      </c>
      <c r="L997" s="4" t="str">
        <f ca="1">IF(OR(INDEX($W$2:$W$1001,MATCH(ROWS($V$2:V997),$V$2:$V$1001,0),1)&gt;=100000,INDEX($AC$1005:$AS$1005,1,MATCH(COLUMNS($AC$1006:AM1006),$AC$1006:$AS$1006,0))&gt;=100000), " ",IF(INDEX($AC$2:$AS$1001,MATCH(ROWS($V$2:V997),$V$2:$V$1001,0),MATCH(COLUMNS($AC$1006:AM1006),$AC$1006:$AS$1006,0)), HYPERLINK("#",""), HYPERLINK(CONCATENATE("#metadata!", ADDRESS(INDEX($X$2:$X$1001,MATCH(ROWS($V$2:V997),$V$2:$V$1001,0),0), INDEX($AC$1004:$AS$1004,1,MATCH(COLUMNS($AC$1006:AM1006),$AC$1006:$AS$1006,0)))),"Fix")))</f>
        <v xml:space="preserve"> </v>
      </c>
      <c r="M997" s="4" t="str">
        <f ca="1">IF(OR(INDEX($W$2:$W$1001,MATCH(ROWS($V$2:V997),$V$2:$V$1001,0),1)&gt;=100000,INDEX($AC$1005:$AS$1005,1,MATCH(COLUMNS($AC$1006:AN1006),$AC$1006:$AS$1006,0))&gt;=100000), " ",IF(INDEX($AC$2:$AS$1001,MATCH(ROWS($V$2:V997),$V$2:$V$1001,0),MATCH(COLUMNS($AC$1006:AN1006),$AC$1006:$AS$1006,0)), HYPERLINK("#",""), HYPERLINK(CONCATENATE("#metadata!", ADDRESS(INDEX($X$2:$X$1001,MATCH(ROWS($V$2:V997),$V$2:$V$1001,0),0), INDEX($AC$1004:$AS$1004,1,MATCH(COLUMNS($AC$1006:AN1006),$AC$1006:$AS$1006,0)))),"Fix")))</f>
        <v xml:space="preserve"> </v>
      </c>
      <c r="N997" s="4" t="str">
        <f ca="1">IF(OR(INDEX($W$2:$W$1001,MATCH(ROWS($V$2:V997),$V$2:$V$1001,0),1)&gt;=100000,INDEX($AC$1005:$AS$1005,1,MATCH(COLUMNS($AC$1006:AO1006),$AC$1006:$AS$1006,0))&gt;=100000), " ",IF(INDEX($AC$2:$AS$1001,MATCH(ROWS($V$2:V997),$V$2:$V$1001,0),MATCH(COLUMNS($AC$1006:AO1006),$AC$1006:$AS$1006,0)), HYPERLINK("#",""), HYPERLINK(CONCATENATE("#metadata!", ADDRESS(INDEX($X$2:$X$1001,MATCH(ROWS($V$2:V997),$V$2:$V$1001,0),0), INDEX($AC$1004:$AS$1004,1,MATCH(COLUMNS($AC$1006:AO1006),$AC$1006:$AS$1006,0)))),"Fix")))</f>
        <v xml:space="preserve"> </v>
      </c>
      <c r="O997" s="4" t="str">
        <f ca="1">IF(OR(INDEX($W$2:$W$1001,MATCH(ROWS($V$2:V997),$V$2:$V$1001,0),1)&gt;=100000,INDEX($AC$1005:$AS$1005,1,MATCH(COLUMNS($AC$1006:AP1006),$AC$1006:$AS$1006,0))&gt;=100000), " ",IF(INDEX($AC$2:$AS$1001,MATCH(ROWS($V$2:V997),$V$2:$V$1001,0),MATCH(COLUMNS($AC$1006:AP1006),$AC$1006:$AS$1006,0)), HYPERLINK("#",""), HYPERLINK(CONCATENATE("#metadata!", ADDRESS(INDEX($X$2:$X$1001,MATCH(ROWS($V$2:V997),$V$2:$V$1001,0),0), INDEX($AC$1004:$AS$1004,1,MATCH(COLUMNS($AC$1006:AP1006),$AC$1006:$AS$1006,0)))),"Fix")))</f>
        <v xml:space="preserve"> </v>
      </c>
      <c r="P997" s="4" t="str">
        <f ca="1">IF(OR(INDEX($W$2:$W$1001,MATCH(ROWS($V$2:V997),$V$2:$V$1001,0),1)&gt;=100000,INDEX($AC$1005:$AS$1005,1,MATCH(COLUMNS($AC$1006:AQ1006),$AC$1006:$AS$1006,0))&gt;=100000), " ",IF(INDEX($AC$2:$AS$1001,MATCH(ROWS($V$2:V997),$V$2:$V$1001,0),MATCH(COLUMNS($AC$1006:AQ1006),$AC$1006:$AS$1006,0)), HYPERLINK("#",""), HYPERLINK(CONCATENATE("#metadata!", ADDRESS(INDEX($X$2:$X$1001,MATCH(ROWS($V$2:V997),$V$2:$V$1001,0),0), INDEX($AC$1004:$AS$1004,1,MATCH(COLUMNS($AC$1006:AQ1006),$AC$1006:$AS$1006,0)))),"Fix")))</f>
        <v xml:space="preserve"> </v>
      </c>
      <c r="Q997" s="4" t="str">
        <f ca="1">IF(OR(INDEX($W$2:$W$1001,MATCH(ROWS($V$2:V997),$V$2:$V$1001,0),1)&gt;=100000,INDEX($AC$1005:$AS$1005,1,MATCH(COLUMNS($AC$1006:AR1006),$AC$1006:$AS$1006,0))&gt;=100000), " ",IF(INDEX($AC$2:$AS$1001,MATCH(ROWS($V$2:V997),$V$2:$V$1001,0),MATCH(COLUMNS($AC$1006:AR1006),$AC$1006:$AS$1006,0)), HYPERLINK("#",""), HYPERLINK(CONCATENATE("#metadata!", ADDRESS(INDEX($X$2:$X$1001,MATCH(ROWS($V$2:V997),$V$2:$V$1001,0),0), INDEX($AC$1004:$AS$1004,1,MATCH(COLUMNS($AC$1006:AR1006),$AC$1006:$AS$1006,0)))),"Fix")))</f>
        <v xml:space="preserve"> </v>
      </c>
      <c r="R997" s="4" t="str">
        <f ca="1">IF(OR(INDEX($W$2:$W$1001,MATCH(ROWS($V$2:V997),$V$2:$V$1001,0),1)&gt;=100000,INDEX($AC$1005:$AS$1005,1,MATCH(COLUMNS($AC$1006:AS1006),$AC$1006:$AS$1006,0))&gt;=100000), " ",IF(INDEX($AC$2:$AS$1001,MATCH(ROWS($V$2:V997),$V$2:$V$1001,0),MATCH(COLUMNS($AC$1006:AS1006),$AC$1006:$AS$1006,0)), HYPERLINK("#",""), HYPERLINK(CONCATENATE("#metadata!", ADDRESS(INDEX($X$2:$X$1001,MATCH(ROWS($V$2:V997),$V$2:$V$1001,0),0), INDEX($AC$1004:$AS$1004,1,MATCH(COLUMNS($AC$1006:AS1006),$AC$1006:$AS$1006,0)))),"Fix")))</f>
        <v xml:space="preserve"> </v>
      </c>
      <c r="V997">
        <v>996</v>
      </c>
      <c r="W997">
        <v>100997</v>
      </c>
      <c r="X997">
        <v>997</v>
      </c>
      <c r="Y997" t="b">
        <f t="shared" si="15"/>
        <v>1</v>
      </c>
      <c r="Z997" t="b">
        <f>COUNTBLANK(metadata!B997:R997)=COLUMNS(metadata!B997:R997)</f>
        <v>1</v>
      </c>
      <c r="AA997" t="str">
        <v/>
      </c>
      <c r="AC997" t="b">
        <f ca="1"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AD997" t="b">
        <f>IF(metadata!C997="",FALSE,ISNUMBER(VALUE(metadata!C997)))</f>
        <v>0</v>
      </c>
      <c r="AE997" t="b">
        <f>AND(IF(metadata!D997="",FALSE,TRUE),EXACT(metadata!D997,"years"))</f>
        <v>0</v>
      </c>
      <c r="AF997" t="b">
        <f>OR(AND(IF(metadata!E997="",FALSE,TRUE),OR(EXACT(metadata!E997,"not applicable"),EXACT(metadata!E997,"missing: not collected"),EXACT(metadata!E997,"missing: not provided"),EXACT(metadata!E997,"missing: restricted access"))),AND(IF(metadata!E997="",FALSE,ISNUMBER(VALUE(metadata!E997))),metadata!E997&gt;0))</f>
        <v>0</v>
      </c>
      <c r="AG997" t="b">
        <f>AND(IF(metadata!F997="",FALSE,TRUE),EXACT(metadata!F997,"Not applicable"))</f>
        <v>0</v>
      </c>
      <c r="AH997" t="b">
        <f>AND(IF(metadata!G997="",FALSE,TRUE),EXACT(metadata!G997,"urban biome"))</f>
        <v>0</v>
      </c>
      <c r="AI997" t="b">
        <f>AND(IF(metadata!H997="",FALSE,TRUE),EXACT(metadata!H997,"human-associated habitat"))</f>
        <v>0</v>
      </c>
      <c r="AJ997" t="b">
        <f>AND(IF(metadata!I997="",FALSE,TRUE),OR(EXACT(metadata!I997,"human-associated"),EXACT(metadata!I997,"human-skin"),EXACT(metadata!I997,"human-oral"),EXACT(metadata!I997,"human-gut"),EXACT(metadata!I997,"human-vaginal")))</f>
        <v>0</v>
      </c>
      <c r="AK997" t="b">
        <f>IF(metadata!J997="",FALSE,ISNUMBER(VALUE(metadata!J997)))</f>
        <v>0</v>
      </c>
      <c r="AL997" t="b">
        <f>AND(IF(metadata!K997="",FALSE,TRUE),EXACT(metadata!K997,"cm"))</f>
        <v>0</v>
      </c>
      <c r="AM997" t="b">
        <f>AND(IF(metadata!L997="",FALSE,TRUE),EXACT(metadata!L997,"human"))</f>
        <v>0</v>
      </c>
      <c r="AN997" t="b">
        <f>AND(IF(metadata!M997="",FALSE,TRUE),EXACT(metadata!M997,"Homo sapiens"))</f>
        <v>0</v>
      </c>
      <c r="AO997" t="b">
        <f>AND(IF(metadata!N997="",FALSE,TRUE),EXACT(metadata!N997,"9606"))</f>
        <v>0</v>
      </c>
      <c r="AP997" t="b">
        <f>IF(metadata!O997="",FALSE,TRUE)</f>
        <v>0</v>
      </c>
      <c r="AQ997" t="b">
        <f>IF(metadata!P997="",FALSE,TRUE)</f>
        <v>0</v>
      </c>
      <c r="AR997" t="b">
        <f>IF(metadata!Q997="",FALSE,ISNUMBER(VALUE(metadata!Q997)))</f>
        <v>0</v>
      </c>
      <c r="AS997" t="b">
        <f>AND(IF(metadata!R997="",FALSE,TRUE),EXACT(metadata!R997,"kg"))</f>
        <v>0</v>
      </c>
    </row>
    <row r="998" spans="1:45" x14ac:dyDescent="0.2">
      <c r="A998" s="5" t="str">
        <f ca="1">IF(B998=" "," ",HYPERLINK(CONCATENATE("#metadata!",ADDRESS(INDEX($X$2:$X$1001,MATCH(ROWS($V$2:V998),$V$2:$V$1001,0),0),1)),INDEX($AA$2:$AA$1001,MATCH(ROWS($V$2:V998),$V$2:$V$1001,0),0)))</f>
        <v xml:space="preserve"> </v>
      </c>
      <c r="B998" s="4" t="str">
        <f ca="1">IF(OR(INDEX($W$2:$W$1001,MATCH(ROWS($V$2:V998),$V$2:$V$1001,0),1)&gt;=100000,INDEX($AC$1005:$AS$1005,1,MATCH(COLUMNS($AC$1006:AC1006),$AC$1006:$AS$1006,0))&gt;=100000), " ",IF(INDEX($AC$2:$AS$1001,MATCH(ROWS($V$2:V998),$V$2:$V$1001,0),MATCH(COLUMNS($AC$1006:AC1006),$AC$1006:$AS$1006,0)), HYPERLINK("#",""), HYPERLINK(CONCATENATE("#metadata!", ADDRESS(INDEX($X$2:$X$1001,MATCH(ROWS($V$2:V998),$V$2:$V$1001,0),0), INDEX($AC$1004:$AS$1004,1,MATCH(COLUMNS($AC$1006:AC1006),$AC$1006:$AS$1006,0)))),"Fix")))</f>
        <v xml:space="preserve"> </v>
      </c>
      <c r="C998" s="4" t="str">
        <f ca="1">IF(OR(INDEX($W$2:$W$1001,MATCH(ROWS($V$2:V998),$V$2:$V$1001,0),1)&gt;=100000,INDEX($AC$1005:$AS$1005,1,MATCH(COLUMNS($AC$1006:AD1006),$AC$1006:$AS$1006,0))&gt;=100000), " ",IF(INDEX($AC$2:$AS$1001,MATCH(ROWS($V$2:V998),$V$2:$V$1001,0),MATCH(COLUMNS($AC$1006:AD1006),$AC$1006:$AS$1006,0)), HYPERLINK("#",""), HYPERLINK(CONCATENATE("#metadata!", ADDRESS(INDEX($X$2:$X$1001,MATCH(ROWS($V$2:V998),$V$2:$V$1001,0),0), INDEX($AC$1004:$AS$1004,1,MATCH(COLUMNS($AC$1006:AD1006),$AC$1006:$AS$1006,0)))),"Fix")))</f>
        <v xml:space="preserve"> </v>
      </c>
      <c r="D998" s="4" t="str">
        <f ca="1">IF(OR(INDEX($W$2:$W$1001,MATCH(ROWS($V$2:V998),$V$2:$V$1001,0),1)&gt;=100000,INDEX($AC$1005:$AS$1005,1,MATCH(COLUMNS($AC$1006:AE1006),$AC$1006:$AS$1006,0))&gt;=100000), " ",IF(INDEX($AC$2:$AS$1001,MATCH(ROWS($V$2:V998),$V$2:$V$1001,0),MATCH(COLUMNS($AC$1006:AE1006),$AC$1006:$AS$1006,0)), HYPERLINK("#",""), HYPERLINK(CONCATENATE("#metadata!", ADDRESS(INDEX($X$2:$X$1001,MATCH(ROWS($V$2:V998),$V$2:$V$1001,0),0), INDEX($AC$1004:$AS$1004,1,MATCH(COLUMNS($AC$1006:AE1006),$AC$1006:$AS$1006,0)))),"Fix")))</f>
        <v xml:space="preserve"> </v>
      </c>
      <c r="E998" s="4" t="str">
        <f ca="1">IF(OR(INDEX($W$2:$W$1001,MATCH(ROWS($V$2:V998),$V$2:$V$1001,0),1)&gt;=100000,INDEX($AC$1005:$AS$1005,1,MATCH(COLUMNS($AC$1006:AF1006),$AC$1006:$AS$1006,0))&gt;=100000), " ",IF(INDEX($AC$2:$AS$1001,MATCH(ROWS($V$2:V998),$V$2:$V$1001,0),MATCH(COLUMNS($AC$1006:AF1006),$AC$1006:$AS$1006,0)), HYPERLINK("#",""), HYPERLINK(CONCATENATE("#metadata!", ADDRESS(INDEX($X$2:$X$1001,MATCH(ROWS($V$2:V998),$V$2:$V$1001,0),0), INDEX($AC$1004:$AS$1004,1,MATCH(COLUMNS($AC$1006:AF1006),$AC$1006:$AS$1006,0)))),"Fix")))</f>
        <v xml:space="preserve"> </v>
      </c>
      <c r="F998" s="4" t="str">
        <f ca="1">IF(OR(INDEX($W$2:$W$1001,MATCH(ROWS($V$2:V998),$V$2:$V$1001,0),1)&gt;=100000,INDEX($AC$1005:$AS$1005,1,MATCH(COLUMNS($AC$1006:AG1006),$AC$1006:$AS$1006,0))&gt;=100000), " ",IF(INDEX($AC$2:$AS$1001,MATCH(ROWS($V$2:V998),$V$2:$V$1001,0),MATCH(COLUMNS($AC$1006:AG1006),$AC$1006:$AS$1006,0)), HYPERLINK("#",""), HYPERLINK(CONCATENATE("#metadata!", ADDRESS(INDEX($X$2:$X$1001,MATCH(ROWS($V$2:V998),$V$2:$V$1001,0),0), INDEX($AC$1004:$AS$1004,1,MATCH(COLUMNS($AC$1006:AG1006),$AC$1006:$AS$1006,0)))),"Fix")))</f>
        <v xml:space="preserve"> </v>
      </c>
      <c r="G998" s="4" t="str">
        <f ca="1">IF(OR(INDEX($W$2:$W$1001,MATCH(ROWS($V$2:V998),$V$2:$V$1001,0),1)&gt;=100000,INDEX($AC$1005:$AS$1005,1,MATCH(COLUMNS($AC$1006:AH1006),$AC$1006:$AS$1006,0))&gt;=100000), " ",IF(INDEX($AC$2:$AS$1001,MATCH(ROWS($V$2:V998),$V$2:$V$1001,0),MATCH(COLUMNS($AC$1006:AH1006),$AC$1006:$AS$1006,0)), HYPERLINK("#",""), HYPERLINK(CONCATENATE("#metadata!", ADDRESS(INDEX($X$2:$X$1001,MATCH(ROWS($V$2:V998),$V$2:$V$1001,0),0), INDEX($AC$1004:$AS$1004,1,MATCH(COLUMNS($AC$1006:AH1006),$AC$1006:$AS$1006,0)))),"Fix")))</f>
        <v xml:space="preserve"> </v>
      </c>
      <c r="H998" s="4" t="str">
        <f ca="1">IF(OR(INDEX($W$2:$W$1001,MATCH(ROWS($V$2:V998),$V$2:$V$1001,0),1)&gt;=100000,INDEX($AC$1005:$AS$1005,1,MATCH(COLUMNS($AC$1006:AI1006),$AC$1006:$AS$1006,0))&gt;=100000), " ",IF(INDEX($AC$2:$AS$1001,MATCH(ROWS($V$2:V998),$V$2:$V$1001,0),MATCH(COLUMNS($AC$1006:AI1006),$AC$1006:$AS$1006,0)), HYPERLINK("#",""), HYPERLINK(CONCATENATE("#metadata!", ADDRESS(INDEX($X$2:$X$1001,MATCH(ROWS($V$2:V998),$V$2:$V$1001,0),0), INDEX($AC$1004:$AS$1004,1,MATCH(COLUMNS($AC$1006:AI1006),$AC$1006:$AS$1006,0)))),"Fix")))</f>
        <v xml:space="preserve"> </v>
      </c>
      <c r="I998" s="4" t="str">
        <f ca="1">IF(OR(INDEX($W$2:$W$1001,MATCH(ROWS($V$2:V998),$V$2:$V$1001,0),1)&gt;=100000,INDEX($AC$1005:$AS$1005,1,MATCH(COLUMNS($AC$1006:AJ1006),$AC$1006:$AS$1006,0))&gt;=100000), " ",IF(INDEX($AC$2:$AS$1001,MATCH(ROWS($V$2:V998),$V$2:$V$1001,0),MATCH(COLUMNS($AC$1006:AJ1006),$AC$1006:$AS$1006,0)), HYPERLINK("#",""), HYPERLINK(CONCATENATE("#metadata!", ADDRESS(INDEX($X$2:$X$1001,MATCH(ROWS($V$2:V998),$V$2:$V$1001,0),0), INDEX($AC$1004:$AS$1004,1,MATCH(COLUMNS($AC$1006:AJ1006),$AC$1006:$AS$1006,0)))),"Fix")))</f>
        <v xml:space="preserve"> </v>
      </c>
      <c r="J998" s="4" t="str">
        <f ca="1">IF(OR(INDEX($W$2:$W$1001,MATCH(ROWS($V$2:V998),$V$2:$V$1001,0),1)&gt;=100000,INDEX($AC$1005:$AS$1005,1,MATCH(COLUMNS($AC$1006:AK1006),$AC$1006:$AS$1006,0))&gt;=100000), " ",IF(INDEX($AC$2:$AS$1001,MATCH(ROWS($V$2:V998),$V$2:$V$1001,0),MATCH(COLUMNS($AC$1006:AK1006),$AC$1006:$AS$1006,0)), HYPERLINK("#",""), HYPERLINK(CONCATENATE("#metadata!", ADDRESS(INDEX($X$2:$X$1001,MATCH(ROWS($V$2:V998),$V$2:$V$1001,0),0), INDEX($AC$1004:$AS$1004,1,MATCH(COLUMNS($AC$1006:AK1006),$AC$1006:$AS$1006,0)))),"Fix")))</f>
        <v xml:space="preserve"> </v>
      </c>
      <c r="K998" s="4" t="str">
        <f ca="1">IF(OR(INDEX($W$2:$W$1001,MATCH(ROWS($V$2:V998),$V$2:$V$1001,0),1)&gt;=100000,INDEX($AC$1005:$AS$1005,1,MATCH(COLUMNS($AC$1006:AL1006),$AC$1006:$AS$1006,0))&gt;=100000), " ",IF(INDEX($AC$2:$AS$1001,MATCH(ROWS($V$2:V998),$V$2:$V$1001,0),MATCH(COLUMNS($AC$1006:AL1006),$AC$1006:$AS$1006,0)), HYPERLINK("#",""), HYPERLINK(CONCATENATE("#metadata!", ADDRESS(INDEX($X$2:$X$1001,MATCH(ROWS($V$2:V998),$V$2:$V$1001,0),0), INDEX($AC$1004:$AS$1004,1,MATCH(COLUMNS($AC$1006:AL1006),$AC$1006:$AS$1006,0)))),"Fix")))</f>
        <v xml:space="preserve"> </v>
      </c>
      <c r="L998" s="4" t="str">
        <f ca="1">IF(OR(INDEX($W$2:$W$1001,MATCH(ROWS($V$2:V998),$V$2:$V$1001,0),1)&gt;=100000,INDEX($AC$1005:$AS$1005,1,MATCH(COLUMNS($AC$1006:AM1006),$AC$1006:$AS$1006,0))&gt;=100000), " ",IF(INDEX($AC$2:$AS$1001,MATCH(ROWS($V$2:V998),$V$2:$V$1001,0),MATCH(COLUMNS($AC$1006:AM1006),$AC$1006:$AS$1006,0)), HYPERLINK("#",""), HYPERLINK(CONCATENATE("#metadata!", ADDRESS(INDEX($X$2:$X$1001,MATCH(ROWS($V$2:V998),$V$2:$V$1001,0),0), INDEX($AC$1004:$AS$1004,1,MATCH(COLUMNS($AC$1006:AM1006),$AC$1006:$AS$1006,0)))),"Fix")))</f>
        <v xml:space="preserve"> </v>
      </c>
      <c r="M998" s="4" t="str">
        <f ca="1">IF(OR(INDEX($W$2:$W$1001,MATCH(ROWS($V$2:V998),$V$2:$V$1001,0),1)&gt;=100000,INDEX($AC$1005:$AS$1005,1,MATCH(COLUMNS($AC$1006:AN1006),$AC$1006:$AS$1006,0))&gt;=100000), " ",IF(INDEX($AC$2:$AS$1001,MATCH(ROWS($V$2:V998),$V$2:$V$1001,0),MATCH(COLUMNS($AC$1006:AN1006),$AC$1006:$AS$1006,0)), HYPERLINK("#",""), HYPERLINK(CONCATENATE("#metadata!", ADDRESS(INDEX($X$2:$X$1001,MATCH(ROWS($V$2:V998),$V$2:$V$1001,0),0), INDEX($AC$1004:$AS$1004,1,MATCH(COLUMNS($AC$1006:AN1006),$AC$1006:$AS$1006,0)))),"Fix")))</f>
        <v xml:space="preserve"> </v>
      </c>
      <c r="N998" s="4" t="str">
        <f ca="1">IF(OR(INDEX($W$2:$W$1001,MATCH(ROWS($V$2:V998),$V$2:$V$1001,0),1)&gt;=100000,INDEX($AC$1005:$AS$1005,1,MATCH(COLUMNS($AC$1006:AO1006),$AC$1006:$AS$1006,0))&gt;=100000), " ",IF(INDEX($AC$2:$AS$1001,MATCH(ROWS($V$2:V998),$V$2:$V$1001,0),MATCH(COLUMNS($AC$1006:AO1006),$AC$1006:$AS$1006,0)), HYPERLINK("#",""), HYPERLINK(CONCATENATE("#metadata!", ADDRESS(INDEX($X$2:$X$1001,MATCH(ROWS($V$2:V998),$V$2:$V$1001,0),0), INDEX($AC$1004:$AS$1004,1,MATCH(COLUMNS($AC$1006:AO1006),$AC$1006:$AS$1006,0)))),"Fix")))</f>
        <v xml:space="preserve"> </v>
      </c>
      <c r="O998" s="4" t="str">
        <f ca="1">IF(OR(INDEX($W$2:$W$1001,MATCH(ROWS($V$2:V998),$V$2:$V$1001,0),1)&gt;=100000,INDEX($AC$1005:$AS$1005,1,MATCH(COLUMNS($AC$1006:AP1006),$AC$1006:$AS$1006,0))&gt;=100000), " ",IF(INDEX($AC$2:$AS$1001,MATCH(ROWS($V$2:V998),$V$2:$V$1001,0),MATCH(COLUMNS($AC$1006:AP1006),$AC$1006:$AS$1006,0)), HYPERLINK("#",""), HYPERLINK(CONCATENATE("#metadata!", ADDRESS(INDEX($X$2:$X$1001,MATCH(ROWS($V$2:V998),$V$2:$V$1001,0),0), INDEX($AC$1004:$AS$1004,1,MATCH(COLUMNS($AC$1006:AP1006),$AC$1006:$AS$1006,0)))),"Fix")))</f>
        <v xml:space="preserve"> </v>
      </c>
      <c r="P998" s="4" t="str">
        <f ca="1">IF(OR(INDEX($W$2:$W$1001,MATCH(ROWS($V$2:V998),$V$2:$V$1001,0),1)&gt;=100000,INDEX($AC$1005:$AS$1005,1,MATCH(COLUMNS($AC$1006:AQ1006),$AC$1006:$AS$1006,0))&gt;=100000), " ",IF(INDEX($AC$2:$AS$1001,MATCH(ROWS($V$2:V998),$V$2:$V$1001,0),MATCH(COLUMNS($AC$1006:AQ1006),$AC$1006:$AS$1006,0)), HYPERLINK("#",""), HYPERLINK(CONCATENATE("#metadata!", ADDRESS(INDEX($X$2:$X$1001,MATCH(ROWS($V$2:V998),$V$2:$V$1001,0),0), INDEX($AC$1004:$AS$1004,1,MATCH(COLUMNS($AC$1006:AQ1006),$AC$1006:$AS$1006,0)))),"Fix")))</f>
        <v xml:space="preserve"> </v>
      </c>
      <c r="Q998" s="4" t="str">
        <f ca="1">IF(OR(INDEX($W$2:$W$1001,MATCH(ROWS($V$2:V998),$V$2:$V$1001,0),1)&gt;=100000,INDEX($AC$1005:$AS$1005,1,MATCH(COLUMNS($AC$1006:AR1006),$AC$1006:$AS$1006,0))&gt;=100000), " ",IF(INDEX($AC$2:$AS$1001,MATCH(ROWS($V$2:V998),$V$2:$V$1001,0),MATCH(COLUMNS($AC$1006:AR1006),$AC$1006:$AS$1006,0)), HYPERLINK("#",""), HYPERLINK(CONCATENATE("#metadata!", ADDRESS(INDEX($X$2:$X$1001,MATCH(ROWS($V$2:V998),$V$2:$V$1001,0),0), INDEX($AC$1004:$AS$1004,1,MATCH(COLUMNS($AC$1006:AR1006),$AC$1006:$AS$1006,0)))),"Fix")))</f>
        <v xml:space="preserve"> </v>
      </c>
      <c r="R998" s="4" t="str">
        <f ca="1">IF(OR(INDEX($W$2:$W$1001,MATCH(ROWS($V$2:V998),$V$2:$V$1001,0),1)&gt;=100000,INDEX($AC$1005:$AS$1005,1,MATCH(COLUMNS($AC$1006:AS1006),$AC$1006:$AS$1006,0))&gt;=100000), " ",IF(INDEX($AC$2:$AS$1001,MATCH(ROWS($V$2:V998),$V$2:$V$1001,0),MATCH(COLUMNS($AC$1006:AS1006),$AC$1006:$AS$1006,0)), HYPERLINK("#",""), HYPERLINK(CONCATENATE("#metadata!", ADDRESS(INDEX($X$2:$X$1001,MATCH(ROWS($V$2:V998),$V$2:$V$1001,0),0), INDEX($AC$1004:$AS$1004,1,MATCH(COLUMNS($AC$1006:AS1006),$AC$1006:$AS$1006,0)))),"Fix")))</f>
        <v xml:space="preserve"> </v>
      </c>
      <c r="V998">
        <v>997</v>
      </c>
      <c r="W998">
        <v>100998</v>
      </c>
      <c r="X998">
        <v>998</v>
      </c>
      <c r="Y998" t="b">
        <f t="shared" si="15"/>
        <v>1</v>
      </c>
      <c r="Z998" t="b">
        <f>COUNTBLANK(metadata!B998:R998)=COLUMNS(metadata!B998:R998)</f>
        <v>1</v>
      </c>
      <c r="AA998" t="str">
        <v/>
      </c>
      <c r="AC998" t="b">
        <f ca="1"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AD998" t="b">
        <f>IF(metadata!C998="",FALSE,ISNUMBER(VALUE(metadata!C998)))</f>
        <v>0</v>
      </c>
      <c r="AE998" t="b">
        <f>AND(IF(metadata!D998="",FALSE,TRUE),EXACT(metadata!D998,"years"))</f>
        <v>0</v>
      </c>
      <c r="AF998" t="b">
        <f>OR(AND(IF(metadata!E998="",FALSE,TRUE),OR(EXACT(metadata!E998,"not applicable"),EXACT(metadata!E998,"missing: not collected"),EXACT(metadata!E998,"missing: not provided"),EXACT(metadata!E998,"missing: restricted access"))),AND(IF(metadata!E998="",FALSE,ISNUMBER(VALUE(metadata!E998))),metadata!E998&gt;0))</f>
        <v>0</v>
      </c>
      <c r="AG998" t="b">
        <f>AND(IF(metadata!F998="",FALSE,TRUE),EXACT(metadata!F998,"Not applicable"))</f>
        <v>0</v>
      </c>
      <c r="AH998" t="b">
        <f>AND(IF(metadata!G998="",FALSE,TRUE),EXACT(metadata!G998,"urban biome"))</f>
        <v>0</v>
      </c>
      <c r="AI998" t="b">
        <f>AND(IF(metadata!H998="",FALSE,TRUE),EXACT(metadata!H998,"human-associated habitat"))</f>
        <v>0</v>
      </c>
      <c r="AJ998" t="b">
        <f>AND(IF(metadata!I998="",FALSE,TRUE),OR(EXACT(metadata!I998,"human-associated"),EXACT(metadata!I998,"human-skin"),EXACT(metadata!I998,"human-oral"),EXACT(metadata!I998,"human-gut"),EXACT(metadata!I998,"human-vaginal")))</f>
        <v>0</v>
      </c>
      <c r="AK998" t="b">
        <f>IF(metadata!J998="",FALSE,ISNUMBER(VALUE(metadata!J998)))</f>
        <v>0</v>
      </c>
      <c r="AL998" t="b">
        <f>AND(IF(metadata!K998="",FALSE,TRUE),EXACT(metadata!K998,"cm"))</f>
        <v>0</v>
      </c>
      <c r="AM998" t="b">
        <f>AND(IF(metadata!L998="",FALSE,TRUE),EXACT(metadata!L998,"human"))</f>
        <v>0</v>
      </c>
      <c r="AN998" t="b">
        <f>AND(IF(metadata!M998="",FALSE,TRUE),EXACT(metadata!M998,"Homo sapiens"))</f>
        <v>0</v>
      </c>
      <c r="AO998" t="b">
        <f>AND(IF(metadata!N998="",FALSE,TRUE),EXACT(metadata!N998,"9606"))</f>
        <v>0</v>
      </c>
      <c r="AP998" t="b">
        <f>IF(metadata!O998="",FALSE,TRUE)</f>
        <v>0</v>
      </c>
      <c r="AQ998" t="b">
        <f>IF(metadata!P998="",FALSE,TRUE)</f>
        <v>0</v>
      </c>
      <c r="AR998" t="b">
        <f>IF(metadata!Q998="",FALSE,ISNUMBER(VALUE(metadata!Q998)))</f>
        <v>0</v>
      </c>
      <c r="AS998" t="b">
        <f>AND(IF(metadata!R998="",FALSE,TRUE),EXACT(metadata!R998,"kg"))</f>
        <v>0</v>
      </c>
    </row>
    <row r="999" spans="1:45" x14ac:dyDescent="0.2">
      <c r="A999" s="5" t="str">
        <f ca="1">IF(B999=" "," ",HYPERLINK(CONCATENATE("#metadata!",ADDRESS(INDEX($X$2:$X$1001,MATCH(ROWS($V$2:V999),$V$2:$V$1001,0),0),1)),INDEX($AA$2:$AA$1001,MATCH(ROWS($V$2:V999),$V$2:$V$1001,0),0)))</f>
        <v xml:space="preserve"> </v>
      </c>
      <c r="B999" s="4" t="str">
        <f ca="1">IF(OR(INDEX($W$2:$W$1001,MATCH(ROWS($V$2:V999),$V$2:$V$1001,0),1)&gt;=100000,INDEX($AC$1005:$AS$1005,1,MATCH(COLUMNS($AC$1006:AC1006),$AC$1006:$AS$1006,0))&gt;=100000), " ",IF(INDEX($AC$2:$AS$1001,MATCH(ROWS($V$2:V999),$V$2:$V$1001,0),MATCH(COLUMNS($AC$1006:AC1006),$AC$1006:$AS$1006,0)), HYPERLINK("#",""), HYPERLINK(CONCATENATE("#metadata!", ADDRESS(INDEX($X$2:$X$1001,MATCH(ROWS($V$2:V999),$V$2:$V$1001,0),0), INDEX($AC$1004:$AS$1004,1,MATCH(COLUMNS($AC$1006:AC1006),$AC$1006:$AS$1006,0)))),"Fix")))</f>
        <v xml:space="preserve"> </v>
      </c>
      <c r="C999" s="4" t="str">
        <f ca="1">IF(OR(INDEX($W$2:$W$1001,MATCH(ROWS($V$2:V999),$V$2:$V$1001,0),1)&gt;=100000,INDEX($AC$1005:$AS$1005,1,MATCH(COLUMNS($AC$1006:AD1006),$AC$1006:$AS$1006,0))&gt;=100000), " ",IF(INDEX($AC$2:$AS$1001,MATCH(ROWS($V$2:V999),$V$2:$V$1001,0),MATCH(COLUMNS($AC$1006:AD1006),$AC$1006:$AS$1006,0)), HYPERLINK("#",""), HYPERLINK(CONCATENATE("#metadata!", ADDRESS(INDEX($X$2:$X$1001,MATCH(ROWS($V$2:V999),$V$2:$V$1001,0),0), INDEX($AC$1004:$AS$1004,1,MATCH(COLUMNS($AC$1006:AD1006),$AC$1006:$AS$1006,0)))),"Fix")))</f>
        <v xml:space="preserve"> </v>
      </c>
      <c r="D999" s="4" t="str">
        <f ca="1">IF(OR(INDEX($W$2:$W$1001,MATCH(ROWS($V$2:V999),$V$2:$V$1001,0),1)&gt;=100000,INDEX($AC$1005:$AS$1005,1,MATCH(COLUMNS($AC$1006:AE1006),$AC$1006:$AS$1006,0))&gt;=100000), " ",IF(INDEX($AC$2:$AS$1001,MATCH(ROWS($V$2:V999),$V$2:$V$1001,0),MATCH(COLUMNS($AC$1006:AE1006),$AC$1006:$AS$1006,0)), HYPERLINK("#",""), HYPERLINK(CONCATENATE("#metadata!", ADDRESS(INDEX($X$2:$X$1001,MATCH(ROWS($V$2:V999),$V$2:$V$1001,0),0), INDEX($AC$1004:$AS$1004,1,MATCH(COLUMNS($AC$1006:AE1006),$AC$1006:$AS$1006,0)))),"Fix")))</f>
        <v xml:space="preserve"> </v>
      </c>
      <c r="E999" s="4" t="str">
        <f ca="1">IF(OR(INDEX($W$2:$W$1001,MATCH(ROWS($V$2:V999),$V$2:$V$1001,0),1)&gt;=100000,INDEX($AC$1005:$AS$1005,1,MATCH(COLUMNS($AC$1006:AF1006),$AC$1006:$AS$1006,0))&gt;=100000), " ",IF(INDEX($AC$2:$AS$1001,MATCH(ROWS($V$2:V999),$V$2:$V$1001,0),MATCH(COLUMNS($AC$1006:AF1006),$AC$1006:$AS$1006,0)), HYPERLINK("#",""), HYPERLINK(CONCATENATE("#metadata!", ADDRESS(INDEX($X$2:$X$1001,MATCH(ROWS($V$2:V999),$V$2:$V$1001,0),0), INDEX($AC$1004:$AS$1004,1,MATCH(COLUMNS($AC$1006:AF1006),$AC$1006:$AS$1006,0)))),"Fix")))</f>
        <v xml:space="preserve"> </v>
      </c>
      <c r="F999" s="4" t="str">
        <f ca="1">IF(OR(INDEX($W$2:$W$1001,MATCH(ROWS($V$2:V999),$V$2:$V$1001,0),1)&gt;=100000,INDEX($AC$1005:$AS$1005,1,MATCH(COLUMNS($AC$1006:AG1006),$AC$1006:$AS$1006,0))&gt;=100000), " ",IF(INDEX($AC$2:$AS$1001,MATCH(ROWS($V$2:V999),$V$2:$V$1001,0),MATCH(COLUMNS($AC$1006:AG1006),$AC$1006:$AS$1006,0)), HYPERLINK("#",""), HYPERLINK(CONCATENATE("#metadata!", ADDRESS(INDEX($X$2:$X$1001,MATCH(ROWS($V$2:V999),$V$2:$V$1001,0),0), INDEX($AC$1004:$AS$1004,1,MATCH(COLUMNS($AC$1006:AG1006),$AC$1006:$AS$1006,0)))),"Fix")))</f>
        <v xml:space="preserve"> </v>
      </c>
      <c r="G999" s="4" t="str">
        <f ca="1">IF(OR(INDEX($W$2:$W$1001,MATCH(ROWS($V$2:V999),$V$2:$V$1001,0),1)&gt;=100000,INDEX($AC$1005:$AS$1005,1,MATCH(COLUMNS($AC$1006:AH1006),$AC$1006:$AS$1006,0))&gt;=100000), " ",IF(INDEX($AC$2:$AS$1001,MATCH(ROWS($V$2:V999),$V$2:$V$1001,0),MATCH(COLUMNS($AC$1006:AH1006),$AC$1006:$AS$1006,0)), HYPERLINK("#",""), HYPERLINK(CONCATENATE("#metadata!", ADDRESS(INDEX($X$2:$X$1001,MATCH(ROWS($V$2:V999),$V$2:$V$1001,0),0), INDEX($AC$1004:$AS$1004,1,MATCH(COLUMNS($AC$1006:AH1006),$AC$1006:$AS$1006,0)))),"Fix")))</f>
        <v xml:space="preserve"> </v>
      </c>
      <c r="H999" s="4" t="str">
        <f ca="1">IF(OR(INDEX($W$2:$W$1001,MATCH(ROWS($V$2:V999),$V$2:$V$1001,0),1)&gt;=100000,INDEX($AC$1005:$AS$1005,1,MATCH(COLUMNS($AC$1006:AI1006),$AC$1006:$AS$1006,0))&gt;=100000), " ",IF(INDEX($AC$2:$AS$1001,MATCH(ROWS($V$2:V999),$V$2:$V$1001,0),MATCH(COLUMNS($AC$1006:AI1006),$AC$1006:$AS$1006,0)), HYPERLINK("#",""), HYPERLINK(CONCATENATE("#metadata!", ADDRESS(INDEX($X$2:$X$1001,MATCH(ROWS($V$2:V999),$V$2:$V$1001,0),0), INDEX($AC$1004:$AS$1004,1,MATCH(COLUMNS($AC$1006:AI1006),$AC$1006:$AS$1006,0)))),"Fix")))</f>
        <v xml:space="preserve"> </v>
      </c>
      <c r="I999" s="4" t="str">
        <f ca="1">IF(OR(INDEX($W$2:$W$1001,MATCH(ROWS($V$2:V999),$V$2:$V$1001,0),1)&gt;=100000,INDEX($AC$1005:$AS$1005,1,MATCH(COLUMNS($AC$1006:AJ1006),$AC$1006:$AS$1006,0))&gt;=100000), " ",IF(INDEX($AC$2:$AS$1001,MATCH(ROWS($V$2:V999),$V$2:$V$1001,0),MATCH(COLUMNS($AC$1006:AJ1006),$AC$1006:$AS$1006,0)), HYPERLINK("#",""), HYPERLINK(CONCATENATE("#metadata!", ADDRESS(INDEX($X$2:$X$1001,MATCH(ROWS($V$2:V999),$V$2:$V$1001,0),0), INDEX($AC$1004:$AS$1004,1,MATCH(COLUMNS($AC$1006:AJ1006),$AC$1006:$AS$1006,0)))),"Fix")))</f>
        <v xml:space="preserve"> </v>
      </c>
      <c r="J999" s="4" t="str">
        <f ca="1">IF(OR(INDEX($W$2:$W$1001,MATCH(ROWS($V$2:V999),$V$2:$V$1001,0),1)&gt;=100000,INDEX($AC$1005:$AS$1005,1,MATCH(COLUMNS($AC$1006:AK1006),$AC$1006:$AS$1006,0))&gt;=100000), " ",IF(INDEX($AC$2:$AS$1001,MATCH(ROWS($V$2:V999),$V$2:$V$1001,0),MATCH(COLUMNS($AC$1006:AK1006),$AC$1006:$AS$1006,0)), HYPERLINK("#",""), HYPERLINK(CONCATENATE("#metadata!", ADDRESS(INDEX($X$2:$X$1001,MATCH(ROWS($V$2:V999),$V$2:$V$1001,0),0), INDEX($AC$1004:$AS$1004,1,MATCH(COLUMNS($AC$1006:AK1006),$AC$1006:$AS$1006,0)))),"Fix")))</f>
        <v xml:space="preserve"> </v>
      </c>
      <c r="K999" s="4" t="str">
        <f ca="1">IF(OR(INDEX($W$2:$W$1001,MATCH(ROWS($V$2:V999),$V$2:$V$1001,0),1)&gt;=100000,INDEX($AC$1005:$AS$1005,1,MATCH(COLUMNS($AC$1006:AL1006),$AC$1006:$AS$1006,0))&gt;=100000), " ",IF(INDEX($AC$2:$AS$1001,MATCH(ROWS($V$2:V999),$V$2:$V$1001,0),MATCH(COLUMNS($AC$1006:AL1006),$AC$1006:$AS$1006,0)), HYPERLINK("#",""), HYPERLINK(CONCATENATE("#metadata!", ADDRESS(INDEX($X$2:$X$1001,MATCH(ROWS($V$2:V999),$V$2:$V$1001,0),0), INDEX($AC$1004:$AS$1004,1,MATCH(COLUMNS($AC$1006:AL1006),$AC$1006:$AS$1006,0)))),"Fix")))</f>
        <v xml:space="preserve"> </v>
      </c>
      <c r="L999" s="4" t="str">
        <f ca="1">IF(OR(INDEX($W$2:$W$1001,MATCH(ROWS($V$2:V999),$V$2:$V$1001,0),1)&gt;=100000,INDEX($AC$1005:$AS$1005,1,MATCH(COLUMNS($AC$1006:AM1006),$AC$1006:$AS$1006,0))&gt;=100000), " ",IF(INDEX($AC$2:$AS$1001,MATCH(ROWS($V$2:V999),$V$2:$V$1001,0),MATCH(COLUMNS($AC$1006:AM1006),$AC$1006:$AS$1006,0)), HYPERLINK("#",""), HYPERLINK(CONCATENATE("#metadata!", ADDRESS(INDEX($X$2:$X$1001,MATCH(ROWS($V$2:V999),$V$2:$V$1001,0),0), INDEX($AC$1004:$AS$1004,1,MATCH(COLUMNS($AC$1006:AM1006),$AC$1006:$AS$1006,0)))),"Fix")))</f>
        <v xml:space="preserve"> </v>
      </c>
      <c r="M999" s="4" t="str">
        <f ca="1">IF(OR(INDEX($W$2:$W$1001,MATCH(ROWS($V$2:V999),$V$2:$V$1001,0),1)&gt;=100000,INDEX($AC$1005:$AS$1005,1,MATCH(COLUMNS($AC$1006:AN1006),$AC$1006:$AS$1006,0))&gt;=100000), " ",IF(INDEX($AC$2:$AS$1001,MATCH(ROWS($V$2:V999),$V$2:$V$1001,0),MATCH(COLUMNS($AC$1006:AN1006),$AC$1006:$AS$1006,0)), HYPERLINK("#",""), HYPERLINK(CONCATENATE("#metadata!", ADDRESS(INDEX($X$2:$X$1001,MATCH(ROWS($V$2:V999),$V$2:$V$1001,0),0), INDEX($AC$1004:$AS$1004,1,MATCH(COLUMNS($AC$1006:AN1006),$AC$1006:$AS$1006,0)))),"Fix")))</f>
        <v xml:space="preserve"> </v>
      </c>
      <c r="N999" s="4" t="str">
        <f ca="1">IF(OR(INDEX($W$2:$W$1001,MATCH(ROWS($V$2:V999),$V$2:$V$1001,0),1)&gt;=100000,INDEX($AC$1005:$AS$1005,1,MATCH(COLUMNS($AC$1006:AO1006),$AC$1006:$AS$1006,0))&gt;=100000), " ",IF(INDEX($AC$2:$AS$1001,MATCH(ROWS($V$2:V999),$V$2:$V$1001,0),MATCH(COLUMNS($AC$1006:AO1006),$AC$1006:$AS$1006,0)), HYPERLINK("#",""), HYPERLINK(CONCATENATE("#metadata!", ADDRESS(INDEX($X$2:$X$1001,MATCH(ROWS($V$2:V999),$V$2:$V$1001,0),0), INDEX($AC$1004:$AS$1004,1,MATCH(COLUMNS($AC$1006:AO1006),$AC$1006:$AS$1006,0)))),"Fix")))</f>
        <v xml:space="preserve"> </v>
      </c>
      <c r="O999" s="4" t="str">
        <f ca="1">IF(OR(INDEX($W$2:$W$1001,MATCH(ROWS($V$2:V999),$V$2:$V$1001,0),1)&gt;=100000,INDEX($AC$1005:$AS$1005,1,MATCH(COLUMNS($AC$1006:AP1006),$AC$1006:$AS$1006,0))&gt;=100000), " ",IF(INDEX($AC$2:$AS$1001,MATCH(ROWS($V$2:V999),$V$2:$V$1001,0),MATCH(COLUMNS($AC$1006:AP1006),$AC$1006:$AS$1006,0)), HYPERLINK("#",""), HYPERLINK(CONCATENATE("#metadata!", ADDRESS(INDEX($X$2:$X$1001,MATCH(ROWS($V$2:V999),$V$2:$V$1001,0),0), INDEX($AC$1004:$AS$1004,1,MATCH(COLUMNS($AC$1006:AP1006),$AC$1006:$AS$1006,0)))),"Fix")))</f>
        <v xml:space="preserve"> </v>
      </c>
      <c r="P999" s="4" t="str">
        <f ca="1">IF(OR(INDEX($W$2:$W$1001,MATCH(ROWS($V$2:V999),$V$2:$V$1001,0),1)&gt;=100000,INDEX($AC$1005:$AS$1005,1,MATCH(COLUMNS($AC$1006:AQ1006),$AC$1006:$AS$1006,0))&gt;=100000), " ",IF(INDEX($AC$2:$AS$1001,MATCH(ROWS($V$2:V999),$V$2:$V$1001,0),MATCH(COLUMNS($AC$1006:AQ1006),$AC$1006:$AS$1006,0)), HYPERLINK("#",""), HYPERLINK(CONCATENATE("#metadata!", ADDRESS(INDEX($X$2:$X$1001,MATCH(ROWS($V$2:V999),$V$2:$V$1001,0),0), INDEX($AC$1004:$AS$1004,1,MATCH(COLUMNS($AC$1006:AQ1006),$AC$1006:$AS$1006,0)))),"Fix")))</f>
        <v xml:space="preserve"> </v>
      </c>
      <c r="Q999" s="4" t="str">
        <f ca="1">IF(OR(INDEX($W$2:$W$1001,MATCH(ROWS($V$2:V999),$V$2:$V$1001,0),1)&gt;=100000,INDEX($AC$1005:$AS$1005,1,MATCH(COLUMNS($AC$1006:AR1006),$AC$1006:$AS$1006,0))&gt;=100000), " ",IF(INDEX($AC$2:$AS$1001,MATCH(ROWS($V$2:V999),$V$2:$V$1001,0),MATCH(COLUMNS($AC$1006:AR1006),$AC$1006:$AS$1006,0)), HYPERLINK("#",""), HYPERLINK(CONCATENATE("#metadata!", ADDRESS(INDEX($X$2:$X$1001,MATCH(ROWS($V$2:V999),$V$2:$V$1001,0),0), INDEX($AC$1004:$AS$1004,1,MATCH(COLUMNS($AC$1006:AR1006),$AC$1006:$AS$1006,0)))),"Fix")))</f>
        <v xml:space="preserve"> </v>
      </c>
      <c r="R999" s="4" t="str">
        <f ca="1">IF(OR(INDEX($W$2:$W$1001,MATCH(ROWS($V$2:V999),$V$2:$V$1001,0),1)&gt;=100000,INDEX($AC$1005:$AS$1005,1,MATCH(COLUMNS($AC$1006:AS1006),$AC$1006:$AS$1006,0))&gt;=100000), " ",IF(INDEX($AC$2:$AS$1001,MATCH(ROWS($V$2:V999),$V$2:$V$1001,0),MATCH(COLUMNS($AC$1006:AS1006),$AC$1006:$AS$1006,0)), HYPERLINK("#",""), HYPERLINK(CONCATENATE("#metadata!", ADDRESS(INDEX($X$2:$X$1001,MATCH(ROWS($V$2:V999),$V$2:$V$1001,0),0), INDEX($AC$1004:$AS$1004,1,MATCH(COLUMNS($AC$1006:AS1006),$AC$1006:$AS$1006,0)))),"Fix")))</f>
        <v xml:space="preserve"> </v>
      </c>
      <c r="V999">
        <v>998</v>
      </c>
      <c r="W999">
        <v>100999</v>
      </c>
      <c r="X999">
        <v>999</v>
      </c>
      <c r="Y999" t="b">
        <f t="shared" si="15"/>
        <v>1</v>
      </c>
      <c r="Z999" t="b">
        <f>COUNTBLANK(metadata!B999:R999)=COLUMNS(metadata!B999:R999)</f>
        <v>1</v>
      </c>
      <c r="AA999" t="str">
        <v/>
      </c>
      <c r="AC999" t="b">
        <f ca="1"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AD999" t="b">
        <f>IF(metadata!C999="",FALSE,ISNUMBER(VALUE(metadata!C999)))</f>
        <v>0</v>
      </c>
      <c r="AE999" t="b">
        <f>AND(IF(metadata!D999="",FALSE,TRUE),EXACT(metadata!D999,"years"))</f>
        <v>0</v>
      </c>
      <c r="AF999" t="b">
        <f>OR(AND(IF(metadata!E999="",FALSE,TRUE),OR(EXACT(metadata!E999,"not applicable"),EXACT(metadata!E999,"missing: not collected"),EXACT(metadata!E999,"missing: not provided"),EXACT(metadata!E999,"missing: restricted access"))),AND(IF(metadata!E999="",FALSE,ISNUMBER(VALUE(metadata!E999))),metadata!E999&gt;0))</f>
        <v>0</v>
      </c>
      <c r="AG999" t="b">
        <f>AND(IF(metadata!F999="",FALSE,TRUE),EXACT(metadata!F999,"Not applicable"))</f>
        <v>0</v>
      </c>
      <c r="AH999" t="b">
        <f>AND(IF(metadata!G999="",FALSE,TRUE),EXACT(metadata!G999,"urban biome"))</f>
        <v>0</v>
      </c>
      <c r="AI999" t="b">
        <f>AND(IF(metadata!H999="",FALSE,TRUE),EXACT(metadata!H999,"human-associated habitat"))</f>
        <v>0</v>
      </c>
      <c r="AJ999" t="b">
        <f>AND(IF(metadata!I999="",FALSE,TRUE),OR(EXACT(metadata!I999,"human-associated"),EXACT(metadata!I999,"human-skin"),EXACT(metadata!I999,"human-oral"),EXACT(metadata!I999,"human-gut"),EXACT(metadata!I999,"human-vaginal")))</f>
        <v>0</v>
      </c>
      <c r="AK999" t="b">
        <f>IF(metadata!J999="",FALSE,ISNUMBER(VALUE(metadata!J999)))</f>
        <v>0</v>
      </c>
      <c r="AL999" t="b">
        <f>AND(IF(metadata!K999="",FALSE,TRUE),EXACT(metadata!K999,"cm"))</f>
        <v>0</v>
      </c>
      <c r="AM999" t="b">
        <f>AND(IF(metadata!L999="",FALSE,TRUE),EXACT(metadata!L999,"human"))</f>
        <v>0</v>
      </c>
      <c r="AN999" t="b">
        <f>AND(IF(metadata!M999="",FALSE,TRUE),EXACT(metadata!M999,"Homo sapiens"))</f>
        <v>0</v>
      </c>
      <c r="AO999" t="b">
        <f>AND(IF(metadata!N999="",FALSE,TRUE),EXACT(metadata!N999,"9606"))</f>
        <v>0</v>
      </c>
      <c r="AP999" t="b">
        <f>IF(metadata!O999="",FALSE,TRUE)</f>
        <v>0</v>
      </c>
      <c r="AQ999" t="b">
        <f>IF(metadata!P999="",FALSE,TRUE)</f>
        <v>0</v>
      </c>
      <c r="AR999" t="b">
        <f>IF(metadata!Q999="",FALSE,ISNUMBER(VALUE(metadata!Q999)))</f>
        <v>0</v>
      </c>
      <c r="AS999" t="b">
        <f>AND(IF(metadata!R999="",FALSE,TRUE),EXACT(metadata!R999,"kg"))</f>
        <v>0</v>
      </c>
    </row>
    <row r="1000" spans="1:45" x14ac:dyDescent="0.2">
      <c r="A1000" s="5" t="str">
        <f ca="1">IF(B1000=" "," ",HYPERLINK(CONCATENATE("#metadata!",ADDRESS(INDEX($X$2:$X$1001,MATCH(ROWS($V$2:V1000),$V$2:$V$1001,0),0),1)),INDEX($AA$2:$AA$1001,MATCH(ROWS($V$2:V1000),$V$2:$V$1001,0),0)))</f>
        <v xml:space="preserve"> </v>
      </c>
      <c r="B1000" s="4" t="str">
        <f ca="1">IF(OR(INDEX($W$2:$W$1001,MATCH(ROWS($V$2:V1000),$V$2:$V$1001,0),1)&gt;=100000,INDEX($AC$1005:$AS$1005,1,MATCH(COLUMNS($AC$1006:AC1006),$AC$1006:$AS$1006,0))&gt;=100000), " ",IF(INDEX($AC$2:$AS$1001,MATCH(ROWS($V$2:V1000),$V$2:$V$1001,0),MATCH(COLUMNS($AC$1006:AC1006),$AC$1006:$AS$1006,0)), HYPERLINK("#",""), HYPERLINK(CONCATENATE("#metadata!", ADDRESS(INDEX($X$2:$X$1001,MATCH(ROWS($V$2:V1000),$V$2:$V$1001,0),0), INDEX($AC$1004:$AS$1004,1,MATCH(COLUMNS($AC$1006:AC1006),$AC$1006:$AS$1006,0)))),"Fix")))</f>
        <v xml:space="preserve"> </v>
      </c>
      <c r="C1000" s="4" t="str">
        <f ca="1">IF(OR(INDEX($W$2:$W$1001,MATCH(ROWS($V$2:V1000),$V$2:$V$1001,0),1)&gt;=100000,INDEX($AC$1005:$AS$1005,1,MATCH(COLUMNS($AC$1006:AD1006),$AC$1006:$AS$1006,0))&gt;=100000), " ",IF(INDEX($AC$2:$AS$1001,MATCH(ROWS($V$2:V1000),$V$2:$V$1001,0),MATCH(COLUMNS($AC$1006:AD1006),$AC$1006:$AS$1006,0)), HYPERLINK("#",""), HYPERLINK(CONCATENATE("#metadata!", ADDRESS(INDEX($X$2:$X$1001,MATCH(ROWS($V$2:V1000),$V$2:$V$1001,0),0), INDEX($AC$1004:$AS$1004,1,MATCH(COLUMNS($AC$1006:AD1006),$AC$1006:$AS$1006,0)))),"Fix")))</f>
        <v xml:space="preserve"> </v>
      </c>
      <c r="D1000" s="4" t="str">
        <f ca="1">IF(OR(INDEX($W$2:$W$1001,MATCH(ROWS($V$2:V1000),$V$2:$V$1001,0),1)&gt;=100000,INDEX($AC$1005:$AS$1005,1,MATCH(COLUMNS($AC$1006:AE1006),$AC$1006:$AS$1006,0))&gt;=100000), " ",IF(INDEX($AC$2:$AS$1001,MATCH(ROWS($V$2:V1000),$V$2:$V$1001,0),MATCH(COLUMNS($AC$1006:AE1006),$AC$1006:$AS$1006,0)), HYPERLINK("#",""), HYPERLINK(CONCATENATE("#metadata!", ADDRESS(INDEX($X$2:$X$1001,MATCH(ROWS($V$2:V1000),$V$2:$V$1001,0),0), INDEX($AC$1004:$AS$1004,1,MATCH(COLUMNS($AC$1006:AE1006),$AC$1006:$AS$1006,0)))),"Fix")))</f>
        <v xml:space="preserve"> </v>
      </c>
      <c r="E1000" s="4" t="str">
        <f ca="1">IF(OR(INDEX($W$2:$W$1001,MATCH(ROWS($V$2:V1000),$V$2:$V$1001,0),1)&gt;=100000,INDEX($AC$1005:$AS$1005,1,MATCH(COLUMNS($AC$1006:AF1006),$AC$1006:$AS$1006,0))&gt;=100000), " ",IF(INDEX($AC$2:$AS$1001,MATCH(ROWS($V$2:V1000),$V$2:$V$1001,0),MATCH(COLUMNS($AC$1006:AF1006),$AC$1006:$AS$1006,0)), HYPERLINK("#",""), HYPERLINK(CONCATENATE("#metadata!", ADDRESS(INDEX($X$2:$X$1001,MATCH(ROWS($V$2:V1000),$V$2:$V$1001,0),0), INDEX($AC$1004:$AS$1004,1,MATCH(COLUMNS($AC$1006:AF1006),$AC$1006:$AS$1006,0)))),"Fix")))</f>
        <v xml:space="preserve"> </v>
      </c>
      <c r="F1000" s="4" t="str">
        <f ca="1">IF(OR(INDEX($W$2:$W$1001,MATCH(ROWS($V$2:V1000),$V$2:$V$1001,0),1)&gt;=100000,INDEX($AC$1005:$AS$1005,1,MATCH(COLUMNS($AC$1006:AG1006),$AC$1006:$AS$1006,0))&gt;=100000), " ",IF(INDEX($AC$2:$AS$1001,MATCH(ROWS($V$2:V1000),$V$2:$V$1001,0),MATCH(COLUMNS($AC$1006:AG1006),$AC$1006:$AS$1006,0)), HYPERLINK("#",""), HYPERLINK(CONCATENATE("#metadata!", ADDRESS(INDEX($X$2:$X$1001,MATCH(ROWS($V$2:V1000),$V$2:$V$1001,0),0), INDEX($AC$1004:$AS$1004,1,MATCH(COLUMNS($AC$1006:AG1006),$AC$1006:$AS$1006,0)))),"Fix")))</f>
        <v xml:space="preserve"> </v>
      </c>
      <c r="G1000" s="4" t="str">
        <f ca="1">IF(OR(INDEX($W$2:$W$1001,MATCH(ROWS($V$2:V1000),$V$2:$V$1001,0),1)&gt;=100000,INDEX($AC$1005:$AS$1005,1,MATCH(COLUMNS($AC$1006:AH1006),$AC$1006:$AS$1006,0))&gt;=100000), " ",IF(INDEX($AC$2:$AS$1001,MATCH(ROWS($V$2:V1000),$V$2:$V$1001,0),MATCH(COLUMNS($AC$1006:AH1006),$AC$1006:$AS$1006,0)), HYPERLINK("#",""), HYPERLINK(CONCATENATE("#metadata!", ADDRESS(INDEX($X$2:$X$1001,MATCH(ROWS($V$2:V1000),$V$2:$V$1001,0),0), INDEX($AC$1004:$AS$1004,1,MATCH(COLUMNS($AC$1006:AH1006),$AC$1006:$AS$1006,0)))),"Fix")))</f>
        <v xml:space="preserve"> </v>
      </c>
      <c r="H1000" s="4" t="str">
        <f ca="1">IF(OR(INDEX($W$2:$W$1001,MATCH(ROWS($V$2:V1000),$V$2:$V$1001,0),1)&gt;=100000,INDEX($AC$1005:$AS$1005,1,MATCH(COLUMNS($AC$1006:AI1006),$AC$1006:$AS$1006,0))&gt;=100000), " ",IF(INDEX($AC$2:$AS$1001,MATCH(ROWS($V$2:V1000),$V$2:$V$1001,0),MATCH(COLUMNS($AC$1006:AI1006),$AC$1006:$AS$1006,0)), HYPERLINK("#",""), HYPERLINK(CONCATENATE("#metadata!", ADDRESS(INDEX($X$2:$X$1001,MATCH(ROWS($V$2:V1000),$V$2:$V$1001,0),0), INDEX($AC$1004:$AS$1004,1,MATCH(COLUMNS($AC$1006:AI1006),$AC$1006:$AS$1006,0)))),"Fix")))</f>
        <v xml:space="preserve"> </v>
      </c>
      <c r="I1000" s="4" t="str">
        <f ca="1">IF(OR(INDEX($W$2:$W$1001,MATCH(ROWS($V$2:V1000),$V$2:$V$1001,0),1)&gt;=100000,INDEX($AC$1005:$AS$1005,1,MATCH(COLUMNS($AC$1006:AJ1006),$AC$1006:$AS$1006,0))&gt;=100000), " ",IF(INDEX($AC$2:$AS$1001,MATCH(ROWS($V$2:V1000),$V$2:$V$1001,0),MATCH(COLUMNS($AC$1006:AJ1006),$AC$1006:$AS$1006,0)), HYPERLINK("#",""), HYPERLINK(CONCATENATE("#metadata!", ADDRESS(INDEX($X$2:$X$1001,MATCH(ROWS($V$2:V1000),$V$2:$V$1001,0),0), INDEX($AC$1004:$AS$1004,1,MATCH(COLUMNS($AC$1006:AJ1006),$AC$1006:$AS$1006,0)))),"Fix")))</f>
        <v xml:space="preserve"> </v>
      </c>
      <c r="J1000" s="4" t="str">
        <f ca="1">IF(OR(INDEX($W$2:$W$1001,MATCH(ROWS($V$2:V1000),$V$2:$V$1001,0),1)&gt;=100000,INDEX($AC$1005:$AS$1005,1,MATCH(COLUMNS($AC$1006:AK1006),$AC$1006:$AS$1006,0))&gt;=100000), " ",IF(INDEX($AC$2:$AS$1001,MATCH(ROWS($V$2:V1000),$V$2:$V$1001,0),MATCH(COLUMNS($AC$1006:AK1006),$AC$1006:$AS$1006,0)), HYPERLINK("#",""), HYPERLINK(CONCATENATE("#metadata!", ADDRESS(INDEX($X$2:$X$1001,MATCH(ROWS($V$2:V1000),$V$2:$V$1001,0),0), INDEX($AC$1004:$AS$1004,1,MATCH(COLUMNS($AC$1006:AK1006),$AC$1006:$AS$1006,0)))),"Fix")))</f>
        <v xml:space="preserve"> </v>
      </c>
      <c r="K1000" s="4" t="str">
        <f ca="1">IF(OR(INDEX($W$2:$W$1001,MATCH(ROWS($V$2:V1000),$V$2:$V$1001,0),1)&gt;=100000,INDEX($AC$1005:$AS$1005,1,MATCH(COLUMNS($AC$1006:AL1006),$AC$1006:$AS$1006,0))&gt;=100000), " ",IF(INDEX($AC$2:$AS$1001,MATCH(ROWS($V$2:V1000),$V$2:$V$1001,0),MATCH(COLUMNS($AC$1006:AL1006),$AC$1006:$AS$1006,0)), HYPERLINK("#",""), HYPERLINK(CONCATENATE("#metadata!", ADDRESS(INDEX($X$2:$X$1001,MATCH(ROWS($V$2:V1000),$V$2:$V$1001,0),0), INDEX($AC$1004:$AS$1004,1,MATCH(COLUMNS($AC$1006:AL1006),$AC$1006:$AS$1006,0)))),"Fix")))</f>
        <v xml:space="preserve"> </v>
      </c>
      <c r="L1000" s="4" t="str">
        <f ca="1">IF(OR(INDEX($W$2:$W$1001,MATCH(ROWS($V$2:V1000),$V$2:$V$1001,0),1)&gt;=100000,INDEX($AC$1005:$AS$1005,1,MATCH(COLUMNS($AC$1006:AM1006),$AC$1006:$AS$1006,0))&gt;=100000), " ",IF(INDEX($AC$2:$AS$1001,MATCH(ROWS($V$2:V1000),$V$2:$V$1001,0),MATCH(COLUMNS($AC$1006:AM1006),$AC$1006:$AS$1006,0)), HYPERLINK("#",""), HYPERLINK(CONCATENATE("#metadata!", ADDRESS(INDEX($X$2:$X$1001,MATCH(ROWS($V$2:V1000),$V$2:$V$1001,0),0), INDEX($AC$1004:$AS$1004,1,MATCH(COLUMNS($AC$1006:AM1006),$AC$1006:$AS$1006,0)))),"Fix")))</f>
        <v xml:space="preserve"> </v>
      </c>
      <c r="M1000" s="4" t="str">
        <f ca="1">IF(OR(INDEX($W$2:$W$1001,MATCH(ROWS($V$2:V1000),$V$2:$V$1001,0),1)&gt;=100000,INDEX($AC$1005:$AS$1005,1,MATCH(COLUMNS($AC$1006:AN1006),$AC$1006:$AS$1006,0))&gt;=100000), " ",IF(INDEX($AC$2:$AS$1001,MATCH(ROWS($V$2:V1000),$V$2:$V$1001,0),MATCH(COLUMNS($AC$1006:AN1006),$AC$1006:$AS$1006,0)), HYPERLINK("#",""), HYPERLINK(CONCATENATE("#metadata!", ADDRESS(INDEX($X$2:$X$1001,MATCH(ROWS($V$2:V1000),$V$2:$V$1001,0),0), INDEX($AC$1004:$AS$1004,1,MATCH(COLUMNS($AC$1006:AN1006),$AC$1006:$AS$1006,0)))),"Fix")))</f>
        <v xml:space="preserve"> </v>
      </c>
      <c r="N1000" s="4" t="str">
        <f ca="1">IF(OR(INDEX($W$2:$W$1001,MATCH(ROWS($V$2:V1000),$V$2:$V$1001,0),1)&gt;=100000,INDEX($AC$1005:$AS$1005,1,MATCH(COLUMNS($AC$1006:AO1006),$AC$1006:$AS$1006,0))&gt;=100000), " ",IF(INDEX($AC$2:$AS$1001,MATCH(ROWS($V$2:V1000),$V$2:$V$1001,0),MATCH(COLUMNS($AC$1006:AO1006),$AC$1006:$AS$1006,0)), HYPERLINK("#",""), HYPERLINK(CONCATENATE("#metadata!", ADDRESS(INDEX($X$2:$X$1001,MATCH(ROWS($V$2:V1000),$V$2:$V$1001,0),0), INDEX($AC$1004:$AS$1004,1,MATCH(COLUMNS($AC$1006:AO1006),$AC$1006:$AS$1006,0)))),"Fix")))</f>
        <v xml:space="preserve"> </v>
      </c>
      <c r="O1000" s="4" t="str">
        <f ca="1">IF(OR(INDEX($W$2:$W$1001,MATCH(ROWS($V$2:V1000),$V$2:$V$1001,0),1)&gt;=100000,INDEX($AC$1005:$AS$1005,1,MATCH(COLUMNS($AC$1006:AP1006),$AC$1006:$AS$1006,0))&gt;=100000), " ",IF(INDEX($AC$2:$AS$1001,MATCH(ROWS($V$2:V1000),$V$2:$V$1001,0),MATCH(COLUMNS($AC$1006:AP1006),$AC$1006:$AS$1006,0)), HYPERLINK("#",""), HYPERLINK(CONCATENATE("#metadata!", ADDRESS(INDEX($X$2:$X$1001,MATCH(ROWS($V$2:V1000),$V$2:$V$1001,0),0), INDEX($AC$1004:$AS$1004,1,MATCH(COLUMNS($AC$1006:AP1006),$AC$1006:$AS$1006,0)))),"Fix")))</f>
        <v xml:space="preserve"> </v>
      </c>
      <c r="P1000" s="4" t="str">
        <f ca="1">IF(OR(INDEX($W$2:$W$1001,MATCH(ROWS($V$2:V1000),$V$2:$V$1001,0),1)&gt;=100000,INDEX($AC$1005:$AS$1005,1,MATCH(COLUMNS($AC$1006:AQ1006),$AC$1006:$AS$1006,0))&gt;=100000), " ",IF(INDEX($AC$2:$AS$1001,MATCH(ROWS($V$2:V1000),$V$2:$V$1001,0),MATCH(COLUMNS($AC$1006:AQ1006),$AC$1006:$AS$1006,0)), HYPERLINK("#",""), HYPERLINK(CONCATENATE("#metadata!", ADDRESS(INDEX($X$2:$X$1001,MATCH(ROWS($V$2:V1000),$V$2:$V$1001,0),0), INDEX($AC$1004:$AS$1004,1,MATCH(COLUMNS($AC$1006:AQ1006),$AC$1006:$AS$1006,0)))),"Fix")))</f>
        <v xml:space="preserve"> </v>
      </c>
      <c r="Q1000" s="4" t="str">
        <f ca="1">IF(OR(INDEX($W$2:$W$1001,MATCH(ROWS($V$2:V1000),$V$2:$V$1001,0),1)&gt;=100000,INDEX($AC$1005:$AS$1005,1,MATCH(COLUMNS($AC$1006:AR1006),$AC$1006:$AS$1006,0))&gt;=100000), " ",IF(INDEX($AC$2:$AS$1001,MATCH(ROWS($V$2:V1000),$V$2:$V$1001,0),MATCH(COLUMNS($AC$1006:AR1006),$AC$1006:$AS$1006,0)), HYPERLINK("#",""), HYPERLINK(CONCATENATE("#metadata!", ADDRESS(INDEX($X$2:$X$1001,MATCH(ROWS($V$2:V1000),$V$2:$V$1001,0),0), INDEX($AC$1004:$AS$1004,1,MATCH(COLUMNS($AC$1006:AR1006),$AC$1006:$AS$1006,0)))),"Fix")))</f>
        <v xml:space="preserve"> </v>
      </c>
      <c r="R1000" s="4" t="str">
        <f ca="1">IF(OR(INDEX($W$2:$W$1001,MATCH(ROWS($V$2:V1000),$V$2:$V$1001,0),1)&gt;=100000,INDEX($AC$1005:$AS$1005,1,MATCH(COLUMNS($AC$1006:AS1006),$AC$1006:$AS$1006,0))&gt;=100000), " ",IF(INDEX($AC$2:$AS$1001,MATCH(ROWS($V$2:V1000),$V$2:$V$1001,0),MATCH(COLUMNS($AC$1006:AS1006),$AC$1006:$AS$1006,0)), HYPERLINK("#",""), HYPERLINK(CONCATENATE("#metadata!", ADDRESS(INDEX($X$2:$X$1001,MATCH(ROWS($V$2:V1000),$V$2:$V$1001,0),0), INDEX($AC$1004:$AS$1004,1,MATCH(COLUMNS($AC$1006:AS1006),$AC$1006:$AS$1006,0)))),"Fix")))</f>
        <v xml:space="preserve"> </v>
      </c>
      <c r="V1000">
        <v>999</v>
      </c>
      <c r="W1000">
        <v>101000</v>
      </c>
      <c r="X1000">
        <v>1000</v>
      </c>
      <c r="Y1000" t="b">
        <f t="shared" si="15"/>
        <v>1</v>
      </c>
      <c r="Z1000" t="b">
        <f>COUNTBLANK(metadata!B1000:R1000)=COLUMNS(metadata!B1000:R1000)</f>
        <v>1</v>
      </c>
      <c r="AA1000" t="str">
        <v/>
      </c>
      <c r="AC1000" t="b">
        <f ca="1"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AD1000" t="b">
        <f>IF(metadata!C1000="",FALSE,ISNUMBER(VALUE(metadata!C1000)))</f>
        <v>0</v>
      </c>
      <c r="AE1000" t="b">
        <f>AND(IF(metadata!D1000="",FALSE,TRUE),EXACT(metadata!D1000,"years"))</f>
        <v>0</v>
      </c>
      <c r="AF1000" t="b">
        <f>OR(AND(IF(metadata!E1000="",FALSE,TRUE),OR(EXACT(metadata!E1000,"not applicable"),EXACT(metadata!E1000,"missing: not collected"),EXACT(metadata!E1000,"missing: not provided"),EXACT(metadata!E1000,"missing: restricted access"))),AND(IF(metadata!E1000="",FALSE,ISNUMBER(VALUE(metadata!E1000))),metadata!E1000&gt;0))</f>
        <v>0</v>
      </c>
      <c r="AG1000" t="b">
        <f>AND(IF(metadata!F1000="",FALSE,TRUE),EXACT(metadata!F1000,"Not applicable"))</f>
        <v>0</v>
      </c>
      <c r="AH1000" t="b">
        <f>AND(IF(metadata!G1000="",FALSE,TRUE),EXACT(metadata!G1000,"urban biome"))</f>
        <v>0</v>
      </c>
      <c r="AI1000" t="b">
        <f>AND(IF(metadata!H1000="",FALSE,TRUE),EXACT(metadata!H1000,"human-associated habitat"))</f>
        <v>0</v>
      </c>
      <c r="AJ1000" t="b">
        <f>AND(IF(metadata!I1000="",FALSE,TRUE),OR(EXACT(metadata!I1000,"human-associated"),EXACT(metadata!I1000,"human-skin"),EXACT(metadata!I1000,"human-oral"),EXACT(metadata!I1000,"human-gut"),EXACT(metadata!I1000,"human-vaginal")))</f>
        <v>0</v>
      </c>
      <c r="AK1000" t="b">
        <f>IF(metadata!J1000="",FALSE,ISNUMBER(VALUE(metadata!J1000)))</f>
        <v>0</v>
      </c>
      <c r="AL1000" t="b">
        <f>AND(IF(metadata!K1000="",FALSE,TRUE),EXACT(metadata!K1000,"cm"))</f>
        <v>0</v>
      </c>
      <c r="AM1000" t="b">
        <f>AND(IF(metadata!L1000="",FALSE,TRUE),EXACT(metadata!L1000,"human"))</f>
        <v>0</v>
      </c>
      <c r="AN1000" t="b">
        <f>AND(IF(metadata!M1000="",FALSE,TRUE),EXACT(metadata!M1000,"Homo sapiens"))</f>
        <v>0</v>
      </c>
      <c r="AO1000" t="b">
        <f>AND(IF(metadata!N1000="",FALSE,TRUE),EXACT(metadata!N1000,"9606"))</f>
        <v>0</v>
      </c>
      <c r="AP1000" t="b">
        <f>IF(metadata!O1000="",FALSE,TRUE)</f>
        <v>0</v>
      </c>
      <c r="AQ1000" t="b">
        <f>IF(metadata!P1000="",FALSE,TRUE)</f>
        <v>0</v>
      </c>
      <c r="AR1000" t="b">
        <f>IF(metadata!Q1000="",FALSE,ISNUMBER(VALUE(metadata!Q1000)))</f>
        <v>0</v>
      </c>
      <c r="AS1000" t="b">
        <f>AND(IF(metadata!R1000="",FALSE,TRUE),EXACT(metadata!R1000,"kg"))</f>
        <v>0</v>
      </c>
    </row>
    <row r="1001" spans="1:45" x14ac:dyDescent="0.2">
      <c r="A1001" s="5" t="str">
        <f ca="1">IF(B1001=" "," ",HYPERLINK(CONCATENATE("#metadata!",ADDRESS(INDEX($X$2:$X$1001,MATCH(ROWS($V$2:V1001),$V$2:$V$1001,0),0),1)),INDEX($AA$2:$AA$1001,MATCH(ROWS($V$2:V1001),$V$2:$V$1001,0),0)))</f>
        <v xml:space="preserve"> </v>
      </c>
      <c r="B1001" s="4" t="str">
        <f ca="1">IF(OR(INDEX($W$2:$W$1001,MATCH(ROWS($V$2:V1001),$V$2:$V$1001,0),1)&gt;=100000,INDEX($AC$1005:$AS$1005,1,MATCH(COLUMNS($AC$1006:AC1006),$AC$1006:$AS$1006,0))&gt;=100000), " ",IF(INDEX($AC$2:$AS$1001,MATCH(ROWS($V$2:V1001),$V$2:$V$1001,0),MATCH(COLUMNS($AC$1006:AC1006),$AC$1006:$AS$1006,0)), HYPERLINK("#",""), HYPERLINK(CONCATENATE("#metadata!", ADDRESS(INDEX($X$2:$X$1001,MATCH(ROWS($V$2:V1001),$V$2:$V$1001,0),0), INDEX($AC$1004:$AS$1004,1,MATCH(COLUMNS($AC$1006:AC1006),$AC$1006:$AS$1006,0)))),"Fix")))</f>
        <v xml:space="preserve"> </v>
      </c>
      <c r="C1001" s="4" t="str">
        <f ca="1">IF(OR(INDEX($W$2:$W$1001,MATCH(ROWS($V$2:V1001),$V$2:$V$1001,0),1)&gt;=100000,INDEX($AC$1005:$AS$1005,1,MATCH(COLUMNS($AC$1006:AD1006),$AC$1006:$AS$1006,0))&gt;=100000), " ",IF(INDEX($AC$2:$AS$1001,MATCH(ROWS($V$2:V1001),$V$2:$V$1001,0),MATCH(COLUMNS($AC$1006:AD1006),$AC$1006:$AS$1006,0)), HYPERLINK("#",""), HYPERLINK(CONCATENATE("#metadata!", ADDRESS(INDEX($X$2:$X$1001,MATCH(ROWS($V$2:V1001),$V$2:$V$1001,0),0), INDEX($AC$1004:$AS$1004,1,MATCH(COLUMNS($AC$1006:AD1006),$AC$1006:$AS$1006,0)))),"Fix")))</f>
        <v xml:space="preserve"> </v>
      </c>
      <c r="D1001" s="4" t="str">
        <f ca="1">IF(OR(INDEX($W$2:$W$1001,MATCH(ROWS($V$2:V1001),$V$2:$V$1001,0),1)&gt;=100000,INDEX($AC$1005:$AS$1005,1,MATCH(COLUMNS($AC$1006:AE1006),$AC$1006:$AS$1006,0))&gt;=100000), " ",IF(INDEX($AC$2:$AS$1001,MATCH(ROWS($V$2:V1001),$V$2:$V$1001,0),MATCH(COLUMNS($AC$1006:AE1006),$AC$1006:$AS$1006,0)), HYPERLINK("#",""), HYPERLINK(CONCATENATE("#metadata!", ADDRESS(INDEX($X$2:$X$1001,MATCH(ROWS($V$2:V1001),$V$2:$V$1001,0),0), INDEX($AC$1004:$AS$1004,1,MATCH(COLUMNS($AC$1006:AE1006),$AC$1006:$AS$1006,0)))),"Fix")))</f>
        <v xml:space="preserve"> </v>
      </c>
      <c r="E1001" s="4" t="str">
        <f ca="1">IF(OR(INDEX($W$2:$W$1001,MATCH(ROWS($V$2:V1001),$V$2:$V$1001,0),1)&gt;=100000,INDEX($AC$1005:$AS$1005,1,MATCH(COLUMNS($AC$1006:AF1006),$AC$1006:$AS$1006,0))&gt;=100000), " ",IF(INDEX($AC$2:$AS$1001,MATCH(ROWS($V$2:V1001),$V$2:$V$1001,0),MATCH(COLUMNS($AC$1006:AF1006),$AC$1006:$AS$1006,0)), HYPERLINK("#",""), HYPERLINK(CONCATENATE("#metadata!", ADDRESS(INDEX($X$2:$X$1001,MATCH(ROWS($V$2:V1001),$V$2:$V$1001,0),0), INDEX($AC$1004:$AS$1004,1,MATCH(COLUMNS($AC$1006:AF1006),$AC$1006:$AS$1006,0)))),"Fix")))</f>
        <v xml:space="preserve"> </v>
      </c>
      <c r="F1001" s="4" t="str">
        <f ca="1">IF(OR(INDEX($W$2:$W$1001,MATCH(ROWS($V$2:V1001),$V$2:$V$1001,0),1)&gt;=100000,INDEX($AC$1005:$AS$1005,1,MATCH(COLUMNS($AC$1006:AG1006),$AC$1006:$AS$1006,0))&gt;=100000), " ",IF(INDEX($AC$2:$AS$1001,MATCH(ROWS($V$2:V1001),$V$2:$V$1001,0),MATCH(COLUMNS($AC$1006:AG1006),$AC$1006:$AS$1006,0)), HYPERLINK("#",""), HYPERLINK(CONCATENATE("#metadata!", ADDRESS(INDEX($X$2:$X$1001,MATCH(ROWS($V$2:V1001),$V$2:$V$1001,0),0), INDEX($AC$1004:$AS$1004,1,MATCH(COLUMNS($AC$1006:AG1006),$AC$1006:$AS$1006,0)))),"Fix")))</f>
        <v xml:space="preserve"> </v>
      </c>
      <c r="G1001" s="4" t="str">
        <f ca="1">IF(OR(INDEX($W$2:$W$1001,MATCH(ROWS($V$2:V1001),$V$2:$V$1001,0),1)&gt;=100000,INDEX($AC$1005:$AS$1005,1,MATCH(COLUMNS($AC$1006:AH1006),$AC$1006:$AS$1006,0))&gt;=100000), " ",IF(INDEX($AC$2:$AS$1001,MATCH(ROWS($V$2:V1001),$V$2:$V$1001,0),MATCH(COLUMNS($AC$1006:AH1006),$AC$1006:$AS$1006,0)), HYPERLINK("#",""), HYPERLINK(CONCATENATE("#metadata!", ADDRESS(INDEX($X$2:$X$1001,MATCH(ROWS($V$2:V1001),$V$2:$V$1001,0),0), INDEX($AC$1004:$AS$1004,1,MATCH(COLUMNS($AC$1006:AH1006),$AC$1006:$AS$1006,0)))),"Fix")))</f>
        <v xml:space="preserve"> </v>
      </c>
      <c r="H1001" s="4" t="str">
        <f ca="1">IF(OR(INDEX($W$2:$W$1001,MATCH(ROWS($V$2:V1001),$V$2:$V$1001,0),1)&gt;=100000,INDEX($AC$1005:$AS$1005,1,MATCH(COLUMNS($AC$1006:AI1006),$AC$1006:$AS$1006,0))&gt;=100000), " ",IF(INDEX($AC$2:$AS$1001,MATCH(ROWS($V$2:V1001),$V$2:$V$1001,0),MATCH(COLUMNS($AC$1006:AI1006),$AC$1006:$AS$1006,0)), HYPERLINK("#",""), HYPERLINK(CONCATENATE("#metadata!", ADDRESS(INDEX($X$2:$X$1001,MATCH(ROWS($V$2:V1001),$V$2:$V$1001,0),0), INDEX($AC$1004:$AS$1004,1,MATCH(COLUMNS($AC$1006:AI1006),$AC$1006:$AS$1006,0)))),"Fix")))</f>
        <v xml:space="preserve"> </v>
      </c>
      <c r="I1001" s="4" t="str">
        <f ca="1">IF(OR(INDEX($W$2:$W$1001,MATCH(ROWS($V$2:V1001),$V$2:$V$1001,0),1)&gt;=100000,INDEX($AC$1005:$AS$1005,1,MATCH(COLUMNS($AC$1006:AJ1006),$AC$1006:$AS$1006,0))&gt;=100000), " ",IF(INDEX($AC$2:$AS$1001,MATCH(ROWS($V$2:V1001),$V$2:$V$1001,0),MATCH(COLUMNS($AC$1006:AJ1006),$AC$1006:$AS$1006,0)), HYPERLINK("#",""), HYPERLINK(CONCATENATE("#metadata!", ADDRESS(INDEX($X$2:$X$1001,MATCH(ROWS($V$2:V1001),$V$2:$V$1001,0),0), INDEX($AC$1004:$AS$1004,1,MATCH(COLUMNS($AC$1006:AJ1006),$AC$1006:$AS$1006,0)))),"Fix")))</f>
        <v xml:space="preserve"> </v>
      </c>
      <c r="J1001" s="4" t="str">
        <f ca="1">IF(OR(INDEX($W$2:$W$1001,MATCH(ROWS($V$2:V1001),$V$2:$V$1001,0),1)&gt;=100000,INDEX($AC$1005:$AS$1005,1,MATCH(COLUMNS($AC$1006:AK1006),$AC$1006:$AS$1006,0))&gt;=100000), " ",IF(INDEX($AC$2:$AS$1001,MATCH(ROWS($V$2:V1001),$V$2:$V$1001,0),MATCH(COLUMNS($AC$1006:AK1006),$AC$1006:$AS$1006,0)), HYPERLINK("#",""), HYPERLINK(CONCATENATE("#metadata!", ADDRESS(INDEX($X$2:$X$1001,MATCH(ROWS($V$2:V1001),$V$2:$V$1001,0),0), INDEX($AC$1004:$AS$1004,1,MATCH(COLUMNS($AC$1006:AK1006),$AC$1006:$AS$1006,0)))),"Fix")))</f>
        <v xml:space="preserve"> </v>
      </c>
      <c r="K1001" s="4" t="str">
        <f ca="1">IF(OR(INDEX($W$2:$W$1001,MATCH(ROWS($V$2:V1001),$V$2:$V$1001,0),1)&gt;=100000,INDEX($AC$1005:$AS$1005,1,MATCH(COLUMNS($AC$1006:AL1006),$AC$1006:$AS$1006,0))&gt;=100000), " ",IF(INDEX($AC$2:$AS$1001,MATCH(ROWS($V$2:V1001),$V$2:$V$1001,0),MATCH(COLUMNS($AC$1006:AL1006),$AC$1006:$AS$1006,0)), HYPERLINK("#",""), HYPERLINK(CONCATENATE("#metadata!", ADDRESS(INDEX($X$2:$X$1001,MATCH(ROWS($V$2:V1001),$V$2:$V$1001,0),0), INDEX($AC$1004:$AS$1004,1,MATCH(COLUMNS($AC$1006:AL1006),$AC$1006:$AS$1006,0)))),"Fix")))</f>
        <v xml:space="preserve"> </v>
      </c>
      <c r="L1001" s="4" t="str">
        <f ca="1">IF(OR(INDEX($W$2:$W$1001,MATCH(ROWS($V$2:V1001),$V$2:$V$1001,0),1)&gt;=100000,INDEX($AC$1005:$AS$1005,1,MATCH(COLUMNS($AC$1006:AM1006),$AC$1006:$AS$1006,0))&gt;=100000), " ",IF(INDEX($AC$2:$AS$1001,MATCH(ROWS($V$2:V1001),$V$2:$V$1001,0),MATCH(COLUMNS($AC$1006:AM1006),$AC$1006:$AS$1006,0)), HYPERLINK("#",""), HYPERLINK(CONCATENATE("#metadata!", ADDRESS(INDEX($X$2:$X$1001,MATCH(ROWS($V$2:V1001),$V$2:$V$1001,0),0), INDEX($AC$1004:$AS$1004,1,MATCH(COLUMNS($AC$1006:AM1006),$AC$1006:$AS$1006,0)))),"Fix")))</f>
        <v xml:space="preserve"> </v>
      </c>
      <c r="M1001" s="4" t="str">
        <f ca="1">IF(OR(INDEX($W$2:$W$1001,MATCH(ROWS($V$2:V1001),$V$2:$V$1001,0),1)&gt;=100000,INDEX($AC$1005:$AS$1005,1,MATCH(COLUMNS($AC$1006:AN1006),$AC$1006:$AS$1006,0))&gt;=100000), " ",IF(INDEX($AC$2:$AS$1001,MATCH(ROWS($V$2:V1001),$V$2:$V$1001,0),MATCH(COLUMNS($AC$1006:AN1006),$AC$1006:$AS$1006,0)), HYPERLINK("#",""), HYPERLINK(CONCATENATE("#metadata!", ADDRESS(INDEX($X$2:$X$1001,MATCH(ROWS($V$2:V1001),$V$2:$V$1001,0),0), INDEX($AC$1004:$AS$1004,1,MATCH(COLUMNS($AC$1006:AN1006),$AC$1006:$AS$1006,0)))),"Fix")))</f>
        <v xml:space="preserve"> </v>
      </c>
      <c r="N1001" s="4" t="str">
        <f ca="1">IF(OR(INDEX($W$2:$W$1001,MATCH(ROWS($V$2:V1001),$V$2:$V$1001,0),1)&gt;=100000,INDEX($AC$1005:$AS$1005,1,MATCH(COLUMNS($AC$1006:AO1006),$AC$1006:$AS$1006,0))&gt;=100000), " ",IF(INDEX($AC$2:$AS$1001,MATCH(ROWS($V$2:V1001),$V$2:$V$1001,0),MATCH(COLUMNS($AC$1006:AO1006),$AC$1006:$AS$1006,0)), HYPERLINK("#",""), HYPERLINK(CONCATENATE("#metadata!", ADDRESS(INDEX($X$2:$X$1001,MATCH(ROWS($V$2:V1001),$V$2:$V$1001,0),0), INDEX($AC$1004:$AS$1004,1,MATCH(COLUMNS($AC$1006:AO1006),$AC$1006:$AS$1006,0)))),"Fix")))</f>
        <v xml:space="preserve"> </v>
      </c>
      <c r="O1001" s="4" t="str">
        <f ca="1">IF(OR(INDEX($W$2:$W$1001,MATCH(ROWS($V$2:V1001),$V$2:$V$1001,0),1)&gt;=100000,INDEX($AC$1005:$AS$1005,1,MATCH(COLUMNS($AC$1006:AP1006),$AC$1006:$AS$1006,0))&gt;=100000), " ",IF(INDEX($AC$2:$AS$1001,MATCH(ROWS($V$2:V1001),$V$2:$V$1001,0),MATCH(COLUMNS($AC$1006:AP1006),$AC$1006:$AS$1006,0)), HYPERLINK("#",""), HYPERLINK(CONCATENATE("#metadata!", ADDRESS(INDEX($X$2:$X$1001,MATCH(ROWS($V$2:V1001),$V$2:$V$1001,0),0), INDEX($AC$1004:$AS$1004,1,MATCH(COLUMNS($AC$1006:AP1006),$AC$1006:$AS$1006,0)))),"Fix")))</f>
        <v xml:space="preserve"> </v>
      </c>
      <c r="P1001" s="4" t="str">
        <f ca="1">IF(OR(INDEX($W$2:$W$1001,MATCH(ROWS($V$2:V1001),$V$2:$V$1001,0),1)&gt;=100000,INDEX($AC$1005:$AS$1005,1,MATCH(COLUMNS($AC$1006:AQ1006),$AC$1006:$AS$1006,0))&gt;=100000), " ",IF(INDEX($AC$2:$AS$1001,MATCH(ROWS($V$2:V1001),$V$2:$V$1001,0),MATCH(COLUMNS($AC$1006:AQ1006),$AC$1006:$AS$1006,0)), HYPERLINK("#",""), HYPERLINK(CONCATENATE("#metadata!", ADDRESS(INDEX($X$2:$X$1001,MATCH(ROWS($V$2:V1001),$V$2:$V$1001,0),0), INDEX($AC$1004:$AS$1004,1,MATCH(COLUMNS($AC$1006:AQ1006),$AC$1006:$AS$1006,0)))),"Fix")))</f>
        <v xml:space="preserve"> </v>
      </c>
      <c r="Q1001" s="4" t="str">
        <f ca="1">IF(OR(INDEX($W$2:$W$1001,MATCH(ROWS($V$2:V1001),$V$2:$V$1001,0),1)&gt;=100000,INDEX($AC$1005:$AS$1005,1,MATCH(COLUMNS($AC$1006:AR1006),$AC$1006:$AS$1006,0))&gt;=100000), " ",IF(INDEX($AC$2:$AS$1001,MATCH(ROWS($V$2:V1001),$V$2:$V$1001,0),MATCH(COLUMNS($AC$1006:AR1006),$AC$1006:$AS$1006,0)), HYPERLINK("#",""), HYPERLINK(CONCATENATE("#metadata!", ADDRESS(INDEX($X$2:$X$1001,MATCH(ROWS($V$2:V1001),$V$2:$V$1001,0),0), INDEX($AC$1004:$AS$1004,1,MATCH(COLUMNS($AC$1006:AR1006),$AC$1006:$AS$1006,0)))),"Fix")))</f>
        <v xml:space="preserve"> </v>
      </c>
      <c r="R1001" s="4" t="str">
        <f ca="1">IF(OR(INDEX($W$2:$W$1001,MATCH(ROWS($V$2:V1001),$V$2:$V$1001,0),1)&gt;=100000,INDEX($AC$1005:$AS$1005,1,MATCH(COLUMNS($AC$1006:AS1006),$AC$1006:$AS$1006,0))&gt;=100000), " ",IF(INDEX($AC$2:$AS$1001,MATCH(ROWS($V$2:V1001),$V$2:$V$1001,0),MATCH(COLUMNS($AC$1006:AS1006),$AC$1006:$AS$1006,0)), HYPERLINK("#",""), HYPERLINK(CONCATENATE("#metadata!", ADDRESS(INDEX($X$2:$X$1001,MATCH(ROWS($V$2:V1001),$V$2:$V$1001,0),0), INDEX($AC$1004:$AS$1004,1,MATCH(COLUMNS($AC$1006:AS1006),$AC$1006:$AS$1006,0)))),"Fix")))</f>
        <v xml:space="preserve"> </v>
      </c>
      <c r="V1001">
        <v>1000</v>
      </c>
      <c r="W1001">
        <v>101001</v>
      </c>
      <c r="X1001">
        <v>1001</v>
      </c>
      <c r="Y1001" t="b">
        <f t="shared" si="15"/>
        <v>1</v>
      </c>
      <c r="Z1001" t="b">
        <f>COUNTBLANK(metadata!B1001:R1001)=COLUMNS(metadata!B1001:R1001)</f>
        <v>1</v>
      </c>
      <c r="AA1001" t="str">
        <v/>
      </c>
      <c r="AC1001" t="b">
        <f ca="1"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AD1001" t="b">
        <f>IF(metadata!C1001="",FALSE,ISNUMBER(VALUE(metadata!C1001)))</f>
        <v>0</v>
      </c>
      <c r="AE1001" t="b">
        <f>AND(IF(metadata!D1001="",FALSE,TRUE),EXACT(metadata!D1001,"years"))</f>
        <v>0</v>
      </c>
      <c r="AF1001" t="b">
        <f>OR(AND(IF(metadata!E1001="",FALSE,TRUE),OR(EXACT(metadata!E1001,"not applicable"),EXACT(metadata!E1001,"missing: not collected"),EXACT(metadata!E1001,"missing: not provided"),EXACT(metadata!E1001,"missing: restricted access"))),AND(IF(metadata!E1001="",FALSE,ISNUMBER(VALUE(metadata!E1001))),metadata!E1001&gt;0))</f>
        <v>0</v>
      </c>
      <c r="AG1001" t="b">
        <f>AND(IF(metadata!F1001="",FALSE,TRUE),EXACT(metadata!F1001,"Not applicable"))</f>
        <v>0</v>
      </c>
      <c r="AH1001" t="b">
        <f>AND(IF(metadata!G1001="",FALSE,TRUE),EXACT(metadata!G1001,"urban biome"))</f>
        <v>0</v>
      </c>
      <c r="AI1001" t="b">
        <f>AND(IF(metadata!H1001="",FALSE,TRUE),EXACT(metadata!H1001,"human-associated habitat"))</f>
        <v>0</v>
      </c>
      <c r="AJ1001" t="b">
        <f>AND(IF(metadata!I1001="",FALSE,TRUE),OR(EXACT(metadata!I1001,"human-associated"),EXACT(metadata!I1001,"human-skin"),EXACT(metadata!I1001,"human-oral"),EXACT(metadata!I1001,"human-gut"),EXACT(metadata!I1001,"human-vaginal")))</f>
        <v>0</v>
      </c>
      <c r="AK1001" t="b">
        <f>IF(metadata!J1001="",FALSE,ISNUMBER(VALUE(metadata!J1001)))</f>
        <v>0</v>
      </c>
      <c r="AL1001" t="b">
        <f>AND(IF(metadata!K1001="",FALSE,TRUE),EXACT(metadata!K1001,"cm"))</f>
        <v>0</v>
      </c>
      <c r="AM1001" t="b">
        <f>AND(IF(metadata!L1001="",FALSE,TRUE),EXACT(metadata!L1001,"human"))</f>
        <v>0</v>
      </c>
      <c r="AN1001" t="b">
        <f>AND(IF(metadata!M1001="",FALSE,TRUE),EXACT(metadata!M1001,"Homo sapiens"))</f>
        <v>0</v>
      </c>
      <c r="AO1001" t="b">
        <f>AND(IF(metadata!N1001="",FALSE,TRUE),EXACT(metadata!N1001,"9606"))</f>
        <v>0</v>
      </c>
      <c r="AP1001" t="b">
        <f>IF(metadata!O1001="",FALSE,TRUE)</f>
        <v>0</v>
      </c>
      <c r="AQ1001" t="b">
        <f>IF(metadata!P1001="",FALSE,TRUE)</f>
        <v>0</v>
      </c>
      <c r="AR1001" t="b">
        <f>IF(metadata!Q1001="",FALSE,ISNUMBER(VALUE(metadata!Q1001)))</f>
        <v>0</v>
      </c>
      <c r="AS1001" t="b">
        <f>AND(IF(metadata!R1001="",FALSE,TRUE),EXACT(metadata!R1001,"kg"))</f>
        <v>0</v>
      </c>
    </row>
    <row r="1003" spans="1:45" x14ac:dyDescent="0.2">
      <c r="AB1003" s="3" t="s">
        <v>24</v>
      </c>
      <c r="AC1003" t="b">
        <f t="array" aca="1" ref="AC1003" ca="1">AND(IF($Z2:$Z1001,TRUE,AC2:AC1001))</f>
        <v>1</v>
      </c>
      <c r="AD1003" t="b">
        <f t="array" ref="AD1003">AND(IF($Z2:$Z1001,TRUE,AD2:AD1001))</f>
        <v>1</v>
      </c>
      <c r="AE1003" t="b">
        <f t="array" ref="AE1003">AND(IF($Z2:$Z1001,TRUE,AE2:AE1001))</f>
        <v>1</v>
      </c>
      <c r="AF1003" t="b">
        <f t="array" ref="AF1003">AND(IF($Z2:$Z1001,TRUE,AF2:AF1001))</f>
        <v>1</v>
      </c>
      <c r="AG1003" t="b">
        <f t="array" ref="AG1003">AND(IF($Z2:$Z1001,TRUE,AG2:AG1001))</f>
        <v>1</v>
      </c>
      <c r="AH1003" t="b">
        <f t="array" ref="AH1003">AND(IF($Z2:$Z1001,TRUE,AH2:AH1001))</f>
        <v>1</v>
      </c>
      <c r="AI1003" t="b">
        <f t="array" ref="AI1003">AND(IF($Z2:$Z1001,TRUE,AI2:AI1001))</f>
        <v>1</v>
      </c>
      <c r="AJ1003" t="b">
        <f t="array" ref="AJ1003">AND(IF($Z2:$Z1001,TRUE,AJ2:AJ1001))</f>
        <v>1</v>
      </c>
      <c r="AK1003" t="b">
        <f t="array" ref="AK1003">AND(IF($Z2:$Z1001,TRUE,AK2:AK1001))</f>
        <v>1</v>
      </c>
      <c r="AL1003" t="b">
        <f t="array" ref="AL1003">AND(IF($Z2:$Z1001,TRUE,AL2:AL1001))</f>
        <v>1</v>
      </c>
      <c r="AM1003" t="b">
        <f t="array" ref="AM1003">AND(IF($Z2:$Z1001,TRUE,AM2:AM1001))</f>
        <v>1</v>
      </c>
      <c r="AN1003" t="b">
        <f t="array" ref="AN1003">AND(IF($Z2:$Z1001,TRUE,AN2:AN1001))</f>
        <v>1</v>
      </c>
      <c r="AO1003" t="b">
        <f t="array" ref="AO1003">AND(IF($Z2:$Z1001,TRUE,AO2:AO1001))</f>
        <v>1</v>
      </c>
      <c r="AP1003" t="b">
        <f t="array" ref="AP1003">AND(IF($Z2:$Z1001,TRUE,AP2:AP1001))</f>
        <v>1</v>
      </c>
      <c r="AQ1003" t="b">
        <f t="array" ref="AQ1003">AND(IF($Z2:$Z1001,TRUE,AQ2:AQ1001))</f>
        <v>1</v>
      </c>
      <c r="AR1003" t="b">
        <f t="array" ref="AR1003">AND(IF($Z2:$Z1001,TRUE,AR2:AR1001))</f>
        <v>1</v>
      </c>
      <c r="AS1003" t="b">
        <f t="array" ref="AS1003">AND(IF($Z2:$Z1001,TRUE,AS2:AS1001))</f>
        <v>1</v>
      </c>
    </row>
    <row r="1004" spans="1:45" x14ac:dyDescent="0.2">
      <c r="AB1004" s="3" t="s">
        <v>25</v>
      </c>
      <c r="AC1004">
        <f t="array" ref="AC1004:AS1004">COLUMN(metadata!B1004:R1004)</f>
        <v>2</v>
      </c>
      <c r="AD1004">
        <v>3</v>
      </c>
      <c r="AE1004">
        <v>4</v>
      </c>
      <c r="AF1004">
        <v>5</v>
      </c>
      <c r="AG1004">
        <v>6</v>
      </c>
      <c r="AH1004">
        <v>7</v>
      </c>
      <c r="AI1004">
        <v>8</v>
      </c>
      <c r="AJ1004">
        <v>9</v>
      </c>
      <c r="AK1004">
        <v>10</v>
      </c>
      <c r="AL1004">
        <v>11</v>
      </c>
      <c r="AM1004">
        <v>12</v>
      </c>
      <c r="AN1004">
        <v>13</v>
      </c>
      <c r="AO1004">
        <v>14</v>
      </c>
      <c r="AP1004">
        <v>15</v>
      </c>
      <c r="AQ1004">
        <v>16</v>
      </c>
      <c r="AR1004">
        <v>17</v>
      </c>
      <c r="AS1004">
        <v>18</v>
      </c>
    </row>
    <row r="1005" spans="1:45" x14ac:dyDescent="0.2">
      <c r="AB1005" s="3" t="s">
        <v>26</v>
      </c>
      <c r="AC1005">
        <f t="array" ref="AC1005:AS1005" ca="1">INT(AC1003:AS1003)*100000+$AC$1004:$AS$1004</f>
        <v>100002</v>
      </c>
      <c r="AD1005">
        <v>100003</v>
      </c>
      <c r="AE1005">
        <v>100004</v>
      </c>
      <c r="AF1005">
        <v>100005</v>
      </c>
      <c r="AG1005">
        <v>100006</v>
      </c>
      <c r="AH1005">
        <v>100007</v>
      </c>
      <c r="AI1005">
        <v>100008</v>
      </c>
      <c r="AJ1005">
        <v>100009</v>
      </c>
      <c r="AK1005">
        <v>100010</v>
      </c>
      <c r="AL1005">
        <v>100011</v>
      </c>
      <c r="AM1005">
        <v>100012</v>
      </c>
      <c r="AN1005">
        <v>100013</v>
      </c>
      <c r="AO1005">
        <v>100014</v>
      </c>
      <c r="AP1005">
        <v>100015</v>
      </c>
      <c r="AQ1005">
        <v>100016</v>
      </c>
      <c r="AR1005">
        <v>100017</v>
      </c>
      <c r="AS1005">
        <v>100018</v>
      </c>
    </row>
    <row r="1006" spans="1:45" x14ac:dyDescent="0.2">
      <c r="AB1006" s="3" t="s">
        <v>27</v>
      </c>
      <c r="AC1006">
        <f t="array" aca="1" ref="AC1006:AS1006" ca="1">COUNTIF($AC1005:$AS1005,"&lt;="&amp;AC$1005:AS1005)</f>
        <v>1</v>
      </c>
      <c r="AD1006">
        <f ca="1"/>
        <v>2</v>
      </c>
      <c r="AE1006">
        <f ca="1"/>
        <v>3</v>
      </c>
      <c r="AF1006">
        <f ca="1"/>
        <v>4</v>
      </c>
      <c r="AG1006">
        <f ca="1"/>
        <v>5</v>
      </c>
      <c r="AH1006">
        <f ca="1"/>
        <v>6</v>
      </c>
      <c r="AI1006">
        <f ca="1"/>
        <v>7</v>
      </c>
      <c r="AJ1006">
        <f ca="1"/>
        <v>8</v>
      </c>
      <c r="AK1006">
        <f ca="1"/>
        <v>9</v>
      </c>
      <c r="AL1006">
        <f ca="1"/>
        <v>10</v>
      </c>
      <c r="AM1006">
        <f ca="1"/>
        <v>11</v>
      </c>
      <c r="AN1006">
        <f ca="1"/>
        <v>12</v>
      </c>
      <c r="AO1006">
        <f ca="1"/>
        <v>13</v>
      </c>
      <c r="AP1006">
        <f ca="1"/>
        <v>14</v>
      </c>
      <c r="AQ1006">
        <f ca="1"/>
        <v>15</v>
      </c>
      <c r="AR1006">
        <f ca="1"/>
        <v>16</v>
      </c>
      <c r="AS1006">
        <f ca="1"/>
        <v>17</v>
      </c>
    </row>
  </sheetData>
  <sheetProtection sheet="1" objects="1" scenarios="1"/>
  <conditionalFormatting sqref="B2:R1001">
    <cfRule type="cellIs" dxfId="1" priority="1" operator="equal">
      <formula>""</formula>
    </cfRule>
    <cfRule type="cellIs" dxfId="0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2" x14ac:dyDescent="0.2">
      <c r="A1" s="3" t="s">
        <v>28</v>
      </c>
      <c r="B1" s="3" t="s">
        <v>29</v>
      </c>
    </row>
    <row r="2" spans="1:2" x14ac:dyDescent="0.2">
      <c r="A2" s="3" t="s">
        <v>1</v>
      </c>
      <c r="B2" t="s">
        <v>30</v>
      </c>
    </row>
    <row r="3" spans="1:2" x14ac:dyDescent="0.2">
      <c r="A3" s="3" t="s">
        <v>3</v>
      </c>
      <c r="B3" t="s">
        <v>31</v>
      </c>
    </row>
    <row r="4" spans="1:2" x14ac:dyDescent="0.2">
      <c r="A4" s="3" t="s">
        <v>4</v>
      </c>
      <c r="B4" t="s">
        <v>32</v>
      </c>
    </row>
    <row r="5" spans="1:2" x14ac:dyDescent="0.2">
      <c r="A5" s="3" t="s">
        <v>5</v>
      </c>
      <c r="B5" t="s">
        <v>33</v>
      </c>
    </row>
    <row r="6" spans="1:2" x14ac:dyDescent="0.2">
      <c r="A6" s="3" t="s">
        <v>6</v>
      </c>
      <c r="B6" t="s">
        <v>34</v>
      </c>
    </row>
    <row r="7" spans="1:2" x14ac:dyDescent="0.2">
      <c r="A7" s="3" t="s">
        <v>7</v>
      </c>
      <c r="B7" t="s">
        <v>35</v>
      </c>
    </row>
    <row r="8" spans="1:2" x14ac:dyDescent="0.2">
      <c r="A8" s="3" t="s">
        <v>8</v>
      </c>
      <c r="B8" t="s">
        <v>36</v>
      </c>
    </row>
    <row r="9" spans="1:2" x14ac:dyDescent="0.2">
      <c r="A9" s="3" t="s">
        <v>9</v>
      </c>
      <c r="B9" t="s">
        <v>37</v>
      </c>
    </row>
    <row r="10" spans="1:2" x14ac:dyDescent="0.2">
      <c r="A10" s="3" t="s">
        <v>10</v>
      </c>
      <c r="B10" t="s">
        <v>31</v>
      </c>
    </row>
    <row r="11" spans="1:2" x14ac:dyDescent="0.2">
      <c r="A11" s="3" t="s">
        <v>11</v>
      </c>
      <c r="B11" t="s">
        <v>38</v>
      </c>
    </row>
    <row r="12" spans="1:2" x14ac:dyDescent="0.2">
      <c r="A12" s="3" t="s">
        <v>12</v>
      </c>
      <c r="B12" t="s">
        <v>39</v>
      </c>
    </row>
    <row r="13" spans="1:2" x14ac:dyDescent="0.2">
      <c r="A13" s="3" t="s">
        <v>13</v>
      </c>
      <c r="B13" t="s">
        <v>40</v>
      </c>
    </row>
    <row r="14" spans="1:2" x14ac:dyDescent="0.2">
      <c r="A14" s="3" t="s">
        <v>14</v>
      </c>
      <c r="B14" t="s">
        <v>41</v>
      </c>
    </row>
    <row r="15" spans="1:2" x14ac:dyDescent="0.2">
      <c r="A15" s="3" t="s">
        <v>15</v>
      </c>
      <c r="B15" t="s">
        <v>42</v>
      </c>
    </row>
    <row r="16" spans="1:2" x14ac:dyDescent="0.2">
      <c r="A16" s="3" t="s">
        <v>16</v>
      </c>
      <c r="B16" t="s">
        <v>43</v>
      </c>
    </row>
    <row r="17" spans="1:2" x14ac:dyDescent="0.2">
      <c r="A17" s="3" t="s">
        <v>17</v>
      </c>
      <c r="B17" t="s">
        <v>31</v>
      </c>
    </row>
    <row r="18" spans="1:2" x14ac:dyDescent="0.2">
      <c r="A18" s="3" t="s">
        <v>18</v>
      </c>
      <c r="B18" t="s">
        <v>44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" ht="409" x14ac:dyDescent="0.2">
      <c r="A1" s="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" x14ac:dyDescent="0.2">
      <c r="A1" t="s">
        <v>45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1" x14ac:dyDescent="0.2">
      <c r="A1" t="s">
        <v>46</v>
      </c>
    </row>
    <row r="2" spans="1:1" x14ac:dyDescent="0.2">
      <c r="A2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Birmingham</cp:lastModifiedBy>
  <dcterms:created xsi:type="dcterms:W3CDTF">2018-01-04T00:05:34Z</dcterms:created>
  <dcterms:modified xsi:type="dcterms:W3CDTF">2018-01-04T00:18:32Z</dcterms:modified>
</cp:coreProperties>
</file>